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6.xml" ContentType="application/vnd.openxmlformats-officedocument.drawing+xml"/>
  <Override PartName="/xl/ctrlProps/ctrlProp6.xml" ContentType="application/vnd.ms-excel.controlproperties+xml"/>
  <Override PartName="/xl/comments6.xml" ContentType="application/vnd.openxmlformats-officedocument.spreadsheetml.comment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drawings/drawing21.xml" ContentType="application/vnd.openxmlformats-officedocument.drawing+xml"/>
  <Override PartName="/xl/ctrlProps/ctrlProp21.xml" ContentType="application/vnd.ms-excel.controlproperties+xml"/>
  <Override PartName="/xl/drawings/drawing22.xml" ContentType="application/vnd.openxmlformats-officedocument.drawing+xml"/>
  <Override PartName="/xl/ctrlProps/ctrlProp22.xml" ContentType="application/vnd.ms-excel.controlproperties+xml"/>
  <Override PartName="/xl/drawings/drawing23.xml" ContentType="application/vnd.openxmlformats-officedocument.drawing+xml"/>
  <Override PartName="/xl/ctrlProps/ctrlProp23.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hitachipowergrids-my.sharepoint.com/personal/karthik_sankaranarayanan_hitachienergy_com/Documents/CT VT ADEQUCY TEST/132 kV ATKINS PROJECT/"/>
    </mc:Choice>
  </mc:AlternateContent>
  <xr:revisionPtr revIDLastSave="0" documentId="8_{FD957BBD-CF93-4A73-A71B-56C5AE2E575D}" xr6:coauthVersionLast="47" xr6:coauthVersionMax="47" xr10:uidLastSave="{00000000-0000-0000-0000-000000000000}"/>
  <bookViews>
    <workbookView xWindow="-108" yWindow="-108" windowWidth="23256" windowHeight="13896" tabRatio="867" firstSheet="9" activeTab="9" xr2:uid="{6EF1455B-5B6E-478E-8DB7-CC4394A13F78}"/>
  </bookViews>
  <sheets>
    <sheet name="Title" sheetId="1" state="hidden" r:id="rId1"/>
    <sheet name="INDEX" sheetId="2" state="hidden" r:id="rId2"/>
    <sheet name="Notes Or Assumptions" sheetId="3" state="hidden" r:id="rId3"/>
    <sheet name="CT-VT Data landscape" sheetId="11" state="hidden" r:id="rId4"/>
    <sheet name="CT-VT Burdens" sheetId="4" state="hidden" r:id="rId5"/>
    <sheet name="CT ADEQUACY" sheetId="125" state="hidden" r:id="rId6"/>
    <sheet name="Parameters &amp; Fault Cal. (4)" sheetId="13" state="hidden" r:id="rId7"/>
    <sheet name="BAY1" sheetId="12" state="hidden" r:id="rId8"/>
    <sheet name="BUP BCU" sheetId="79" state="hidden" r:id="rId9"/>
    <sheet name="RED670 IED TEMPLATE" sheetId="14" r:id="rId10"/>
    <sheet name="7SJ85 IED TEMPLATE" sheetId="8" r:id="rId11"/>
    <sheet name="TR. MAIN-2 MF " sheetId="159" state="hidden" r:id="rId12"/>
    <sheet name="CABLE MAIN-2" sheetId="158" state="hidden" r:id="rId13"/>
    <sheet name="BCU+AMMETER" sheetId="88" state="hidden" r:id="rId14"/>
    <sheet name="MAIN-1 BBP" sheetId="165" state="hidden" r:id="rId15"/>
    <sheet name="BUP BCU(1)" sheetId="117" state="hidden" r:id="rId16"/>
    <sheet name="BBP P743(1)" sheetId="105" state="hidden" r:id="rId17"/>
    <sheet name="BCU+OC-5P SEL751+7SJ85 (2)" sheetId="15" state="hidden" r:id="rId18"/>
    <sheet name="Tariff Check-0.2FS  (3)" sheetId="17" state="hidden" r:id="rId19"/>
    <sheet name="BAY2" sheetId="5" state="hidden" r:id="rId20"/>
    <sheet name="TR. MAIN-1 MF " sheetId="6" state="hidden" r:id="rId21"/>
    <sheet name="7UT85" sheetId="89" state="hidden" r:id="rId22"/>
    <sheet name="BCU+PQM+AMMETER" sheetId="142" state="hidden" r:id="rId23"/>
    <sheet name="MAIN-2 BBP (2)" sheetId="134" state="hidden" r:id="rId24"/>
    <sheet name="HVC1 - REF650" sheetId="113" state="hidden" r:id="rId25"/>
    <sheet name="MFAC+MVTP" sheetId="130" state="hidden" r:id="rId26"/>
    <sheet name="BUP BCU(2)" sheetId="116" state="hidden" r:id="rId27"/>
    <sheet name="BBP FU1 - REB500 (2)" sheetId="92" state="hidden" r:id="rId28"/>
    <sheet name="BBP 743(2)" sheetId="107" state="hidden" r:id="rId29"/>
    <sheet name="MAIN-1 BBP (2)" sheetId="166" state="hidden" r:id="rId30"/>
    <sheet name="MAIN-2 HV REF+SBEF" sheetId="162" state="hidden" r:id="rId31"/>
    <sheet name="MAIN-1 HV REF+SBEF" sheetId="145" state="hidden" r:id="rId32"/>
    <sheet name="MAIN-2 HV REF+SBEF (2)" sheetId="146" state="hidden" r:id="rId33"/>
    <sheet name="MAIN-1 HV REF+SBEF (2)" sheetId="147" state="hidden" r:id="rId34"/>
    <sheet name="MAIN-1 TEF" sheetId="148" state="hidden" r:id="rId35"/>
    <sheet name="MAIN-2 TEF" sheetId="149" state="hidden" r:id="rId36"/>
    <sheet name="BAY3" sheetId="93" state="hidden" r:id="rId37"/>
    <sheet name="IFP1-RED670" sheetId="91" state="hidden" r:id="rId38"/>
    <sheet name="SEL487E-X" sheetId="7" state="hidden" r:id="rId39"/>
    <sheet name="Tariff Main-0.2FS " sheetId="9" state="hidden" r:id="rId40"/>
    <sheet name="Tariff Check-0.2FS  (2)" sheetId="10" state="hidden" r:id="rId41"/>
    <sheet name="Main Tariff Meter " sheetId="82" state="hidden" r:id="rId42"/>
    <sheet name="Check Tariff Meter + Ammeters" sheetId="81" state="hidden" r:id="rId43"/>
    <sheet name="5 (7)" sheetId="83" state="hidden" r:id="rId44"/>
    <sheet name="OC+BCPU+FMS-X (3)" sheetId="84" state="hidden" r:id="rId45"/>
    <sheet name="(Metering + Ammeter) (2)" sheetId="85" state="hidden" r:id="rId46"/>
    <sheet name="5 (8)" sheetId="86" state="hidden" r:id="rId47"/>
    <sheet name="OC+BCPU+FMS-X (4)" sheetId="87" state="hidden" r:id="rId48"/>
    <sheet name="IBT MAIN-1 Diff" sheetId="151" state="hidden" r:id="rId49"/>
    <sheet name="IBT MAIN-2 Diff" sheetId="164" state="hidden" r:id="rId50"/>
    <sheet name="IBT MAIN-2 FMS+DOC DEF " sheetId="160" state="hidden" r:id="rId51"/>
    <sheet name="BCU+AMMETER (2)" sheetId="150" state="hidden" r:id="rId52"/>
    <sheet name="MAIN-2 BBP (3)" sheetId="135" state="hidden" r:id="rId53"/>
    <sheet name="5 (4)" sheetId="37" state="hidden" r:id="rId54"/>
    <sheet name="IFP2 P545 (3)" sheetId="119" state="hidden" r:id="rId55"/>
    <sheet name="BUP BCU(3)" sheetId="115" state="hidden" r:id="rId56"/>
    <sheet name="GIB - REF650" sheetId="126" state="hidden" r:id="rId57"/>
    <sheet name="BBP FU1 - REB500 (3)" sheetId="110" state="hidden" r:id="rId58"/>
    <sheet name="P74X-X (3)" sheetId="108" state="hidden" r:id="rId59"/>
    <sheet name="COP MAIN" sheetId="16" state="hidden" r:id="rId60"/>
    <sheet name="COP CHECK" sheetId="122" state="hidden" r:id="rId61"/>
    <sheet name="GIB - REF650 (2)" sheetId="131" state="hidden" r:id="rId62"/>
    <sheet name="MAIN-1 BBP (3)" sheetId="167" state="hidden" r:id="rId63"/>
    <sheet name="METERING+BCU+PQM(4)" sheetId="176" state="hidden" r:id="rId64"/>
    <sheet name="BAY4" sheetId="102" state="hidden" r:id="rId65"/>
    <sheet name="IFP1-RED670 (2)" sheetId="118" state="hidden" r:id="rId66"/>
    <sheet name="IFP2 P545 (4)" sheetId="112" state="hidden" r:id="rId67"/>
    <sheet name="MAIN-2 BBP (4)" sheetId="136" state="hidden" r:id="rId68"/>
    <sheet name="MAIN-2 BBP (5)" sheetId="137" state="hidden" r:id="rId69"/>
    <sheet name="BUP BCU(4)" sheetId="114" state="hidden" r:id="rId70"/>
    <sheet name="BBP FU1 - REB500 (4)" sheetId="104" state="hidden" r:id="rId71"/>
    <sheet name="P74X-X (4)" sheetId="109" state="hidden" r:id="rId72"/>
    <sheet name="CS1" sheetId="123" state="hidden" r:id="rId73"/>
    <sheet name="CS2" sheetId="124" state="hidden" r:id="rId74"/>
    <sheet name="OC+BCPU+FMS-X (2)" sheetId="80" state="hidden" r:id="rId75"/>
    <sheet name="MAIN-1 BBP (4)" sheetId="168" state="hidden" r:id="rId76"/>
    <sheet name="OC-EF+FMS" sheetId="154" state="hidden" r:id="rId77"/>
    <sheet name="MAIN-1 BBP (5)" sheetId="169" state="hidden" r:id="rId78"/>
    <sheet name="BCU+PQM+AMMETER (2)" sheetId="152" state="hidden" r:id="rId79"/>
    <sheet name="BAY5" sheetId="133" state="hidden" r:id="rId80"/>
    <sheet name="MAIN-2 BBP (6)" sheetId="138" state="hidden" r:id="rId81"/>
    <sheet name="MAIN-2 BBP (7)" sheetId="139" state="hidden" r:id="rId82"/>
    <sheet name="MAIN-1 BBP (6)" sheetId="170" state="hidden" r:id="rId83"/>
    <sheet name="BCU+PQM+AMMETER " sheetId="172" state="hidden" r:id="rId84"/>
    <sheet name="MAIN-1 BBP+BFP" sheetId="38" state="hidden" r:id="rId85"/>
    <sheet name="MAIN-1 BBP+BFP (2)" sheetId="175" state="hidden" r:id="rId86"/>
    <sheet name="OC-EF+FMS (2)" sheetId="156" state="hidden" r:id="rId87"/>
    <sheet name="MAIN-1 BBP (7)" sheetId="171" state="hidden" r:id="rId88"/>
    <sheet name="BCU+PQM+AMMETER (3)" sheetId="153" state="hidden" r:id="rId89"/>
    <sheet name="VT ADEQUACY" sheetId="39" state="hidden" r:id="rId90"/>
    <sheet name="VT CABLE FEEDERS" sheetId="127" state="hidden" r:id="rId91"/>
    <sheet name="132KV CABLE FEEDER VT " sheetId="40" state="hidden" r:id="rId92"/>
    <sheet name="VT BUS  " sheetId="173" state="hidden" r:id="rId93"/>
    <sheet name="132KV BUS VT " sheetId="174" state="hidden" r:id="rId94"/>
    <sheet name="VT BAY2" sheetId="128" state="hidden" r:id="rId95"/>
    <sheet name="FEEDER" sheetId="120" state="hidden" r:id="rId96"/>
    <sheet name="VT BAY3" sheetId="129" state="hidden" r:id="rId97"/>
    <sheet name="SGT" sheetId="90" state="hidden" r:id="rId98"/>
    <sheet name="Bus VT (2)" sheetId="76" state="hidden" r:id="rId99"/>
    <sheet name="Bus VT (3)" sheetId="77" state="hidden" r:id="rId100"/>
    <sheet name="P54x-X-3" sheetId="106" state="hidden" r:id="rId101"/>
    <sheet name="OC+FMS+BFR-X (BS)" sheetId="78" state="hidden" r:id="rId102"/>
  </sheets>
  <externalReferences>
    <externalReference r:id="rId103"/>
    <externalReference r:id="rId104"/>
    <externalReference r:id="rId105"/>
    <externalReference r:id="rId106"/>
    <externalReference r:id="rId107"/>
    <externalReference r:id="rId108"/>
    <externalReference r:id="rId109"/>
    <externalReference r:id="rId110"/>
    <externalReference r:id="rId111"/>
  </externalReferences>
  <definedNames>
    <definedName name="____________DAD11">#REF!</definedName>
    <definedName name="__________DAD11">#REF!</definedName>
    <definedName name="_________DAD11" localSheetId="45">#REF!</definedName>
    <definedName name="_________DAD11" localSheetId="13">#REF!</definedName>
    <definedName name="_________DAD11" localSheetId="51">#REF!</definedName>
    <definedName name="_________DAD11" localSheetId="22">#REF!</definedName>
    <definedName name="_________DAD11" localSheetId="83">#REF!</definedName>
    <definedName name="_________DAD11" localSheetId="78">#REF!</definedName>
    <definedName name="_________DAD11" localSheetId="88">#REF!</definedName>
    <definedName name="_________DAD11" localSheetId="42">#REF!</definedName>
    <definedName name="_________DAD11" localSheetId="60">#REF!</definedName>
    <definedName name="_________DAD11" localSheetId="59">#REF!</definedName>
    <definedName name="_________DAD11" localSheetId="72">#REF!</definedName>
    <definedName name="_________DAD11" localSheetId="73">#REF!</definedName>
    <definedName name="_________DAD11" localSheetId="41">#REF!</definedName>
    <definedName name="_________DAD11" localSheetId="63">#REF!</definedName>
    <definedName name="________DAD11" localSheetId="39">#REF!</definedName>
    <definedName name="_______DAD11">#REF!</definedName>
    <definedName name="______DAD11" localSheetId="12">#REF!</definedName>
    <definedName name="_____DAD11" localSheetId="18">#REF!</definedName>
    <definedName name="____DAD11" localSheetId="40">#REF!</definedName>
    <definedName name="___DAD11" localSheetId="48">#REF!</definedName>
    <definedName name="___DAD11" localSheetId="31">#REF!</definedName>
    <definedName name="___DAD11" localSheetId="33">#REF!</definedName>
    <definedName name="___DAD11" localSheetId="34">#REF!</definedName>
    <definedName name="___DAD11" localSheetId="20">#REF!</definedName>
    <definedName name="__DAD11">#REF!</definedName>
    <definedName name="_DAD11">#REF!</definedName>
    <definedName name="a" localSheetId="21">#REF!</definedName>
    <definedName name="a" localSheetId="8">#REF!</definedName>
    <definedName name="a" localSheetId="12">#REF!</definedName>
    <definedName name="a" localSheetId="48">#REF!</definedName>
    <definedName name="a" localSheetId="49">#REF!</definedName>
    <definedName name="a" localSheetId="50">#REF!</definedName>
    <definedName name="a" localSheetId="31">#REF!</definedName>
    <definedName name="a" localSheetId="33">#REF!</definedName>
    <definedName name="a" localSheetId="34">#REF!</definedName>
    <definedName name="a" localSheetId="30">#REF!</definedName>
    <definedName name="a" localSheetId="32">#REF!</definedName>
    <definedName name="a" localSheetId="35">#REF!</definedName>
    <definedName name="a" localSheetId="74">#REF!</definedName>
    <definedName name="a" localSheetId="44">#REF!</definedName>
    <definedName name="a" localSheetId="47">#REF!</definedName>
    <definedName name="a" localSheetId="101">#REF!</definedName>
    <definedName name="a" localSheetId="76">#REF!</definedName>
    <definedName name="a" localSheetId="86">#REF!</definedName>
    <definedName name="a" localSheetId="20">#REF!</definedName>
    <definedName name="a" localSheetId="11">#REF!</definedName>
    <definedName name="a">#REF!</definedName>
    <definedName name="AA" localSheetId="21">#REF!</definedName>
    <definedName name="AA" localSheetId="8">#REF!</definedName>
    <definedName name="AA" localSheetId="12">#REF!</definedName>
    <definedName name="AA" localSheetId="48">#REF!</definedName>
    <definedName name="AA" localSheetId="49">#REF!</definedName>
    <definedName name="AA" localSheetId="50">#REF!</definedName>
    <definedName name="AA" localSheetId="31">#REF!</definedName>
    <definedName name="AA" localSheetId="33">#REF!</definedName>
    <definedName name="AA" localSheetId="34">#REF!</definedName>
    <definedName name="AA" localSheetId="30">#REF!</definedName>
    <definedName name="AA" localSheetId="32">#REF!</definedName>
    <definedName name="AA" localSheetId="35">#REF!</definedName>
    <definedName name="AA" localSheetId="74">#REF!</definedName>
    <definedName name="AA" localSheetId="44">#REF!</definedName>
    <definedName name="AA" localSheetId="47">#REF!</definedName>
    <definedName name="AA" localSheetId="101">#REF!</definedName>
    <definedName name="AA" localSheetId="76">#REF!</definedName>
    <definedName name="AA" localSheetId="86">#REF!</definedName>
    <definedName name="AA" localSheetId="20">#REF!</definedName>
    <definedName name="AA" localSheetId="11">#REF!</definedName>
    <definedName name="AA">#REF!</definedName>
    <definedName name="aaa" localSheetId="21">#REF!</definedName>
    <definedName name="aaa" localSheetId="8">#REF!</definedName>
    <definedName name="aaa" localSheetId="12">#REF!</definedName>
    <definedName name="aaa" localSheetId="48">#REF!</definedName>
    <definedName name="aaa" localSheetId="49">#REF!</definedName>
    <definedName name="aaa" localSheetId="50">#REF!</definedName>
    <definedName name="aaa" localSheetId="31">#REF!</definedName>
    <definedName name="aaa" localSheetId="33">#REF!</definedName>
    <definedName name="aaa" localSheetId="34">#REF!</definedName>
    <definedName name="aaa" localSheetId="30">#REF!</definedName>
    <definedName name="aaa" localSheetId="32">#REF!</definedName>
    <definedName name="aaa" localSheetId="35">#REF!</definedName>
    <definedName name="aaa" localSheetId="74">#REF!</definedName>
    <definedName name="aaa" localSheetId="44">#REF!</definedName>
    <definedName name="aaa" localSheetId="47">#REF!</definedName>
    <definedName name="aaa" localSheetId="101">#REF!</definedName>
    <definedName name="aaa" localSheetId="76">#REF!</definedName>
    <definedName name="aaa" localSheetId="86">#REF!</definedName>
    <definedName name="aaa" localSheetId="20">#REF!</definedName>
    <definedName name="aaa" localSheetId="11">#REF!</definedName>
    <definedName name="aaa">#REF!</definedName>
    <definedName name="ADNAN">'[1]Main 1'!$M$68</definedName>
    <definedName name="B" localSheetId="21">#REF!</definedName>
    <definedName name="B" localSheetId="8">#REF!</definedName>
    <definedName name="B" localSheetId="12">#REF!</definedName>
    <definedName name="B" localSheetId="48">#REF!</definedName>
    <definedName name="B" localSheetId="49">#REF!</definedName>
    <definedName name="B" localSheetId="50">#REF!</definedName>
    <definedName name="B" localSheetId="31">#REF!</definedName>
    <definedName name="B" localSheetId="33">#REF!</definedName>
    <definedName name="B" localSheetId="34">#REF!</definedName>
    <definedName name="B" localSheetId="30">#REF!</definedName>
    <definedName name="B" localSheetId="32">#REF!</definedName>
    <definedName name="B" localSheetId="35">#REF!</definedName>
    <definedName name="B" localSheetId="74">#REF!</definedName>
    <definedName name="B" localSheetId="44">#REF!</definedName>
    <definedName name="B" localSheetId="47">#REF!</definedName>
    <definedName name="B" localSheetId="101">#REF!</definedName>
    <definedName name="B" localSheetId="76">#REF!</definedName>
    <definedName name="B" localSheetId="86">#REF!</definedName>
    <definedName name="B" localSheetId="20">#REF!</definedName>
    <definedName name="B" localSheetId="11">#REF!</definedName>
    <definedName name="B">#REF!</definedName>
    <definedName name="ccc" localSheetId="45">#REF!</definedName>
    <definedName name="ccc" localSheetId="21">#REF!</definedName>
    <definedName name="ccc" localSheetId="28">#REF!</definedName>
    <definedName name="ccc" localSheetId="16">#REF!</definedName>
    <definedName name="ccc" localSheetId="13">#REF!</definedName>
    <definedName name="ccc" localSheetId="51">#REF!</definedName>
    <definedName name="ccc" localSheetId="22">#REF!</definedName>
    <definedName name="ccc" localSheetId="83">#REF!</definedName>
    <definedName name="ccc" localSheetId="78">#REF!</definedName>
    <definedName name="ccc" localSheetId="88">#REF!</definedName>
    <definedName name="ccc" localSheetId="8">#REF!</definedName>
    <definedName name="ccc" localSheetId="12">#REF!</definedName>
    <definedName name="ccc" localSheetId="42">#REF!</definedName>
    <definedName name="ccc" localSheetId="60">#REF!</definedName>
    <definedName name="ccc" localSheetId="59">#REF!</definedName>
    <definedName name="ccc" localSheetId="72">#REF!</definedName>
    <definedName name="ccc" localSheetId="73">#REF!</definedName>
    <definedName name="ccc" localSheetId="48">#REF!</definedName>
    <definedName name="ccc" localSheetId="49">#REF!</definedName>
    <definedName name="ccc" localSheetId="50">#REF!</definedName>
    <definedName name="ccc" localSheetId="41">#REF!</definedName>
    <definedName name="ccc" localSheetId="14">#REF!</definedName>
    <definedName name="ccc" localSheetId="29">#REF!</definedName>
    <definedName name="ccc" localSheetId="62">#REF!</definedName>
    <definedName name="ccc" localSheetId="75">#REF!</definedName>
    <definedName name="ccc" localSheetId="77">#REF!</definedName>
    <definedName name="ccc" localSheetId="82">#REF!</definedName>
    <definedName name="ccc" localSheetId="87">#REF!</definedName>
    <definedName name="ccc" localSheetId="31">#REF!</definedName>
    <definedName name="ccc" localSheetId="33">#REF!</definedName>
    <definedName name="ccc" localSheetId="34">#REF!</definedName>
    <definedName name="ccc" localSheetId="30">#REF!</definedName>
    <definedName name="ccc" localSheetId="32">#REF!</definedName>
    <definedName name="ccc" localSheetId="35">#REF!</definedName>
    <definedName name="ccc" localSheetId="63">#REF!</definedName>
    <definedName name="ccc" localSheetId="25">#REF!</definedName>
    <definedName name="ccc" localSheetId="74">#REF!</definedName>
    <definedName name="ccc" localSheetId="44">#REF!</definedName>
    <definedName name="ccc" localSheetId="47">#REF!</definedName>
    <definedName name="ccc" localSheetId="101">#REF!</definedName>
    <definedName name="ccc" localSheetId="76">#REF!</definedName>
    <definedName name="ccc" localSheetId="86">#REF!</definedName>
    <definedName name="ccc" localSheetId="58">#REF!</definedName>
    <definedName name="ccc" localSheetId="71">#REF!</definedName>
    <definedName name="ccc" localSheetId="38">#REF!</definedName>
    <definedName name="ccc" localSheetId="40">#REF!</definedName>
    <definedName name="ccc" localSheetId="18">#REF!</definedName>
    <definedName name="ccc" localSheetId="39">#REF!</definedName>
    <definedName name="ccc" localSheetId="20">#REF!</definedName>
    <definedName name="ccc" localSheetId="11">#REF!</definedName>
    <definedName name="ccc">#REF!</definedName>
    <definedName name="class" localSheetId="21">#REF!</definedName>
    <definedName name="class" localSheetId="8">#REF!</definedName>
    <definedName name="class" localSheetId="12">#REF!</definedName>
    <definedName name="class" localSheetId="49">#REF!</definedName>
    <definedName name="class" localSheetId="50">#REF!</definedName>
    <definedName name="class" localSheetId="30">#REF!</definedName>
    <definedName name="class" localSheetId="32">#REF!</definedName>
    <definedName name="class" localSheetId="35">#REF!</definedName>
    <definedName name="class" localSheetId="74">#REF!</definedName>
    <definedName name="class" localSheetId="44">#REF!</definedName>
    <definedName name="class" localSheetId="47">#REF!</definedName>
    <definedName name="class" localSheetId="101">#REF!</definedName>
    <definedName name="class" localSheetId="76">#REF!</definedName>
    <definedName name="class" localSheetId="86">#REF!</definedName>
    <definedName name="class" localSheetId="11">#REF!</definedName>
    <definedName name="class">#REF!</definedName>
    <definedName name="_xlnm.Criteria" localSheetId="45">#REF!</definedName>
    <definedName name="_xlnm.Criteria" localSheetId="21">#REF!</definedName>
    <definedName name="_xlnm.Criteria" localSheetId="28">#REF!</definedName>
    <definedName name="_xlnm.Criteria" localSheetId="16">#REF!</definedName>
    <definedName name="_xlnm.Criteria" localSheetId="13">#REF!</definedName>
    <definedName name="_xlnm.Criteria" localSheetId="51">#REF!</definedName>
    <definedName name="_xlnm.Criteria" localSheetId="22">#REF!</definedName>
    <definedName name="_xlnm.Criteria" localSheetId="83">#REF!</definedName>
    <definedName name="_xlnm.Criteria" localSheetId="78">#REF!</definedName>
    <definedName name="_xlnm.Criteria" localSheetId="88">#REF!</definedName>
    <definedName name="_xlnm.Criteria" localSheetId="8">#REF!</definedName>
    <definedName name="_xlnm.Criteria" localSheetId="12">#REF!</definedName>
    <definedName name="_xlnm.Criteria" localSheetId="42">#REF!</definedName>
    <definedName name="_xlnm.Criteria" localSheetId="60">#REF!</definedName>
    <definedName name="_xlnm.Criteria" localSheetId="59">#REF!</definedName>
    <definedName name="_xlnm.Criteria" localSheetId="72">#REF!</definedName>
    <definedName name="_xlnm.Criteria" localSheetId="73">#REF!</definedName>
    <definedName name="_xlnm.Criteria" localSheetId="48">#REF!</definedName>
    <definedName name="_xlnm.Criteria" localSheetId="49">#REF!</definedName>
    <definedName name="_xlnm.Criteria" localSheetId="50">#REF!</definedName>
    <definedName name="_xlnm.Criteria" localSheetId="41">#REF!</definedName>
    <definedName name="_xlnm.Criteria" localSheetId="14">#REF!</definedName>
    <definedName name="_xlnm.Criteria" localSheetId="29">#REF!</definedName>
    <definedName name="_xlnm.Criteria" localSheetId="62">#REF!</definedName>
    <definedName name="_xlnm.Criteria" localSheetId="75">#REF!</definedName>
    <definedName name="_xlnm.Criteria" localSheetId="77">#REF!</definedName>
    <definedName name="_xlnm.Criteria" localSheetId="82">#REF!</definedName>
    <definedName name="_xlnm.Criteria" localSheetId="87">#REF!</definedName>
    <definedName name="_xlnm.Criteria" localSheetId="31">#REF!</definedName>
    <definedName name="_xlnm.Criteria" localSheetId="33">#REF!</definedName>
    <definedName name="_xlnm.Criteria" localSheetId="34">#REF!</definedName>
    <definedName name="_xlnm.Criteria" localSheetId="30">#REF!</definedName>
    <definedName name="_xlnm.Criteria" localSheetId="32">#REF!</definedName>
    <definedName name="_xlnm.Criteria" localSheetId="35">#REF!</definedName>
    <definedName name="_xlnm.Criteria" localSheetId="63">#REF!</definedName>
    <definedName name="_xlnm.Criteria" localSheetId="25">#REF!</definedName>
    <definedName name="_xlnm.Criteria" localSheetId="74">#REF!</definedName>
    <definedName name="_xlnm.Criteria" localSheetId="44">#REF!</definedName>
    <definedName name="_xlnm.Criteria" localSheetId="47">#REF!</definedName>
    <definedName name="_xlnm.Criteria" localSheetId="101">#REF!</definedName>
    <definedName name="_xlnm.Criteria" localSheetId="76">#REF!</definedName>
    <definedName name="_xlnm.Criteria" localSheetId="86">#REF!</definedName>
    <definedName name="_xlnm.Criteria" localSheetId="58">#REF!</definedName>
    <definedName name="_xlnm.Criteria" localSheetId="71">#REF!</definedName>
    <definedName name="_xlnm.Criteria" localSheetId="38">#REF!</definedName>
    <definedName name="_xlnm.Criteria" localSheetId="40">#REF!</definedName>
    <definedName name="_xlnm.Criteria" localSheetId="18">#REF!</definedName>
    <definedName name="_xlnm.Criteria" localSheetId="39">#REF!</definedName>
    <definedName name="_xlnm.Criteria" localSheetId="20">#REF!</definedName>
    <definedName name="_xlnm.Criteria" localSheetId="11">#REF!</definedName>
    <definedName name="_xlnm.Criteria">#REF!</definedName>
    <definedName name="DAD" localSheetId="45">#REF!</definedName>
    <definedName name="DAD" localSheetId="21">#REF!</definedName>
    <definedName name="DAD" localSheetId="13">#REF!</definedName>
    <definedName name="DAD" localSheetId="51">#REF!</definedName>
    <definedName name="DAD" localSheetId="22">#REF!</definedName>
    <definedName name="DAD" localSheetId="83">#REF!</definedName>
    <definedName name="DAD" localSheetId="78">#REF!</definedName>
    <definedName name="DAD" localSheetId="88">#REF!</definedName>
    <definedName name="DAD" localSheetId="8">#REF!</definedName>
    <definedName name="DAD" localSheetId="12">#REF!</definedName>
    <definedName name="DAD" localSheetId="42">#REF!</definedName>
    <definedName name="DAD" localSheetId="60">#REF!</definedName>
    <definedName name="DAD" localSheetId="59">#REF!</definedName>
    <definedName name="DAD" localSheetId="72">#REF!</definedName>
    <definedName name="DAD" localSheetId="73">#REF!</definedName>
    <definedName name="DAD" localSheetId="48">#REF!</definedName>
    <definedName name="DAD" localSheetId="49">#REF!</definedName>
    <definedName name="DAD" localSheetId="50">#REF!</definedName>
    <definedName name="DAD" localSheetId="41">#REF!</definedName>
    <definedName name="DAD" localSheetId="31">#REF!</definedName>
    <definedName name="DAD" localSheetId="33">#REF!</definedName>
    <definedName name="DAD" localSheetId="34">#REF!</definedName>
    <definedName name="DAD" localSheetId="30">#REF!</definedName>
    <definedName name="DAD" localSheetId="32">#REF!</definedName>
    <definedName name="DAD" localSheetId="35">#REF!</definedName>
    <definedName name="DAD" localSheetId="63">#REF!</definedName>
    <definedName name="DAD" localSheetId="74">#REF!</definedName>
    <definedName name="DAD" localSheetId="44">#REF!</definedName>
    <definedName name="DAD" localSheetId="47">#REF!</definedName>
    <definedName name="DAD" localSheetId="101">#REF!</definedName>
    <definedName name="DAD" localSheetId="76">#REF!</definedName>
    <definedName name="DAD" localSheetId="86">#REF!</definedName>
    <definedName name="DAD" localSheetId="40">#REF!</definedName>
    <definedName name="DAD" localSheetId="18">#REF!</definedName>
    <definedName name="DAD" localSheetId="39">#REF!</definedName>
    <definedName name="DAD" localSheetId="20">#REF!</definedName>
    <definedName name="DAD" localSheetId="11">#REF!</definedName>
    <definedName name="DAD">#REF!</definedName>
    <definedName name="DDDD" localSheetId="45">#REF!</definedName>
    <definedName name="DDDD" localSheetId="21">#REF!</definedName>
    <definedName name="DDDD" localSheetId="13">#REF!</definedName>
    <definedName name="DDDD" localSheetId="51">#REF!</definedName>
    <definedName name="DDDD" localSheetId="22">#REF!</definedName>
    <definedName name="DDDD" localSheetId="83">#REF!</definedName>
    <definedName name="DDDD" localSheetId="78">#REF!</definedName>
    <definedName name="DDDD" localSheetId="88">#REF!</definedName>
    <definedName name="DDDD" localSheetId="8">#REF!</definedName>
    <definedName name="DDDD" localSheetId="12">#REF!</definedName>
    <definedName name="DDDD" localSheetId="42">#REF!</definedName>
    <definedName name="DDDD" localSheetId="60">#REF!</definedName>
    <definedName name="DDDD" localSheetId="59">#REF!</definedName>
    <definedName name="DDDD" localSheetId="72">#REF!</definedName>
    <definedName name="DDDD" localSheetId="73">#REF!</definedName>
    <definedName name="DDDD" localSheetId="48">#REF!</definedName>
    <definedName name="DDDD" localSheetId="49">#REF!</definedName>
    <definedName name="DDDD" localSheetId="50">#REF!</definedName>
    <definedName name="DDDD" localSheetId="41">#REF!</definedName>
    <definedName name="DDDD" localSheetId="31">#REF!</definedName>
    <definedName name="DDDD" localSheetId="33">#REF!</definedName>
    <definedName name="DDDD" localSheetId="34">#REF!</definedName>
    <definedName name="DDDD" localSheetId="30">#REF!</definedName>
    <definedName name="DDDD" localSheetId="32">#REF!</definedName>
    <definedName name="DDDD" localSheetId="35">#REF!</definedName>
    <definedName name="DDDD" localSheetId="63">#REF!</definedName>
    <definedName name="DDDD" localSheetId="74">#REF!</definedName>
    <definedName name="DDDD" localSheetId="44">#REF!</definedName>
    <definedName name="DDDD" localSheetId="47">#REF!</definedName>
    <definedName name="DDDD" localSheetId="101">#REF!</definedName>
    <definedName name="DDDD" localSheetId="76">#REF!</definedName>
    <definedName name="DDDD" localSheetId="86">#REF!</definedName>
    <definedName name="DDDD" localSheetId="40">#REF!</definedName>
    <definedName name="DDDD" localSheetId="18">#REF!</definedName>
    <definedName name="DDDD" localSheetId="39">#REF!</definedName>
    <definedName name="DDDD" localSheetId="20">#REF!</definedName>
    <definedName name="DDDD" localSheetId="11">#REF!</definedName>
    <definedName name="DDDD">#REF!</definedName>
    <definedName name="_xlnm.Extract" localSheetId="45">#REF!</definedName>
    <definedName name="_xlnm.Extract" localSheetId="21">#REF!</definedName>
    <definedName name="_xlnm.Extract" localSheetId="28">#REF!</definedName>
    <definedName name="_xlnm.Extract" localSheetId="16">#REF!</definedName>
    <definedName name="_xlnm.Extract" localSheetId="13">#REF!</definedName>
    <definedName name="_xlnm.Extract" localSheetId="51">#REF!</definedName>
    <definedName name="_xlnm.Extract" localSheetId="22">#REF!</definedName>
    <definedName name="_xlnm.Extract" localSheetId="83">#REF!</definedName>
    <definedName name="_xlnm.Extract" localSheetId="78">#REF!</definedName>
    <definedName name="_xlnm.Extract" localSheetId="88">#REF!</definedName>
    <definedName name="_xlnm.Extract" localSheetId="8">#REF!</definedName>
    <definedName name="_xlnm.Extract" localSheetId="12">#REF!</definedName>
    <definedName name="_xlnm.Extract" localSheetId="42">#REF!</definedName>
    <definedName name="_xlnm.Extract" localSheetId="60">#REF!</definedName>
    <definedName name="_xlnm.Extract" localSheetId="59">#REF!</definedName>
    <definedName name="_xlnm.Extract" localSheetId="72">#REF!</definedName>
    <definedName name="_xlnm.Extract" localSheetId="73">#REF!</definedName>
    <definedName name="_xlnm.Extract" localSheetId="48">#REF!</definedName>
    <definedName name="_xlnm.Extract" localSheetId="49">#REF!</definedName>
    <definedName name="_xlnm.Extract" localSheetId="50">#REF!</definedName>
    <definedName name="_xlnm.Extract" localSheetId="41">#REF!</definedName>
    <definedName name="_xlnm.Extract" localSheetId="14">#REF!</definedName>
    <definedName name="_xlnm.Extract" localSheetId="29">#REF!</definedName>
    <definedName name="_xlnm.Extract" localSheetId="62">#REF!</definedName>
    <definedName name="_xlnm.Extract" localSheetId="75">#REF!</definedName>
    <definedName name="_xlnm.Extract" localSheetId="77">#REF!</definedName>
    <definedName name="_xlnm.Extract" localSheetId="82">#REF!</definedName>
    <definedName name="_xlnm.Extract" localSheetId="87">#REF!</definedName>
    <definedName name="_xlnm.Extract" localSheetId="31">#REF!</definedName>
    <definedName name="_xlnm.Extract" localSheetId="33">#REF!</definedName>
    <definedName name="_xlnm.Extract" localSheetId="34">#REF!</definedName>
    <definedName name="_xlnm.Extract" localSheetId="30">#REF!</definedName>
    <definedName name="_xlnm.Extract" localSheetId="32">#REF!</definedName>
    <definedName name="_xlnm.Extract" localSheetId="35">#REF!</definedName>
    <definedName name="_xlnm.Extract" localSheetId="63">#REF!</definedName>
    <definedName name="_xlnm.Extract" localSheetId="25">#REF!</definedName>
    <definedName name="_xlnm.Extract" localSheetId="74">#REF!</definedName>
    <definedName name="_xlnm.Extract" localSheetId="44">#REF!</definedName>
    <definedName name="_xlnm.Extract" localSheetId="47">#REF!</definedName>
    <definedName name="_xlnm.Extract" localSheetId="101">#REF!</definedName>
    <definedName name="_xlnm.Extract" localSheetId="76">#REF!</definedName>
    <definedName name="_xlnm.Extract" localSheetId="86">#REF!</definedName>
    <definedName name="_xlnm.Extract" localSheetId="58">#REF!</definedName>
    <definedName name="_xlnm.Extract" localSheetId="71">#REF!</definedName>
    <definedName name="_xlnm.Extract" localSheetId="38">#REF!</definedName>
    <definedName name="_xlnm.Extract" localSheetId="40">#REF!</definedName>
    <definedName name="_xlnm.Extract" localSheetId="18">#REF!</definedName>
    <definedName name="_xlnm.Extract" localSheetId="39">#REF!</definedName>
    <definedName name="_xlnm.Extract" localSheetId="20">#REF!</definedName>
    <definedName name="_xlnm.Extract" localSheetId="11">#REF!</definedName>
    <definedName name="_xlnm.Extract">#REF!</definedName>
    <definedName name="FaultSettingTable">'[1]Main 1'!$M$68</definedName>
    <definedName name="FF" localSheetId="21">#REF!</definedName>
    <definedName name="FF" localSheetId="8">#REF!</definedName>
    <definedName name="FF" localSheetId="12">#REF!</definedName>
    <definedName name="FF" localSheetId="48">#REF!</definedName>
    <definedName name="FF" localSheetId="49">#REF!</definedName>
    <definedName name="FF" localSheetId="50">#REF!</definedName>
    <definedName name="FF" localSheetId="31">#REF!</definedName>
    <definedName name="FF" localSheetId="33">#REF!</definedName>
    <definedName name="FF" localSheetId="34">#REF!</definedName>
    <definedName name="FF" localSheetId="30">#REF!</definedName>
    <definedName name="FF" localSheetId="32">#REF!</definedName>
    <definedName name="FF" localSheetId="35">#REF!</definedName>
    <definedName name="FF" localSheetId="74">#REF!</definedName>
    <definedName name="FF" localSheetId="44">#REF!</definedName>
    <definedName name="FF" localSheetId="47">#REF!</definedName>
    <definedName name="FF" localSheetId="101">#REF!</definedName>
    <definedName name="FF" localSheetId="76">#REF!</definedName>
    <definedName name="FF" localSheetId="86">#REF!</definedName>
    <definedName name="FF" localSheetId="20">#REF!</definedName>
    <definedName name="FF" localSheetId="11">#REF!</definedName>
    <definedName name="FF">#REF!</definedName>
    <definedName name="ffffffffffffff" localSheetId="21">#REF!</definedName>
    <definedName name="ffffffffffffff" localSheetId="8">#REF!</definedName>
    <definedName name="ffffffffffffff" localSheetId="12">#REF!</definedName>
    <definedName name="ffffffffffffff" localSheetId="49">#REF!</definedName>
    <definedName name="ffffffffffffff" localSheetId="50">#REF!</definedName>
    <definedName name="ffffffffffffff" localSheetId="30">#REF!</definedName>
    <definedName name="ffffffffffffff" localSheetId="32">#REF!</definedName>
    <definedName name="ffffffffffffff" localSheetId="35">#REF!</definedName>
    <definedName name="ffffffffffffff" localSheetId="74">#REF!</definedName>
    <definedName name="ffffffffffffff" localSheetId="44">#REF!</definedName>
    <definedName name="ffffffffffffff" localSheetId="47">#REF!</definedName>
    <definedName name="ffffffffffffff" localSheetId="101">#REF!</definedName>
    <definedName name="ffffffffffffff" localSheetId="76">#REF!</definedName>
    <definedName name="ffffffffffffff" localSheetId="86">#REF!</definedName>
    <definedName name="ffffffffffffff" localSheetId="11">#REF!</definedName>
    <definedName name="ffffffffffffff">#REF!</definedName>
    <definedName name="ggggg" localSheetId="21">#REF!</definedName>
    <definedName name="ggggg" localSheetId="8">#REF!</definedName>
    <definedName name="ggggg" localSheetId="12">#REF!</definedName>
    <definedName name="ggggg" localSheetId="49">#REF!</definedName>
    <definedName name="ggggg" localSheetId="50">#REF!</definedName>
    <definedName name="ggggg" localSheetId="30">#REF!</definedName>
    <definedName name="ggggg" localSheetId="32">#REF!</definedName>
    <definedName name="ggggg" localSheetId="35">#REF!</definedName>
    <definedName name="ggggg" localSheetId="74">#REF!</definedName>
    <definedName name="ggggg" localSheetId="44">#REF!</definedName>
    <definedName name="ggggg" localSheetId="47">#REF!</definedName>
    <definedName name="ggggg" localSheetId="101">#REF!</definedName>
    <definedName name="ggggg" localSheetId="76">#REF!</definedName>
    <definedName name="ggggg" localSheetId="86">#REF!</definedName>
    <definedName name="ggggg" localSheetId="11">#REF!</definedName>
    <definedName name="ggggg">#REF!</definedName>
    <definedName name="_xlnm.Print_Area" localSheetId="45">'(Metering + Ammeter) (2)'!$A$1:$V$178</definedName>
    <definedName name="_xlnm.Print_Area" localSheetId="93">'132KV BUS VT '!$A$1:$V$170</definedName>
    <definedName name="_xlnm.Print_Area" localSheetId="91">'132KV CABLE FEEDER VT '!$A$1:$V$168</definedName>
    <definedName name="_xlnm.Print_Area" localSheetId="53">'5 (4)'!$A$1:$V$44</definedName>
    <definedName name="_xlnm.Print_Area" localSheetId="43">'5 (7)'!$A$1:$V$44</definedName>
    <definedName name="_xlnm.Print_Area" localSheetId="46">'5 (8)'!$A$1:$V$44</definedName>
    <definedName name="_xlnm.Print_Area" localSheetId="10">'7SJ85 IED TEMPLATE'!$A$1:$V$373</definedName>
    <definedName name="_xlnm.Print_Area" localSheetId="21">'7UT85'!$A$1:$V$662</definedName>
    <definedName name="_xlnm.Print_Area" localSheetId="7">'BAY1'!$A$1:$V$45</definedName>
    <definedName name="_xlnm.Print_Area" localSheetId="19">'BAY2'!$A$1:$V$44</definedName>
    <definedName name="_xlnm.Print_Area" localSheetId="36">'BAY3'!$A$1:$V$44</definedName>
    <definedName name="_xlnm.Print_Area" localSheetId="64">'BAY4'!$A$1:$V$45</definedName>
    <definedName name="_xlnm.Print_Area" localSheetId="79">'BAY5'!$A$1:$V$45</definedName>
    <definedName name="_xlnm.Print_Area" localSheetId="28">'BBP 743(2)'!$A$1:$V$301</definedName>
    <definedName name="_xlnm.Print_Area" localSheetId="27">'BBP FU1 - REB500 (2)'!$A$1:$V$298</definedName>
    <definedName name="_xlnm.Print_Area" localSheetId="57">'BBP FU1 - REB500 (3)'!$A$1:$V$331</definedName>
    <definedName name="_xlnm.Print_Area" localSheetId="70">'BBP FU1 - REB500 (4)'!$A$1:$V$298</definedName>
    <definedName name="_xlnm.Print_Area" localSheetId="16">'BBP P743(1)'!$A$1:$V$304</definedName>
    <definedName name="_xlnm.Print_Area" localSheetId="13">'BCU+AMMETER'!$A$1:$V$174</definedName>
    <definedName name="_xlnm.Print_Area" localSheetId="51">'BCU+AMMETER (2)'!$A$1:$V$174</definedName>
    <definedName name="_xlnm.Print_Area" localSheetId="17">'BCU+OC-5P SEL751+7SJ85 (2)'!$A$1:$V$172</definedName>
    <definedName name="_xlnm.Print_Area" localSheetId="22">'BCU+PQM+AMMETER'!$A$1:$V$175</definedName>
    <definedName name="_xlnm.Print_Area" localSheetId="83">'BCU+PQM+AMMETER '!$A$1:$V$175</definedName>
    <definedName name="_xlnm.Print_Area" localSheetId="78">'BCU+PQM+AMMETER (2)'!$A$1:$V$175</definedName>
    <definedName name="_xlnm.Print_Area" localSheetId="88">'BCU+PQM+AMMETER (3)'!$A$1:$V$175</definedName>
    <definedName name="_xlnm.Print_Area" localSheetId="8">'BUP BCU'!$A$1:$V$134</definedName>
    <definedName name="_xlnm.Print_Area" localSheetId="15">'BUP BCU(1)'!$A$1:$V$131</definedName>
    <definedName name="_xlnm.Print_Area" localSheetId="26">'BUP BCU(2)'!$A$1:$V$128</definedName>
    <definedName name="_xlnm.Print_Area" localSheetId="55">'BUP BCU(3)'!$A$1:$V$307</definedName>
    <definedName name="_xlnm.Print_Area" localSheetId="69">'BUP BCU(4)'!$A$1:$V$299</definedName>
    <definedName name="_xlnm.Print_Area" localSheetId="98">'Bus VT (2)'!$A$1:$V$169</definedName>
    <definedName name="_xlnm.Print_Area" localSheetId="99">'Bus VT (3)'!$A$1:$V$172</definedName>
    <definedName name="_xlnm.Print_Area" localSheetId="12">'CABLE MAIN-2'!$A$1:$V$457</definedName>
    <definedName name="_xlnm.Print_Area" localSheetId="42">'Check Tariff Meter + Ammeters'!$A$1:$V$178</definedName>
    <definedName name="_xlnm.Print_Area" localSheetId="60">'COP CHECK'!$A$1:$V$89</definedName>
    <definedName name="_xlnm.Print_Area" localSheetId="59">'COP MAIN'!$A$1:$V$89</definedName>
    <definedName name="_xlnm.Print_Area" localSheetId="72">'CS1'!$A$1:$V$178</definedName>
    <definedName name="_xlnm.Print_Area" localSheetId="73">'CS2'!$A$1:$V$178</definedName>
    <definedName name="_xlnm.Print_Area" localSheetId="4">'CT-VT Burdens'!$A$1:$V$189</definedName>
    <definedName name="_xlnm.Print_Area" localSheetId="3">'CT-VT Data landscape'!$A$1:$X$288</definedName>
    <definedName name="_xlnm.Print_Area" localSheetId="95">FEEDER!$A$1:$V$166</definedName>
    <definedName name="_xlnm.Print_Area" localSheetId="56">'GIB - REF650'!$A$1:$V$126</definedName>
    <definedName name="_xlnm.Print_Area" localSheetId="61">'GIB - REF650 (2)'!$A$1:$V$126</definedName>
    <definedName name="_xlnm.Print_Area" localSheetId="24">'HVC1 - REF650'!$A$1:$V$300</definedName>
    <definedName name="_xlnm.Print_Area" localSheetId="48">'IBT MAIN-1 Diff'!$A$1:$V$880</definedName>
    <definedName name="_xlnm.Print_Area" localSheetId="49">'IBT MAIN-2 Diff'!$A$1:$V$735</definedName>
    <definedName name="_xlnm.Print_Area" localSheetId="50">'IBT MAIN-2 FMS+DOC DEF '!$A$1:$V$581</definedName>
    <definedName name="_xlnm.Print_Area" localSheetId="37">'IFP1-RED670'!$A$1:$V$464</definedName>
    <definedName name="_xlnm.Print_Area" localSheetId="65">'IFP1-RED670 (2)'!$A$1:$V$464</definedName>
    <definedName name="_xlnm.Print_Area" localSheetId="54">'IFP2 P545 (3)'!$A$1:$V$162</definedName>
    <definedName name="_xlnm.Print_Area" localSheetId="66">'IFP2 P545 (4)'!$A$1:$V$419</definedName>
    <definedName name="_xlnm.Print_Area" localSheetId="1">INDEX!$A$1:$V$51</definedName>
    <definedName name="_xlnm.Print_Area" localSheetId="41">'Main Tariff Meter '!$A$1:$V$178</definedName>
    <definedName name="_xlnm.Print_Area" localSheetId="14">'MAIN-1 BBP'!$A$1:$V$293</definedName>
    <definedName name="_xlnm.Print_Area" localSheetId="29">'MAIN-1 BBP (2)'!$A$1:$V$293</definedName>
    <definedName name="_xlnm.Print_Area" localSheetId="62">'MAIN-1 BBP (3)'!$A$1:$V$293</definedName>
    <definedName name="_xlnm.Print_Area" localSheetId="75">'MAIN-1 BBP (4)'!$A$1:$V$293</definedName>
    <definedName name="_xlnm.Print_Area" localSheetId="77">'MAIN-1 BBP (5)'!$A$1:$V$293</definedName>
    <definedName name="_xlnm.Print_Area" localSheetId="82">'MAIN-1 BBP (6)'!$A$1:$V$293</definedName>
    <definedName name="_xlnm.Print_Area" localSheetId="87">'MAIN-1 BBP (7)'!$A$1:$V$293</definedName>
    <definedName name="_xlnm.Print_Area" localSheetId="84">'MAIN-1 BBP+BFP'!$A$1:$V$297</definedName>
    <definedName name="_xlnm.Print_Area" localSheetId="85">'MAIN-1 BBP+BFP (2)'!$A$1:$V$297</definedName>
    <definedName name="_xlnm.Print_Area" localSheetId="31">'MAIN-1 HV REF+SBEF'!$A$1:$V$880</definedName>
    <definedName name="_xlnm.Print_Area" localSheetId="33">'MAIN-1 HV REF+SBEF (2)'!$A$1:$V$880</definedName>
    <definedName name="_xlnm.Print_Area" localSheetId="34">'MAIN-1 TEF'!$A$1:$V$880</definedName>
    <definedName name="_xlnm.Print_Area" localSheetId="23">'MAIN-2 BBP (2)'!$A$1:$V$301</definedName>
    <definedName name="_xlnm.Print_Area" localSheetId="52">'MAIN-2 BBP (3)'!$A$1:$V$299</definedName>
    <definedName name="_xlnm.Print_Area" localSheetId="67">'MAIN-2 BBP (4)'!$A$1:$V$299</definedName>
    <definedName name="_xlnm.Print_Area" localSheetId="68">'MAIN-2 BBP (5)'!$A$1:$V$299</definedName>
    <definedName name="_xlnm.Print_Area" localSheetId="80">'MAIN-2 BBP (6)'!$A$1:$V$299</definedName>
    <definedName name="_xlnm.Print_Area" localSheetId="81">'MAIN-2 BBP (7)'!$A$1:$V$299</definedName>
    <definedName name="_xlnm.Print_Area" localSheetId="30">'MAIN-2 HV REF+SBEF'!$A$1:$V$735</definedName>
    <definedName name="_xlnm.Print_Area" localSheetId="32">'MAIN-2 HV REF+SBEF (2)'!$A$1:$V$507</definedName>
    <definedName name="_xlnm.Print_Area" localSheetId="35">'MAIN-2 TEF'!$A$1:$V$661</definedName>
    <definedName name="_xlnm.Print_Area" localSheetId="63">'METERING+BCU+PQM(4)'!$A$1:$V$176</definedName>
    <definedName name="_xlnm.Print_Area" localSheetId="25">'MFAC+MVTP'!$A$1:$V$87</definedName>
    <definedName name="_xlnm.Print_Area" localSheetId="2">'Notes Or Assumptions'!$A$1:$V$46</definedName>
    <definedName name="_xlnm.Print_Area" localSheetId="74">'OC+BCPU+FMS-X (2)'!$A$1:$V$322</definedName>
    <definedName name="_xlnm.Print_Area" localSheetId="44">'OC+BCPU+FMS-X (3)'!$A$1:$V$322</definedName>
    <definedName name="_xlnm.Print_Area" localSheetId="47">'OC+BCPU+FMS-X (4)'!$A$1:$V$322</definedName>
    <definedName name="_xlnm.Print_Area" localSheetId="101">'OC+FMS+BFR-X (BS)'!$A$1:$V$308</definedName>
    <definedName name="_xlnm.Print_Area" localSheetId="76">'OC-EF+FMS'!$A$1:$V$591</definedName>
    <definedName name="_xlnm.Print_Area" localSheetId="86">'OC-EF+FMS (2)'!$A$1:$V$581</definedName>
    <definedName name="_xlnm.Print_Area" localSheetId="100">'P54x-X-3'!$A$1:$V$390</definedName>
    <definedName name="_xlnm.Print_Area" localSheetId="58">'P74X-X (3)'!$A$1:$V$308</definedName>
    <definedName name="_xlnm.Print_Area" localSheetId="71">'P74X-X (4)'!$A$1:$V$302</definedName>
    <definedName name="_xlnm.Print_Area" localSheetId="6">'Parameters &amp; Fault Cal. (4)'!$A$1:$V$178</definedName>
    <definedName name="_xlnm.Print_Area" localSheetId="9">'RED670 IED TEMPLATE'!$A$1:$V$662</definedName>
    <definedName name="_xlnm.Print_Area" localSheetId="38">'SEL487E-X'!$A$1:$V$611</definedName>
    <definedName name="_xlnm.Print_Area" localSheetId="97">SGT!$A$1:$V$177</definedName>
    <definedName name="_xlnm.Print_Area" localSheetId="40">'Tariff Check-0.2FS  (2)'!$A$1:$V$179</definedName>
    <definedName name="_xlnm.Print_Area" localSheetId="18">'Tariff Check-0.2FS  (3)'!$A$1:$V$179</definedName>
    <definedName name="_xlnm.Print_Area" localSheetId="39">'Tariff Main-0.2FS '!$A$1:$V$179</definedName>
    <definedName name="_xlnm.Print_Area" localSheetId="0">Title!$A$1:$V$46</definedName>
    <definedName name="_xlnm.Print_Area" localSheetId="20">'TR. MAIN-1 MF '!$A$1:$V$1078</definedName>
    <definedName name="_xlnm.Print_Area" localSheetId="11">'TR. MAIN-2 MF '!$A$1:$V$735</definedName>
    <definedName name="_xlnm.Print_Area" localSheetId="94">'VT BAY2'!$A$1:$V$45</definedName>
    <definedName name="_xlnm.Print_Area" localSheetId="96">'VT BAY3'!$A$1:$V$44</definedName>
    <definedName name="_xlnm.Print_Area" localSheetId="92">'VT BUS  '!$A$1:$V$44</definedName>
    <definedName name="_xlnm.Print_Area" localSheetId="90">'VT CABLE FEEDERS'!$A$1:$V$44</definedName>
    <definedName name="_xlnm.Print_Titles" localSheetId="45">'(Metering + Ammeter) (2)'!$1:$5</definedName>
    <definedName name="_xlnm.Print_Titles" localSheetId="93">'132KV BUS VT '!$1:$5</definedName>
    <definedName name="_xlnm.Print_Titles" localSheetId="91">'132KV CABLE FEEDER VT '!$1:$5</definedName>
    <definedName name="_xlnm.Print_Titles" localSheetId="10">'7SJ85 IED TEMPLATE'!$1:$5</definedName>
    <definedName name="_xlnm.Print_Titles" localSheetId="21">'7UT85'!$1:$5</definedName>
    <definedName name="_xlnm.Print_Titles" localSheetId="28">'BBP 743(2)'!$1:$5</definedName>
    <definedName name="_xlnm.Print_Titles" localSheetId="27">'BBP FU1 - REB500 (2)'!$1:$5</definedName>
    <definedName name="_xlnm.Print_Titles" localSheetId="57">'BBP FU1 - REB500 (3)'!$1:$5</definedName>
    <definedName name="_xlnm.Print_Titles" localSheetId="70">'BBP FU1 - REB500 (4)'!$1:$5</definedName>
    <definedName name="_xlnm.Print_Titles" localSheetId="16">'BBP P743(1)'!$1:$5</definedName>
    <definedName name="_xlnm.Print_Titles" localSheetId="13">'BCU+AMMETER'!$1:$5</definedName>
    <definedName name="_xlnm.Print_Titles" localSheetId="51">'BCU+AMMETER (2)'!$1:$5</definedName>
    <definedName name="_xlnm.Print_Titles" localSheetId="17">'BCU+OC-5P SEL751+7SJ85 (2)'!$1:$5</definedName>
    <definedName name="_xlnm.Print_Titles" localSheetId="22">'BCU+PQM+AMMETER'!$1:$5</definedName>
    <definedName name="_xlnm.Print_Titles" localSheetId="83">'BCU+PQM+AMMETER '!$1:$5</definedName>
    <definedName name="_xlnm.Print_Titles" localSheetId="78">'BCU+PQM+AMMETER (2)'!$1:$5</definedName>
    <definedName name="_xlnm.Print_Titles" localSheetId="88">'BCU+PQM+AMMETER (3)'!$1:$5</definedName>
    <definedName name="_xlnm.Print_Titles" localSheetId="8">'BUP BCU'!$1:$5</definedName>
    <definedName name="_xlnm.Print_Titles" localSheetId="15">'BUP BCU(1)'!$1:$5</definedName>
    <definedName name="_xlnm.Print_Titles" localSheetId="26">'BUP BCU(2)'!$1:$5</definedName>
    <definedName name="_xlnm.Print_Titles" localSheetId="55">'BUP BCU(3)'!$1:$5</definedName>
    <definedName name="_xlnm.Print_Titles" localSheetId="69">'BUP BCU(4)'!$1:$5</definedName>
    <definedName name="_xlnm.Print_Titles" localSheetId="98">'Bus VT (2)'!$1:$5</definedName>
    <definedName name="_xlnm.Print_Titles" localSheetId="99">'Bus VT (3)'!$1:$5</definedName>
    <definedName name="_xlnm.Print_Titles" localSheetId="12">'CABLE MAIN-2'!$1:$5</definedName>
    <definedName name="_xlnm.Print_Titles" localSheetId="42">'Check Tariff Meter + Ammeters'!$1:$5</definedName>
    <definedName name="_xlnm.Print_Titles" localSheetId="60">'COP CHECK'!$1:$5</definedName>
    <definedName name="_xlnm.Print_Titles" localSheetId="59">'COP MAIN'!$1:$5</definedName>
    <definedName name="_xlnm.Print_Titles" localSheetId="72">'CS1'!$1:$5</definedName>
    <definedName name="_xlnm.Print_Titles" localSheetId="73">'CS2'!$1:$5</definedName>
    <definedName name="_xlnm.Print_Titles" localSheetId="4">'CT-VT Burdens'!$1:$5</definedName>
    <definedName name="_xlnm.Print_Titles" localSheetId="3">'CT-VT Data landscape'!$1:$5</definedName>
    <definedName name="_xlnm.Print_Titles" localSheetId="95">FEEDER!$1:$5</definedName>
    <definedName name="_xlnm.Print_Titles" localSheetId="56">'GIB - REF650'!$1:$5</definedName>
    <definedName name="_xlnm.Print_Titles" localSheetId="61">'GIB - REF650 (2)'!$1:$5</definedName>
    <definedName name="_xlnm.Print_Titles" localSheetId="24">'HVC1 - REF650'!$1:$5</definedName>
    <definedName name="_xlnm.Print_Titles" localSheetId="48">'IBT MAIN-1 Diff'!$1:$5</definedName>
    <definedName name="_xlnm.Print_Titles" localSheetId="49">'IBT MAIN-2 Diff'!$1:$5</definedName>
    <definedName name="_xlnm.Print_Titles" localSheetId="50">'IBT MAIN-2 FMS+DOC DEF '!$1:$5</definedName>
    <definedName name="_xlnm.Print_Titles" localSheetId="37">'IFP1-RED670'!$1:$5</definedName>
    <definedName name="_xlnm.Print_Titles" localSheetId="65">'IFP1-RED670 (2)'!$1:$5</definedName>
    <definedName name="_xlnm.Print_Titles" localSheetId="54">'IFP2 P545 (3)'!$1:$5</definedName>
    <definedName name="_xlnm.Print_Titles" localSheetId="66">'IFP2 P545 (4)'!$1:$5</definedName>
    <definedName name="_xlnm.Print_Titles" localSheetId="41">'Main Tariff Meter '!$1:$5</definedName>
    <definedName name="_xlnm.Print_Titles" localSheetId="14">'MAIN-1 BBP'!$1:$5</definedName>
    <definedName name="_xlnm.Print_Titles" localSheetId="29">'MAIN-1 BBP (2)'!$1:$5</definedName>
    <definedName name="_xlnm.Print_Titles" localSheetId="62">'MAIN-1 BBP (3)'!$1:$5</definedName>
    <definedName name="_xlnm.Print_Titles" localSheetId="75">'MAIN-1 BBP (4)'!$1:$5</definedName>
    <definedName name="_xlnm.Print_Titles" localSheetId="77">'MAIN-1 BBP (5)'!$1:$5</definedName>
    <definedName name="_xlnm.Print_Titles" localSheetId="82">'MAIN-1 BBP (6)'!$1:$5</definedName>
    <definedName name="_xlnm.Print_Titles" localSheetId="87">'MAIN-1 BBP (7)'!$1:$5</definedName>
    <definedName name="_xlnm.Print_Titles" localSheetId="84">'MAIN-1 BBP+BFP'!$1:$5</definedName>
    <definedName name="_xlnm.Print_Titles" localSheetId="85">'MAIN-1 BBP+BFP (2)'!$1:$5</definedName>
    <definedName name="_xlnm.Print_Titles" localSheetId="31">'MAIN-1 HV REF+SBEF'!$1:$5</definedName>
    <definedName name="_xlnm.Print_Titles" localSheetId="33">'MAIN-1 HV REF+SBEF (2)'!$1:$5</definedName>
    <definedName name="_xlnm.Print_Titles" localSheetId="34">'MAIN-1 TEF'!$1:$5</definedName>
    <definedName name="_xlnm.Print_Titles" localSheetId="23">'MAIN-2 BBP (2)'!$1:$5</definedName>
    <definedName name="_xlnm.Print_Titles" localSheetId="52">'MAIN-2 BBP (3)'!$1:$5</definedName>
    <definedName name="_xlnm.Print_Titles" localSheetId="67">'MAIN-2 BBP (4)'!$1:$5</definedName>
    <definedName name="_xlnm.Print_Titles" localSheetId="68">'MAIN-2 BBP (5)'!$1:$5</definedName>
    <definedName name="_xlnm.Print_Titles" localSheetId="80">'MAIN-2 BBP (6)'!$1:$5</definedName>
    <definedName name="_xlnm.Print_Titles" localSheetId="81">'MAIN-2 BBP (7)'!$1:$5</definedName>
    <definedName name="_xlnm.Print_Titles" localSheetId="30">'MAIN-2 HV REF+SBEF'!$1:$5</definedName>
    <definedName name="_xlnm.Print_Titles" localSheetId="32">'MAIN-2 HV REF+SBEF (2)'!$1:$5</definedName>
    <definedName name="_xlnm.Print_Titles" localSheetId="35">'MAIN-2 TEF'!$1:$5</definedName>
    <definedName name="_xlnm.Print_Titles" localSheetId="63">'METERING+BCU+PQM(4)'!$1:$5</definedName>
    <definedName name="_xlnm.Print_Titles" localSheetId="25">'MFAC+MVTP'!$1:$5</definedName>
    <definedName name="_xlnm.Print_Titles" localSheetId="74">'OC+BCPU+FMS-X (2)'!$1:$5</definedName>
    <definedName name="_xlnm.Print_Titles" localSheetId="44">'OC+BCPU+FMS-X (3)'!$1:$5</definedName>
    <definedName name="_xlnm.Print_Titles" localSheetId="47">'OC+BCPU+FMS-X (4)'!$1:$5</definedName>
    <definedName name="_xlnm.Print_Titles" localSheetId="76">'OC-EF+FMS'!$1:$5</definedName>
    <definedName name="_xlnm.Print_Titles" localSheetId="86">'OC-EF+FMS (2)'!$1:$5</definedName>
    <definedName name="_xlnm.Print_Titles" localSheetId="100">'P54x-X-3'!$1:$5</definedName>
    <definedName name="_xlnm.Print_Titles" localSheetId="71">'P74X-X (4)'!$1:$5</definedName>
    <definedName name="_xlnm.Print_Titles" localSheetId="6">'Parameters &amp; Fault Cal. (4)'!$1:$5</definedName>
    <definedName name="_xlnm.Print_Titles" localSheetId="9">'RED670 IED TEMPLATE'!$1:$5</definedName>
    <definedName name="_xlnm.Print_Titles" localSheetId="38">'SEL487E-X'!$1:$5</definedName>
    <definedName name="_xlnm.Print_Titles" localSheetId="97">SGT!$1:$5</definedName>
    <definedName name="_xlnm.Print_Titles" localSheetId="40">'Tariff Check-0.2FS  (2)'!$1:$5</definedName>
    <definedName name="_xlnm.Print_Titles" localSheetId="18">'Tariff Check-0.2FS  (3)'!$1:$5</definedName>
    <definedName name="_xlnm.Print_Titles" localSheetId="39">'Tariff Main-0.2FS '!$1:$5</definedName>
    <definedName name="_xlnm.Print_Titles" localSheetId="20">'TR. MAIN-1 MF '!$1:$5</definedName>
    <definedName name="_xlnm.Print_Titles" localSheetId="11">'TR. MAIN-2 MF '!$1:$5</definedName>
    <definedName name="q" localSheetId="21">#REF!</definedName>
    <definedName name="q" localSheetId="8">#REF!</definedName>
    <definedName name="q" localSheetId="12">#REF!</definedName>
    <definedName name="q" localSheetId="49">#REF!</definedName>
    <definedName name="q" localSheetId="50">#REF!</definedName>
    <definedName name="q" localSheetId="30">#REF!</definedName>
    <definedName name="q" localSheetId="32">#REF!</definedName>
    <definedName name="q" localSheetId="35">#REF!</definedName>
    <definedName name="q" localSheetId="74">#REF!</definedName>
    <definedName name="q" localSheetId="44">#REF!</definedName>
    <definedName name="q" localSheetId="47">#REF!</definedName>
    <definedName name="q" localSheetId="101">#REF!</definedName>
    <definedName name="q" localSheetId="76">#REF!</definedName>
    <definedName name="q" localSheetId="86">#REF!</definedName>
    <definedName name="q" localSheetId="11">#REF!</definedName>
    <definedName name="q">#REF!</definedName>
    <definedName name="ResistorTable">'[1]Main 1'!$M$61</definedName>
    <definedName name="TapTable">'[1]Main 1'!$M$51</definedName>
    <definedName name="V" localSheetId="21">#REF!</definedName>
    <definedName name="V" localSheetId="8">#REF!</definedName>
    <definedName name="V" localSheetId="12">#REF!</definedName>
    <definedName name="V" localSheetId="48">#REF!</definedName>
    <definedName name="V" localSheetId="49">#REF!</definedName>
    <definedName name="V" localSheetId="50">#REF!</definedName>
    <definedName name="V" localSheetId="31">#REF!</definedName>
    <definedName name="V" localSheetId="33">#REF!</definedName>
    <definedName name="V" localSheetId="34">#REF!</definedName>
    <definedName name="V" localSheetId="30">#REF!</definedName>
    <definedName name="V" localSheetId="32">#REF!</definedName>
    <definedName name="V" localSheetId="35">#REF!</definedName>
    <definedName name="V" localSheetId="74">#REF!</definedName>
    <definedName name="V" localSheetId="44">#REF!</definedName>
    <definedName name="V" localSheetId="47">#REF!</definedName>
    <definedName name="V" localSheetId="101">#REF!</definedName>
    <definedName name="V" localSheetId="76">#REF!</definedName>
    <definedName name="V" localSheetId="86">#REF!</definedName>
    <definedName name="V" localSheetId="20">#REF!</definedName>
    <definedName name="V" localSheetId="11">#REF!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2" i="14" l="1"/>
  <c r="Q629" i="14" l="1"/>
  <c r="Q194" i="8" l="1"/>
  <c r="Q189" i="8"/>
  <c r="P188" i="8"/>
  <c r="Q174" i="8"/>
  <c r="Q168" i="8"/>
  <c r="P167" i="8"/>
  <c r="Q156" i="8"/>
  <c r="Q146" i="8"/>
  <c r="P145" i="8"/>
  <c r="M145" i="8"/>
  <c r="Q129" i="8"/>
  <c r="Q122" i="8"/>
  <c r="P121" i="8"/>
  <c r="M121" i="8"/>
  <c r="Q108" i="8"/>
  <c r="Q107" i="8"/>
  <c r="Q110" i="8" s="1"/>
  <c r="Q89" i="8"/>
  <c r="Q88" i="8"/>
  <c r="Q91" i="8" s="1"/>
  <c r="Q80" i="8"/>
  <c r="M188" i="8" s="1"/>
  <c r="Q78" i="8"/>
  <c r="L73" i="8"/>
  <c r="O72" i="8"/>
  <c r="O74" i="8" s="1"/>
  <c r="L72" i="8"/>
  <c r="L74" i="8" s="1"/>
  <c r="O71" i="8"/>
  <c r="O73" i="8" s="1"/>
  <c r="L71" i="8"/>
  <c r="S33" i="8"/>
  <c r="S34" i="8" s="1"/>
  <c r="S35" i="8" s="1"/>
  <c r="S19" i="8"/>
  <c r="S17" i="8"/>
  <c r="AM194" i="8"/>
  <c r="AM189" i="8"/>
  <c r="AL188" i="8"/>
  <c r="AM174" i="8"/>
  <c r="AM168" i="8"/>
  <c r="AL167" i="8"/>
  <c r="AM156" i="8"/>
  <c r="AM146" i="8"/>
  <c r="AL145" i="8"/>
  <c r="AM129" i="8"/>
  <c r="AM122" i="8"/>
  <c r="AL121" i="8"/>
  <c r="AM108" i="8"/>
  <c r="AM107" i="8"/>
  <c r="AM89" i="8"/>
  <c r="AM88" i="8"/>
  <c r="AM91" i="8" s="1"/>
  <c r="AM80" i="8"/>
  <c r="AI167" i="8" s="1"/>
  <c r="AM78" i="8"/>
  <c r="AK72" i="8"/>
  <c r="AK74" i="8" s="1"/>
  <c r="AH72" i="8"/>
  <c r="AH74" i="8" s="1"/>
  <c r="AK71" i="8"/>
  <c r="AK73" i="8" s="1"/>
  <c r="AH71" i="8"/>
  <c r="AH73" i="8" s="1"/>
  <c r="AO33" i="8"/>
  <c r="AO34" i="8" s="1"/>
  <c r="AO35" i="8" s="1"/>
  <c r="AO19" i="8"/>
  <c r="AO17" i="8"/>
  <c r="Q199" i="14"/>
  <c r="Q194" i="14"/>
  <c r="P193" i="14"/>
  <c r="Q176" i="14"/>
  <c r="Q170" i="14"/>
  <c r="P169" i="14"/>
  <c r="Q158" i="14"/>
  <c r="Q148" i="14"/>
  <c r="P147" i="14"/>
  <c r="Q131" i="14"/>
  <c r="Q124" i="14"/>
  <c r="P123" i="14"/>
  <c r="Q109" i="14"/>
  <c r="Q108" i="14"/>
  <c r="Q90" i="14"/>
  <c r="Q89" i="14"/>
  <c r="Q91" i="14" s="1"/>
  <c r="Q81" i="14"/>
  <c r="Q79" i="14"/>
  <c r="O73" i="14"/>
  <c r="O75" i="14" s="1"/>
  <c r="R181" i="14" s="1"/>
  <c r="L73" i="14"/>
  <c r="L75" i="14" s="1"/>
  <c r="O72" i="14"/>
  <c r="O74" i="14" s="1"/>
  <c r="L72" i="14"/>
  <c r="L74" i="14" s="1"/>
  <c r="S34" i="14"/>
  <c r="S35" i="14" s="1"/>
  <c r="S36" i="14" s="1"/>
  <c r="S20" i="14"/>
  <c r="S18" i="14"/>
  <c r="M193" i="14" l="1"/>
  <c r="O151" i="14"/>
  <c r="P114" i="8"/>
  <c r="R161" i="8"/>
  <c r="P99" i="8"/>
  <c r="J100" i="8" s="1"/>
  <c r="O179" i="8"/>
  <c r="M135" i="8"/>
  <c r="P135" i="8"/>
  <c r="R179" i="8"/>
  <c r="AM110" i="8"/>
  <c r="AI121" i="8"/>
  <c r="E84" i="8"/>
  <c r="AI145" i="8"/>
  <c r="M167" i="8"/>
  <c r="M114" i="8"/>
  <c r="O161" i="8"/>
  <c r="AL99" i="8"/>
  <c r="AF100" i="8" s="1"/>
  <c r="AK161" i="8"/>
  <c r="AI114" i="8"/>
  <c r="AN161" i="8"/>
  <c r="AL114" i="8"/>
  <c r="AI135" i="8"/>
  <c r="AK179" i="8"/>
  <c r="AL135" i="8"/>
  <c r="AN179" i="8"/>
  <c r="AA84" i="8"/>
  <c r="AI188" i="8"/>
  <c r="Q111" i="14"/>
  <c r="E85" i="14"/>
  <c r="M123" i="14"/>
  <c r="M147" i="14"/>
  <c r="M169" i="14"/>
  <c r="M137" i="14"/>
  <c r="O181" i="14"/>
  <c r="P137" i="14"/>
  <c r="O163" i="14"/>
  <c r="M115" i="14"/>
  <c r="P100" i="14"/>
  <c r="J101" i="14" s="1"/>
  <c r="R163" i="14"/>
  <c r="P115" i="14"/>
  <c r="AT16" i="8"/>
  <c r="Q200" i="6"/>
  <c r="Q191" i="6"/>
  <c r="P190" i="6"/>
  <c r="Q176" i="6"/>
  <c r="Q167" i="6"/>
  <c r="P166" i="6"/>
  <c r="Q157" i="6"/>
  <c r="Q147" i="6"/>
  <c r="P146" i="6"/>
  <c r="Q132" i="6"/>
  <c r="Q125" i="6"/>
  <c r="P124" i="6"/>
  <c r="Q114" i="6"/>
  <c r="Q113" i="6"/>
  <c r="Q115" i="6" s="1"/>
  <c r="Q96" i="6"/>
  <c r="Q95" i="6"/>
  <c r="Q98" i="6" s="1"/>
  <c r="Q99" i="6" s="1"/>
  <c r="I93" i="6"/>
  <c r="Q90" i="6"/>
  <c r="Q89" i="6"/>
  <c r="Q88" i="6"/>
  <c r="Q93" i="6" s="1"/>
  <c r="Q85" i="6"/>
  <c r="O82" i="6"/>
  <c r="P137" i="6" s="1"/>
  <c r="L82" i="6"/>
  <c r="M137" i="6" s="1"/>
  <c r="O81" i="6"/>
  <c r="P119" i="6" s="1"/>
  <c r="O80" i="6"/>
  <c r="L80" i="6"/>
  <c r="O79" i="6"/>
  <c r="L79" i="6"/>
  <c r="L81" i="6" s="1"/>
  <c r="S32" i="6"/>
  <c r="S33" i="6" s="1"/>
  <c r="S13" i="6"/>
  <c r="S14" i="6" s="1"/>
  <c r="D216" i="6"/>
  <c r="J216" i="6"/>
  <c r="J352" i="6" s="1"/>
  <c r="D217" i="6"/>
  <c r="D218" i="6"/>
  <c r="J219" i="6"/>
  <c r="J355" i="6" s="1"/>
  <c r="R219" i="6"/>
  <c r="T219" i="6"/>
  <c r="J220" i="6"/>
  <c r="P219" i="6" s="1"/>
  <c r="P220" i="6" s="1"/>
  <c r="R269" i="6" s="1"/>
  <c r="J228" i="6"/>
  <c r="Q228" i="6"/>
  <c r="J229" i="6"/>
  <c r="O234" i="6" s="1"/>
  <c r="O235" i="6" s="1"/>
  <c r="R262" i="6" s="1"/>
  <c r="F277" i="6" s="1"/>
  <c r="R233" i="6"/>
  <c r="R234" i="6"/>
  <c r="R260" i="6"/>
  <c r="R264" i="6"/>
  <c r="F295" i="6" s="1"/>
  <c r="R266" i="6"/>
  <c r="I295" i="6" s="1"/>
  <c r="R267" i="6"/>
  <c r="S278" i="6" s="1"/>
  <c r="R268" i="6"/>
  <c r="M295" i="6" s="1"/>
  <c r="I272" i="6"/>
  <c r="M272" i="6"/>
  <c r="I273" i="6"/>
  <c r="Q273" i="6"/>
  <c r="S273" i="6"/>
  <c r="I277" i="6"/>
  <c r="M277" i="6"/>
  <c r="I278" i="6"/>
  <c r="Q278" i="6"/>
  <c r="I296" i="6"/>
  <c r="H298" i="6"/>
  <c r="M300" i="6"/>
  <c r="T306" i="6"/>
  <c r="E310" i="6"/>
  <c r="B341" i="6"/>
  <c r="D341" i="6"/>
  <c r="H341" i="6"/>
  <c r="T341" i="6"/>
  <c r="D352" i="6" s="1"/>
  <c r="B342" i="6"/>
  <c r="T342" i="6"/>
  <c r="D353" i="6" s="1"/>
  <c r="T343" i="6"/>
  <c r="D354" i="6" s="1"/>
  <c r="H344" i="6"/>
  <c r="J344" i="6"/>
  <c r="L344" i="6"/>
  <c r="O344" i="6"/>
  <c r="J353" i="6"/>
  <c r="J354" i="6"/>
  <c r="R355" i="6"/>
  <c r="T355" i="6"/>
  <c r="P360" i="6"/>
  <c r="P361" i="6"/>
  <c r="J364" i="6"/>
  <c r="Q364" i="6"/>
  <c r="J365" i="6"/>
  <c r="O370" i="6"/>
  <c r="O371" i="6"/>
  <c r="M393" i="6"/>
  <c r="R396" i="6"/>
  <c r="R397" i="6"/>
  <c r="R398" i="6"/>
  <c r="Q203" i="8"/>
  <c r="Q198" i="8"/>
  <c r="Q200" i="88"/>
  <c r="Q191" i="88"/>
  <c r="P190" i="88"/>
  <c r="Q176" i="88"/>
  <c r="Q167" i="88"/>
  <c r="P166" i="88"/>
  <c r="Q157" i="88"/>
  <c r="Q147" i="88"/>
  <c r="P146" i="88"/>
  <c r="Q132" i="88"/>
  <c r="Q125" i="88"/>
  <c r="P124" i="88"/>
  <c r="Q114" i="88"/>
  <c r="Q113" i="88"/>
  <c r="Q115" i="88" s="1"/>
  <c r="Q96" i="88"/>
  <c r="Q95" i="88"/>
  <c r="Q98" i="88" s="1"/>
  <c r="Q99" i="88" s="1"/>
  <c r="I93" i="88"/>
  <c r="Q90" i="88"/>
  <c r="Q89" i="88"/>
  <c r="Q88" i="88"/>
  <c r="M166" i="88" s="1"/>
  <c r="Q85" i="88"/>
  <c r="O80" i="88"/>
  <c r="O82" i="88" s="1"/>
  <c r="R181" i="88" s="1"/>
  <c r="L80" i="88"/>
  <c r="L82" i="88" s="1"/>
  <c r="M137" i="88" s="1"/>
  <c r="O79" i="88"/>
  <c r="O81" i="88" s="1"/>
  <c r="P119" i="88" s="1"/>
  <c r="L79" i="88"/>
  <c r="L81" i="88" s="1"/>
  <c r="S32" i="88"/>
  <c r="S33" i="88" s="1"/>
  <c r="S13" i="88"/>
  <c r="S14" i="88" s="1"/>
  <c r="A1" i="2"/>
  <c r="Q96" i="14" l="1"/>
  <c r="Q98" i="14" s="1"/>
  <c r="Q95" i="14"/>
  <c r="N98" i="14" s="1"/>
  <c r="G137" i="14" s="1"/>
  <c r="G138" i="14" s="1"/>
  <c r="Q95" i="8"/>
  <c r="Q97" i="8" s="1"/>
  <c r="E100" i="8"/>
  <c r="E101" i="8" s="1"/>
  <c r="Q94" i="8"/>
  <c r="N97" i="8" s="1"/>
  <c r="AA100" i="8"/>
  <c r="AA101" i="8" s="1"/>
  <c r="AM95" i="8"/>
  <c r="AM97" i="8" s="1"/>
  <c r="AM94" i="8"/>
  <c r="AJ97" i="8" s="1"/>
  <c r="E101" i="14"/>
  <c r="E102" i="14" s="1"/>
  <c r="R400" i="6"/>
  <c r="M119" i="6"/>
  <c r="O162" i="6"/>
  <c r="P105" i="6"/>
  <c r="J106" i="6" s="1"/>
  <c r="O295" i="6"/>
  <c r="O277" i="6"/>
  <c r="O272" i="6"/>
  <c r="S21" i="6"/>
  <c r="S22" i="6" s="1"/>
  <c r="S20" i="6"/>
  <c r="E106" i="6"/>
  <c r="E107" i="6" s="1"/>
  <c r="Q102" i="6"/>
  <c r="Q103" i="6" s="1"/>
  <c r="Q101" i="6"/>
  <c r="N103" i="6" s="1"/>
  <c r="J356" i="6"/>
  <c r="P355" i="6" s="1"/>
  <c r="P356" i="6" s="1"/>
  <c r="S40" i="6"/>
  <c r="S39" i="6"/>
  <c r="M146" i="6"/>
  <c r="R162" i="6"/>
  <c r="Q296" i="6"/>
  <c r="M190" i="6"/>
  <c r="R181" i="6"/>
  <c r="M166" i="6"/>
  <c r="O181" i="6"/>
  <c r="M124" i="6"/>
  <c r="R270" i="6"/>
  <c r="S296" i="6"/>
  <c r="R261" i="6"/>
  <c r="F272" i="6" s="1"/>
  <c r="M146" i="88"/>
  <c r="S21" i="88"/>
  <c r="S22" i="88" s="1"/>
  <c r="S20" i="88"/>
  <c r="S40" i="88"/>
  <c r="S39" i="88"/>
  <c r="M119" i="88"/>
  <c r="P105" i="88"/>
  <c r="J106" i="88" s="1"/>
  <c r="O162" i="88"/>
  <c r="O181" i="88"/>
  <c r="R162" i="88"/>
  <c r="P137" i="88"/>
  <c r="Q93" i="88"/>
  <c r="M190" i="88"/>
  <c r="M124" i="88"/>
  <c r="W103" i="11"/>
  <c r="Q141" i="142"/>
  <c r="Q142" i="176"/>
  <c r="Q165" i="11" s="1"/>
  <c r="Q702" i="164"/>
  <c r="Q51" i="130"/>
  <c r="G273" i="11"/>
  <c r="G274" i="11"/>
  <c r="E275" i="11"/>
  <c r="F275" i="11"/>
  <c r="G275" i="11"/>
  <c r="H275" i="11"/>
  <c r="I275" i="11"/>
  <c r="L275" i="11"/>
  <c r="N275" i="11"/>
  <c r="Q275" i="11"/>
  <c r="K134" i="40"/>
  <c r="K251" i="11" s="1"/>
  <c r="J134" i="40"/>
  <c r="J251" i="11" s="1"/>
  <c r="G251" i="11"/>
  <c r="G252" i="11"/>
  <c r="E253" i="11"/>
  <c r="F253" i="11"/>
  <c r="G253" i="11"/>
  <c r="H253" i="11"/>
  <c r="I253" i="11"/>
  <c r="L253" i="11"/>
  <c r="N253" i="11"/>
  <c r="Q253" i="11"/>
  <c r="B233" i="11"/>
  <c r="D230" i="11"/>
  <c r="K230" i="11"/>
  <c r="M230" i="11"/>
  <c r="S230" i="11"/>
  <c r="A226" i="11"/>
  <c r="O553" i="154"/>
  <c r="M553" i="154"/>
  <c r="K553" i="154"/>
  <c r="H552" i="154"/>
  <c r="H184" i="11" s="1"/>
  <c r="G552" i="154"/>
  <c r="G184" i="11" s="1"/>
  <c r="W206" i="11"/>
  <c r="W201" i="11"/>
  <c r="W235" i="11" s="1"/>
  <c r="A182" i="11"/>
  <c r="S184" i="11"/>
  <c r="D186" i="11"/>
  <c r="K186" i="11"/>
  <c r="M186" i="11"/>
  <c r="O186" i="11"/>
  <c r="S186" i="11"/>
  <c r="K175" i="11"/>
  <c r="M175" i="11"/>
  <c r="S177" i="11"/>
  <c r="S172" i="11"/>
  <c r="S206" i="11" s="1"/>
  <c r="D167" i="11"/>
  <c r="K167" i="11"/>
  <c r="M167" i="11"/>
  <c r="S167" i="11"/>
  <c r="K157" i="11"/>
  <c r="M157" i="11"/>
  <c r="O157" i="11"/>
  <c r="S157" i="11"/>
  <c r="A163" i="11"/>
  <c r="A153" i="11"/>
  <c r="S108" i="11"/>
  <c r="S103" i="11" s="1"/>
  <c r="J19" i="176"/>
  <c r="J62" i="176" s="1"/>
  <c r="J105" i="176" s="1"/>
  <c r="J18" i="176"/>
  <c r="J61" i="176" s="1"/>
  <c r="J104" i="176" s="1"/>
  <c r="M143" i="176"/>
  <c r="M166" i="11" s="1"/>
  <c r="K143" i="176"/>
  <c r="K166" i="11" s="1"/>
  <c r="M142" i="176"/>
  <c r="M165" i="11" s="1"/>
  <c r="K142" i="176"/>
  <c r="K165" i="11" s="1"/>
  <c r="H142" i="176"/>
  <c r="H165" i="11" s="1"/>
  <c r="G142" i="176"/>
  <c r="G165" i="11" s="1"/>
  <c r="G123" i="176"/>
  <c r="N118" i="176"/>
  <c r="J118" i="176"/>
  <c r="S111" i="176"/>
  <c r="G126" i="176" s="1"/>
  <c r="T107" i="176"/>
  <c r="D107" i="176"/>
  <c r="G87" i="176"/>
  <c r="G84" i="176"/>
  <c r="N80" i="176"/>
  <c r="J80" i="176"/>
  <c r="P69" i="176"/>
  <c r="T64" i="176"/>
  <c r="J64" i="176"/>
  <c r="J107" i="176" s="1"/>
  <c r="D64" i="176"/>
  <c r="J63" i="176"/>
  <c r="J106" i="176" s="1"/>
  <c r="D63" i="176"/>
  <c r="D106" i="176" s="1"/>
  <c r="D62" i="176"/>
  <c r="D105" i="176" s="1"/>
  <c r="J54" i="176"/>
  <c r="L97" i="176" s="1"/>
  <c r="I142" i="176" s="1"/>
  <c r="I165" i="11" s="1"/>
  <c r="O53" i="176"/>
  <c r="O96" i="176" s="1"/>
  <c r="R107" i="176" s="1"/>
  <c r="L53" i="176"/>
  <c r="L96" i="176" s="1"/>
  <c r="J53" i="176"/>
  <c r="J96" i="176" s="1"/>
  <c r="D143" i="176" s="1"/>
  <c r="D166" i="11" s="1"/>
  <c r="H53" i="176"/>
  <c r="H96" i="176" s="1"/>
  <c r="D142" i="176" s="1"/>
  <c r="D165" i="11" s="1"/>
  <c r="T52" i="176"/>
  <c r="T51" i="176"/>
  <c r="B51" i="176"/>
  <c r="B94" i="176" s="1"/>
  <c r="T50" i="176"/>
  <c r="H50" i="176"/>
  <c r="H93" i="176" s="1"/>
  <c r="D50" i="176"/>
  <c r="D93" i="176" s="1"/>
  <c r="B142" i="176" s="1"/>
  <c r="B165" i="11" s="1"/>
  <c r="B50" i="176"/>
  <c r="B93" i="176" s="1"/>
  <c r="A142" i="176" s="1"/>
  <c r="A165" i="11" s="1"/>
  <c r="G46" i="176"/>
  <c r="G43" i="176"/>
  <c r="N38" i="176"/>
  <c r="J38" i="176"/>
  <c r="P28" i="176"/>
  <c r="P26" i="176"/>
  <c r="P25" i="176"/>
  <c r="T21" i="176"/>
  <c r="R21" i="176"/>
  <c r="P21" i="176"/>
  <c r="D21" i="176"/>
  <c r="D20" i="176"/>
  <c r="D19" i="176"/>
  <c r="D18" i="176"/>
  <c r="D61" i="176" s="1"/>
  <c r="D104" i="176" s="1"/>
  <c r="R5" i="176"/>
  <c r="O5" i="176"/>
  <c r="G5" i="176"/>
  <c r="D5" i="176"/>
  <c r="C5" i="176"/>
  <c r="A5" i="176"/>
  <c r="R4" i="176"/>
  <c r="O4" i="176"/>
  <c r="R3" i="176"/>
  <c r="O3" i="176"/>
  <c r="H3" i="176"/>
  <c r="R2" i="176"/>
  <c r="O2" i="176"/>
  <c r="H2" i="176"/>
  <c r="R1" i="176"/>
  <c r="O1" i="176"/>
  <c r="H1" i="176"/>
  <c r="O266" i="175"/>
  <c r="O177" i="11" s="1"/>
  <c r="M266" i="175"/>
  <c r="M177" i="11" s="1"/>
  <c r="K266" i="175"/>
  <c r="K177" i="11" s="1"/>
  <c r="D266" i="175"/>
  <c r="D177" i="11" s="1"/>
  <c r="O265" i="175"/>
  <c r="O107" i="11" s="1"/>
  <c r="O102" i="11" s="1"/>
  <c r="M265" i="175"/>
  <c r="M176" i="11" s="1"/>
  <c r="K265" i="175"/>
  <c r="K176" i="11" s="1"/>
  <c r="D265" i="175"/>
  <c r="D107" i="11" s="1"/>
  <c r="D102" i="11" s="1"/>
  <c r="Q264" i="175"/>
  <c r="Q106" i="11" s="1"/>
  <c r="Q101" i="11" s="1"/>
  <c r="O264" i="175"/>
  <c r="O106" i="11" s="1"/>
  <c r="O101" i="11" s="1"/>
  <c r="M264" i="175"/>
  <c r="M106" i="11" s="1"/>
  <c r="M101" i="11" s="1"/>
  <c r="K264" i="175"/>
  <c r="K106" i="11" s="1"/>
  <c r="K101" i="11" s="1"/>
  <c r="J264" i="175"/>
  <c r="I264" i="175"/>
  <c r="I106" i="11" s="1"/>
  <c r="I101" i="11" s="1"/>
  <c r="H264" i="175"/>
  <c r="H170" i="11" s="1"/>
  <c r="G264" i="175"/>
  <c r="G170" i="11" s="1"/>
  <c r="F264" i="175"/>
  <c r="F106" i="11" s="1"/>
  <c r="F101" i="11" s="1"/>
  <c r="D264" i="175"/>
  <c r="D175" i="11" s="1"/>
  <c r="B264" i="175"/>
  <c r="B170" i="11" s="1"/>
  <c r="A264" i="175"/>
  <c r="A170" i="11" s="1"/>
  <c r="H230" i="175"/>
  <c r="H227" i="175"/>
  <c r="M227" i="175" s="1"/>
  <c r="G236" i="175" s="1"/>
  <c r="M205" i="175"/>
  <c r="S197" i="175"/>
  <c r="H205" i="175" s="1"/>
  <c r="T184" i="175"/>
  <c r="H174" i="175"/>
  <c r="F143" i="175"/>
  <c r="F144" i="175" s="1"/>
  <c r="K141" i="175"/>
  <c r="E130" i="175"/>
  <c r="S109" i="175"/>
  <c r="J161" i="175" s="1"/>
  <c r="T101" i="175"/>
  <c r="J101" i="175"/>
  <c r="J184" i="175" s="1"/>
  <c r="J100" i="175"/>
  <c r="J183" i="175" s="1"/>
  <c r="W94" i="175"/>
  <c r="J92" i="175"/>
  <c r="L175" i="175" s="1"/>
  <c r="O91" i="175"/>
  <c r="P101" i="175" s="1"/>
  <c r="L91" i="175"/>
  <c r="L174" i="175" s="1"/>
  <c r="S196" i="175" s="1"/>
  <c r="R224" i="175" s="1"/>
  <c r="J91" i="175"/>
  <c r="S107" i="175" s="1"/>
  <c r="H91" i="175"/>
  <c r="T90" i="175"/>
  <c r="T173" i="175" s="1"/>
  <c r="D184" i="175" s="1"/>
  <c r="T89" i="175"/>
  <c r="T172" i="175" s="1"/>
  <c r="D183" i="175" s="1"/>
  <c r="T88" i="175"/>
  <c r="T171" i="175" s="1"/>
  <c r="D182" i="175" s="1"/>
  <c r="H88" i="175"/>
  <c r="H171" i="175" s="1"/>
  <c r="D88" i="175"/>
  <c r="D171" i="175" s="1"/>
  <c r="B88" i="175"/>
  <c r="B171" i="175" s="1"/>
  <c r="C74" i="175"/>
  <c r="F61" i="175"/>
  <c r="F62" i="175" s="1"/>
  <c r="S31" i="175"/>
  <c r="S28" i="175"/>
  <c r="I81" i="175" s="1"/>
  <c r="S26" i="175"/>
  <c r="E50" i="175" s="1"/>
  <c r="S25" i="175"/>
  <c r="T20" i="175"/>
  <c r="R20" i="175"/>
  <c r="P20" i="175"/>
  <c r="D20" i="175"/>
  <c r="D19" i="175"/>
  <c r="J18" i="175"/>
  <c r="K74" i="175" s="1"/>
  <c r="D18" i="175"/>
  <c r="W13" i="175"/>
  <c r="R5" i="175"/>
  <c r="O5" i="175"/>
  <c r="G5" i="175"/>
  <c r="D5" i="175"/>
  <c r="C5" i="175"/>
  <c r="A5" i="175"/>
  <c r="R4" i="175"/>
  <c r="O4" i="175"/>
  <c r="R3" i="175"/>
  <c r="O3" i="175"/>
  <c r="H3" i="175"/>
  <c r="R2" i="175"/>
  <c r="O2" i="175"/>
  <c r="H2" i="175"/>
  <c r="R1" i="175"/>
  <c r="O1" i="175"/>
  <c r="H1" i="175"/>
  <c r="W74" i="11"/>
  <c r="J137" i="14" l="1"/>
  <c r="J138" i="14" s="1"/>
  <c r="J163" i="14"/>
  <c r="J164" i="14" s="1"/>
  <c r="J181" i="14"/>
  <c r="J182" i="14" s="1"/>
  <c r="R185" i="14" s="1"/>
  <c r="J115" i="14"/>
  <c r="J116" i="14" s="1"/>
  <c r="G114" i="8"/>
  <c r="G115" i="8" s="1"/>
  <c r="G135" i="8"/>
  <c r="G136" i="8" s="1"/>
  <c r="G179" i="8"/>
  <c r="G180" i="8" s="1"/>
  <c r="G161" i="8"/>
  <c r="G162" i="8" s="1"/>
  <c r="J179" i="8"/>
  <c r="J180" i="8" s="1"/>
  <c r="J135" i="8"/>
  <c r="J136" i="8" s="1"/>
  <c r="J114" i="8"/>
  <c r="J115" i="8" s="1"/>
  <c r="J161" i="8"/>
  <c r="J162" i="8" s="1"/>
  <c r="AC135" i="8"/>
  <c r="AC136" i="8" s="1"/>
  <c r="AC161" i="8"/>
  <c r="AC162" i="8" s="1"/>
  <c r="AC179" i="8"/>
  <c r="AC180" i="8" s="1"/>
  <c r="AC114" i="8"/>
  <c r="AC115" i="8" s="1"/>
  <c r="AF114" i="8"/>
  <c r="AF115" i="8" s="1"/>
  <c r="AF135" i="8"/>
  <c r="AF136" i="8" s="1"/>
  <c r="AF161" i="8"/>
  <c r="AF162" i="8" s="1"/>
  <c r="AF179" i="8"/>
  <c r="AF180" i="8" s="1"/>
  <c r="G115" i="14"/>
  <c r="G116" i="14" s="1"/>
  <c r="C142" i="14" s="1"/>
  <c r="G181" i="14"/>
  <c r="G182" i="14" s="1"/>
  <c r="J183" i="14" s="1"/>
  <c r="G163" i="14"/>
  <c r="G164" i="14" s="1"/>
  <c r="J165" i="14" s="1"/>
  <c r="L142" i="14"/>
  <c r="F142" i="14"/>
  <c r="L185" i="14"/>
  <c r="F185" i="14"/>
  <c r="O142" i="14"/>
  <c r="G139" i="14"/>
  <c r="R142" i="14"/>
  <c r="J139" i="14"/>
  <c r="Q295" i="6"/>
  <c r="D298" i="6" s="1"/>
  <c r="Q272" i="6"/>
  <c r="D275" i="6" s="1"/>
  <c r="Q277" i="6"/>
  <c r="D280" i="6" s="1"/>
  <c r="G137" i="6"/>
  <c r="G138" i="6" s="1"/>
  <c r="G119" i="6"/>
  <c r="G120" i="6" s="1"/>
  <c r="G162" i="6"/>
  <c r="G163" i="6" s="1"/>
  <c r="G181" i="6"/>
  <c r="G182" i="6" s="1"/>
  <c r="J119" i="6"/>
  <c r="J120" i="6" s="1"/>
  <c r="J181" i="6"/>
  <c r="J182" i="6" s="1"/>
  <c r="J137" i="6"/>
  <c r="J138" i="6" s="1"/>
  <c r="J162" i="6"/>
  <c r="J163" i="6" s="1"/>
  <c r="E106" i="88"/>
  <c r="E107" i="88" s="1"/>
  <c r="Q102" i="88"/>
  <c r="Q103" i="88" s="1"/>
  <c r="Q101" i="88"/>
  <c r="N103" i="88" s="1"/>
  <c r="A204" i="11"/>
  <c r="A199" i="11"/>
  <c r="A175" i="11"/>
  <c r="D99" i="175"/>
  <c r="D100" i="175"/>
  <c r="D101" i="175"/>
  <c r="A106" i="11"/>
  <c r="A101" i="11" s="1"/>
  <c r="P21" i="175"/>
  <c r="S29" i="175" s="1"/>
  <c r="F74" i="175" s="1"/>
  <c r="O171" i="11"/>
  <c r="O205" i="11" s="1"/>
  <c r="R101" i="175"/>
  <c r="P102" i="175" s="1"/>
  <c r="S110" i="175" s="1"/>
  <c r="F154" i="175" s="1"/>
  <c r="S112" i="175"/>
  <c r="S195" i="175" s="1"/>
  <c r="M224" i="175" s="1"/>
  <c r="M225" i="175" s="1"/>
  <c r="G235" i="175" s="1"/>
  <c r="E52" i="175"/>
  <c r="O174" i="175"/>
  <c r="P184" i="175" s="1"/>
  <c r="O172" i="11"/>
  <c r="O206" i="11" s="1"/>
  <c r="J174" i="175"/>
  <c r="K172" i="11"/>
  <c r="K206" i="11" s="1"/>
  <c r="D176" i="11"/>
  <c r="M172" i="11"/>
  <c r="M206" i="11" s="1"/>
  <c r="M171" i="11"/>
  <c r="M205" i="11" s="1"/>
  <c r="Q175" i="11"/>
  <c r="O175" i="11"/>
  <c r="D106" i="11"/>
  <c r="D101" i="11" s="1"/>
  <c r="I175" i="11"/>
  <c r="K171" i="11"/>
  <c r="K205" i="11" s="1"/>
  <c r="D171" i="11"/>
  <c r="D200" i="11" s="1"/>
  <c r="D239" i="11" s="1"/>
  <c r="Q170" i="11"/>
  <c r="Q204" i="11" s="1"/>
  <c r="M108" i="11"/>
  <c r="M103" i="11" s="1"/>
  <c r="I170" i="11"/>
  <c r="I199" i="11" s="1"/>
  <c r="I238" i="11" s="1"/>
  <c r="P64" i="176"/>
  <c r="O170" i="11"/>
  <c r="O204" i="11" s="1"/>
  <c r="R64" i="176"/>
  <c r="K108" i="11"/>
  <c r="K103" i="11" s="1"/>
  <c r="F175" i="11"/>
  <c r="O108" i="11"/>
  <c r="O103" i="11" s="1"/>
  <c r="P71" i="176"/>
  <c r="F170" i="11"/>
  <c r="F204" i="11" s="1"/>
  <c r="D170" i="11"/>
  <c r="K107" i="11"/>
  <c r="K102" i="11" s="1"/>
  <c r="D172" i="11"/>
  <c r="D206" i="11" s="1"/>
  <c r="D108" i="11"/>
  <c r="D103" i="11" s="1"/>
  <c r="M170" i="11"/>
  <c r="M199" i="11" s="1"/>
  <c r="M233" i="11" s="1"/>
  <c r="P68" i="176"/>
  <c r="K170" i="11"/>
  <c r="K199" i="11" s="1"/>
  <c r="K238" i="11" s="1"/>
  <c r="M107" i="11"/>
  <c r="M102" i="11" s="1"/>
  <c r="O176" i="11"/>
  <c r="E49" i="175"/>
  <c r="S201" i="11"/>
  <c r="S240" i="11" s="1"/>
  <c r="O201" i="11"/>
  <c r="O240" i="11" s="1"/>
  <c r="O200" i="11"/>
  <c r="O239" i="11" s="1"/>
  <c r="M204" i="11"/>
  <c r="M200" i="11"/>
  <c r="M239" i="11" s="1"/>
  <c r="W240" i="11"/>
  <c r="G106" i="11"/>
  <c r="G101" i="11" s="1"/>
  <c r="H106" i="11"/>
  <c r="H101" i="11" s="1"/>
  <c r="H204" i="11"/>
  <c r="H199" i="11"/>
  <c r="G199" i="11"/>
  <c r="G204" i="11"/>
  <c r="H175" i="11"/>
  <c r="G175" i="11"/>
  <c r="P22" i="176"/>
  <c r="L38" i="176" s="1"/>
  <c r="J99" i="175"/>
  <c r="P107" i="176"/>
  <c r="P108" i="176" s="1"/>
  <c r="F142" i="176"/>
  <c r="F165" i="11" s="1"/>
  <c r="E133" i="175"/>
  <c r="E150" i="175" s="1"/>
  <c r="C154" i="175" s="1"/>
  <c r="E131" i="175"/>
  <c r="S200" i="175"/>
  <c r="K205" i="175" s="1"/>
  <c r="L136" i="174"/>
  <c r="L274" i="11" s="1"/>
  <c r="I136" i="174"/>
  <c r="I274" i="11" s="1"/>
  <c r="H136" i="174"/>
  <c r="H274" i="11" s="1"/>
  <c r="F136" i="174"/>
  <c r="F274" i="11" s="1"/>
  <c r="E136" i="174"/>
  <c r="E274" i="11" s="1"/>
  <c r="C136" i="174"/>
  <c r="N135" i="174"/>
  <c r="N273" i="11" s="1"/>
  <c r="L135" i="174"/>
  <c r="L273" i="11" s="1"/>
  <c r="K135" i="174"/>
  <c r="K273" i="11" s="1"/>
  <c r="J135" i="174"/>
  <c r="J273" i="11" s="1"/>
  <c r="I135" i="174"/>
  <c r="I273" i="11" s="1"/>
  <c r="H135" i="174"/>
  <c r="H273" i="11" s="1"/>
  <c r="F135" i="174"/>
  <c r="F273" i="11" s="1"/>
  <c r="E135" i="174"/>
  <c r="E273" i="11" s="1"/>
  <c r="C135" i="174"/>
  <c r="A135" i="174"/>
  <c r="A273" i="11" s="1"/>
  <c r="D120" i="174"/>
  <c r="N111" i="174"/>
  <c r="K98" i="174"/>
  <c r="K103" i="174" s="1"/>
  <c r="N72" i="174"/>
  <c r="K59" i="174"/>
  <c r="K58" i="174"/>
  <c r="K57" i="174"/>
  <c r="H52" i="174"/>
  <c r="D81" i="174" s="1"/>
  <c r="B48" i="174"/>
  <c r="D39" i="174"/>
  <c r="N30" i="174"/>
  <c r="K18" i="174"/>
  <c r="K17" i="174"/>
  <c r="AG16" i="174"/>
  <c r="K16" i="174"/>
  <c r="AG15" i="174"/>
  <c r="K15" i="174"/>
  <c r="K14" i="174"/>
  <c r="R5" i="174"/>
  <c r="O5" i="174"/>
  <c r="G5" i="174"/>
  <c r="D5" i="174"/>
  <c r="C5" i="174"/>
  <c r="A5" i="174"/>
  <c r="R4" i="174"/>
  <c r="O4" i="174"/>
  <c r="R3" i="174"/>
  <c r="O3" i="174"/>
  <c r="H3" i="174"/>
  <c r="R2" i="174"/>
  <c r="O2" i="174"/>
  <c r="H2" i="174"/>
  <c r="R1" i="174"/>
  <c r="O1" i="174"/>
  <c r="H1" i="174"/>
  <c r="H52" i="40"/>
  <c r="K18" i="40"/>
  <c r="K15" i="40"/>
  <c r="M142" i="172"/>
  <c r="M229" i="11" s="1"/>
  <c r="K142" i="172"/>
  <c r="K229" i="11" s="1"/>
  <c r="Q141" i="172"/>
  <c r="Q228" i="11" s="1"/>
  <c r="M141" i="172"/>
  <c r="M228" i="11" s="1"/>
  <c r="K141" i="172"/>
  <c r="K228" i="11" s="1"/>
  <c r="H141" i="172"/>
  <c r="H228" i="11" s="1"/>
  <c r="G141" i="172"/>
  <c r="G228" i="11" s="1"/>
  <c r="G122" i="172"/>
  <c r="N117" i="172"/>
  <c r="J117" i="172"/>
  <c r="S110" i="172"/>
  <c r="G125" i="172" s="1"/>
  <c r="T106" i="172"/>
  <c r="D106" i="172"/>
  <c r="B92" i="172"/>
  <c r="A141" i="172" s="1"/>
  <c r="G86" i="172"/>
  <c r="G83" i="172"/>
  <c r="N79" i="172"/>
  <c r="J79" i="172"/>
  <c r="P68" i="172"/>
  <c r="T63" i="172"/>
  <c r="J63" i="172"/>
  <c r="J106" i="172" s="1"/>
  <c r="D63" i="172"/>
  <c r="J62" i="172"/>
  <c r="J105" i="172" s="1"/>
  <c r="J61" i="172"/>
  <c r="J104" i="172" s="1"/>
  <c r="D60" i="172"/>
  <c r="D103" i="172" s="1"/>
  <c r="J53" i="172"/>
  <c r="L96" i="172" s="1"/>
  <c r="I141" i="172" s="1"/>
  <c r="I228" i="11" s="1"/>
  <c r="O52" i="172"/>
  <c r="P70" i="172" s="1"/>
  <c r="L52" i="172"/>
  <c r="L95" i="172" s="1"/>
  <c r="J52" i="172"/>
  <c r="P67" i="172" s="1"/>
  <c r="H52" i="172"/>
  <c r="H95" i="172" s="1"/>
  <c r="D141" i="172" s="1"/>
  <c r="D228" i="11" s="1"/>
  <c r="T51" i="172"/>
  <c r="T50" i="172"/>
  <c r="B50" i="172"/>
  <c r="B93" i="172" s="1"/>
  <c r="T49" i="172"/>
  <c r="H49" i="172"/>
  <c r="H92" i="172" s="1"/>
  <c r="D49" i="172"/>
  <c r="D92" i="172" s="1"/>
  <c r="B141" i="172" s="1"/>
  <c r="B228" i="11" s="1"/>
  <c r="B49" i="172"/>
  <c r="G45" i="172"/>
  <c r="G42" i="172"/>
  <c r="N37" i="172"/>
  <c r="J37" i="172"/>
  <c r="P28" i="172"/>
  <c r="P26" i="172"/>
  <c r="P25" i="172"/>
  <c r="T21" i="172"/>
  <c r="R21" i="172"/>
  <c r="P21" i="172"/>
  <c r="D21" i="172"/>
  <c r="D20" i="172"/>
  <c r="D62" i="172" s="1"/>
  <c r="D105" i="172" s="1"/>
  <c r="D19" i="172"/>
  <c r="D61" i="172" s="1"/>
  <c r="D104" i="172" s="1"/>
  <c r="J18" i="172"/>
  <c r="J60" i="172" s="1"/>
  <c r="J103" i="172" s="1"/>
  <c r="D18" i="172"/>
  <c r="R5" i="172"/>
  <c r="O5" i="172"/>
  <c r="G5" i="172"/>
  <c r="D5" i="172"/>
  <c r="C5" i="172"/>
  <c r="A5" i="172"/>
  <c r="R4" i="172"/>
  <c r="O4" i="172"/>
  <c r="R3" i="172"/>
  <c r="O3" i="172"/>
  <c r="H3" i="172"/>
  <c r="R2" i="172"/>
  <c r="O2" i="172"/>
  <c r="H2" i="172"/>
  <c r="R1" i="172"/>
  <c r="O1" i="172"/>
  <c r="H1" i="172"/>
  <c r="G164" i="8" l="1"/>
  <c r="Q173" i="8" s="1"/>
  <c r="Q175" i="8" s="1"/>
  <c r="J163" i="8"/>
  <c r="L183" i="8"/>
  <c r="F183" i="8"/>
  <c r="R140" i="8"/>
  <c r="J137" i="8"/>
  <c r="G163" i="8"/>
  <c r="M168" i="8" s="1"/>
  <c r="M169" i="8" s="1"/>
  <c r="I183" i="8"/>
  <c r="C183" i="8"/>
  <c r="O183" i="8"/>
  <c r="G181" i="8"/>
  <c r="L140" i="8"/>
  <c r="J117" i="8"/>
  <c r="F140" i="8"/>
  <c r="F141" i="8" s="1"/>
  <c r="G118" i="8"/>
  <c r="Q128" i="8" s="1"/>
  <c r="Q131" i="8" s="1"/>
  <c r="R183" i="8"/>
  <c r="J181" i="8"/>
  <c r="G137" i="8"/>
  <c r="O140" i="8"/>
  <c r="C140" i="8"/>
  <c r="I140" i="8"/>
  <c r="G117" i="8"/>
  <c r="M122" i="8" s="1"/>
  <c r="M123" i="8" s="1"/>
  <c r="AC163" i="8"/>
  <c r="AI168" i="8" s="1"/>
  <c r="AI169" i="8" s="1"/>
  <c r="AE183" i="8"/>
  <c r="Y183" i="8"/>
  <c r="AK183" i="8"/>
  <c r="AC181" i="8"/>
  <c r="AK140" i="8"/>
  <c r="AC137" i="8"/>
  <c r="Y140" i="8"/>
  <c r="AC117" i="8"/>
  <c r="AI122" i="8" s="1"/>
  <c r="AI123" i="8" s="1"/>
  <c r="AE140" i="8"/>
  <c r="AN183" i="8"/>
  <c r="AF181" i="8"/>
  <c r="AC164" i="8"/>
  <c r="AM173" i="8" s="1"/>
  <c r="AM175" i="8" s="1"/>
  <c r="AF163" i="8"/>
  <c r="AH183" i="8"/>
  <c r="AB183" i="8"/>
  <c r="AF137" i="8"/>
  <c r="AN140" i="8"/>
  <c r="AB140" i="8"/>
  <c r="AH140" i="8"/>
  <c r="AC118" i="8"/>
  <c r="AM128" i="8" s="1"/>
  <c r="AM131" i="8" s="1"/>
  <c r="AF117" i="8"/>
  <c r="G183" i="14"/>
  <c r="O185" i="14"/>
  <c r="G165" i="14"/>
  <c r="M170" i="14" s="1"/>
  <c r="M171" i="14" s="1"/>
  <c r="I185" i="14"/>
  <c r="G166" i="14"/>
  <c r="Q175" i="14" s="1"/>
  <c r="Q177" i="14" s="1"/>
  <c r="C185" i="14"/>
  <c r="C186" i="14" s="1"/>
  <c r="I142" i="14"/>
  <c r="C143" i="14" s="1"/>
  <c r="G119" i="14"/>
  <c r="M124" i="14" s="1"/>
  <c r="M125" i="14" s="1"/>
  <c r="J119" i="14"/>
  <c r="G120" i="14"/>
  <c r="Q130" i="14" s="1"/>
  <c r="Q133" i="14" s="1"/>
  <c r="F143" i="14"/>
  <c r="F186" i="14"/>
  <c r="Q300" i="6"/>
  <c r="Q306" i="6" s="1"/>
  <c r="Q307" i="6" s="1"/>
  <c r="H310" i="6" s="1"/>
  <c r="H311" i="6" s="1"/>
  <c r="F185" i="6"/>
  <c r="G165" i="6"/>
  <c r="Q175" i="6" s="1"/>
  <c r="Q177" i="6" s="1"/>
  <c r="J164" i="6"/>
  <c r="L185" i="6"/>
  <c r="R142" i="6"/>
  <c r="J139" i="6"/>
  <c r="R185" i="6"/>
  <c r="J183" i="6"/>
  <c r="O185" i="6"/>
  <c r="G183" i="6"/>
  <c r="I142" i="6"/>
  <c r="C142" i="6"/>
  <c r="C143" i="6" s="1"/>
  <c r="G122" i="6"/>
  <c r="M125" i="6" s="1"/>
  <c r="M126" i="6" s="1"/>
  <c r="L142" i="6"/>
  <c r="J122" i="6"/>
  <c r="F142" i="6"/>
  <c r="G123" i="6"/>
  <c r="Q131" i="6" s="1"/>
  <c r="Q133" i="6" s="1"/>
  <c r="G164" i="6"/>
  <c r="M167" i="6" s="1"/>
  <c r="M168" i="6" s="1"/>
  <c r="I185" i="6"/>
  <c r="C185" i="6"/>
  <c r="O142" i="6"/>
  <c r="G139" i="6"/>
  <c r="G181" i="88"/>
  <c r="G182" i="88" s="1"/>
  <c r="G119" i="88"/>
  <c r="G120" i="88" s="1"/>
  <c r="G137" i="88"/>
  <c r="G138" i="88" s="1"/>
  <c r="G162" i="88"/>
  <c r="G163" i="88" s="1"/>
  <c r="J119" i="88"/>
  <c r="J120" i="88" s="1"/>
  <c r="J137" i="88"/>
  <c r="J138" i="88" s="1"/>
  <c r="J162" i="88"/>
  <c r="J163" i="88" s="1"/>
  <c r="J181" i="88"/>
  <c r="J182" i="88" s="1"/>
  <c r="P22" i="172"/>
  <c r="P37" i="172" s="1"/>
  <c r="M238" i="11"/>
  <c r="K200" i="11"/>
  <c r="K239" i="11" s="1"/>
  <c r="D201" i="11"/>
  <c r="D240" i="11" s="1"/>
  <c r="K201" i="11"/>
  <c r="K235" i="11" s="1"/>
  <c r="M201" i="11"/>
  <c r="M235" i="11" s="1"/>
  <c r="K233" i="11"/>
  <c r="I233" i="11"/>
  <c r="D205" i="11"/>
  <c r="D234" i="11"/>
  <c r="R184" i="175"/>
  <c r="P185" i="175" s="1"/>
  <c r="S198" i="175" s="1"/>
  <c r="J230" i="175" s="1"/>
  <c r="S235" i="11"/>
  <c r="P65" i="176"/>
  <c r="N136" i="174"/>
  <c r="N274" i="11" s="1"/>
  <c r="K204" i="11"/>
  <c r="D204" i="11"/>
  <c r="D199" i="11"/>
  <c r="N230" i="175"/>
  <c r="I204" i="11"/>
  <c r="O205" i="175"/>
  <c r="E206" i="175" s="1"/>
  <c r="L230" i="175" s="1"/>
  <c r="O199" i="11"/>
  <c r="Q199" i="11"/>
  <c r="F199" i="11"/>
  <c r="O235" i="11"/>
  <c r="M240" i="11"/>
  <c r="M234" i="11"/>
  <c r="O234" i="11"/>
  <c r="D235" i="11"/>
  <c r="G238" i="11"/>
  <c r="G233" i="11"/>
  <c r="H233" i="11"/>
  <c r="H238" i="11"/>
  <c r="P38" i="176"/>
  <c r="J182" i="175"/>
  <c r="K154" i="175"/>
  <c r="P118" i="176"/>
  <c r="L118" i="176"/>
  <c r="J114" i="176"/>
  <c r="K111" i="174"/>
  <c r="K112" i="174" s="1"/>
  <c r="K115" i="174" s="1"/>
  <c r="L37" i="172"/>
  <c r="P63" i="172"/>
  <c r="R63" i="172"/>
  <c r="J95" i="172"/>
  <c r="D142" i="172" s="1"/>
  <c r="D229" i="11" s="1"/>
  <c r="O95" i="172"/>
  <c r="M244" i="11"/>
  <c r="M245" i="11"/>
  <c r="K59" i="40"/>
  <c r="K58" i="40"/>
  <c r="K57" i="40"/>
  <c r="K55" i="40"/>
  <c r="K19" i="40"/>
  <c r="K17" i="40"/>
  <c r="K16" i="40"/>
  <c r="K14" i="40"/>
  <c r="S132" i="11"/>
  <c r="S128" i="11"/>
  <c r="D123" i="11"/>
  <c r="D113" i="11"/>
  <c r="D114" i="11"/>
  <c r="D115" i="11"/>
  <c r="D116" i="11"/>
  <c r="D117" i="11"/>
  <c r="D118" i="11"/>
  <c r="D119" i="11"/>
  <c r="D120" i="11"/>
  <c r="D121" i="11"/>
  <c r="D122" i="11"/>
  <c r="D112" i="11"/>
  <c r="S69" i="11"/>
  <c r="Q67" i="11"/>
  <c r="M69" i="11"/>
  <c r="K69" i="11"/>
  <c r="D69" i="11"/>
  <c r="D219" i="11"/>
  <c r="D220" i="11"/>
  <c r="K219" i="11"/>
  <c r="K220" i="11"/>
  <c r="M220" i="11"/>
  <c r="M219" i="11"/>
  <c r="O219" i="11"/>
  <c r="O220" i="11"/>
  <c r="S220" i="11"/>
  <c r="Q218" i="11"/>
  <c r="O218" i="11"/>
  <c r="M218" i="11"/>
  <c r="K218" i="11"/>
  <c r="I218" i="11"/>
  <c r="H218" i="11"/>
  <c r="G218" i="11"/>
  <c r="A218" i="11"/>
  <c r="B218" i="11"/>
  <c r="D218" i="11"/>
  <c r="F218" i="11"/>
  <c r="O262" i="171"/>
  <c r="M262" i="171"/>
  <c r="K262" i="171"/>
  <c r="D262" i="171"/>
  <c r="Q261" i="171"/>
  <c r="O261" i="171"/>
  <c r="M261" i="171"/>
  <c r="K261" i="171"/>
  <c r="I261" i="171"/>
  <c r="H261" i="171"/>
  <c r="G261" i="171"/>
  <c r="F261" i="171"/>
  <c r="D261" i="171"/>
  <c r="B261" i="171"/>
  <c r="A261" i="171"/>
  <c r="E235" i="171"/>
  <c r="E231" i="171"/>
  <c r="H215" i="171"/>
  <c r="L199" i="171"/>
  <c r="E199" i="171"/>
  <c r="J180" i="171"/>
  <c r="D180" i="171"/>
  <c r="D179" i="171"/>
  <c r="D178" i="171"/>
  <c r="L171" i="171"/>
  <c r="L170" i="171"/>
  <c r="S186" i="171" s="1"/>
  <c r="I200" i="171" s="1"/>
  <c r="T169" i="171"/>
  <c r="T168" i="171"/>
  <c r="T167" i="171"/>
  <c r="E151" i="171"/>
  <c r="E147" i="171"/>
  <c r="H131" i="171"/>
  <c r="L119" i="171"/>
  <c r="E119" i="171"/>
  <c r="J100" i="171"/>
  <c r="D100" i="171"/>
  <c r="D99" i="171"/>
  <c r="D98" i="171"/>
  <c r="J91" i="171"/>
  <c r="O90" i="171"/>
  <c r="S107" i="171" s="1"/>
  <c r="L90" i="171"/>
  <c r="J90" i="171"/>
  <c r="J170" i="171" s="1"/>
  <c r="H90" i="171"/>
  <c r="H170" i="171" s="1"/>
  <c r="D87" i="171"/>
  <c r="D167" i="171" s="1"/>
  <c r="B87" i="171"/>
  <c r="B167" i="171" s="1"/>
  <c r="E71" i="171"/>
  <c r="E67" i="171"/>
  <c r="H51" i="171"/>
  <c r="L39" i="171"/>
  <c r="E39" i="171"/>
  <c r="S27" i="171"/>
  <c r="N51" i="171" s="1"/>
  <c r="S26" i="171"/>
  <c r="I40" i="171" s="1"/>
  <c r="D20" i="171"/>
  <c r="J19" i="171"/>
  <c r="D19" i="171"/>
  <c r="J18" i="171"/>
  <c r="J98" i="171" s="1"/>
  <c r="D18" i="171"/>
  <c r="R5" i="171"/>
  <c r="O5" i="171"/>
  <c r="G5" i="171"/>
  <c r="D5" i="171"/>
  <c r="C5" i="171"/>
  <c r="A5" i="171"/>
  <c r="R4" i="171"/>
  <c r="O4" i="171"/>
  <c r="R3" i="171"/>
  <c r="O3" i="171"/>
  <c r="H3" i="171"/>
  <c r="R2" i="171"/>
  <c r="O2" i="171"/>
  <c r="H2" i="171"/>
  <c r="R1" i="171"/>
  <c r="O1" i="171"/>
  <c r="H1" i="171"/>
  <c r="O262" i="170"/>
  <c r="M262" i="170"/>
  <c r="K262" i="170"/>
  <c r="D262" i="170"/>
  <c r="Q261" i="170"/>
  <c r="O261" i="170"/>
  <c r="M261" i="170"/>
  <c r="K261" i="170"/>
  <c r="I261" i="170"/>
  <c r="H261" i="170"/>
  <c r="G261" i="170"/>
  <c r="F261" i="170"/>
  <c r="D261" i="170"/>
  <c r="B261" i="170"/>
  <c r="A261" i="170"/>
  <c r="E235" i="170"/>
  <c r="E231" i="170"/>
  <c r="H215" i="170"/>
  <c r="L199" i="170"/>
  <c r="E199" i="170"/>
  <c r="J180" i="170"/>
  <c r="D180" i="170"/>
  <c r="D179" i="170"/>
  <c r="D178" i="170"/>
  <c r="L171" i="170"/>
  <c r="O170" i="170"/>
  <c r="S187" i="170" s="1"/>
  <c r="L170" i="170"/>
  <c r="S186" i="170" s="1"/>
  <c r="I200" i="170" s="1"/>
  <c r="T169" i="170"/>
  <c r="T168" i="170"/>
  <c r="T167" i="170"/>
  <c r="E151" i="170"/>
  <c r="E147" i="170"/>
  <c r="H131" i="170"/>
  <c r="L119" i="170"/>
  <c r="E119" i="170"/>
  <c r="J100" i="170"/>
  <c r="D100" i="170"/>
  <c r="D99" i="170"/>
  <c r="D98" i="170"/>
  <c r="J91" i="170"/>
  <c r="O90" i="170"/>
  <c r="S107" i="170" s="1"/>
  <c r="L90" i="170"/>
  <c r="J90" i="170"/>
  <c r="J170" i="170" s="1"/>
  <c r="H90" i="170"/>
  <c r="H170" i="170" s="1"/>
  <c r="D87" i="170"/>
  <c r="D167" i="170" s="1"/>
  <c r="B87" i="170"/>
  <c r="B167" i="170" s="1"/>
  <c r="E71" i="170"/>
  <c r="E67" i="170"/>
  <c r="H51" i="170"/>
  <c r="L39" i="170"/>
  <c r="E39" i="170"/>
  <c r="S27" i="170"/>
  <c r="N51" i="170" s="1"/>
  <c r="S26" i="170"/>
  <c r="I40" i="170" s="1"/>
  <c r="D20" i="170"/>
  <c r="J19" i="170"/>
  <c r="J99" i="170" s="1"/>
  <c r="J179" i="170" s="1"/>
  <c r="D19" i="170"/>
  <c r="J18" i="170"/>
  <c r="J98" i="170" s="1"/>
  <c r="D18" i="170"/>
  <c r="R5" i="170"/>
  <c r="O5" i="170"/>
  <c r="G5" i="170"/>
  <c r="D5" i="170"/>
  <c r="C5" i="170"/>
  <c r="A5" i="170"/>
  <c r="R4" i="170"/>
  <c r="O4" i="170"/>
  <c r="R3" i="170"/>
  <c r="O3" i="170"/>
  <c r="H3" i="170"/>
  <c r="R2" i="170"/>
  <c r="O2" i="170"/>
  <c r="H2" i="170"/>
  <c r="R1" i="170"/>
  <c r="O1" i="170"/>
  <c r="H1" i="170"/>
  <c r="O262" i="169"/>
  <c r="M262" i="169"/>
  <c r="K262" i="169"/>
  <c r="D262" i="169"/>
  <c r="Q261" i="169"/>
  <c r="O261" i="169"/>
  <c r="M261" i="169"/>
  <c r="K261" i="169"/>
  <c r="I261" i="169"/>
  <c r="H261" i="169"/>
  <c r="G261" i="169"/>
  <c r="F261" i="169"/>
  <c r="D261" i="169"/>
  <c r="B261" i="169"/>
  <c r="A261" i="169"/>
  <c r="E235" i="169"/>
  <c r="E231" i="169"/>
  <c r="H215" i="169"/>
  <c r="L199" i="169"/>
  <c r="E199" i="169"/>
  <c r="J180" i="169"/>
  <c r="D180" i="169"/>
  <c r="D179" i="169"/>
  <c r="D178" i="169"/>
  <c r="L171" i="169"/>
  <c r="O170" i="169"/>
  <c r="S187" i="169" s="1"/>
  <c r="L170" i="169"/>
  <c r="S186" i="169" s="1"/>
  <c r="I200" i="169" s="1"/>
  <c r="T169" i="169"/>
  <c r="T168" i="169"/>
  <c r="T167" i="169"/>
  <c r="E151" i="169"/>
  <c r="E147" i="169"/>
  <c r="H131" i="169"/>
  <c r="L119" i="169"/>
  <c r="E119" i="169"/>
  <c r="J100" i="169"/>
  <c r="D100" i="169"/>
  <c r="D99" i="169"/>
  <c r="D98" i="169"/>
  <c r="J91" i="169"/>
  <c r="O90" i="169"/>
  <c r="S107" i="169" s="1"/>
  <c r="L90" i="169"/>
  <c r="J90" i="169"/>
  <c r="J170" i="169" s="1"/>
  <c r="H90" i="169"/>
  <c r="H170" i="169" s="1"/>
  <c r="D87" i="169"/>
  <c r="D167" i="169" s="1"/>
  <c r="B87" i="169"/>
  <c r="B167" i="169" s="1"/>
  <c r="E71" i="169"/>
  <c r="E67" i="169"/>
  <c r="H51" i="169"/>
  <c r="L39" i="169"/>
  <c r="E39" i="169"/>
  <c r="S27" i="169"/>
  <c r="R39" i="169" s="1"/>
  <c r="S26" i="169"/>
  <c r="I40" i="169" s="1"/>
  <c r="D20" i="169"/>
  <c r="J19" i="169"/>
  <c r="J99" i="169" s="1"/>
  <c r="J179" i="169" s="1"/>
  <c r="D19" i="169"/>
  <c r="J18" i="169"/>
  <c r="D18" i="169"/>
  <c r="R5" i="169"/>
  <c r="O5" i="169"/>
  <c r="G5" i="169"/>
  <c r="D5" i="169"/>
  <c r="C5" i="169"/>
  <c r="A5" i="169"/>
  <c r="R4" i="169"/>
  <c r="O4" i="169"/>
  <c r="R3" i="169"/>
  <c r="O3" i="169"/>
  <c r="H3" i="169"/>
  <c r="R2" i="169"/>
  <c r="O2" i="169"/>
  <c r="H2" i="169"/>
  <c r="R1" i="169"/>
  <c r="O1" i="169"/>
  <c r="H1" i="169"/>
  <c r="O262" i="168"/>
  <c r="M262" i="168"/>
  <c r="K262" i="168"/>
  <c r="D262" i="168"/>
  <c r="Q261" i="168"/>
  <c r="O261" i="168"/>
  <c r="M261" i="168"/>
  <c r="K261" i="168"/>
  <c r="I261" i="168"/>
  <c r="H261" i="168"/>
  <c r="G261" i="168"/>
  <c r="F261" i="168"/>
  <c r="D261" i="168"/>
  <c r="B261" i="168"/>
  <c r="A261" i="168"/>
  <c r="E235" i="168"/>
  <c r="E231" i="168"/>
  <c r="H215" i="168"/>
  <c r="L199" i="168"/>
  <c r="E199" i="168"/>
  <c r="J180" i="168"/>
  <c r="D180" i="168"/>
  <c r="D179" i="168"/>
  <c r="D178" i="168"/>
  <c r="L171" i="168"/>
  <c r="O170" i="168"/>
  <c r="S187" i="168" s="1"/>
  <c r="L170" i="168"/>
  <c r="S186" i="168" s="1"/>
  <c r="I200" i="168" s="1"/>
  <c r="T169" i="168"/>
  <c r="T168" i="168"/>
  <c r="T167" i="168"/>
  <c r="E151" i="168"/>
  <c r="E147" i="168"/>
  <c r="H131" i="168"/>
  <c r="L119" i="168"/>
  <c r="E119" i="168"/>
  <c r="J100" i="168"/>
  <c r="D100" i="168"/>
  <c r="D99" i="168"/>
  <c r="D98" i="168"/>
  <c r="J91" i="168"/>
  <c r="O90" i="168"/>
  <c r="S107" i="168" s="1"/>
  <c r="L90" i="168"/>
  <c r="J90" i="168"/>
  <c r="J170" i="168" s="1"/>
  <c r="H90" i="168"/>
  <c r="H170" i="168" s="1"/>
  <c r="D87" i="168"/>
  <c r="D167" i="168" s="1"/>
  <c r="B87" i="168"/>
  <c r="B167" i="168" s="1"/>
  <c r="E71" i="168"/>
  <c r="E67" i="168"/>
  <c r="H51" i="168"/>
  <c r="L39" i="168"/>
  <c r="E39" i="168"/>
  <c r="S27" i="168"/>
  <c r="N51" i="168" s="1"/>
  <c r="S26" i="168"/>
  <c r="I40" i="168" s="1"/>
  <c r="D20" i="168"/>
  <c r="J19" i="168"/>
  <c r="J99" i="168" s="1"/>
  <c r="J179" i="168" s="1"/>
  <c r="D19" i="168"/>
  <c r="J18" i="168"/>
  <c r="J98" i="168" s="1"/>
  <c r="D18" i="168"/>
  <c r="R5" i="168"/>
  <c r="O5" i="168"/>
  <c r="G5" i="168"/>
  <c r="D5" i="168"/>
  <c r="C5" i="168"/>
  <c r="A5" i="168"/>
  <c r="R4" i="168"/>
  <c r="O4" i="168"/>
  <c r="R3" i="168"/>
  <c r="O3" i="168"/>
  <c r="H3" i="168"/>
  <c r="R2" i="168"/>
  <c r="O2" i="168"/>
  <c r="H2" i="168"/>
  <c r="R1" i="168"/>
  <c r="O1" i="168"/>
  <c r="H1" i="168"/>
  <c r="O262" i="167"/>
  <c r="M262" i="167"/>
  <c r="K262" i="167"/>
  <c r="D262" i="167"/>
  <c r="Q261" i="167"/>
  <c r="O261" i="167"/>
  <c r="M261" i="167"/>
  <c r="K261" i="167"/>
  <c r="I261" i="167"/>
  <c r="H261" i="167"/>
  <c r="G261" i="167"/>
  <c r="F261" i="167"/>
  <c r="D261" i="167"/>
  <c r="B261" i="167"/>
  <c r="A261" i="167"/>
  <c r="E235" i="167"/>
  <c r="E231" i="167"/>
  <c r="H215" i="167"/>
  <c r="L199" i="167"/>
  <c r="E199" i="167"/>
  <c r="S187" i="167"/>
  <c r="N215" i="167" s="1"/>
  <c r="S186" i="167"/>
  <c r="I200" i="167" s="1"/>
  <c r="J180" i="167"/>
  <c r="D180" i="167"/>
  <c r="D179" i="167"/>
  <c r="D178" i="167"/>
  <c r="O170" i="167"/>
  <c r="L170" i="167"/>
  <c r="T169" i="167"/>
  <c r="T168" i="167"/>
  <c r="T167" i="167"/>
  <c r="E151" i="167"/>
  <c r="E147" i="167"/>
  <c r="H131" i="167"/>
  <c r="L119" i="167"/>
  <c r="E119" i="167"/>
  <c r="J100" i="167"/>
  <c r="D100" i="167"/>
  <c r="D99" i="167"/>
  <c r="D98" i="167"/>
  <c r="J91" i="167"/>
  <c r="L171" i="167" s="1"/>
  <c r="O90" i="167"/>
  <c r="S107" i="167" s="1"/>
  <c r="L90" i="167"/>
  <c r="J90" i="167"/>
  <c r="J170" i="167" s="1"/>
  <c r="H90" i="167"/>
  <c r="H170" i="167" s="1"/>
  <c r="D87" i="167"/>
  <c r="D167" i="167" s="1"/>
  <c r="B87" i="167"/>
  <c r="B167" i="167" s="1"/>
  <c r="E71" i="167"/>
  <c r="E67" i="167"/>
  <c r="H51" i="167"/>
  <c r="L39" i="167"/>
  <c r="E39" i="167"/>
  <c r="S27" i="167"/>
  <c r="R39" i="167" s="1"/>
  <c r="S26" i="167"/>
  <c r="I40" i="167" s="1"/>
  <c r="D20" i="167"/>
  <c r="J19" i="167"/>
  <c r="D19" i="167"/>
  <c r="J18" i="167"/>
  <c r="J98" i="167" s="1"/>
  <c r="J178" i="167" s="1"/>
  <c r="D18" i="167"/>
  <c r="R5" i="167"/>
  <c r="O5" i="167"/>
  <c r="G5" i="167"/>
  <c r="D5" i="167"/>
  <c r="C5" i="167"/>
  <c r="A5" i="167"/>
  <c r="R4" i="167"/>
  <c r="O4" i="167"/>
  <c r="R3" i="167"/>
  <c r="O3" i="167"/>
  <c r="H3" i="167"/>
  <c r="R2" i="167"/>
  <c r="O2" i="167"/>
  <c r="H2" i="167"/>
  <c r="R1" i="167"/>
  <c r="O1" i="167"/>
  <c r="H1" i="167"/>
  <c r="O262" i="166"/>
  <c r="M262" i="166"/>
  <c r="K262" i="166"/>
  <c r="D262" i="166"/>
  <c r="Q261" i="166"/>
  <c r="O261" i="166"/>
  <c r="M261" i="166"/>
  <c r="K261" i="166"/>
  <c r="I261" i="166"/>
  <c r="H261" i="166"/>
  <c r="G261" i="166"/>
  <c r="F261" i="166"/>
  <c r="D261" i="166"/>
  <c r="B261" i="166"/>
  <c r="A261" i="166"/>
  <c r="E235" i="166"/>
  <c r="E231" i="166"/>
  <c r="H215" i="166"/>
  <c r="L199" i="166"/>
  <c r="E199" i="166"/>
  <c r="J180" i="166"/>
  <c r="D180" i="166"/>
  <c r="D179" i="166"/>
  <c r="D178" i="166"/>
  <c r="L171" i="166"/>
  <c r="O170" i="166"/>
  <c r="S187" i="166" s="1"/>
  <c r="L170" i="166"/>
  <c r="S186" i="166" s="1"/>
  <c r="I200" i="166" s="1"/>
  <c r="T169" i="166"/>
  <c r="T168" i="166"/>
  <c r="T167" i="166"/>
  <c r="E151" i="166"/>
  <c r="E147" i="166"/>
  <c r="H131" i="166"/>
  <c r="L119" i="166"/>
  <c r="E119" i="166"/>
  <c r="J100" i="166"/>
  <c r="D100" i="166"/>
  <c r="D99" i="166"/>
  <c r="D98" i="166"/>
  <c r="J91" i="166"/>
  <c r="O90" i="166"/>
  <c r="S107" i="166" s="1"/>
  <c r="L90" i="166"/>
  <c r="J90" i="166"/>
  <c r="J170" i="166" s="1"/>
  <c r="H90" i="166"/>
  <c r="H170" i="166" s="1"/>
  <c r="D87" i="166"/>
  <c r="D167" i="166" s="1"/>
  <c r="B87" i="166"/>
  <c r="B167" i="166" s="1"/>
  <c r="E71" i="166"/>
  <c r="E67" i="166"/>
  <c r="H51" i="166"/>
  <c r="I40" i="166"/>
  <c r="L39" i="166"/>
  <c r="E39" i="166"/>
  <c r="S27" i="166"/>
  <c r="N51" i="166" s="1"/>
  <c r="S26" i="166"/>
  <c r="D20" i="166"/>
  <c r="J19" i="166"/>
  <c r="J99" i="166" s="1"/>
  <c r="J179" i="166" s="1"/>
  <c r="D19" i="166"/>
  <c r="J18" i="166"/>
  <c r="D18" i="166"/>
  <c r="R5" i="166"/>
  <c r="O5" i="166"/>
  <c r="G5" i="166"/>
  <c r="D5" i="166"/>
  <c r="C5" i="166"/>
  <c r="A5" i="166"/>
  <c r="R4" i="166"/>
  <c r="O4" i="166"/>
  <c r="R3" i="166"/>
  <c r="O3" i="166"/>
  <c r="H3" i="166"/>
  <c r="R2" i="166"/>
  <c r="O2" i="166"/>
  <c r="H2" i="166"/>
  <c r="R1" i="166"/>
  <c r="O1" i="166"/>
  <c r="H1" i="166"/>
  <c r="Q261" i="165"/>
  <c r="O262" i="165"/>
  <c r="O261" i="165"/>
  <c r="M262" i="165"/>
  <c r="M261" i="165"/>
  <c r="K262" i="165"/>
  <c r="K261" i="165"/>
  <c r="I261" i="165"/>
  <c r="H261" i="165"/>
  <c r="G261" i="165"/>
  <c r="F261" i="165"/>
  <c r="D262" i="165"/>
  <c r="D261" i="165"/>
  <c r="B261" i="165"/>
  <c r="A261" i="165"/>
  <c r="J19" i="165"/>
  <c r="J99" i="165" s="1"/>
  <c r="J179" i="165" s="1"/>
  <c r="J18" i="165"/>
  <c r="J98" i="165" s="1"/>
  <c r="H2" i="165"/>
  <c r="H1" i="165"/>
  <c r="H2" i="88"/>
  <c r="H1" i="88"/>
  <c r="R5" i="165"/>
  <c r="O5" i="165"/>
  <c r="R4" i="165"/>
  <c r="O4" i="165"/>
  <c r="R3" i="165"/>
  <c r="O3" i="165"/>
  <c r="R2" i="165"/>
  <c r="O2" i="165"/>
  <c r="R1" i="165"/>
  <c r="O1" i="165"/>
  <c r="H3" i="88"/>
  <c r="H3" i="165"/>
  <c r="G5" i="165"/>
  <c r="D5" i="165"/>
  <c r="C5" i="165"/>
  <c r="A5" i="165"/>
  <c r="E235" i="165"/>
  <c r="E231" i="165"/>
  <c r="H215" i="165"/>
  <c r="L199" i="165"/>
  <c r="E199" i="165"/>
  <c r="E151" i="165"/>
  <c r="E147" i="165"/>
  <c r="H131" i="165"/>
  <c r="L119" i="165"/>
  <c r="E119" i="165"/>
  <c r="J100" i="165"/>
  <c r="J180" i="165" s="1"/>
  <c r="J91" i="165"/>
  <c r="L171" i="165" s="1"/>
  <c r="O90" i="165"/>
  <c r="O170" i="165" s="1"/>
  <c r="L90" i="165"/>
  <c r="L170" i="165" s="1"/>
  <c r="J90" i="165"/>
  <c r="S106" i="165" s="1"/>
  <c r="I120" i="165" s="1"/>
  <c r="H90" i="165"/>
  <c r="H170" i="165" s="1"/>
  <c r="T169" i="165"/>
  <c r="T168" i="165"/>
  <c r="T167" i="165"/>
  <c r="D87" i="165"/>
  <c r="D167" i="165" s="1"/>
  <c r="B87" i="165"/>
  <c r="B167" i="165" s="1"/>
  <c r="E71" i="165"/>
  <c r="E67" i="165"/>
  <c r="H51" i="165"/>
  <c r="L39" i="165"/>
  <c r="E39" i="165"/>
  <c r="S27" i="165"/>
  <c r="R39" i="165" s="1"/>
  <c r="S26" i="165"/>
  <c r="I40" i="165" s="1"/>
  <c r="D20" i="165"/>
  <c r="D19" i="165"/>
  <c r="D18" i="165"/>
  <c r="J19" i="153"/>
  <c r="J19" i="152"/>
  <c r="J19" i="150"/>
  <c r="Q548" i="160"/>
  <c r="O142" i="138"/>
  <c r="J18" i="156"/>
  <c r="J110" i="156" s="1"/>
  <c r="J198" i="156" s="1"/>
  <c r="J113" i="154"/>
  <c r="J202" i="154" s="1"/>
  <c r="J18" i="154"/>
  <c r="S60" i="154" s="1"/>
  <c r="Q62" i="154" s="1"/>
  <c r="J19" i="156"/>
  <c r="J111" i="156" s="1"/>
  <c r="J199" i="156" s="1"/>
  <c r="J21" i="156"/>
  <c r="J289" i="156" s="1"/>
  <c r="J381" i="156" s="1"/>
  <c r="J469" i="156" s="1"/>
  <c r="K161" i="11"/>
  <c r="K162" i="11"/>
  <c r="M161" i="11"/>
  <c r="M162" i="11"/>
  <c r="O161" i="11"/>
  <c r="O162" i="11"/>
  <c r="S162" i="11"/>
  <c r="Q160" i="11"/>
  <c r="O160" i="11"/>
  <c r="M160" i="11"/>
  <c r="K160" i="11"/>
  <c r="I160" i="11"/>
  <c r="F160" i="11"/>
  <c r="D161" i="11"/>
  <c r="D162" i="11"/>
  <c r="D160" i="11"/>
  <c r="B160" i="11"/>
  <c r="A160" i="11"/>
  <c r="J20" i="164"/>
  <c r="J144" i="164" s="1"/>
  <c r="J288" i="164" s="1"/>
  <c r="J18" i="160"/>
  <c r="S35" i="160" s="1"/>
  <c r="Q37" i="160" s="1"/>
  <c r="J19" i="164"/>
  <c r="J143" i="164" s="1"/>
  <c r="J287" i="164" s="1"/>
  <c r="J19" i="160"/>
  <c r="J111" i="160" s="1"/>
  <c r="J199" i="160" s="1"/>
  <c r="R5" i="160"/>
  <c r="O5" i="160"/>
  <c r="R4" i="160"/>
  <c r="O4" i="160"/>
  <c r="R3" i="160"/>
  <c r="O3" i="160"/>
  <c r="R2" i="160"/>
  <c r="O2" i="160"/>
  <c r="R1" i="160"/>
  <c r="O1" i="160"/>
  <c r="R5" i="153"/>
  <c r="O5" i="153"/>
  <c r="R4" i="153"/>
  <c r="O4" i="153"/>
  <c r="R3" i="153"/>
  <c r="O3" i="153"/>
  <c r="R2" i="153"/>
  <c r="O2" i="153"/>
  <c r="R1" i="153"/>
  <c r="O1" i="153"/>
  <c r="R5" i="156"/>
  <c r="O5" i="156"/>
  <c r="R4" i="156"/>
  <c r="O4" i="156"/>
  <c r="R3" i="156"/>
  <c r="O3" i="156"/>
  <c r="R2" i="156"/>
  <c r="O2" i="156"/>
  <c r="R1" i="156"/>
  <c r="O1" i="156"/>
  <c r="R5" i="152"/>
  <c r="O5" i="152"/>
  <c r="R4" i="152"/>
  <c r="O4" i="152"/>
  <c r="R3" i="152"/>
  <c r="O3" i="152"/>
  <c r="R2" i="152"/>
  <c r="O2" i="152"/>
  <c r="R1" i="152"/>
  <c r="O1" i="152"/>
  <c r="R5" i="154"/>
  <c r="O5" i="154"/>
  <c r="R4" i="154"/>
  <c r="O4" i="154"/>
  <c r="R3" i="154"/>
  <c r="O3" i="154"/>
  <c r="R2" i="154"/>
  <c r="O2" i="154"/>
  <c r="R1" i="154"/>
  <c r="O1" i="154"/>
  <c r="R5" i="150"/>
  <c r="O5" i="150"/>
  <c r="R4" i="150"/>
  <c r="O4" i="150"/>
  <c r="R3" i="150"/>
  <c r="O3" i="150"/>
  <c r="R2" i="150"/>
  <c r="O2" i="150"/>
  <c r="R1" i="150"/>
  <c r="O1" i="150"/>
  <c r="O703" i="164"/>
  <c r="M703" i="164"/>
  <c r="K703" i="164"/>
  <c r="O702" i="164"/>
  <c r="M702" i="164"/>
  <c r="K702" i="164"/>
  <c r="I702" i="164"/>
  <c r="H702" i="164"/>
  <c r="G702" i="164"/>
  <c r="F702" i="164"/>
  <c r="D702" i="164"/>
  <c r="B702" i="164"/>
  <c r="A702" i="164"/>
  <c r="B659" i="164"/>
  <c r="A659" i="164"/>
  <c r="B658" i="164"/>
  <c r="T657" i="164"/>
  <c r="S657" i="164"/>
  <c r="R657" i="164"/>
  <c r="Q657" i="164"/>
  <c r="P657" i="164"/>
  <c r="O657" i="164"/>
  <c r="N657" i="164"/>
  <c r="M657" i="164"/>
  <c r="L657" i="164"/>
  <c r="I657" i="164"/>
  <c r="H657" i="164"/>
  <c r="D657" i="164"/>
  <c r="J642" i="164"/>
  <c r="E629" i="164"/>
  <c r="G624" i="164"/>
  <c r="S615" i="164"/>
  <c r="O624" i="164" s="1"/>
  <c r="J568" i="164"/>
  <c r="H568" i="164"/>
  <c r="J554" i="164"/>
  <c r="E541" i="164"/>
  <c r="G536" i="164"/>
  <c r="S527" i="164"/>
  <c r="O536" i="164" s="1"/>
  <c r="J490" i="164"/>
  <c r="J578" i="164" s="1"/>
  <c r="J489" i="164"/>
  <c r="J577" i="164" s="1"/>
  <c r="D489" i="164"/>
  <c r="J481" i="164"/>
  <c r="O480" i="164"/>
  <c r="S496" i="164" s="1"/>
  <c r="L480" i="164"/>
  <c r="L568" i="164" s="1"/>
  <c r="J480" i="164"/>
  <c r="S526" i="164" s="1"/>
  <c r="H480" i="164"/>
  <c r="T479" i="164"/>
  <c r="D490" i="164" s="1"/>
  <c r="T478" i="164"/>
  <c r="T566" i="164" s="1"/>
  <c r="D577" i="164" s="1"/>
  <c r="B478" i="164"/>
  <c r="B566" i="164" s="1"/>
  <c r="D477" i="164"/>
  <c r="D565" i="164" s="1"/>
  <c r="C657" i="164" s="1"/>
  <c r="B477" i="164"/>
  <c r="B565" i="164" s="1"/>
  <c r="A657" i="164" s="1"/>
  <c r="J466" i="164"/>
  <c r="J461" i="164"/>
  <c r="G460" i="164"/>
  <c r="E453" i="164"/>
  <c r="G448" i="164"/>
  <c r="S441" i="164"/>
  <c r="S448" i="164" s="1"/>
  <c r="S439" i="164"/>
  <c r="O448" i="164" s="1"/>
  <c r="S438" i="164"/>
  <c r="L449" i="164" s="1"/>
  <c r="O420" i="164"/>
  <c r="O503" i="164" s="1"/>
  <c r="Q506" i="164" s="1"/>
  <c r="S413" i="164"/>
  <c r="Q413" i="164"/>
  <c r="D407" i="164"/>
  <c r="D406" i="164"/>
  <c r="H392" i="164"/>
  <c r="A390" i="164"/>
  <c r="A388" i="164"/>
  <c r="J352" i="164"/>
  <c r="E339" i="164"/>
  <c r="G334" i="164"/>
  <c r="S325" i="164"/>
  <c r="O334" i="164" s="1"/>
  <c r="D275" i="164"/>
  <c r="J264" i="164"/>
  <c r="E251" i="164"/>
  <c r="G246" i="164"/>
  <c r="S240" i="164"/>
  <c r="I246" i="164" s="1"/>
  <c r="S237" i="164"/>
  <c r="O246" i="164" s="1"/>
  <c r="K218" i="164"/>
  <c r="N212" i="164"/>
  <c r="I212" i="164"/>
  <c r="H212" i="164"/>
  <c r="G212" i="164"/>
  <c r="S208" i="164"/>
  <c r="K212" i="164" s="1"/>
  <c r="G202" i="164"/>
  <c r="S195" i="164"/>
  <c r="O202" i="164" s="1"/>
  <c r="R188" i="164"/>
  <c r="R187" i="164"/>
  <c r="I179" i="164"/>
  <c r="G179" i="164"/>
  <c r="S175" i="164"/>
  <c r="S172" i="164"/>
  <c r="O179" i="164" s="1"/>
  <c r="O157" i="164"/>
  <c r="Q160" i="164" s="1"/>
  <c r="O156" i="164"/>
  <c r="O300" i="164" s="1"/>
  <c r="O155" i="164"/>
  <c r="J160" i="164" s="1"/>
  <c r="J135" i="164"/>
  <c r="L279" i="164" s="1"/>
  <c r="O134" i="164"/>
  <c r="S177" i="164" s="1"/>
  <c r="L134" i="164"/>
  <c r="L278" i="164" s="1"/>
  <c r="S324" i="164" s="1"/>
  <c r="G346" i="164" s="1"/>
  <c r="J134" i="164"/>
  <c r="J278" i="164" s="1"/>
  <c r="H134" i="164"/>
  <c r="H278" i="164" s="1"/>
  <c r="D144" i="164"/>
  <c r="D143" i="164"/>
  <c r="B132" i="164"/>
  <c r="B276" i="164" s="1"/>
  <c r="T275" i="164"/>
  <c r="H131" i="164"/>
  <c r="H275" i="164" s="1"/>
  <c r="H394" i="164" s="1"/>
  <c r="H477" i="164" s="1"/>
  <c r="H565" i="164" s="1"/>
  <c r="B131" i="164"/>
  <c r="B275" i="164" s="1"/>
  <c r="K93" i="164"/>
  <c r="N87" i="164"/>
  <c r="I87" i="164"/>
  <c r="H87" i="164"/>
  <c r="G87" i="164"/>
  <c r="S83" i="164"/>
  <c r="K87" i="164" s="1"/>
  <c r="I79" i="164"/>
  <c r="G78" i="164"/>
  <c r="S76" i="164"/>
  <c r="S73" i="164"/>
  <c r="S78" i="164" s="1"/>
  <c r="S71" i="164"/>
  <c r="O78" i="164" s="1"/>
  <c r="S70" i="164"/>
  <c r="R64" i="164"/>
  <c r="R63" i="164"/>
  <c r="I56" i="164"/>
  <c r="I55" i="164"/>
  <c r="G55" i="164"/>
  <c r="S53" i="164"/>
  <c r="H26" i="164" s="1"/>
  <c r="H150" i="164" s="1"/>
  <c r="H413" i="164" s="1"/>
  <c r="H496" i="164" s="1"/>
  <c r="H584" i="164" s="1"/>
  <c r="S51" i="164"/>
  <c r="S50" i="164"/>
  <c r="S55" i="164" s="1"/>
  <c r="S48" i="164"/>
  <c r="O55" i="164" s="1"/>
  <c r="S47" i="164"/>
  <c r="J37" i="164"/>
  <c r="S52" i="164" s="1"/>
  <c r="Q36" i="164"/>
  <c r="J36" i="164"/>
  <c r="S26" i="164"/>
  <c r="Q26" i="164"/>
  <c r="D20" i="164"/>
  <c r="D19" i="164"/>
  <c r="J18" i="164"/>
  <c r="J142" i="164" s="1"/>
  <c r="J286" i="164" s="1"/>
  <c r="J405" i="164" s="1"/>
  <c r="D413" i="164" s="1"/>
  <c r="D18" i="164"/>
  <c r="R5" i="164"/>
  <c r="R392" i="164" s="1"/>
  <c r="O5" i="164"/>
  <c r="O392" i="164" s="1"/>
  <c r="G5" i="164"/>
  <c r="G392" i="164" s="1"/>
  <c r="D5" i="164"/>
  <c r="D392" i="164" s="1"/>
  <c r="C5" i="164"/>
  <c r="C392" i="164" s="1"/>
  <c r="A5" i="164"/>
  <c r="A392" i="164" s="1"/>
  <c r="R4" i="164"/>
  <c r="R391" i="164" s="1"/>
  <c r="O4" i="164"/>
  <c r="O391" i="164" s="1"/>
  <c r="R3" i="164"/>
  <c r="R390" i="164" s="1"/>
  <c r="O3" i="164"/>
  <c r="O390" i="164" s="1"/>
  <c r="H3" i="164"/>
  <c r="H390" i="164" s="1"/>
  <c r="R2" i="164"/>
  <c r="R389" i="164" s="1"/>
  <c r="O2" i="164"/>
  <c r="O389" i="164" s="1"/>
  <c r="H2" i="164"/>
  <c r="H389" i="164" s="1"/>
  <c r="R1" i="164"/>
  <c r="R388" i="164" s="1"/>
  <c r="O1" i="164"/>
  <c r="O388" i="164" s="1"/>
  <c r="H1" i="164"/>
  <c r="H388" i="164" s="1"/>
  <c r="J20" i="160"/>
  <c r="J288" i="160" s="1"/>
  <c r="J380" i="160" s="1"/>
  <c r="J468" i="160" s="1"/>
  <c r="R5" i="40"/>
  <c r="O5" i="40"/>
  <c r="R4" i="40"/>
  <c r="O4" i="40"/>
  <c r="R3" i="40"/>
  <c r="O3" i="40"/>
  <c r="R2" i="40"/>
  <c r="O2" i="40"/>
  <c r="R1" i="40"/>
  <c r="O1" i="40"/>
  <c r="R5" i="151"/>
  <c r="O5" i="151"/>
  <c r="R4" i="151"/>
  <c r="O4" i="151"/>
  <c r="R3" i="151"/>
  <c r="O3" i="151"/>
  <c r="R2" i="151"/>
  <c r="O2" i="151"/>
  <c r="R1" i="151"/>
  <c r="O1" i="151"/>
  <c r="R5" i="149"/>
  <c r="O5" i="149"/>
  <c r="R4" i="149"/>
  <c r="O4" i="149"/>
  <c r="R3" i="149"/>
  <c r="O3" i="149"/>
  <c r="R2" i="149"/>
  <c r="O2" i="149"/>
  <c r="R1" i="149"/>
  <c r="O1" i="149"/>
  <c r="R5" i="148"/>
  <c r="O5" i="148"/>
  <c r="R4" i="148"/>
  <c r="O4" i="148"/>
  <c r="R3" i="148"/>
  <c r="O3" i="148"/>
  <c r="R2" i="148"/>
  <c r="O2" i="148"/>
  <c r="R1" i="148"/>
  <c r="O1" i="148"/>
  <c r="R5" i="147"/>
  <c r="O5" i="147"/>
  <c r="R4" i="147"/>
  <c r="O4" i="147"/>
  <c r="R3" i="147"/>
  <c r="O3" i="147"/>
  <c r="R2" i="147"/>
  <c r="O2" i="147"/>
  <c r="R1" i="147"/>
  <c r="O1" i="147"/>
  <c r="R5" i="146"/>
  <c r="O5" i="146"/>
  <c r="R4" i="146"/>
  <c r="O4" i="146"/>
  <c r="R3" i="146"/>
  <c r="O3" i="146"/>
  <c r="R2" i="146"/>
  <c r="O2" i="146"/>
  <c r="R1" i="146"/>
  <c r="O1" i="146"/>
  <c r="R5" i="145"/>
  <c r="O5" i="145"/>
  <c r="R4" i="145"/>
  <c r="O4" i="145"/>
  <c r="R3" i="145"/>
  <c r="O3" i="145"/>
  <c r="R2" i="145"/>
  <c r="O2" i="145"/>
  <c r="R1" i="145"/>
  <c r="O1" i="145"/>
  <c r="R5" i="162"/>
  <c r="R392" i="162" s="1"/>
  <c r="O5" i="162"/>
  <c r="O392" i="162" s="1"/>
  <c r="R4" i="162"/>
  <c r="R391" i="162" s="1"/>
  <c r="O4" i="162"/>
  <c r="O391" i="162" s="1"/>
  <c r="R3" i="162"/>
  <c r="R390" i="162" s="1"/>
  <c r="O3" i="162"/>
  <c r="O390" i="162" s="1"/>
  <c r="R2" i="162"/>
  <c r="R389" i="162" s="1"/>
  <c r="O2" i="162"/>
  <c r="O389" i="162" s="1"/>
  <c r="R1" i="162"/>
  <c r="R388" i="162" s="1"/>
  <c r="O1" i="162"/>
  <c r="O388" i="162" s="1"/>
  <c r="R5" i="142"/>
  <c r="O5" i="142"/>
  <c r="R4" i="142"/>
  <c r="O4" i="142"/>
  <c r="R3" i="142"/>
  <c r="O3" i="142"/>
  <c r="R2" i="142"/>
  <c r="O2" i="142"/>
  <c r="R1" i="142"/>
  <c r="O1" i="142"/>
  <c r="R5" i="159"/>
  <c r="R392" i="159" s="1"/>
  <c r="O5" i="159"/>
  <c r="O392" i="159" s="1"/>
  <c r="R4" i="159"/>
  <c r="R391" i="159" s="1"/>
  <c r="O4" i="159"/>
  <c r="O391" i="159" s="1"/>
  <c r="R3" i="159"/>
  <c r="R390" i="159" s="1"/>
  <c r="O3" i="159"/>
  <c r="O390" i="159" s="1"/>
  <c r="R2" i="159"/>
  <c r="R389" i="159" s="1"/>
  <c r="O2" i="159"/>
  <c r="O389" i="159" s="1"/>
  <c r="R1" i="159"/>
  <c r="R388" i="159" s="1"/>
  <c r="O1" i="159"/>
  <c r="R5" i="6"/>
  <c r="O5" i="6"/>
  <c r="R4" i="6"/>
  <c r="O4" i="6"/>
  <c r="R3" i="6"/>
  <c r="O3" i="6"/>
  <c r="R2" i="6"/>
  <c r="O2" i="6"/>
  <c r="R1" i="6"/>
  <c r="O1" i="6"/>
  <c r="R5" i="38"/>
  <c r="O5" i="38"/>
  <c r="R4" i="38"/>
  <c r="O4" i="38"/>
  <c r="R3" i="38"/>
  <c r="O3" i="38"/>
  <c r="R2" i="38"/>
  <c r="O2" i="38"/>
  <c r="R1" i="38"/>
  <c r="O1" i="38"/>
  <c r="R5" i="88"/>
  <c r="O5" i="88"/>
  <c r="R4" i="88"/>
  <c r="O4" i="88"/>
  <c r="R3" i="88"/>
  <c r="O3" i="88"/>
  <c r="R2" i="88"/>
  <c r="O2" i="88"/>
  <c r="R1" i="88"/>
  <c r="O1" i="88"/>
  <c r="R5" i="3"/>
  <c r="O5" i="3"/>
  <c r="R4" i="3"/>
  <c r="O4" i="3"/>
  <c r="R3" i="3"/>
  <c r="O3" i="3"/>
  <c r="R2" i="3"/>
  <c r="O2" i="3"/>
  <c r="R1" i="3"/>
  <c r="O1" i="3"/>
  <c r="Q111" i="11"/>
  <c r="O112" i="11"/>
  <c r="M112" i="11"/>
  <c r="K112" i="11"/>
  <c r="O111" i="11"/>
  <c r="M111" i="11"/>
  <c r="K111" i="11"/>
  <c r="I111" i="11"/>
  <c r="F111" i="11"/>
  <c r="D111" i="11"/>
  <c r="B111" i="11"/>
  <c r="A111" i="11"/>
  <c r="S93" i="11"/>
  <c r="K93" i="11"/>
  <c r="M93" i="11"/>
  <c r="O93" i="11"/>
  <c r="D93" i="11"/>
  <c r="O703" i="162"/>
  <c r="M703" i="162"/>
  <c r="K703" i="162"/>
  <c r="Q702" i="162"/>
  <c r="O702" i="162"/>
  <c r="M702" i="162"/>
  <c r="K702" i="162"/>
  <c r="I702" i="162"/>
  <c r="H702" i="162"/>
  <c r="G702" i="162"/>
  <c r="F702" i="162"/>
  <c r="D702" i="162"/>
  <c r="B702" i="162"/>
  <c r="A702" i="162"/>
  <c r="B659" i="162"/>
  <c r="A659" i="162"/>
  <c r="B658" i="162"/>
  <c r="T657" i="162"/>
  <c r="S657" i="162"/>
  <c r="R657" i="162"/>
  <c r="Q657" i="162"/>
  <c r="P657" i="162"/>
  <c r="O657" i="162"/>
  <c r="N657" i="162"/>
  <c r="M657" i="162"/>
  <c r="L657" i="162"/>
  <c r="I657" i="162"/>
  <c r="H657" i="162"/>
  <c r="G657" i="162"/>
  <c r="F657" i="162"/>
  <c r="E657" i="162"/>
  <c r="D657" i="162"/>
  <c r="J642" i="162"/>
  <c r="E629" i="162"/>
  <c r="G624" i="162"/>
  <c r="S617" i="162"/>
  <c r="S624" i="162" s="1"/>
  <c r="S615" i="162"/>
  <c r="O624" i="162" s="1"/>
  <c r="S584" i="162"/>
  <c r="O568" i="162"/>
  <c r="Q584" i="162" s="1"/>
  <c r="L568" i="162"/>
  <c r="S614" i="162" s="1"/>
  <c r="L625" i="162" s="1"/>
  <c r="J568" i="162"/>
  <c r="H568" i="162"/>
  <c r="T567" i="162"/>
  <c r="D578" i="162" s="1"/>
  <c r="T566" i="162"/>
  <c r="D577" i="162" s="1"/>
  <c r="B566" i="162"/>
  <c r="H565" i="162"/>
  <c r="D565" i="162"/>
  <c r="C657" i="162" s="1"/>
  <c r="B565" i="162"/>
  <c r="A657" i="162" s="1"/>
  <c r="J554" i="162"/>
  <c r="E541" i="162"/>
  <c r="G536" i="162"/>
  <c r="S529" i="162"/>
  <c r="S527" i="162"/>
  <c r="O536" i="162" s="1"/>
  <c r="S526" i="162"/>
  <c r="S496" i="162"/>
  <c r="J490" i="162"/>
  <c r="J578" i="162" s="1"/>
  <c r="D490" i="162"/>
  <c r="J489" i="162"/>
  <c r="D489" i="162"/>
  <c r="J481" i="162"/>
  <c r="O480" i="162"/>
  <c r="Q496" i="162" s="1"/>
  <c r="L480" i="162"/>
  <c r="J480" i="162"/>
  <c r="H480" i="162"/>
  <c r="T479" i="162"/>
  <c r="T478" i="162"/>
  <c r="B478" i="162"/>
  <c r="D477" i="162"/>
  <c r="B477" i="162"/>
  <c r="J466" i="162"/>
  <c r="G460" i="162"/>
  <c r="E453" i="162"/>
  <c r="L449" i="162"/>
  <c r="G448" i="162"/>
  <c r="S441" i="162"/>
  <c r="S448" i="162" s="1"/>
  <c r="S439" i="162"/>
  <c r="O448" i="162" s="1"/>
  <c r="S438" i="162"/>
  <c r="O420" i="162"/>
  <c r="O503" i="162" s="1"/>
  <c r="O418" i="162"/>
  <c r="O501" i="162" s="1"/>
  <c r="S413" i="162"/>
  <c r="Q413" i="162"/>
  <c r="D407" i="162"/>
  <c r="D406" i="162"/>
  <c r="H392" i="162"/>
  <c r="A390" i="162"/>
  <c r="J352" i="162"/>
  <c r="E339" i="162"/>
  <c r="L335" i="162"/>
  <c r="O334" i="162"/>
  <c r="G334" i="162"/>
  <c r="S325" i="162"/>
  <c r="O299" i="162"/>
  <c r="B276" i="162"/>
  <c r="D275" i="162"/>
  <c r="J264" i="162"/>
  <c r="E251" i="162"/>
  <c r="I246" i="162"/>
  <c r="G246" i="162"/>
  <c r="S240" i="162"/>
  <c r="S237" i="162"/>
  <c r="O246" i="162" s="1"/>
  <c r="K218" i="162"/>
  <c r="N212" i="162"/>
  <c r="K212" i="162"/>
  <c r="I212" i="162"/>
  <c r="H212" i="162"/>
  <c r="G212" i="162"/>
  <c r="S208" i="162"/>
  <c r="O202" i="162"/>
  <c r="G202" i="162"/>
  <c r="S195" i="162"/>
  <c r="R187" i="162"/>
  <c r="I179" i="162"/>
  <c r="G179" i="162"/>
  <c r="S175" i="162"/>
  <c r="S172" i="162"/>
  <c r="O179" i="162" s="1"/>
  <c r="J160" i="162"/>
  <c r="O157" i="162"/>
  <c r="O301" i="162" s="1"/>
  <c r="Q304" i="162" s="1"/>
  <c r="O156" i="162"/>
  <c r="O155" i="162"/>
  <c r="S150" i="162"/>
  <c r="Q150" i="162"/>
  <c r="J144" i="162"/>
  <c r="J288" i="162" s="1"/>
  <c r="D142" i="162"/>
  <c r="J135" i="162"/>
  <c r="L279" i="162" s="1"/>
  <c r="O134" i="162"/>
  <c r="S177" i="162" s="1"/>
  <c r="L134" i="162"/>
  <c r="L278" i="162" s="1"/>
  <c r="S324" i="162" s="1"/>
  <c r="G346" i="162" s="1"/>
  <c r="J134" i="162"/>
  <c r="J278" i="162" s="1"/>
  <c r="H134" i="162"/>
  <c r="H278" i="162" s="1"/>
  <c r="T133" i="162"/>
  <c r="D144" i="162" s="1"/>
  <c r="T132" i="162"/>
  <c r="B132" i="162"/>
  <c r="T131" i="162"/>
  <c r="T275" i="162" s="1"/>
  <c r="H131" i="162"/>
  <c r="H275" i="162" s="1"/>
  <c r="H394" i="162" s="1"/>
  <c r="H477" i="162" s="1"/>
  <c r="B131" i="162"/>
  <c r="B275" i="162" s="1"/>
  <c r="K93" i="162"/>
  <c r="N87" i="162"/>
  <c r="K87" i="162"/>
  <c r="I87" i="162"/>
  <c r="H87" i="162"/>
  <c r="G87" i="162"/>
  <c r="S83" i="162"/>
  <c r="I79" i="162"/>
  <c r="S78" i="162"/>
  <c r="O78" i="162"/>
  <c r="G78" i="162"/>
  <c r="S76" i="162"/>
  <c r="S75" i="162"/>
  <c r="S73" i="162"/>
  <c r="S71" i="162"/>
  <c r="S70" i="162"/>
  <c r="R64" i="162"/>
  <c r="O64" i="162"/>
  <c r="O65" i="162" s="1"/>
  <c r="I78" i="162" s="1"/>
  <c r="R63" i="162"/>
  <c r="I56" i="162"/>
  <c r="S55" i="162"/>
  <c r="O55" i="162"/>
  <c r="I55" i="162"/>
  <c r="G55" i="162"/>
  <c r="S53" i="162"/>
  <c r="F26" i="162" s="1"/>
  <c r="F150" i="162" s="1"/>
  <c r="S51" i="162"/>
  <c r="S50" i="162"/>
  <c r="S48" i="162"/>
  <c r="S47" i="162"/>
  <c r="J37" i="162"/>
  <c r="S52" i="162" s="1"/>
  <c r="Q36" i="162"/>
  <c r="J36" i="162"/>
  <c r="S26" i="162"/>
  <c r="Q26" i="162"/>
  <c r="D20" i="162"/>
  <c r="J143" i="162"/>
  <c r="J287" i="162" s="1"/>
  <c r="D19" i="162"/>
  <c r="J18" i="162"/>
  <c r="J142" i="162" s="1"/>
  <c r="J286" i="162" s="1"/>
  <c r="J405" i="162" s="1"/>
  <c r="D413" i="162" s="1"/>
  <c r="D18" i="162"/>
  <c r="G5" i="162"/>
  <c r="G392" i="162" s="1"/>
  <c r="D5" i="162"/>
  <c r="D392" i="162" s="1"/>
  <c r="C5" i="162"/>
  <c r="C392" i="162" s="1"/>
  <c r="A5" i="162"/>
  <c r="A392" i="162" s="1"/>
  <c r="H3" i="162"/>
  <c r="H390" i="162" s="1"/>
  <c r="H2" i="162"/>
  <c r="H389" i="162" s="1"/>
  <c r="H1" i="162"/>
  <c r="H388" i="162" s="1"/>
  <c r="A388" i="162"/>
  <c r="Q702" i="159"/>
  <c r="Q91" i="11" s="1"/>
  <c r="O703" i="159"/>
  <c r="O92" i="11" s="1"/>
  <c r="M703" i="159"/>
  <c r="M92" i="11" s="1"/>
  <c r="K703" i="159"/>
  <c r="K92" i="11" s="1"/>
  <c r="O702" i="159"/>
  <c r="O91" i="11" s="1"/>
  <c r="M702" i="159"/>
  <c r="M91" i="11" s="1"/>
  <c r="K702" i="159"/>
  <c r="K91" i="11" s="1"/>
  <c r="I702" i="159"/>
  <c r="I91" i="11" s="1"/>
  <c r="H702" i="159"/>
  <c r="G702" i="159"/>
  <c r="F702" i="159"/>
  <c r="F91" i="11" s="1"/>
  <c r="D702" i="159"/>
  <c r="D91" i="11" s="1"/>
  <c r="B702" i="159"/>
  <c r="B91" i="11" s="1"/>
  <c r="A702" i="159"/>
  <c r="A91" i="11" s="1"/>
  <c r="H3" i="159"/>
  <c r="H390" i="159" s="1"/>
  <c r="J143" i="159"/>
  <c r="J287" i="159" s="1"/>
  <c r="J18" i="159"/>
  <c r="J142" i="159" s="1"/>
  <c r="J286" i="159" s="1"/>
  <c r="J405" i="159" s="1"/>
  <c r="O549" i="160"/>
  <c r="M549" i="160"/>
  <c r="K549" i="160"/>
  <c r="D549" i="160"/>
  <c r="O548" i="160"/>
  <c r="M548" i="160"/>
  <c r="K548" i="160"/>
  <c r="I548" i="160"/>
  <c r="H548" i="160"/>
  <c r="G548" i="160"/>
  <c r="F548" i="160"/>
  <c r="D548" i="160"/>
  <c r="B548" i="160"/>
  <c r="A548" i="160"/>
  <c r="G504" i="160"/>
  <c r="M489" i="160"/>
  <c r="S481" i="160"/>
  <c r="H489" i="160" s="1"/>
  <c r="T468" i="160"/>
  <c r="G416" i="160"/>
  <c r="M401" i="160"/>
  <c r="S393" i="160"/>
  <c r="H401" i="160" s="1"/>
  <c r="T380" i="160"/>
  <c r="J371" i="160"/>
  <c r="L459" i="160" s="1"/>
  <c r="O370" i="160"/>
  <c r="S396" i="160" s="1"/>
  <c r="K401" i="160" s="1"/>
  <c r="L370" i="160"/>
  <c r="L458" i="160" s="1"/>
  <c r="S480" i="160" s="1"/>
  <c r="J500" i="160" s="1"/>
  <c r="J370" i="160"/>
  <c r="J458" i="160" s="1"/>
  <c r="H370" i="160"/>
  <c r="H458" i="160" s="1"/>
  <c r="T369" i="160"/>
  <c r="T457" i="160" s="1"/>
  <c r="D468" i="160" s="1"/>
  <c r="T368" i="160"/>
  <c r="T456" i="160" s="1"/>
  <c r="D467" i="160" s="1"/>
  <c r="T367" i="160"/>
  <c r="T455" i="160" s="1"/>
  <c r="D466" i="160" s="1"/>
  <c r="H367" i="160"/>
  <c r="H455" i="160" s="1"/>
  <c r="D367" i="160"/>
  <c r="D455" i="160" s="1"/>
  <c r="B367" i="160"/>
  <c r="B455" i="160" s="1"/>
  <c r="L336" i="160"/>
  <c r="D329" i="160"/>
  <c r="S325" i="160"/>
  <c r="M329" i="160" s="1"/>
  <c r="S323" i="160"/>
  <c r="I329" i="160" s="1"/>
  <c r="S322" i="160"/>
  <c r="I330" i="160" s="1"/>
  <c r="S301" i="160"/>
  <c r="M305" i="160" s="1"/>
  <c r="S300" i="160"/>
  <c r="S324" i="160" s="1"/>
  <c r="S299" i="160"/>
  <c r="I305" i="160" s="1"/>
  <c r="S298" i="160"/>
  <c r="I306" i="160" s="1"/>
  <c r="T288" i="160"/>
  <c r="R288" i="160"/>
  <c r="P288" i="160"/>
  <c r="D288" i="160"/>
  <c r="D287" i="160"/>
  <c r="J286" i="160"/>
  <c r="S303" i="160" s="1"/>
  <c r="Q305" i="160" s="1"/>
  <c r="D286" i="160"/>
  <c r="Y281" i="160"/>
  <c r="G236" i="160"/>
  <c r="M221" i="160"/>
  <c r="S213" i="160"/>
  <c r="H221" i="160" s="1"/>
  <c r="T200" i="160"/>
  <c r="G148" i="160"/>
  <c r="M133" i="160"/>
  <c r="S125" i="160"/>
  <c r="H133" i="160" s="1"/>
  <c r="T112" i="160"/>
  <c r="J103" i="160"/>
  <c r="L191" i="160" s="1"/>
  <c r="O102" i="160"/>
  <c r="O190" i="160" s="1"/>
  <c r="L102" i="160"/>
  <c r="L190" i="160" s="1"/>
  <c r="S212" i="160" s="1"/>
  <c r="J232" i="160" s="1"/>
  <c r="J102" i="160"/>
  <c r="S124" i="160" s="1"/>
  <c r="J144" i="160" s="1"/>
  <c r="H102" i="160"/>
  <c r="H190" i="160" s="1"/>
  <c r="T101" i="160"/>
  <c r="T189" i="160" s="1"/>
  <c r="D200" i="160" s="1"/>
  <c r="T100" i="160"/>
  <c r="T188" i="160" s="1"/>
  <c r="D199" i="160" s="1"/>
  <c r="T99" i="160"/>
  <c r="T187" i="160" s="1"/>
  <c r="D198" i="160" s="1"/>
  <c r="H99" i="160"/>
  <c r="H187" i="160" s="1"/>
  <c r="D99" i="160"/>
  <c r="D187" i="160" s="1"/>
  <c r="B99" i="160"/>
  <c r="B187" i="160" s="1"/>
  <c r="L68" i="160"/>
  <c r="D61" i="160"/>
  <c r="S57" i="160"/>
  <c r="M61" i="160" s="1"/>
  <c r="S55" i="160"/>
  <c r="I61" i="160" s="1"/>
  <c r="S54" i="160"/>
  <c r="S53" i="160" s="1"/>
  <c r="F61" i="160" s="1"/>
  <c r="S33" i="160"/>
  <c r="M37" i="160" s="1"/>
  <c r="S32" i="160"/>
  <c r="S38" i="160" s="1"/>
  <c r="S31" i="160"/>
  <c r="I37" i="160" s="1"/>
  <c r="S30" i="160"/>
  <c r="I38" i="160" s="1"/>
  <c r="T20" i="160"/>
  <c r="R20" i="160"/>
  <c r="P20" i="160"/>
  <c r="D20" i="160"/>
  <c r="D19" i="160"/>
  <c r="D18" i="160"/>
  <c r="W13" i="160"/>
  <c r="G5" i="160"/>
  <c r="D5" i="160"/>
  <c r="C5" i="160"/>
  <c r="A5" i="160"/>
  <c r="H3" i="160"/>
  <c r="H2" i="160"/>
  <c r="H1" i="160"/>
  <c r="B659" i="159"/>
  <c r="A659" i="159"/>
  <c r="B658" i="159"/>
  <c r="T657" i="159"/>
  <c r="S657" i="159"/>
  <c r="R657" i="159"/>
  <c r="Q657" i="159"/>
  <c r="P657" i="159"/>
  <c r="O657" i="159"/>
  <c r="N657" i="159"/>
  <c r="M657" i="159"/>
  <c r="L657" i="159"/>
  <c r="I657" i="159"/>
  <c r="H657" i="159"/>
  <c r="J642" i="159"/>
  <c r="E629" i="159"/>
  <c r="G624" i="159"/>
  <c r="S615" i="159"/>
  <c r="O624" i="159" s="1"/>
  <c r="J554" i="159"/>
  <c r="E541" i="159"/>
  <c r="G536" i="159"/>
  <c r="S527" i="159"/>
  <c r="O536" i="159" s="1"/>
  <c r="J490" i="159"/>
  <c r="J578" i="159" s="1"/>
  <c r="J489" i="159"/>
  <c r="J577" i="159" s="1"/>
  <c r="J481" i="159"/>
  <c r="J657" i="159" s="1"/>
  <c r="O480" i="159"/>
  <c r="O568" i="159" s="1"/>
  <c r="L480" i="159"/>
  <c r="L568" i="159" s="1"/>
  <c r="F657" i="159" s="1"/>
  <c r="J480" i="159"/>
  <c r="J568" i="159" s="1"/>
  <c r="H480" i="159"/>
  <c r="H568" i="159" s="1"/>
  <c r="T479" i="159"/>
  <c r="T567" i="159" s="1"/>
  <c r="D578" i="159" s="1"/>
  <c r="T478" i="159"/>
  <c r="T566" i="159" s="1"/>
  <c r="D577" i="159" s="1"/>
  <c r="B478" i="159"/>
  <c r="B566" i="159" s="1"/>
  <c r="A658" i="159" s="1"/>
  <c r="D477" i="159"/>
  <c r="D565" i="159" s="1"/>
  <c r="C657" i="159" s="1"/>
  <c r="B477" i="159"/>
  <c r="B565" i="159" s="1"/>
  <c r="A657" i="159" s="1"/>
  <c r="J466" i="159"/>
  <c r="E453" i="159"/>
  <c r="G448" i="159"/>
  <c r="S441" i="159"/>
  <c r="J461" i="159" s="1"/>
  <c r="S439" i="159"/>
  <c r="O448" i="159" s="1"/>
  <c r="S438" i="159"/>
  <c r="G460" i="159" s="1"/>
  <c r="O420" i="159"/>
  <c r="O503" i="159" s="1"/>
  <c r="S413" i="159"/>
  <c r="Q413" i="159"/>
  <c r="D407" i="159"/>
  <c r="D406" i="159"/>
  <c r="H392" i="159"/>
  <c r="J352" i="159"/>
  <c r="E339" i="159"/>
  <c r="G334" i="159"/>
  <c r="S325" i="159"/>
  <c r="O334" i="159" s="1"/>
  <c r="D275" i="159"/>
  <c r="J264" i="159"/>
  <c r="E251" i="159"/>
  <c r="G246" i="159"/>
  <c r="S240" i="159"/>
  <c r="I246" i="159" s="1"/>
  <c r="S237" i="159"/>
  <c r="O246" i="159" s="1"/>
  <c r="K218" i="159"/>
  <c r="N212" i="159"/>
  <c r="I212" i="159"/>
  <c r="H212" i="159"/>
  <c r="G212" i="159"/>
  <c r="S208" i="159"/>
  <c r="K212" i="159" s="1"/>
  <c r="G202" i="159"/>
  <c r="S195" i="159"/>
  <c r="O202" i="159" s="1"/>
  <c r="R187" i="159"/>
  <c r="I179" i="159"/>
  <c r="G179" i="159"/>
  <c r="S175" i="159"/>
  <c r="S172" i="159"/>
  <c r="O179" i="159" s="1"/>
  <c r="O157" i="159"/>
  <c r="Q160" i="159" s="1"/>
  <c r="O156" i="159"/>
  <c r="O419" i="159" s="1"/>
  <c r="O502" i="159" s="1"/>
  <c r="O590" i="159" s="1"/>
  <c r="O155" i="159"/>
  <c r="O418" i="159" s="1"/>
  <c r="J144" i="159"/>
  <c r="J288" i="159" s="1"/>
  <c r="J135" i="159"/>
  <c r="L279" i="159" s="1"/>
  <c r="O134" i="159"/>
  <c r="S177" i="159" s="1"/>
  <c r="L134" i="159"/>
  <c r="L278" i="159" s="1"/>
  <c r="S324" i="159" s="1"/>
  <c r="G346" i="159" s="1"/>
  <c r="J134" i="159"/>
  <c r="J278" i="159" s="1"/>
  <c r="H134" i="159"/>
  <c r="H278" i="159" s="1"/>
  <c r="T133" i="159"/>
  <c r="D144" i="159" s="1"/>
  <c r="D143" i="159"/>
  <c r="B132" i="159"/>
  <c r="B276" i="159" s="1"/>
  <c r="T275" i="159"/>
  <c r="D286" i="159" s="1"/>
  <c r="H131" i="159"/>
  <c r="H275" i="159" s="1"/>
  <c r="H394" i="159" s="1"/>
  <c r="H477" i="159" s="1"/>
  <c r="H565" i="159" s="1"/>
  <c r="B131" i="159"/>
  <c r="B275" i="159" s="1"/>
  <c r="K93" i="159"/>
  <c r="N87" i="159"/>
  <c r="I87" i="159"/>
  <c r="H87" i="159"/>
  <c r="G87" i="159"/>
  <c r="S83" i="159"/>
  <c r="K87" i="159" s="1"/>
  <c r="I79" i="159"/>
  <c r="G78" i="159"/>
  <c r="S76" i="159"/>
  <c r="S73" i="159"/>
  <c r="S78" i="159" s="1"/>
  <c r="S71" i="159"/>
  <c r="O78" i="159" s="1"/>
  <c r="S70" i="159"/>
  <c r="R64" i="159"/>
  <c r="R63" i="159"/>
  <c r="I56" i="159"/>
  <c r="I55" i="159"/>
  <c r="G55" i="159"/>
  <c r="S53" i="159"/>
  <c r="H26" i="159" s="1"/>
  <c r="H150" i="159" s="1"/>
  <c r="H413" i="159" s="1"/>
  <c r="H496" i="159" s="1"/>
  <c r="H584" i="159" s="1"/>
  <c r="S51" i="159"/>
  <c r="S50" i="159"/>
  <c r="S55" i="159" s="1"/>
  <c r="S48" i="159"/>
  <c r="O55" i="159" s="1"/>
  <c r="S47" i="159"/>
  <c r="J37" i="159"/>
  <c r="S52" i="159" s="1"/>
  <c r="Q36" i="159"/>
  <c r="J36" i="159"/>
  <c r="S26" i="159"/>
  <c r="Q26" i="159"/>
  <c r="D20" i="159"/>
  <c r="D19" i="159"/>
  <c r="D18" i="159"/>
  <c r="G5" i="159"/>
  <c r="G392" i="159" s="1"/>
  <c r="D5" i="159"/>
  <c r="D392" i="159" s="1"/>
  <c r="C5" i="159"/>
  <c r="C392" i="159" s="1"/>
  <c r="A5" i="159"/>
  <c r="A392" i="159" s="1"/>
  <c r="A390" i="159"/>
  <c r="H2" i="159"/>
  <c r="H389" i="159" s="1"/>
  <c r="O388" i="159"/>
  <c r="H1" i="159"/>
  <c r="H388" i="159" s="1"/>
  <c r="A388" i="159"/>
  <c r="H424" i="158"/>
  <c r="G424" i="158"/>
  <c r="M64" i="11"/>
  <c r="O64" i="11"/>
  <c r="S64" i="11"/>
  <c r="K64" i="11"/>
  <c r="J172" i="158"/>
  <c r="J18" i="158"/>
  <c r="D26" i="158" s="1"/>
  <c r="Q424" i="158"/>
  <c r="Q62" i="11" s="1"/>
  <c r="D426" i="158"/>
  <c r="D64" i="11" s="1"/>
  <c r="O425" i="158"/>
  <c r="O63" i="11" s="1"/>
  <c r="M425" i="158"/>
  <c r="M63" i="11" s="1"/>
  <c r="K425" i="158"/>
  <c r="K63" i="11" s="1"/>
  <c r="D425" i="158"/>
  <c r="D63" i="11" s="1"/>
  <c r="O424" i="158"/>
  <c r="O62" i="11" s="1"/>
  <c r="M424" i="158"/>
  <c r="M62" i="11" s="1"/>
  <c r="K424" i="158"/>
  <c r="K62" i="11" s="1"/>
  <c r="F424" i="158"/>
  <c r="F62" i="11" s="1"/>
  <c r="D424" i="158"/>
  <c r="D62" i="11" s="1"/>
  <c r="B424" i="158"/>
  <c r="B62" i="11" s="1"/>
  <c r="A424" i="158"/>
  <c r="A62" i="11" s="1"/>
  <c r="E384" i="158"/>
  <c r="S329" i="158"/>
  <c r="O356" i="158" s="1"/>
  <c r="B281" i="158"/>
  <c r="D280" i="158"/>
  <c r="E256" i="158"/>
  <c r="S201" i="158"/>
  <c r="O224" i="158" s="1"/>
  <c r="O163" i="158"/>
  <c r="S179" i="158" s="1"/>
  <c r="L163" i="158"/>
  <c r="L283" i="158" s="1"/>
  <c r="S328" i="158" s="1"/>
  <c r="J163" i="158"/>
  <c r="J283" i="158" s="1"/>
  <c r="H163" i="158"/>
  <c r="H283" i="158" s="1"/>
  <c r="T162" i="158"/>
  <c r="T282" i="158" s="1"/>
  <c r="D293" i="158" s="1"/>
  <c r="T161" i="158"/>
  <c r="D172" i="158" s="1"/>
  <c r="T160" i="158"/>
  <c r="T280" i="158" s="1"/>
  <c r="D291" i="158" s="1"/>
  <c r="H160" i="158"/>
  <c r="H280" i="158" s="1"/>
  <c r="F160" i="158"/>
  <c r="F280" i="158" s="1"/>
  <c r="B280" i="158"/>
  <c r="E155" i="158"/>
  <c r="T152" i="158"/>
  <c r="E105" i="158"/>
  <c r="S50" i="158"/>
  <c r="R137" i="158" s="1"/>
  <c r="S48" i="158"/>
  <c r="O98" i="158" s="1"/>
  <c r="S47" i="158"/>
  <c r="M102" i="158" s="1"/>
  <c r="S26" i="158"/>
  <c r="Q26" i="158"/>
  <c r="H26" i="158"/>
  <c r="H179" i="158" s="1"/>
  <c r="H299" i="158" s="1"/>
  <c r="F26" i="158"/>
  <c r="F179" i="158" s="1"/>
  <c r="F299" i="158" s="1"/>
  <c r="D20" i="158"/>
  <c r="D19" i="158"/>
  <c r="D18" i="158"/>
  <c r="H11" i="158"/>
  <c r="I424" i="158" s="1"/>
  <c r="I62" i="11" s="1"/>
  <c r="O549" i="156"/>
  <c r="M549" i="156"/>
  <c r="K549" i="156"/>
  <c r="D549" i="156"/>
  <c r="Q548" i="156"/>
  <c r="O548" i="156"/>
  <c r="M548" i="156"/>
  <c r="K548" i="156"/>
  <c r="I548" i="156"/>
  <c r="H548" i="156"/>
  <c r="G548" i="156"/>
  <c r="F548" i="156"/>
  <c r="D548" i="156"/>
  <c r="B548" i="156"/>
  <c r="A548" i="156"/>
  <c r="G504" i="156"/>
  <c r="M489" i="156"/>
  <c r="S481" i="156"/>
  <c r="H489" i="156" s="1"/>
  <c r="T468" i="156"/>
  <c r="G416" i="156"/>
  <c r="M401" i="156"/>
  <c r="S393" i="156"/>
  <c r="H401" i="156" s="1"/>
  <c r="T380" i="156"/>
  <c r="J371" i="156"/>
  <c r="L459" i="156" s="1"/>
  <c r="O370" i="156"/>
  <c r="R380" i="156" s="1"/>
  <c r="L370" i="156"/>
  <c r="L458" i="156" s="1"/>
  <c r="S480" i="156" s="1"/>
  <c r="J500" i="156" s="1"/>
  <c r="J370" i="156"/>
  <c r="J458" i="156" s="1"/>
  <c r="H370" i="156"/>
  <c r="H458" i="156" s="1"/>
  <c r="T369" i="156"/>
  <c r="T457" i="156" s="1"/>
  <c r="D468" i="156" s="1"/>
  <c r="T368" i="156"/>
  <c r="T456" i="156" s="1"/>
  <c r="D467" i="156" s="1"/>
  <c r="T367" i="156"/>
  <c r="T455" i="156" s="1"/>
  <c r="D466" i="156" s="1"/>
  <c r="H367" i="156"/>
  <c r="H455" i="156" s="1"/>
  <c r="D367" i="156"/>
  <c r="D455" i="156" s="1"/>
  <c r="B367" i="156"/>
  <c r="B455" i="156" s="1"/>
  <c r="L336" i="156"/>
  <c r="D329" i="156"/>
  <c r="S325" i="156"/>
  <c r="M329" i="156" s="1"/>
  <c r="S323" i="156"/>
  <c r="I329" i="156" s="1"/>
  <c r="S322" i="156"/>
  <c r="I330" i="156" s="1"/>
  <c r="S301" i="156"/>
  <c r="M305" i="156" s="1"/>
  <c r="S300" i="156"/>
  <c r="S324" i="156" s="1"/>
  <c r="S330" i="156" s="1"/>
  <c r="S299" i="156"/>
  <c r="I305" i="156" s="1"/>
  <c r="S298" i="156"/>
  <c r="I306" i="156" s="1"/>
  <c r="T288" i="156"/>
  <c r="R288" i="156"/>
  <c r="P288" i="156"/>
  <c r="J288" i="156"/>
  <c r="J380" i="156" s="1"/>
  <c r="J468" i="156" s="1"/>
  <c r="D288" i="156"/>
  <c r="D287" i="156"/>
  <c r="J286" i="156"/>
  <c r="S327" i="156" s="1"/>
  <c r="Q329" i="156" s="1"/>
  <c r="D286" i="156"/>
  <c r="Y281" i="156"/>
  <c r="G236" i="156"/>
  <c r="M221" i="156"/>
  <c r="S213" i="156"/>
  <c r="H221" i="156" s="1"/>
  <c r="T200" i="156"/>
  <c r="G148" i="156"/>
  <c r="M133" i="156"/>
  <c r="S125" i="156"/>
  <c r="H133" i="156" s="1"/>
  <c r="T112" i="156"/>
  <c r="J112" i="156"/>
  <c r="J200" i="156" s="1"/>
  <c r="J103" i="156"/>
  <c r="L191" i="156" s="1"/>
  <c r="O102" i="156"/>
  <c r="S128" i="156" s="1"/>
  <c r="K133" i="156" s="1"/>
  <c r="L102" i="156"/>
  <c r="L190" i="156" s="1"/>
  <c r="S212" i="156" s="1"/>
  <c r="J232" i="156" s="1"/>
  <c r="J102" i="156"/>
  <c r="S124" i="156" s="1"/>
  <c r="J144" i="156" s="1"/>
  <c r="H102" i="156"/>
  <c r="H190" i="156" s="1"/>
  <c r="T101" i="156"/>
  <c r="D112" i="156" s="1"/>
  <c r="T100" i="156"/>
  <c r="T188" i="156" s="1"/>
  <c r="D199" i="156" s="1"/>
  <c r="T99" i="156"/>
  <c r="T187" i="156" s="1"/>
  <c r="D198" i="156" s="1"/>
  <c r="H99" i="156"/>
  <c r="H187" i="156" s="1"/>
  <c r="D99" i="156"/>
  <c r="D187" i="156" s="1"/>
  <c r="B99" i="156"/>
  <c r="B187" i="156" s="1"/>
  <c r="L68" i="156"/>
  <c r="D61" i="156"/>
  <c r="S57" i="156"/>
  <c r="M61" i="156" s="1"/>
  <c r="S55" i="156"/>
  <c r="I61" i="156" s="1"/>
  <c r="S54" i="156"/>
  <c r="I62" i="156" s="1"/>
  <c r="S53" i="156"/>
  <c r="F61" i="156" s="1"/>
  <c r="S33" i="156"/>
  <c r="M37" i="156" s="1"/>
  <c r="S32" i="156"/>
  <c r="S56" i="156" s="1"/>
  <c r="S31" i="156"/>
  <c r="I37" i="156" s="1"/>
  <c r="S30" i="156"/>
  <c r="I38" i="156" s="1"/>
  <c r="T20" i="156"/>
  <c r="R20" i="156"/>
  <c r="P20" i="156"/>
  <c r="P21" i="156" s="1"/>
  <c r="D20" i="156"/>
  <c r="D19" i="156"/>
  <c r="D18" i="156"/>
  <c r="W13" i="156"/>
  <c r="G5" i="156"/>
  <c r="D5" i="156"/>
  <c r="C5" i="156"/>
  <c r="A5" i="156"/>
  <c r="H3" i="156"/>
  <c r="H2" i="156"/>
  <c r="H1" i="156"/>
  <c r="S196" i="11"/>
  <c r="S194" i="11"/>
  <c r="O196" i="11"/>
  <c r="M196" i="11"/>
  <c r="K196" i="11"/>
  <c r="D196" i="11"/>
  <c r="Q552" i="154"/>
  <c r="H3" i="154"/>
  <c r="H1" i="154"/>
  <c r="H2" i="154"/>
  <c r="A5" i="154"/>
  <c r="C5" i="154"/>
  <c r="D5" i="154"/>
  <c r="G5" i="154"/>
  <c r="W13" i="154"/>
  <c r="D18" i="154"/>
  <c r="D19" i="154"/>
  <c r="D20" i="154"/>
  <c r="J114" i="154"/>
  <c r="J203" i="154" s="1"/>
  <c r="P20" i="154"/>
  <c r="R20" i="154"/>
  <c r="T20" i="154"/>
  <c r="S30" i="154"/>
  <c r="I38" i="154" s="1"/>
  <c r="S31" i="154"/>
  <c r="I37" i="154" s="1"/>
  <c r="S32" i="154"/>
  <c r="S57" i="154" s="1"/>
  <c r="S33" i="154"/>
  <c r="M37" i="154" s="1"/>
  <c r="S55" i="154"/>
  <c r="S54" i="154" s="1"/>
  <c r="F62" i="154" s="1"/>
  <c r="S56" i="154"/>
  <c r="I62" i="154" s="1"/>
  <c r="S58" i="154"/>
  <c r="M62" i="154" s="1"/>
  <c r="D62" i="154"/>
  <c r="L69" i="154"/>
  <c r="B101" i="154"/>
  <c r="B190" i="154" s="1"/>
  <c r="D101" i="154"/>
  <c r="D190" i="154" s="1"/>
  <c r="H101" i="154"/>
  <c r="H190" i="154" s="1"/>
  <c r="T101" i="154"/>
  <c r="T190" i="154" s="1"/>
  <c r="D201" i="154" s="1"/>
  <c r="T102" i="154"/>
  <c r="T191" i="154" s="1"/>
  <c r="D202" i="154" s="1"/>
  <c r="T103" i="154"/>
  <c r="T192" i="154" s="1"/>
  <c r="D203" i="154" s="1"/>
  <c r="H104" i="154"/>
  <c r="H193" i="154" s="1"/>
  <c r="J104" i="154"/>
  <c r="D553" i="154" s="1"/>
  <c r="L104" i="154"/>
  <c r="L193" i="154" s="1"/>
  <c r="S215" i="154" s="1"/>
  <c r="J235" i="154" s="1"/>
  <c r="O104" i="154"/>
  <c r="P114" i="154" s="1"/>
  <c r="J105" i="154"/>
  <c r="L194" i="154" s="1"/>
  <c r="T114" i="154"/>
  <c r="S127" i="154"/>
  <c r="H135" i="154" s="1"/>
  <c r="M135" i="154"/>
  <c r="G150" i="154"/>
  <c r="T203" i="154"/>
  <c r="S216" i="154"/>
  <c r="H224" i="154" s="1"/>
  <c r="M224" i="154"/>
  <c r="G239" i="154"/>
  <c r="W284" i="154"/>
  <c r="D289" i="154"/>
  <c r="J289" i="154"/>
  <c r="S306" i="154" s="1"/>
  <c r="Q308" i="154" s="1"/>
  <c r="D290" i="154"/>
  <c r="D291" i="154"/>
  <c r="P291" i="154"/>
  <c r="R291" i="154"/>
  <c r="T291" i="154"/>
  <c r="S301" i="154"/>
  <c r="S300" i="154" s="1"/>
  <c r="S394" i="154" s="1"/>
  <c r="S302" i="154"/>
  <c r="I308" i="154" s="1"/>
  <c r="S303" i="154"/>
  <c r="Q309" i="154" s="1"/>
  <c r="S304" i="154"/>
  <c r="M308" i="154" s="1"/>
  <c r="S325" i="154"/>
  <c r="I333" i="154" s="1"/>
  <c r="S326" i="154"/>
  <c r="I332" i="154" s="1"/>
  <c r="S328" i="154"/>
  <c r="M332" i="154" s="1"/>
  <c r="D332" i="154"/>
  <c r="L339" i="154"/>
  <c r="B370" i="154"/>
  <c r="B458" i="154" s="1"/>
  <c r="D370" i="154"/>
  <c r="D458" i="154" s="1"/>
  <c r="H370" i="154"/>
  <c r="H458" i="154" s="1"/>
  <c r="T370" i="154"/>
  <c r="D381" i="154" s="1"/>
  <c r="T371" i="154"/>
  <c r="D382" i="154" s="1"/>
  <c r="T372" i="154"/>
  <c r="D383" i="154" s="1"/>
  <c r="H373" i="154"/>
  <c r="H461" i="154" s="1"/>
  <c r="J373" i="154"/>
  <c r="S395" i="154" s="1"/>
  <c r="J415" i="154" s="1"/>
  <c r="L373" i="154"/>
  <c r="L461" i="154" s="1"/>
  <c r="S483" i="154" s="1"/>
  <c r="J503" i="154" s="1"/>
  <c r="O373" i="154"/>
  <c r="J374" i="154"/>
  <c r="L462" i="154" s="1"/>
  <c r="T383" i="154"/>
  <c r="S396" i="154"/>
  <c r="H404" i="154" s="1"/>
  <c r="M404" i="154"/>
  <c r="G419" i="154"/>
  <c r="T471" i="154"/>
  <c r="S484" i="154"/>
  <c r="H492" i="154" s="1"/>
  <c r="M492" i="154"/>
  <c r="G507" i="154"/>
  <c r="A552" i="154"/>
  <c r="B552" i="154"/>
  <c r="D552" i="154"/>
  <c r="F552" i="154"/>
  <c r="I552" i="154"/>
  <c r="K552" i="154"/>
  <c r="M552" i="154"/>
  <c r="O552" i="154"/>
  <c r="J19" i="80"/>
  <c r="J18" i="80"/>
  <c r="C187" i="14" l="1"/>
  <c r="M194" i="14" s="1"/>
  <c r="M195" i="14" s="1"/>
  <c r="C141" i="8"/>
  <c r="C142" i="8" s="1"/>
  <c r="M146" i="8" s="1"/>
  <c r="M147" i="8" s="1"/>
  <c r="C184" i="8"/>
  <c r="F184" i="8"/>
  <c r="AB141" i="8"/>
  <c r="P142" i="8"/>
  <c r="Q155" i="8" s="1"/>
  <c r="Q157" i="8" s="1"/>
  <c r="F142" i="8"/>
  <c r="AB184" i="8"/>
  <c r="Y141" i="8"/>
  <c r="Y142" i="8" s="1"/>
  <c r="AI146" i="8" s="1"/>
  <c r="AI147" i="8" s="1"/>
  <c r="Y184" i="8"/>
  <c r="Y185" i="8" s="1"/>
  <c r="AI189" i="8" s="1"/>
  <c r="AI190" i="8" s="1"/>
  <c r="C144" i="14"/>
  <c r="F144" i="14"/>
  <c r="P144" i="14"/>
  <c r="Q157" i="14" s="1"/>
  <c r="Q159" i="14" s="1"/>
  <c r="F187" i="14"/>
  <c r="M188" i="14"/>
  <c r="Q198" i="14" s="1"/>
  <c r="Q200" i="14" s="1"/>
  <c r="F413" i="162"/>
  <c r="F496" i="162" s="1"/>
  <c r="F584" i="162" s="1"/>
  <c r="F294" i="162"/>
  <c r="S242" i="162"/>
  <c r="H26" i="162"/>
  <c r="H150" i="162" s="1"/>
  <c r="C186" i="6"/>
  <c r="F143" i="6"/>
  <c r="C144" i="6"/>
  <c r="M147" i="6" s="1"/>
  <c r="M148" i="6" s="1"/>
  <c r="F186" i="6"/>
  <c r="F142" i="88"/>
  <c r="G123" i="88"/>
  <c r="Q131" i="88" s="1"/>
  <c r="Q133" i="88" s="1"/>
  <c r="J122" i="88"/>
  <c r="L142" i="88"/>
  <c r="R185" i="88"/>
  <c r="J183" i="88"/>
  <c r="G165" i="88"/>
  <c r="Q175" i="88" s="1"/>
  <c r="Q177" i="88" s="1"/>
  <c r="J164" i="88"/>
  <c r="L185" i="88"/>
  <c r="F185" i="88"/>
  <c r="F186" i="88" s="1"/>
  <c r="R142" i="88"/>
  <c r="J139" i="88"/>
  <c r="O142" i="88"/>
  <c r="G139" i="88"/>
  <c r="G164" i="88"/>
  <c r="M167" i="88" s="1"/>
  <c r="M168" i="88" s="1"/>
  <c r="I185" i="88"/>
  <c r="C185" i="88"/>
  <c r="I142" i="88"/>
  <c r="C142" i="88"/>
  <c r="G122" i="88"/>
  <c r="M125" i="88" s="1"/>
  <c r="M126" i="88" s="1"/>
  <c r="G183" i="88"/>
  <c r="O185" i="88"/>
  <c r="K234" i="11"/>
  <c r="K240" i="11"/>
  <c r="L80" i="176"/>
  <c r="P80" i="176"/>
  <c r="O194" i="11"/>
  <c r="O184" i="11"/>
  <c r="F233" i="11"/>
  <c r="F238" i="11"/>
  <c r="M194" i="11"/>
  <c r="M184" i="11"/>
  <c r="K194" i="11"/>
  <c r="K184" i="11"/>
  <c r="Q233" i="11"/>
  <c r="Q238" i="11"/>
  <c r="Q194" i="11"/>
  <c r="Q184" i="11"/>
  <c r="O233" i="11"/>
  <c r="O238" i="11"/>
  <c r="F194" i="11"/>
  <c r="F184" i="11"/>
  <c r="D194" i="11"/>
  <c r="D184" i="11"/>
  <c r="I194" i="11"/>
  <c r="I184" i="11"/>
  <c r="B194" i="11"/>
  <c r="B184" i="11"/>
  <c r="A194" i="11"/>
  <c r="A184" i="11"/>
  <c r="D233" i="11"/>
  <c r="D238" i="11"/>
  <c r="M195" i="11"/>
  <c r="M185" i="11"/>
  <c r="O195" i="11"/>
  <c r="O185" i="11"/>
  <c r="K195" i="11"/>
  <c r="K185" i="11"/>
  <c r="D195" i="11"/>
  <c r="D185" i="11"/>
  <c r="F141" i="172"/>
  <c r="F228" i="11" s="1"/>
  <c r="R106" i="172"/>
  <c r="P106" i="172"/>
  <c r="P64" i="172"/>
  <c r="J488" i="162"/>
  <c r="D496" i="162" s="1"/>
  <c r="R119" i="171"/>
  <c r="N131" i="171"/>
  <c r="J178" i="171"/>
  <c r="O170" i="171"/>
  <c r="S187" i="171" s="1"/>
  <c r="R39" i="171"/>
  <c r="J99" i="171"/>
  <c r="J179" i="171" s="1"/>
  <c r="S106" i="171"/>
  <c r="I120" i="171" s="1"/>
  <c r="N215" i="170"/>
  <c r="R199" i="170"/>
  <c r="J178" i="170"/>
  <c r="N131" i="170"/>
  <c r="R119" i="170"/>
  <c r="R39" i="170"/>
  <c r="S106" i="170"/>
  <c r="I120" i="170" s="1"/>
  <c r="N131" i="169"/>
  <c r="R119" i="169"/>
  <c r="N215" i="169"/>
  <c r="R199" i="169"/>
  <c r="N51" i="169"/>
  <c r="J98" i="169"/>
  <c r="S106" i="169"/>
  <c r="I120" i="169" s="1"/>
  <c r="N215" i="168"/>
  <c r="R199" i="168"/>
  <c r="R119" i="168"/>
  <c r="N131" i="168"/>
  <c r="J178" i="168"/>
  <c r="R39" i="168"/>
  <c r="S106" i="168"/>
  <c r="I120" i="168" s="1"/>
  <c r="R119" i="167"/>
  <c r="N131" i="167"/>
  <c r="R199" i="167"/>
  <c r="S106" i="167"/>
  <c r="I120" i="167" s="1"/>
  <c r="N51" i="167"/>
  <c r="J99" i="167"/>
  <c r="J179" i="167" s="1"/>
  <c r="N215" i="166"/>
  <c r="R199" i="166"/>
  <c r="R119" i="166"/>
  <c r="N131" i="166"/>
  <c r="J98" i="166"/>
  <c r="R39" i="166"/>
  <c r="S106" i="166"/>
  <c r="I120" i="166" s="1"/>
  <c r="J178" i="165"/>
  <c r="D178" i="165"/>
  <c r="S186" i="165"/>
  <c r="I200" i="165" s="1"/>
  <c r="S187" i="165"/>
  <c r="D180" i="165"/>
  <c r="D179" i="165"/>
  <c r="D99" i="165"/>
  <c r="N51" i="165"/>
  <c r="D100" i="165"/>
  <c r="D98" i="165"/>
  <c r="J170" i="165"/>
  <c r="S107" i="165"/>
  <c r="J488" i="164"/>
  <c r="J576" i="164" s="1"/>
  <c r="D584" i="164" s="1"/>
  <c r="S297" i="156"/>
  <c r="F305" i="156" s="1"/>
  <c r="S321" i="156"/>
  <c r="F329" i="156" s="1"/>
  <c r="P289" i="156"/>
  <c r="S35" i="156"/>
  <c r="Q37" i="156" s="1"/>
  <c r="S29" i="156"/>
  <c r="F37" i="156" s="1"/>
  <c r="T189" i="156"/>
  <c r="D200" i="156" s="1"/>
  <c r="O458" i="156"/>
  <c r="S484" i="156" s="1"/>
  <c r="K489" i="156" s="1"/>
  <c r="Q306" i="156"/>
  <c r="S306" i="156"/>
  <c r="J190" i="156"/>
  <c r="O190" i="156"/>
  <c r="P200" i="156" s="1"/>
  <c r="D110" i="156"/>
  <c r="Q330" i="156"/>
  <c r="D111" i="156"/>
  <c r="P112" i="156"/>
  <c r="R112" i="156"/>
  <c r="S396" i="156"/>
  <c r="K401" i="156" s="1"/>
  <c r="I63" i="154"/>
  <c r="D114" i="154"/>
  <c r="S327" i="154"/>
  <c r="Q333" i="154" s="1"/>
  <c r="J381" i="154"/>
  <c r="J469" i="154" s="1"/>
  <c r="T460" i="154"/>
  <c r="D471" i="154" s="1"/>
  <c r="I309" i="154"/>
  <c r="S309" i="154"/>
  <c r="R114" i="154"/>
  <c r="P115" i="154" s="1"/>
  <c r="S128" i="154" s="1"/>
  <c r="M150" i="154" s="1"/>
  <c r="T459" i="154"/>
  <c r="D470" i="154" s="1"/>
  <c r="T458" i="154"/>
  <c r="D469" i="154" s="1"/>
  <c r="F308" i="154"/>
  <c r="D113" i="154"/>
  <c r="D112" i="154"/>
  <c r="S29" i="160"/>
  <c r="F37" i="160" s="1"/>
  <c r="Q38" i="160"/>
  <c r="S321" i="160"/>
  <c r="F329" i="160" s="1"/>
  <c r="D112" i="160"/>
  <c r="S56" i="160"/>
  <c r="S62" i="160" s="1"/>
  <c r="P289" i="160"/>
  <c r="O458" i="160"/>
  <c r="S484" i="160" s="1"/>
  <c r="K489" i="160" s="1"/>
  <c r="P112" i="160"/>
  <c r="S330" i="160"/>
  <c r="Q330" i="160"/>
  <c r="S216" i="160"/>
  <c r="K221" i="160" s="1"/>
  <c r="R200" i="160"/>
  <c r="P200" i="160"/>
  <c r="I62" i="160"/>
  <c r="P21" i="160"/>
  <c r="D110" i="160"/>
  <c r="P380" i="160"/>
  <c r="D111" i="160"/>
  <c r="S297" i="160"/>
  <c r="F305" i="160" s="1"/>
  <c r="R380" i="160"/>
  <c r="R112" i="160"/>
  <c r="S128" i="160"/>
  <c r="K133" i="160" s="1"/>
  <c r="Q306" i="160"/>
  <c r="S306" i="160"/>
  <c r="J190" i="160"/>
  <c r="S59" i="156"/>
  <c r="Q61" i="156" s="1"/>
  <c r="J110" i="160"/>
  <c r="J198" i="160" s="1"/>
  <c r="S59" i="160"/>
  <c r="Q61" i="160" s="1"/>
  <c r="B657" i="164"/>
  <c r="A658" i="164"/>
  <c r="S529" i="164"/>
  <c r="T567" i="164"/>
  <c r="D578" i="164" s="1"/>
  <c r="D150" i="164"/>
  <c r="S194" i="164"/>
  <c r="I203" i="164" s="1"/>
  <c r="L335" i="164"/>
  <c r="S197" i="164"/>
  <c r="S202" i="164" s="1"/>
  <c r="S236" i="164"/>
  <c r="L247" i="164" s="1"/>
  <c r="O64" i="164"/>
  <c r="O65" i="164" s="1"/>
  <c r="S239" i="164"/>
  <c r="O568" i="164"/>
  <c r="Q150" i="164"/>
  <c r="S242" i="164"/>
  <c r="O591" i="164"/>
  <c r="Q594" i="164" s="1"/>
  <c r="S75" i="164"/>
  <c r="S150" i="164"/>
  <c r="F26" i="164"/>
  <c r="F150" i="164" s="1"/>
  <c r="F413" i="164" s="1"/>
  <c r="D414" i="164" s="1"/>
  <c r="M416" i="164" s="1"/>
  <c r="E657" i="164"/>
  <c r="G657" i="164"/>
  <c r="D294" i="164"/>
  <c r="Q496" i="164"/>
  <c r="I180" i="164"/>
  <c r="O418" i="164"/>
  <c r="J423" i="164" s="1"/>
  <c r="O419" i="164"/>
  <c r="O502" i="164" s="1"/>
  <c r="O590" i="164" s="1"/>
  <c r="I78" i="164"/>
  <c r="S74" i="164"/>
  <c r="H294" i="164"/>
  <c r="F657" i="164"/>
  <c r="S614" i="164"/>
  <c r="G258" i="164"/>
  <c r="Q423" i="164"/>
  <c r="Q584" i="164"/>
  <c r="S617" i="164"/>
  <c r="D26" i="164"/>
  <c r="S536" i="164"/>
  <c r="J549" i="164"/>
  <c r="L569" i="164"/>
  <c r="J657" i="164"/>
  <c r="T394" i="164"/>
  <c r="D286" i="164"/>
  <c r="S584" i="164"/>
  <c r="G548" i="164"/>
  <c r="L537" i="164"/>
  <c r="O299" i="164"/>
  <c r="T276" i="164"/>
  <c r="D287" i="164" s="1"/>
  <c r="J161" i="164"/>
  <c r="S171" i="164"/>
  <c r="D142" i="164"/>
  <c r="S174" i="164"/>
  <c r="S179" i="164" s="1"/>
  <c r="D703" i="164"/>
  <c r="O301" i="164"/>
  <c r="Q304" i="164" s="1"/>
  <c r="O278" i="164"/>
  <c r="T277" i="164"/>
  <c r="D288" i="164" s="1"/>
  <c r="J112" i="160"/>
  <c r="J200" i="160" s="1"/>
  <c r="S330" i="154"/>
  <c r="Q332" i="154" s="1"/>
  <c r="J287" i="160"/>
  <c r="J379" i="160" s="1"/>
  <c r="J467" i="160" s="1"/>
  <c r="I180" i="162"/>
  <c r="D150" i="162"/>
  <c r="J507" i="162"/>
  <c r="J506" i="162"/>
  <c r="T276" i="162"/>
  <c r="D287" i="162" s="1"/>
  <c r="D143" i="162"/>
  <c r="D26" i="162"/>
  <c r="D27" i="162" s="1"/>
  <c r="M29" i="162" s="1"/>
  <c r="O589" i="162"/>
  <c r="J549" i="162"/>
  <c r="S536" i="162"/>
  <c r="J577" i="162"/>
  <c r="S74" i="162"/>
  <c r="G548" i="162"/>
  <c r="L537" i="162"/>
  <c r="D294" i="162"/>
  <c r="B657" i="162"/>
  <c r="A658" i="162"/>
  <c r="G636" i="162"/>
  <c r="J657" i="162"/>
  <c r="L569" i="162"/>
  <c r="O300" i="162"/>
  <c r="O419" i="162"/>
  <c r="O502" i="162" s="1"/>
  <c r="O590" i="162" s="1"/>
  <c r="R188" i="162"/>
  <c r="J304" i="162"/>
  <c r="J305" i="162"/>
  <c r="Q506" i="162"/>
  <c r="O591" i="162"/>
  <c r="Q594" i="162" s="1"/>
  <c r="T394" i="162"/>
  <c r="D286" i="162"/>
  <c r="J637" i="162"/>
  <c r="S194" i="162"/>
  <c r="I203" i="162" s="1"/>
  <c r="S236" i="162"/>
  <c r="J461" i="162"/>
  <c r="J423" i="162"/>
  <c r="Q423" i="162"/>
  <c r="S197" i="162"/>
  <c r="S239" i="162"/>
  <c r="J424" i="162"/>
  <c r="Q160" i="162"/>
  <c r="S171" i="162"/>
  <c r="O278" i="162"/>
  <c r="S174" i="162"/>
  <c r="S179" i="162" s="1"/>
  <c r="D703" i="162"/>
  <c r="T277" i="162"/>
  <c r="D288" i="162" s="1"/>
  <c r="J161" i="162"/>
  <c r="D703" i="159"/>
  <c r="D92" i="11" s="1"/>
  <c r="F26" i="159"/>
  <c r="F150" i="159" s="1"/>
  <c r="F294" i="159" s="1"/>
  <c r="L335" i="159"/>
  <c r="L449" i="159"/>
  <c r="Q150" i="159"/>
  <c r="S150" i="159"/>
  <c r="S75" i="159"/>
  <c r="S448" i="159"/>
  <c r="S617" i="159"/>
  <c r="J637" i="159" s="1"/>
  <c r="Q584" i="159"/>
  <c r="S584" i="159"/>
  <c r="O501" i="159"/>
  <c r="J507" i="159" s="1"/>
  <c r="S531" i="159" s="1"/>
  <c r="J424" i="159"/>
  <c r="O429" i="159" s="1"/>
  <c r="O430" i="159" s="1"/>
  <c r="S442" i="159" s="1"/>
  <c r="I448" i="159" s="1"/>
  <c r="J423" i="159"/>
  <c r="H294" i="159"/>
  <c r="O299" i="159"/>
  <c r="J304" i="159" s="1"/>
  <c r="J160" i="159"/>
  <c r="D657" i="159"/>
  <c r="E657" i="159"/>
  <c r="Q496" i="159"/>
  <c r="S496" i="159"/>
  <c r="Q423" i="159"/>
  <c r="S526" i="159"/>
  <c r="S242" i="159"/>
  <c r="S444" i="159" s="1"/>
  <c r="J460" i="159" s="1"/>
  <c r="D142" i="159"/>
  <c r="L569" i="159"/>
  <c r="O300" i="159"/>
  <c r="O301" i="159"/>
  <c r="Q304" i="159" s="1"/>
  <c r="D489" i="159"/>
  <c r="D490" i="159"/>
  <c r="O64" i="159"/>
  <c r="O65" i="159" s="1"/>
  <c r="I78" i="159" s="1"/>
  <c r="D150" i="159"/>
  <c r="S82" i="158"/>
  <c r="D27" i="158"/>
  <c r="M29" i="158" s="1"/>
  <c r="S200" i="158"/>
  <c r="M253" i="158" s="1"/>
  <c r="S203" i="158"/>
  <c r="O235" i="158"/>
  <c r="R136" i="158"/>
  <c r="I144" i="158" s="1"/>
  <c r="O363" i="158"/>
  <c r="O82" i="158"/>
  <c r="I180" i="159"/>
  <c r="S327" i="160"/>
  <c r="Q329" i="160" s="1"/>
  <c r="D378" i="160"/>
  <c r="J378" i="160"/>
  <c r="D379" i="160"/>
  <c r="D380" i="160"/>
  <c r="S392" i="160"/>
  <c r="J412" i="160" s="1"/>
  <c r="T276" i="159"/>
  <c r="D287" i="159" s="1"/>
  <c r="T277" i="159"/>
  <c r="D288" i="159" s="1"/>
  <c r="B657" i="159"/>
  <c r="J161" i="159"/>
  <c r="D294" i="159"/>
  <c r="T394" i="159"/>
  <c r="J488" i="159"/>
  <c r="D413" i="159"/>
  <c r="S614" i="159"/>
  <c r="D26" i="159"/>
  <c r="R188" i="159"/>
  <c r="O591" i="159"/>
  <c r="Q594" i="159" s="1"/>
  <c r="Q506" i="159"/>
  <c r="S171" i="159"/>
  <c r="S236" i="159"/>
  <c r="S194" i="159"/>
  <c r="I203" i="159" s="1"/>
  <c r="S529" i="159"/>
  <c r="G657" i="159"/>
  <c r="S197" i="159"/>
  <c r="S239" i="159"/>
  <c r="O278" i="159"/>
  <c r="S174" i="159"/>
  <c r="S179" i="159" s="1"/>
  <c r="R140" i="158"/>
  <c r="Q144" i="158" s="1"/>
  <c r="Q145" i="158"/>
  <c r="S145" i="158"/>
  <c r="M381" i="158"/>
  <c r="L378" i="158"/>
  <c r="L353" i="158"/>
  <c r="L364" i="158"/>
  <c r="L370" i="158"/>
  <c r="L357" i="158"/>
  <c r="R138" i="158"/>
  <c r="T281" i="158"/>
  <c r="D292" i="158" s="1"/>
  <c r="S90" i="158"/>
  <c r="D171" i="158"/>
  <c r="L91" i="158"/>
  <c r="J171" i="158"/>
  <c r="O71" i="158"/>
  <c r="J164" i="158"/>
  <c r="L284" i="158" s="1"/>
  <c r="R134" i="158"/>
  <c r="I145" i="158" s="1"/>
  <c r="J173" i="158"/>
  <c r="J293" i="158" s="1"/>
  <c r="S98" i="158"/>
  <c r="O228" i="158"/>
  <c r="J292" i="158"/>
  <c r="O352" i="158"/>
  <c r="L83" i="158"/>
  <c r="O75" i="158"/>
  <c r="O249" i="158"/>
  <c r="S75" i="158"/>
  <c r="L99" i="158"/>
  <c r="O242" i="158"/>
  <c r="L76" i="158"/>
  <c r="O90" i="158"/>
  <c r="S71" i="158"/>
  <c r="D173" i="158"/>
  <c r="L72" i="158"/>
  <c r="Q179" i="158"/>
  <c r="O283" i="158"/>
  <c r="O377" i="158"/>
  <c r="O369" i="158"/>
  <c r="S62" i="156"/>
  <c r="Q62" i="156"/>
  <c r="J22" i="156"/>
  <c r="J287" i="156"/>
  <c r="J379" i="156" s="1"/>
  <c r="J467" i="156" s="1"/>
  <c r="J113" i="156"/>
  <c r="J201" i="156" s="1"/>
  <c r="J202" i="156" s="1"/>
  <c r="S215" i="156" s="1"/>
  <c r="O236" i="156" s="1"/>
  <c r="D378" i="156"/>
  <c r="D380" i="156"/>
  <c r="D379" i="156"/>
  <c r="P380" i="156"/>
  <c r="P381" i="156" s="1"/>
  <c r="S394" i="156" s="1"/>
  <c r="S38" i="156"/>
  <c r="S303" i="156"/>
  <c r="Q305" i="156" s="1"/>
  <c r="S392" i="156"/>
  <c r="J412" i="156" s="1"/>
  <c r="J378" i="156"/>
  <c r="Q38" i="156"/>
  <c r="J461" i="154"/>
  <c r="P21" i="154"/>
  <c r="S482" i="154"/>
  <c r="G503" i="154" s="1"/>
  <c r="G504" i="154" s="1"/>
  <c r="G511" i="154" s="1"/>
  <c r="G415" i="154"/>
  <c r="G416" i="154" s="1"/>
  <c r="G423" i="154" s="1"/>
  <c r="Q63" i="154"/>
  <c r="S63" i="154"/>
  <c r="P383" i="154"/>
  <c r="R383" i="154"/>
  <c r="P292" i="154"/>
  <c r="J291" i="154"/>
  <c r="J383" i="154" s="1"/>
  <c r="J471" i="154" s="1"/>
  <c r="J290" i="154"/>
  <c r="J382" i="154" s="1"/>
  <c r="J470" i="154" s="1"/>
  <c r="S35" i="154"/>
  <c r="Q37" i="154" s="1"/>
  <c r="J112" i="154"/>
  <c r="S399" i="154"/>
  <c r="K404" i="154" s="1"/>
  <c r="S130" i="154"/>
  <c r="K135" i="154" s="1"/>
  <c r="O193" i="154"/>
  <c r="S324" i="154"/>
  <c r="F332" i="154" s="1"/>
  <c r="Q38" i="154"/>
  <c r="S38" i="154"/>
  <c r="S126" i="154"/>
  <c r="J146" i="154" s="1"/>
  <c r="J193" i="154"/>
  <c r="S29" i="154"/>
  <c r="O461" i="154"/>
  <c r="M148" i="14" l="1"/>
  <c r="O152" i="14"/>
  <c r="O153" i="14" s="1"/>
  <c r="D151" i="162"/>
  <c r="M153" i="162" s="1"/>
  <c r="F185" i="8"/>
  <c r="M186" i="8"/>
  <c r="Q193" i="8" s="1"/>
  <c r="Q195" i="8" s="1"/>
  <c r="C185" i="8"/>
  <c r="M189" i="8" s="1"/>
  <c r="M190" i="8" s="1"/>
  <c r="AL142" i="8"/>
  <c r="AM155" i="8" s="1"/>
  <c r="AM157" i="8" s="1"/>
  <c r="AI186" i="8"/>
  <c r="AM193" i="8" s="1"/>
  <c r="AM195" i="8" s="1"/>
  <c r="AB185" i="8"/>
  <c r="AB142" i="8"/>
  <c r="H413" i="162"/>
  <c r="H496" i="162" s="1"/>
  <c r="H584" i="162" s="1"/>
  <c r="H294" i="162"/>
  <c r="D295" i="162" s="1"/>
  <c r="M297" i="162" s="1"/>
  <c r="S444" i="162"/>
  <c r="S330" i="162"/>
  <c r="J346" i="162" s="1"/>
  <c r="J258" i="162"/>
  <c r="M188" i="6"/>
  <c r="Q199" i="6" s="1"/>
  <c r="Q201" i="6" s="1"/>
  <c r="F187" i="6"/>
  <c r="F144" i="6"/>
  <c r="P144" i="6"/>
  <c r="Q156" i="6" s="1"/>
  <c r="Q158" i="6" s="1"/>
  <c r="C187" i="6"/>
  <c r="M191" i="6" s="1"/>
  <c r="M192" i="6" s="1"/>
  <c r="C143" i="88"/>
  <c r="C186" i="88"/>
  <c r="C187" i="88" s="1"/>
  <c r="M191" i="88" s="1"/>
  <c r="M192" i="88" s="1"/>
  <c r="M188" i="88"/>
  <c r="Q199" i="88" s="1"/>
  <c r="Q201" i="88" s="1"/>
  <c r="F143" i="88"/>
  <c r="C144" i="88" s="1"/>
  <c r="M147" i="88" s="1"/>
  <c r="M148" i="88" s="1"/>
  <c r="L79" i="172"/>
  <c r="P79" i="172"/>
  <c r="P107" i="172"/>
  <c r="J576" i="162"/>
  <c r="D584" i="162" s="1"/>
  <c r="N215" i="171"/>
  <c r="R199" i="171"/>
  <c r="J178" i="169"/>
  <c r="J178" i="166"/>
  <c r="D496" i="164"/>
  <c r="R199" i="165"/>
  <c r="N215" i="165"/>
  <c r="R119" i="165"/>
  <c r="N131" i="165"/>
  <c r="S391" i="156"/>
  <c r="S479" i="156" s="1"/>
  <c r="G500" i="156" s="1"/>
  <c r="G501" i="156" s="1"/>
  <c r="G508" i="156" s="1"/>
  <c r="S216" i="156"/>
  <c r="K221" i="156" s="1"/>
  <c r="P468" i="156"/>
  <c r="R200" i="156"/>
  <c r="P201" i="156" s="1"/>
  <c r="S214" i="156" s="1"/>
  <c r="I236" i="156" s="1"/>
  <c r="S123" i="156"/>
  <c r="G144" i="156" s="1"/>
  <c r="G145" i="156" s="1"/>
  <c r="G152" i="156" s="1"/>
  <c r="R468" i="156"/>
  <c r="P113" i="156"/>
  <c r="S126" i="156" s="1"/>
  <c r="J290" i="156"/>
  <c r="S302" i="156" s="1"/>
  <c r="O305" i="156" s="1"/>
  <c r="D308" i="156" s="1"/>
  <c r="S333" i="154"/>
  <c r="O135" i="154"/>
  <c r="E136" i="154" s="1"/>
  <c r="K150" i="154" s="1"/>
  <c r="I150" i="154"/>
  <c r="R468" i="160"/>
  <c r="P113" i="160"/>
  <c r="S126" i="160" s="1"/>
  <c r="M148" i="160" s="1"/>
  <c r="I148" i="160"/>
  <c r="P201" i="160"/>
  <c r="S214" i="160" s="1"/>
  <c r="S123" i="160"/>
  <c r="G144" i="160" s="1"/>
  <c r="G145" i="160" s="1"/>
  <c r="G152" i="160" s="1"/>
  <c r="P468" i="160"/>
  <c r="Q62" i="160"/>
  <c r="S391" i="160"/>
  <c r="G412" i="160" s="1"/>
  <c r="G413" i="160" s="1"/>
  <c r="G420" i="160" s="1"/>
  <c r="P381" i="160"/>
  <c r="S394" i="160" s="1"/>
  <c r="F294" i="164"/>
  <c r="D295" i="164" s="1"/>
  <c r="M297" i="164" s="1"/>
  <c r="S200" i="164"/>
  <c r="O501" i="164"/>
  <c r="J424" i="164"/>
  <c r="O429" i="164" s="1"/>
  <c r="O430" i="164" s="1"/>
  <c r="S442" i="164" s="1"/>
  <c r="I448" i="164" s="1"/>
  <c r="D27" i="164"/>
  <c r="M29" i="164" s="1"/>
  <c r="S444" i="164"/>
  <c r="S330" i="164"/>
  <c r="J346" i="164" s="1"/>
  <c r="J258" i="164"/>
  <c r="F496" i="164"/>
  <c r="F584" i="164" s="1"/>
  <c r="D585" i="164" s="1"/>
  <c r="M587" i="164" s="1"/>
  <c r="D151" i="164"/>
  <c r="M153" i="164" s="1"/>
  <c r="S246" i="164"/>
  <c r="J259" i="164"/>
  <c r="J304" i="164"/>
  <c r="J305" i="164"/>
  <c r="J507" i="164"/>
  <c r="J506" i="164"/>
  <c r="O589" i="164"/>
  <c r="L625" i="164"/>
  <c r="G636" i="164"/>
  <c r="S176" i="164"/>
  <c r="S241" i="164"/>
  <c r="S199" i="164"/>
  <c r="G259" i="164"/>
  <c r="O188" i="164"/>
  <c r="O189" i="164" s="1"/>
  <c r="D405" i="164"/>
  <c r="T477" i="164"/>
  <c r="G461" i="164"/>
  <c r="S624" i="164"/>
  <c r="J637" i="164"/>
  <c r="S327" i="164"/>
  <c r="Q294" i="164"/>
  <c r="S294" i="164"/>
  <c r="L247" i="162"/>
  <c r="G258" i="162"/>
  <c r="D405" i="162"/>
  <c r="T477" i="162"/>
  <c r="G347" i="162"/>
  <c r="O310" i="162"/>
  <c r="O311" i="162" s="1"/>
  <c r="S328" i="162" s="1"/>
  <c r="I334" i="162" s="1"/>
  <c r="S329" i="162"/>
  <c r="S200" i="162"/>
  <c r="S202" i="162"/>
  <c r="J595" i="162"/>
  <c r="J594" i="162"/>
  <c r="S176" i="162"/>
  <c r="S241" i="162"/>
  <c r="G259" i="162"/>
  <c r="S199" i="162"/>
  <c r="O188" i="162"/>
  <c r="O189" i="162" s="1"/>
  <c r="O512" i="162"/>
  <c r="O513" i="162" s="1"/>
  <c r="S530" i="162" s="1"/>
  <c r="I536" i="162" s="1"/>
  <c r="G549" i="162"/>
  <c r="S531" i="162"/>
  <c r="S327" i="162"/>
  <c r="S294" i="162"/>
  <c r="Q294" i="162"/>
  <c r="S443" i="162"/>
  <c r="O429" i="162"/>
  <c r="O430" i="162" s="1"/>
  <c r="S442" i="162" s="1"/>
  <c r="I448" i="162" s="1"/>
  <c r="G461" i="162"/>
  <c r="S246" i="162"/>
  <c r="J259" i="162"/>
  <c r="G461" i="159"/>
  <c r="G463" i="159" s="1"/>
  <c r="I466" i="159" s="1"/>
  <c r="F413" i="159"/>
  <c r="F496" i="159" s="1"/>
  <c r="F584" i="159" s="1"/>
  <c r="D295" i="159"/>
  <c r="M297" i="159" s="1"/>
  <c r="O512" i="159"/>
  <c r="O513" i="159" s="1"/>
  <c r="S530" i="159" s="1"/>
  <c r="I536" i="159" s="1"/>
  <c r="G549" i="159"/>
  <c r="S443" i="159"/>
  <c r="S74" i="159"/>
  <c r="D27" i="159"/>
  <c r="M29" i="159" s="1"/>
  <c r="D151" i="159"/>
  <c r="M153" i="159" s="1"/>
  <c r="J506" i="159"/>
  <c r="O589" i="159"/>
  <c r="J595" i="159" s="1"/>
  <c r="G548" i="159"/>
  <c r="L537" i="159"/>
  <c r="S624" i="159"/>
  <c r="J305" i="159"/>
  <c r="S532" i="159"/>
  <c r="J548" i="159" s="1"/>
  <c r="S330" i="159"/>
  <c r="J346" i="159" s="1"/>
  <c r="J258" i="159"/>
  <c r="L225" i="158"/>
  <c r="S228" i="158"/>
  <c r="S235" i="158"/>
  <c r="S224" i="158"/>
  <c r="L229" i="158"/>
  <c r="L250" i="158"/>
  <c r="L243" i="158"/>
  <c r="S249" i="158"/>
  <c r="S242" i="158"/>
  <c r="L236" i="158"/>
  <c r="J466" i="160"/>
  <c r="S327" i="159"/>
  <c r="S294" i="159"/>
  <c r="Q294" i="159"/>
  <c r="G636" i="159"/>
  <c r="L625" i="159"/>
  <c r="S246" i="159"/>
  <c r="J259" i="159"/>
  <c r="S202" i="159"/>
  <c r="S200" i="159"/>
  <c r="D496" i="159"/>
  <c r="J576" i="159"/>
  <c r="D584" i="159" s="1"/>
  <c r="J549" i="159"/>
  <c r="S536" i="159"/>
  <c r="T477" i="159"/>
  <c r="D405" i="159"/>
  <c r="L247" i="159"/>
  <c r="G258" i="159"/>
  <c r="S176" i="159"/>
  <c r="S241" i="159"/>
  <c r="S199" i="159"/>
  <c r="G259" i="159"/>
  <c r="O188" i="159"/>
  <c r="O189" i="159" s="1"/>
  <c r="R141" i="158"/>
  <c r="M144" i="158"/>
  <c r="D179" i="158"/>
  <c r="D180" i="158" s="1"/>
  <c r="M181" i="158" s="1"/>
  <c r="J291" i="158"/>
  <c r="D299" i="158" s="1"/>
  <c r="D300" i="158" s="1"/>
  <c r="M302" i="158" s="1"/>
  <c r="S299" i="158"/>
  <c r="Q299" i="158"/>
  <c r="S331" i="158"/>
  <c r="S34" i="156"/>
  <c r="O37" i="156" s="1"/>
  <c r="D40" i="156" s="1"/>
  <c r="S58" i="156"/>
  <c r="O61" i="156" s="1"/>
  <c r="D64" i="156" s="1"/>
  <c r="J382" i="156"/>
  <c r="S395" i="156" s="1"/>
  <c r="O416" i="156" s="1"/>
  <c r="J466" i="156"/>
  <c r="J470" i="156" s="1"/>
  <c r="S483" i="156" s="1"/>
  <c r="O504" i="156" s="1"/>
  <c r="M416" i="156"/>
  <c r="O401" i="156"/>
  <c r="E402" i="156" s="1"/>
  <c r="K416" i="156" s="1"/>
  <c r="I416" i="156"/>
  <c r="J114" i="156"/>
  <c r="S127" i="156" s="1"/>
  <c r="O148" i="156" s="1"/>
  <c r="P203" i="154"/>
  <c r="R203" i="154"/>
  <c r="S219" i="154"/>
  <c r="K224" i="154" s="1"/>
  <c r="J201" i="154"/>
  <c r="P384" i="154"/>
  <c r="S397" i="154" s="1"/>
  <c r="S487" i="154"/>
  <c r="K492" i="154" s="1"/>
  <c r="P471" i="154"/>
  <c r="R471" i="154"/>
  <c r="S125" i="154"/>
  <c r="F37" i="154"/>
  <c r="S443" i="164" l="1"/>
  <c r="M198" i="8"/>
  <c r="M199" i="8" s="1"/>
  <c r="Q202" i="8"/>
  <c r="Q204" i="8" s="1"/>
  <c r="D414" i="162"/>
  <c r="M416" i="162" s="1"/>
  <c r="D497" i="162"/>
  <c r="M499" i="162" s="1"/>
  <c r="D497" i="164"/>
  <c r="M499" i="164" s="1"/>
  <c r="J460" i="162"/>
  <c r="G463" i="162" s="1"/>
  <c r="S532" i="162"/>
  <c r="D585" i="162"/>
  <c r="M587" i="162" s="1"/>
  <c r="F144" i="88"/>
  <c r="P144" i="88"/>
  <c r="Q156" i="88" s="1"/>
  <c r="Q158" i="88" s="1"/>
  <c r="F187" i="88"/>
  <c r="J594" i="159"/>
  <c r="P117" i="172"/>
  <c r="L117" i="172"/>
  <c r="J113" i="172"/>
  <c r="G412" i="156"/>
  <c r="G413" i="156" s="1"/>
  <c r="G420" i="156" s="1"/>
  <c r="S326" i="156"/>
  <c r="O329" i="156" s="1"/>
  <c r="D332" i="156" s="1"/>
  <c r="N335" i="156" s="1"/>
  <c r="N336" i="156" s="1"/>
  <c r="H338" i="156" s="1"/>
  <c r="S549" i="156" s="1"/>
  <c r="P469" i="156"/>
  <c r="S482" i="156" s="1"/>
  <c r="M504" i="156" s="1"/>
  <c r="O221" i="156"/>
  <c r="E222" i="156" s="1"/>
  <c r="K236" i="156" s="1"/>
  <c r="M236" i="156"/>
  <c r="S211" i="156"/>
  <c r="G232" i="156" s="1"/>
  <c r="G233" i="156" s="1"/>
  <c r="G240" i="156" s="1"/>
  <c r="O489" i="156"/>
  <c r="E490" i="156" s="1"/>
  <c r="K504" i="156" s="1"/>
  <c r="I504" i="156"/>
  <c r="G237" i="156"/>
  <c r="D240" i="156" s="1"/>
  <c r="I148" i="156"/>
  <c r="O133" i="156"/>
  <c r="E134" i="156" s="1"/>
  <c r="K148" i="156" s="1"/>
  <c r="M148" i="156"/>
  <c r="P469" i="160"/>
  <c r="S482" i="160" s="1"/>
  <c r="O489" i="160" s="1"/>
  <c r="E490" i="160" s="1"/>
  <c r="K504" i="160" s="1"/>
  <c r="S211" i="160"/>
  <c r="G232" i="160" s="1"/>
  <c r="G233" i="160" s="1"/>
  <c r="G240" i="160" s="1"/>
  <c r="O133" i="160"/>
  <c r="E134" i="160" s="1"/>
  <c r="K148" i="160" s="1"/>
  <c r="M236" i="160"/>
  <c r="I236" i="160"/>
  <c r="O221" i="160"/>
  <c r="E222" i="160" s="1"/>
  <c r="K236" i="160" s="1"/>
  <c r="S479" i="160"/>
  <c r="G500" i="160" s="1"/>
  <c r="G501" i="160" s="1"/>
  <c r="G508" i="160" s="1"/>
  <c r="O401" i="160"/>
  <c r="E402" i="160" s="1"/>
  <c r="K416" i="160" s="1"/>
  <c r="I416" i="160"/>
  <c r="M416" i="160"/>
  <c r="N67" i="156"/>
  <c r="N68" i="156" s="1"/>
  <c r="H70" i="156" s="1"/>
  <c r="G261" i="164"/>
  <c r="F264" i="164" s="1"/>
  <c r="J460" i="164"/>
  <c r="S532" i="164"/>
  <c r="G463" i="164"/>
  <c r="F466" i="164" s="1"/>
  <c r="T565" i="164"/>
  <c r="D576" i="164" s="1"/>
  <c r="D488" i="164"/>
  <c r="U657" i="164" s="1"/>
  <c r="S198" i="164"/>
  <c r="I202" i="164"/>
  <c r="J594" i="164"/>
  <c r="J595" i="164"/>
  <c r="O512" i="164"/>
  <c r="O513" i="164" s="1"/>
  <c r="S530" i="164" s="1"/>
  <c r="I536" i="164" s="1"/>
  <c r="G549" i="164"/>
  <c r="S531" i="164"/>
  <c r="G347" i="164"/>
  <c r="O310" i="164"/>
  <c r="O311" i="164" s="1"/>
  <c r="S328" i="164" s="1"/>
  <c r="I334" i="164" s="1"/>
  <c r="S329" i="164"/>
  <c r="J347" i="164"/>
  <c r="S334" i="164"/>
  <c r="I202" i="162"/>
  <c r="S198" i="162"/>
  <c r="S619" i="162"/>
  <c r="O600" i="162"/>
  <c r="O601" i="162" s="1"/>
  <c r="S618" i="162" s="1"/>
  <c r="I624" i="162" s="1"/>
  <c r="G637" i="162"/>
  <c r="D488" i="162"/>
  <c r="U657" i="162" s="1"/>
  <c r="T565" i="162"/>
  <c r="D576" i="162" s="1"/>
  <c r="J347" i="162"/>
  <c r="G349" i="162" s="1"/>
  <c r="S334" i="162"/>
  <c r="G261" i="162"/>
  <c r="D585" i="159"/>
  <c r="M587" i="159" s="1"/>
  <c r="D497" i="159"/>
  <c r="M499" i="159" s="1"/>
  <c r="D414" i="159"/>
  <c r="M416" i="159" s="1"/>
  <c r="S620" i="159"/>
  <c r="J636" i="159" s="1"/>
  <c r="F466" i="159"/>
  <c r="E466" i="159"/>
  <c r="H468" i="159" s="1"/>
  <c r="O310" i="159"/>
  <c r="O311" i="159" s="1"/>
  <c r="S328" i="159" s="1"/>
  <c r="I334" i="159" s="1"/>
  <c r="S329" i="159"/>
  <c r="G347" i="159"/>
  <c r="G551" i="159"/>
  <c r="E554" i="159" s="1"/>
  <c r="T565" i="159"/>
  <c r="D576" i="159" s="1"/>
  <c r="D488" i="159"/>
  <c r="U657" i="159" s="1"/>
  <c r="G637" i="159"/>
  <c r="S619" i="159"/>
  <c r="O600" i="159"/>
  <c r="O601" i="159" s="1"/>
  <c r="S618" i="159" s="1"/>
  <c r="I624" i="159" s="1"/>
  <c r="G261" i="159"/>
  <c r="J347" i="159"/>
  <c r="S334" i="159"/>
  <c r="S198" i="159"/>
  <c r="I202" i="159"/>
  <c r="S356" i="158"/>
  <c r="S369" i="158"/>
  <c r="S363" i="158"/>
  <c r="S352" i="158"/>
  <c r="S377" i="158"/>
  <c r="N66" i="156"/>
  <c r="G417" i="156"/>
  <c r="D420" i="156" s="1"/>
  <c r="I419" i="154"/>
  <c r="M419" i="154"/>
  <c r="O404" i="154"/>
  <c r="E405" i="154" s="1"/>
  <c r="K419" i="154" s="1"/>
  <c r="S214" i="154"/>
  <c r="G235" i="154" s="1"/>
  <c r="G236" i="154" s="1"/>
  <c r="G243" i="154" s="1"/>
  <c r="G146" i="154"/>
  <c r="G147" i="154" s="1"/>
  <c r="G154" i="154" s="1"/>
  <c r="W185" i="11" s="1"/>
  <c r="P204" i="154"/>
  <c r="S217" i="154" s="1"/>
  <c r="P472" i="154"/>
  <c r="S485" i="154" s="1"/>
  <c r="I554" i="159" l="1"/>
  <c r="H556" i="159" s="1"/>
  <c r="F466" i="162"/>
  <c r="I466" i="162"/>
  <c r="E466" i="162"/>
  <c r="H468" i="162" s="1"/>
  <c r="E264" i="164"/>
  <c r="I264" i="164"/>
  <c r="S620" i="162"/>
  <c r="J636" i="162" s="1"/>
  <c r="G639" i="162" s="1"/>
  <c r="J548" i="162"/>
  <c r="G551" i="162" s="1"/>
  <c r="F554" i="159"/>
  <c r="N334" i="156"/>
  <c r="F419" i="156"/>
  <c r="G421" i="156" s="1"/>
  <c r="W373" i="156" s="1"/>
  <c r="F239" i="156"/>
  <c r="G505" i="156"/>
  <c r="D508" i="156" s="1"/>
  <c r="F507" i="156" s="1"/>
  <c r="G509" i="156" s="1"/>
  <c r="W461" i="156" s="1"/>
  <c r="G149" i="156"/>
  <c r="D152" i="156" s="1"/>
  <c r="F151" i="156" s="1"/>
  <c r="F152" i="156" s="1"/>
  <c r="I504" i="160"/>
  <c r="M504" i="160"/>
  <c r="J548" i="164"/>
  <c r="G551" i="164" s="1"/>
  <c r="I554" i="164" s="1"/>
  <c r="S620" i="164"/>
  <c r="J636" i="164" s="1"/>
  <c r="E466" i="164"/>
  <c r="I466" i="164"/>
  <c r="G349" i="164"/>
  <c r="S619" i="164"/>
  <c r="O600" i="164"/>
  <c r="O601" i="164" s="1"/>
  <c r="S618" i="164" s="1"/>
  <c r="I624" i="164" s="1"/>
  <c r="G637" i="164"/>
  <c r="G639" i="164" s="1"/>
  <c r="E352" i="162"/>
  <c r="I352" i="162"/>
  <c r="F352" i="162"/>
  <c r="I264" i="162"/>
  <c r="E264" i="162"/>
  <c r="H266" i="162" s="1"/>
  <c r="F264" i="162"/>
  <c r="G639" i="159"/>
  <c r="E642" i="159" s="1"/>
  <c r="G349" i="159"/>
  <c r="I352" i="159" s="1"/>
  <c r="I264" i="159"/>
  <c r="E264" i="159"/>
  <c r="F264" i="159"/>
  <c r="O224" i="154"/>
  <c r="E225" i="154" s="1"/>
  <c r="K239" i="154" s="1"/>
  <c r="I239" i="154"/>
  <c r="M239" i="154"/>
  <c r="O492" i="154"/>
  <c r="E493" i="154" s="1"/>
  <c r="K507" i="154" s="1"/>
  <c r="I507" i="154"/>
  <c r="M507" i="154"/>
  <c r="F642" i="162" l="1"/>
  <c r="I642" i="162"/>
  <c r="H266" i="164"/>
  <c r="H468" i="164"/>
  <c r="I554" i="162"/>
  <c r="F554" i="162"/>
  <c r="E554" i="162"/>
  <c r="H556" i="162" s="1"/>
  <c r="E642" i="162"/>
  <c r="F420" i="156"/>
  <c r="F240" i="156"/>
  <c r="G241" i="156"/>
  <c r="W193" i="156" s="1"/>
  <c r="F508" i="156"/>
  <c r="G153" i="156"/>
  <c r="W105" i="156" s="1"/>
  <c r="E554" i="164"/>
  <c r="H556" i="164" s="1"/>
  <c r="F554" i="164"/>
  <c r="I642" i="164"/>
  <c r="F642" i="164"/>
  <c r="E642" i="164"/>
  <c r="I352" i="164"/>
  <c r="E352" i="164"/>
  <c r="H354" i="164" s="1"/>
  <c r="F352" i="164"/>
  <c r="H354" i="162"/>
  <c r="E352" i="159"/>
  <c r="H354" i="159" s="1"/>
  <c r="F352" i="159"/>
  <c r="I642" i="159"/>
  <c r="H644" i="159" s="1"/>
  <c r="F642" i="159"/>
  <c r="H266" i="159"/>
  <c r="H644" i="162" l="1"/>
  <c r="H644" i="164"/>
  <c r="S211" i="11"/>
  <c r="Q209" i="11"/>
  <c r="M210" i="11"/>
  <c r="M211" i="11"/>
  <c r="M209" i="11"/>
  <c r="K210" i="11"/>
  <c r="K211" i="11"/>
  <c r="K209" i="11"/>
  <c r="I209" i="11"/>
  <c r="F209" i="11"/>
  <c r="D210" i="11"/>
  <c r="D209" i="11"/>
  <c r="B209" i="11"/>
  <c r="A209" i="11"/>
  <c r="S245" i="11"/>
  <c r="Q243" i="11"/>
  <c r="M243" i="11"/>
  <c r="K244" i="11"/>
  <c r="K245" i="11"/>
  <c r="K243" i="11"/>
  <c r="I243" i="11"/>
  <c r="F243" i="11"/>
  <c r="D244" i="11"/>
  <c r="D245" i="11"/>
  <c r="D243" i="11"/>
  <c r="B243" i="11"/>
  <c r="A243" i="11"/>
  <c r="M142" i="153"/>
  <c r="K142" i="153"/>
  <c r="Q141" i="153"/>
  <c r="M141" i="153"/>
  <c r="K141" i="153"/>
  <c r="H141" i="153"/>
  <c r="G141" i="153"/>
  <c r="D141" i="153"/>
  <c r="G125" i="153"/>
  <c r="G122" i="153"/>
  <c r="N117" i="153"/>
  <c r="J117" i="153"/>
  <c r="S110" i="153"/>
  <c r="T106" i="153"/>
  <c r="J106" i="153"/>
  <c r="D106" i="153"/>
  <c r="J95" i="153"/>
  <c r="D142" i="153" s="1"/>
  <c r="H95" i="153"/>
  <c r="B93" i="153"/>
  <c r="H92" i="153"/>
  <c r="G86" i="153"/>
  <c r="G83" i="153"/>
  <c r="N79" i="153"/>
  <c r="J79" i="153"/>
  <c r="P68" i="153"/>
  <c r="P67" i="153"/>
  <c r="T63" i="153"/>
  <c r="J63" i="153"/>
  <c r="D63" i="153"/>
  <c r="J61" i="153"/>
  <c r="J104" i="153" s="1"/>
  <c r="D60" i="153"/>
  <c r="D103" i="153" s="1"/>
  <c r="J53" i="153"/>
  <c r="L96" i="153" s="1"/>
  <c r="I141" i="153" s="1"/>
  <c r="O52" i="153"/>
  <c r="P63" i="153" s="1"/>
  <c r="L52" i="153"/>
  <c r="L95" i="153" s="1"/>
  <c r="J52" i="153"/>
  <c r="H52" i="153"/>
  <c r="T51" i="153"/>
  <c r="T50" i="153"/>
  <c r="B50" i="153"/>
  <c r="T49" i="153"/>
  <c r="H49" i="153"/>
  <c r="D49" i="153"/>
  <c r="D92" i="153" s="1"/>
  <c r="B141" i="153" s="1"/>
  <c r="B49" i="153"/>
  <c r="B92" i="153" s="1"/>
  <c r="A141" i="153" s="1"/>
  <c r="G45" i="153"/>
  <c r="G42" i="153"/>
  <c r="N37" i="153"/>
  <c r="J37" i="153"/>
  <c r="P28" i="153"/>
  <c r="P26" i="153"/>
  <c r="P25" i="153"/>
  <c r="T21" i="153"/>
  <c r="R21" i="153"/>
  <c r="P21" i="153"/>
  <c r="P22" i="153" s="1"/>
  <c r="D21" i="153"/>
  <c r="J20" i="153"/>
  <c r="J62" i="153" s="1"/>
  <c r="J105" i="153" s="1"/>
  <c r="D20" i="153"/>
  <c r="D62" i="153" s="1"/>
  <c r="D105" i="153" s="1"/>
  <c r="D19" i="153"/>
  <c r="D61" i="153" s="1"/>
  <c r="D104" i="153" s="1"/>
  <c r="J18" i="153"/>
  <c r="J60" i="153" s="1"/>
  <c r="J103" i="153" s="1"/>
  <c r="D18" i="153"/>
  <c r="G5" i="153"/>
  <c r="D5" i="153"/>
  <c r="C5" i="153"/>
  <c r="A5" i="153"/>
  <c r="H3" i="153"/>
  <c r="H2" i="153"/>
  <c r="H1" i="153"/>
  <c r="M142" i="152"/>
  <c r="K142" i="152"/>
  <c r="Q141" i="152"/>
  <c r="M141" i="152"/>
  <c r="K141" i="152"/>
  <c r="H141" i="152"/>
  <c r="G141" i="152"/>
  <c r="G122" i="152"/>
  <c r="N117" i="152"/>
  <c r="J117" i="152"/>
  <c r="T106" i="152"/>
  <c r="J106" i="152"/>
  <c r="D106" i="152"/>
  <c r="L96" i="152"/>
  <c r="I141" i="152" s="1"/>
  <c r="O95" i="152"/>
  <c r="F141" i="152" s="1"/>
  <c r="L95" i="152"/>
  <c r="J95" i="152"/>
  <c r="D142" i="152" s="1"/>
  <c r="H95" i="152"/>
  <c r="D141" i="152" s="1"/>
  <c r="B93" i="152"/>
  <c r="H92" i="152"/>
  <c r="G86" i="152"/>
  <c r="G83" i="152"/>
  <c r="N79" i="152"/>
  <c r="J79" i="152"/>
  <c r="S110" i="152"/>
  <c r="G125" i="152" s="1"/>
  <c r="P68" i="152"/>
  <c r="P67" i="152"/>
  <c r="T63" i="152"/>
  <c r="R63" i="152"/>
  <c r="J63" i="152"/>
  <c r="D63" i="152"/>
  <c r="J61" i="152"/>
  <c r="J104" i="152" s="1"/>
  <c r="J53" i="152"/>
  <c r="O52" i="152"/>
  <c r="P63" i="152" s="1"/>
  <c r="P64" i="152" s="1"/>
  <c r="L52" i="152"/>
  <c r="J52" i="152"/>
  <c r="H52" i="152"/>
  <c r="T51" i="152"/>
  <c r="T50" i="152"/>
  <c r="B50" i="152"/>
  <c r="T49" i="152"/>
  <c r="H49" i="152"/>
  <c r="D49" i="152"/>
  <c r="D92" i="152" s="1"/>
  <c r="B141" i="152" s="1"/>
  <c r="B49" i="152"/>
  <c r="B92" i="152" s="1"/>
  <c r="A141" i="152" s="1"/>
  <c r="G45" i="152"/>
  <c r="G42" i="152"/>
  <c r="N37" i="152"/>
  <c r="J37" i="152"/>
  <c r="P28" i="152"/>
  <c r="P26" i="152"/>
  <c r="P25" i="152"/>
  <c r="T21" i="152"/>
  <c r="R21" i="152"/>
  <c r="P21" i="152"/>
  <c r="D21" i="152"/>
  <c r="J20" i="152"/>
  <c r="J62" i="152" s="1"/>
  <c r="J105" i="152" s="1"/>
  <c r="D20" i="152"/>
  <c r="D62" i="152" s="1"/>
  <c r="D105" i="152" s="1"/>
  <c r="D19" i="152"/>
  <c r="D61" i="152" s="1"/>
  <c r="D104" i="152" s="1"/>
  <c r="J18" i="152"/>
  <c r="J60" i="152" s="1"/>
  <c r="J103" i="152" s="1"/>
  <c r="D18" i="152"/>
  <c r="D60" i="152" s="1"/>
  <c r="D103" i="152" s="1"/>
  <c r="G5" i="152"/>
  <c r="D5" i="152"/>
  <c r="C5" i="152"/>
  <c r="A5" i="152"/>
  <c r="H3" i="152"/>
  <c r="H2" i="152"/>
  <c r="H1" i="152"/>
  <c r="S225" i="11"/>
  <c r="Q223" i="11"/>
  <c r="O224" i="11"/>
  <c r="O225" i="11"/>
  <c r="O223" i="11"/>
  <c r="M224" i="11"/>
  <c r="M225" i="11"/>
  <c r="M223" i="11"/>
  <c r="K224" i="11"/>
  <c r="K225" i="11"/>
  <c r="K223" i="11"/>
  <c r="I223" i="11"/>
  <c r="H223" i="11"/>
  <c r="G223" i="11"/>
  <c r="F223" i="11"/>
  <c r="D225" i="11"/>
  <c r="D224" i="11"/>
  <c r="D223" i="11"/>
  <c r="B223" i="11"/>
  <c r="S191" i="11"/>
  <c r="Q189" i="11"/>
  <c r="O190" i="11"/>
  <c r="O191" i="11"/>
  <c r="O189" i="11"/>
  <c r="M190" i="11"/>
  <c r="M191" i="11"/>
  <c r="M189" i="11"/>
  <c r="K190" i="11"/>
  <c r="K191" i="11"/>
  <c r="K189" i="11"/>
  <c r="I189" i="11"/>
  <c r="D190" i="11"/>
  <c r="D191" i="11"/>
  <c r="D189" i="11"/>
  <c r="B848" i="151"/>
  <c r="A848" i="151"/>
  <c r="B847" i="151"/>
  <c r="T846" i="151"/>
  <c r="S846" i="151"/>
  <c r="R846" i="151"/>
  <c r="Q846" i="151"/>
  <c r="P846" i="151"/>
  <c r="O846" i="151"/>
  <c r="N846" i="151"/>
  <c r="M846" i="151"/>
  <c r="L846" i="151"/>
  <c r="J846" i="151"/>
  <c r="I846" i="151"/>
  <c r="H846" i="151"/>
  <c r="G846" i="151"/>
  <c r="F846" i="151"/>
  <c r="E846" i="151"/>
  <c r="D846" i="151"/>
  <c r="E808" i="151"/>
  <c r="T804" i="151"/>
  <c r="M791" i="151"/>
  <c r="I791" i="151"/>
  <c r="M786" i="151"/>
  <c r="I786" i="151"/>
  <c r="R777" i="151"/>
  <c r="M781" i="151" s="1"/>
  <c r="R775" i="151"/>
  <c r="I781" i="151" s="1"/>
  <c r="R769" i="151"/>
  <c r="M766" i="151"/>
  <c r="T724" i="151"/>
  <c r="R724" i="151"/>
  <c r="J722" i="151"/>
  <c r="L714" i="151"/>
  <c r="O713" i="151"/>
  <c r="L713" i="151"/>
  <c r="J713" i="151"/>
  <c r="H713" i="151"/>
  <c r="T712" i="151"/>
  <c r="D723" i="151" s="1"/>
  <c r="E676" i="151"/>
  <c r="T672" i="151"/>
  <c r="M659" i="151"/>
  <c r="I655" i="151"/>
  <c r="M654" i="151"/>
  <c r="I654" i="151"/>
  <c r="I650" i="151"/>
  <c r="R645" i="151"/>
  <c r="M649" i="151" s="1"/>
  <c r="R637" i="151"/>
  <c r="I660" i="151" s="1"/>
  <c r="M634" i="151"/>
  <c r="P597" i="151"/>
  <c r="P729" i="151" s="1"/>
  <c r="T592" i="151"/>
  <c r="R592" i="151"/>
  <c r="J591" i="151"/>
  <c r="J723" i="151" s="1"/>
  <c r="J590" i="151"/>
  <c r="J582" i="151"/>
  <c r="O581" i="151"/>
  <c r="R643" i="151" s="1"/>
  <c r="L581" i="151"/>
  <c r="J581" i="151"/>
  <c r="H581" i="151"/>
  <c r="T580" i="151"/>
  <c r="D591" i="151" s="1"/>
  <c r="T579" i="151"/>
  <c r="D590" i="151" s="1"/>
  <c r="B579" i="151"/>
  <c r="B711" i="151" s="1"/>
  <c r="T578" i="151"/>
  <c r="D589" i="151" s="1"/>
  <c r="U846" i="151" s="1"/>
  <c r="H578" i="151"/>
  <c r="H710" i="151" s="1"/>
  <c r="D578" i="151"/>
  <c r="D710" i="151" s="1"/>
  <c r="C846" i="151" s="1"/>
  <c r="B578" i="151"/>
  <c r="B710" i="151" s="1"/>
  <c r="A846" i="151" s="1"/>
  <c r="E544" i="151"/>
  <c r="T540" i="151"/>
  <c r="M534" i="151"/>
  <c r="H530" i="151"/>
  <c r="M527" i="151"/>
  <c r="I527" i="151"/>
  <c r="I523" i="151"/>
  <c r="M522" i="151"/>
  <c r="I522" i="151"/>
  <c r="I518" i="151"/>
  <c r="M517" i="151"/>
  <c r="I517" i="151"/>
  <c r="R513" i="151"/>
  <c r="R512" i="151"/>
  <c r="Q528" i="151" s="1"/>
  <c r="R511" i="151"/>
  <c r="R509" i="151"/>
  <c r="R641" i="151" s="1"/>
  <c r="R505" i="151"/>
  <c r="I528" i="151" s="1"/>
  <c r="P471" i="151"/>
  <c r="Q474" i="151" s="1"/>
  <c r="P470" i="151"/>
  <c r="P469" i="151"/>
  <c r="T465" i="151"/>
  <c r="R465" i="151"/>
  <c r="D464" i="151"/>
  <c r="D463" i="151"/>
  <c r="H449" i="151"/>
  <c r="A447" i="151"/>
  <c r="R446" i="151"/>
  <c r="O446" i="151"/>
  <c r="R445" i="151"/>
  <c r="O445" i="151"/>
  <c r="A445" i="151"/>
  <c r="O413" i="151"/>
  <c r="M413" i="151"/>
  <c r="K413" i="151"/>
  <c r="D413" i="151"/>
  <c r="O412" i="151"/>
  <c r="M412" i="151"/>
  <c r="K412" i="151"/>
  <c r="D412" i="151"/>
  <c r="O411" i="151"/>
  <c r="M411" i="151"/>
  <c r="K411" i="151"/>
  <c r="I411" i="151"/>
  <c r="H411" i="151"/>
  <c r="G411" i="151"/>
  <c r="F411" i="151"/>
  <c r="D411" i="151"/>
  <c r="B411" i="151"/>
  <c r="A411" i="151"/>
  <c r="E372" i="151"/>
  <c r="T368" i="151"/>
  <c r="H358" i="151"/>
  <c r="I346" i="151"/>
  <c r="R341" i="151"/>
  <c r="M355" i="151" s="1"/>
  <c r="M330" i="151"/>
  <c r="P294" i="151"/>
  <c r="Q297" i="151" s="1"/>
  <c r="P293" i="151"/>
  <c r="P292" i="151"/>
  <c r="T288" i="151"/>
  <c r="J287" i="151"/>
  <c r="J286" i="151"/>
  <c r="D286" i="151"/>
  <c r="D285" i="151"/>
  <c r="L278" i="151"/>
  <c r="T275" i="151"/>
  <c r="B275" i="151"/>
  <c r="T274" i="151"/>
  <c r="H274" i="151"/>
  <c r="H451" i="151" s="1"/>
  <c r="D274" i="151"/>
  <c r="B274" i="151"/>
  <c r="E244" i="151"/>
  <c r="T240" i="151"/>
  <c r="H223" i="151"/>
  <c r="R206" i="151"/>
  <c r="M215" i="151" s="1"/>
  <c r="R204" i="151"/>
  <c r="M195" i="151"/>
  <c r="J166" i="151"/>
  <c r="P163" i="151"/>
  <c r="J167" i="151" s="1"/>
  <c r="O172" i="151" s="1"/>
  <c r="O173" i="151" s="1"/>
  <c r="AA173" i="151" s="1"/>
  <c r="P162" i="151"/>
  <c r="T157" i="151"/>
  <c r="R157" i="151"/>
  <c r="J156" i="151"/>
  <c r="J155" i="151"/>
  <c r="D155" i="151"/>
  <c r="D154" i="151"/>
  <c r="Q411" i="151" s="1"/>
  <c r="O146" i="151"/>
  <c r="O277" i="151" s="1"/>
  <c r="R339" i="151" s="1"/>
  <c r="I355" i="151" s="1"/>
  <c r="L146" i="151"/>
  <c r="L277" i="151" s="1"/>
  <c r="R333" i="151" s="1"/>
  <c r="J146" i="151"/>
  <c r="H146" i="151"/>
  <c r="H277" i="151" s="1"/>
  <c r="T145" i="151"/>
  <c r="T276" i="151" s="1"/>
  <c r="D287" i="151" s="1"/>
  <c r="T144" i="151"/>
  <c r="B144" i="151"/>
  <c r="T143" i="151"/>
  <c r="T451" i="151" s="1"/>
  <c r="D462" i="151" s="1"/>
  <c r="H143" i="151"/>
  <c r="D143" i="151"/>
  <c r="B143" i="151"/>
  <c r="E112" i="151"/>
  <c r="T108" i="151"/>
  <c r="M102" i="151"/>
  <c r="H100" i="151"/>
  <c r="R70" i="151"/>
  <c r="M79" i="151" s="1"/>
  <c r="R69" i="151"/>
  <c r="S98" i="151" s="1"/>
  <c r="R68" i="151"/>
  <c r="I79" i="151" s="1"/>
  <c r="R66" i="151"/>
  <c r="F97" i="151" s="1"/>
  <c r="R63" i="151"/>
  <c r="F74" i="151" s="1"/>
  <c r="R62" i="151"/>
  <c r="I75" i="151" s="1"/>
  <c r="R36" i="151"/>
  <c r="O36" i="151"/>
  <c r="O37" i="151" s="1"/>
  <c r="R64" i="151" s="1"/>
  <c r="F79" i="151" s="1"/>
  <c r="R35" i="151"/>
  <c r="J31" i="151"/>
  <c r="Q30" i="151"/>
  <c r="J30" i="151"/>
  <c r="T21" i="151"/>
  <c r="R21" i="151"/>
  <c r="D20" i="151"/>
  <c r="D19" i="151"/>
  <c r="J18" i="151"/>
  <c r="R72" i="151" s="1"/>
  <c r="D18" i="151"/>
  <c r="R449" i="151"/>
  <c r="O449" i="151"/>
  <c r="G5" i="151"/>
  <c r="G449" i="151" s="1"/>
  <c r="D5" i="151"/>
  <c r="D449" i="151" s="1"/>
  <c r="C5" i="151"/>
  <c r="C449" i="151" s="1"/>
  <c r="A5" i="151"/>
  <c r="A449" i="151" s="1"/>
  <c r="R448" i="151"/>
  <c r="O448" i="151"/>
  <c r="R447" i="151"/>
  <c r="O447" i="151"/>
  <c r="H3" i="151"/>
  <c r="H447" i="151" s="1"/>
  <c r="H2" i="151"/>
  <c r="H446" i="151" s="1"/>
  <c r="H1" i="151"/>
  <c r="H445" i="151" s="1"/>
  <c r="M141" i="150"/>
  <c r="K141" i="150"/>
  <c r="Q140" i="150"/>
  <c r="M140" i="150"/>
  <c r="K140" i="150"/>
  <c r="H140" i="150"/>
  <c r="G140" i="150"/>
  <c r="G121" i="150"/>
  <c r="N116" i="150"/>
  <c r="J116" i="150"/>
  <c r="T105" i="150"/>
  <c r="D105" i="150"/>
  <c r="G85" i="150"/>
  <c r="G83" i="150"/>
  <c r="N78" i="150"/>
  <c r="J78" i="150"/>
  <c r="S109" i="150"/>
  <c r="G124" i="150" s="1"/>
  <c r="P68" i="150"/>
  <c r="T63" i="150"/>
  <c r="J63" i="150"/>
  <c r="J105" i="150" s="1"/>
  <c r="D63" i="150"/>
  <c r="J62" i="150"/>
  <c r="J104" i="150" s="1"/>
  <c r="J61" i="150"/>
  <c r="J103" i="150" s="1"/>
  <c r="J53" i="150"/>
  <c r="L95" i="150" s="1"/>
  <c r="I140" i="150" s="1"/>
  <c r="O52" i="150"/>
  <c r="P63" i="150" s="1"/>
  <c r="L52" i="150"/>
  <c r="L94" i="150" s="1"/>
  <c r="J52" i="150"/>
  <c r="J94" i="150" s="1"/>
  <c r="D141" i="150" s="1"/>
  <c r="H52" i="150"/>
  <c r="H94" i="150" s="1"/>
  <c r="D140" i="150" s="1"/>
  <c r="T50" i="150"/>
  <c r="B50" i="150"/>
  <c r="B92" i="150" s="1"/>
  <c r="T49" i="150"/>
  <c r="H49" i="150"/>
  <c r="H91" i="150" s="1"/>
  <c r="D49" i="150"/>
  <c r="D91" i="150" s="1"/>
  <c r="B140" i="150" s="1"/>
  <c r="B49" i="150"/>
  <c r="B91" i="150" s="1"/>
  <c r="A140" i="150" s="1"/>
  <c r="G45" i="150"/>
  <c r="G43" i="150"/>
  <c r="N38" i="150"/>
  <c r="J38" i="150"/>
  <c r="P28" i="150"/>
  <c r="P26" i="150"/>
  <c r="P25" i="150"/>
  <c r="T21" i="150"/>
  <c r="R21" i="150"/>
  <c r="P21" i="150"/>
  <c r="D21" i="150"/>
  <c r="D20" i="150"/>
  <c r="D62" i="150" s="1"/>
  <c r="D104" i="150" s="1"/>
  <c r="D19" i="150"/>
  <c r="D61" i="150" s="1"/>
  <c r="D103" i="150" s="1"/>
  <c r="J18" i="150"/>
  <c r="J60" i="150" s="1"/>
  <c r="J102" i="150" s="1"/>
  <c r="D18" i="150"/>
  <c r="D60" i="150" s="1"/>
  <c r="D102" i="150" s="1"/>
  <c r="G5" i="150"/>
  <c r="D5" i="150"/>
  <c r="C5" i="150"/>
  <c r="A5" i="150"/>
  <c r="H3" i="150"/>
  <c r="H2" i="150"/>
  <c r="H1" i="150"/>
  <c r="M147" i="11"/>
  <c r="M148" i="11"/>
  <c r="O147" i="11"/>
  <c r="O148" i="11"/>
  <c r="S148" i="11"/>
  <c r="D148" i="11"/>
  <c r="B625" i="149"/>
  <c r="A625" i="149"/>
  <c r="B624" i="149"/>
  <c r="T623" i="149"/>
  <c r="S623" i="149"/>
  <c r="R623" i="149"/>
  <c r="Q623" i="149"/>
  <c r="P623" i="149"/>
  <c r="O623" i="149"/>
  <c r="N623" i="149"/>
  <c r="M623" i="149"/>
  <c r="L623" i="149"/>
  <c r="I623" i="149"/>
  <c r="H623" i="149"/>
  <c r="G623" i="149"/>
  <c r="J608" i="149"/>
  <c r="E595" i="149"/>
  <c r="G590" i="149"/>
  <c r="S581" i="149"/>
  <c r="O590" i="149" s="1"/>
  <c r="J520" i="149"/>
  <c r="E507" i="149"/>
  <c r="G502" i="149"/>
  <c r="S493" i="149"/>
  <c r="O502" i="149" s="1"/>
  <c r="J456" i="149"/>
  <c r="J544" i="149" s="1"/>
  <c r="J455" i="149"/>
  <c r="J543" i="149" s="1"/>
  <c r="J447" i="149"/>
  <c r="J623" i="149" s="1"/>
  <c r="O446" i="149"/>
  <c r="O534" i="149" s="1"/>
  <c r="L446" i="149"/>
  <c r="L534" i="149" s="1"/>
  <c r="J446" i="149"/>
  <c r="H446" i="149"/>
  <c r="H534" i="149" s="1"/>
  <c r="T445" i="149"/>
  <c r="T444" i="149"/>
  <c r="B444" i="149"/>
  <c r="B532" i="149" s="1"/>
  <c r="D443" i="149"/>
  <c r="D531" i="149" s="1"/>
  <c r="C623" i="149" s="1"/>
  <c r="B443" i="149"/>
  <c r="B531" i="149" s="1"/>
  <c r="A623" i="149" s="1"/>
  <c r="J432" i="149"/>
  <c r="E419" i="149"/>
  <c r="G414" i="149"/>
  <c r="S407" i="149"/>
  <c r="S405" i="149"/>
  <c r="O414" i="149" s="1"/>
  <c r="S404" i="149"/>
  <c r="O386" i="149"/>
  <c r="Q389" i="149" s="1"/>
  <c r="O384" i="149"/>
  <c r="J389" i="149" s="1"/>
  <c r="S379" i="149"/>
  <c r="Q379" i="149"/>
  <c r="D373" i="149"/>
  <c r="D372" i="149"/>
  <c r="R358" i="149"/>
  <c r="O358" i="149"/>
  <c r="H358" i="149"/>
  <c r="A356" i="149"/>
  <c r="A354" i="149"/>
  <c r="Q319" i="149"/>
  <c r="Q146" i="11" s="1"/>
  <c r="O319" i="149"/>
  <c r="O146" i="11" s="1"/>
  <c r="M319" i="149"/>
  <c r="M146" i="11" s="1"/>
  <c r="K319" i="149"/>
  <c r="K146" i="11" s="1"/>
  <c r="I319" i="149"/>
  <c r="I146" i="11" s="1"/>
  <c r="H319" i="149"/>
  <c r="G319" i="149"/>
  <c r="F319" i="149"/>
  <c r="F146" i="11" s="1"/>
  <c r="D319" i="149"/>
  <c r="D146" i="11" s="1"/>
  <c r="B319" i="149"/>
  <c r="B146" i="11" s="1"/>
  <c r="A319" i="149"/>
  <c r="A146" i="11" s="1"/>
  <c r="J302" i="149"/>
  <c r="E289" i="149"/>
  <c r="G284" i="149"/>
  <c r="S275" i="149"/>
  <c r="O284" i="149" s="1"/>
  <c r="O249" i="149"/>
  <c r="J254" i="149" s="1"/>
  <c r="B226" i="149"/>
  <c r="T225" i="149"/>
  <c r="D236" i="149" s="1"/>
  <c r="H225" i="149"/>
  <c r="H360" i="149" s="1"/>
  <c r="H443" i="149" s="1"/>
  <c r="H531" i="149" s="1"/>
  <c r="D225" i="149"/>
  <c r="B225" i="149"/>
  <c r="J204" i="149"/>
  <c r="E191" i="149"/>
  <c r="G186" i="149"/>
  <c r="S177" i="149"/>
  <c r="O186" i="149" s="1"/>
  <c r="J160" i="149"/>
  <c r="O157" i="149"/>
  <c r="O251" i="149" s="1"/>
  <c r="Q254" i="149" s="1"/>
  <c r="O156" i="149"/>
  <c r="J144" i="149"/>
  <c r="J238" i="149" s="1"/>
  <c r="J143" i="149"/>
  <c r="J237" i="149" s="1"/>
  <c r="J135" i="149"/>
  <c r="L229" i="149" s="1"/>
  <c r="O134" i="149"/>
  <c r="S179" i="149" s="1"/>
  <c r="L134" i="149"/>
  <c r="L228" i="149" s="1"/>
  <c r="S274" i="149" s="1"/>
  <c r="G296" i="149" s="1"/>
  <c r="J134" i="149"/>
  <c r="J228" i="149" s="1"/>
  <c r="H134" i="149"/>
  <c r="H228" i="149" s="1"/>
  <c r="T133" i="149"/>
  <c r="T132" i="149"/>
  <c r="T226" i="149" s="1"/>
  <c r="D237" i="149" s="1"/>
  <c r="T131" i="149"/>
  <c r="D142" i="149" s="1"/>
  <c r="H131" i="149"/>
  <c r="L104" i="149"/>
  <c r="N97" i="149"/>
  <c r="I97" i="149"/>
  <c r="H97" i="149"/>
  <c r="G97" i="149"/>
  <c r="S93" i="149"/>
  <c r="K97" i="149" s="1"/>
  <c r="I80" i="149"/>
  <c r="O79" i="149"/>
  <c r="G79" i="149"/>
  <c r="S77" i="149"/>
  <c r="S74" i="149"/>
  <c r="S79" i="149" s="1"/>
  <c r="S72" i="149"/>
  <c r="S71" i="149"/>
  <c r="R65" i="149"/>
  <c r="R64" i="149"/>
  <c r="I57" i="149"/>
  <c r="I56" i="149"/>
  <c r="G56" i="149"/>
  <c r="S54" i="149"/>
  <c r="F26" i="149" s="1"/>
  <c r="S52" i="149"/>
  <c r="S51" i="149"/>
  <c r="S56" i="149" s="1"/>
  <c r="S49" i="149"/>
  <c r="O56" i="149" s="1"/>
  <c r="S48" i="149"/>
  <c r="J37" i="149"/>
  <c r="Q36" i="149"/>
  <c r="J36" i="149"/>
  <c r="S26" i="149"/>
  <c r="Q26" i="149"/>
  <c r="D20" i="149"/>
  <c r="D19" i="149"/>
  <c r="J18" i="149"/>
  <c r="D26" i="149" s="1"/>
  <c r="D18" i="149"/>
  <c r="G5" i="149"/>
  <c r="G358" i="149" s="1"/>
  <c r="D5" i="149"/>
  <c r="D358" i="149" s="1"/>
  <c r="C5" i="149"/>
  <c r="C358" i="149" s="1"/>
  <c r="A5" i="149"/>
  <c r="A358" i="149" s="1"/>
  <c r="R357" i="149"/>
  <c r="O357" i="149"/>
  <c r="R356" i="149"/>
  <c r="O356" i="149"/>
  <c r="H3" i="149"/>
  <c r="H356" i="149" s="1"/>
  <c r="R355" i="149"/>
  <c r="O355" i="149"/>
  <c r="H2" i="149"/>
  <c r="H355" i="149" s="1"/>
  <c r="R354" i="149"/>
  <c r="O354" i="149"/>
  <c r="H1" i="149"/>
  <c r="H354" i="149" s="1"/>
  <c r="S143" i="11"/>
  <c r="O141" i="11"/>
  <c r="M143" i="11"/>
  <c r="K143" i="11"/>
  <c r="M141" i="11"/>
  <c r="K141" i="11"/>
  <c r="I141" i="11"/>
  <c r="F141" i="11"/>
  <c r="D142" i="11"/>
  <c r="D143" i="11"/>
  <c r="D141" i="11"/>
  <c r="B141" i="11"/>
  <c r="B848" i="148"/>
  <c r="A848" i="148"/>
  <c r="B847" i="148"/>
  <c r="T846" i="148"/>
  <c r="S846" i="148"/>
  <c r="R846" i="148"/>
  <c r="Q846" i="148"/>
  <c r="P846" i="148"/>
  <c r="O846" i="148"/>
  <c r="N846" i="148"/>
  <c r="M846" i="148"/>
  <c r="L846" i="148"/>
  <c r="I846" i="148"/>
  <c r="H846" i="148"/>
  <c r="E846" i="148"/>
  <c r="D846" i="148"/>
  <c r="E808" i="148"/>
  <c r="T804" i="148"/>
  <c r="H794" i="148"/>
  <c r="I787" i="148"/>
  <c r="M786" i="148"/>
  <c r="I786" i="148"/>
  <c r="R777" i="148"/>
  <c r="M766" i="148"/>
  <c r="P728" i="148"/>
  <c r="T724" i="148"/>
  <c r="J722" i="148"/>
  <c r="J713" i="148"/>
  <c r="H713" i="148"/>
  <c r="T712" i="148"/>
  <c r="D723" i="148" s="1"/>
  <c r="T711" i="148"/>
  <c r="D722" i="148" s="1"/>
  <c r="B711" i="148"/>
  <c r="A847" i="148" s="1"/>
  <c r="D710" i="148"/>
  <c r="C846" i="148" s="1"/>
  <c r="B710" i="148"/>
  <c r="A846" i="148" s="1"/>
  <c r="E676" i="148"/>
  <c r="T672" i="148"/>
  <c r="M666" i="148"/>
  <c r="H662" i="148"/>
  <c r="I660" i="148"/>
  <c r="I655" i="148"/>
  <c r="M654" i="148"/>
  <c r="I650" i="148"/>
  <c r="R645" i="148"/>
  <c r="M649" i="148" s="1"/>
  <c r="R643" i="148"/>
  <c r="R637" i="148"/>
  <c r="M634" i="148"/>
  <c r="P596" i="148"/>
  <c r="T592" i="148"/>
  <c r="R592" i="148"/>
  <c r="J591" i="148"/>
  <c r="J723" i="148" s="1"/>
  <c r="J590" i="148"/>
  <c r="J582" i="148"/>
  <c r="O581" i="148"/>
  <c r="O713" i="148" s="1"/>
  <c r="R775" i="148" s="1"/>
  <c r="L581" i="148"/>
  <c r="L713" i="148" s="1"/>
  <c r="R769" i="148" s="1"/>
  <c r="J581" i="148"/>
  <c r="H581" i="148"/>
  <c r="T580" i="148"/>
  <c r="D591" i="148" s="1"/>
  <c r="T579" i="148"/>
  <c r="D590" i="148" s="1"/>
  <c r="B579" i="148"/>
  <c r="D578" i="148"/>
  <c r="B578" i="148"/>
  <c r="E544" i="148"/>
  <c r="T540" i="148"/>
  <c r="M534" i="148"/>
  <c r="H530" i="148"/>
  <c r="M527" i="148"/>
  <c r="I527" i="148"/>
  <c r="M522" i="148"/>
  <c r="I522" i="148"/>
  <c r="I518" i="148"/>
  <c r="M517" i="148"/>
  <c r="I517" i="148"/>
  <c r="R513" i="148"/>
  <c r="R512" i="148"/>
  <c r="S528" i="148" s="1"/>
  <c r="R511" i="148"/>
  <c r="R509" i="148"/>
  <c r="F527" i="148" s="1"/>
  <c r="R505" i="148"/>
  <c r="P471" i="148"/>
  <c r="Q474" i="148" s="1"/>
  <c r="P470" i="148"/>
  <c r="P597" i="148" s="1"/>
  <c r="P729" i="148" s="1"/>
  <c r="P469" i="148"/>
  <c r="T465" i="148"/>
  <c r="R465" i="148"/>
  <c r="D464" i="148"/>
  <c r="D463" i="148"/>
  <c r="H449" i="148"/>
  <c r="A447" i="148"/>
  <c r="R445" i="148"/>
  <c r="O445" i="148"/>
  <c r="A445" i="148"/>
  <c r="O413" i="148"/>
  <c r="O143" i="11" s="1"/>
  <c r="M413" i="148"/>
  <c r="K413" i="148"/>
  <c r="D413" i="148"/>
  <c r="O142" i="11"/>
  <c r="M142" i="11"/>
  <c r="K142" i="11"/>
  <c r="D412" i="148"/>
  <c r="O411" i="148"/>
  <c r="M411" i="148"/>
  <c r="K411" i="148"/>
  <c r="I411" i="148"/>
  <c r="H411" i="148"/>
  <c r="G411" i="148"/>
  <c r="F411" i="148"/>
  <c r="D411" i="148"/>
  <c r="B411" i="148"/>
  <c r="A411" i="148"/>
  <c r="A141" i="11" s="1"/>
  <c r="E372" i="148"/>
  <c r="T368" i="148"/>
  <c r="R341" i="148"/>
  <c r="M345" i="148" s="1"/>
  <c r="M330" i="148"/>
  <c r="H358" i="148" s="1"/>
  <c r="P293" i="148"/>
  <c r="P292" i="148"/>
  <c r="L278" i="148"/>
  <c r="T275" i="148"/>
  <c r="D286" i="148" s="1"/>
  <c r="B275" i="148"/>
  <c r="T274" i="148"/>
  <c r="D285" i="148" s="1"/>
  <c r="E244" i="148"/>
  <c r="T240" i="148"/>
  <c r="H223" i="148"/>
  <c r="R206" i="148"/>
  <c r="M215" i="148" s="1"/>
  <c r="R204" i="148"/>
  <c r="M195" i="148"/>
  <c r="J166" i="148"/>
  <c r="P163" i="148"/>
  <c r="P162" i="148"/>
  <c r="J156" i="148"/>
  <c r="J287" i="148" s="1"/>
  <c r="D156" i="148"/>
  <c r="J155" i="148"/>
  <c r="J286" i="148" s="1"/>
  <c r="D155" i="148"/>
  <c r="D154" i="148"/>
  <c r="Q411" i="148" s="1"/>
  <c r="Q141" i="11" s="1"/>
  <c r="O146" i="148"/>
  <c r="L146" i="148"/>
  <c r="L277" i="148" s="1"/>
  <c r="R333" i="148" s="1"/>
  <c r="M362" i="148" s="1"/>
  <c r="J146" i="148"/>
  <c r="H146" i="148"/>
  <c r="H277" i="148" s="1"/>
  <c r="T145" i="148"/>
  <c r="T276" i="148" s="1"/>
  <c r="D287" i="148" s="1"/>
  <c r="T144" i="148"/>
  <c r="B144" i="148"/>
  <c r="T143" i="148"/>
  <c r="T451" i="148" s="1"/>
  <c r="T578" i="148" s="1"/>
  <c r="D589" i="148" s="1"/>
  <c r="U846" i="148" s="1"/>
  <c r="H143" i="148"/>
  <c r="H274" i="148" s="1"/>
  <c r="H451" i="148" s="1"/>
  <c r="H578" i="148" s="1"/>
  <c r="H710" i="148" s="1"/>
  <c r="D143" i="148"/>
  <c r="D274" i="148" s="1"/>
  <c r="B143" i="148"/>
  <c r="B274" i="148" s="1"/>
  <c r="E112" i="148"/>
  <c r="T108" i="148"/>
  <c r="H100" i="148"/>
  <c r="M97" i="148"/>
  <c r="I97" i="148"/>
  <c r="R70" i="148"/>
  <c r="R69" i="148"/>
  <c r="S98" i="148" s="1"/>
  <c r="R68" i="148"/>
  <c r="R66" i="148"/>
  <c r="R202" i="148" s="1"/>
  <c r="R63" i="148"/>
  <c r="F74" i="148" s="1"/>
  <c r="R62" i="148"/>
  <c r="R36" i="148"/>
  <c r="R35" i="148"/>
  <c r="J31" i="148"/>
  <c r="O36" i="148" s="1"/>
  <c r="O37" i="148" s="1"/>
  <c r="R64" i="148" s="1"/>
  <c r="F79" i="148" s="1"/>
  <c r="Q30" i="148"/>
  <c r="J30" i="148"/>
  <c r="T21" i="148"/>
  <c r="R21" i="148"/>
  <c r="D20" i="148"/>
  <c r="D19" i="148"/>
  <c r="J18" i="148"/>
  <c r="R72" i="148" s="1"/>
  <c r="D18" i="148"/>
  <c r="R449" i="148"/>
  <c r="O449" i="148"/>
  <c r="G5" i="148"/>
  <c r="G449" i="148" s="1"/>
  <c r="D5" i="148"/>
  <c r="D449" i="148" s="1"/>
  <c r="C5" i="148"/>
  <c r="C449" i="148" s="1"/>
  <c r="A5" i="148"/>
  <c r="A449" i="148" s="1"/>
  <c r="R448" i="148"/>
  <c r="O448" i="148"/>
  <c r="R447" i="148"/>
  <c r="O447" i="148"/>
  <c r="H3" i="148"/>
  <c r="H447" i="148" s="1"/>
  <c r="R446" i="148"/>
  <c r="O446" i="148"/>
  <c r="H2" i="148"/>
  <c r="H446" i="148" s="1"/>
  <c r="H1" i="148"/>
  <c r="H445" i="148" s="1"/>
  <c r="S137" i="11"/>
  <c r="S138" i="11"/>
  <c r="K137" i="11"/>
  <c r="K138" i="11"/>
  <c r="O137" i="11"/>
  <c r="O138" i="11"/>
  <c r="M137" i="11"/>
  <c r="M138" i="11"/>
  <c r="Q136" i="11"/>
  <c r="O136" i="11"/>
  <c r="M136" i="11"/>
  <c r="K136" i="11"/>
  <c r="I136" i="11"/>
  <c r="F136" i="11"/>
  <c r="D137" i="11"/>
  <c r="D138" i="11"/>
  <c r="D136" i="11"/>
  <c r="B136" i="11"/>
  <c r="A136" i="11"/>
  <c r="B848" i="147"/>
  <c r="A848" i="147"/>
  <c r="B847" i="147"/>
  <c r="T846" i="147"/>
  <c r="S846" i="147"/>
  <c r="R846" i="147"/>
  <c r="Q846" i="147"/>
  <c r="P846" i="147"/>
  <c r="O846" i="147"/>
  <c r="N846" i="147"/>
  <c r="M846" i="147"/>
  <c r="L846" i="147"/>
  <c r="J846" i="147"/>
  <c r="I846" i="147"/>
  <c r="H846" i="147"/>
  <c r="E846" i="147"/>
  <c r="D846" i="147"/>
  <c r="C846" i="147"/>
  <c r="A846" i="147"/>
  <c r="E808" i="147"/>
  <c r="T804" i="147"/>
  <c r="M786" i="147"/>
  <c r="R777" i="147"/>
  <c r="M781" i="147" s="1"/>
  <c r="M766" i="147"/>
  <c r="H794" i="147" s="1"/>
  <c r="J722" i="147"/>
  <c r="J713" i="147"/>
  <c r="H713" i="147"/>
  <c r="T712" i="147"/>
  <c r="D723" i="147" s="1"/>
  <c r="T711" i="147"/>
  <c r="D722" i="147" s="1"/>
  <c r="D710" i="147"/>
  <c r="B710" i="147"/>
  <c r="E676" i="147"/>
  <c r="T672" i="147"/>
  <c r="I660" i="147"/>
  <c r="M654" i="147"/>
  <c r="I654" i="147"/>
  <c r="I650" i="147"/>
  <c r="R645" i="147"/>
  <c r="M649" i="147" s="1"/>
  <c r="R637" i="147"/>
  <c r="M666" i="147" s="1"/>
  <c r="M634" i="147"/>
  <c r="T592" i="147"/>
  <c r="R592" i="147"/>
  <c r="J591" i="147"/>
  <c r="J723" i="147" s="1"/>
  <c r="J590" i="147"/>
  <c r="J582" i="147"/>
  <c r="L714" i="147" s="1"/>
  <c r="O581" i="147"/>
  <c r="R643" i="147" s="1"/>
  <c r="L581" i="147"/>
  <c r="L713" i="147" s="1"/>
  <c r="J581" i="147"/>
  <c r="H581" i="147"/>
  <c r="T580" i="147"/>
  <c r="D591" i="147" s="1"/>
  <c r="T579" i="147"/>
  <c r="D590" i="147" s="1"/>
  <c r="B579" i="147"/>
  <c r="B711" i="147" s="1"/>
  <c r="A847" i="147" s="1"/>
  <c r="D578" i="147"/>
  <c r="B578" i="147"/>
  <c r="E544" i="147"/>
  <c r="T540" i="147"/>
  <c r="M534" i="147"/>
  <c r="H530" i="147"/>
  <c r="M527" i="147"/>
  <c r="I527" i="147"/>
  <c r="I518" i="147"/>
  <c r="M517" i="147"/>
  <c r="I517" i="147"/>
  <c r="R513" i="147"/>
  <c r="M522" i="147" s="1"/>
  <c r="R512" i="147"/>
  <c r="S528" i="147" s="1"/>
  <c r="R511" i="147"/>
  <c r="I522" i="147" s="1"/>
  <c r="R509" i="147"/>
  <c r="F527" i="147" s="1"/>
  <c r="R505" i="147"/>
  <c r="I528" i="147" s="1"/>
  <c r="P471" i="147"/>
  <c r="P470" i="147"/>
  <c r="P597" i="147" s="1"/>
  <c r="P729" i="147" s="1"/>
  <c r="P469" i="147"/>
  <c r="P596" i="147" s="1"/>
  <c r="P728" i="147" s="1"/>
  <c r="T465" i="147"/>
  <c r="R465" i="147"/>
  <c r="D464" i="147"/>
  <c r="D463" i="147"/>
  <c r="H449" i="147"/>
  <c r="D449" i="147"/>
  <c r="A447" i="147"/>
  <c r="O445" i="147"/>
  <c r="A445" i="147"/>
  <c r="O413" i="147"/>
  <c r="M413" i="147"/>
  <c r="K413" i="147"/>
  <c r="D413" i="147"/>
  <c r="D412" i="147"/>
  <c r="O411" i="147"/>
  <c r="M411" i="147"/>
  <c r="K411" i="147"/>
  <c r="I411" i="147"/>
  <c r="H411" i="147"/>
  <c r="G411" i="147"/>
  <c r="F411" i="147"/>
  <c r="D411" i="147"/>
  <c r="B411" i="147"/>
  <c r="A411" i="147"/>
  <c r="E372" i="147"/>
  <c r="T368" i="147"/>
  <c r="R341" i="147"/>
  <c r="M330" i="147"/>
  <c r="H358" i="147" s="1"/>
  <c r="P293" i="147"/>
  <c r="P292" i="147"/>
  <c r="J287" i="147"/>
  <c r="J286" i="147"/>
  <c r="L278" i="147"/>
  <c r="T275" i="147"/>
  <c r="D286" i="147" s="1"/>
  <c r="B275" i="147"/>
  <c r="T274" i="147"/>
  <c r="D285" i="147" s="1"/>
  <c r="E244" i="147"/>
  <c r="T240" i="147"/>
  <c r="H223" i="147"/>
  <c r="I221" i="147"/>
  <c r="R206" i="147"/>
  <c r="M220" i="147" s="1"/>
  <c r="M195" i="147"/>
  <c r="J166" i="147"/>
  <c r="P163" i="147"/>
  <c r="J167" i="147" s="1"/>
  <c r="O172" i="147" s="1"/>
  <c r="O173" i="147" s="1"/>
  <c r="P162" i="147"/>
  <c r="J156" i="147"/>
  <c r="J155" i="147"/>
  <c r="D155" i="147"/>
  <c r="D154" i="147"/>
  <c r="Q411" i="147" s="1"/>
  <c r="O146" i="147"/>
  <c r="L146" i="147"/>
  <c r="L277" i="147" s="1"/>
  <c r="R333" i="147" s="1"/>
  <c r="J146" i="147"/>
  <c r="R198" i="147" s="1"/>
  <c r="H146" i="147"/>
  <c r="H277" i="147" s="1"/>
  <c r="T145" i="147"/>
  <c r="T144" i="147"/>
  <c r="B144" i="147"/>
  <c r="T143" i="147"/>
  <c r="T451" i="147" s="1"/>
  <c r="H143" i="147"/>
  <c r="H274" i="147" s="1"/>
  <c r="H451" i="147" s="1"/>
  <c r="H578" i="147" s="1"/>
  <c r="H710" i="147" s="1"/>
  <c r="D143" i="147"/>
  <c r="D274" i="147" s="1"/>
  <c r="B143" i="147"/>
  <c r="B274" i="147" s="1"/>
  <c r="E112" i="147"/>
  <c r="T108" i="147"/>
  <c r="H100" i="147"/>
  <c r="I97" i="147"/>
  <c r="I80" i="147"/>
  <c r="R70" i="147"/>
  <c r="M79" i="147" s="1"/>
  <c r="R69" i="147"/>
  <c r="S98" i="147" s="1"/>
  <c r="R68" i="147"/>
  <c r="I79" i="147" s="1"/>
  <c r="R66" i="147"/>
  <c r="R202" i="147" s="1"/>
  <c r="R62" i="147"/>
  <c r="R36" i="147"/>
  <c r="R35" i="147"/>
  <c r="J31" i="147"/>
  <c r="O36" i="147" s="1"/>
  <c r="O37" i="147" s="1"/>
  <c r="R64" i="147" s="1"/>
  <c r="F79" i="147" s="1"/>
  <c r="Q30" i="147"/>
  <c r="J30" i="147"/>
  <c r="T21" i="147"/>
  <c r="R21" i="147"/>
  <c r="D20" i="147"/>
  <c r="D19" i="147"/>
  <c r="J18" i="147"/>
  <c r="R72" i="147" s="1"/>
  <c r="D18" i="147"/>
  <c r="R449" i="147"/>
  <c r="O449" i="147"/>
  <c r="G5" i="147"/>
  <c r="G449" i="147" s="1"/>
  <c r="D5" i="147"/>
  <c r="C5" i="147"/>
  <c r="C449" i="147" s="1"/>
  <c r="A5" i="147"/>
  <c r="A449" i="147" s="1"/>
  <c r="R448" i="147"/>
  <c r="O448" i="147"/>
  <c r="R447" i="147"/>
  <c r="O447" i="147"/>
  <c r="H3" i="147"/>
  <c r="H447" i="147" s="1"/>
  <c r="R446" i="147"/>
  <c r="O446" i="147"/>
  <c r="H2" i="147"/>
  <c r="H446" i="147" s="1"/>
  <c r="R445" i="147"/>
  <c r="H1" i="147"/>
  <c r="H445" i="147" s="1"/>
  <c r="O132" i="11"/>
  <c r="O133" i="11"/>
  <c r="S133" i="11"/>
  <c r="M132" i="11"/>
  <c r="M133" i="11"/>
  <c r="K132" i="11"/>
  <c r="K133" i="11"/>
  <c r="D133" i="11"/>
  <c r="O127" i="11"/>
  <c r="O128" i="11"/>
  <c r="M127" i="11"/>
  <c r="M128" i="11"/>
  <c r="K127" i="11"/>
  <c r="Q126" i="11"/>
  <c r="O126" i="11"/>
  <c r="M126" i="11"/>
  <c r="K126" i="11"/>
  <c r="I126" i="11"/>
  <c r="F126" i="11"/>
  <c r="D127" i="11"/>
  <c r="D128" i="11"/>
  <c r="D126" i="11"/>
  <c r="B126" i="11"/>
  <c r="A126" i="11"/>
  <c r="S98" i="11"/>
  <c r="Q96" i="11"/>
  <c r="Q267" i="134"/>
  <c r="O96" i="11"/>
  <c r="M98" i="11"/>
  <c r="K98" i="11"/>
  <c r="D98" i="11"/>
  <c r="B625" i="146"/>
  <c r="A625" i="146"/>
  <c r="B624" i="146"/>
  <c r="T623" i="146"/>
  <c r="S623" i="146"/>
  <c r="R623" i="146"/>
  <c r="Q623" i="146"/>
  <c r="P623" i="146"/>
  <c r="O623" i="146"/>
  <c r="N623" i="146"/>
  <c r="M623" i="146"/>
  <c r="L623" i="146"/>
  <c r="I623" i="146"/>
  <c r="H623" i="146"/>
  <c r="J608" i="146"/>
  <c r="E595" i="146"/>
  <c r="G590" i="146"/>
  <c r="S581" i="146"/>
  <c r="O590" i="146" s="1"/>
  <c r="J520" i="146"/>
  <c r="E507" i="146"/>
  <c r="G502" i="146"/>
  <c r="S493" i="146"/>
  <c r="O502" i="146" s="1"/>
  <c r="J456" i="146"/>
  <c r="J544" i="146" s="1"/>
  <c r="J455" i="146"/>
  <c r="J543" i="146" s="1"/>
  <c r="J447" i="146"/>
  <c r="J623" i="146" s="1"/>
  <c r="O446" i="146"/>
  <c r="L446" i="146"/>
  <c r="L534" i="146" s="1"/>
  <c r="S580" i="146" s="1"/>
  <c r="G602" i="146" s="1"/>
  <c r="J446" i="146"/>
  <c r="E623" i="146" s="1"/>
  <c r="H446" i="146"/>
  <c r="D623" i="146" s="1"/>
  <c r="T445" i="146"/>
  <c r="T533" i="146" s="1"/>
  <c r="D544" i="146" s="1"/>
  <c r="T444" i="146"/>
  <c r="D455" i="146" s="1"/>
  <c r="B444" i="146"/>
  <c r="B532" i="146" s="1"/>
  <c r="D443" i="146"/>
  <c r="D531" i="146" s="1"/>
  <c r="C623" i="146" s="1"/>
  <c r="B443" i="146"/>
  <c r="B531" i="146" s="1"/>
  <c r="A623" i="146" s="1"/>
  <c r="J432" i="146"/>
  <c r="E419" i="146"/>
  <c r="G414" i="146"/>
  <c r="S407" i="146"/>
  <c r="J427" i="146" s="1"/>
  <c r="S405" i="146"/>
  <c r="O414" i="146" s="1"/>
  <c r="S404" i="146"/>
  <c r="L415" i="146" s="1"/>
  <c r="O386" i="146"/>
  <c r="Q389" i="146" s="1"/>
  <c r="O384" i="146"/>
  <c r="J389" i="146" s="1"/>
  <c r="S379" i="146"/>
  <c r="Q379" i="146"/>
  <c r="D373" i="146"/>
  <c r="D372" i="146"/>
  <c r="H358" i="146"/>
  <c r="A356" i="146"/>
  <c r="A354" i="146"/>
  <c r="Q319" i="146"/>
  <c r="Q131" i="11" s="1"/>
  <c r="O319" i="146"/>
  <c r="O131" i="11" s="1"/>
  <c r="M319" i="146"/>
  <c r="M131" i="11" s="1"/>
  <c r="K319" i="146"/>
  <c r="K131" i="11" s="1"/>
  <c r="I319" i="146"/>
  <c r="I131" i="11" s="1"/>
  <c r="H319" i="146"/>
  <c r="G319" i="146"/>
  <c r="F319" i="146"/>
  <c r="F131" i="11" s="1"/>
  <c r="D319" i="146"/>
  <c r="D131" i="11" s="1"/>
  <c r="B319" i="146"/>
  <c r="B131" i="11" s="1"/>
  <c r="A319" i="146"/>
  <c r="A131" i="11" s="1"/>
  <c r="J302" i="146"/>
  <c r="E289" i="146"/>
  <c r="G284" i="146"/>
  <c r="S275" i="146"/>
  <c r="O284" i="146" s="1"/>
  <c r="O249" i="146"/>
  <c r="B226" i="146"/>
  <c r="D225" i="146"/>
  <c r="B225" i="146"/>
  <c r="J204" i="146"/>
  <c r="E191" i="146"/>
  <c r="G186" i="146"/>
  <c r="S177" i="146"/>
  <c r="O186" i="146" s="1"/>
  <c r="J160" i="146"/>
  <c r="O157" i="146"/>
  <c r="Q160" i="146" s="1"/>
  <c r="O156" i="146"/>
  <c r="O385" i="146" s="1"/>
  <c r="O468" i="146" s="1"/>
  <c r="O556" i="146" s="1"/>
  <c r="J144" i="146"/>
  <c r="J238" i="146" s="1"/>
  <c r="J143" i="146"/>
  <c r="J135" i="146"/>
  <c r="L229" i="146" s="1"/>
  <c r="O134" i="146"/>
  <c r="L134" i="146"/>
  <c r="L228" i="146" s="1"/>
  <c r="S274" i="146" s="1"/>
  <c r="L285" i="146" s="1"/>
  <c r="J134" i="146"/>
  <c r="D320" i="146" s="1"/>
  <c r="D132" i="11" s="1"/>
  <c r="H134" i="146"/>
  <c r="H228" i="146" s="1"/>
  <c r="T133" i="146"/>
  <c r="T227" i="146" s="1"/>
  <c r="D238" i="146" s="1"/>
  <c r="T132" i="146"/>
  <c r="D143" i="146" s="1"/>
  <c r="T131" i="146"/>
  <c r="D142" i="146" s="1"/>
  <c r="H131" i="146"/>
  <c r="H225" i="146" s="1"/>
  <c r="H360" i="146" s="1"/>
  <c r="H443" i="146" s="1"/>
  <c r="H531" i="146" s="1"/>
  <c r="L104" i="146"/>
  <c r="N97" i="146"/>
  <c r="I97" i="146"/>
  <c r="H97" i="146"/>
  <c r="G97" i="146"/>
  <c r="S93" i="146"/>
  <c r="K97" i="146" s="1"/>
  <c r="I80" i="146"/>
  <c r="G79" i="146"/>
  <c r="S77" i="146"/>
  <c r="S74" i="146"/>
  <c r="S79" i="146" s="1"/>
  <c r="S72" i="146"/>
  <c r="O79" i="146" s="1"/>
  <c r="S71" i="146"/>
  <c r="R65" i="146"/>
  <c r="R64" i="146"/>
  <c r="I57" i="146"/>
  <c r="I56" i="146"/>
  <c r="G56" i="146"/>
  <c r="S54" i="146"/>
  <c r="F26" i="146" s="1"/>
  <c r="S52" i="146"/>
  <c r="S51" i="146"/>
  <c r="S56" i="146" s="1"/>
  <c r="S49" i="146"/>
  <c r="O56" i="146" s="1"/>
  <c r="S48" i="146"/>
  <c r="J37" i="146"/>
  <c r="O65" i="146" s="1"/>
  <c r="Q36" i="146"/>
  <c r="J36" i="146"/>
  <c r="S26" i="146"/>
  <c r="Q26" i="146"/>
  <c r="D20" i="146"/>
  <c r="D19" i="146"/>
  <c r="J18" i="146"/>
  <c r="J142" i="146" s="1"/>
  <c r="D18" i="146"/>
  <c r="R358" i="146"/>
  <c r="O358" i="146"/>
  <c r="G5" i="146"/>
  <c r="G358" i="146" s="1"/>
  <c r="D5" i="146"/>
  <c r="D358" i="146" s="1"/>
  <c r="C5" i="146"/>
  <c r="C358" i="146" s="1"/>
  <c r="A5" i="146"/>
  <c r="A358" i="146" s="1"/>
  <c r="R357" i="146"/>
  <c r="O357" i="146"/>
  <c r="R356" i="146"/>
  <c r="O356" i="146"/>
  <c r="H3" i="146"/>
  <c r="H356" i="146" s="1"/>
  <c r="R355" i="146"/>
  <c r="O355" i="146"/>
  <c r="H2" i="146"/>
  <c r="H355" i="146" s="1"/>
  <c r="R354" i="146"/>
  <c r="O354" i="146"/>
  <c r="H1" i="146"/>
  <c r="H354" i="146" s="1"/>
  <c r="B848" i="145"/>
  <c r="A848" i="145"/>
  <c r="B847" i="145"/>
  <c r="T846" i="145"/>
  <c r="S846" i="145"/>
  <c r="R846" i="145"/>
  <c r="Q846" i="145"/>
  <c r="P846" i="145"/>
  <c r="O846" i="145"/>
  <c r="N846" i="145"/>
  <c r="M846" i="145"/>
  <c r="L846" i="145"/>
  <c r="J846" i="145"/>
  <c r="I846" i="145"/>
  <c r="H846" i="145"/>
  <c r="E846" i="145"/>
  <c r="D846" i="145"/>
  <c r="C846" i="145"/>
  <c r="B846" i="145"/>
  <c r="A846" i="145"/>
  <c r="E808" i="145"/>
  <c r="T804" i="145"/>
  <c r="R777" i="145"/>
  <c r="M781" i="145" s="1"/>
  <c r="R775" i="145"/>
  <c r="I781" i="145" s="1"/>
  <c r="R769" i="145"/>
  <c r="P729" i="145"/>
  <c r="P728" i="145"/>
  <c r="J722" i="145"/>
  <c r="L714" i="145"/>
  <c r="O713" i="145"/>
  <c r="T724" i="145" s="1"/>
  <c r="L713" i="145"/>
  <c r="F846" i="145" s="1"/>
  <c r="J713" i="145"/>
  <c r="H713" i="145"/>
  <c r="T712" i="145"/>
  <c r="D723" i="145" s="1"/>
  <c r="D710" i="145"/>
  <c r="B710" i="145"/>
  <c r="E676" i="145"/>
  <c r="T672" i="145"/>
  <c r="I660" i="145"/>
  <c r="M659" i="145"/>
  <c r="I659" i="145"/>
  <c r="M654" i="145"/>
  <c r="R645" i="145"/>
  <c r="M649" i="145" s="1"/>
  <c r="R643" i="145"/>
  <c r="I649" i="145" s="1"/>
  <c r="R637" i="145"/>
  <c r="M634" i="145"/>
  <c r="P597" i="145"/>
  <c r="P596" i="145"/>
  <c r="T592" i="145"/>
  <c r="R592" i="145"/>
  <c r="J591" i="145"/>
  <c r="J723" i="145" s="1"/>
  <c r="J590" i="145"/>
  <c r="J582" i="145"/>
  <c r="O581" i="145"/>
  <c r="G846" i="145" s="1"/>
  <c r="L581" i="145"/>
  <c r="J581" i="145"/>
  <c r="H581" i="145"/>
  <c r="T580" i="145"/>
  <c r="D591" i="145" s="1"/>
  <c r="T579" i="145"/>
  <c r="B579" i="145"/>
  <c r="B711" i="145" s="1"/>
  <c r="A847" i="145" s="1"/>
  <c r="T578" i="145"/>
  <c r="D578" i="145"/>
  <c r="B578" i="145"/>
  <c r="E544" i="145"/>
  <c r="T540" i="145"/>
  <c r="M534" i="145"/>
  <c r="H530" i="145"/>
  <c r="M527" i="145"/>
  <c r="I527" i="145"/>
  <c r="M517" i="145"/>
  <c r="I517" i="145"/>
  <c r="R513" i="145"/>
  <c r="M522" i="145" s="1"/>
  <c r="R512" i="145"/>
  <c r="S528" i="145" s="1"/>
  <c r="R511" i="145"/>
  <c r="I522" i="145" s="1"/>
  <c r="R509" i="145"/>
  <c r="F527" i="145" s="1"/>
  <c r="R505" i="145"/>
  <c r="I528" i="145" s="1"/>
  <c r="J474" i="145"/>
  <c r="P471" i="145"/>
  <c r="P598" i="145" s="1"/>
  <c r="Q601" i="145" s="1"/>
  <c r="P469" i="145"/>
  <c r="T465" i="145"/>
  <c r="R465" i="145"/>
  <c r="D464" i="145"/>
  <c r="D463" i="145"/>
  <c r="H449" i="145"/>
  <c r="G449" i="145"/>
  <c r="D449" i="145"/>
  <c r="C449" i="145"/>
  <c r="A449" i="145"/>
  <c r="A447" i="145"/>
  <c r="O445" i="145"/>
  <c r="A445" i="145"/>
  <c r="O413" i="145"/>
  <c r="M413" i="145"/>
  <c r="K413" i="145"/>
  <c r="D413" i="145"/>
  <c r="O412" i="145"/>
  <c r="M412" i="145"/>
  <c r="K412" i="145"/>
  <c r="D412" i="145"/>
  <c r="O411" i="145"/>
  <c r="M411" i="145"/>
  <c r="K411" i="145"/>
  <c r="I411" i="145"/>
  <c r="H411" i="145"/>
  <c r="G411" i="145"/>
  <c r="F411" i="145"/>
  <c r="D411" i="145"/>
  <c r="B411" i="145"/>
  <c r="A411" i="145"/>
  <c r="E372" i="145"/>
  <c r="T368" i="145"/>
  <c r="M362" i="145"/>
  <c r="H358" i="145"/>
  <c r="I346" i="145"/>
  <c r="R341" i="145"/>
  <c r="M355" i="145" s="1"/>
  <c r="M330" i="145"/>
  <c r="P294" i="145"/>
  <c r="Q297" i="145" s="1"/>
  <c r="P293" i="145"/>
  <c r="P292" i="145"/>
  <c r="J298" i="145" s="1"/>
  <c r="J287" i="145"/>
  <c r="J286" i="145"/>
  <c r="L278" i="145"/>
  <c r="T275" i="145"/>
  <c r="D286" i="145" s="1"/>
  <c r="B275" i="145"/>
  <c r="T274" i="145"/>
  <c r="D285" i="145" s="1"/>
  <c r="H274" i="145"/>
  <c r="H451" i="145" s="1"/>
  <c r="H578" i="145" s="1"/>
  <c r="H710" i="145" s="1"/>
  <c r="D274" i="145"/>
  <c r="E244" i="145"/>
  <c r="T240" i="145"/>
  <c r="H223" i="145"/>
  <c r="I215" i="145"/>
  <c r="R206" i="145"/>
  <c r="M210" i="145" s="1"/>
  <c r="R204" i="145"/>
  <c r="M195" i="145"/>
  <c r="J166" i="145"/>
  <c r="P163" i="145"/>
  <c r="J167" i="145" s="1"/>
  <c r="O172" i="145" s="1"/>
  <c r="O173" i="145" s="1"/>
  <c r="AA173" i="145" s="1"/>
  <c r="P162" i="145"/>
  <c r="P470" i="145" s="1"/>
  <c r="T157" i="145"/>
  <c r="R157" i="145"/>
  <c r="J156" i="145"/>
  <c r="J155" i="145"/>
  <c r="D155" i="145"/>
  <c r="D154" i="145"/>
  <c r="Q411" i="145" s="1"/>
  <c r="O146" i="145"/>
  <c r="O277" i="145" s="1"/>
  <c r="L146" i="145"/>
  <c r="L277" i="145" s="1"/>
  <c r="R333" i="145" s="1"/>
  <c r="I356" i="145" s="1"/>
  <c r="J146" i="145"/>
  <c r="H146" i="145"/>
  <c r="H277" i="145" s="1"/>
  <c r="T145" i="145"/>
  <c r="T144" i="145"/>
  <c r="B144" i="145"/>
  <c r="T143" i="145"/>
  <c r="T451" i="145" s="1"/>
  <c r="D462" i="145" s="1"/>
  <c r="H143" i="145"/>
  <c r="D143" i="145"/>
  <c r="B143" i="145"/>
  <c r="B274" i="145" s="1"/>
  <c r="E112" i="145"/>
  <c r="T108" i="145"/>
  <c r="M102" i="145"/>
  <c r="H100" i="145"/>
  <c r="M97" i="145"/>
  <c r="I97" i="145"/>
  <c r="M79" i="145"/>
  <c r="M74" i="145"/>
  <c r="I74" i="145"/>
  <c r="R70" i="145"/>
  <c r="R69" i="145"/>
  <c r="S98" i="145" s="1"/>
  <c r="R68" i="145"/>
  <c r="I79" i="145" s="1"/>
  <c r="R66" i="145"/>
  <c r="R202" i="145" s="1"/>
  <c r="R62" i="145"/>
  <c r="I98" i="145" s="1"/>
  <c r="R36" i="145"/>
  <c r="R35" i="145"/>
  <c r="J31" i="145"/>
  <c r="R63" i="145" s="1"/>
  <c r="F74" i="145" s="1"/>
  <c r="Q30" i="145"/>
  <c r="J30" i="145"/>
  <c r="T21" i="145"/>
  <c r="R21" i="145"/>
  <c r="D20" i="145"/>
  <c r="D19" i="145"/>
  <c r="J18" i="145"/>
  <c r="D18" i="145"/>
  <c r="R449" i="145"/>
  <c r="O449" i="145"/>
  <c r="G5" i="145"/>
  <c r="D5" i="145"/>
  <c r="C5" i="145"/>
  <c r="A5" i="145"/>
  <c r="R448" i="145"/>
  <c r="O448" i="145"/>
  <c r="R447" i="145"/>
  <c r="O447" i="145"/>
  <c r="H3" i="145"/>
  <c r="H447" i="145" s="1"/>
  <c r="R446" i="145"/>
  <c r="O446" i="145"/>
  <c r="H2" i="145"/>
  <c r="H446" i="145" s="1"/>
  <c r="R445" i="145"/>
  <c r="H1" i="145"/>
  <c r="H445" i="145" s="1"/>
  <c r="H2" i="89"/>
  <c r="M68" i="11"/>
  <c r="K68" i="11"/>
  <c r="M142" i="142"/>
  <c r="M97" i="11" s="1"/>
  <c r="K142" i="142"/>
  <c r="K97" i="11" s="1"/>
  <c r="T51" i="142"/>
  <c r="T50" i="142"/>
  <c r="J62" i="142"/>
  <c r="J105" i="142" s="1"/>
  <c r="M141" i="142"/>
  <c r="M96" i="11" s="1"/>
  <c r="K141" i="142"/>
  <c r="K96" i="11" s="1"/>
  <c r="H141" i="142"/>
  <c r="G141" i="142"/>
  <c r="G122" i="142"/>
  <c r="N117" i="142"/>
  <c r="J117" i="142"/>
  <c r="T106" i="142"/>
  <c r="D106" i="142"/>
  <c r="G86" i="142"/>
  <c r="G83" i="142"/>
  <c r="N79" i="142"/>
  <c r="J79" i="142"/>
  <c r="S110" i="142"/>
  <c r="G125" i="142" s="1"/>
  <c r="P68" i="142"/>
  <c r="T63" i="142"/>
  <c r="J63" i="142"/>
  <c r="J106" i="142" s="1"/>
  <c r="D63" i="142"/>
  <c r="J61" i="142"/>
  <c r="J104" i="142" s="1"/>
  <c r="J53" i="142"/>
  <c r="L96" i="142" s="1"/>
  <c r="I141" i="142" s="1"/>
  <c r="I96" i="11" s="1"/>
  <c r="O52" i="142"/>
  <c r="P70" i="142" s="1"/>
  <c r="L52" i="142"/>
  <c r="L95" i="142" s="1"/>
  <c r="J52" i="142"/>
  <c r="J95" i="142" s="1"/>
  <c r="D142" i="142" s="1"/>
  <c r="D97" i="11" s="1"/>
  <c r="H52" i="142"/>
  <c r="H95" i="142" s="1"/>
  <c r="D141" i="142" s="1"/>
  <c r="D96" i="11" s="1"/>
  <c r="B50" i="142"/>
  <c r="B93" i="142" s="1"/>
  <c r="T49" i="142"/>
  <c r="H49" i="142"/>
  <c r="H92" i="142" s="1"/>
  <c r="D49" i="142"/>
  <c r="D92" i="142" s="1"/>
  <c r="B141" i="142" s="1"/>
  <c r="B96" i="11" s="1"/>
  <c r="B49" i="142"/>
  <c r="B92" i="142" s="1"/>
  <c r="A141" i="142" s="1"/>
  <c r="A96" i="11" s="1"/>
  <c r="G45" i="142"/>
  <c r="G42" i="142"/>
  <c r="N37" i="142"/>
  <c r="J37" i="142"/>
  <c r="P28" i="142"/>
  <c r="P26" i="142"/>
  <c r="P25" i="142"/>
  <c r="T21" i="142"/>
  <c r="R21" i="142"/>
  <c r="P21" i="142"/>
  <c r="D21" i="142"/>
  <c r="D20" i="142"/>
  <c r="D62" i="142" s="1"/>
  <c r="D105" i="142" s="1"/>
  <c r="D19" i="142"/>
  <c r="D61" i="142" s="1"/>
  <c r="D104" i="142" s="1"/>
  <c r="J18" i="142"/>
  <c r="J60" i="142" s="1"/>
  <c r="J103" i="142" s="1"/>
  <c r="D18" i="142"/>
  <c r="D60" i="142" s="1"/>
  <c r="D103" i="142" s="1"/>
  <c r="G5" i="142"/>
  <c r="D5" i="142"/>
  <c r="C5" i="142"/>
  <c r="A5" i="142"/>
  <c r="H3" i="142"/>
  <c r="H2" i="142"/>
  <c r="H1" i="142"/>
  <c r="O321" i="89"/>
  <c r="M321" i="89"/>
  <c r="K321" i="89"/>
  <c r="I320" i="89"/>
  <c r="J19" i="89"/>
  <c r="O610" i="6"/>
  <c r="M610" i="6"/>
  <c r="K610" i="6"/>
  <c r="K87" i="11" s="1"/>
  <c r="O267" i="139"/>
  <c r="M267" i="139"/>
  <c r="K267" i="139"/>
  <c r="D267" i="139"/>
  <c r="O266" i="139"/>
  <c r="M266" i="139"/>
  <c r="K266" i="139"/>
  <c r="D266" i="139"/>
  <c r="Q265" i="139"/>
  <c r="O265" i="139"/>
  <c r="M265" i="139"/>
  <c r="K265" i="139"/>
  <c r="J265" i="139"/>
  <c r="I265" i="139"/>
  <c r="H265" i="139"/>
  <c r="G265" i="139"/>
  <c r="F265" i="139"/>
  <c r="D265" i="139"/>
  <c r="B265" i="139"/>
  <c r="A265" i="139"/>
  <c r="H231" i="139"/>
  <c r="H228" i="139"/>
  <c r="M228" i="139" s="1"/>
  <c r="G237" i="139" s="1"/>
  <c r="M206" i="139"/>
  <c r="S198" i="139"/>
  <c r="H206" i="139" s="1"/>
  <c r="T185" i="139"/>
  <c r="R185" i="139"/>
  <c r="P186" i="139" s="1"/>
  <c r="S199" i="139" s="1"/>
  <c r="P185" i="139"/>
  <c r="L176" i="139"/>
  <c r="O175" i="139"/>
  <c r="S201" i="139" s="1"/>
  <c r="K206" i="139" s="1"/>
  <c r="J175" i="139"/>
  <c r="D172" i="139"/>
  <c r="B172" i="139"/>
  <c r="J164" i="139"/>
  <c r="F146" i="139"/>
  <c r="F147" i="139" s="1"/>
  <c r="E136" i="139"/>
  <c r="E153" i="139" s="1"/>
  <c r="C157" i="139" s="1"/>
  <c r="E134" i="139"/>
  <c r="E133" i="139"/>
  <c r="S111" i="139"/>
  <c r="S109" i="139"/>
  <c r="T103" i="139"/>
  <c r="R103" i="139"/>
  <c r="P103" i="139"/>
  <c r="P104" i="139" s="1"/>
  <c r="S112" i="139" s="1"/>
  <c r="F157" i="139" s="1"/>
  <c r="J103" i="139"/>
  <c r="J185" i="139" s="1"/>
  <c r="D103" i="139"/>
  <c r="J102" i="139"/>
  <c r="J184" i="139" s="1"/>
  <c r="D102" i="139"/>
  <c r="D101" i="139"/>
  <c r="W96" i="139"/>
  <c r="J94" i="139"/>
  <c r="O93" i="139"/>
  <c r="S114" i="139" s="1"/>
  <c r="S196" i="139" s="1"/>
  <c r="M225" i="139" s="1"/>
  <c r="L93" i="139"/>
  <c r="L175" i="139" s="1"/>
  <c r="S197" i="139" s="1"/>
  <c r="R225" i="139" s="1"/>
  <c r="J93" i="139"/>
  <c r="H93" i="139"/>
  <c r="H175" i="139" s="1"/>
  <c r="T92" i="139"/>
  <c r="T174" i="139" s="1"/>
  <c r="D185" i="139" s="1"/>
  <c r="T91" i="139"/>
  <c r="T173" i="139" s="1"/>
  <c r="D184" i="139" s="1"/>
  <c r="T90" i="139"/>
  <c r="T172" i="139" s="1"/>
  <c r="D183" i="139" s="1"/>
  <c r="H90" i="139"/>
  <c r="H172" i="139" s="1"/>
  <c r="D90" i="139"/>
  <c r="B90" i="139"/>
  <c r="I82" i="139"/>
  <c r="C75" i="139"/>
  <c r="F62" i="139"/>
  <c r="F63" i="139" s="1"/>
  <c r="E51" i="139"/>
  <c r="S31" i="139"/>
  <c r="S28" i="139"/>
  <c r="S26" i="139"/>
  <c r="S25" i="139"/>
  <c r="E50" i="139" s="1"/>
  <c r="P21" i="139"/>
  <c r="S29" i="139" s="1"/>
  <c r="F75" i="139" s="1"/>
  <c r="T20" i="139"/>
  <c r="R20" i="139"/>
  <c r="P20" i="139"/>
  <c r="D20" i="139"/>
  <c r="D19" i="139"/>
  <c r="J18" i="139"/>
  <c r="J101" i="139" s="1"/>
  <c r="D18" i="139"/>
  <c r="W13" i="139"/>
  <c r="R5" i="139"/>
  <c r="O5" i="139"/>
  <c r="G5" i="139"/>
  <c r="D5" i="139"/>
  <c r="C5" i="139"/>
  <c r="A5" i="139"/>
  <c r="R4" i="139"/>
  <c r="O4" i="139"/>
  <c r="R3" i="139"/>
  <c r="O3" i="139"/>
  <c r="H3" i="139"/>
  <c r="R2" i="139"/>
  <c r="O2" i="139"/>
  <c r="H2" i="139"/>
  <c r="R1" i="139"/>
  <c r="O1" i="139"/>
  <c r="H1" i="139"/>
  <c r="O267" i="138"/>
  <c r="M267" i="138"/>
  <c r="K267" i="138"/>
  <c r="D267" i="138"/>
  <c r="O266" i="138"/>
  <c r="M266" i="138"/>
  <c r="K266" i="138"/>
  <c r="D266" i="138"/>
  <c r="Q265" i="138"/>
  <c r="O265" i="138"/>
  <c r="M265" i="138"/>
  <c r="K265" i="138"/>
  <c r="J265" i="138"/>
  <c r="I265" i="138"/>
  <c r="H265" i="138"/>
  <c r="G265" i="138"/>
  <c r="F265" i="138"/>
  <c r="D265" i="138"/>
  <c r="B265" i="138"/>
  <c r="A265" i="138"/>
  <c r="A223" i="11" s="1"/>
  <c r="H231" i="138"/>
  <c r="H228" i="138"/>
  <c r="M228" i="138" s="1"/>
  <c r="G237" i="138" s="1"/>
  <c r="M206" i="138"/>
  <c r="S198" i="138"/>
  <c r="H206" i="138" s="1"/>
  <c r="S197" i="138"/>
  <c r="R225" i="138" s="1"/>
  <c r="S196" i="138"/>
  <c r="M225" i="138" s="1"/>
  <c r="M226" i="138" s="1"/>
  <c r="G236" i="138" s="1"/>
  <c r="T185" i="138"/>
  <c r="J185" i="138"/>
  <c r="L175" i="138"/>
  <c r="J175" i="138"/>
  <c r="H175" i="138"/>
  <c r="H172" i="138"/>
  <c r="J164" i="138"/>
  <c r="F146" i="138"/>
  <c r="F147" i="138" s="1"/>
  <c r="E136" i="138"/>
  <c r="E153" i="138" s="1"/>
  <c r="C157" i="138" s="1"/>
  <c r="E133" i="138"/>
  <c r="S114" i="138"/>
  <c r="S111" i="138"/>
  <c r="S109" i="138"/>
  <c r="E134" i="138" s="1"/>
  <c r="T103" i="138"/>
  <c r="R103" i="138"/>
  <c r="P103" i="138"/>
  <c r="P104" i="138" s="1"/>
  <c r="S112" i="138" s="1"/>
  <c r="F157" i="138" s="1"/>
  <c r="J103" i="138"/>
  <c r="D103" i="138"/>
  <c r="J102" i="138"/>
  <c r="J184" i="138" s="1"/>
  <c r="D102" i="138"/>
  <c r="D101" i="138"/>
  <c r="W96" i="138"/>
  <c r="J94" i="138"/>
  <c r="L176" i="138" s="1"/>
  <c r="O93" i="138"/>
  <c r="O175" i="138" s="1"/>
  <c r="L93" i="138"/>
  <c r="J93" i="138"/>
  <c r="H93" i="138"/>
  <c r="T92" i="138"/>
  <c r="T174" i="138" s="1"/>
  <c r="D185" i="138" s="1"/>
  <c r="T91" i="138"/>
  <c r="T173" i="138" s="1"/>
  <c r="D184" i="138" s="1"/>
  <c r="T90" i="138"/>
  <c r="T172" i="138" s="1"/>
  <c r="D183" i="138" s="1"/>
  <c r="H90" i="138"/>
  <c r="D90" i="138"/>
  <c r="D172" i="138" s="1"/>
  <c r="B90" i="138"/>
  <c r="B172" i="138" s="1"/>
  <c r="I82" i="138"/>
  <c r="C75" i="138"/>
  <c r="F62" i="138"/>
  <c r="F63" i="138" s="1"/>
  <c r="E51" i="138"/>
  <c r="S31" i="138"/>
  <c r="S28" i="138"/>
  <c r="S26" i="138"/>
  <c r="S25" i="138"/>
  <c r="E50" i="138" s="1"/>
  <c r="P21" i="138"/>
  <c r="S29" i="138" s="1"/>
  <c r="F75" i="138" s="1"/>
  <c r="T20" i="138"/>
  <c r="R20" i="138"/>
  <c r="P20" i="138"/>
  <c r="D20" i="138"/>
  <c r="D19" i="138"/>
  <c r="J18" i="138"/>
  <c r="D18" i="138"/>
  <c r="W13" i="138"/>
  <c r="R5" i="138"/>
  <c r="O5" i="138"/>
  <c r="G5" i="138"/>
  <c r="D5" i="138"/>
  <c r="C5" i="138"/>
  <c r="A5" i="138"/>
  <c r="R4" i="138"/>
  <c r="O4" i="138"/>
  <c r="R3" i="138"/>
  <c r="O3" i="138"/>
  <c r="H3" i="138"/>
  <c r="R2" i="138"/>
  <c r="O2" i="138"/>
  <c r="H2" i="138"/>
  <c r="R1" i="138"/>
  <c r="O1" i="138"/>
  <c r="H1" i="138"/>
  <c r="O267" i="137"/>
  <c r="M267" i="137"/>
  <c r="K267" i="137"/>
  <c r="D267" i="137"/>
  <c r="O266" i="137"/>
  <c r="M266" i="137"/>
  <c r="K266" i="137"/>
  <c r="D266" i="137"/>
  <c r="Q265" i="137"/>
  <c r="O265" i="137"/>
  <c r="M265" i="137"/>
  <c r="K265" i="137"/>
  <c r="J265" i="137"/>
  <c r="I265" i="137"/>
  <c r="H265" i="137"/>
  <c r="G265" i="137"/>
  <c r="F265" i="137"/>
  <c r="D265" i="137"/>
  <c r="B265" i="137"/>
  <c r="A265" i="137"/>
  <c r="H231" i="137"/>
  <c r="H228" i="137"/>
  <c r="M228" i="137" s="1"/>
  <c r="G237" i="137" s="1"/>
  <c r="M206" i="137"/>
  <c r="S198" i="137"/>
  <c r="H206" i="137" s="1"/>
  <c r="T185" i="137"/>
  <c r="R185" i="137"/>
  <c r="L176" i="137"/>
  <c r="O175" i="137"/>
  <c r="P185" i="137" s="1"/>
  <c r="P186" i="137" s="1"/>
  <c r="S199" i="137" s="1"/>
  <c r="L175" i="137"/>
  <c r="S197" i="137" s="1"/>
  <c r="R225" i="137" s="1"/>
  <c r="J175" i="137"/>
  <c r="H175" i="137"/>
  <c r="J164" i="137"/>
  <c r="O142" i="137"/>
  <c r="F146" i="137" s="1"/>
  <c r="F147" i="137" s="1"/>
  <c r="E133" i="137"/>
  <c r="S114" i="137"/>
  <c r="S196" i="137" s="1"/>
  <c r="M225" i="137" s="1"/>
  <c r="S111" i="137"/>
  <c r="T103" i="137"/>
  <c r="R103" i="137"/>
  <c r="P103" i="137"/>
  <c r="P104" i="137" s="1"/>
  <c r="S112" i="137" s="1"/>
  <c r="F157" i="137" s="1"/>
  <c r="J103" i="137"/>
  <c r="J185" i="137" s="1"/>
  <c r="D103" i="137"/>
  <c r="J102" i="137"/>
  <c r="J184" i="137" s="1"/>
  <c r="D102" i="137"/>
  <c r="D101" i="137"/>
  <c r="W96" i="137"/>
  <c r="J94" i="137"/>
  <c r="O93" i="137"/>
  <c r="L93" i="137"/>
  <c r="J93" i="137"/>
  <c r="S109" i="137" s="1"/>
  <c r="H93" i="137"/>
  <c r="T92" i="137"/>
  <c r="T174" i="137" s="1"/>
  <c r="D185" i="137" s="1"/>
  <c r="T91" i="137"/>
  <c r="T173" i="137" s="1"/>
  <c r="D184" i="137" s="1"/>
  <c r="T90" i="137"/>
  <c r="T172" i="137" s="1"/>
  <c r="D183" i="137" s="1"/>
  <c r="H90" i="137"/>
  <c r="H172" i="137" s="1"/>
  <c r="D90" i="137"/>
  <c r="D172" i="137" s="1"/>
  <c r="B90" i="137"/>
  <c r="B172" i="137" s="1"/>
  <c r="C75" i="137"/>
  <c r="F62" i="137"/>
  <c r="F63" i="137" s="1"/>
  <c r="E51" i="137"/>
  <c r="S31" i="137"/>
  <c r="S28" i="137"/>
  <c r="I82" i="137" s="1"/>
  <c r="S26" i="137"/>
  <c r="S25" i="137"/>
  <c r="E50" i="137" s="1"/>
  <c r="T20" i="137"/>
  <c r="R20" i="137"/>
  <c r="P20" i="137"/>
  <c r="P21" i="137" s="1"/>
  <c r="S29" i="137" s="1"/>
  <c r="F75" i="137" s="1"/>
  <c r="D20" i="137"/>
  <c r="D19" i="137"/>
  <c r="J18" i="137"/>
  <c r="J101" i="137" s="1"/>
  <c r="D18" i="137"/>
  <c r="W13" i="137"/>
  <c r="R5" i="137"/>
  <c r="O5" i="137"/>
  <c r="G5" i="137"/>
  <c r="D5" i="137"/>
  <c r="C5" i="137"/>
  <c r="A5" i="137"/>
  <c r="R4" i="137"/>
  <c r="O4" i="137"/>
  <c r="R3" i="137"/>
  <c r="O3" i="137"/>
  <c r="H3" i="137"/>
  <c r="R2" i="137"/>
  <c r="O2" i="137"/>
  <c r="H2" i="137"/>
  <c r="R1" i="137"/>
  <c r="O1" i="137"/>
  <c r="H1" i="137"/>
  <c r="O267" i="136"/>
  <c r="M267" i="136"/>
  <c r="K267" i="136"/>
  <c r="D267" i="136"/>
  <c r="O266" i="136"/>
  <c r="M266" i="136"/>
  <c r="K266" i="136"/>
  <c r="D266" i="136"/>
  <c r="Q265" i="136"/>
  <c r="O265" i="136"/>
  <c r="M265" i="136"/>
  <c r="K265" i="136"/>
  <c r="J265" i="136"/>
  <c r="I265" i="136"/>
  <c r="H265" i="136"/>
  <c r="G265" i="136"/>
  <c r="F265" i="136"/>
  <c r="D265" i="136"/>
  <c r="B265" i="136"/>
  <c r="B189" i="11" s="1"/>
  <c r="A265" i="136"/>
  <c r="A189" i="11" s="1"/>
  <c r="H231" i="136"/>
  <c r="H228" i="136"/>
  <c r="M228" i="136" s="1"/>
  <c r="G237" i="136" s="1"/>
  <c r="M206" i="136"/>
  <c r="S201" i="136"/>
  <c r="K206" i="136" s="1"/>
  <c r="S198" i="136"/>
  <c r="H206" i="136" s="1"/>
  <c r="S197" i="136"/>
  <c r="R225" i="136" s="1"/>
  <c r="S196" i="136"/>
  <c r="M225" i="136" s="1"/>
  <c r="M226" i="136" s="1"/>
  <c r="G236" i="136" s="1"/>
  <c r="T185" i="136"/>
  <c r="R185" i="136"/>
  <c r="L176" i="136"/>
  <c r="O175" i="136"/>
  <c r="P185" i="136" s="1"/>
  <c r="P186" i="136" s="1"/>
  <c r="S199" i="136" s="1"/>
  <c r="L175" i="136"/>
  <c r="J175" i="136"/>
  <c r="H175" i="136"/>
  <c r="T174" i="136"/>
  <c r="D185" i="136" s="1"/>
  <c r="T173" i="136"/>
  <c r="D184" i="136" s="1"/>
  <c r="T172" i="136"/>
  <c r="D183" i="136" s="1"/>
  <c r="H172" i="136"/>
  <c r="D172" i="136"/>
  <c r="B172" i="136"/>
  <c r="J164" i="136"/>
  <c r="F146" i="136"/>
  <c r="F147" i="136" s="1"/>
  <c r="E133" i="136"/>
  <c r="S114" i="136"/>
  <c r="S111" i="136"/>
  <c r="S109" i="136"/>
  <c r="E136" i="136" s="1"/>
  <c r="E153" i="136" s="1"/>
  <c r="C157" i="136" s="1"/>
  <c r="T103" i="136"/>
  <c r="R103" i="136"/>
  <c r="P103" i="136"/>
  <c r="P104" i="136" s="1"/>
  <c r="S112" i="136" s="1"/>
  <c r="F157" i="136" s="1"/>
  <c r="J103" i="136"/>
  <c r="J185" i="136" s="1"/>
  <c r="D103" i="136"/>
  <c r="J102" i="136"/>
  <c r="J184" i="136" s="1"/>
  <c r="D102" i="136"/>
  <c r="D101" i="136"/>
  <c r="W96" i="136"/>
  <c r="J94" i="136"/>
  <c r="O93" i="136"/>
  <c r="L93" i="136"/>
  <c r="J93" i="136"/>
  <c r="H93" i="136"/>
  <c r="T92" i="136"/>
  <c r="T91" i="136"/>
  <c r="T90" i="136"/>
  <c r="H90" i="136"/>
  <c r="D90" i="136"/>
  <c r="B90" i="136"/>
  <c r="I82" i="136"/>
  <c r="C75" i="136"/>
  <c r="F62" i="136"/>
  <c r="F63" i="136" s="1"/>
  <c r="E51" i="136"/>
  <c r="S31" i="136"/>
  <c r="S28" i="136"/>
  <c r="S26" i="136"/>
  <c r="S25" i="136"/>
  <c r="E50" i="136" s="1"/>
  <c r="T20" i="136"/>
  <c r="R20" i="136"/>
  <c r="P20" i="136"/>
  <c r="P21" i="136" s="1"/>
  <c r="S29" i="136" s="1"/>
  <c r="F75" i="136" s="1"/>
  <c r="D20" i="136"/>
  <c r="D19" i="136"/>
  <c r="J18" i="136"/>
  <c r="D18" i="136"/>
  <c r="W13" i="136"/>
  <c r="R5" i="136"/>
  <c r="O5" i="136"/>
  <c r="G5" i="136"/>
  <c r="D5" i="136"/>
  <c r="C5" i="136"/>
  <c r="A5" i="136"/>
  <c r="R4" i="136"/>
  <c r="O4" i="136"/>
  <c r="R3" i="136"/>
  <c r="O3" i="136"/>
  <c r="H3" i="136"/>
  <c r="R2" i="136"/>
  <c r="O2" i="136"/>
  <c r="H2" i="136"/>
  <c r="R1" i="136"/>
  <c r="O1" i="136"/>
  <c r="H1" i="136"/>
  <c r="O267" i="135"/>
  <c r="M267" i="135"/>
  <c r="K267" i="135"/>
  <c r="D267" i="135"/>
  <c r="O266" i="135"/>
  <c r="M266" i="135"/>
  <c r="K266" i="135"/>
  <c r="D266" i="135"/>
  <c r="Q265" i="135"/>
  <c r="O265" i="135"/>
  <c r="M265" i="135"/>
  <c r="K265" i="135"/>
  <c r="J265" i="135"/>
  <c r="I265" i="135"/>
  <c r="H265" i="135"/>
  <c r="G265" i="135"/>
  <c r="F265" i="135"/>
  <c r="D265" i="135"/>
  <c r="B265" i="135"/>
  <c r="A265" i="135"/>
  <c r="H231" i="135"/>
  <c r="H228" i="135"/>
  <c r="M228" i="135" s="1"/>
  <c r="G237" i="135" s="1"/>
  <c r="M206" i="135"/>
  <c r="S198" i="135"/>
  <c r="H206" i="135" s="1"/>
  <c r="S196" i="135"/>
  <c r="M225" i="135" s="1"/>
  <c r="M226" i="135" s="1"/>
  <c r="G236" i="135" s="1"/>
  <c r="T185" i="135"/>
  <c r="T172" i="135"/>
  <c r="D183" i="135" s="1"/>
  <c r="H172" i="135"/>
  <c r="J164" i="135"/>
  <c r="F146" i="135"/>
  <c r="F147" i="135" s="1"/>
  <c r="E133" i="135"/>
  <c r="S114" i="135"/>
  <c r="S111" i="135"/>
  <c r="S109" i="135"/>
  <c r="E136" i="135" s="1"/>
  <c r="E153" i="135" s="1"/>
  <c r="C157" i="135" s="1"/>
  <c r="T103" i="135"/>
  <c r="R103" i="135"/>
  <c r="P103" i="135"/>
  <c r="P104" i="135" s="1"/>
  <c r="S112" i="135" s="1"/>
  <c r="F157" i="135" s="1"/>
  <c r="J103" i="135"/>
  <c r="J185" i="135" s="1"/>
  <c r="D103" i="135"/>
  <c r="J102" i="135"/>
  <c r="J184" i="135" s="1"/>
  <c r="D102" i="135"/>
  <c r="D101" i="135"/>
  <c r="W96" i="135"/>
  <c r="J94" i="135"/>
  <c r="L176" i="135" s="1"/>
  <c r="O93" i="135"/>
  <c r="O175" i="135" s="1"/>
  <c r="L93" i="135"/>
  <c r="L175" i="135" s="1"/>
  <c r="S197" i="135" s="1"/>
  <c r="R225" i="135" s="1"/>
  <c r="J93" i="135"/>
  <c r="J175" i="135" s="1"/>
  <c r="H93" i="135"/>
  <c r="H175" i="135" s="1"/>
  <c r="T92" i="135"/>
  <c r="T174" i="135" s="1"/>
  <c r="D185" i="135" s="1"/>
  <c r="T91" i="135"/>
  <c r="T173" i="135" s="1"/>
  <c r="D184" i="135" s="1"/>
  <c r="T90" i="135"/>
  <c r="H90" i="135"/>
  <c r="D90" i="135"/>
  <c r="D172" i="135" s="1"/>
  <c r="B90" i="135"/>
  <c r="B172" i="135" s="1"/>
  <c r="I82" i="135"/>
  <c r="C75" i="135"/>
  <c r="F62" i="135"/>
  <c r="F63" i="135" s="1"/>
  <c r="E51" i="135"/>
  <c r="S31" i="135"/>
  <c r="S28" i="135"/>
  <c r="S26" i="135"/>
  <c r="S25" i="135"/>
  <c r="E50" i="135" s="1"/>
  <c r="T20" i="135"/>
  <c r="R20" i="135"/>
  <c r="P20" i="135"/>
  <c r="P21" i="135" s="1"/>
  <c r="S29" i="135" s="1"/>
  <c r="F75" i="135" s="1"/>
  <c r="D20" i="135"/>
  <c r="D19" i="135"/>
  <c r="J18" i="135"/>
  <c r="K75" i="135" s="1"/>
  <c r="D18" i="135"/>
  <c r="W13" i="135"/>
  <c r="R5" i="135"/>
  <c r="O5" i="135"/>
  <c r="G5" i="135"/>
  <c r="D5" i="135"/>
  <c r="C5" i="135"/>
  <c r="A5" i="135"/>
  <c r="R4" i="135"/>
  <c r="O4" i="135"/>
  <c r="R3" i="135"/>
  <c r="O3" i="135"/>
  <c r="H3" i="135"/>
  <c r="R2" i="135"/>
  <c r="O2" i="135"/>
  <c r="H2" i="135"/>
  <c r="R1" i="135"/>
  <c r="O1" i="135"/>
  <c r="H1" i="135"/>
  <c r="O269" i="134"/>
  <c r="M269" i="134"/>
  <c r="K269" i="134"/>
  <c r="D269" i="134"/>
  <c r="O268" i="134"/>
  <c r="M268" i="134"/>
  <c r="K268" i="134"/>
  <c r="D268" i="134"/>
  <c r="O267" i="134"/>
  <c r="M267" i="134"/>
  <c r="K267" i="134"/>
  <c r="J267" i="134"/>
  <c r="I267" i="134"/>
  <c r="H267" i="134"/>
  <c r="G267" i="134"/>
  <c r="F267" i="134"/>
  <c r="D267" i="134"/>
  <c r="B267" i="134"/>
  <c r="A267" i="134"/>
  <c r="H233" i="134"/>
  <c r="H230" i="134"/>
  <c r="M230" i="134" s="1"/>
  <c r="G239" i="134" s="1"/>
  <c r="M208" i="134"/>
  <c r="S200" i="134"/>
  <c r="H208" i="134" s="1"/>
  <c r="T187" i="134"/>
  <c r="F145" i="134"/>
  <c r="F146" i="134" s="1"/>
  <c r="E132" i="134"/>
  <c r="S110" i="134"/>
  <c r="J163" i="134" s="1"/>
  <c r="T102" i="134"/>
  <c r="J102" i="134"/>
  <c r="J187" i="134" s="1"/>
  <c r="J101" i="134"/>
  <c r="J186" i="134" s="1"/>
  <c r="W95" i="134"/>
  <c r="J93" i="134"/>
  <c r="L178" i="134" s="1"/>
  <c r="O92" i="134"/>
  <c r="S113" i="134" s="1"/>
  <c r="S198" i="134" s="1"/>
  <c r="M227" i="134" s="1"/>
  <c r="L92" i="134"/>
  <c r="L177" i="134" s="1"/>
  <c r="S199" i="134" s="1"/>
  <c r="R227" i="134" s="1"/>
  <c r="J92" i="134"/>
  <c r="S108" i="134" s="1"/>
  <c r="H92" i="134"/>
  <c r="H177" i="134" s="1"/>
  <c r="T91" i="134"/>
  <c r="T176" i="134" s="1"/>
  <c r="D187" i="134" s="1"/>
  <c r="T90" i="134"/>
  <c r="T175" i="134" s="1"/>
  <c r="D186" i="134" s="1"/>
  <c r="T89" i="134"/>
  <c r="T174" i="134" s="1"/>
  <c r="D185" i="134" s="1"/>
  <c r="H89" i="134"/>
  <c r="H174" i="134" s="1"/>
  <c r="D89" i="134"/>
  <c r="D174" i="134" s="1"/>
  <c r="B89" i="134"/>
  <c r="B174" i="134" s="1"/>
  <c r="C74" i="134"/>
  <c r="F61" i="134"/>
  <c r="F62" i="134" s="1"/>
  <c r="S31" i="134"/>
  <c r="S28" i="134"/>
  <c r="I81" i="134" s="1"/>
  <c r="S26" i="134"/>
  <c r="E50" i="134" s="1"/>
  <c r="S25" i="134"/>
  <c r="E49" i="134" s="1"/>
  <c r="T20" i="134"/>
  <c r="R20" i="134"/>
  <c r="P20" i="134"/>
  <c r="D20" i="134"/>
  <c r="D19" i="134"/>
  <c r="J18" i="134"/>
  <c r="K74" i="134" s="1"/>
  <c r="D18" i="134"/>
  <c r="W13" i="134"/>
  <c r="R5" i="134"/>
  <c r="O5" i="134"/>
  <c r="G5" i="134"/>
  <c r="D5" i="134"/>
  <c r="C5" i="134"/>
  <c r="A5" i="134"/>
  <c r="R4" i="134"/>
  <c r="O4" i="134"/>
  <c r="R3" i="134"/>
  <c r="O3" i="134"/>
  <c r="H3" i="134"/>
  <c r="R2" i="134"/>
  <c r="O2" i="134"/>
  <c r="H2" i="134"/>
  <c r="R1" i="134"/>
  <c r="O1" i="134"/>
  <c r="H1" i="134"/>
  <c r="E53" i="138" l="1"/>
  <c r="E53" i="135"/>
  <c r="E53" i="139"/>
  <c r="E53" i="137"/>
  <c r="E53" i="136"/>
  <c r="F97" i="148"/>
  <c r="F97" i="147"/>
  <c r="R641" i="145"/>
  <c r="R773" i="145" s="1"/>
  <c r="F791" i="145" s="1"/>
  <c r="P598" i="148"/>
  <c r="J602" i="148" s="1"/>
  <c r="R638" i="148" s="1"/>
  <c r="F649" i="148" s="1"/>
  <c r="R644" i="151"/>
  <c r="S660" i="151" s="1"/>
  <c r="Q523" i="151"/>
  <c r="S523" i="151"/>
  <c r="J154" i="147"/>
  <c r="R208" i="147" s="1"/>
  <c r="Q220" i="147" s="1"/>
  <c r="J154" i="148"/>
  <c r="J285" i="148" s="1"/>
  <c r="J154" i="151"/>
  <c r="J285" i="151" s="1"/>
  <c r="R343" i="151" s="1"/>
  <c r="Q655" i="151"/>
  <c r="Q523" i="147"/>
  <c r="S518" i="147"/>
  <c r="R205" i="145"/>
  <c r="S221" i="145" s="1"/>
  <c r="S523" i="147"/>
  <c r="R205" i="148"/>
  <c r="Q221" i="148" s="1"/>
  <c r="S518" i="145"/>
  <c r="S523" i="145"/>
  <c r="Q518" i="151"/>
  <c r="Q523" i="145"/>
  <c r="R644" i="145"/>
  <c r="Q660" i="145" s="1"/>
  <c r="R776" i="151"/>
  <c r="Q792" i="151" s="1"/>
  <c r="S518" i="151"/>
  <c r="P67" i="150"/>
  <c r="P70" i="150"/>
  <c r="O94" i="150"/>
  <c r="F140" i="150" s="1"/>
  <c r="P22" i="150"/>
  <c r="L38" i="150" s="1"/>
  <c r="R63" i="150"/>
  <c r="P64" i="150" s="1"/>
  <c r="D143" i="149"/>
  <c r="O469" i="149"/>
  <c r="O557" i="149" s="1"/>
  <c r="Q560" i="149" s="1"/>
  <c r="J161" i="149"/>
  <c r="Q462" i="149"/>
  <c r="S462" i="149"/>
  <c r="O228" i="149"/>
  <c r="S277" i="149" s="1"/>
  <c r="J297" i="149" s="1"/>
  <c r="S495" i="149"/>
  <c r="S186" i="149"/>
  <c r="J199" i="149"/>
  <c r="T360" i="149"/>
  <c r="T443" i="149" s="1"/>
  <c r="F150" i="149"/>
  <c r="F379" i="149" s="1"/>
  <c r="F462" i="149" s="1"/>
  <c r="F550" i="149" s="1"/>
  <c r="J390" i="149"/>
  <c r="G427" i="149" s="1"/>
  <c r="L535" i="149"/>
  <c r="S182" i="149"/>
  <c r="H26" i="149"/>
  <c r="H150" i="149" s="1"/>
  <c r="D320" i="149"/>
  <c r="D147" i="11" s="1"/>
  <c r="T225" i="146"/>
  <c r="D236" i="146" s="1"/>
  <c r="D144" i="146"/>
  <c r="D456" i="146"/>
  <c r="O469" i="146"/>
  <c r="O557" i="146" s="1"/>
  <c r="Q560" i="146" s="1"/>
  <c r="T532" i="146"/>
  <c r="D543" i="146" s="1"/>
  <c r="T226" i="146"/>
  <c r="D237" i="146" s="1"/>
  <c r="S53" i="146"/>
  <c r="J161" i="146"/>
  <c r="G199" i="146" s="1"/>
  <c r="G426" i="146"/>
  <c r="S182" i="146"/>
  <c r="S280" i="146" s="1"/>
  <c r="J296" i="146" s="1"/>
  <c r="H534" i="146"/>
  <c r="O250" i="146"/>
  <c r="O251" i="146"/>
  <c r="Q254" i="146" s="1"/>
  <c r="O66" i="146"/>
  <c r="S75" i="146" s="1"/>
  <c r="H26" i="146"/>
  <c r="H150" i="146" s="1"/>
  <c r="I346" i="148"/>
  <c r="T710" i="148"/>
  <c r="D721" i="148" s="1"/>
  <c r="S244" i="149"/>
  <c r="O467" i="149"/>
  <c r="J472" i="149" s="1"/>
  <c r="J255" i="149"/>
  <c r="G297" i="149" s="1"/>
  <c r="Q79" i="147"/>
  <c r="Q97" i="147"/>
  <c r="Q79" i="148"/>
  <c r="Q97" i="148"/>
  <c r="Q75" i="147"/>
  <c r="Q518" i="148"/>
  <c r="S75" i="147"/>
  <c r="S518" i="148"/>
  <c r="R644" i="148"/>
  <c r="R776" i="148" s="1"/>
  <c r="Q80" i="147"/>
  <c r="Q650" i="151"/>
  <c r="S80" i="147"/>
  <c r="R205" i="147"/>
  <c r="R340" i="147" s="1"/>
  <c r="S650" i="151"/>
  <c r="R644" i="147"/>
  <c r="Q518" i="145"/>
  <c r="Q518" i="147"/>
  <c r="J154" i="145"/>
  <c r="J285" i="145" s="1"/>
  <c r="J462" i="145" s="1"/>
  <c r="R72" i="145"/>
  <c r="Q74" i="145" s="1"/>
  <c r="Q75" i="145"/>
  <c r="S75" i="145"/>
  <c r="Q80" i="145"/>
  <c r="Q80" i="148"/>
  <c r="S80" i="145"/>
  <c r="S80" i="148"/>
  <c r="J142" i="149"/>
  <c r="J236" i="149" s="1"/>
  <c r="D244" i="149" s="1"/>
  <c r="D26" i="146"/>
  <c r="F659" i="151"/>
  <c r="R773" i="151"/>
  <c r="F791" i="151" s="1"/>
  <c r="J475" i="151"/>
  <c r="R506" i="151" s="1"/>
  <c r="F517" i="151" s="1"/>
  <c r="R641" i="148"/>
  <c r="R641" i="147"/>
  <c r="R773" i="147" s="1"/>
  <c r="F791" i="147" s="1"/>
  <c r="F97" i="145"/>
  <c r="P598" i="151"/>
  <c r="F527" i="151"/>
  <c r="L37" i="153"/>
  <c r="P37" i="153"/>
  <c r="R63" i="153"/>
  <c r="P64" i="153" s="1"/>
  <c r="P70" i="153"/>
  <c r="O95" i="153"/>
  <c r="P22" i="152"/>
  <c r="P37" i="152" s="1"/>
  <c r="P79" i="152"/>
  <c r="L79" i="152"/>
  <c r="P70" i="152"/>
  <c r="P106" i="152"/>
  <c r="R106" i="152"/>
  <c r="A847" i="151"/>
  <c r="B846" i="151"/>
  <c r="I345" i="151"/>
  <c r="M345" i="151"/>
  <c r="T711" i="151"/>
  <c r="D722" i="151" s="1"/>
  <c r="Q79" i="151"/>
  <c r="Q74" i="151"/>
  <c r="J298" i="151"/>
  <c r="J297" i="151"/>
  <c r="I782" i="151"/>
  <c r="M798" i="151"/>
  <c r="I792" i="151"/>
  <c r="H662" i="151"/>
  <c r="S75" i="151"/>
  <c r="Q75" i="151"/>
  <c r="I220" i="151"/>
  <c r="I215" i="151"/>
  <c r="R205" i="151"/>
  <c r="I74" i="151"/>
  <c r="M74" i="151"/>
  <c r="R198" i="151"/>
  <c r="J277" i="151"/>
  <c r="I210" i="151"/>
  <c r="I659" i="151"/>
  <c r="I649" i="151"/>
  <c r="I80" i="151"/>
  <c r="I351" i="151"/>
  <c r="I356" i="151"/>
  <c r="M210" i="151"/>
  <c r="R202" i="151"/>
  <c r="T710" i="151"/>
  <c r="D721" i="151" s="1"/>
  <c r="Q80" i="151"/>
  <c r="I350" i="151"/>
  <c r="M350" i="151"/>
  <c r="M97" i="151"/>
  <c r="M220" i="151"/>
  <c r="D156" i="151"/>
  <c r="J474" i="151"/>
  <c r="Q97" i="151"/>
  <c r="H794" i="151"/>
  <c r="S80" i="151"/>
  <c r="I787" i="151"/>
  <c r="I97" i="151"/>
  <c r="I98" i="151"/>
  <c r="M362" i="151"/>
  <c r="P596" i="151"/>
  <c r="R199" i="151"/>
  <c r="F210" i="151" s="1"/>
  <c r="R200" i="151"/>
  <c r="F215" i="151" s="1"/>
  <c r="Q98" i="151"/>
  <c r="R288" i="151"/>
  <c r="S528" i="151"/>
  <c r="M666" i="151"/>
  <c r="Q166" i="151"/>
  <c r="S176" i="149"/>
  <c r="T531" i="149"/>
  <c r="D542" i="149" s="1"/>
  <c r="D454" i="149"/>
  <c r="U623" i="149" s="1"/>
  <c r="S181" i="149"/>
  <c r="O166" i="149"/>
  <c r="O167" i="149" s="1"/>
  <c r="S180" i="149" s="1"/>
  <c r="I186" i="149" s="1"/>
  <c r="S550" i="149"/>
  <c r="Q550" i="149"/>
  <c r="O65" i="149"/>
  <c r="O66" i="149" s="1"/>
  <c r="S53" i="149"/>
  <c r="Q472" i="149"/>
  <c r="S76" i="149"/>
  <c r="A624" i="149"/>
  <c r="B623" i="149"/>
  <c r="T532" i="149"/>
  <c r="D543" i="149" s="1"/>
  <c r="D455" i="149"/>
  <c r="O385" i="149"/>
  <c r="O468" i="149" s="1"/>
  <c r="O556" i="149" s="1"/>
  <c r="O250" i="149"/>
  <c r="Q160" i="149"/>
  <c r="S580" i="149"/>
  <c r="F623" i="149"/>
  <c r="G199" i="149"/>
  <c r="S583" i="149"/>
  <c r="T533" i="149"/>
  <c r="D544" i="149" s="1"/>
  <c r="D456" i="149"/>
  <c r="J534" i="149"/>
  <c r="S492" i="149"/>
  <c r="L285" i="149"/>
  <c r="G426" i="149"/>
  <c r="L415" i="149"/>
  <c r="T227" i="149"/>
  <c r="D238" i="149" s="1"/>
  <c r="D144" i="149"/>
  <c r="D623" i="149"/>
  <c r="J427" i="149"/>
  <c r="S414" i="149"/>
  <c r="E623" i="149"/>
  <c r="S150" i="149"/>
  <c r="Q150" i="149"/>
  <c r="Q244" i="149"/>
  <c r="M220" i="148"/>
  <c r="I649" i="148"/>
  <c r="I659" i="148"/>
  <c r="I654" i="148"/>
  <c r="M102" i="148"/>
  <c r="I98" i="148"/>
  <c r="I80" i="148"/>
  <c r="I75" i="148"/>
  <c r="R773" i="148"/>
  <c r="F791" i="148" s="1"/>
  <c r="F659" i="148"/>
  <c r="F220" i="148"/>
  <c r="R337" i="148"/>
  <c r="F355" i="148" s="1"/>
  <c r="I220" i="148"/>
  <c r="I215" i="148"/>
  <c r="I79" i="148"/>
  <c r="I74" i="148"/>
  <c r="M79" i="148"/>
  <c r="M74" i="148"/>
  <c r="J733" i="148"/>
  <c r="I210" i="148"/>
  <c r="B846" i="148"/>
  <c r="M210" i="148"/>
  <c r="J475" i="148"/>
  <c r="J474" i="148"/>
  <c r="Q75" i="148"/>
  <c r="J601" i="148"/>
  <c r="S75" i="148"/>
  <c r="R198" i="148"/>
  <c r="J277" i="148"/>
  <c r="I356" i="148"/>
  <c r="I351" i="148"/>
  <c r="I528" i="148"/>
  <c r="I523" i="148"/>
  <c r="M781" i="148"/>
  <c r="M791" i="148"/>
  <c r="F846" i="148"/>
  <c r="O277" i="148"/>
  <c r="T157" i="148"/>
  <c r="R157" i="148"/>
  <c r="G846" i="148"/>
  <c r="Q98" i="148"/>
  <c r="J167" i="148"/>
  <c r="P294" i="148"/>
  <c r="Q297" i="148" s="1"/>
  <c r="M355" i="148"/>
  <c r="M350" i="148"/>
  <c r="I782" i="148"/>
  <c r="M798" i="148"/>
  <c r="I792" i="148"/>
  <c r="Q166" i="148"/>
  <c r="I781" i="148"/>
  <c r="I791" i="148"/>
  <c r="L714" i="148"/>
  <c r="J846" i="148"/>
  <c r="D462" i="148"/>
  <c r="R724" i="148"/>
  <c r="Q523" i="148"/>
  <c r="J297" i="148"/>
  <c r="S523" i="148"/>
  <c r="M659" i="148"/>
  <c r="Q74" i="148"/>
  <c r="Q528" i="148"/>
  <c r="J475" i="147"/>
  <c r="O480" i="147" s="1"/>
  <c r="O481" i="147" s="1"/>
  <c r="R507" i="147" s="1"/>
  <c r="F522" i="147" s="1"/>
  <c r="J474" i="147"/>
  <c r="M74" i="147"/>
  <c r="M97" i="147"/>
  <c r="I356" i="147"/>
  <c r="I351" i="147"/>
  <c r="I346" i="147"/>
  <c r="O277" i="147"/>
  <c r="T157" i="147"/>
  <c r="R157" i="147"/>
  <c r="B846" i="147"/>
  <c r="I649" i="147"/>
  <c r="I659" i="147"/>
  <c r="M355" i="147"/>
  <c r="M350" i="147"/>
  <c r="R199" i="147"/>
  <c r="F210" i="147" s="1"/>
  <c r="R204" i="147"/>
  <c r="M345" i="147"/>
  <c r="M215" i="147"/>
  <c r="M210" i="147"/>
  <c r="J601" i="147"/>
  <c r="AA173" i="147"/>
  <c r="R200" i="147"/>
  <c r="F215" i="147" s="1"/>
  <c r="M362" i="147"/>
  <c r="T578" i="147"/>
  <c r="D462" i="147"/>
  <c r="I75" i="147"/>
  <c r="M102" i="147"/>
  <c r="I98" i="147"/>
  <c r="R63" i="147"/>
  <c r="F74" i="147" s="1"/>
  <c r="J733" i="147"/>
  <c r="T276" i="147"/>
  <c r="D287" i="147" s="1"/>
  <c r="D156" i="147"/>
  <c r="R769" i="147"/>
  <c r="F846" i="147"/>
  <c r="F220" i="147"/>
  <c r="R337" i="147"/>
  <c r="F355" i="147" s="1"/>
  <c r="I216" i="147"/>
  <c r="I211" i="147"/>
  <c r="M234" i="147"/>
  <c r="P598" i="147"/>
  <c r="Q98" i="147"/>
  <c r="G846" i="147"/>
  <c r="I655" i="147"/>
  <c r="I523" i="147"/>
  <c r="M791" i="147"/>
  <c r="I74" i="147"/>
  <c r="P294" i="147"/>
  <c r="Q297" i="147" s="1"/>
  <c r="Q474" i="147"/>
  <c r="J297" i="147"/>
  <c r="M659" i="147"/>
  <c r="O713" i="147"/>
  <c r="Q74" i="147"/>
  <c r="Q528" i="147"/>
  <c r="H662" i="147"/>
  <c r="Q166" i="147"/>
  <c r="J277" i="147"/>
  <c r="S76" i="146"/>
  <c r="O467" i="146"/>
  <c r="J390" i="146"/>
  <c r="O395" i="146" s="1"/>
  <c r="O396" i="146" s="1"/>
  <c r="S408" i="146" s="1"/>
  <c r="I414" i="146" s="1"/>
  <c r="J254" i="146"/>
  <c r="F623" i="146"/>
  <c r="A624" i="146"/>
  <c r="B623" i="146"/>
  <c r="J237" i="146"/>
  <c r="L591" i="146"/>
  <c r="S414" i="146"/>
  <c r="G296" i="146"/>
  <c r="S410" i="146"/>
  <c r="J236" i="146"/>
  <c r="D150" i="146"/>
  <c r="I79" i="146"/>
  <c r="J228" i="146"/>
  <c r="S176" i="146"/>
  <c r="S495" i="146"/>
  <c r="G623" i="146"/>
  <c r="S462" i="146"/>
  <c r="Q462" i="146"/>
  <c r="O534" i="146"/>
  <c r="F150" i="146"/>
  <c r="S150" i="146"/>
  <c r="Q150" i="146"/>
  <c r="O228" i="146"/>
  <c r="S179" i="146"/>
  <c r="J534" i="146"/>
  <c r="S492" i="146"/>
  <c r="L535" i="146"/>
  <c r="M220" i="145"/>
  <c r="M215" i="145"/>
  <c r="R334" i="145"/>
  <c r="F345" i="145" s="1"/>
  <c r="O303" i="145"/>
  <c r="O304" i="145" s="1"/>
  <c r="R335" i="145" s="1"/>
  <c r="F350" i="145" s="1"/>
  <c r="F220" i="145"/>
  <c r="R337" i="145"/>
  <c r="F355" i="145" s="1"/>
  <c r="J602" i="145"/>
  <c r="J601" i="145"/>
  <c r="I782" i="145"/>
  <c r="M798" i="145"/>
  <c r="J297" i="145"/>
  <c r="M666" i="145"/>
  <c r="I655" i="145"/>
  <c r="D589" i="145"/>
  <c r="U846" i="145" s="1"/>
  <c r="T710" i="145"/>
  <c r="D721" i="145" s="1"/>
  <c r="I786" i="145"/>
  <c r="I75" i="145"/>
  <c r="I787" i="145"/>
  <c r="Q474" i="145"/>
  <c r="P730" i="145"/>
  <c r="Q733" i="145" s="1"/>
  <c r="J475" i="145"/>
  <c r="J733" i="145"/>
  <c r="O36" i="145"/>
  <c r="O37" i="145" s="1"/>
  <c r="R64" i="145" s="1"/>
  <c r="F79" i="145" s="1"/>
  <c r="H662" i="145"/>
  <c r="M766" i="145"/>
  <c r="Q166" i="145"/>
  <c r="R199" i="145"/>
  <c r="F210" i="145" s="1"/>
  <c r="R200" i="145"/>
  <c r="F215" i="145" s="1"/>
  <c r="I220" i="145"/>
  <c r="I210" i="145"/>
  <c r="D590" i="145"/>
  <c r="T711" i="145"/>
  <c r="D722" i="145" s="1"/>
  <c r="M345" i="145"/>
  <c r="I518" i="145"/>
  <c r="I650" i="145"/>
  <c r="M786" i="145"/>
  <c r="T276" i="145"/>
  <c r="D287" i="145" s="1"/>
  <c r="D156" i="145"/>
  <c r="R198" i="145"/>
  <c r="J277" i="145"/>
  <c r="I791" i="145"/>
  <c r="M350" i="145"/>
  <c r="I523" i="145"/>
  <c r="I654" i="145"/>
  <c r="M791" i="145"/>
  <c r="I80" i="145"/>
  <c r="R339" i="145"/>
  <c r="T288" i="145"/>
  <c r="R288" i="145"/>
  <c r="R724" i="145"/>
  <c r="I351" i="145"/>
  <c r="I792" i="145"/>
  <c r="Q98" i="145"/>
  <c r="Q528" i="145"/>
  <c r="M228" i="134"/>
  <c r="G238" i="134" s="1"/>
  <c r="J177" i="134"/>
  <c r="O177" i="134"/>
  <c r="P187" i="134" s="1"/>
  <c r="E52" i="134"/>
  <c r="P21" i="134"/>
  <c r="S29" i="134" s="1"/>
  <c r="F74" i="134" s="1"/>
  <c r="P102" i="134"/>
  <c r="R102" i="134"/>
  <c r="D100" i="134"/>
  <c r="D101" i="134"/>
  <c r="D102" i="134"/>
  <c r="P22" i="142"/>
  <c r="P67" i="142"/>
  <c r="P63" i="142"/>
  <c r="R63" i="142"/>
  <c r="O95" i="142"/>
  <c r="R106" i="142" s="1"/>
  <c r="K75" i="139"/>
  <c r="P37" i="142"/>
  <c r="L37" i="142"/>
  <c r="P106" i="142"/>
  <c r="P107" i="142" s="1"/>
  <c r="F141" i="142"/>
  <c r="F96" i="11" s="1"/>
  <c r="K75" i="137"/>
  <c r="J101" i="138"/>
  <c r="J183" i="138" s="1"/>
  <c r="J100" i="134"/>
  <c r="J185" i="134" s="1"/>
  <c r="K75" i="136"/>
  <c r="K75" i="138"/>
  <c r="J183" i="139"/>
  <c r="K157" i="139"/>
  <c r="J183" i="137"/>
  <c r="K157" i="137"/>
  <c r="J101" i="135"/>
  <c r="J101" i="136"/>
  <c r="N231" i="139"/>
  <c r="J231" i="139"/>
  <c r="O206" i="139"/>
  <c r="M226" i="139"/>
  <c r="G236" i="139" s="1"/>
  <c r="E207" i="139"/>
  <c r="L231" i="139" s="1"/>
  <c r="K144" i="139"/>
  <c r="P185" i="138"/>
  <c r="R185" i="138"/>
  <c r="S201" i="138"/>
  <c r="K206" i="138" s="1"/>
  <c r="K144" i="138"/>
  <c r="N231" i="137"/>
  <c r="J231" i="137"/>
  <c r="O206" i="137"/>
  <c r="E136" i="137"/>
  <c r="E153" i="137" s="1"/>
  <c r="C157" i="137" s="1"/>
  <c r="E134" i="137"/>
  <c r="M226" i="137"/>
  <c r="G236" i="137" s="1"/>
  <c r="S201" i="137"/>
  <c r="K206" i="137" s="1"/>
  <c r="E207" i="137" s="1"/>
  <c r="L231" i="137" s="1"/>
  <c r="K144" i="137"/>
  <c r="N231" i="136"/>
  <c r="O206" i="136"/>
  <c r="E207" i="136" s="1"/>
  <c r="L231" i="136" s="1"/>
  <c r="J231" i="136"/>
  <c r="K144" i="136"/>
  <c r="E134" i="136"/>
  <c r="P185" i="135"/>
  <c r="S201" i="135"/>
  <c r="K206" i="135" s="1"/>
  <c r="R185" i="135"/>
  <c r="E134" i="135"/>
  <c r="K144" i="135"/>
  <c r="E133" i="134"/>
  <c r="E135" i="134"/>
  <c r="E152" i="134" s="1"/>
  <c r="C156" i="134" s="1"/>
  <c r="K143" i="134"/>
  <c r="J198" i="146" l="1"/>
  <c r="F659" i="145"/>
  <c r="S787" i="151"/>
  <c r="Q650" i="148"/>
  <c r="Q660" i="148"/>
  <c r="S660" i="148"/>
  <c r="S211" i="145"/>
  <c r="O480" i="151"/>
  <c r="O481" i="151" s="1"/>
  <c r="R507" i="151" s="1"/>
  <c r="F522" i="151" s="1"/>
  <c r="O607" i="148"/>
  <c r="O608" i="148" s="1"/>
  <c r="R639" i="148" s="1"/>
  <c r="F654" i="148" s="1"/>
  <c r="S792" i="151"/>
  <c r="S655" i="151"/>
  <c r="Q660" i="151"/>
  <c r="Q601" i="148"/>
  <c r="P730" i="148"/>
  <c r="Q210" i="147"/>
  <c r="Q215" i="147"/>
  <c r="J285" i="147"/>
  <c r="R343" i="147" s="1"/>
  <c r="R776" i="145"/>
  <c r="S782" i="145" s="1"/>
  <c r="S650" i="145"/>
  <c r="Q655" i="145"/>
  <c r="S660" i="145"/>
  <c r="Q650" i="145"/>
  <c r="S216" i="145"/>
  <c r="Q787" i="151"/>
  <c r="R340" i="145"/>
  <c r="S346" i="145" s="1"/>
  <c r="S655" i="145"/>
  <c r="Q350" i="151"/>
  <c r="Q345" i="151"/>
  <c r="R208" i="151"/>
  <c r="Q215" i="151" s="1"/>
  <c r="Q221" i="145"/>
  <c r="Q782" i="151"/>
  <c r="J462" i="151"/>
  <c r="R208" i="148"/>
  <c r="Q220" i="148" s="1"/>
  <c r="R343" i="145"/>
  <c r="Q355" i="145" s="1"/>
  <c r="Q355" i="151"/>
  <c r="Q211" i="145"/>
  <c r="S221" i="148"/>
  <c r="Q211" i="148"/>
  <c r="S211" i="148"/>
  <c r="R208" i="145"/>
  <c r="Q210" i="145" s="1"/>
  <c r="Q216" i="148"/>
  <c r="S216" i="148"/>
  <c r="R340" i="148"/>
  <c r="Q346" i="148" s="1"/>
  <c r="S782" i="151"/>
  <c r="Q216" i="145"/>
  <c r="S650" i="148"/>
  <c r="R105" i="150"/>
  <c r="P105" i="150"/>
  <c r="P38" i="150"/>
  <c r="P78" i="150"/>
  <c r="L78" i="150"/>
  <c r="F244" i="149"/>
  <c r="S409" i="149"/>
  <c r="S284" i="149"/>
  <c r="S502" i="149"/>
  <c r="J515" i="149"/>
  <c r="D371" i="149"/>
  <c r="O260" i="149"/>
  <c r="O261" i="149" s="1"/>
  <c r="S278" i="149" s="1"/>
  <c r="I284" i="149" s="1"/>
  <c r="J198" i="149"/>
  <c r="S410" i="149"/>
  <c r="S280" i="149"/>
  <c r="J296" i="149" s="1"/>
  <c r="G299" i="149" s="1"/>
  <c r="I302" i="149" s="1"/>
  <c r="O395" i="149"/>
  <c r="O396" i="149" s="1"/>
  <c r="S408" i="149" s="1"/>
  <c r="I414" i="149" s="1"/>
  <c r="H379" i="149"/>
  <c r="H462" i="149" s="1"/>
  <c r="H550" i="149" s="1"/>
  <c r="H244" i="149"/>
  <c r="O555" i="149"/>
  <c r="S279" i="149"/>
  <c r="J473" i="149"/>
  <c r="S497" i="149" s="1"/>
  <c r="D27" i="149"/>
  <c r="M29" i="149" s="1"/>
  <c r="O166" i="146"/>
  <c r="O167" i="146" s="1"/>
  <c r="S180" i="146" s="1"/>
  <c r="I186" i="146" s="1"/>
  <c r="T360" i="146"/>
  <c r="D371" i="146" s="1"/>
  <c r="Q472" i="146"/>
  <c r="D151" i="146"/>
  <c r="M153" i="146" s="1"/>
  <c r="H244" i="146"/>
  <c r="H379" i="146"/>
  <c r="H462" i="146" s="1"/>
  <c r="H550" i="146" s="1"/>
  <c r="S181" i="146"/>
  <c r="J255" i="146"/>
  <c r="O260" i="146" s="1"/>
  <c r="O261" i="146" s="1"/>
  <c r="S278" i="146" s="1"/>
  <c r="I284" i="146" s="1"/>
  <c r="D27" i="146"/>
  <c r="M29" i="146" s="1"/>
  <c r="Q655" i="148"/>
  <c r="S655" i="148"/>
  <c r="S660" i="147"/>
  <c r="S655" i="147"/>
  <c r="Q655" i="147"/>
  <c r="S650" i="147"/>
  <c r="Q650" i="147"/>
  <c r="S221" i="147"/>
  <c r="Q221" i="147"/>
  <c r="Q660" i="147"/>
  <c r="R776" i="147"/>
  <c r="S782" i="147" s="1"/>
  <c r="Q79" i="145"/>
  <c r="Q97" i="145"/>
  <c r="Q211" i="147"/>
  <c r="S211" i="147"/>
  <c r="S216" i="147"/>
  <c r="Q216" i="147"/>
  <c r="D150" i="149"/>
  <c r="D151" i="149" s="1"/>
  <c r="M153" i="149" s="1"/>
  <c r="J371" i="149"/>
  <c r="J454" i="149" s="1"/>
  <c r="P730" i="151"/>
  <c r="Q733" i="151" s="1"/>
  <c r="Q601" i="151"/>
  <c r="R506" i="147"/>
  <c r="F517" i="147" s="1"/>
  <c r="F659" i="147"/>
  <c r="P79" i="153"/>
  <c r="L79" i="153"/>
  <c r="P106" i="153"/>
  <c r="R106" i="153"/>
  <c r="F141" i="153"/>
  <c r="L37" i="152"/>
  <c r="P107" i="152"/>
  <c r="I216" i="151"/>
  <c r="I221" i="151"/>
  <c r="M234" i="151"/>
  <c r="I211" i="151"/>
  <c r="R340" i="151"/>
  <c r="S216" i="151"/>
  <c r="Q216" i="151"/>
  <c r="S221" i="151"/>
  <c r="Q221" i="151"/>
  <c r="S211" i="151"/>
  <c r="Q211" i="151"/>
  <c r="F220" i="151"/>
  <c r="R337" i="151"/>
  <c r="F355" i="151" s="1"/>
  <c r="P728" i="151"/>
  <c r="J602" i="151"/>
  <c r="J601" i="151"/>
  <c r="R334" i="151"/>
  <c r="F345" i="151" s="1"/>
  <c r="O303" i="151"/>
  <c r="O304" i="151" s="1"/>
  <c r="R335" i="151" s="1"/>
  <c r="F350" i="151" s="1"/>
  <c r="L187" i="149"/>
  <c r="G198" i="149"/>
  <c r="G514" i="149"/>
  <c r="L503" i="149"/>
  <c r="J603" i="149"/>
  <c r="S590" i="149"/>
  <c r="S75" i="149"/>
  <c r="I79" i="149"/>
  <c r="J561" i="149"/>
  <c r="J560" i="149"/>
  <c r="G602" i="149"/>
  <c r="L591" i="149"/>
  <c r="I216" i="148"/>
  <c r="I211" i="148"/>
  <c r="M234" i="148"/>
  <c r="I221" i="148"/>
  <c r="O480" i="148"/>
  <c r="O481" i="148" s="1"/>
  <c r="R507" i="148" s="1"/>
  <c r="F522" i="148" s="1"/>
  <c r="R506" i="148"/>
  <c r="F517" i="148" s="1"/>
  <c r="O172" i="148"/>
  <c r="O173" i="148" s="1"/>
  <c r="R199" i="148"/>
  <c r="F210" i="148" s="1"/>
  <c r="Q792" i="148"/>
  <c r="S792" i="148"/>
  <c r="S787" i="148"/>
  <c r="Q787" i="148"/>
  <c r="S782" i="148"/>
  <c r="Q782" i="148"/>
  <c r="J298" i="148"/>
  <c r="R339" i="148"/>
  <c r="T288" i="148"/>
  <c r="R288" i="148"/>
  <c r="R343" i="148"/>
  <c r="J462" i="148"/>
  <c r="J298" i="147"/>
  <c r="Q356" i="147"/>
  <c r="S351" i="147"/>
  <c r="Q351" i="147"/>
  <c r="S346" i="147"/>
  <c r="Q346" i="147"/>
  <c r="S356" i="147"/>
  <c r="Q601" i="147"/>
  <c r="P730" i="147"/>
  <c r="R339" i="147"/>
  <c r="T288" i="147"/>
  <c r="R288" i="147"/>
  <c r="I220" i="147"/>
  <c r="I215" i="147"/>
  <c r="I210" i="147"/>
  <c r="R775" i="147"/>
  <c r="T724" i="147"/>
  <c r="R724" i="147"/>
  <c r="D589" i="147"/>
  <c r="U846" i="147" s="1"/>
  <c r="T710" i="147"/>
  <c r="D721" i="147" s="1"/>
  <c r="J602" i="147"/>
  <c r="I782" i="147"/>
  <c r="M798" i="147"/>
  <c r="I792" i="147"/>
  <c r="I787" i="147"/>
  <c r="O555" i="146"/>
  <c r="J473" i="146"/>
  <c r="J472" i="146"/>
  <c r="G427" i="146"/>
  <c r="S409" i="146"/>
  <c r="D244" i="146"/>
  <c r="J371" i="146"/>
  <c r="L503" i="146"/>
  <c r="G514" i="146"/>
  <c r="S186" i="146"/>
  <c r="J199" i="146"/>
  <c r="S277" i="146"/>
  <c r="S244" i="146"/>
  <c r="Q244" i="146"/>
  <c r="J426" i="146"/>
  <c r="S498" i="146"/>
  <c r="F244" i="146"/>
  <c r="F379" i="146"/>
  <c r="F462" i="146" s="1"/>
  <c r="F550" i="146" s="1"/>
  <c r="S550" i="146"/>
  <c r="S583" i="146"/>
  <c r="Q550" i="146"/>
  <c r="J515" i="146"/>
  <c r="S502" i="146"/>
  <c r="L187" i="146"/>
  <c r="G198" i="146"/>
  <c r="I355" i="145"/>
  <c r="I350" i="145"/>
  <c r="I345" i="145"/>
  <c r="H794" i="145"/>
  <c r="R638" i="145"/>
  <c r="F649" i="145" s="1"/>
  <c r="O607" i="145"/>
  <c r="O608" i="145" s="1"/>
  <c r="R639" i="145" s="1"/>
  <c r="F654" i="145" s="1"/>
  <c r="I216" i="145"/>
  <c r="I211" i="145"/>
  <c r="M234" i="145"/>
  <c r="I221" i="145"/>
  <c r="R506" i="145"/>
  <c r="F517" i="145" s="1"/>
  <c r="O480" i="145"/>
  <c r="O481" i="145" s="1"/>
  <c r="R507" i="145" s="1"/>
  <c r="F522" i="145" s="1"/>
  <c r="J734" i="145"/>
  <c r="R515" i="145"/>
  <c r="J589" i="145"/>
  <c r="S203" i="134"/>
  <c r="K208" i="134" s="1"/>
  <c r="R187" i="134"/>
  <c r="P188" i="134" s="1"/>
  <c r="S201" i="134" s="1"/>
  <c r="P103" i="134"/>
  <c r="S111" i="134" s="1"/>
  <c r="F156" i="134" s="1"/>
  <c r="P64" i="142"/>
  <c r="P79" i="142" s="1"/>
  <c r="L79" i="142"/>
  <c r="K156" i="134"/>
  <c r="K157" i="138"/>
  <c r="P117" i="142"/>
  <c r="J113" i="142"/>
  <c r="L117" i="142"/>
  <c r="J183" i="136"/>
  <c r="K157" i="136"/>
  <c r="J183" i="135"/>
  <c r="K157" i="135"/>
  <c r="P186" i="138"/>
  <c r="S199" i="138" s="1"/>
  <c r="P186" i="135"/>
  <c r="S199" i="135" s="1"/>
  <c r="D245" i="149" l="1"/>
  <c r="M247" i="149" s="1"/>
  <c r="J462" i="147"/>
  <c r="Q220" i="151"/>
  <c r="Q733" i="148"/>
  <c r="J734" i="148"/>
  <c r="Q345" i="145"/>
  <c r="Q350" i="145"/>
  <c r="Q782" i="145"/>
  <c r="S787" i="145"/>
  <c r="Q787" i="145"/>
  <c r="Q792" i="145"/>
  <c r="S792" i="145"/>
  <c r="Q351" i="145"/>
  <c r="S356" i="145"/>
  <c r="Q356" i="145"/>
  <c r="S351" i="145"/>
  <c r="Q210" i="151"/>
  <c r="Q346" i="145"/>
  <c r="Q215" i="148"/>
  <c r="R515" i="151"/>
  <c r="J589" i="151"/>
  <c r="Q210" i="148"/>
  <c r="Q220" i="145"/>
  <c r="S346" i="148"/>
  <c r="Q215" i="145"/>
  <c r="S351" i="148"/>
  <c r="S356" i="148"/>
  <c r="Q351" i="148"/>
  <c r="Q356" i="148"/>
  <c r="Q787" i="147"/>
  <c r="S787" i="147"/>
  <c r="Q792" i="147"/>
  <c r="S792" i="147"/>
  <c r="P106" i="150"/>
  <c r="L116" i="150" s="1"/>
  <c r="G201" i="149"/>
  <c r="F204" i="149" s="1"/>
  <c r="O478" i="149"/>
  <c r="O479" i="149" s="1"/>
  <c r="S496" i="149" s="1"/>
  <c r="I502" i="149" s="1"/>
  <c r="F302" i="149"/>
  <c r="G515" i="149"/>
  <c r="E302" i="149"/>
  <c r="H304" i="149" s="1"/>
  <c r="J426" i="149"/>
  <c r="G429" i="149" s="1"/>
  <c r="F432" i="149" s="1"/>
  <c r="S498" i="149"/>
  <c r="G297" i="146"/>
  <c r="S279" i="146"/>
  <c r="T443" i="146"/>
  <c r="T531" i="146" s="1"/>
  <c r="D542" i="146" s="1"/>
  <c r="G201" i="146"/>
  <c r="E204" i="146" s="1"/>
  <c r="Q782" i="147"/>
  <c r="D379" i="149"/>
  <c r="D380" i="149" s="1"/>
  <c r="M382" i="149" s="1"/>
  <c r="P107" i="153"/>
  <c r="L117" i="152"/>
  <c r="J113" i="152"/>
  <c r="P117" i="152"/>
  <c r="R638" i="151"/>
  <c r="F649" i="151" s="1"/>
  <c r="O607" i="151"/>
  <c r="O608" i="151" s="1"/>
  <c r="R639" i="151" s="1"/>
  <c r="F654" i="151" s="1"/>
  <c r="J733" i="151"/>
  <c r="J734" i="151"/>
  <c r="Q356" i="151"/>
  <c r="S351" i="151"/>
  <c r="Q351" i="151"/>
  <c r="S356" i="151"/>
  <c r="S346" i="151"/>
  <c r="Q346" i="151"/>
  <c r="P116" i="150"/>
  <c r="G603" i="149"/>
  <c r="O566" i="149"/>
  <c r="O567" i="149" s="1"/>
  <c r="S584" i="149" s="1"/>
  <c r="I590" i="149" s="1"/>
  <c r="S585" i="149"/>
  <c r="D462" i="149"/>
  <c r="D463" i="149" s="1"/>
  <c r="M465" i="149" s="1"/>
  <c r="J542" i="149"/>
  <c r="D550" i="149" s="1"/>
  <c r="D551" i="149" s="1"/>
  <c r="M553" i="149" s="1"/>
  <c r="AA173" i="148"/>
  <c r="R200" i="148"/>
  <c r="F215" i="148" s="1"/>
  <c r="R515" i="148"/>
  <c r="J589" i="148"/>
  <c r="Q355" i="148"/>
  <c r="Q350" i="148"/>
  <c r="Q345" i="148"/>
  <c r="I355" i="148"/>
  <c r="I350" i="148"/>
  <c r="I345" i="148"/>
  <c r="R334" i="148"/>
  <c r="F345" i="148" s="1"/>
  <c r="O303" i="148"/>
  <c r="O304" i="148" s="1"/>
  <c r="R335" i="148" s="1"/>
  <c r="F350" i="148" s="1"/>
  <c r="R638" i="147"/>
  <c r="F649" i="147" s="1"/>
  <c r="O607" i="147"/>
  <c r="O608" i="147" s="1"/>
  <c r="R639" i="147" s="1"/>
  <c r="F654" i="147" s="1"/>
  <c r="R515" i="147"/>
  <c r="J589" i="147"/>
  <c r="Q733" i="147"/>
  <c r="J734" i="147"/>
  <c r="R334" i="147"/>
  <c r="F345" i="147" s="1"/>
  <c r="O303" i="147"/>
  <c r="O304" i="147" s="1"/>
  <c r="R335" i="147" s="1"/>
  <c r="F350" i="147" s="1"/>
  <c r="I781" i="147"/>
  <c r="I791" i="147"/>
  <c r="I786" i="147"/>
  <c r="I355" i="147"/>
  <c r="I350" i="147"/>
  <c r="I345" i="147"/>
  <c r="Q355" i="147"/>
  <c r="Q350" i="147"/>
  <c r="Q345" i="147"/>
  <c r="J560" i="146"/>
  <c r="J561" i="146"/>
  <c r="G429" i="146"/>
  <c r="F432" i="146" s="1"/>
  <c r="S497" i="146"/>
  <c r="G515" i="146"/>
  <c r="O478" i="146"/>
  <c r="O479" i="146" s="1"/>
  <c r="S496" i="146" s="1"/>
  <c r="I502" i="146" s="1"/>
  <c r="J514" i="146"/>
  <c r="S586" i="146"/>
  <c r="J602" i="146" s="1"/>
  <c r="S284" i="146"/>
  <c r="J297" i="146"/>
  <c r="J603" i="146"/>
  <c r="S590" i="146"/>
  <c r="D245" i="146"/>
  <c r="M247" i="146" s="1"/>
  <c r="J454" i="146"/>
  <c r="D379" i="146"/>
  <c r="D380" i="146" s="1"/>
  <c r="M382" i="146" s="1"/>
  <c r="R647" i="145"/>
  <c r="J721" i="145"/>
  <c r="R779" i="145" s="1"/>
  <c r="Q527" i="145"/>
  <c r="Q522" i="145"/>
  <c r="Q517" i="145"/>
  <c r="O739" i="145"/>
  <c r="O740" i="145" s="1"/>
  <c r="R771" i="145" s="1"/>
  <c r="F786" i="145" s="1"/>
  <c r="R770" i="145"/>
  <c r="F781" i="145" s="1"/>
  <c r="J233" i="134"/>
  <c r="N233" i="134"/>
  <c r="O208" i="134"/>
  <c r="E209" i="134"/>
  <c r="L233" i="134" s="1"/>
  <c r="N231" i="138"/>
  <c r="J231" i="138"/>
  <c r="O206" i="138"/>
  <c r="E207" i="138" s="1"/>
  <c r="L231" i="138" s="1"/>
  <c r="N231" i="135"/>
  <c r="J231" i="135"/>
  <c r="O206" i="135"/>
  <c r="E207" i="135" s="1"/>
  <c r="L231" i="135" s="1"/>
  <c r="I432" i="149" l="1"/>
  <c r="I204" i="149"/>
  <c r="E204" i="149"/>
  <c r="H206" i="149" s="1"/>
  <c r="E432" i="149"/>
  <c r="H434" i="149" s="1"/>
  <c r="R770" i="148"/>
  <c r="F781" i="148" s="1"/>
  <c r="O739" i="148"/>
  <c r="O740" i="148" s="1"/>
  <c r="R771" i="148" s="1"/>
  <c r="F786" i="148" s="1"/>
  <c r="R647" i="151"/>
  <c r="J721" i="151"/>
  <c r="R779" i="151" s="1"/>
  <c r="Q527" i="151"/>
  <c r="Q517" i="151"/>
  <c r="Q522" i="151"/>
  <c r="J112" i="150"/>
  <c r="S586" i="149"/>
  <c r="J602" i="149" s="1"/>
  <c r="G605" i="149" s="1"/>
  <c r="J514" i="149"/>
  <c r="G517" i="149" s="1"/>
  <c r="G299" i="146"/>
  <c r="E302" i="146" s="1"/>
  <c r="D454" i="146"/>
  <c r="U623" i="146" s="1"/>
  <c r="F204" i="146"/>
  <c r="I204" i="146"/>
  <c r="H206" i="146" s="1"/>
  <c r="L117" i="153"/>
  <c r="J113" i="153"/>
  <c r="P117" i="153"/>
  <c r="R770" i="151"/>
  <c r="F781" i="151" s="1"/>
  <c r="O739" i="151"/>
  <c r="O740" i="151" s="1"/>
  <c r="R771" i="151" s="1"/>
  <c r="F786" i="151" s="1"/>
  <c r="R647" i="148"/>
  <c r="J721" i="148"/>
  <c r="R779" i="148" s="1"/>
  <c r="Q527" i="148"/>
  <c r="Q522" i="148"/>
  <c r="Q517" i="148"/>
  <c r="R770" i="147"/>
  <c r="F781" i="147" s="1"/>
  <c r="O739" i="147"/>
  <c r="O740" i="147" s="1"/>
  <c r="R771" i="147" s="1"/>
  <c r="F786" i="147" s="1"/>
  <c r="R647" i="147"/>
  <c r="J721" i="147"/>
  <c r="R779" i="147" s="1"/>
  <c r="Q527" i="147"/>
  <c r="Q522" i="147"/>
  <c r="Q517" i="147"/>
  <c r="E432" i="146"/>
  <c r="I432" i="146"/>
  <c r="G517" i="146"/>
  <c r="I520" i="146" s="1"/>
  <c r="G603" i="146"/>
  <c r="G605" i="146" s="1"/>
  <c r="O566" i="146"/>
  <c r="O567" i="146" s="1"/>
  <c r="S584" i="146" s="1"/>
  <c r="I590" i="146" s="1"/>
  <c r="S585" i="146"/>
  <c r="D462" i="146"/>
  <c r="D463" i="146" s="1"/>
  <c r="M465" i="146" s="1"/>
  <c r="J542" i="146"/>
  <c r="D550" i="146" s="1"/>
  <c r="D551" i="146" s="1"/>
  <c r="M553" i="146" s="1"/>
  <c r="Q781" i="145"/>
  <c r="Q791" i="145"/>
  <c r="Q786" i="145"/>
  <c r="Q654" i="145"/>
  <c r="Q649" i="145"/>
  <c r="Q659" i="145"/>
  <c r="S79" i="11"/>
  <c r="S74" i="11" s="1"/>
  <c r="G67" i="11"/>
  <c r="G62" i="11"/>
  <c r="H77" i="11"/>
  <c r="H72" i="11" s="1"/>
  <c r="H62" i="11"/>
  <c r="G77" i="11"/>
  <c r="G72" i="11" s="1"/>
  <c r="G57" i="11"/>
  <c r="O630" i="14"/>
  <c r="M630" i="14"/>
  <c r="K630" i="14"/>
  <c r="O265" i="38"/>
  <c r="O78" i="11" s="1"/>
  <c r="O73" i="11" s="1"/>
  <c r="M265" i="38"/>
  <c r="M78" i="11" s="1"/>
  <c r="M73" i="11" s="1"/>
  <c r="K265" i="38"/>
  <c r="K78" i="11" s="1"/>
  <c r="K73" i="11" s="1"/>
  <c r="H160" i="11"/>
  <c r="G160" i="11"/>
  <c r="F302" i="146" l="1"/>
  <c r="I302" i="146"/>
  <c r="H304" i="146" s="1"/>
  <c r="Q781" i="151"/>
  <c r="Q786" i="151"/>
  <c r="Q791" i="151"/>
  <c r="Q649" i="151"/>
  <c r="Q659" i="151"/>
  <c r="Q654" i="151"/>
  <c r="F520" i="149"/>
  <c r="I520" i="149"/>
  <c r="E520" i="149"/>
  <c r="I608" i="149"/>
  <c r="F608" i="149"/>
  <c r="E608" i="149"/>
  <c r="H610" i="149" s="1"/>
  <c r="Q781" i="148"/>
  <c r="Q791" i="148"/>
  <c r="Q786" i="148"/>
  <c r="Q649" i="148"/>
  <c r="Q659" i="148"/>
  <c r="Q654" i="148"/>
  <c r="Q781" i="147"/>
  <c r="Q791" i="147"/>
  <c r="Q786" i="147"/>
  <c r="Q659" i="147"/>
  <c r="Q654" i="147"/>
  <c r="Q649" i="147"/>
  <c r="F520" i="146"/>
  <c r="H434" i="146"/>
  <c r="E520" i="146"/>
  <c r="H522" i="146" s="1"/>
  <c r="E608" i="146"/>
  <c r="I608" i="146"/>
  <c r="F608" i="146"/>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D20" i="131"/>
  <c r="D19" i="131"/>
  <c r="J18" i="131"/>
  <c r="D18" i="131"/>
  <c r="R5" i="131"/>
  <c r="O5" i="131"/>
  <c r="G5" i="131"/>
  <c r="D5" i="131"/>
  <c r="C5" i="131"/>
  <c r="A5" i="131"/>
  <c r="R4" i="131"/>
  <c r="O4" i="131"/>
  <c r="R3" i="131"/>
  <c r="O3" i="131"/>
  <c r="H3" i="131"/>
  <c r="R2" i="131"/>
  <c r="O2" i="131"/>
  <c r="H2" i="131"/>
  <c r="R1" i="131"/>
  <c r="O1" i="131"/>
  <c r="H1" i="131"/>
  <c r="H144" i="90"/>
  <c r="Q97" i="117"/>
  <c r="Q274" i="115"/>
  <c r="J19" i="130"/>
  <c r="O51" i="130"/>
  <c r="M51" i="130"/>
  <c r="K51" i="130"/>
  <c r="I51" i="130"/>
  <c r="H51" i="130"/>
  <c r="G51" i="130"/>
  <c r="G264" i="38"/>
  <c r="F51" i="130"/>
  <c r="D51" i="130"/>
  <c r="B51" i="130"/>
  <c r="A51" i="130"/>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431" i="91"/>
  <c r="F128" i="119"/>
  <c r="D130" i="119"/>
  <c r="D129" i="119"/>
  <c r="D128" i="119"/>
  <c r="B128" i="119"/>
  <c r="A128" i="119"/>
  <c r="H3" i="91"/>
  <c r="H3" i="116"/>
  <c r="O5" i="116"/>
  <c r="O4" i="116"/>
  <c r="O3" i="116"/>
  <c r="O2" i="116"/>
  <c r="O1" i="116"/>
  <c r="O5" i="113"/>
  <c r="O4" i="113"/>
  <c r="O3" i="113"/>
  <c r="O2" i="113"/>
  <c r="O1" i="113"/>
  <c r="D5" i="117"/>
  <c r="O5" i="117"/>
  <c r="O4" i="117"/>
  <c r="O3" i="117"/>
  <c r="O2" i="117"/>
  <c r="O1" i="117"/>
  <c r="H3" i="113"/>
  <c r="H3" i="38"/>
  <c r="H2" i="38"/>
  <c r="R4" i="117"/>
  <c r="R3" i="117"/>
  <c r="R5" i="117"/>
  <c r="R2" i="117"/>
  <c r="R1" i="4"/>
  <c r="H3" i="117"/>
  <c r="H3" i="105"/>
  <c r="G268" i="11"/>
  <c r="K257" i="11"/>
  <c r="G264" i="11"/>
  <c r="G258" i="11"/>
  <c r="G257" i="11"/>
  <c r="H266" i="113"/>
  <c r="G266" i="113"/>
  <c r="A266" i="113"/>
  <c r="H91" i="126"/>
  <c r="H274" i="115"/>
  <c r="G91" i="126"/>
  <c r="G274" i="115"/>
  <c r="A91" i="126"/>
  <c r="Q91" i="126"/>
  <c r="O91" i="126"/>
  <c r="M91" i="126"/>
  <c r="K91" i="126"/>
  <c r="I91" i="126"/>
  <c r="F91" i="126"/>
  <c r="D91" i="126"/>
  <c r="B91" i="126"/>
  <c r="G53" i="126"/>
  <c r="M41" i="126"/>
  <c r="S36" i="126"/>
  <c r="K41" i="126" s="1"/>
  <c r="S33" i="126"/>
  <c r="H41" i="126" s="1"/>
  <c r="S32" i="126"/>
  <c r="J49" i="126" s="1"/>
  <c r="S31" i="126"/>
  <c r="G49" i="126" s="1"/>
  <c r="T21" i="126"/>
  <c r="R21" i="126"/>
  <c r="P21" i="126"/>
  <c r="D20" i="126"/>
  <c r="D19" i="126"/>
  <c r="J18" i="126"/>
  <c r="D18" i="126"/>
  <c r="O5" i="126"/>
  <c r="G5" i="126"/>
  <c r="D5" i="126"/>
  <c r="C5" i="126"/>
  <c r="A5" i="126"/>
  <c r="O4" i="126"/>
  <c r="O3" i="126"/>
  <c r="O2" i="126"/>
  <c r="H2" i="126"/>
  <c r="H1" i="126"/>
  <c r="S31" i="113"/>
  <c r="J18" i="113"/>
  <c r="K22" i="90"/>
  <c r="K21" i="90"/>
  <c r="K19" i="90"/>
  <c r="K17" i="90"/>
  <c r="K18" i="90"/>
  <c r="K16" i="90"/>
  <c r="K14" i="90"/>
  <c r="K95" i="120"/>
  <c r="K21" i="120"/>
  <c r="K20" i="120"/>
  <c r="K19" i="120"/>
  <c r="K18" i="120"/>
  <c r="K17" i="120"/>
  <c r="K16" i="120"/>
  <c r="K15" i="120"/>
  <c r="K14" i="120"/>
  <c r="K97" i="40"/>
  <c r="J268" i="11"/>
  <c r="J257" i="11"/>
  <c r="K268" i="11"/>
  <c r="G243" i="11"/>
  <c r="E269" i="11"/>
  <c r="B270" i="11"/>
  <c r="B269" i="11"/>
  <c r="G194" i="11"/>
  <c r="Q265" i="114"/>
  <c r="Q297" i="110"/>
  <c r="K265" i="114"/>
  <c r="I265" i="114"/>
  <c r="H265" i="114"/>
  <c r="G265" i="114"/>
  <c r="F265" i="114"/>
  <c r="D267" i="114"/>
  <c r="D266" i="114"/>
  <c r="D265" i="114"/>
  <c r="B265" i="114"/>
  <c r="A265" i="114"/>
  <c r="Q95" i="116"/>
  <c r="F268" i="107"/>
  <c r="H522" i="149" l="1"/>
  <c r="H610" i="146"/>
  <c r="K23" i="90"/>
  <c r="M53" i="131"/>
  <c r="I53" i="131"/>
  <c r="O41" i="131"/>
  <c r="E42" i="131" s="1"/>
  <c r="K22" i="120"/>
  <c r="S29" i="130"/>
  <c r="G50" i="126"/>
  <c r="G57" i="126" s="1"/>
  <c r="P22" i="126"/>
  <c r="S34" i="126" s="1"/>
  <c r="I53" i="126" s="1"/>
  <c r="G96" i="11"/>
  <c r="H243" i="11"/>
  <c r="H209" i="11"/>
  <c r="H194" i="11"/>
  <c r="H189" i="11"/>
  <c r="H146" i="11"/>
  <c r="H141" i="11"/>
  <c r="H136" i="11"/>
  <c r="H131" i="11"/>
  <c r="H126" i="11"/>
  <c r="H111" i="11"/>
  <c r="H96" i="11"/>
  <c r="H91" i="11"/>
  <c r="H86" i="11"/>
  <c r="H67" i="11"/>
  <c r="H57" i="11"/>
  <c r="G209" i="11"/>
  <c r="G189" i="11"/>
  <c r="G146" i="11"/>
  <c r="G141" i="11"/>
  <c r="G136" i="11"/>
  <c r="G131" i="11"/>
  <c r="G126" i="11"/>
  <c r="G111" i="11"/>
  <c r="G91" i="11"/>
  <c r="G86" i="11"/>
  <c r="F270" i="105"/>
  <c r="F97" i="117"/>
  <c r="Q144" i="124"/>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M144" i="123"/>
  <c r="K144" i="123"/>
  <c r="H144" i="123"/>
  <c r="G144" i="123"/>
  <c r="G89" i="123"/>
  <c r="G86" i="123"/>
  <c r="N81" i="123"/>
  <c r="J81" i="123"/>
  <c r="S75" i="123"/>
  <c r="S113" i="123" s="1"/>
  <c r="G128" i="123" s="1"/>
  <c r="P69" i="123"/>
  <c r="T64" i="123"/>
  <c r="J64" i="123"/>
  <c r="J109" i="123" s="1"/>
  <c r="D64" i="123"/>
  <c r="J63" i="123"/>
  <c r="J108" i="123" s="1"/>
  <c r="J54" i="123"/>
  <c r="L99" i="123" s="1"/>
  <c r="I144" i="123" s="1"/>
  <c r="O53" i="123"/>
  <c r="P71" i="123" s="1"/>
  <c r="L53" i="123"/>
  <c r="L98" i="123" s="1"/>
  <c r="J53" i="123"/>
  <c r="H53" i="123"/>
  <c r="H98" i="123" s="1"/>
  <c r="D144" i="123" s="1"/>
  <c r="B51" i="123"/>
  <c r="B96" i="123" s="1"/>
  <c r="T50" i="123"/>
  <c r="H50" i="123"/>
  <c r="H95" i="123" s="1"/>
  <c r="D50" i="123"/>
  <c r="D95" i="123" s="1"/>
  <c r="B144" i="123"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M55" i="122"/>
  <c r="K55" i="122"/>
  <c r="H55" i="122"/>
  <c r="G55" i="122"/>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58" i="11" s="1"/>
  <c r="L133" i="120"/>
  <c r="L258" i="11" s="1"/>
  <c r="I133" i="120"/>
  <c r="I258" i="11" s="1"/>
  <c r="H133" i="120"/>
  <c r="H258" i="11" s="1"/>
  <c r="F133" i="120"/>
  <c r="F258" i="11" s="1"/>
  <c r="E133" i="120"/>
  <c r="E258" i="11" s="1"/>
  <c r="C133" i="120"/>
  <c r="B258" i="11" s="1"/>
  <c r="N132" i="120"/>
  <c r="N257" i="11" s="1"/>
  <c r="L132" i="120"/>
  <c r="L257" i="11" s="1"/>
  <c r="K132" i="120"/>
  <c r="J132" i="120"/>
  <c r="I132" i="120"/>
  <c r="I257" i="11" s="1"/>
  <c r="H132" i="120"/>
  <c r="H257" i="11" s="1"/>
  <c r="F132" i="120"/>
  <c r="F257" i="11" s="1"/>
  <c r="E132" i="120"/>
  <c r="E257" i="11" s="1"/>
  <c r="C132" i="120"/>
  <c r="A132" i="120"/>
  <c r="A257" i="11" s="1"/>
  <c r="D117" i="120"/>
  <c r="N108" i="120"/>
  <c r="K100" i="120"/>
  <c r="D80" i="120"/>
  <c r="N71" i="120"/>
  <c r="K54" i="120"/>
  <c r="B47" i="120"/>
  <c r="D39" i="120"/>
  <c r="N30" i="120"/>
  <c r="AG16" i="120"/>
  <c r="AG15" i="120"/>
  <c r="R5" i="120"/>
  <c r="O5" i="120"/>
  <c r="G5" i="120"/>
  <c r="D5" i="120"/>
  <c r="C5" i="120"/>
  <c r="A5" i="120"/>
  <c r="R4" i="120"/>
  <c r="O4" i="120"/>
  <c r="R3" i="120"/>
  <c r="O3" i="120"/>
  <c r="H3" i="120"/>
  <c r="R2" i="120"/>
  <c r="O2" i="120"/>
  <c r="H2" i="120"/>
  <c r="R1" i="120"/>
  <c r="O1" i="120"/>
  <c r="H1" i="120"/>
  <c r="Q128" i="119"/>
  <c r="O128" i="119"/>
  <c r="M128" i="119"/>
  <c r="K128" i="119"/>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75" i="118"/>
  <c r="G111" i="118" s="1"/>
  <c r="I54" i="118"/>
  <c r="I48" i="118"/>
  <c r="R41" i="118"/>
  <c r="R81" i="118" s="1"/>
  <c r="R40" i="118"/>
  <c r="S54" i="118" s="1"/>
  <c r="R39" i="118"/>
  <c r="I59" i="118" s="1"/>
  <c r="R35" i="118"/>
  <c r="I60" i="118" s="1"/>
  <c r="T20" i="118"/>
  <c r="R20" i="118"/>
  <c r="D19" i="118"/>
  <c r="J18" i="118"/>
  <c r="R83" i="118" s="1"/>
  <c r="Q96" i="118" s="1"/>
  <c r="D18" i="118"/>
  <c r="R5" i="118"/>
  <c r="O5" i="118"/>
  <c r="G5" i="118"/>
  <c r="D5" i="118"/>
  <c r="C5" i="118"/>
  <c r="A5" i="118"/>
  <c r="R4" i="118"/>
  <c r="O4" i="118"/>
  <c r="R3" i="118"/>
  <c r="O3" i="118"/>
  <c r="R2" i="118"/>
  <c r="O2" i="118"/>
  <c r="H2" i="118"/>
  <c r="R1" i="118"/>
  <c r="O1" i="118"/>
  <c r="H1" i="118"/>
  <c r="K274" i="115"/>
  <c r="I274" i="115"/>
  <c r="F274" i="115"/>
  <c r="D274" i="115"/>
  <c r="B274" i="115"/>
  <c r="A274" i="115"/>
  <c r="J274" i="115"/>
  <c r="K95" i="116"/>
  <c r="I95" i="116"/>
  <c r="H95" i="116"/>
  <c r="G95" i="116"/>
  <c r="G264" i="92"/>
  <c r="F95" i="116"/>
  <c r="D95" i="116"/>
  <c r="B95" i="116"/>
  <c r="A95" i="116"/>
  <c r="J95" i="116"/>
  <c r="K97" i="117"/>
  <c r="J97" i="117"/>
  <c r="I97" i="117"/>
  <c r="H97" i="117"/>
  <c r="G97" i="117"/>
  <c r="D97" i="117"/>
  <c r="B97" i="117"/>
  <c r="A97" i="117"/>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O266" i="113"/>
  <c r="M266" i="113"/>
  <c r="K266" i="113"/>
  <c r="I266" i="113"/>
  <c r="F266" i="113"/>
  <c r="D266" i="113"/>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J184" i="118" l="1"/>
  <c r="J304" i="118" s="1"/>
  <c r="R43" i="118"/>
  <c r="Q59" i="118" s="1"/>
  <c r="R205" i="118"/>
  <c r="I225" i="118" s="1"/>
  <c r="R79" i="118"/>
  <c r="G103" i="118" s="1"/>
  <c r="I47" i="118"/>
  <c r="I53" i="118"/>
  <c r="Q103" i="118"/>
  <c r="K53" i="131"/>
  <c r="S38" i="131"/>
  <c r="F259" i="11"/>
  <c r="F264" i="11"/>
  <c r="H259" i="11"/>
  <c r="H264" i="11"/>
  <c r="C259" i="11"/>
  <c r="B264" i="11"/>
  <c r="E259" i="11"/>
  <c r="E264" i="11"/>
  <c r="I259" i="11"/>
  <c r="I264" i="11"/>
  <c r="L259" i="11"/>
  <c r="L264" i="11"/>
  <c r="N259" i="11"/>
  <c r="N264"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B257" i="11"/>
  <c r="R101" i="114"/>
  <c r="P102" i="114" s="1"/>
  <c r="S114" i="114" s="1"/>
  <c r="S116" i="114"/>
  <c r="K121" i="114" s="1"/>
  <c r="P22" i="114"/>
  <c r="S33" i="114" s="1"/>
  <c r="I52" i="114" s="1"/>
  <c r="T176" i="114"/>
  <c r="D187" i="114" s="1"/>
  <c r="P81" i="124"/>
  <c r="L81" i="124"/>
  <c r="P38" i="124"/>
  <c r="L38" i="124"/>
  <c r="O98" i="124"/>
  <c r="P38" i="123"/>
  <c r="L38" i="123"/>
  <c r="P81" i="123"/>
  <c r="L81" i="123"/>
  <c r="P38" i="122"/>
  <c r="K30" i="120"/>
  <c r="K31" i="120" s="1"/>
  <c r="K34" i="120" s="1"/>
  <c r="K108" i="120"/>
  <c r="K109" i="120" s="1"/>
  <c r="K112" i="120"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T294" i="118"/>
  <c r="D305" i="118" s="1"/>
  <c r="R247" i="118"/>
  <c r="T295" i="118"/>
  <c r="D306" i="118" s="1"/>
  <c r="S60" i="118"/>
  <c r="M53" i="118"/>
  <c r="Q110" i="118"/>
  <c r="J296" i="118"/>
  <c r="M337" i="118"/>
  <c r="R80" i="118"/>
  <c r="O296" i="118"/>
  <c r="M405" i="118"/>
  <c r="Q60" i="118"/>
  <c r="M213" i="118"/>
  <c r="Q54" i="118"/>
  <c r="G97" i="118"/>
  <c r="R187" i="118"/>
  <c r="M59" i="118"/>
  <c r="M281" i="118"/>
  <c r="M47" i="118"/>
  <c r="G104"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I213" i="118" l="1"/>
  <c r="R209" i="118"/>
  <c r="R249" i="118" s="1"/>
  <c r="Q47" i="118"/>
  <c r="Q53" i="118" s="1"/>
  <c r="G110" i="118"/>
  <c r="G96" i="118"/>
  <c r="R325" i="118"/>
  <c r="R369" i="118" s="1"/>
  <c r="R136" i="118"/>
  <c r="I144" i="118" s="1"/>
  <c r="I219" i="118"/>
  <c r="R245" i="118"/>
  <c r="G269" i="118" s="1"/>
  <c r="M55" i="116"/>
  <c r="I55" i="116"/>
  <c r="R190" i="113"/>
  <c r="P190" i="113"/>
  <c r="O40" i="114"/>
  <c r="E41" i="114" s="1"/>
  <c r="P195" i="115"/>
  <c r="S207" i="115" s="1"/>
  <c r="I229" i="115" s="1"/>
  <c r="I56" i="115"/>
  <c r="O41" i="115"/>
  <c r="E42" i="115" s="1"/>
  <c r="P107" i="115"/>
  <c r="S119" i="115" s="1"/>
  <c r="P109" i="123"/>
  <c r="R109" i="123"/>
  <c r="F144" i="123"/>
  <c r="S38" i="126"/>
  <c r="B69" i="119"/>
  <c r="I74" i="119"/>
  <c r="H79" i="119"/>
  <c r="D70" i="119"/>
  <c r="T70" i="119" s="1"/>
  <c r="E75" i="119"/>
  <c r="R73" i="119" s="1"/>
  <c r="I80" i="119"/>
  <c r="T80" i="119" s="1"/>
  <c r="S204" i="114"/>
  <c r="K209" i="114" s="1"/>
  <c r="P189" i="114"/>
  <c r="P190" i="114" s="1"/>
  <c r="S202" i="114" s="1"/>
  <c r="O209" i="114" s="1"/>
  <c r="O41" i="113"/>
  <c r="E42" i="113" s="1"/>
  <c r="M51" i="113"/>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M144" i="118"/>
  <c r="M276" i="118"/>
  <c r="M262" i="118"/>
  <c r="M269" i="118"/>
  <c r="I344" i="118"/>
  <c r="I338" i="118"/>
  <c r="R365" i="118"/>
  <c r="I350" i="118"/>
  <c r="I56" i="117"/>
  <c r="M56" i="117"/>
  <c r="D186" i="114"/>
  <c r="O122" i="113"/>
  <c r="E123" i="113" s="1"/>
  <c r="K137" i="113" s="1"/>
  <c r="I137" i="113"/>
  <c r="G262" i="118" l="1"/>
  <c r="G276" i="118"/>
  <c r="Q213" i="118"/>
  <c r="Q219" i="118" s="1"/>
  <c r="R329" i="118"/>
  <c r="R373" i="118" s="1"/>
  <c r="Q225" i="118"/>
  <c r="R141" i="118"/>
  <c r="I337" i="118"/>
  <c r="I349" i="118"/>
  <c r="I343" i="118"/>
  <c r="P191" i="113"/>
  <c r="S203" i="113" s="1"/>
  <c r="I224" i="114"/>
  <c r="M224" i="114"/>
  <c r="O214" i="115"/>
  <c r="E215" i="115" s="1"/>
  <c r="K229" i="115" s="1"/>
  <c r="M229" i="115"/>
  <c r="O126" i="115"/>
  <c r="E127" i="115" s="1"/>
  <c r="K141" i="115" s="1"/>
  <c r="I141" i="115"/>
  <c r="M141" i="115"/>
  <c r="W13" i="130"/>
  <c r="P110" i="123"/>
  <c r="L120" i="123" s="1"/>
  <c r="J116" i="123"/>
  <c r="P120" i="123"/>
  <c r="E210" i="114"/>
  <c r="K224" i="114" s="1"/>
  <c r="K51" i="113"/>
  <c r="S38" i="113"/>
  <c r="J116" i="124"/>
  <c r="P120" i="124"/>
  <c r="L120" i="124"/>
  <c r="T82" i="119"/>
  <c r="F89" i="119" s="1"/>
  <c r="S263" i="118"/>
  <c r="Q263" i="118"/>
  <c r="S270" i="118"/>
  <c r="Q277" i="118"/>
  <c r="Q270" i="118"/>
  <c r="S277" i="118"/>
  <c r="Q350" i="118"/>
  <c r="Q344" i="118"/>
  <c r="Q338" i="118"/>
  <c r="R370" i="118"/>
  <c r="S338" i="118"/>
  <c r="S344" i="118"/>
  <c r="S350" i="118"/>
  <c r="Q145" i="118"/>
  <c r="S145" i="118"/>
  <c r="Q262" i="118"/>
  <c r="Q269" i="118"/>
  <c r="Q276" i="118"/>
  <c r="G406" i="118"/>
  <c r="G392" i="118"/>
  <c r="G399" i="118"/>
  <c r="G391" i="118"/>
  <c r="G405" i="118"/>
  <c r="G398" i="118"/>
  <c r="G47" i="113"/>
  <c r="G48" i="113" s="1"/>
  <c r="G55" i="113" s="1"/>
  <c r="Q337" i="118" l="1"/>
  <c r="Q343" i="118" s="1"/>
  <c r="Q349" i="118"/>
  <c r="O210" i="113"/>
  <c r="E211" i="113" s="1"/>
  <c r="K225" i="113" s="1"/>
  <c r="I225" i="113"/>
  <c r="M225" i="113"/>
  <c r="Q391" i="118"/>
  <c r="Q405" i="118"/>
  <c r="Q398" i="118"/>
  <c r="S406" i="118"/>
  <c r="Q406" i="118"/>
  <c r="S392" i="118"/>
  <c r="Q392" i="118"/>
  <c r="S399" i="118"/>
  <c r="Q399" i="118"/>
  <c r="J19" i="79" l="1"/>
  <c r="T65" i="112"/>
  <c r="Q268" i="109" l="1"/>
  <c r="O268" i="109"/>
  <c r="M268" i="109"/>
  <c r="K268" i="109"/>
  <c r="I268" i="107"/>
  <c r="I268" i="109"/>
  <c r="H268" i="109"/>
  <c r="G268" i="109"/>
  <c r="F268" i="109"/>
  <c r="D268" i="109"/>
  <c r="B268" i="109"/>
  <c r="A268" i="109"/>
  <c r="T59" i="112"/>
  <c r="S257" i="110"/>
  <c r="S25" i="110"/>
  <c r="E49" i="110" s="1"/>
  <c r="S24" i="105"/>
  <c r="S106" i="105" s="1"/>
  <c r="S25" i="38"/>
  <c r="Q270" i="105"/>
  <c r="O270" i="105"/>
  <c r="M270" i="105"/>
  <c r="K270" i="105"/>
  <c r="J270" i="105"/>
  <c r="I270" i="105"/>
  <c r="H270" i="105"/>
  <c r="G270" i="105"/>
  <c r="D270" i="105"/>
  <c r="B270" i="105"/>
  <c r="A270" i="105"/>
  <c r="Q268" i="107"/>
  <c r="O268" i="107"/>
  <c r="M268" i="107"/>
  <c r="K268" i="107"/>
  <c r="H268" i="107"/>
  <c r="G268" i="107"/>
  <c r="D268" i="107"/>
  <c r="B268" i="107"/>
  <c r="A268" i="107"/>
  <c r="S24" i="107"/>
  <c r="S104" i="107" s="1"/>
  <c r="S25" i="92"/>
  <c r="O387" i="112"/>
  <c r="M387" i="112"/>
  <c r="K387" i="112"/>
  <c r="Q385" i="112"/>
  <c r="O385" i="112"/>
  <c r="M385" i="112"/>
  <c r="K385" i="112"/>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H297" i="110"/>
  <c r="G297" i="110"/>
  <c r="F297" i="110"/>
  <c r="D297" i="110"/>
  <c r="B297" i="110"/>
  <c r="A297" i="110"/>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B388" i="106"/>
  <c r="A388" i="106"/>
  <c r="O387" i="106"/>
  <c r="O390" i="106" s="1"/>
  <c r="M387" i="106"/>
  <c r="M390" i="106" s="1"/>
  <c r="K387" i="106"/>
  <c r="K390" i="106" s="1"/>
  <c r="O386" i="106"/>
  <c r="O389" i="106" s="1"/>
  <c r="M386" i="106"/>
  <c r="K386" i="106"/>
  <c r="Q385" i="106"/>
  <c r="Q388" i="106" s="1"/>
  <c r="O385" i="106"/>
  <c r="M385" i="106"/>
  <c r="K385" i="106"/>
  <c r="H385" i="106"/>
  <c r="H388" i="106" s="1"/>
  <c r="G385" i="106"/>
  <c r="G388" i="106" s="1"/>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H147" i="106" s="1"/>
  <c r="H270" i="106" s="1"/>
  <c r="F26" i="106"/>
  <c r="F147" i="106" s="1"/>
  <c r="F270" i="106" s="1"/>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J142" i="106" l="1"/>
  <c r="J265" i="106" s="1"/>
  <c r="J266" i="106" s="1"/>
  <c r="O270" i="106" s="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L90" i="106" s="1"/>
  <c r="T180" i="106"/>
  <c r="T232" i="106" s="1"/>
  <c r="H235" i="106" s="1"/>
  <c r="M115" i="106"/>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T181" i="106"/>
  <c r="T308" i="106"/>
  <c r="T310" i="106" s="1"/>
  <c r="T314" i="106"/>
  <c r="K200" i="106"/>
  <c r="L195" i="106"/>
  <c r="M235" i="106"/>
  <c r="E190" i="106"/>
  <c r="I72" i="106"/>
  <c r="F317" i="106"/>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J143" i="106" l="1"/>
  <c r="O147" i="106" s="1"/>
  <c r="O148" i="106" s="1"/>
  <c r="P149" i="106" s="1"/>
  <c r="S149" i="106" s="1"/>
  <c r="T183" i="106" s="1"/>
  <c r="Q115" i="106"/>
  <c r="E116" i="106" s="1"/>
  <c r="Q104" i="106"/>
  <c r="I190" i="112"/>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Q353" i="106" s="1"/>
  <c r="I191" i="106"/>
  <c r="I320" i="106"/>
  <c r="Q329" i="106"/>
  <c r="O330" i="106" s="1"/>
  <c r="D329" i="106"/>
  <c r="C330"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I324" i="106"/>
  <c r="H329" i="106"/>
  <c r="T350" i="106"/>
  <c r="K353"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54" i="106" l="1"/>
  <c r="L342" i="106"/>
  <c r="Q364" i="106"/>
  <c r="H341" i="112"/>
  <c r="T83" i="112"/>
  <c r="F89" i="112" s="1"/>
  <c r="K318" i="112"/>
  <c r="I319" i="112" s="1"/>
  <c r="D328" i="112"/>
  <c r="C329" i="112" s="1"/>
  <c r="Q224" i="106"/>
  <c r="H225" i="106" s="1"/>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D320" i="106"/>
  <c r="T320" i="106" s="1"/>
  <c r="T339" i="106" s="1"/>
  <c r="F342" i="106" s="1"/>
  <c r="F343" i="106" s="1"/>
  <c r="M367" i="106" s="1"/>
  <c r="I330" i="106"/>
  <c r="T330" i="106" s="1"/>
  <c r="E325" i="106"/>
  <c r="R323" i="106" s="1"/>
  <c r="AB13" i="106" l="1"/>
  <c r="T329" i="112"/>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O433" i="91"/>
  <c r="M433" i="91"/>
  <c r="K433" i="91"/>
  <c r="D433" i="91"/>
  <c r="D432" i="91"/>
  <c r="Q431" i="91"/>
  <c r="O431" i="91"/>
  <c r="M431" i="91"/>
  <c r="K431" i="91"/>
  <c r="I431" i="91"/>
  <c r="H431" i="91"/>
  <c r="F431" i="91"/>
  <c r="D431" i="91"/>
  <c r="B431" i="91"/>
  <c r="A431" i="91"/>
  <c r="E417" i="91"/>
  <c r="T414" i="91"/>
  <c r="R371" i="91"/>
  <c r="M391" i="91" s="1"/>
  <c r="R327" i="91"/>
  <c r="M343" i="91" s="1"/>
  <c r="H293" i="91"/>
  <c r="F293" i="91"/>
  <c r="D293" i="91"/>
  <c r="B293" i="91"/>
  <c r="E288" i="91"/>
  <c r="T285" i="91"/>
  <c r="R207" i="91"/>
  <c r="M219" i="91" s="1"/>
  <c r="J186" i="91"/>
  <c r="J306" i="91" s="1"/>
  <c r="J185" i="91"/>
  <c r="J305" i="91" s="1"/>
  <c r="J177" i="91"/>
  <c r="L297" i="91" s="1"/>
  <c r="O176" i="91"/>
  <c r="O296" i="91" s="1"/>
  <c r="R307" i="91" s="1"/>
  <c r="L176" i="91"/>
  <c r="L296" i="91" s="1"/>
  <c r="R321" i="91" s="1"/>
  <c r="J176" i="91"/>
  <c r="H176" i="91"/>
  <c r="H296" i="91" s="1"/>
  <c r="T175" i="91"/>
  <c r="T174" i="91"/>
  <c r="T294" i="91" s="1"/>
  <c r="D305" i="91" s="1"/>
  <c r="B174" i="91"/>
  <c r="B294" i="91" s="1"/>
  <c r="T173" i="91"/>
  <c r="D184" i="91" s="1"/>
  <c r="H173" i="91"/>
  <c r="F173" i="91"/>
  <c r="D173" i="91"/>
  <c r="B173" i="91"/>
  <c r="E155" i="91"/>
  <c r="T152" i="91"/>
  <c r="R143" i="91"/>
  <c r="R140" i="91"/>
  <c r="Q144" i="91" s="1"/>
  <c r="R134" i="91"/>
  <c r="I145" i="91" s="1"/>
  <c r="Z123" i="91"/>
  <c r="E122" i="91"/>
  <c r="T119" i="91"/>
  <c r="M115" i="91"/>
  <c r="R41" i="91"/>
  <c r="M59" i="91" s="1"/>
  <c r="R40" i="91"/>
  <c r="S60" i="91" s="1"/>
  <c r="R39" i="91"/>
  <c r="R79" i="91" s="1"/>
  <c r="R35" i="91"/>
  <c r="I60" i="91" s="1"/>
  <c r="T20" i="91"/>
  <c r="R20" i="91"/>
  <c r="D19" i="91"/>
  <c r="J18" i="91"/>
  <c r="D18" i="91"/>
  <c r="R5" i="91"/>
  <c r="O5" i="91"/>
  <c r="G5" i="91"/>
  <c r="D5" i="91"/>
  <c r="C5" i="91"/>
  <c r="A5" i="91"/>
  <c r="R4" i="91"/>
  <c r="O4" i="91"/>
  <c r="R3" i="91"/>
  <c r="O3" i="91"/>
  <c r="R2" i="91"/>
  <c r="O2" i="91"/>
  <c r="H2" i="91"/>
  <c r="R1" i="91"/>
  <c r="O1" i="91"/>
  <c r="H1" i="91"/>
  <c r="H286" i="87"/>
  <c r="H286" i="80"/>
  <c r="K58" i="77"/>
  <c r="N38" i="85"/>
  <c r="P29" i="85"/>
  <c r="N38" i="81"/>
  <c r="N38" i="82"/>
  <c r="N38" i="16"/>
  <c r="P26" i="81"/>
  <c r="P29" i="81"/>
  <c r="P29" i="82"/>
  <c r="G57" i="89"/>
  <c r="N98" i="89"/>
  <c r="I98" i="89"/>
  <c r="S94" i="89"/>
  <c r="K98" i="89" s="1"/>
  <c r="H98" i="89"/>
  <c r="G98" i="89"/>
  <c r="S53" i="89"/>
  <c r="J37" i="89"/>
  <c r="S54" i="89" s="1"/>
  <c r="Q36" i="89"/>
  <c r="J36" i="89"/>
  <c r="C74" i="38"/>
  <c r="F61" i="38"/>
  <c r="F62" i="38" s="1"/>
  <c r="E49" i="38"/>
  <c r="S31" i="38"/>
  <c r="S28" i="38"/>
  <c r="S26" i="38"/>
  <c r="E52" i="38" s="1"/>
  <c r="T20" i="38"/>
  <c r="G46" i="16"/>
  <c r="G43" i="16"/>
  <c r="P29" i="16"/>
  <c r="J38" i="16" s="1"/>
  <c r="Q98" i="79"/>
  <c r="L70" i="79"/>
  <c r="Q33" i="13"/>
  <c r="Q32" i="13"/>
  <c r="K58" i="90"/>
  <c r="K57" i="77"/>
  <c r="S25" i="169" l="1"/>
  <c r="S25" i="168"/>
  <c r="S25" i="171"/>
  <c r="S25" i="165"/>
  <c r="S57" i="158"/>
  <c r="S25" i="166"/>
  <c r="S25" i="170"/>
  <c r="S25" i="167"/>
  <c r="R206" i="91"/>
  <c r="R326" i="91" s="1"/>
  <c r="Q338" i="91" s="1"/>
  <c r="R205" i="91"/>
  <c r="R325" i="91" s="1"/>
  <c r="R369" i="91" s="1"/>
  <c r="G398" i="91" s="1"/>
  <c r="K66" i="77"/>
  <c r="S33" i="116"/>
  <c r="G51" i="116" s="1"/>
  <c r="G52" i="116" s="1"/>
  <c r="G59" i="116" s="1"/>
  <c r="S31" i="117"/>
  <c r="G52" i="117" s="1"/>
  <c r="G53" i="117" s="1"/>
  <c r="G60" i="117" s="1"/>
  <c r="M97" i="117" s="1"/>
  <c r="S31" i="115"/>
  <c r="R36" i="118"/>
  <c r="S30" i="114"/>
  <c r="G103" i="91"/>
  <c r="G110" i="91"/>
  <c r="R136" i="91"/>
  <c r="I144" i="91" s="1"/>
  <c r="G96" i="91"/>
  <c r="M398" i="91"/>
  <c r="M225" i="91"/>
  <c r="R247" i="91"/>
  <c r="D102" i="92"/>
  <c r="D100" i="104"/>
  <c r="J100" i="104"/>
  <c r="D101" i="104"/>
  <c r="P21" i="104"/>
  <c r="S29" i="104" s="1"/>
  <c r="F75" i="104" s="1"/>
  <c r="D102" i="104"/>
  <c r="I47" i="91"/>
  <c r="T293" i="91"/>
  <c r="D304"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344" i="91"/>
  <c r="I338" i="91"/>
  <c r="R365" i="91"/>
  <c r="I350" i="91"/>
  <c r="M410" i="91"/>
  <c r="T307" i="91"/>
  <c r="R187" i="91"/>
  <c r="T187" i="91"/>
  <c r="R83" i="91"/>
  <c r="R43" i="91"/>
  <c r="J184" i="91"/>
  <c r="D185" i="91"/>
  <c r="D186" i="91"/>
  <c r="T295" i="91"/>
  <c r="D306" i="91" s="1"/>
  <c r="R201" i="91"/>
  <c r="M281" i="91"/>
  <c r="J296" i="91"/>
  <c r="M337" i="91"/>
  <c r="S54" i="91"/>
  <c r="Q54" i="91"/>
  <c r="R80" i="91"/>
  <c r="R81" i="91"/>
  <c r="M213" i="91"/>
  <c r="M349" i="91"/>
  <c r="M269" i="91"/>
  <c r="M47" i="91"/>
  <c r="M405" i="91"/>
  <c r="G262" i="11"/>
  <c r="G263" i="11"/>
  <c r="K17" i="77"/>
  <c r="K19" i="77"/>
  <c r="K18" i="77"/>
  <c r="K16" i="77"/>
  <c r="N263" i="11"/>
  <c r="L263" i="11"/>
  <c r="I263" i="11"/>
  <c r="H263" i="11"/>
  <c r="F263" i="11"/>
  <c r="E263" i="11"/>
  <c r="C263" i="11"/>
  <c r="N144" i="90"/>
  <c r="L144" i="90"/>
  <c r="L268" i="11" s="1"/>
  <c r="K144" i="90"/>
  <c r="J144" i="90"/>
  <c r="I144" i="90"/>
  <c r="F144" i="90"/>
  <c r="E144" i="90"/>
  <c r="C144" i="90"/>
  <c r="A144" i="90"/>
  <c r="A268"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O116" i="11"/>
  <c r="K117" i="11"/>
  <c r="M117" i="11"/>
  <c r="O117" i="11"/>
  <c r="S117" i="11"/>
  <c r="K118" i="11"/>
  <c r="M118" i="11"/>
  <c r="O118" i="11"/>
  <c r="S118" i="11"/>
  <c r="H286" i="84"/>
  <c r="K113" i="11"/>
  <c r="M113" i="11"/>
  <c r="O113" i="11"/>
  <c r="S113" i="11"/>
  <c r="O97" i="11"/>
  <c r="O98" i="11"/>
  <c r="M87" i="11"/>
  <c r="O87" i="11"/>
  <c r="S88" i="11"/>
  <c r="R66" i="89"/>
  <c r="R65" i="89"/>
  <c r="I57" i="89"/>
  <c r="Q320" i="89"/>
  <c r="O320" i="89"/>
  <c r="M320" i="89"/>
  <c r="K320" i="89"/>
  <c r="H320" i="89"/>
  <c r="H98" i="79"/>
  <c r="G320" i="89"/>
  <c r="F320" i="89"/>
  <c r="D320" i="89"/>
  <c r="B320" i="89"/>
  <c r="A320" i="89"/>
  <c r="G80" i="89"/>
  <c r="L105" i="89"/>
  <c r="I81" i="89"/>
  <c r="S78" i="89"/>
  <c r="S75" i="89"/>
  <c r="S80" i="89" s="1"/>
  <c r="S73" i="89"/>
  <c r="O80" i="89" s="1"/>
  <c r="S72" i="89"/>
  <c r="I58" i="89"/>
  <c r="S52" i="89"/>
  <c r="S57" i="89" s="1"/>
  <c r="J18" i="89"/>
  <c r="J143" i="89" s="1"/>
  <c r="J237" i="89" s="1"/>
  <c r="H3" i="89"/>
  <c r="H357" i="89" s="1"/>
  <c r="B626" i="89"/>
  <c r="A626" i="89"/>
  <c r="B625" i="89"/>
  <c r="T624" i="89"/>
  <c r="S624" i="89"/>
  <c r="R624" i="89"/>
  <c r="Q624" i="89"/>
  <c r="P624" i="89"/>
  <c r="O624" i="89"/>
  <c r="N624" i="89"/>
  <c r="M624" i="89"/>
  <c r="L624" i="89"/>
  <c r="I624" i="89"/>
  <c r="H624" i="89"/>
  <c r="J609" i="89"/>
  <c r="E596" i="89"/>
  <c r="G591" i="89"/>
  <c r="S582" i="89"/>
  <c r="O591" i="89" s="1"/>
  <c r="J521" i="89"/>
  <c r="E508" i="89"/>
  <c r="G503" i="89"/>
  <c r="S494" i="89"/>
  <c r="O503" i="89" s="1"/>
  <c r="J457" i="89"/>
  <c r="J545" i="89" s="1"/>
  <c r="J456" i="89"/>
  <c r="J544" i="89" s="1"/>
  <c r="J448" i="89"/>
  <c r="J624" i="89" s="1"/>
  <c r="O447" i="89"/>
  <c r="S496" i="89" s="1"/>
  <c r="L447" i="89"/>
  <c r="L535" i="89" s="1"/>
  <c r="J447" i="89"/>
  <c r="S493" i="89" s="1"/>
  <c r="H447" i="89"/>
  <c r="H535" i="89" s="1"/>
  <c r="T446" i="89"/>
  <c r="D457" i="89" s="1"/>
  <c r="T445" i="89"/>
  <c r="D456" i="89" s="1"/>
  <c r="B445" i="89"/>
  <c r="B533" i="89" s="1"/>
  <c r="D444" i="89"/>
  <c r="D532" i="89" s="1"/>
  <c r="C624" i="89" s="1"/>
  <c r="B444" i="89"/>
  <c r="B532" i="89" s="1"/>
  <c r="A624" i="89" s="1"/>
  <c r="J433" i="89"/>
  <c r="E420" i="89"/>
  <c r="G415" i="89"/>
  <c r="S408" i="89"/>
  <c r="J428" i="89" s="1"/>
  <c r="S406" i="89"/>
  <c r="O415" i="89" s="1"/>
  <c r="S405" i="89"/>
  <c r="G427" i="89" s="1"/>
  <c r="O387" i="89"/>
  <c r="Q390" i="89" s="1"/>
  <c r="S380" i="89"/>
  <c r="Q380" i="89"/>
  <c r="D374" i="89"/>
  <c r="D373" i="89"/>
  <c r="H359" i="89"/>
  <c r="J303" i="89"/>
  <c r="E290" i="89"/>
  <c r="G285" i="89"/>
  <c r="S276" i="89"/>
  <c r="O285" i="89" s="1"/>
  <c r="J205" i="89"/>
  <c r="E192" i="89"/>
  <c r="G187" i="89"/>
  <c r="S178" i="89"/>
  <c r="O187" i="89" s="1"/>
  <c r="O157" i="89"/>
  <c r="O251" i="89" s="1"/>
  <c r="O385" i="89"/>
  <c r="J145" i="89"/>
  <c r="J239" i="89" s="1"/>
  <c r="J144" i="89"/>
  <c r="J238" i="89" s="1"/>
  <c r="J136" i="89"/>
  <c r="L230" i="89" s="1"/>
  <c r="O135" i="89"/>
  <c r="L135" i="89"/>
  <c r="L229" i="89" s="1"/>
  <c r="J135" i="89"/>
  <c r="H135" i="89"/>
  <c r="H229" i="89" s="1"/>
  <c r="T134" i="89"/>
  <c r="D145" i="89" s="1"/>
  <c r="T133" i="89"/>
  <c r="D144" i="89" s="1"/>
  <c r="T132" i="89"/>
  <c r="D143" i="89" s="1"/>
  <c r="H132" i="89"/>
  <c r="H226" i="89" s="1"/>
  <c r="H361" i="89" s="1"/>
  <c r="H444" i="89" s="1"/>
  <c r="H532" i="89" s="1"/>
  <c r="D226" i="89"/>
  <c r="B226" i="89"/>
  <c r="S55" i="89"/>
  <c r="S183" i="89" s="1"/>
  <c r="S50" i="89"/>
  <c r="O57" i="89" s="1"/>
  <c r="S49" i="89"/>
  <c r="O158" i="89"/>
  <c r="S26" i="89"/>
  <c r="Q26" i="89"/>
  <c r="D20" i="89"/>
  <c r="D19" i="89"/>
  <c r="D18" i="89"/>
  <c r="R5" i="89"/>
  <c r="R359" i="89" s="1"/>
  <c r="O5" i="89"/>
  <c r="O359" i="89" s="1"/>
  <c r="G5" i="89"/>
  <c r="G359" i="89" s="1"/>
  <c r="D5" i="89"/>
  <c r="D359" i="89" s="1"/>
  <c r="C5" i="89"/>
  <c r="C359" i="89" s="1"/>
  <c r="A5" i="89"/>
  <c r="A359" i="89" s="1"/>
  <c r="R4" i="89"/>
  <c r="R358" i="89" s="1"/>
  <c r="O4" i="89"/>
  <c r="O358" i="89" s="1"/>
  <c r="R3" i="89"/>
  <c r="R357" i="89" s="1"/>
  <c r="O3" i="89"/>
  <c r="O357" i="89" s="1"/>
  <c r="A357" i="89"/>
  <c r="R2" i="89"/>
  <c r="R356" i="89" s="1"/>
  <c r="O2" i="89"/>
  <c r="O356" i="89" s="1"/>
  <c r="H356" i="89"/>
  <c r="R1" i="89"/>
  <c r="R355" i="89" s="1"/>
  <c r="O1" i="89"/>
  <c r="O355" i="89" s="1"/>
  <c r="H1" i="89"/>
  <c r="H355" i="89" s="1"/>
  <c r="A355" i="89"/>
  <c r="M67" i="11"/>
  <c r="K67" i="11"/>
  <c r="I67" i="11"/>
  <c r="D68" i="11"/>
  <c r="D67" i="11"/>
  <c r="B67" i="11"/>
  <c r="A67" i="11"/>
  <c r="G5" i="88"/>
  <c r="D5" i="88"/>
  <c r="C5" i="88"/>
  <c r="A5"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105" i="170" l="1"/>
  <c r="G39" i="170"/>
  <c r="S105" i="166"/>
  <c r="G39" i="166"/>
  <c r="S210" i="158"/>
  <c r="I71" i="158"/>
  <c r="S105" i="165"/>
  <c r="G39" i="165"/>
  <c r="G39" i="167"/>
  <c r="S105" i="167"/>
  <c r="S105" i="171"/>
  <c r="G39" i="171"/>
  <c r="S105" i="168"/>
  <c r="G39" i="168"/>
  <c r="S105" i="169"/>
  <c r="G39" i="169"/>
  <c r="S177" i="89"/>
  <c r="G199" i="89" s="1"/>
  <c r="D321" i="89"/>
  <c r="Q220" i="91"/>
  <c r="S220" i="91"/>
  <c r="G405" i="91"/>
  <c r="Q226" i="91"/>
  <c r="S344" i="91"/>
  <c r="S226" i="91"/>
  <c r="Q344" i="91"/>
  <c r="I337" i="91"/>
  <c r="I349" i="91"/>
  <c r="I343" i="91"/>
  <c r="R370" i="91"/>
  <c r="Q406" i="91" s="1"/>
  <c r="Q214" i="91"/>
  <c r="S350" i="91"/>
  <c r="Q350" i="91"/>
  <c r="S338" i="91"/>
  <c r="G391" i="91"/>
  <c r="R246" i="91"/>
  <c r="Q277" i="91" s="1"/>
  <c r="I213" i="91"/>
  <c r="R245" i="91"/>
  <c r="G269" i="91" s="1"/>
  <c r="S214" i="91"/>
  <c r="I219" i="91"/>
  <c r="I225" i="91"/>
  <c r="S406" i="91"/>
  <c r="S111" i="114"/>
  <c r="G48" i="114"/>
  <c r="G49" i="114" s="1"/>
  <c r="G56" i="114" s="1"/>
  <c r="F47" i="118"/>
  <c r="R76" i="118"/>
  <c r="R202" i="118"/>
  <c r="S116" i="115"/>
  <c r="G52" i="115"/>
  <c r="G53" i="115" s="1"/>
  <c r="G60" i="115" s="1"/>
  <c r="H262" i="11"/>
  <c r="H268" i="11"/>
  <c r="C262" i="11"/>
  <c r="B268" i="11"/>
  <c r="E262" i="11"/>
  <c r="E268" i="11"/>
  <c r="F262" i="11"/>
  <c r="F268" i="11"/>
  <c r="I262" i="11"/>
  <c r="I268" i="11"/>
  <c r="L262" i="11"/>
  <c r="N262" i="11"/>
  <c r="N268" i="11"/>
  <c r="K21" i="77"/>
  <c r="J182" i="104"/>
  <c r="K156" i="104"/>
  <c r="I38" i="87"/>
  <c r="S29" i="87"/>
  <c r="M262" i="91"/>
  <c r="M276" i="91"/>
  <c r="I65" i="87"/>
  <c r="S56" i="87"/>
  <c r="F64" i="87" s="1"/>
  <c r="F47" i="91"/>
  <c r="R202" i="91"/>
  <c r="R76" i="91"/>
  <c r="G97" i="91"/>
  <c r="G104" i="91"/>
  <c r="R184" i="104"/>
  <c r="P184" i="104"/>
  <c r="S200" i="104"/>
  <c r="K205" i="104" s="1"/>
  <c r="S200" i="92"/>
  <c r="K205" i="92" s="1"/>
  <c r="R184" i="92"/>
  <c r="P184" i="92"/>
  <c r="P185" i="92" s="1"/>
  <c r="S198" i="92" s="1"/>
  <c r="J182" i="92"/>
  <c r="K156" i="92"/>
  <c r="P103" i="92"/>
  <c r="S111" i="92" s="1"/>
  <c r="F156" i="92" s="1"/>
  <c r="J304" i="91"/>
  <c r="Q59" i="91"/>
  <c r="R209" i="91"/>
  <c r="Q47" i="91"/>
  <c r="Q53" i="91" s="1"/>
  <c r="Q96" i="91"/>
  <c r="Q110" i="91"/>
  <c r="Q103" i="91"/>
  <c r="M110" i="91"/>
  <c r="M103" i="91"/>
  <c r="M96" i="91"/>
  <c r="R138" i="91"/>
  <c r="S97" i="91"/>
  <c r="Q97" i="91"/>
  <c r="S111" i="91"/>
  <c r="Q111" i="91"/>
  <c r="S104" i="91"/>
  <c r="R137" i="91"/>
  <c r="Q104" i="91"/>
  <c r="I220" i="91"/>
  <c r="I214" i="91"/>
  <c r="I226" i="91"/>
  <c r="R241" i="91"/>
  <c r="G406" i="91"/>
  <c r="G399" i="91"/>
  <c r="G392" i="91"/>
  <c r="K117" i="90"/>
  <c r="K120" i="90" s="1"/>
  <c r="J196" i="87"/>
  <c r="F37" i="87"/>
  <c r="D117" i="87"/>
  <c r="S38" i="87"/>
  <c r="P118" i="87"/>
  <c r="R118" i="87"/>
  <c r="T193" i="87"/>
  <c r="D204" i="87" s="1"/>
  <c r="T195" i="87"/>
  <c r="D206" i="87" s="1"/>
  <c r="Q38" i="87"/>
  <c r="P21" i="87"/>
  <c r="K31" i="90"/>
  <c r="K32" i="90" s="1"/>
  <c r="K74" i="90"/>
  <c r="K75" i="90" s="1"/>
  <c r="K78" i="90" s="1"/>
  <c r="D26" i="89"/>
  <c r="Q151" i="89"/>
  <c r="S151" i="89"/>
  <c r="S180" i="89"/>
  <c r="J200" i="89" s="1"/>
  <c r="O229" i="89"/>
  <c r="S278" i="89" s="1"/>
  <c r="S285" i="89" s="1"/>
  <c r="D151" i="89"/>
  <c r="O386" i="89"/>
  <c r="O469" i="89" s="1"/>
  <c r="O557" i="89" s="1"/>
  <c r="T533" i="89"/>
  <c r="D544" i="89" s="1"/>
  <c r="D624" i="89"/>
  <c r="S415" i="89"/>
  <c r="L416" i="89"/>
  <c r="F26" i="89"/>
  <c r="F151" i="89" s="1"/>
  <c r="F380" i="89" s="1"/>
  <c r="F463" i="89" s="1"/>
  <c r="F551" i="89" s="1"/>
  <c r="S463" i="89"/>
  <c r="T534" i="89"/>
  <c r="D545" i="89" s="1"/>
  <c r="Q463" i="89"/>
  <c r="J391" i="89"/>
  <c r="S410" i="89" s="1"/>
  <c r="O468" i="89"/>
  <c r="J473" i="89" s="1"/>
  <c r="J390" i="89"/>
  <c r="J161" i="89"/>
  <c r="O250" i="89"/>
  <c r="J255" i="89" s="1"/>
  <c r="T226" i="89"/>
  <c r="D237" i="89" s="1"/>
  <c r="B227" i="89"/>
  <c r="B624" i="89"/>
  <c r="A625" i="89"/>
  <c r="G515" i="89"/>
  <c r="L504" i="89"/>
  <c r="S581" i="89"/>
  <c r="F624" i="89"/>
  <c r="S503" i="89"/>
  <c r="J516" i="89"/>
  <c r="Q161" i="89"/>
  <c r="O252" i="89"/>
  <c r="Q255" i="89" s="1"/>
  <c r="J162" i="89"/>
  <c r="S275" i="89"/>
  <c r="D245" i="89"/>
  <c r="J372" i="89"/>
  <c r="S411" i="89"/>
  <c r="J199" i="89"/>
  <c r="S281" i="89"/>
  <c r="J297" i="89" s="1"/>
  <c r="T228" i="89"/>
  <c r="D239" i="89" s="1"/>
  <c r="O470" i="89"/>
  <c r="G624" i="89"/>
  <c r="E624" i="89"/>
  <c r="T227" i="89"/>
  <c r="D238" i="89" s="1"/>
  <c r="J535" i="89"/>
  <c r="O535" i="89"/>
  <c r="J229" i="89"/>
  <c r="L536" i="89"/>
  <c r="H26" i="89"/>
  <c r="H151" i="89" s="1"/>
  <c r="J204" i="87"/>
  <c r="Q65" i="87"/>
  <c r="S65" i="87"/>
  <c r="S222" i="87"/>
  <c r="K227" i="87" s="1"/>
  <c r="R206" i="87"/>
  <c r="P206" i="87"/>
  <c r="P207" i="87" s="1"/>
  <c r="S220" i="87" s="1"/>
  <c r="S62" i="87"/>
  <c r="Q64" i="87" s="1"/>
  <c r="S134" i="87"/>
  <c r="K139" i="87" s="1"/>
  <c r="S35" i="87"/>
  <c r="Q37" i="87" s="1"/>
  <c r="Q144" i="85"/>
  <c r="M144" i="85"/>
  <c r="M116" i="11" s="1"/>
  <c r="K144" i="85"/>
  <c r="K116"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118" i="80"/>
  <c r="J206" i="80" s="1"/>
  <c r="D20" i="80"/>
  <c r="J117" i="80"/>
  <c r="J205" i="80" s="1"/>
  <c r="D19" i="80"/>
  <c r="J116" i="80"/>
  <c r="D18" i="80"/>
  <c r="W13" i="80"/>
  <c r="R5" i="80"/>
  <c r="O5" i="80"/>
  <c r="G5" i="80"/>
  <c r="D5" i="80"/>
  <c r="C5" i="80"/>
  <c r="A5" i="80"/>
  <c r="R4" i="80"/>
  <c r="O4" i="80"/>
  <c r="R3" i="80"/>
  <c r="O3" i="80"/>
  <c r="H3" i="80"/>
  <c r="R2" i="80"/>
  <c r="O2" i="80"/>
  <c r="H2" i="80"/>
  <c r="R1" i="80"/>
  <c r="O1" i="80"/>
  <c r="H1" i="80"/>
  <c r="O98" i="79"/>
  <c r="M98" i="79"/>
  <c r="K98" i="79"/>
  <c r="I98" i="79"/>
  <c r="G98" i="79"/>
  <c r="F98" i="79"/>
  <c r="D98" i="79"/>
  <c r="B98" i="79"/>
  <c r="A98" i="79"/>
  <c r="K58" i="11"/>
  <c r="M58" i="11"/>
  <c r="O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69" i="14"/>
  <c r="J216" i="14"/>
  <c r="R241"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233" i="14"/>
  <c r="R273"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S263" i="91" l="1"/>
  <c r="G119" i="168"/>
  <c r="S185" i="168"/>
  <c r="G199" i="168" s="1"/>
  <c r="G119" i="171"/>
  <c r="S185" i="171"/>
  <c r="G199" i="171" s="1"/>
  <c r="G119" i="169"/>
  <c r="S185" i="169"/>
  <c r="G199" i="169" s="1"/>
  <c r="S185" i="165"/>
  <c r="G199" i="165" s="1"/>
  <c r="G119" i="165"/>
  <c r="I224" i="158"/>
  <c r="S338" i="158"/>
  <c r="I352" i="158" s="1"/>
  <c r="G119" i="167"/>
  <c r="S185" i="167"/>
  <c r="G199" i="167" s="1"/>
  <c r="S185" i="166"/>
  <c r="G199" i="166" s="1"/>
  <c r="G119" i="166"/>
  <c r="S185" i="170"/>
  <c r="G199" i="170" s="1"/>
  <c r="G119" i="170"/>
  <c r="S277" i="91"/>
  <c r="S392" i="91"/>
  <c r="Q392" i="91"/>
  <c r="Q263" i="91"/>
  <c r="L188" i="89"/>
  <c r="S270" i="91"/>
  <c r="Q399" i="91"/>
  <c r="S399" i="91"/>
  <c r="Q270" i="91"/>
  <c r="G276" i="91"/>
  <c r="G262" i="91"/>
  <c r="G137" i="115"/>
  <c r="G138" i="115" s="1"/>
  <c r="G145" i="115" s="1"/>
  <c r="S204" i="115"/>
  <c r="G225" i="115" s="1"/>
  <c r="G226" i="115" s="1"/>
  <c r="G233" i="115" s="1"/>
  <c r="R322" i="118"/>
  <c r="R242" i="118"/>
  <c r="D262" i="118" s="1"/>
  <c r="F213" i="118"/>
  <c r="D96" i="118"/>
  <c r="R135" i="118"/>
  <c r="F144" i="118" s="1"/>
  <c r="G132" i="114"/>
  <c r="G133" i="114" s="1"/>
  <c r="G140" i="114" s="1"/>
  <c r="S199" i="114"/>
  <c r="G220" i="114" s="1"/>
  <c r="G221" i="114" s="1"/>
  <c r="G228" i="114" s="1"/>
  <c r="I38" i="80"/>
  <c r="S29" i="80"/>
  <c r="F37" i="80" s="1"/>
  <c r="I64" i="80"/>
  <c r="S55" i="80"/>
  <c r="F63" i="80" s="1"/>
  <c r="R135" i="91"/>
  <c r="F144" i="91" s="1"/>
  <c r="D96" i="91"/>
  <c r="F213" i="91"/>
  <c r="R322" i="91"/>
  <c r="R242" i="91"/>
  <c r="D262" i="91" s="1"/>
  <c r="P185" i="104"/>
  <c r="S198" i="104" s="1"/>
  <c r="J230" i="92"/>
  <c r="O205" i="92"/>
  <c r="E206" i="92" s="1"/>
  <c r="L230" i="92" s="1"/>
  <c r="N230" i="92"/>
  <c r="M144" i="91"/>
  <c r="R141" i="91"/>
  <c r="G263" i="91"/>
  <c r="G277" i="91"/>
  <c r="G270" i="91"/>
  <c r="S145" i="91"/>
  <c r="Q145" i="91"/>
  <c r="Q213" i="91"/>
  <c r="Q219" i="91" s="1"/>
  <c r="R249" i="91"/>
  <c r="R329" i="91"/>
  <c r="Q225" i="91"/>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S61" i="80"/>
  <c r="Q63" i="80" s="1"/>
  <c r="S130" i="80"/>
  <c r="J150" i="80" s="1"/>
  <c r="S58" i="80"/>
  <c r="S64" i="80" s="1"/>
  <c r="P21" i="80"/>
  <c r="S38" i="80"/>
  <c r="S134" i="80"/>
  <c r="K139" i="80" s="1"/>
  <c r="J298" i="89"/>
  <c r="P21" i="79"/>
  <c r="S187" i="89"/>
  <c r="S245" i="89"/>
  <c r="O66" i="89"/>
  <c r="O67" i="89" s="1"/>
  <c r="S76" i="89" s="1"/>
  <c r="S77" i="89"/>
  <c r="Q245" i="89"/>
  <c r="O556" i="89"/>
  <c r="J561" i="89" s="1"/>
  <c r="F245" i="89"/>
  <c r="T361" i="89"/>
  <c r="T444" i="89" s="1"/>
  <c r="O396" i="89"/>
  <c r="O397" i="89" s="1"/>
  <c r="S409" i="89" s="1"/>
  <c r="I415" i="89" s="1"/>
  <c r="G428" i="89"/>
  <c r="D152" i="89"/>
  <c r="M154" i="89" s="1"/>
  <c r="O558" i="89"/>
  <c r="Q561" i="89" s="1"/>
  <c r="Q473" i="89"/>
  <c r="S182" i="89"/>
  <c r="O167" i="89"/>
  <c r="O168" i="89" s="1"/>
  <c r="S181" i="89" s="1"/>
  <c r="I187" i="89" s="1"/>
  <c r="G200" i="89"/>
  <c r="G202" i="89" s="1"/>
  <c r="H245" i="89"/>
  <c r="H380" i="89"/>
  <c r="H463" i="89" s="1"/>
  <c r="H551" i="89" s="1"/>
  <c r="J256" i="89"/>
  <c r="S551" i="89"/>
  <c r="Q551" i="89"/>
  <c r="S584" i="89"/>
  <c r="S499" i="89"/>
  <c r="J427" i="89"/>
  <c r="G603" i="89"/>
  <c r="L592" i="89"/>
  <c r="J474" i="89"/>
  <c r="D380" i="89"/>
  <c r="J455" i="89"/>
  <c r="G297" i="89"/>
  <c r="L286"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189" i="11" l="1"/>
  <c r="F67" i="11"/>
  <c r="R366" i="118"/>
  <c r="D391" i="118" s="1"/>
  <c r="F337" i="118"/>
  <c r="G224" i="78"/>
  <c r="G231" i="78" s="1"/>
  <c r="P192" i="78"/>
  <c r="S205" i="78" s="1"/>
  <c r="F337" i="91"/>
  <c r="R366" i="91"/>
  <c r="D391" i="91" s="1"/>
  <c r="J230" i="104"/>
  <c r="O205" i="104"/>
  <c r="E206" i="104" s="1"/>
  <c r="L230" i="104" s="1"/>
  <c r="N230" i="104"/>
  <c r="Q262" i="91"/>
  <c r="Q276" i="91"/>
  <c r="Q269" i="91"/>
  <c r="R373" i="91"/>
  <c r="Q349" i="91"/>
  <c r="Q337" i="91"/>
  <c r="Q343" i="91" s="1"/>
  <c r="I154" i="87"/>
  <c r="O139" i="87"/>
  <c r="E140" i="87" s="1"/>
  <c r="K154" i="87" s="1"/>
  <c r="M154" i="87"/>
  <c r="P65" i="85"/>
  <c r="Q64" i="84"/>
  <c r="R206" i="84"/>
  <c r="P206" i="84"/>
  <c r="G150" i="84"/>
  <c r="G151" i="84" s="1"/>
  <c r="G158" i="84" s="1"/>
  <c r="P38" i="82"/>
  <c r="S129" i="80"/>
  <c r="G150" i="80" s="1"/>
  <c r="G151" i="80" s="1"/>
  <c r="G158" i="80" s="1"/>
  <c r="Q64" i="80"/>
  <c r="I80" i="89"/>
  <c r="G430" i="89"/>
  <c r="E433" i="89" s="1"/>
  <c r="D372" i="89"/>
  <c r="D246" i="89"/>
  <c r="M248" i="89" s="1"/>
  <c r="G516" i="89"/>
  <c r="O479" i="89"/>
  <c r="O480" i="89" s="1"/>
  <c r="S497" i="89" s="1"/>
  <c r="I503" i="89" s="1"/>
  <c r="S498" i="89"/>
  <c r="J543" i="89"/>
  <c r="D551" i="89" s="1"/>
  <c r="D552" i="89" s="1"/>
  <c r="M554" i="89" s="1"/>
  <c r="D463" i="89"/>
  <c r="D464" i="89" s="1"/>
  <c r="M466" i="89" s="1"/>
  <c r="D381" i="89"/>
  <c r="M383" i="89" s="1"/>
  <c r="I205" i="89"/>
  <c r="F205" i="89"/>
  <c r="E205" i="89"/>
  <c r="S587" i="89"/>
  <c r="J603" i="89" s="1"/>
  <c r="J515" i="89"/>
  <c r="J604" i="89"/>
  <c r="S591" i="89"/>
  <c r="J562" i="89"/>
  <c r="T532" i="89"/>
  <c r="D543" i="89" s="1"/>
  <c r="D455" i="89"/>
  <c r="U624" i="89" s="1"/>
  <c r="S280" i="89"/>
  <c r="O261" i="89"/>
  <c r="O262" i="89" s="1"/>
  <c r="S279" i="89" s="1"/>
  <c r="I285" i="89" s="1"/>
  <c r="G298" i="89"/>
  <c r="G300"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217" i="80" l="1"/>
  <c r="G238" i="80" s="1"/>
  <c r="G239" i="80" s="1"/>
  <c r="G246" i="80" s="1"/>
  <c r="Q405" i="91"/>
  <c r="Q398" i="91"/>
  <c r="Q391" i="91"/>
  <c r="P81" i="85"/>
  <c r="L81" i="85"/>
  <c r="P207" i="84"/>
  <c r="S220" i="84" s="1"/>
  <c r="I433" i="89"/>
  <c r="H435" i="89" s="1"/>
  <c r="F433" i="89"/>
  <c r="H207" i="89"/>
  <c r="F55" i="78"/>
  <c r="I303" i="89"/>
  <c r="F303" i="89"/>
  <c r="E303" i="89"/>
  <c r="S586" i="89"/>
  <c r="O567" i="89"/>
  <c r="O568" i="89" s="1"/>
  <c r="S585" i="89" s="1"/>
  <c r="I591" i="89" s="1"/>
  <c r="G604" i="89"/>
  <c r="G606" i="89" s="1"/>
  <c r="G518"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F143" i="38"/>
  <c r="F144" i="38" s="1"/>
  <c r="O121" i="11"/>
  <c r="O122" i="11"/>
  <c r="N135" i="40"/>
  <c r="N252" i="11" s="1"/>
  <c r="L135" i="40"/>
  <c r="L252" i="11" s="1"/>
  <c r="I135" i="40"/>
  <c r="I252" i="11" s="1"/>
  <c r="H135" i="40"/>
  <c r="H252" i="11" s="1"/>
  <c r="F135" i="40"/>
  <c r="F252" i="11" s="1"/>
  <c r="E135" i="40"/>
  <c r="E252" i="11" s="1"/>
  <c r="C135" i="40"/>
  <c r="N134" i="40"/>
  <c r="N251" i="11" s="1"/>
  <c r="L134" i="40"/>
  <c r="L251" i="11" s="1"/>
  <c r="I134" i="40"/>
  <c r="I251" i="11" s="1"/>
  <c r="H134" i="40"/>
  <c r="H251" i="11" s="1"/>
  <c r="F134" i="40"/>
  <c r="F251" i="11" s="1"/>
  <c r="E134" i="40"/>
  <c r="E251" i="11" s="1"/>
  <c r="C134" i="40"/>
  <c r="A134" i="40"/>
  <c r="A251" i="11" s="1"/>
  <c r="D119" i="40"/>
  <c r="N110" i="40"/>
  <c r="K102" i="40"/>
  <c r="K110" i="40" s="1"/>
  <c r="D81" i="40"/>
  <c r="N72" i="40"/>
  <c r="B48" i="40"/>
  <c r="D39" i="40"/>
  <c r="N30" i="40"/>
  <c r="AG16" i="40"/>
  <c r="AG15" i="40"/>
  <c r="G5" i="40"/>
  <c r="D5" i="40"/>
  <c r="C5" i="40"/>
  <c r="A5" i="40"/>
  <c r="H3" i="40"/>
  <c r="H2" i="40"/>
  <c r="H1" i="40"/>
  <c r="O266" i="38"/>
  <c r="O79" i="11" s="1"/>
  <c r="O74" i="11" s="1"/>
  <c r="M266" i="38"/>
  <c r="M79" i="11" s="1"/>
  <c r="M74" i="11" s="1"/>
  <c r="K266" i="38"/>
  <c r="K79" i="11" s="1"/>
  <c r="K74" i="11" s="1"/>
  <c r="D266" i="38"/>
  <c r="D79" i="11" s="1"/>
  <c r="D74" i="11" s="1"/>
  <c r="D265" i="38"/>
  <c r="D78" i="11" s="1"/>
  <c r="D73" i="11" s="1"/>
  <c r="Q264" i="38"/>
  <c r="O264" i="38"/>
  <c r="M264" i="38"/>
  <c r="K264" i="38"/>
  <c r="K77" i="11" s="1"/>
  <c r="K72" i="11" s="1"/>
  <c r="J264" i="38"/>
  <c r="I264" i="38"/>
  <c r="H264" i="38"/>
  <c r="F264" i="38"/>
  <c r="D264" i="38"/>
  <c r="B264" i="38"/>
  <c r="A264" i="38"/>
  <c r="H230" i="38"/>
  <c r="H227" i="38"/>
  <c r="M227" i="38" s="1"/>
  <c r="G236" i="38" s="1"/>
  <c r="M205" i="38"/>
  <c r="S197" i="38"/>
  <c r="H205" i="38" s="1"/>
  <c r="T184" i="38"/>
  <c r="E130" i="38"/>
  <c r="S109" i="38"/>
  <c r="J161" i="38" s="1"/>
  <c r="T101" i="38"/>
  <c r="J101" i="38"/>
  <c r="J184" i="38" s="1"/>
  <c r="J100" i="38"/>
  <c r="J183" i="38" s="1"/>
  <c r="W94" i="38"/>
  <c r="J92" i="38"/>
  <c r="L175" i="38" s="1"/>
  <c r="O91" i="38"/>
  <c r="S112" i="38" s="1"/>
  <c r="S195" i="38" s="1"/>
  <c r="M224" i="38" s="1"/>
  <c r="L91" i="38"/>
  <c r="L174" i="38" s="1"/>
  <c r="S196" i="38" s="1"/>
  <c r="R224" i="38" s="1"/>
  <c r="J91" i="38"/>
  <c r="J174" i="38" s="1"/>
  <c r="H91" i="38"/>
  <c r="H174" i="38" s="1"/>
  <c r="T90" i="38"/>
  <c r="D101" i="38" s="1"/>
  <c r="T89" i="38"/>
  <c r="D100" i="38" s="1"/>
  <c r="T88" i="38"/>
  <c r="D99" i="38" s="1"/>
  <c r="H88" i="38"/>
  <c r="H171" i="38" s="1"/>
  <c r="D88" i="38"/>
  <c r="D171" i="38" s="1"/>
  <c r="B88" i="38"/>
  <c r="B171" i="38" s="1"/>
  <c r="I81" i="38"/>
  <c r="R20" i="38"/>
  <c r="P20" i="38"/>
  <c r="D20" i="38"/>
  <c r="D19" i="38"/>
  <c r="J18" i="38"/>
  <c r="K74" i="38" s="1"/>
  <c r="D18" i="38"/>
  <c r="W13" i="38"/>
  <c r="G5" i="38"/>
  <c r="D5" i="38"/>
  <c r="C5" i="38"/>
  <c r="A5" i="38"/>
  <c r="H1" i="38"/>
  <c r="M122" i="11"/>
  <c r="K122" i="11"/>
  <c r="M121" i="11"/>
  <c r="K121"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M55" i="16"/>
  <c r="K55" i="16"/>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18" i="15"/>
  <c r="J59" i="15" s="1"/>
  <c r="J100" i="15" s="1"/>
  <c r="D18" i="15"/>
  <c r="J17" i="15"/>
  <c r="J58" i="15" s="1"/>
  <c r="D17" i="15"/>
  <c r="R5" i="15"/>
  <c r="O5" i="15"/>
  <c r="G5" i="15"/>
  <c r="D5" i="15"/>
  <c r="C5" i="15"/>
  <c r="A5" i="15"/>
  <c r="R4" i="15"/>
  <c r="O4" i="15"/>
  <c r="R3" i="15"/>
  <c r="O3" i="15"/>
  <c r="H3" i="15"/>
  <c r="R2" i="15"/>
  <c r="O2" i="15"/>
  <c r="H2" i="15"/>
  <c r="R1" i="15"/>
  <c r="O1" i="15"/>
  <c r="H1" i="15"/>
  <c r="O631" i="14"/>
  <c r="O59" i="11" s="1"/>
  <c r="M631" i="14"/>
  <c r="K631" i="14"/>
  <c r="D631" i="14"/>
  <c r="D59" i="11" s="1"/>
  <c r="D630" i="14"/>
  <c r="Q57" i="11"/>
  <c r="O629" i="14"/>
  <c r="O57" i="11" s="1"/>
  <c r="M629" i="14"/>
  <c r="M57" i="11" s="1"/>
  <c r="K629" i="14"/>
  <c r="K57" i="11" s="1"/>
  <c r="I629" i="14"/>
  <c r="I57" i="11" s="1"/>
  <c r="H629" i="14"/>
  <c r="G629" i="14"/>
  <c r="F629" i="14"/>
  <c r="F57" i="11" s="1"/>
  <c r="D629" i="14"/>
  <c r="D57" i="11" s="1"/>
  <c r="B629" i="14"/>
  <c r="B57" i="11" s="1"/>
  <c r="A629" i="14"/>
  <c r="A57" i="11" s="1"/>
  <c r="E615" i="14"/>
  <c r="T612" i="14"/>
  <c r="R569" i="14"/>
  <c r="M603" i="14" s="1"/>
  <c r="R525" i="14"/>
  <c r="M547" i="14" s="1"/>
  <c r="E481" i="14"/>
  <c r="T478" i="14"/>
  <c r="R398" i="14"/>
  <c r="J376" i="14"/>
  <c r="J504" i="14" s="1"/>
  <c r="J375" i="14"/>
  <c r="J503" i="14" s="1"/>
  <c r="J367" i="14"/>
  <c r="L490" i="14" s="1"/>
  <c r="O366" i="14"/>
  <c r="O489" i="14" s="1"/>
  <c r="L366" i="14"/>
  <c r="L489" i="14" s="1"/>
  <c r="M608" i="14" s="1"/>
  <c r="J366" i="14"/>
  <c r="M474" i="14" s="1"/>
  <c r="H366" i="14"/>
  <c r="H489" i="14" s="1"/>
  <c r="T365" i="14"/>
  <c r="T488" i="14" s="1"/>
  <c r="D504" i="14" s="1"/>
  <c r="T364" i="14"/>
  <c r="T487" i="14" s="1"/>
  <c r="D503" i="14" s="1"/>
  <c r="B487" i="14"/>
  <c r="T363" i="14"/>
  <c r="T486" i="14" s="1"/>
  <c r="D502" i="14" s="1"/>
  <c r="H363" i="14"/>
  <c r="H486" i="14" s="1"/>
  <c r="F363" i="14"/>
  <c r="F486" i="14" s="1"/>
  <c r="D363" i="14"/>
  <c r="D486" i="14" s="1"/>
  <c r="B363" i="14"/>
  <c r="B486" i="14" s="1"/>
  <c r="E320" i="14"/>
  <c r="T317" i="14"/>
  <c r="M313" i="14"/>
  <c r="R239" i="14"/>
  <c r="R279" i="14" s="1"/>
  <c r="R238" i="14"/>
  <c r="R397" i="14" s="1"/>
  <c r="R237" i="14"/>
  <c r="I257" i="14" s="1"/>
  <c r="I258" i="14"/>
  <c r="T218" i="14"/>
  <c r="R218" i="14"/>
  <c r="J374" i="14"/>
  <c r="D216" i="14"/>
  <c r="Q141" i="13"/>
  <c r="Q132" i="13"/>
  <c r="P131" i="13"/>
  <c r="Q117" i="13"/>
  <c r="Q111" i="13"/>
  <c r="P110" i="13"/>
  <c r="Q101" i="13"/>
  <c r="Q91" i="13"/>
  <c r="P90" i="13"/>
  <c r="Q76" i="13"/>
  <c r="Q70" i="13"/>
  <c r="P69" i="13"/>
  <c r="Q59" i="13"/>
  <c r="Q58" i="13"/>
  <c r="I38" i="13"/>
  <c r="Q35" i="13"/>
  <c r="Q34" i="13"/>
  <c r="O27" i="13"/>
  <c r="O29" i="13" s="1"/>
  <c r="L27" i="13"/>
  <c r="L29" i="13" s="1"/>
  <c r="O26" i="13"/>
  <c r="O28" i="13" s="1"/>
  <c r="L26" i="13"/>
  <c r="R5" i="13"/>
  <c r="O5" i="13"/>
  <c r="G5" i="13"/>
  <c r="D5" i="13"/>
  <c r="C5" i="13"/>
  <c r="A5" i="13"/>
  <c r="R4" i="13"/>
  <c r="O4" i="13"/>
  <c r="R3" i="13"/>
  <c r="O3" i="13"/>
  <c r="H3" i="13"/>
  <c r="R2" i="13"/>
  <c r="O2" i="13"/>
  <c r="H2" i="13"/>
  <c r="R1" i="13"/>
  <c r="O1" i="13"/>
  <c r="H1" i="13"/>
  <c r="G259" i="11"/>
  <c r="Z86" i="11"/>
  <c r="O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340" i="8"/>
  <c r="K340" i="8"/>
  <c r="Q339" i="8"/>
  <c r="M339" i="8"/>
  <c r="K339" i="8"/>
  <c r="H339" i="8"/>
  <c r="G339" i="8"/>
  <c r="S312" i="8"/>
  <c r="K319" i="8" s="1"/>
  <c r="T303" i="8"/>
  <c r="S272" i="8"/>
  <c r="K279" i="8" s="1"/>
  <c r="S266" i="8"/>
  <c r="G275" i="8" s="1"/>
  <c r="T263" i="8"/>
  <c r="K253" i="8"/>
  <c r="S271" i="8" s="1"/>
  <c r="G279" i="8" s="1"/>
  <c r="J253" i="8"/>
  <c r="L294" i="8" s="1"/>
  <c r="I339" i="8" s="1"/>
  <c r="T252" i="8"/>
  <c r="D262" i="8" s="1"/>
  <c r="O252" i="8"/>
  <c r="S270" i="8" s="1"/>
  <c r="L252" i="8"/>
  <c r="L293" i="8" s="1"/>
  <c r="J252" i="8"/>
  <c r="S267" i="8" s="1"/>
  <c r="J275" i="8" s="1"/>
  <c r="H252" i="8"/>
  <c r="H293" i="8" s="1"/>
  <c r="D339" i="8" s="1"/>
  <c r="T251" i="8"/>
  <c r="D261" i="8" s="1"/>
  <c r="T250" i="8"/>
  <c r="D260" i="8" s="1"/>
  <c r="B250" i="8"/>
  <c r="B291" i="8" s="1"/>
  <c r="T249" i="8"/>
  <c r="T290" i="8" s="1"/>
  <c r="D300" i="8" s="1"/>
  <c r="H249" i="8"/>
  <c r="H290" i="8" s="1"/>
  <c r="D249" i="8"/>
  <c r="D290" i="8" s="1"/>
  <c r="B339" i="8" s="1"/>
  <c r="B249" i="8"/>
  <c r="B290" i="8" s="1"/>
  <c r="A339" i="8" s="1"/>
  <c r="G234" i="8"/>
  <c r="S231" i="8"/>
  <c r="K238" i="8" s="1"/>
  <c r="S230" i="8"/>
  <c r="G238" i="8" s="1"/>
  <c r="S229" i="8"/>
  <c r="S226" i="8"/>
  <c r="J234" i="8" s="1"/>
  <c r="T222" i="8"/>
  <c r="R222" i="8"/>
  <c r="P222" i="8"/>
  <c r="J261" i="8"/>
  <c r="J302" i="8" s="1"/>
  <c r="D220" i="8"/>
  <c r="J260" i="8"/>
  <c r="J301" i="8" s="1"/>
  <c r="D219" i="8"/>
  <c r="J218" i="8"/>
  <c r="J259" i="8" s="1"/>
  <c r="D218" i="8"/>
  <c r="B575" i="7"/>
  <c r="A575" i="7"/>
  <c r="B574" i="7"/>
  <c r="T573" i="7"/>
  <c r="S573" i="7"/>
  <c r="R573" i="7"/>
  <c r="Q573" i="7"/>
  <c r="P573" i="7"/>
  <c r="O573" i="7"/>
  <c r="N573" i="7"/>
  <c r="M573" i="7"/>
  <c r="L573" i="7"/>
  <c r="I573" i="7"/>
  <c r="H573" i="7"/>
  <c r="E548" i="7"/>
  <c r="S531" i="7"/>
  <c r="J542" i="7" s="1"/>
  <c r="E460" i="7"/>
  <c r="S443" i="7"/>
  <c r="J454" i="7" s="1"/>
  <c r="J406" i="7"/>
  <c r="J494" i="7" s="1"/>
  <c r="J405" i="7"/>
  <c r="J493" i="7" s="1"/>
  <c r="J397" i="7"/>
  <c r="J573" i="7" s="1"/>
  <c r="O396" i="7"/>
  <c r="Q412" i="7" s="1"/>
  <c r="L396" i="7"/>
  <c r="L484" i="7" s="1"/>
  <c r="J396" i="7"/>
  <c r="S442" i="7" s="1"/>
  <c r="H396" i="7"/>
  <c r="D573" i="7" s="1"/>
  <c r="T395" i="7"/>
  <c r="D406" i="7" s="1"/>
  <c r="T394" i="7"/>
  <c r="D405" i="7" s="1"/>
  <c r="B394" i="7"/>
  <c r="B482" i="7" s="1"/>
  <c r="D393" i="7"/>
  <c r="D481" i="7" s="1"/>
  <c r="C573" i="7" s="1"/>
  <c r="B393" i="7"/>
  <c r="B481" i="7" s="1"/>
  <c r="A573" i="7" s="1"/>
  <c r="E372" i="7"/>
  <c r="S355" i="7"/>
  <c r="J366" i="7" s="1"/>
  <c r="S354" i="7"/>
  <c r="O336" i="7"/>
  <c r="O419" i="7" s="1"/>
  <c r="S329" i="7"/>
  <c r="Q329" i="7"/>
  <c r="D323" i="7"/>
  <c r="D322" i="7"/>
  <c r="H308" i="7"/>
  <c r="A306" i="7"/>
  <c r="A304" i="7"/>
  <c r="D267" i="7"/>
  <c r="D157" i="11" s="1"/>
  <c r="O266" i="7"/>
  <c r="O156" i="11" s="1"/>
  <c r="M266" i="7"/>
  <c r="M156" i="11" s="1"/>
  <c r="K266" i="7"/>
  <c r="K156" i="11" s="1"/>
  <c r="D266" i="7"/>
  <c r="D156" i="11" s="1"/>
  <c r="Q265" i="7"/>
  <c r="Q155" i="11" s="1"/>
  <c r="O265" i="7"/>
  <c r="O155" i="11" s="1"/>
  <c r="M265" i="7"/>
  <c r="M155" i="11" s="1"/>
  <c r="K265" i="7"/>
  <c r="K155" i="11" s="1"/>
  <c r="I265" i="7"/>
  <c r="I155" i="11" s="1"/>
  <c r="H265" i="7"/>
  <c r="H155" i="11" s="1"/>
  <c r="G265" i="7"/>
  <c r="G155" i="11" s="1"/>
  <c r="F265" i="7"/>
  <c r="F155" i="11" s="1"/>
  <c r="D265" i="7"/>
  <c r="D155" i="11" s="1"/>
  <c r="B265" i="7"/>
  <c r="B155" i="11" s="1"/>
  <c r="A265" i="7"/>
  <c r="A155" i="11" s="1"/>
  <c r="E238" i="7"/>
  <c r="S221" i="7"/>
  <c r="J232" i="7" s="1"/>
  <c r="E153" i="7"/>
  <c r="S136" i="7"/>
  <c r="J147" i="7" s="1"/>
  <c r="O115" i="7"/>
  <c r="Q118" i="7" s="1"/>
  <c r="O114" i="7"/>
  <c r="O335" i="7" s="1"/>
  <c r="O418" i="7" s="1"/>
  <c r="O506"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10" i="7" s="1"/>
  <c r="H393" i="7" s="1"/>
  <c r="H481" i="7" s="1"/>
  <c r="D89" i="7"/>
  <c r="D171" i="7" s="1"/>
  <c r="B89" i="7"/>
  <c r="B171" i="7" s="1"/>
  <c r="E71" i="7"/>
  <c r="S58" i="7"/>
  <c r="S359" i="7" s="1"/>
  <c r="S447" i="7" s="1"/>
  <c r="S535" i="7" s="1"/>
  <c r="S54" i="7"/>
  <c r="J65" i="7" s="1"/>
  <c r="S53" i="7"/>
  <c r="J37" i="7"/>
  <c r="O42" i="7" s="1"/>
  <c r="O43" i="7" s="1"/>
  <c r="Q36" i="7"/>
  <c r="J36" i="7"/>
  <c r="S26" i="7"/>
  <c r="Q26" i="7"/>
  <c r="D20" i="7"/>
  <c r="D19" i="7"/>
  <c r="J18" i="7"/>
  <c r="J100" i="7" s="1"/>
  <c r="D108" i="7" s="1"/>
  <c r="D18" i="7"/>
  <c r="R5" i="7"/>
  <c r="R308" i="7" s="1"/>
  <c r="O5" i="7"/>
  <c r="O308" i="7" s="1"/>
  <c r="G5" i="7"/>
  <c r="G308" i="7" s="1"/>
  <c r="D5" i="7"/>
  <c r="D308" i="7" s="1"/>
  <c r="C5" i="7"/>
  <c r="C308" i="7" s="1"/>
  <c r="A5" i="7"/>
  <c r="A308" i="7" s="1"/>
  <c r="R4" i="7"/>
  <c r="R307" i="7" s="1"/>
  <c r="O4" i="7"/>
  <c r="O307" i="7" s="1"/>
  <c r="R3" i="7"/>
  <c r="R306" i="7" s="1"/>
  <c r="O3" i="7"/>
  <c r="O306" i="7" s="1"/>
  <c r="H3" i="7"/>
  <c r="H306" i="7" s="1"/>
  <c r="R2" i="7"/>
  <c r="R305" i="7" s="1"/>
  <c r="O2" i="7"/>
  <c r="O305" i="7" s="1"/>
  <c r="H2" i="7"/>
  <c r="H305" i="7" s="1"/>
  <c r="R1" i="7"/>
  <c r="R304" i="7" s="1"/>
  <c r="O1" i="7"/>
  <c r="O304" i="7" s="1"/>
  <c r="H1" i="7"/>
  <c r="H304" i="7" s="1"/>
  <c r="B1046" i="6"/>
  <c r="A1046" i="6"/>
  <c r="B1045" i="6"/>
  <c r="T1044" i="6"/>
  <c r="S1044" i="6"/>
  <c r="R1044" i="6"/>
  <c r="Q1044" i="6"/>
  <c r="P1044" i="6"/>
  <c r="O1044" i="6"/>
  <c r="N1044" i="6"/>
  <c r="M1044" i="6"/>
  <c r="L1044" i="6"/>
  <c r="I1044" i="6"/>
  <c r="H1044" i="6"/>
  <c r="E1006" i="6"/>
  <c r="T1002" i="6"/>
  <c r="R975" i="6"/>
  <c r="M979" i="6" s="1"/>
  <c r="E874" i="6"/>
  <c r="T870" i="6"/>
  <c r="R843" i="6"/>
  <c r="M847" i="6" s="1"/>
  <c r="M832" i="6"/>
  <c r="J789" i="6"/>
  <c r="J921" i="6" s="1"/>
  <c r="J788" i="6"/>
  <c r="J920" i="6" s="1"/>
  <c r="J780" i="6"/>
  <c r="L912" i="6" s="1"/>
  <c r="O779" i="6"/>
  <c r="O911" i="6" s="1"/>
  <c r="L779" i="6"/>
  <c r="L911" i="6" s="1"/>
  <c r="J779" i="6"/>
  <c r="J911" i="6" s="1"/>
  <c r="H779" i="6"/>
  <c r="H911" i="6" s="1"/>
  <c r="T778" i="6"/>
  <c r="D789" i="6" s="1"/>
  <c r="T777" i="6"/>
  <c r="T909" i="6" s="1"/>
  <c r="D920" i="6" s="1"/>
  <c r="B777" i="6"/>
  <c r="B909" i="6" s="1"/>
  <c r="D776" i="6"/>
  <c r="D908" i="6" s="1"/>
  <c r="C1044" i="6" s="1"/>
  <c r="B776" i="6"/>
  <c r="B908" i="6" s="1"/>
  <c r="A1044" i="6" s="1"/>
  <c r="E742" i="6"/>
  <c r="T738" i="6"/>
  <c r="H728" i="6"/>
  <c r="R711" i="6"/>
  <c r="M715" i="6" s="1"/>
  <c r="R710" i="6"/>
  <c r="S721" i="6" s="1"/>
  <c r="R709" i="6"/>
  <c r="I725" i="6" s="1"/>
  <c r="R707" i="6"/>
  <c r="F725" i="6" s="1"/>
  <c r="R703" i="6"/>
  <c r="I721" i="6" s="1"/>
  <c r="P669" i="6"/>
  <c r="Q672" i="6" s="1"/>
  <c r="T663" i="6"/>
  <c r="R663" i="6"/>
  <c r="D662" i="6"/>
  <c r="D661" i="6"/>
  <c r="H647" i="6"/>
  <c r="A645" i="6"/>
  <c r="A643" i="6"/>
  <c r="O611" i="6"/>
  <c r="O88" i="11" s="1"/>
  <c r="M611" i="6"/>
  <c r="M88" i="11" s="1"/>
  <c r="K611" i="6"/>
  <c r="K88" i="11" s="1"/>
  <c r="D611" i="6"/>
  <c r="D88" i="11" s="1"/>
  <c r="D610" i="6"/>
  <c r="D87" i="11" s="1"/>
  <c r="O609" i="6"/>
  <c r="O86" i="11" s="1"/>
  <c r="M609" i="6"/>
  <c r="M86" i="11" s="1"/>
  <c r="K609" i="6"/>
  <c r="K86" i="11" s="1"/>
  <c r="I609" i="6"/>
  <c r="I86" i="11" s="1"/>
  <c r="H609" i="6"/>
  <c r="G609" i="6"/>
  <c r="F609" i="6"/>
  <c r="F86" i="11" s="1"/>
  <c r="D609" i="6"/>
  <c r="D86" i="11" s="1"/>
  <c r="B609" i="6"/>
  <c r="B86" i="11" s="1"/>
  <c r="A609" i="6"/>
  <c r="A86" i="11" s="1"/>
  <c r="E570" i="6"/>
  <c r="T566" i="6"/>
  <c r="R539" i="6"/>
  <c r="M553" i="6" s="1"/>
  <c r="L476" i="6"/>
  <c r="E442" i="6"/>
  <c r="T438" i="6"/>
  <c r="R404" i="6"/>
  <c r="M413" i="6" s="1"/>
  <c r="P491" i="6"/>
  <c r="P490" i="6"/>
  <c r="J485" i="6"/>
  <c r="J484" i="6"/>
  <c r="O475" i="6"/>
  <c r="L475" i="6"/>
  <c r="R531" i="6" s="1"/>
  <c r="J475" i="6"/>
  <c r="H475" i="6"/>
  <c r="T474" i="6"/>
  <c r="D485" i="6" s="1"/>
  <c r="B473" i="6"/>
  <c r="T649" i="6"/>
  <c r="H472" i="6"/>
  <c r="H649" i="6" s="1"/>
  <c r="H776" i="6" s="1"/>
  <c r="H908" i="6" s="1"/>
  <c r="D472" i="6"/>
  <c r="B472" i="6"/>
  <c r="R403" i="6"/>
  <c r="R647" i="6"/>
  <c r="O647" i="6"/>
  <c r="G5" i="6"/>
  <c r="G647" i="6" s="1"/>
  <c r="D5" i="6"/>
  <c r="D647" i="6" s="1"/>
  <c r="C5" i="6"/>
  <c r="C647" i="6" s="1"/>
  <c r="A5" i="6"/>
  <c r="A647" i="6" s="1"/>
  <c r="R646" i="6"/>
  <c r="O646" i="6"/>
  <c r="R645" i="6"/>
  <c r="O645" i="6"/>
  <c r="H3" i="6"/>
  <c r="H645" i="6" s="1"/>
  <c r="R644" i="6"/>
  <c r="O644" i="6"/>
  <c r="H2" i="6"/>
  <c r="H644" i="6" s="1"/>
  <c r="R643" i="6"/>
  <c r="O643" i="6"/>
  <c r="H1" i="6"/>
  <c r="H643" i="6" s="1"/>
  <c r="AC150" i="4"/>
  <c r="AB150" i="4"/>
  <c r="AB104" i="4"/>
  <c r="S61" i="4"/>
  <c r="S62" i="4" s="1"/>
  <c r="X15" i="4"/>
  <c r="S16" i="4"/>
  <c r="R5" i="4"/>
  <c r="O5" i="4"/>
  <c r="G5" i="4"/>
  <c r="D5" i="4"/>
  <c r="C5" i="4"/>
  <c r="A5" i="4"/>
  <c r="R4" i="4"/>
  <c r="O4" i="4"/>
  <c r="R3" i="4"/>
  <c r="O3" i="4"/>
  <c r="H3" i="4"/>
  <c r="R2" i="4"/>
  <c r="O2" i="4"/>
  <c r="H2" i="4"/>
  <c r="O1" i="4"/>
  <c r="H1" i="4"/>
  <c r="G5" i="3"/>
  <c r="D5" i="3"/>
  <c r="C5" i="3"/>
  <c r="A5" i="3"/>
  <c r="H3" i="3"/>
  <c r="H2" i="3"/>
  <c r="H1" i="3"/>
  <c r="R5" i="2"/>
  <c r="O5" i="2"/>
  <c r="G5" i="2"/>
  <c r="D5" i="2"/>
  <c r="C5" i="2"/>
  <c r="A5" i="2"/>
  <c r="R4" i="2"/>
  <c r="O4" i="2"/>
  <c r="R3" i="2"/>
  <c r="O3" i="2"/>
  <c r="H3" i="2"/>
  <c r="R2" i="2"/>
  <c r="O2" i="2"/>
  <c r="H2" i="2"/>
  <c r="R1" i="2"/>
  <c r="O1" i="2"/>
  <c r="H1" i="2"/>
  <c r="P37" i="1"/>
  <c r="E17" i="1"/>
  <c r="S57" i="7" l="1"/>
  <c r="F65" i="7" s="1"/>
  <c r="K59" i="11"/>
  <c r="A77" i="11"/>
  <c r="A72" i="11" s="1"/>
  <c r="D77" i="11"/>
  <c r="D72" i="11" s="1"/>
  <c r="P21" i="38"/>
  <c r="S29" i="38" s="1"/>
  <c r="F74" i="38" s="1"/>
  <c r="F77" i="11"/>
  <c r="F72" i="11" s="1"/>
  <c r="M77" i="11"/>
  <c r="M72" i="11" s="1"/>
  <c r="I77" i="11"/>
  <c r="I72" i="11" s="1"/>
  <c r="O77" i="11"/>
  <c r="O72" i="11" s="1"/>
  <c r="Q77" i="11"/>
  <c r="Q72" i="11" s="1"/>
  <c r="P492" i="6"/>
  <c r="Q495" i="6" s="1"/>
  <c r="M596" i="14"/>
  <c r="S23" i="4"/>
  <c r="S24" i="4" s="1"/>
  <c r="S50" i="4"/>
  <c r="S51" i="4" s="1"/>
  <c r="S52" i="4" s="1"/>
  <c r="S40" i="4"/>
  <c r="S41" i="4" s="1"/>
  <c r="S42" i="4" s="1"/>
  <c r="S34" i="4"/>
  <c r="S35" i="4" s="1"/>
  <c r="S36" i="4" s="1"/>
  <c r="J21" i="167" s="1"/>
  <c r="S28" i="4"/>
  <c r="S29" i="4" s="1"/>
  <c r="S30" i="4" s="1"/>
  <c r="J21" i="166" s="1"/>
  <c r="S69" i="4"/>
  <c r="S94" i="4"/>
  <c r="S95" i="4" s="1"/>
  <c r="S89" i="4"/>
  <c r="S90" i="4" s="1"/>
  <c r="S78" i="4"/>
  <c r="S79" i="4" s="1"/>
  <c r="S73" i="4"/>
  <c r="S74" i="4" s="1"/>
  <c r="S135" i="7"/>
  <c r="Q60" i="13"/>
  <c r="L95" i="118" s="1"/>
  <c r="D374" i="14"/>
  <c r="L28" i="13"/>
  <c r="P50" i="13" s="1"/>
  <c r="J51" i="13" s="1"/>
  <c r="S68" i="4"/>
  <c r="O227" i="84"/>
  <c r="E228" i="84" s="1"/>
  <c r="K242" i="84" s="1"/>
  <c r="M242" i="84"/>
  <c r="I242" i="84"/>
  <c r="H305" i="89"/>
  <c r="I521" i="89"/>
  <c r="F521" i="89"/>
  <c r="E521" i="89"/>
  <c r="I609" i="89"/>
  <c r="E609" i="89"/>
  <c r="F609" i="89"/>
  <c r="O227" i="80"/>
  <c r="E228" i="80" s="1"/>
  <c r="K242" i="80" s="1"/>
  <c r="M242" i="80"/>
  <c r="I242" i="80"/>
  <c r="O197" i="7"/>
  <c r="Q200" i="7" s="1"/>
  <c r="T482" i="7"/>
  <c r="D493" i="7" s="1"/>
  <c r="R377" i="14"/>
  <c r="O196" i="7"/>
  <c r="J119" i="7"/>
  <c r="O124" i="7" s="1"/>
  <c r="O125" i="7" s="1"/>
  <c r="T377" i="14"/>
  <c r="T483" i="7"/>
  <c r="D494" i="7" s="1"/>
  <c r="D102" i="7"/>
  <c r="F573" i="7"/>
  <c r="S530" i="7"/>
  <c r="D58" i="11"/>
  <c r="P22" i="16"/>
  <c r="P38" i="16" s="1"/>
  <c r="S43" i="4"/>
  <c r="M59" i="11"/>
  <c r="H484" i="7"/>
  <c r="J484" i="7"/>
  <c r="M589" i="14"/>
  <c r="M69" i="13"/>
  <c r="Q38" i="13"/>
  <c r="E51" i="13" s="1"/>
  <c r="D375" i="14"/>
  <c r="E573" i="7"/>
  <c r="S107" i="38"/>
  <c r="G140" i="78"/>
  <c r="D143" i="78" s="1"/>
  <c r="F142" i="78" s="1"/>
  <c r="G232" i="78"/>
  <c r="W184" i="78" s="1"/>
  <c r="F231" i="78"/>
  <c r="R519" i="14"/>
  <c r="I548" i="14" s="1"/>
  <c r="R234" i="14"/>
  <c r="R392" i="14"/>
  <c r="I417" i="14" s="1"/>
  <c r="J489" i="14"/>
  <c r="R790" i="6"/>
  <c r="R835" i="6"/>
  <c r="I853" i="6" s="1"/>
  <c r="T790" i="6"/>
  <c r="M984" i="6"/>
  <c r="M989" i="6"/>
  <c r="F1044" i="6"/>
  <c r="R967" i="6"/>
  <c r="I990" i="6" s="1"/>
  <c r="I716" i="6"/>
  <c r="T910" i="6"/>
  <c r="D921" i="6" s="1"/>
  <c r="M725" i="6"/>
  <c r="M857" i="6"/>
  <c r="I414" i="6"/>
  <c r="M418" i="6"/>
  <c r="I720" i="6"/>
  <c r="T473" i="6"/>
  <c r="D484" i="6" s="1"/>
  <c r="G1044" i="6"/>
  <c r="M543" i="6"/>
  <c r="D788" i="6"/>
  <c r="Q609" i="6"/>
  <c r="Q86" i="11" s="1"/>
  <c r="M548" i="6"/>
  <c r="M408" i="6"/>
  <c r="K112" i="76"/>
  <c r="K113" i="76" s="1"/>
  <c r="K116" i="76" s="1"/>
  <c r="E50" i="38"/>
  <c r="P101" i="38"/>
  <c r="R101" i="38"/>
  <c r="P68" i="17"/>
  <c r="T89" i="15"/>
  <c r="D99" i="15" s="1"/>
  <c r="T91" i="15"/>
  <c r="D101" i="15" s="1"/>
  <c r="P22" i="15"/>
  <c r="S26" i="15" s="1"/>
  <c r="I37" i="15" s="1"/>
  <c r="T90" i="15"/>
  <c r="D100" i="15" s="1"/>
  <c r="J92" i="15"/>
  <c r="O92" i="15"/>
  <c r="R102" i="15" s="1"/>
  <c r="P68" i="10"/>
  <c r="P22" i="9"/>
  <c r="P38" i="9" s="1"/>
  <c r="J98" i="9"/>
  <c r="D145" i="9" s="1"/>
  <c r="P64" i="9"/>
  <c r="M294" i="8"/>
  <c r="J339" i="8" s="1"/>
  <c r="P263" i="8"/>
  <c r="S306" i="8"/>
  <c r="G315" i="8" s="1"/>
  <c r="D259" i="8"/>
  <c r="G235" i="8"/>
  <c r="G242" i="8" s="1"/>
  <c r="R263" i="8"/>
  <c r="P223" i="8"/>
  <c r="S227" i="8" s="1"/>
  <c r="I238" i="8" s="1"/>
  <c r="K111" i="40"/>
  <c r="K114" i="40" s="1"/>
  <c r="K141" i="38"/>
  <c r="P81" i="13"/>
  <c r="R122" i="13"/>
  <c r="Q726" i="6"/>
  <c r="S726" i="6"/>
  <c r="D26" i="7"/>
  <c r="R406" i="6"/>
  <c r="Q418" i="6" s="1"/>
  <c r="H26" i="7"/>
  <c r="H108" i="7" s="1"/>
  <c r="H190" i="7" s="1"/>
  <c r="S140" i="7"/>
  <c r="S225" i="7" s="1"/>
  <c r="I251" i="14"/>
  <c r="R281" i="14"/>
  <c r="J182" i="7"/>
  <c r="J321" i="7" s="1"/>
  <c r="D329" i="7" s="1"/>
  <c r="S716" i="6"/>
  <c r="J99" i="38"/>
  <c r="J182" i="38" s="1"/>
  <c r="Q716" i="6"/>
  <c r="S22" i="4"/>
  <c r="R842" i="6"/>
  <c r="Q853" i="6" s="1"/>
  <c r="F418" i="6"/>
  <c r="R535" i="6"/>
  <c r="F553" i="6" s="1"/>
  <c r="S190" i="7"/>
  <c r="Q190" i="7"/>
  <c r="A1045" i="6"/>
  <c r="B1044" i="6"/>
  <c r="T776" i="6"/>
  <c r="D660" i="6"/>
  <c r="J495" i="6"/>
  <c r="R973" i="6"/>
  <c r="T922" i="6"/>
  <c r="R922" i="6"/>
  <c r="J300" i="8"/>
  <c r="Z23" i="4"/>
  <c r="X23" i="4"/>
  <c r="I549" i="6"/>
  <c r="M560" i="6"/>
  <c r="I554" i="6"/>
  <c r="I544" i="6"/>
  <c r="J200" i="7"/>
  <c r="O507" i="7"/>
  <c r="Q510" i="7" s="1"/>
  <c r="Q422" i="7"/>
  <c r="R537" i="6"/>
  <c r="T486" i="6"/>
  <c r="R486" i="6"/>
  <c r="G276" i="8"/>
  <c r="G283" i="8" s="1"/>
  <c r="Q414" i="6"/>
  <c r="R538" i="6"/>
  <c r="S419" i="6"/>
  <c r="Q419" i="6"/>
  <c r="S409" i="6"/>
  <c r="Q409" i="6"/>
  <c r="S414" i="6"/>
  <c r="A574" i="7"/>
  <c r="B573" i="7"/>
  <c r="Q339" i="7"/>
  <c r="T291" i="8"/>
  <c r="D301" i="8" s="1"/>
  <c r="P22" i="10"/>
  <c r="I726" i="6"/>
  <c r="T292" i="8"/>
  <c r="D302" i="8" s="1"/>
  <c r="J262" i="8"/>
  <c r="M964" i="6"/>
  <c r="S105" i="15"/>
  <c r="G114" i="15" s="1"/>
  <c r="G74" i="15"/>
  <c r="G75" i="15" s="1"/>
  <c r="G82" i="15" s="1"/>
  <c r="M528" i="6"/>
  <c r="F26" i="7"/>
  <c r="F108" i="7" s="1"/>
  <c r="T171" i="7"/>
  <c r="O484" i="7"/>
  <c r="J293" i="8"/>
  <c r="J61" i="9"/>
  <c r="J106" i="9" s="1"/>
  <c r="S417" i="14"/>
  <c r="Q417" i="14"/>
  <c r="S405" i="14"/>
  <c r="Q405" i="14"/>
  <c r="R524" i="14"/>
  <c r="R438" i="14"/>
  <c r="S411" i="14"/>
  <c r="Q411" i="14"/>
  <c r="L485" i="7"/>
  <c r="G573" i="7"/>
  <c r="M416" i="14"/>
  <c r="M404" i="14"/>
  <c r="R439" i="14"/>
  <c r="M410" i="14"/>
  <c r="T472" i="6"/>
  <c r="D483" i="6" s="1"/>
  <c r="M720" i="6"/>
  <c r="R839" i="6"/>
  <c r="D1044" i="6"/>
  <c r="T172" i="7"/>
  <c r="D183" i="7" s="1"/>
  <c r="O293" i="8"/>
  <c r="M732" i="6"/>
  <c r="R841" i="6"/>
  <c r="M852" i="6"/>
  <c r="H860" i="6"/>
  <c r="E1044" i="6"/>
  <c r="Q108" i="7"/>
  <c r="P109" i="10"/>
  <c r="P110" i="10" s="1"/>
  <c r="F144" i="10"/>
  <c r="P64" i="13"/>
  <c r="R106" i="13"/>
  <c r="S108" i="7"/>
  <c r="M81" i="13"/>
  <c r="O122" i="13"/>
  <c r="G34" i="15"/>
  <c r="G41" i="15" s="1"/>
  <c r="R402" i="6"/>
  <c r="H421" i="6"/>
  <c r="P667" i="6"/>
  <c r="Q721" i="6"/>
  <c r="S70" i="15"/>
  <c r="G78" i="15" s="1"/>
  <c r="M93" i="15"/>
  <c r="S412" i="7"/>
  <c r="P668" i="6"/>
  <c r="P795" i="6" s="1"/>
  <c r="P927" i="6" s="1"/>
  <c r="S258" i="14"/>
  <c r="Q258" i="14"/>
  <c r="S246" i="14"/>
  <c r="Q246" i="14"/>
  <c r="R278" i="14"/>
  <c r="S252" i="14"/>
  <c r="Q252" i="14"/>
  <c r="I715" i="6"/>
  <c r="P796" i="6"/>
  <c r="J1044" i="6"/>
  <c r="M110" i="13"/>
  <c r="M90" i="13"/>
  <c r="M131" i="13"/>
  <c r="M257" i="14"/>
  <c r="M245" i="14"/>
  <c r="M251" i="14"/>
  <c r="J502" i="14"/>
  <c r="J99" i="15"/>
  <c r="O334" i="7"/>
  <c r="T505" i="14"/>
  <c r="R505" i="14"/>
  <c r="J118" i="7"/>
  <c r="R396" i="14"/>
  <c r="R109" i="17"/>
  <c r="P109" i="17"/>
  <c r="F144" i="17"/>
  <c r="R64" i="9"/>
  <c r="P65" i="9" s="1"/>
  <c r="I252" i="14"/>
  <c r="S69" i="15"/>
  <c r="O98" i="9"/>
  <c r="P71" i="10"/>
  <c r="R277" i="14"/>
  <c r="D376" i="14"/>
  <c r="M541" i="14"/>
  <c r="I245" i="14"/>
  <c r="R64" i="17"/>
  <c r="P64" i="17"/>
  <c r="P71" i="17"/>
  <c r="J61" i="17"/>
  <c r="J106" i="17" s="1"/>
  <c r="I246" i="14"/>
  <c r="P62" i="15"/>
  <c r="P63" i="15" s="1"/>
  <c r="S67" i="15" s="1"/>
  <c r="P64" i="10"/>
  <c r="R64" i="10"/>
  <c r="M535" i="14"/>
  <c r="P22" i="17"/>
  <c r="M225" i="38"/>
  <c r="G235" i="38" s="1"/>
  <c r="T171" i="38"/>
  <c r="D182" i="38" s="1"/>
  <c r="T172" i="38"/>
  <c r="D183" i="38" s="1"/>
  <c r="T173" i="38"/>
  <c r="D184" i="38" s="1"/>
  <c r="O174" i="38"/>
  <c r="S311" i="8" l="1"/>
  <c r="G319" i="8" s="1"/>
  <c r="J496" i="6"/>
  <c r="M64" i="13"/>
  <c r="O106" i="13"/>
  <c r="J22" i="176"/>
  <c r="J21" i="175"/>
  <c r="J21" i="154"/>
  <c r="J21" i="159"/>
  <c r="J22" i="142"/>
  <c r="J22" i="172"/>
  <c r="J21" i="7"/>
  <c r="J21" i="165"/>
  <c r="K64" i="174"/>
  <c r="K22" i="174"/>
  <c r="K30" i="174" s="1"/>
  <c r="K31" i="174" s="1"/>
  <c r="K34" i="174" s="1"/>
  <c r="K104" i="174"/>
  <c r="K105" i="174" s="1"/>
  <c r="G120" i="174" s="1"/>
  <c r="F119" i="174" s="1"/>
  <c r="F120" i="174" s="1"/>
  <c r="G121" i="174" s="1"/>
  <c r="W95" i="174" s="1"/>
  <c r="K23" i="174"/>
  <c r="K24" i="174" s="1"/>
  <c r="G39" i="174" s="1"/>
  <c r="N34" i="174"/>
  <c r="N76" i="174" s="1"/>
  <c r="N115" i="174" s="1"/>
  <c r="K116" i="174" s="1"/>
  <c r="K65" i="174"/>
  <c r="J201" i="7"/>
  <c r="O206" i="7" s="1"/>
  <c r="O207" i="7" s="1"/>
  <c r="S224" i="7" s="1"/>
  <c r="F232" i="7" s="1"/>
  <c r="K22" i="40"/>
  <c r="K30" i="40" s="1"/>
  <c r="K31" i="40" s="1"/>
  <c r="K34" i="40" s="1"/>
  <c r="K64" i="40"/>
  <c r="K72" i="40" s="1"/>
  <c r="K73" i="40" s="1"/>
  <c r="K76" i="40" s="1"/>
  <c r="J101" i="166"/>
  <c r="J22" i="166"/>
  <c r="J21" i="169"/>
  <c r="J21" i="168"/>
  <c r="J101" i="167"/>
  <c r="J22" i="167"/>
  <c r="J21" i="171"/>
  <c r="J21" i="170"/>
  <c r="S139" i="7"/>
  <c r="F147" i="7" s="1"/>
  <c r="J21" i="160"/>
  <c r="J21" i="164"/>
  <c r="J21" i="162"/>
  <c r="J21" i="80"/>
  <c r="J22" i="152"/>
  <c r="J21" i="158"/>
  <c r="J22" i="153"/>
  <c r="J21" i="104"/>
  <c r="J22" i="104" s="1"/>
  <c r="S30" i="104" s="1"/>
  <c r="I75" i="104" s="1"/>
  <c r="D76" i="104" s="1"/>
  <c r="N79" i="104" s="1"/>
  <c r="N80" i="104" s="1"/>
  <c r="M82" i="104" s="1"/>
  <c r="J21" i="110"/>
  <c r="J102" i="110" s="1"/>
  <c r="J21" i="92"/>
  <c r="J22" i="92" s="1"/>
  <c r="S30" i="92" s="1"/>
  <c r="I75" i="92" s="1"/>
  <c r="D76" i="92" s="1"/>
  <c r="N79" i="92" s="1"/>
  <c r="N80" i="92" s="1"/>
  <c r="M82" i="92" s="1"/>
  <c r="J21" i="147"/>
  <c r="J21" i="149"/>
  <c r="J21" i="148"/>
  <c r="J21" i="145"/>
  <c r="J21" i="146"/>
  <c r="J104" i="135"/>
  <c r="J22" i="150"/>
  <c r="J21" i="135"/>
  <c r="J21" i="151"/>
  <c r="J21" i="89"/>
  <c r="J22" i="89" s="1"/>
  <c r="O26" i="89" s="1"/>
  <c r="O27" i="89" s="1"/>
  <c r="P29" i="89" s="1"/>
  <c r="S29" i="89" s="1"/>
  <c r="J21" i="130"/>
  <c r="J22" i="130" s="1"/>
  <c r="S27" i="130" s="1"/>
  <c r="M36" i="130" s="1"/>
  <c r="J21" i="139"/>
  <c r="J21" i="136"/>
  <c r="J21" i="138"/>
  <c r="J21" i="137"/>
  <c r="J21" i="134"/>
  <c r="J219" i="14"/>
  <c r="J220" i="14" s="1"/>
  <c r="P218" i="14" s="1"/>
  <c r="P219" i="14" s="1"/>
  <c r="R240" i="14" s="1"/>
  <c r="I858" i="6"/>
  <c r="M864" i="6"/>
  <c r="I542" i="14"/>
  <c r="R563" i="14"/>
  <c r="G604" i="14" s="1"/>
  <c r="I536" i="14"/>
  <c r="J21" i="109"/>
  <c r="J22" i="109" s="1"/>
  <c r="S27" i="109" s="1"/>
  <c r="J22" i="85"/>
  <c r="J65" i="85" s="1"/>
  <c r="J110" i="85" s="1"/>
  <c r="J21" i="112"/>
  <c r="J22" i="112" s="1"/>
  <c r="O26" i="112" s="1"/>
  <c r="O27" i="112" s="1"/>
  <c r="P29" i="112" s="1"/>
  <c r="S29" i="112" s="1"/>
  <c r="T63" i="112" s="1"/>
  <c r="J21" i="87"/>
  <c r="J119" i="87" s="1"/>
  <c r="J21" i="119"/>
  <c r="J22" i="119" s="1"/>
  <c r="O26" i="119" s="1"/>
  <c r="O27" i="119" s="1"/>
  <c r="P29" i="119" s="1"/>
  <c r="S29" i="119" s="1"/>
  <c r="T62" i="119" s="1"/>
  <c r="Q115" i="119" s="1"/>
  <c r="J21" i="114"/>
  <c r="J101" i="114" s="1"/>
  <c r="J22" i="122"/>
  <c r="J23" i="122" s="1"/>
  <c r="J35" i="122" s="1"/>
  <c r="J42" i="122" s="1"/>
  <c r="J23" i="116"/>
  <c r="J24" i="116" s="1"/>
  <c r="S37" i="116" s="1"/>
  <c r="O55" i="116" s="1"/>
  <c r="G56" i="116" s="1"/>
  <c r="D59" i="116" s="1"/>
  <c r="J21" i="105"/>
  <c r="J103" i="105" s="1"/>
  <c r="J21" i="84"/>
  <c r="J119" i="84" s="1"/>
  <c r="J22" i="124"/>
  <c r="J65" i="124" s="1"/>
  <c r="J110" i="124" s="1"/>
  <c r="J21" i="91"/>
  <c r="J187" i="91" s="1"/>
  <c r="J21" i="107"/>
  <c r="J101" i="107" s="1"/>
  <c r="J22" i="123"/>
  <c r="J65" i="123" s="1"/>
  <c r="J110" i="123" s="1"/>
  <c r="J21" i="115"/>
  <c r="J106" i="115" s="1"/>
  <c r="J21" i="117"/>
  <c r="J22" i="117" s="1"/>
  <c r="S35" i="117" s="1"/>
  <c r="O56" i="117" s="1"/>
  <c r="G57" i="117" s="1"/>
  <c r="D60" i="117" s="1"/>
  <c r="F59" i="117" s="1"/>
  <c r="J21" i="118"/>
  <c r="J187" i="118" s="1"/>
  <c r="J22" i="82"/>
  <c r="J65" i="82" s="1"/>
  <c r="J110" i="82" s="1"/>
  <c r="J21" i="131"/>
  <c r="J22" i="131" s="1"/>
  <c r="S35" i="131" s="1"/>
  <c r="O53" i="131" s="1"/>
  <c r="G54" i="131" s="1"/>
  <c r="D57" i="131" s="1"/>
  <c r="F56" i="131" s="1"/>
  <c r="J21" i="113"/>
  <c r="K103" i="40"/>
  <c r="K65" i="40"/>
  <c r="K101" i="120"/>
  <c r="K64" i="120"/>
  <c r="K65" i="120" s="1"/>
  <c r="G80" i="120" s="1"/>
  <c r="J21" i="126"/>
  <c r="J22" i="126" s="1"/>
  <c r="S35" i="126" s="1"/>
  <c r="O53" i="126" s="1"/>
  <c r="G54" i="126" s="1"/>
  <c r="D57" i="126" s="1"/>
  <c r="N34" i="120"/>
  <c r="K23" i="120"/>
  <c r="K24" i="120" s="1"/>
  <c r="G39" i="120" s="1"/>
  <c r="Q95" i="118"/>
  <c r="J96" i="118" s="1"/>
  <c r="L261" i="118"/>
  <c r="L95" i="91"/>
  <c r="E52" i="13"/>
  <c r="Q95" i="91"/>
  <c r="J96" i="91" s="1"/>
  <c r="L261" i="91"/>
  <c r="Q47" i="13"/>
  <c r="Q48" i="13" s="1"/>
  <c r="Q46" i="13"/>
  <c r="N48" i="13" s="1"/>
  <c r="K67" i="77"/>
  <c r="K68" i="77" s="1"/>
  <c r="G83" i="77" s="1"/>
  <c r="K24" i="90"/>
  <c r="K25" i="90" s="1"/>
  <c r="G40" i="90" s="1"/>
  <c r="W268" i="11" s="1"/>
  <c r="K22" i="77"/>
  <c r="K23" i="77" s="1"/>
  <c r="G38" i="77" s="1"/>
  <c r="N35" i="90"/>
  <c r="K67" i="90"/>
  <c r="K23" i="40"/>
  <c r="H611" i="89"/>
  <c r="P102" i="38"/>
  <c r="S110" i="38" s="1"/>
  <c r="F154" i="38" s="1"/>
  <c r="H523" i="89"/>
  <c r="J22" i="81"/>
  <c r="I409" i="6"/>
  <c r="P264" i="8"/>
  <c r="S268" i="8" s="1"/>
  <c r="M279" i="8" s="1"/>
  <c r="L38" i="16"/>
  <c r="I848" i="6"/>
  <c r="J21" i="79"/>
  <c r="J22" i="79" s="1"/>
  <c r="P65" i="10"/>
  <c r="P81" i="10" s="1"/>
  <c r="E131" i="38"/>
  <c r="E133" i="38"/>
  <c r="E150" i="38" s="1"/>
  <c r="C154" i="38" s="1"/>
  <c r="R274" i="14"/>
  <c r="D294" i="14" s="1"/>
  <c r="G144" i="78"/>
  <c r="W96" i="78" s="1"/>
  <c r="F143" i="78"/>
  <c r="I405" i="14"/>
  <c r="I411" i="14"/>
  <c r="R433" i="14"/>
  <c r="G463" i="14" s="1"/>
  <c r="L293" i="14"/>
  <c r="Q293" i="14" s="1"/>
  <c r="F245" i="14"/>
  <c r="R393" i="14"/>
  <c r="F404" i="14" s="1"/>
  <c r="K154" i="38"/>
  <c r="N33" i="77"/>
  <c r="K63" i="76"/>
  <c r="K105" i="76"/>
  <c r="K106" i="76" s="1"/>
  <c r="G121" i="76" s="1"/>
  <c r="F120" i="76" s="1"/>
  <c r="G122" i="76" s="1"/>
  <c r="Q136" i="76" s="1"/>
  <c r="N33" i="76"/>
  <c r="K22" i="76"/>
  <c r="K23" i="76" s="1"/>
  <c r="G38" i="76" s="1"/>
  <c r="F37" i="76" s="1"/>
  <c r="G39" i="76" s="1"/>
  <c r="W13" i="76" s="1"/>
  <c r="M432" i="6"/>
  <c r="I419" i="6"/>
  <c r="F408" i="6"/>
  <c r="I985" i="6"/>
  <c r="M996" i="6"/>
  <c r="I980" i="6"/>
  <c r="P65" i="17"/>
  <c r="P81" i="17" s="1"/>
  <c r="P110" i="17"/>
  <c r="L120" i="17" s="1"/>
  <c r="M37" i="15"/>
  <c r="F138" i="15"/>
  <c r="S109" i="15"/>
  <c r="P102" i="15"/>
  <c r="D139" i="15"/>
  <c r="S106" i="15"/>
  <c r="J114" i="15" s="1"/>
  <c r="G115" i="15" s="1"/>
  <c r="G122" i="15" s="1"/>
  <c r="P103" i="15"/>
  <c r="S107" i="15" s="1"/>
  <c r="I118" i="15" s="1"/>
  <c r="L38" i="9"/>
  <c r="M238" i="8"/>
  <c r="Z68" i="11"/>
  <c r="Z67" i="11"/>
  <c r="H329" i="7"/>
  <c r="H412" i="7" s="1"/>
  <c r="H500" i="7" s="1"/>
  <c r="D190" i="7"/>
  <c r="Q413" i="6"/>
  <c r="Q858" i="6"/>
  <c r="Q408" i="6"/>
  <c r="J483" i="6"/>
  <c r="R541" i="6" s="1"/>
  <c r="S858" i="6"/>
  <c r="R974" i="6"/>
  <c r="S985" i="6" s="1"/>
  <c r="S853" i="6"/>
  <c r="Q848" i="6"/>
  <c r="S848" i="6"/>
  <c r="J404" i="7"/>
  <c r="J492" i="7" s="1"/>
  <c r="D500" i="7" s="1"/>
  <c r="Q308" i="14"/>
  <c r="Q301" i="14"/>
  <c r="Q294" i="14"/>
  <c r="J672" i="6"/>
  <c r="J673" i="6"/>
  <c r="P794" i="6"/>
  <c r="M454" i="14"/>
  <c r="M462" i="14"/>
  <c r="M469" i="14"/>
  <c r="D27" i="7"/>
  <c r="S56" i="7" s="1"/>
  <c r="N65" i="7" s="1"/>
  <c r="I413" i="6"/>
  <c r="I408" i="6"/>
  <c r="I418" i="6"/>
  <c r="F144" i="9"/>
  <c r="R109" i="9"/>
  <c r="P109" i="9"/>
  <c r="R532" i="6"/>
  <c r="F543" i="6" s="1"/>
  <c r="O501" i="6"/>
  <c r="O502" i="6" s="1"/>
  <c r="R533" i="6" s="1"/>
  <c r="F548" i="6" s="1"/>
  <c r="S549" i="6"/>
  <c r="Q549" i="6"/>
  <c r="S554" i="6"/>
  <c r="Q554" i="6"/>
  <c r="S544" i="6"/>
  <c r="Q544" i="6"/>
  <c r="N34" i="40"/>
  <c r="D340" i="8"/>
  <c r="S307" i="8"/>
  <c r="J315" i="8" s="1"/>
  <c r="G316" i="8" s="1"/>
  <c r="G323" i="8" s="1"/>
  <c r="P38" i="10"/>
  <c r="L38" i="10"/>
  <c r="L38" i="17"/>
  <c r="P38" i="17"/>
  <c r="I416" i="14"/>
  <c r="I404" i="14"/>
  <c r="R523" i="14"/>
  <c r="R437" i="14"/>
  <c r="I410" i="14"/>
  <c r="Q799" i="6"/>
  <c r="P928" i="6"/>
  <c r="Q931" i="6" s="1"/>
  <c r="S200" i="38"/>
  <c r="K205" i="38" s="1"/>
  <c r="R184" i="38"/>
  <c r="P184" i="38"/>
  <c r="G302" i="14"/>
  <c r="G309" i="14"/>
  <c r="G295" i="14"/>
  <c r="F339" i="8"/>
  <c r="S310" i="8"/>
  <c r="R303" i="8"/>
  <c r="P303" i="8"/>
  <c r="S500" i="7"/>
  <c r="Q500" i="7"/>
  <c r="D787" i="6"/>
  <c r="U1044" i="6" s="1"/>
  <c r="T908" i="6"/>
  <c r="D919" i="6" s="1"/>
  <c r="P120" i="10"/>
  <c r="L120" i="10"/>
  <c r="J116" i="10"/>
  <c r="D182" i="7"/>
  <c r="T310" i="7"/>
  <c r="H992" i="6"/>
  <c r="I979" i="6"/>
  <c r="I984" i="6"/>
  <c r="I989" i="6"/>
  <c r="X24" i="4"/>
  <c r="J339" i="7"/>
  <c r="O417" i="7"/>
  <c r="J340" i="7"/>
  <c r="O345" i="7" s="1"/>
  <c r="O346" i="7" s="1"/>
  <c r="S358" i="7" s="1"/>
  <c r="F366" i="7" s="1"/>
  <c r="M78" i="15"/>
  <c r="I78" i="15"/>
  <c r="P81" i="9"/>
  <c r="L81" i="9"/>
  <c r="F857" i="6"/>
  <c r="R971" i="6"/>
  <c r="F989" i="6" s="1"/>
  <c r="J138" i="15"/>
  <c r="S110" i="15"/>
  <c r="G118" i="15" s="1"/>
  <c r="G294" i="14"/>
  <c r="G301" i="14"/>
  <c r="G308" i="14"/>
  <c r="M294" i="14"/>
  <c r="M301" i="14"/>
  <c r="M308" i="14"/>
  <c r="H556" i="6"/>
  <c r="I543" i="6"/>
  <c r="I548" i="6"/>
  <c r="I553" i="6"/>
  <c r="F190" i="7"/>
  <c r="F329" i="7"/>
  <c r="F412" i="7" s="1"/>
  <c r="F500" i="7" s="1"/>
  <c r="Q302" i="14"/>
  <c r="S309" i="14"/>
  <c r="Q309" i="14"/>
  <c r="S295" i="14"/>
  <c r="S302" i="14"/>
  <c r="Q295" i="14"/>
  <c r="Q257" i="14"/>
  <c r="Q245" i="14"/>
  <c r="Q251" i="14" s="1"/>
  <c r="R400" i="14"/>
  <c r="Q463" i="14"/>
  <c r="S470" i="14"/>
  <c r="Q470" i="14"/>
  <c r="S455" i="14"/>
  <c r="Q455" i="14"/>
  <c r="S463" i="14"/>
  <c r="I847" i="6"/>
  <c r="I857" i="6"/>
  <c r="I852" i="6"/>
  <c r="R568" i="14"/>
  <c r="S542" i="14"/>
  <c r="Q542" i="14"/>
  <c r="S548" i="14"/>
  <c r="Q536" i="14"/>
  <c r="Q548" i="14"/>
  <c r="S536" i="14"/>
  <c r="D109" i="7"/>
  <c r="S138" i="7" s="1"/>
  <c r="N147" i="7" s="1"/>
  <c r="I279" i="8" l="1"/>
  <c r="G597" i="14"/>
  <c r="G590" i="14"/>
  <c r="F38" i="174"/>
  <c r="W273" i="11"/>
  <c r="J103" i="92"/>
  <c r="K72" i="174"/>
  <c r="K73" i="174" s="1"/>
  <c r="K76" i="174" s="1"/>
  <c r="K77" i="174" s="1"/>
  <c r="K66" i="174"/>
  <c r="G81" i="174" s="1"/>
  <c r="F39" i="174"/>
  <c r="G40" i="174"/>
  <c r="J64" i="172"/>
  <c r="J107" i="172" s="1"/>
  <c r="J23" i="172"/>
  <c r="J101" i="165"/>
  <c r="J22" i="165"/>
  <c r="J22" i="175"/>
  <c r="S30" i="175" s="1"/>
  <c r="I74" i="175" s="1"/>
  <c r="D75" i="175" s="1"/>
  <c r="N78" i="175" s="1"/>
  <c r="N79" i="175" s="1"/>
  <c r="M81" i="175" s="1"/>
  <c r="J102" i="175"/>
  <c r="K35" i="174"/>
  <c r="J65" i="176"/>
  <c r="J108" i="176" s="1"/>
  <c r="J23" i="176"/>
  <c r="J101" i="171"/>
  <c r="J22" i="171"/>
  <c r="S29" i="167"/>
  <c r="S28" i="167"/>
  <c r="J181" i="167"/>
  <c r="J182" i="167" s="1"/>
  <c r="J102" i="167"/>
  <c r="J101" i="170"/>
  <c r="J22" i="170"/>
  <c r="J101" i="168"/>
  <c r="J22" i="168"/>
  <c r="J101" i="169"/>
  <c r="J22" i="169"/>
  <c r="S29" i="166"/>
  <c r="S28" i="166"/>
  <c r="J181" i="166"/>
  <c r="J182" i="166" s="1"/>
  <c r="J102" i="166"/>
  <c r="J103" i="104"/>
  <c r="J185" i="104" s="1"/>
  <c r="J186" i="104" s="1"/>
  <c r="S199" i="104" s="1"/>
  <c r="P230" i="104" s="1"/>
  <c r="H231" i="104" s="1"/>
  <c r="J22" i="110"/>
  <c r="S259" i="110" s="1"/>
  <c r="J145" i="162"/>
  <c r="J22" i="162"/>
  <c r="O26" i="162" s="1"/>
  <c r="O27" i="162" s="1"/>
  <c r="P29" i="162" s="1"/>
  <c r="S29" i="162" s="1"/>
  <c r="J145" i="164"/>
  <c r="J22" i="164"/>
  <c r="O26" i="164" s="1"/>
  <c r="O27" i="164" s="1"/>
  <c r="P29" i="164" s="1"/>
  <c r="S29" i="164" s="1"/>
  <c r="J292" i="154"/>
  <c r="J22" i="154"/>
  <c r="J115" i="154"/>
  <c r="J145" i="159"/>
  <c r="J22" i="159"/>
  <c r="O26" i="159" s="1"/>
  <c r="O27" i="159" s="1"/>
  <c r="P29" i="159" s="1"/>
  <c r="S29" i="159" s="1"/>
  <c r="J289" i="160"/>
  <c r="J113" i="160"/>
  <c r="J22" i="160"/>
  <c r="J64" i="150"/>
  <c r="J106" i="150" s="1"/>
  <c r="J23" i="150"/>
  <c r="J22" i="146"/>
  <c r="O26" i="146" s="1"/>
  <c r="O27" i="146" s="1"/>
  <c r="P29" i="146" s="1"/>
  <c r="S29" i="146" s="1"/>
  <c r="J145" i="146"/>
  <c r="J22" i="149"/>
  <c r="O26" i="149" s="1"/>
  <c r="O27" i="149" s="1"/>
  <c r="P29" i="149" s="1"/>
  <c r="S29" i="149" s="1"/>
  <c r="J145" i="149"/>
  <c r="J22" i="147"/>
  <c r="P21" i="147" s="1"/>
  <c r="P22" i="147" s="1"/>
  <c r="R71" i="147" s="1"/>
  <c r="J157" i="147"/>
  <c r="J64" i="153"/>
  <c r="J107" i="153" s="1"/>
  <c r="J23" i="153"/>
  <c r="J64" i="152"/>
  <c r="J107" i="152" s="1"/>
  <c r="J23" i="152"/>
  <c r="J157" i="151"/>
  <c r="J22" i="151"/>
  <c r="P21" i="151" s="1"/>
  <c r="P22" i="151" s="1"/>
  <c r="R71" i="151" s="1"/>
  <c r="J157" i="145"/>
  <c r="J22" i="145"/>
  <c r="P21" i="145" s="1"/>
  <c r="P22" i="145" s="1"/>
  <c r="R71" i="145" s="1"/>
  <c r="J22" i="148"/>
  <c r="P21" i="148" s="1"/>
  <c r="P22" i="148" s="1"/>
  <c r="R71" i="148" s="1"/>
  <c r="J157" i="148"/>
  <c r="J174" i="158"/>
  <c r="O26" i="158"/>
  <c r="O27" i="158" s="1"/>
  <c r="P29" i="158" s="1"/>
  <c r="S29" i="158" s="1"/>
  <c r="S49" i="158" s="1"/>
  <c r="J22" i="158"/>
  <c r="J22" i="134"/>
  <c r="S30" i="134" s="1"/>
  <c r="I74" i="134" s="1"/>
  <c r="D75" i="134" s="1"/>
  <c r="N78" i="134" s="1"/>
  <c r="N79" i="134" s="1"/>
  <c r="M81" i="134" s="1"/>
  <c r="J103" i="134"/>
  <c r="J22" i="135"/>
  <c r="S30" i="135" s="1"/>
  <c r="I75" i="135" s="1"/>
  <c r="D76" i="135" s="1"/>
  <c r="N79" i="135" s="1"/>
  <c r="N80" i="135" s="1"/>
  <c r="M82" i="135" s="1"/>
  <c r="J104" i="138"/>
  <c r="J22" i="138"/>
  <c r="S30" i="138" s="1"/>
  <c r="I75" i="138" s="1"/>
  <c r="D76" i="138" s="1"/>
  <c r="N79" i="138" s="1"/>
  <c r="N80" i="138" s="1"/>
  <c r="M82" i="138" s="1"/>
  <c r="J104" i="136"/>
  <c r="J22" i="136"/>
  <c r="S30" i="136" s="1"/>
  <c r="I75" i="136" s="1"/>
  <c r="D76" i="136" s="1"/>
  <c r="N79" i="136" s="1"/>
  <c r="N80" i="136" s="1"/>
  <c r="M82" i="136" s="1"/>
  <c r="J22" i="139"/>
  <c r="S30" i="139" s="1"/>
  <c r="I75" i="139" s="1"/>
  <c r="D76" i="139" s="1"/>
  <c r="N79" i="139" s="1"/>
  <c r="N80" i="139" s="1"/>
  <c r="M82" i="139" s="1"/>
  <c r="J104" i="139"/>
  <c r="J23" i="142"/>
  <c r="J64" i="142"/>
  <c r="J107" i="142" s="1"/>
  <c r="J104" i="137"/>
  <c r="J22" i="137"/>
  <c r="S30" i="137" s="1"/>
  <c r="I75" i="137" s="1"/>
  <c r="D76" i="137" s="1"/>
  <c r="N79" i="137" s="1"/>
  <c r="N80" i="137" s="1"/>
  <c r="M82" i="137" s="1"/>
  <c r="Q105" i="119"/>
  <c r="H106" i="119" s="1"/>
  <c r="L89" i="119"/>
  <c r="F90" i="119" s="1"/>
  <c r="G92" i="119" s="1"/>
  <c r="J23" i="124"/>
  <c r="P27" i="124" s="1"/>
  <c r="F58" i="116"/>
  <c r="G60" i="116" s="1"/>
  <c r="P27" i="122"/>
  <c r="R38" i="122"/>
  <c r="J39" i="122" s="1"/>
  <c r="J45" i="122" s="1"/>
  <c r="S45" i="122" s="1"/>
  <c r="J22" i="87"/>
  <c r="S34" i="87" s="1"/>
  <c r="O37" i="87" s="1"/>
  <c r="D40" i="87" s="1"/>
  <c r="J22" i="114"/>
  <c r="S34" i="114" s="1"/>
  <c r="O52" i="114" s="1"/>
  <c r="G53" i="114" s="1"/>
  <c r="D56" i="114" s="1"/>
  <c r="J23" i="85"/>
  <c r="J66" i="85" s="1"/>
  <c r="J22" i="84"/>
  <c r="S34" i="84" s="1"/>
  <c r="O37" i="84" s="1"/>
  <c r="D40" i="84" s="1"/>
  <c r="J141" i="112"/>
  <c r="J264" i="112" s="1"/>
  <c r="J265" i="112" s="1"/>
  <c r="O269" i="112" s="1"/>
  <c r="O270" i="112" s="1"/>
  <c r="O272" i="112" s="1"/>
  <c r="Q272" i="112" s="1"/>
  <c r="T311" i="112" s="1"/>
  <c r="J22" i="115"/>
  <c r="S35" i="115" s="1"/>
  <c r="O56" i="115" s="1"/>
  <c r="G57" i="115" s="1"/>
  <c r="D60" i="115" s="1"/>
  <c r="F59" i="115" s="1"/>
  <c r="J23" i="123"/>
  <c r="R38" i="123" s="1"/>
  <c r="J39" i="123" s="1"/>
  <c r="J46" i="123" s="1"/>
  <c r="J22" i="105"/>
  <c r="S27" i="105" s="1"/>
  <c r="K42" i="105" s="1"/>
  <c r="E43" i="105" s="1"/>
  <c r="H56" i="105" s="1"/>
  <c r="J22" i="118"/>
  <c r="P20" i="118" s="1"/>
  <c r="P21" i="118" s="1"/>
  <c r="R42" i="118" s="1"/>
  <c r="R208" i="118" s="1"/>
  <c r="J22" i="107"/>
  <c r="S27" i="107" s="1"/>
  <c r="K42" i="107" s="1"/>
  <c r="E43" i="107" s="1"/>
  <c r="H55" i="107" s="1"/>
  <c r="O97" i="117"/>
  <c r="J101" i="109"/>
  <c r="J189" i="109" s="1"/>
  <c r="J190" i="109" s="1"/>
  <c r="S195" i="109" s="1"/>
  <c r="J146" i="89"/>
  <c r="J147" i="89" s="1"/>
  <c r="O151" i="89" s="1"/>
  <c r="O152" i="89" s="1"/>
  <c r="P154" i="89" s="1"/>
  <c r="S154" i="89" s="1"/>
  <c r="S179" i="89" s="1"/>
  <c r="Q187" i="89" s="1"/>
  <c r="D189" i="89" s="1"/>
  <c r="J22" i="91"/>
  <c r="P20" i="91" s="1"/>
  <c r="P21" i="91" s="1"/>
  <c r="R42" i="91" s="1"/>
  <c r="O53" i="91" s="1"/>
  <c r="J23" i="82"/>
  <c r="J35" i="82" s="1"/>
  <c r="J43" i="82" s="1"/>
  <c r="F56" i="126"/>
  <c r="F79" i="120"/>
  <c r="W258" i="11"/>
  <c r="F38" i="120"/>
  <c r="W257" i="11"/>
  <c r="N75" i="120"/>
  <c r="K35" i="120"/>
  <c r="J102" i="113"/>
  <c r="J22" i="113"/>
  <c r="S35" i="113" s="1"/>
  <c r="O51" i="113" s="1"/>
  <c r="G52" i="113" s="1"/>
  <c r="D55" i="113" s="1"/>
  <c r="F57" i="131"/>
  <c r="G58" i="131"/>
  <c r="Q261" i="118"/>
  <c r="J262" i="118" s="1"/>
  <c r="L390" i="118"/>
  <c r="Q390" i="118" s="1"/>
  <c r="J391" i="118" s="1"/>
  <c r="H97" i="119"/>
  <c r="K97" i="119" s="1"/>
  <c r="H99" i="112"/>
  <c r="K99" i="112" s="1"/>
  <c r="J194" i="115"/>
  <c r="J195" i="115" s="1"/>
  <c r="S208" i="115" s="1"/>
  <c r="O229" i="115" s="1"/>
  <c r="G230" i="115" s="1"/>
  <c r="D233" i="115" s="1"/>
  <c r="F232" i="115" s="1"/>
  <c r="J107" i="115"/>
  <c r="S120" i="115" s="1"/>
  <c r="O141" i="115" s="1"/>
  <c r="G142" i="115" s="1"/>
  <c r="D145" i="115" s="1"/>
  <c r="F144" i="115" s="1"/>
  <c r="J307" i="118"/>
  <c r="J308" i="118" s="1"/>
  <c r="P307" i="118" s="1"/>
  <c r="P308" i="118" s="1"/>
  <c r="J188" i="118"/>
  <c r="P187" i="118" s="1"/>
  <c r="P188" i="118" s="1"/>
  <c r="I42" i="122"/>
  <c r="S42" i="122"/>
  <c r="F60" i="117"/>
  <c r="G61" i="117"/>
  <c r="J189" i="114"/>
  <c r="J190" i="114" s="1"/>
  <c r="S203" i="114" s="1"/>
  <c r="O224" i="114" s="1"/>
  <c r="G225" i="114" s="1"/>
  <c r="D228" i="114" s="1"/>
  <c r="F227" i="114" s="1"/>
  <c r="J102" i="114"/>
  <c r="S115" i="114" s="1"/>
  <c r="O136" i="114" s="1"/>
  <c r="G137" i="114" s="1"/>
  <c r="D140" i="114" s="1"/>
  <c r="F139" i="114" s="1"/>
  <c r="J189" i="107"/>
  <c r="J190" i="107" s="1"/>
  <c r="S195" i="107" s="1"/>
  <c r="J102" i="107"/>
  <c r="S107" i="107" s="1"/>
  <c r="M36" i="109"/>
  <c r="E37" i="109" s="1"/>
  <c r="H51" i="109" s="1"/>
  <c r="K42" i="109"/>
  <c r="E43" i="109" s="1"/>
  <c r="H55" i="109" s="1"/>
  <c r="J191" i="105"/>
  <c r="J192" i="105" s="1"/>
  <c r="S197" i="105" s="1"/>
  <c r="J104" i="105"/>
  <c r="S109" i="105" s="1"/>
  <c r="L89" i="112"/>
  <c r="F90" i="112" s="1"/>
  <c r="G92" i="112" s="1"/>
  <c r="Q107" i="112"/>
  <c r="H108" i="112" s="1"/>
  <c r="Q116" i="112"/>
  <c r="M83" i="104"/>
  <c r="S264" i="104" s="1"/>
  <c r="L81" i="104"/>
  <c r="L82" i="104"/>
  <c r="J184" i="110"/>
  <c r="J185" i="110" s="1"/>
  <c r="S198" i="110" s="1"/>
  <c r="P229" i="110" s="1"/>
  <c r="H230" i="110" s="1"/>
  <c r="J103" i="110"/>
  <c r="S111" i="110" s="1"/>
  <c r="I155" i="110" s="1"/>
  <c r="D156" i="110" s="1"/>
  <c r="N159" i="110" s="1"/>
  <c r="N160" i="110" s="1"/>
  <c r="M162" i="110" s="1"/>
  <c r="L81" i="92"/>
  <c r="M83" i="92"/>
  <c r="S264" i="92" s="1"/>
  <c r="L82" i="92"/>
  <c r="J185" i="92"/>
  <c r="J186" i="92" s="1"/>
  <c r="S199" i="92" s="1"/>
  <c r="P230" i="92" s="1"/>
  <c r="H231" i="92" s="1"/>
  <c r="J104" i="92"/>
  <c r="S112" i="92" s="1"/>
  <c r="I156" i="92" s="1"/>
  <c r="D157" i="92" s="1"/>
  <c r="N160" i="92" s="1"/>
  <c r="N161" i="92" s="1"/>
  <c r="M163" i="92" s="1"/>
  <c r="L390" i="91"/>
  <c r="Q390" i="91" s="1"/>
  <c r="J391" i="91" s="1"/>
  <c r="Q261" i="91"/>
  <c r="J262" i="91" s="1"/>
  <c r="N78" i="90"/>
  <c r="K36" i="90"/>
  <c r="W262" i="11"/>
  <c r="F39" i="90"/>
  <c r="J307" i="91"/>
  <c r="J308" i="91" s="1"/>
  <c r="P307" i="91" s="1"/>
  <c r="P308" i="91" s="1"/>
  <c r="J188" i="91"/>
  <c r="P187" i="91" s="1"/>
  <c r="P188" i="91" s="1"/>
  <c r="J207" i="87"/>
  <c r="J208" i="87" s="1"/>
  <c r="S221" i="87" s="1"/>
  <c r="O242" i="87" s="1"/>
  <c r="G243" i="87" s="1"/>
  <c r="D246" i="87" s="1"/>
  <c r="F245" i="87" s="1"/>
  <c r="J120" i="87"/>
  <c r="S133" i="87" s="1"/>
  <c r="O154" i="87" s="1"/>
  <c r="G155" i="87" s="1"/>
  <c r="D158" i="87" s="1"/>
  <c r="F157" i="87" s="1"/>
  <c r="S95" i="89"/>
  <c r="M98" i="89" s="1"/>
  <c r="G100" i="89" s="1"/>
  <c r="S74" i="89"/>
  <c r="Q80" i="89" s="1"/>
  <c r="D82" i="89" s="1"/>
  <c r="S51" i="89"/>
  <c r="Q57" i="89" s="1"/>
  <c r="D59"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5" i="38"/>
  <c r="S198" i="38" s="1"/>
  <c r="O205" i="38" s="1"/>
  <c r="E206" i="38" s="1"/>
  <c r="L230" i="38" s="1"/>
  <c r="L453" i="14"/>
  <c r="Q453" i="14" s="1"/>
  <c r="J454" i="14" s="1"/>
  <c r="G455" i="14"/>
  <c r="G470" i="14"/>
  <c r="L81" i="10"/>
  <c r="F38" i="76"/>
  <c r="J294" i="14"/>
  <c r="R520" i="14"/>
  <c r="F535" i="14" s="1"/>
  <c r="R434" i="14"/>
  <c r="D454" i="14" s="1"/>
  <c r="F121" i="76"/>
  <c r="N74" i="76"/>
  <c r="K34" i="76"/>
  <c r="N78" i="77"/>
  <c r="K34" i="77"/>
  <c r="F413" i="6"/>
  <c r="AA173" i="6"/>
  <c r="Q134" i="76"/>
  <c r="J116" i="17"/>
  <c r="P120" i="17"/>
  <c r="L81" i="17"/>
  <c r="M118" i="15"/>
  <c r="P110" i="9"/>
  <c r="P120" i="9" s="1"/>
  <c r="Q980" i="6"/>
  <c r="Q990" i="6"/>
  <c r="Q985" i="6"/>
  <c r="S980" i="6"/>
  <c r="S990" i="6"/>
  <c r="J660" i="6"/>
  <c r="J787" i="6" s="1"/>
  <c r="D412" i="7"/>
  <c r="D413" i="7" s="1"/>
  <c r="S445" i="7" s="1"/>
  <c r="N454" i="7" s="1"/>
  <c r="D501" i="7"/>
  <c r="S533" i="7" s="1"/>
  <c r="N542" i="7" s="1"/>
  <c r="G454" i="14"/>
  <c r="G462" i="14"/>
  <c r="G469" i="14"/>
  <c r="O505" i="7"/>
  <c r="J423" i="7"/>
  <c r="O428" i="7" s="1"/>
  <c r="O429" i="7" s="1"/>
  <c r="S446" i="7" s="1"/>
  <c r="F454" i="7" s="1"/>
  <c r="J422" i="7"/>
  <c r="P304" i="8"/>
  <c r="S308" i="8" s="1"/>
  <c r="I547" i="14"/>
  <c r="I535" i="14"/>
  <c r="R567" i="14"/>
  <c r="I541" i="14"/>
  <c r="J21" i="38"/>
  <c r="J22" i="38" s="1"/>
  <c r="S30" i="38" s="1"/>
  <c r="I74" i="38" s="1"/>
  <c r="D75" i="38" s="1"/>
  <c r="N78" i="38" s="1"/>
  <c r="N79" i="38" s="1"/>
  <c r="M81" i="38" s="1"/>
  <c r="J22" i="16"/>
  <c r="J22" i="17"/>
  <c r="J21" i="15"/>
  <c r="J22" i="9"/>
  <c r="J22" i="10"/>
  <c r="J222" i="8"/>
  <c r="J799" i="6"/>
  <c r="P926" i="6"/>
  <c r="J800" i="6"/>
  <c r="O678" i="6"/>
  <c r="O679" i="6" s="1"/>
  <c r="R705" i="6" s="1"/>
  <c r="F720" i="6" s="1"/>
  <c r="R704" i="6"/>
  <c r="F715" i="6" s="1"/>
  <c r="S590" i="14"/>
  <c r="Q590" i="14"/>
  <c r="S597" i="14"/>
  <c r="Q597" i="14"/>
  <c r="S604" i="14"/>
  <c r="Q604" i="14"/>
  <c r="Q548" i="6"/>
  <c r="Q553" i="6"/>
  <c r="Q543" i="6"/>
  <c r="Q416" i="14"/>
  <c r="R527" i="14"/>
  <c r="Q404" i="14"/>
  <c r="Q410" i="14" s="1"/>
  <c r="R441" i="14"/>
  <c r="G81" i="13"/>
  <c r="G82" i="13" s="1"/>
  <c r="G122" i="13"/>
  <c r="G123" i="13" s="1"/>
  <c r="G106" i="13"/>
  <c r="G107" i="13" s="1"/>
  <c r="G64" i="13"/>
  <c r="G65" i="13" s="1"/>
  <c r="J81" i="13"/>
  <c r="J82" i="13" s="1"/>
  <c r="J64" i="13"/>
  <c r="J65" i="13" s="1"/>
  <c r="J122" i="13"/>
  <c r="J123" i="13" s="1"/>
  <c r="J106" i="13"/>
  <c r="J107" i="13" s="1"/>
  <c r="N76" i="40"/>
  <c r="N114" i="40" s="1"/>
  <c r="K115" i="40" s="1"/>
  <c r="K104" i="40" s="1"/>
  <c r="G119" i="40" s="1"/>
  <c r="K35" i="40"/>
  <c r="K24" i="40" s="1"/>
  <c r="G39" i="40" s="1"/>
  <c r="W251" i="11" s="1"/>
  <c r="T393" i="7"/>
  <c r="D321" i="7"/>
  <c r="D330" i="7"/>
  <c r="S357" i="7" s="1"/>
  <c r="N366" i="7" s="1"/>
  <c r="F80" i="174" l="1"/>
  <c r="W274" i="11"/>
  <c r="W170" i="11"/>
  <c r="W106" i="11"/>
  <c r="W101" i="11" s="1"/>
  <c r="J36" i="176"/>
  <c r="J43" i="176" s="1"/>
  <c r="P27" i="176"/>
  <c r="R38" i="176"/>
  <c r="J39" i="176" s="1"/>
  <c r="J46" i="176" s="1"/>
  <c r="W165" i="11" s="1"/>
  <c r="J66" i="176"/>
  <c r="J185" i="175"/>
  <c r="J186" i="175" s="1"/>
  <c r="S199" i="175" s="1"/>
  <c r="P230" i="175" s="1"/>
  <c r="H231" i="175" s="1"/>
  <c r="J103" i="175"/>
  <c r="S111" i="175" s="1"/>
  <c r="I154" i="175" s="1"/>
  <c r="D155" i="175" s="1"/>
  <c r="N158" i="175" s="1"/>
  <c r="N159" i="175" s="1"/>
  <c r="M161" i="175" s="1"/>
  <c r="S29" i="165"/>
  <c r="S28" i="165"/>
  <c r="W11" i="174"/>
  <c r="Q135" i="174"/>
  <c r="Q273" i="11" s="1"/>
  <c r="J65" i="172"/>
  <c r="R37" i="172"/>
  <c r="J38" i="172" s="1"/>
  <c r="J45" i="172" s="1"/>
  <c r="W228" i="11" s="1"/>
  <c r="J35" i="172"/>
  <c r="J42" i="172" s="1"/>
  <c r="P27" i="172"/>
  <c r="F81" i="174"/>
  <c r="G82" i="174"/>
  <c r="L81" i="175"/>
  <c r="L80" i="175"/>
  <c r="M82" i="175"/>
  <c r="S264" i="175" s="1"/>
  <c r="J181" i="165"/>
  <c r="J182" i="165" s="1"/>
  <c r="J102" i="165"/>
  <c r="J104" i="104"/>
  <c r="S112" i="104" s="1"/>
  <c r="I156" i="104" s="1"/>
  <c r="D157" i="104" s="1"/>
  <c r="N160" i="104" s="1"/>
  <c r="N161" i="104" s="1"/>
  <c r="M163" i="104" s="1"/>
  <c r="L162" i="104" s="1"/>
  <c r="S30" i="110"/>
  <c r="I74" i="110" s="1"/>
  <c r="D75" i="110" s="1"/>
  <c r="N78" i="110" s="1"/>
  <c r="N79" i="110" s="1"/>
  <c r="M81" i="110" s="1"/>
  <c r="L80" i="110" s="1"/>
  <c r="S108" i="166"/>
  <c r="S109" i="166"/>
  <c r="J181" i="169"/>
  <c r="J182" i="169" s="1"/>
  <c r="J102" i="169"/>
  <c r="S29" i="168"/>
  <c r="S28" i="168"/>
  <c r="J181" i="168"/>
  <c r="J182" i="168" s="1"/>
  <c r="J102" i="168"/>
  <c r="J181" i="170"/>
  <c r="J182" i="170" s="1"/>
  <c r="J102" i="170"/>
  <c r="K51" i="166"/>
  <c r="E54" i="166" s="1"/>
  <c r="H71" i="166" s="1"/>
  <c r="G70" i="166" s="1"/>
  <c r="G71" i="166" s="1"/>
  <c r="K72" i="166" s="1"/>
  <c r="O39" i="166"/>
  <c r="E42" i="166" s="1"/>
  <c r="H67" i="166" s="1"/>
  <c r="S108" i="167"/>
  <c r="S109" i="167"/>
  <c r="S189" i="167"/>
  <c r="S188" i="167"/>
  <c r="S29" i="169"/>
  <c r="S28" i="169"/>
  <c r="S29" i="170"/>
  <c r="S28" i="170"/>
  <c r="S188" i="166"/>
  <c r="S189" i="166"/>
  <c r="K51" i="167"/>
  <c r="E54" i="167" s="1"/>
  <c r="H71" i="167" s="1"/>
  <c r="G70" i="167" s="1"/>
  <c r="G71" i="167" s="1"/>
  <c r="K72" i="167" s="1"/>
  <c r="O39" i="167"/>
  <c r="E42" i="167" s="1"/>
  <c r="H67" i="167" s="1"/>
  <c r="S29" i="171"/>
  <c r="S28" i="171"/>
  <c r="J181" i="171"/>
  <c r="J182" i="171" s="1"/>
  <c r="J102" i="171"/>
  <c r="M83" i="139"/>
  <c r="S265" i="139" s="1"/>
  <c r="M83" i="137"/>
  <c r="S265" i="137" s="1"/>
  <c r="W77" i="11"/>
  <c r="W72" i="11" s="1"/>
  <c r="M82" i="38"/>
  <c r="W189" i="11"/>
  <c r="M83" i="136"/>
  <c r="S265" i="136" s="1"/>
  <c r="S189" i="11" s="1"/>
  <c r="S58" i="160"/>
  <c r="O61" i="160" s="1"/>
  <c r="D64" i="160" s="1"/>
  <c r="S34" i="160"/>
  <c r="O37" i="160" s="1"/>
  <c r="D40" i="160" s="1"/>
  <c r="J201" i="160"/>
  <c r="J202" i="160" s="1"/>
  <c r="S215" i="160" s="1"/>
  <c r="O236" i="160" s="1"/>
  <c r="G237" i="160" s="1"/>
  <c r="D240" i="160" s="1"/>
  <c r="F239" i="160" s="1"/>
  <c r="J114" i="160"/>
  <c r="S127" i="160" s="1"/>
  <c r="O148" i="160" s="1"/>
  <c r="G149" i="160" s="1"/>
  <c r="D152" i="160" s="1"/>
  <c r="F151" i="160" s="1"/>
  <c r="J289" i="159"/>
  <c r="J146" i="159"/>
  <c r="O150" i="159" s="1"/>
  <c r="O151" i="159" s="1"/>
  <c r="P153" i="159" s="1"/>
  <c r="S153" i="159" s="1"/>
  <c r="M82" i="134"/>
  <c r="S267" i="134" s="1"/>
  <c r="J384" i="154"/>
  <c r="J293" i="154"/>
  <c r="S84" i="164"/>
  <c r="M87" i="164" s="1"/>
  <c r="G88" i="164" s="1"/>
  <c r="S72" i="164"/>
  <c r="Q78" i="164" s="1"/>
  <c r="D80" i="164" s="1"/>
  <c r="S49" i="164"/>
  <c r="Q55" i="164" s="1"/>
  <c r="D57" i="164" s="1"/>
  <c r="J146" i="164"/>
  <c r="O150" i="164" s="1"/>
  <c r="O151" i="164" s="1"/>
  <c r="P153" i="164" s="1"/>
  <c r="S153" i="164" s="1"/>
  <c r="J289" i="164"/>
  <c r="W223" i="11"/>
  <c r="M83" i="138"/>
  <c r="S265" i="138" s="1"/>
  <c r="S223" i="11" s="1"/>
  <c r="J381" i="160"/>
  <c r="J290" i="160"/>
  <c r="S49" i="159"/>
  <c r="Q55" i="159" s="1"/>
  <c r="D57" i="159" s="1"/>
  <c r="S84" i="159"/>
  <c r="M87" i="159" s="1"/>
  <c r="G88" i="159" s="1"/>
  <c r="S72" i="159"/>
  <c r="Q78" i="159" s="1"/>
  <c r="D80" i="159" s="1"/>
  <c r="M83" i="135"/>
  <c r="S265" i="135" s="1"/>
  <c r="J204" i="154"/>
  <c r="J205" i="154" s="1"/>
  <c r="S218" i="154" s="1"/>
  <c r="O239" i="154" s="1"/>
  <c r="G240" i="154" s="1"/>
  <c r="D243" i="154" s="1"/>
  <c r="F242" i="154" s="1"/>
  <c r="J116" i="154"/>
  <c r="S129" i="154" s="1"/>
  <c r="O150" i="154" s="1"/>
  <c r="G151" i="154" s="1"/>
  <c r="D154" i="154" s="1"/>
  <c r="F153" i="154" s="1"/>
  <c r="S34" i="154"/>
  <c r="O37" i="154" s="1"/>
  <c r="D40" i="154" s="1"/>
  <c r="S59" i="154"/>
  <c r="O62" i="154" s="1"/>
  <c r="D65" i="154" s="1"/>
  <c r="S84" i="162"/>
  <c r="M87" i="162" s="1"/>
  <c r="G88" i="162" s="1"/>
  <c r="S49" i="162"/>
  <c r="Q55" i="162" s="1"/>
  <c r="D57" i="162" s="1"/>
  <c r="S72" i="162"/>
  <c r="Q78" i="162" s="1"/>
  <c r="D80" i="162" s="1"/>
  <c r="J289" i="162"/>
  <c r="J146" i="162"/>
  <c r="O150" i="162" s="1"/>
  <c r="O151" i="162" s="1"/>
  <c r="P153" i="162" s="1"/>
  <c r="S153" i="162" s="1"/>
  <c r="Q71" i="158"/>
  <c r="D73" i="158" s="1"/>
  <c r="Q82" i="158"/>
  <c r="Q75" i="158"/>
  <c r="Q90" i="158"/>
  <c r="Q98" i="158"/>
  <c r="R139" i="158"/>
  <c r="O144" i="158" s="1"/>
  <c r="J294" i="158"/>
  <c r="J295" i="158" s="1"/>
  <c r="O299" i="158" s="1"/>
  <c r="O300" i="158" s="1"/>
  <c r="P302" i="158" s="1"/>
  <c r="S302" i="158" s="1"/>
  <c r="S330" i="158" s="1"/>
  <c r="J175" i="158"/>
  <c r="O179" i="158" s="1"/>
  <c r="O180" i="158" s="1"/>
  <c r="P181" i="158" s="1"/>
  <c r="S181" i="158" s="1"/>
  <c r="S202" i="158" s="1"/>
  <c r="J288" i="148"/>
  <c r="J158" i="148"/>
  <c r="P157" i="148" s="1"/>
  <c r="P158" i="148" s="1"/>
  <c r="R207" i="148" s="1"/>
  <c r="O79" i="148"/>
  <c r="D82" i="148" s="1"/>
  <c r="O74" i="148"/>
  <c r="D77" i="148" s="1"/>
  <c r="O97" i="148"/>
  <c r="D100" i="148" s="1"/>
  <c r="O79" i="145"/>
  <c r="D82" i="145" s="1"/>
  <c r="O74" i="145"/>
  <c r="D77" i="145" s="1"/>
  <c r="O97" i="145"/>
  <c r="D100" i="145" s="1"/>
  <c r="J288" i="145"/>
  <c r="J158" i="145"/>
  <c r="P157" i="145" s="1"/>
  <c r="P158" i="145" s="1"/>
  <c r="R207" i="145" s="1"/>
  <c r="O79" i="151"/>
  <c r="D82" i="151" s="1"/>
  <c r="O74" i="151"/>
  <c r="D77" i="151" s="1"/>
  <c r="O97" i="151"/>
  <c r="D100" i="151" s="1"/>
  <c r="R37" i="152"/>
  <c r="J38" i="152" s="1"/>
  <c r="J45" i="152" s="1"/>
  <c r="J35" i="152"/>
  <c r="J42" i="152" s="1"/>
  <c r="J65" i="152"/>
  <c r="P27" i="152"/>
  <c r="R37" i="153"/>
  <c r="J38" i="153" s="1"/>
  <c r="J45" i="153" s="1"/>
  <c r="J65" i="153"/>
  <c r="J35" i="153"/>
  <c r="J42" i="153" s="1"/>
  <c r="P27" i="153"/>
  <c r="J288" i="147"/>
  <c r="J158" i="147"/>
  <c r="P157" i="147" s="1"/>
  <c r="P158" i="147" s="1"/>
  <c r="R207" i="147" s="1"/>
  <c r="S94" i="149"/>
  <c r="M97" i="149" s="1"/>
  <c r="G99" i="149" s="1"/>
  <c r="S73" i="149"/>
  <c r="Q79" i="149" s="1"/>
  <c r="D81" i="149" s="1"/>
  <c r="S50" i="149"/>
  <c r="Q56" i="149" s="1"/>
  <c r="D58" i="149" s="1"/>
  <c r="J35" i="150"/>
  <c r="J43" i="150" s="1"/>
  <c r="R38" i="150"/>
  <c r="J39" i="150" s="1"/>
  <c r="J45" i="150" s="1"/>
  <c r="P27" i="150"/>
  <c r="J65" i="150"/>
  <c r="J288" i="151"/>
  <c r="J158" i="151"/>
  <c r="P157" i="151" s="1"/>
  <c r="P158" i="151" s="1"/>
  <c r="R207" i="151" s="1"/>
  <c r="O79" i="147"/>
  <c r="D82" i="147" s="1"/>
  <c r="O74" i="147"/>
  <c r="D77" i="147" s="1"/>
  <c r="O97" i="147"/>
  <c r="D100" i="147" s="1"/>
  <c r="J146" i="149"/>
  <c r="O150" i="149" s="1"/>
  <c r="O151" i="149" s="1"/>
  <c r="P153" i="149" s="1"/>
  <c r="S153" i="149" s="1"/>
  <c r="S178" i="149" s="1"/>
  <c r="Q186" i="149" s="1"/>
  <c r="D188" i="149" s="1"/>
  <c r="J239" i="149"/>
  <c r="J239" i="146"/>
  <c r="J146" i="146"/>
  <c r="O150" i="146" s="1"/>
  <c r="O151" i="146" s="1"/>
  <c r="P153" i="146" s="1"/>
  <c r="S153" i="146" s="1"/>
  <c r="S178" i="146" s="1"/>
  <c r="Q186" i="146" s="1"/>
  <c r="D188" i="146" s="1"/>
  <c r="S50" i="146"/>
  <c r="Q56" i="146" s="1"/>
  <c r="D58" i="146" s="1"/>
  <c r="S73" i="146"/>
  <c r="Q79" i="146" s="1"/>
  <c r="D81" i="146" s="1"/>
  <c r="S94" i="146"/>
  <c r="M97" i="146" s="1"/>
  <c r="G99" i="146" s="1"/>
  <c r="J35" i="124"/>
  <c r="J43" i="124" s="1"/>
  <c r="S43" i="124" s="1"/>
  <c r="L81" i="137"/>
  <c r="L82" i="137"/>
  <c r="J186" i="137"/>
  <c r="J187" i="137" s="1"/>
  <c r="S200" i="137" s="1"/>
  <c r="P231" i="137" s="1"/>
  <c r="H232" i="137" s="1"/>
  <c r="J105" i="137"/>
  <c r="S113" i="137" s="1"/>
  <c r="I157" i="137" s="1"/>
  <c r="D158" i="137" s="1"/>
  <c r="N161" i="137" s="1"/>
  <c r="N162" i="137" s="1"/>
  <c r="M164" i="137" s="1"/>
  <c r="L81" i="139"/>
  <c r="L82" i="139"/>
  <c r="L81" i="136"/>
  <c r="L82" i="136"/>
  <c r="L81" i="138"/>
  <c r="L82" i="138"/>
  <c r="F59" i="116"/>
  <c r="J186" i="138"/>
  <c r="J187" i="138" s="1"/>
  <c r="S200" i="138" s="1"/>
  <c r="P231" i="138" s="1"/>
  <c r="H232" i="138" s="1"/>
  <c r="J105" i="138"/>
  <c r="S113" i="138" s="1"/>
  <c r="I157" i="138" s="1"/>
  <c r="D158" i="138" s="1"/>
  <c r="N161" i="138" s="1"/>
  <c r="N162" i="138" s="1"/>
  <c r="M164" i="138" s="1"/>
  <c r="L81" i="135"/>
  <c r="L82" i="135"/>
  <c r="J35" i="142"/>
  <c r="J42" i="142" s="1"/>
  <c r="P27" i="142"/>
  <c r="J65" i="142"/>
  <c r="R37" i="142"/>
  <c r="J38" i="142" s="1"/>
  <c r="J45" i="142" s="1"/>
  <c r="W96" i="11" s="1"/>
  <c r="R38" i="124"/>
  <c r="J39" i="124" s="1"/>
  <c r="J46" i="124" s="1"/>
  <c r="I46" i="124" s="1"/>
  <c r="J186" i="135"/>
  <c r="J187" i="135" s="1"/>
  <c r="S200" i="135" s="1"/>
  <c r="P231" i="135" s="1"/>
  <c r="H232" i="135" s="1"/>
  <c r="J105" i="135"/>
  <c r="S113" i="135" s="1"/>
  <c r="I157" i="135" s="1"/>
  <c r="D158" i="135" s="1"/>
  <c r="N161" i="135" s="1"/>
  <c r="N162" i="135" s="1"/>
  <c r="M164" i="135" s="1"/>
  <c r="J186" i="139"/>
  <c r="J187" i="139" s="1"/>
  <c r="S200" i="139" s="1"/>
  <c r="P231" i="139" s="1"/>
  <c r="H232" i="139" s="1"/>
  <c r="J105" i="139"/>
  <c r="S113" i="139" s="1"/>
  <c r="I157" i="139" s="1"/>
  <c r="D158" i="139" s="1"/>
  <c r="N161" i="139" s="1"/>
  <c r="N162" i="139" s="1"/>
  <c r="M164" i="139" s="1"/>
  <c r="J186" i="136"/>
  <c r="J187" i="136" s="1"/>
  <c r="S200" i="136" s="1"/>
  <c r="P231" i="136" s="1"/>
  <c r="H232" i="136" s="1"/>
  <c r="J105" i="136"/>
  <c r="S113" i="136" s="1"/>
  <c r="I157" i="136" s="1"/>
  <c r="D158" i="136" s="1"/>
  <c r="N161" i="136" s="1"/>
  <c r="N162" i="136" s="1"/>
  <c r="M164" i="136" s="1"/>
  <c r="J66" i="124"/>
  <c r="J111" i="124" s="1"/>
  <c r="J188" i="134"/>
  <c r="J189" i="134" s="1"/>
  <c r="S202" i="134" s="1"/>
  <c r="P233" i="134" s="1"/>
  <c r="H234" i="134" s="1"/>
  <c r="J104" i="134"/>
  <c r="S112" i="134" s="1"/>
  <c r="I156" i="134" s="1"/>
  <c r="D157" i="134" s="1"/>
  <c r="N160" i="134" s="1"/>
  <c r="N161" i="134" s="1"/>
  <c r="M163" i="134" s="1"/>
  <c r="L80" i="134"/>
  <c r="L81" i="134"/>
  <c r="S61" i="87"/>
  <c r="O64" i="87" s="1"/>
  <c r="D67" i="87" s="1"/>
  <c r="N70" i="87" s="1"/>
  <c r="N71" i="87" s="1"/>
  <c r="J35" i="123"/>
  <c r="J43" i="123" s="1"/>
  <c r="S43" i="123" s="1"/>
  <c r="P27" i="123"/>
  <c r="J35" i="85"/>
  <c r="J43" i="85" s="1"/>
  <c r="S43" i="85" s="1"/>
  <c r="P27" i="85"/>
  <c r="R38" i="85"/>
  <c r="J39" i="85" s="1"/>
  <c r="J46" i="85" s="1"/>
  <c r="J66" i="123"/>
  <c r="J111" i="123" s="1"/>
  <c r="R208" i="91"/>
  <c r="O219" i="91" s="1"/>
  <c r="F55" i="114"/>
  <c r="F56" i="114" s="1"/>
  <c r="J240" i="89"/>
  <c r="J241" i="89" s="1"/>
  <c r="O245" i="89" s="1"/>
  <c r="O246" i="89" s="1"/>
  <c r="P248" i="89" s="1"/>
  <c r="S248" i="89" s="1"/>
  <c r="S277" i="89" s="1"/>
  <c r="Q285" i="89" s="1"/>
  <c r="D287" i="89" s="1"/>
  <c r="O59" i="91"/>
  <c r="I45" i="122"/>
  <c r="J46" i="122" s="1"/>
  <c r="S55" i="122" s="1"/>
  <c r="J142" i="112"/>
  <c r="O146" i="112" s="1"/>
  <c r="O147" i="112" s="1"/>
  <c r="P148" i="112" s="1"/>
  <c r="S148" i="112" s="1"/>
  <c r="T182" i="112" s="1"/>
  <c r="Q223" i="112" s="1"/>
  <c r="H224" i="112" s="1"/>
  <c r="O47" i="91"/>
  <c r="D50" i="91" s="1"/>
  <c r="R82" i="91"/>
  <c r="O110" i="91" s="1"/>
  <c r="R82" i="118"/>
  <c r="R139" i="118" s="1"/>
  <c r="O144" i="118" s="1"/>
  <c r="D147" i="118" s="1"/>
  <c r="Q152" i="118" s="1"/>
  <c r="Q153" i="118" s="1"/>
  <c r="H155" i="118" s="1"/>
  <c r="W67" i="11"/>
  <c r="O47" i="118"/>
  <c r="D50" i="118" s="1"/>
  <c r="O59" i="118"/>
  <c r="J102" i="109"/>
  <c r="S107" i="109" s="1"/>
  <c r="K122" i="109" s="1"/>
  <c r="E123" i="109" s="1"/>
  <c r="H139" i="109" s="1"/>
  <c r="G138" i="109" s="1"/>
  <c r="G139" i="109" s="1"/>
  <c r="K140" i="109" s="1"/>
  <c r="O53" i="118"/>
  <c r="M36" i="107"/>
  <c r="E37" i="107" s="1"/>
  <c r="H51" i="107" s="1"/>
  <c r="G50" i="107" s="1"/>
  <c r="G51" i="107" s="1"/>
  <c r="K52" i="107" s="1"/>
  <c r="M36" i="105"/>
  <c r="E37" i="105" s="1"/>
  <c r="H52" i="105" s="1"/>
  <c r="H59" i="105" s="1"/>
  <c r="S60" i="84"/>
  <c r="O63" i="84" s="1"/>
  <c r="D66" i="84" s="1"/>
  <c r="N69" i="84" s="1"/>
  <c r="N70" i="84" s="1"/>
  <c r="R38" i="82"/>
  <c r="J39" i="82" s="1"/>
  <c r="J46" i="82" s="1"/>
  <c r="S46" i="82" s="1"/>
  <c r="P27" i="82"/>
  <c r="J66" i="82"/>
  <c r="J78" i="82" s="1"/>
  <c r="J86" i="82" s="1"/>
  <c r="W13" i="131"/>
  <c r="S91" i="131"/>
  <c r="N112" i="120"/>
  <c r="K113" i="120" s="1"/>
  <c r="K102" i="120" s="1"/>
  <c r="G117" i="120" s="1"/>
  <c r="K76" i="120"/>
  <c r="G81" i="120"/>
  <c r="F80" i="120"/>
  <c r="J103" i="113"/>
  <c r="S116" i="113" s="1"/>
  <c r="O137" i="113" s="1"/>
  <c r="G138" i="113" s="1"/>
  <c r="D141" i="113" s="1"/>
  <c r="F140" i="113" s="1"/>
  <c r="J190" i="113"/>
  <c r="J191" i="113" s="1"/>
  <c r="S204" i="113" s="1"/>
  <c r="O225" i="113" s="1"/>
  <c r="G226" i="113" s="1"/>
  <c r="D229" i="113" s="1"/>
  <c r="F228" i="113" s="1"/>
  <c r="F54" i="113"/>
  <c r="F39" i="120"/>
  <c r="G40" i="120"/>
  <c r="F57" i="126"/>
  <c r="G58" i="126"/>
  <c r="G68" i="13"/>
  <c r="Q75" i="13" s="1"/>
  <c r="Q77" i="13" s="1"/>
  <c r="O219" i="118"/>
  <c r="O225" i="118"/>
  <c r="O213" i="118"/>
  <c r="D216" i="118" s="1"/>
  <c r="Q281" i="118" s="1"/>
  <c r="Q285" i="118" s="1"/>
  <c r="Q286" i="118" s="1"/>
  <c r="R248" i="118"/>
  <c r="R328" i="118"/>
  <c r="F233" i="115"/>
  <c r="G234" i="115"/>
  <c r="W186" i="115" s="1"/>
  <c r="W13" i="116"/>
  <c r="S95" i="116"/>
  <c r="S97" i="117"/>
  <c r="W13" i="117"/>
  <c r="I46" i="123"/>
  <c r="S46" i="123"/>
  <c r="G141" i="114"/>
  <c r="W93" i="114" s="1"/>
  <c r="F140" i="114"/>
  <c r="G229" i="114"/>
  <c r="W181" i="114" s="1"/>
  <c r="F228" i="114"/>
  <c r="G146" i="115"/>
  <c r="W98" i="115" s="1"/>
  <c r="F145" i="115"/>
  <c r="F60" i="115"/>
  <c r="G61" i="115"/>
  <c r="F91" i="119"/>
  <c r="F92" i="119" s="1"/>
  <c r="G93" i="119" s="1"/>
  <c r="S128" i="119" s="1"/>
  <c r="S264" i="38"/>
  <c r="G54" i="107"/>
  <c r="G55" i="107" s="1"/>
  <c r="K56" i="107" s="1"/>
  <c r="G55" i="105"/>
  <c r="G56" i="105" s="1"/>
  <c r="K57" i="105" s="1"/>
  <c r="F91" i="112"/>
  <c r="F92" i="112" s="1"/>
  <c r="G94" i="112" s="1"/>
  <c r="S385" i="112" s="1"/>
  <c r="G54" i="109"/>
  <c r="G55" i="109" s="1"/>
  <c r="K56" i="109" s="1"/>
  <c r="F118" i="40"/>
  <c r="F119" i="40" s="1"/>
  <c r="G120" i="40" s="1"/>
  <c r="D236" i="104"/>
  <c r="F236" i="104" s="1"/>
  <c r="D235" i="104"/>
  <c r="F235"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Q352" i="112"/>
  <c r="H353" i="112" s="1"/>
  <c r="L341" i="112"/>
  <c r="F342" i="112" s="1"/>
  <c r="M366" i="112" s="1"/>
  <c r="Q363" i="112"/>
  <c r="E364" i="112"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K274" i="110"/>
  <c r="E275" i="110" s="1"/>
  <c r="H285" i="110" s="1"/>
  <c r="M268" i="110"/>
  <c r="E269" i="110" s="1"/>
  <c r="H281" i="110" s="1"/>
  <c r="L588" i="14"/>
  <c r="Q588" i="14" s="1"/>
  <c r="J589" i="14" s="1"/>
  <c r="G83" i="13"/>
  <c r="G41" i="90"/>
  <c r="F40" i="90"/>
  <c r="N120" i="90"/>
  <c r="K121" i="90" s="1"/>
  <c r="K109" i="90" s="1"/>
  <c r="K110" i="90" s="1"/>
  <c r="G125" i="90" s="1"/>
  <c r="F124" i="90" s="1"/>
  <c r="F125" i="90" s="1"/>
  <c r="G126" i="90" s="1"/>
  <c r="W100" i="90" s="1"/>
  <c r="K79" i="90"/>
  <c r="K68" i="90" s="1"/>
  <c r="G83" i="90" s="1"/>
  <c r="N104" i="89"/>
  <c r="N105" i="89" s="1"/>
  <c r="I43" i="82"/>
  <c r="S43" i="82"/>
  <c r="F246" i="87"/>
  <c r="G247" i="87"/>
  <c r="W199" i="87" s="1"/>
  <c r="W68" i="11"/>
  <c r="F158" i="87"/>
  <c r="G159" i="87"/>
  <c r="W111" i="87" s="1"/>
  <c r="J78" i="85"/>
  <c r="J86" i="85" s="1"/>
  <c r="P70" i="85"/>
  <c r="J111" i="85"/>
  <c r="R81" i="85"/>
  <c r="J82" i="85" s="1"/>
  <c r="J89" i="85" s="1"/>
  <c r="F246" i="84"/>
  <c r="AB138" i="89"/>
  <c r="H192" i="89"/>
  <c r="F158" i="84"/>
  <c r="G159" i="84"/>
  <c r="W111" i="84" s="1"/>
  <c r="AB13" i="89"/>
  <c r="N103" i="89"/>
  <c r="F38" i="77"/>
  <c r="J230" i="38"/>
  <c r="F83" i="77"/>
  <c r="N230"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564" i="14"/>
  <c r="D589" i="14" s="1"/>
  <c r="Q138" i="77"/>
  <c r="W54" i="77"/>
  <c r="N113" i="77"/>
  <c r="K114" i="77" s="1"/>
  <c r="K102" i="77" s="1"/>
  <c r="K103" i="77" s="1"/>
  <c r="G118" i="77" s="1"/>
  <c r="F117" i="77" s="1"/>
  <c r="K79" i="77"/>
  <c r="N116" i="76"/>
  <c r="K117" i="76" s="1"/>
  <c r="K75" i="76"/>
  <c r="K64" i="76" s="1"/>
  <c r="G79" i="76" s="1"/>
  <c r="F78" i="76" s="1"/>
  <c r="Q137" i="77"/>
  <c r="W13" i="77"/>
  <c r="J116" i="9"/>
  <c r="L120" i="9"/>
  <c r="R713" i="6"/>
  <c r="Q720" i="6" s="1"/>
  <c r="F38" i="40"/>
  <c r="G40" i="40" s="1"/>
  <c r="T481" i="7"/>
  <c r="D492" i="7" s="1"/>
  <c r="D404" i="7"/>
  <c r="U573" i="7" s="1"/>
  <c r="L86" i="13"/>
  <c r="F86" i="13"/>
  <c r="J67" i="13"/>
  <c r="O805" i="6"/>
  <c r="O806" i="6" s="1"/>
  <c r="R837" i="6" s="1"/>
  <c r="F852" i="6" s="1"/>
  <c r="R836" i="6"/>
  <c r="F847" i="6" s="1"/>
  <c r="J263" i="8"/>
  <c r="J223" i="8"/>
  <c r="S228" i="8" s="1"/>
  <c r="O238" i="8" s="1"/>
  <c r="G239" i="8" s="1"/>
  <c r="D242" i="8" s="1"/>
  <c r="F241" i="8" s="1"/>
  <c r="I319" i="8"/>
  <c r="M319" i="8"/>
  <c r="R86" i="13"/>
  <c r="J83" i="13"/>
  <c r="J931" i="6"/>
  <c r="J932" i="6"/>
  <c r="J65" i="10"/>
  <c r="J110" i="10" s="1"/>
  <c r="J23" i="10"/>
  <c r="J65" i="9"/>
  <c r="J110" i="9" s="1"/>
  <c r="J23" i="9"/>
  <c r="J102" i="38"/>
  <c r="Q462" i="14"/>
  <c r="Q469" i="14"/>
  <c r="Q454" i="14"/>
  <c r="I86" i="13"/>
  <c r="G67" i="13"/>
  <c r="M70" i="13" s="1"/>
  <c r="M71" i="13" s="1"/>
  <c r="S51" i="158" s="1"/>
  <c r="C86" i="13"/>
  <c r="J511" i="7"/>
  <c r="O516" i="7" s="1"/>
  <c r="O517" i="7" s="1"/>
  <c r="S534" i="7" s="1"/>
  <c r="F542" i="7" s="1"/>
  <c r="J510" i="7"/>
  <c r="C126" i="13"/>
  <c r="G108" i="13"/>
  <c r="M111" i="13" s="1"/>
  <c r="M112" i="13" s="1"/>
  <c r="S53" i="158" s="1"/>
  <c r="I126" i="13"/>
  <c r="Q535" i="14"/>
  <c r="Q541" i="14" s="1"/>
  <c r="R571" i="14"/>
  <c r="Q547" i="14"/>
  <c r="G124" i="13"/>
  <c r="O126" i="13"/>
  <c r="J22" i="15"/>
  <c r="S27" i="15" s="1"/>
  <c r="O37" i="15" s="1"/>
  <c r="G38" i="15" s="1"/>
  <c r="D41" i="15" s="1"/>
  <c r="F40" i="15" s="1"/>
  <c r="J62" i="15"/>
  <c r="O86" i="13"/>
  <c r="J377" i="14"/>
  <c r="J23" i="16"/>
  <c r="J919" i="6"/>
  <c r="R977" i="6" s="1"/>
  <c r="R845" i="6"/>
  <c r="G596" i="14"/>
  <c r="G603" i="14"/>
  <c r="G589" i="14"/>
  <c r="G109" i="13"/>
  <c r="J108" i="13"/>
  <c r="L126" i="13"/>
  <c r="F126" i="13"/>
  <c r="J65" i="17"/>
  <c r="J110" i="17" s="1"/>
  <c r="J23" i="17"/>
  <c r="J124" i="13"/>
  <c r="R126" i="13"/>
  <c r="K77" i="40"/>
  <c r="J22" i="7"/>
  <c r="O26" i="7" s="1"/>
  <c r="O27" i="7" s="1"/>
  <c r="S55" i="7" s="1"/>
  <c r="L65" i="7" s="1"/>
  <c r="D68" i="7" s="1"/>
  <c r="J103" i="7"/>
  <c r="L163" i="104" l="1"/>
  <c r="M164" i="104"/>
  <c r="S170" i="11"/>
  <c r="S175" i="11"/>
  <c r="S106" i="11"/>
  <c r="S101" i="11" s="1"/>
  <c r="W171" i="11"/>
  <c r="W107" i="11"/>
  <c r="W102" i="11" s="1"/>
  <c r="W175" i="11"/>
  <c r="W204" i="11"/>
  <c r="W199" i="11"/>
  <c r="S188" i="165"/>
  <c r="S189" i="165"/>
  <c r="I42" i="172"/>
  <c r="S42" i="172"/>
  <c r="S45" i="172"/>
  <c r="I45" i="172"/>
  <c r="O39" i="165"/>
  <c r="E42" i="165" s="1"/>
  <c r="H67" i="165" s="1"/>
  <c r="G66" i="165" s="1"/>
  <c r="K51" i="165"/>
  <c r="E54" i="165" s="1"/>
  <c r="H71" i="165" s="1"/>
  <c r="G70" i="165" s="1"/>
  <c r="G71" i="165" s="1"/>
  <c r="K72" i="165" s="1"/>
  <c r="D235" i="175"/>
  <c r="F235" i="175" s="1"/>
  <c r="D236" i="175"/>
  <c r="F236" i="175" s="1"/>
  <c r="S108" i="165"/>
  <c r="S109" i="165"/>
  <c r="P69" i="172"/>
  <c r="J108" i="172"/>
  <c r="J76" i="172"/>
  <c r="J83" i="172" s="1"/>
  <c r="R79" i="172"/>
  <c r="J80" i="172" s="1"/>
  <c r="J86" i="172" s="1"/>
  <c r="W229" i="11" s="1"/>
  <c r="L160" i="175"/>
  <c r="M162" i="175"/>
  <c r="S265" i="175" s="1"/>
  <c r="L161" i="175"/>
  <c r="J109" i="176"/>
  <c r="P70" i="176"/>
  <c r="J77" i="176"/>
  <c r="J84" i="176" s="1"/>
  <c r="R80" i="176"/>
  <c r="J81" i="176" s="1"/>
  <c r="J87" i="176" s="1"/>
  <c r="W166" i="11" s="1"/>
  <c r="S46" i="176"/>
  <c r="I46" i="176"/>
  <c r="W52" i="174"/>
  <c r="Q136" i="174"/>
  <c r="Q274" i="11" s="1"/>
  <c r="L81" i="110"/>
  <c r="M82" i="110"/>
  <c r="S297" i="110" s="1"/>
  <c r="S43" i="176"/>
  <c r="I43" i="176"/>
  <c r="Q102" i="148"/>
  <c r="Q108" i="148" s="1"/>
  <c r="Q109" i="148" s="1"/>
  <c r="H112" i="148" s="1"/>
  <c r="H113" i="148" s="1"/>
  <c r="N66" i="160"/>
  <c r="N68" i="154"/>
  <c r="N69" i="154" s="1"/>
  <c r="W184" i="11" s="1"/>
  <c r="K131" i="167"/>
  <c r="E134" i="167" s="1"/>
  <c r="H151" i="167" s="1"/>
  <c r="G150" i="167" s="1"/>
  <c r="G151" i="167" s="1"/>
  <c r="K152" i="167" s="1"/>
  <c r="O119" i="167"/>
  <c r="E122" i="167" s="1"/>
  <c r="H147" i="167" s="1"/>
  <c r="K51" i="171"/>
  <c r="E54" i="171" s="1"/>
  <c r="H71" i="171" s="1"/>
  <c r="G70" i="171" s="1"/>
  <c r="G71" i="171" s="1"/>
  <c r="K72" i="171" s="1"/>
  <c r="O39" i="171"/>
  <c r="E42" i="171" s="1"/>
  <c r="H67" i="171" s="1"/>
  <c r="G66" i="166"/>
  <c r="K215" i="166"/>
  <c r="E218" i="166" s="1"/>
  <c r="H235" i="166" s="1"/>
  <c r="G234" i="166" s="1"/>
  <c r="G235" i="166" s="1"/>
  <c r="K236" i="166" s="1"/>
  <c r="O199" i="166"/>
  <c r="E202" i="166" s="1"/>
  <c r="H231" i="166" s="1"/>
  <c r="G230" i="166" s="1"/>
  <c r="S109" i="170"/>
  <c r="S108" i="170"/>
  <c r="S109" i="168"/>
  <c r="S108" i="168"/>
  <c r="S189" i="168"/>
  <c r="S188" i="168"/>
  <c r="S189" i="170"/>
  <c r="S188" i="170"/>
  <c r="O39" i="168"/>
  <c r="E42" i="168" s="1"/>
  <c r="H67" i="168" s="1"/>
  <c r="K51" i="168"/>
  <c r="E54" i="168" s="1"/>
  <c r="H71" i="168" s="1"/>
  <c r="G70" i="168" s="1"/>
  <c r="G71" i="168" s="1"/>
  <c r="K72" i="168" s="1"/>
  <c r="S109" i="169"/>
  <c r="S108" i="169"/>
  <c r="K215" i="167"/>
  <c r="E218" i="167" s="1"/>
  <c r="H235" i="167" s="1"/>
  <c r="G234" i="167" s="1"/>
  <c r="G235" i="167" s="1"/>
  <c r="K236" i="167" s="1"/>
  <c r="O199" i="167"/>
  <c r="E202" i="167" s="1"/>
  <c r="H231" i="167" s="1"/>
  <c r="G230" i="167" s="1"/>
  <c r="S189" i="169"/>
  <c r="S188" i="169"/>
  <c r="S188" i="171"/>
  <c r="S189" i="171"/>
  <c r="K131" i="166"/>
  <c r="E134" i="166" s="1"/>
  <c r="H151" i="166" s="1"/>
  <c r="G150" i="166" s="1"/>
  <c r="G151" i="166" s="1"/>
  <c r="K152" i="166" s="1"/>
  <c r="O119" i="166"/>
  <c r="E122" i="166" s="1"/>
  <c r="H147" i="166" s="1"/>
  <c r="S109" i="171"/>
  <c r="S108" i="171"/>
  <c r="G66" i="167"/>
  <c r="K51" i="170"/>
  <c r="E54" i="170" s="1"/>
  <c r="H71" i="170" s="1"/>
  <c r="G70" i="170" s="1"/>
  <c r="G71" i="170" s="1"/>
  <c r="K72" i="170" s="1"/>
  <c r="O39" i="170"/>
  <c r="E42" i="170" s="1"/>
  <c r="H67" i="170" s="1"/>
  <c r="O39" i="169"/>
  <c r="E42" i="169" s="1"/>
  <c r="H67" i="169" s="1"/>
  <c r="K51" i="169"/>
  <c r="E54" i="169" s="1"/>
  <c r="H71" i="169" s="1"/>
  <c r="G70" i="169" s="1"/>
  <c r="G71" i="169" s="1"/>
  <c r="K72" i="169" s="1"/>
  <c r="I90" i="158"/>
  <c r="S206" i="158"/>
  <c r="I75" i="158"/>
  <c r="D77" i="158" s="1"/>
  <c r="I82" i="158"/>
  <c r="S204" i="158"/>
  <c r="R135" i="158"/>
  <c r="F144" i="158" s="1"/>
  <c r="D147" i="158" s="1"/>
  <c r="Q152" i="158" s="1"/>
  <c r="Q153" i="158" s="1"/>
  <c r="H155" i="158" s="1"/>
  <c r="G154" i="158" s="1"/>
  <c r="Q102" i="147"/>
  <c r="Q108" i="147" s="1"/>
  <c r="Q109" i="147" s="1"/>
  <c r="H112" i="147" s="1"/>
  <c r="H113" i="147" s="1"/>
  <c r="Q102" i="151"/>
  <c r="Q108" i="151" s="1"/>
  <c r="Q109" i="151" s="1"/>
  <c r="H112" i="151" s="1"/>
  <c r="H113" i="151" s="1"/>
  <c r="Q102" i="145"/>
  <c r="Q108" i="145" s="1"/>
  <c r="Q109" i="145" s="1"/>
  <c r="AB13" i="145" s="1"/>
  <c r="N92" i="162"/>
  <c r="N93" i="162" s="1"/>
  <c r="H95" i="162" s="1"/>
  <c r="S702" i="162" s="1"/>
  <c r="S111" i="11" s="1"/>
  <c r="AB13" i="164"/>
  <c r="N91" i="164"/>
  <c r="J472" i="154"/>
  <c r="J473" i="154" s="1"/>
  <c r="S486" i="154" s="1"/>
  <c r="O507" i="154" s="1"/>
  <c r="G508" i="154" s="1"/>
  <c r="D511" i="154" s="1"/>
  <c r="F510" i="154" s="1"/>
  <c r="J385" i="154"/>
  <c r="S398" i="154" s="1"/>
  <c r="O419" i="154" s="1"/>
  <c r="G420" i="154" s="1"/>
  <c r="D423" i="154" s="1"/>
  <c r="F422" i="154" s="1"/>
  <c r="M165" i="134"/>
  <c r="S268" i="134" s="1"/>
  <c r="S173" i="159"/>
  <c r="Q179" i="159" s="1"/>
  <c r="D181" i="159" s="1"/>
  <c r="S209" i="159"/>
  <c r="M212" i="159" s="1"/>
  <c r="G213" i="159" s="1"/>
  <c r="S196" i="159"/>
  <c r="Q202" i="159" s="1"/>
  <c r="D204" i="159" s="1"/>
  <c r="S238" i="159"/>
  <c r="Q246" i="159" s="1"/>
  <c r="D248" i="159" s="1"/>
  <c r="M165" i="137"/>
  <c r="S266" i="137" s="1"/>
  <c r="S209" i="162"/>
  <c r="M212" i="162" s="1"/>
  <c r="G213" i="162" s="1"/>
  <c r="S173" i="162"/>
  <c r="Q179" i="162" s="1"/>
  <c r="D181" i="162" s="1"/>
  <c r="S238" i="162"/>
  <c r="Q246" i="162" s="1"/>
  <c r="D248" i="162" s="1"/>
  <c r="S196" i="162"/>
  <c r="Q202" i="162" s="1"/>
  <c r="D204" i="162" s="1"/>
  <c r="J408" i="159"/>
  <c r="J290" i="159"/>
  <c r="O294" i="159" s="1"/>
  <c r="O295" i="159" s="1"/>
  <c r="P297" i="159" s="1"/>
  <c r="S297" i="159" s="1"/>
  <c r="S326" i="159" s="1"/>
  <c r="Q334" i="159" s="1"/>
  <c r="D336" i="159" s="1"/>
  <c r="AB13" i="159"/>
  <c r="N91" i="159"/>
  <c r="N92" i="164"/>
  <c r="N93" i="164" s="1"/>
  <c r="H95" i="164" s="1"/>
  <c r="S702" i="164" s="1"/>
  <c r="S160" i="11" s="1"/>
  <c r="S329" i="154"/>
  <c r="O332" i="154" s="1"/>
  <c r="D335" i="154" s="1"/>
  <c r="S305" i="154"/>
  <c r="O308" i="154" s="1"/>
  <c r="D311" i="154" s="1"/>
  <c r="F240" i="160"/>
  <c r="G241" i="160"/>
  <c r="W193" i="160" s="1"/>
  <c r="M165" i="135"/>
  <c r="S266" i="135" s="1"/>
  <c r="F154" i="154"/>
  <c r="G155" i="154"/>
  <c r="W107" i="154" s="1"/>
  <c r="F243" i="154"/>
  <c r="G244" i="154"/>
  <c r="W196" i="154" s="1"/>
  <c r="S302" i="160"/>
  <c r="O305" i="160" s="1"/>
  <c r="D308" i="160" s="1"/>
  <c r="S326" i="160"/>
  <c r="O329" i="160" s="1"/>
  <c r="D332" i="160" s="1"/>
  <c r="J469" i="160"/>
  <c r="J470" i="160" s="1"/>
  <c r="S483" i="160" s="1"/>
  <c r="O504" i="160" s="1"/>
  <c r="G505" i="160" s="1"/>
  <c r="D508" i="160" s="1"/>
  <c r="F507" i="160" s="1"/>
  <c r="J382" i="160"/>
  <c r="S395" i="160" s="1"/>
  <c r="O416" i="160" s="1"/>
  <c r="G417" i="160" s="1"/>
  <c r="D420" i="160" s="1"/>
  <c r="F419" i="160" s="1"/>
  <c r="S209" i="164"/>
  <c r="M212" i="164" s="1"/>
  <c r="G213" i="164" s="1"/>
  <c r="S173" i="164"/>
  <c r="Q179" i="164" s="1"/>
  <c r="D181" i="164" s="1"/>
  <c r="S238" i="164"/>
  <c r="Q246" i="164" s="1"/>
  <c r="D248" i="164" s="1"/>
  <c r="S196" i="164"/>
  <c r="Q202" i="164" s="1"/>
  <c r="D204" i="164" s="1"/>
  <c r="G153" i="160"/>
  <c r="W105" i="160" s="1"/>
  <c r="F152" i="160"/>
  <c r="AB13" i="162"/>
  <c r="N91" i="162"/>
  <c r="N67" i="160"/>
  <c r="N68" i="160" s="1"/>
  <c r="N67" i="154"/>
  <c r="N92" i="159"/>
  <c r="N93" i="159" s="1"/>
  <c r="W224" i="11"/>
  <c r="M165" i="138"/>
  <c r="S266" i="138" s="1"/>
  <c r="S224" i="11" s="1"/>
  <c r="J408" i="164"/>
  <c r="J290" i="164"/>
  <c r="O294" i="164" s="1"/>
  <c r="O295" i="164" s="1"/>
  <c r="P297" i="164" s="1"/>
  <c r="S297" i="164" s="1"/>
  <c r="S326" i="164" s="1"/>
  <c r="Q334" i="164" s="1"/>
  <c r="D336" i="164" s="1"/>
  <c r="J408" i="162"/>
  <c r="J290" i="162"/>
  <c r="O294" i="162" s="1"/>
  <c r="O295" i="162" s="1"/>
  <c r="P297" i="162" s="1"/>
  <c r="S297" i="162" s="1"/>
  <c r="S326" i="162" s="1"/>
  <c r="Q334" i="162" s="1"/>
  <c r="D336" i="162" s="1"/>
  <c r="W190" i="11"/>
  <c r="M165" i="136"/>
  <c r="S266" i="136" s="1"/>
  <c r="S190" i="11" s="1"/>
  <c r="M165" i="139"/>
  <c r="S266" i="139" s="1"/>
  <c r="N103" i="146"/>
  <c r="N104" i="146" s="1"/>
  <c r="N102" i="146"/>
  <c r="AB13" i="146"/>
  <c r="J374" i="146"/>
  <c r="J240" i="146"/>
  <c r="O244" i="146" s="1"/>
  <c r="O245" i="146" s="1"/>
  <c r="P247" i="146" s="1"/>
  <c r="S247" i="146" s="1"/>
  <c r="S276" i="146" s="1"/>
  <c r="Q284" i="146" s="1"/>
  <c r="D286" i="146" s="1"/>
  <c r="J465" i="145"/>
  <c r="J289" i="145"/>
  <c r="P288" i="145" s="1"/>
  <c r="P289" i="145" s="1"/>
  <c r="R342" i="145" s="1"/>
  <c r="I43" i="124"/>
  <c r="J47" i="124" s="1"/>
  <c r="S144" i="124" s="1"/>
  <c r="H191" i="149"/>
  <c r="AB137" i="149"/>
  <c r="O220" i="148"/>
  <c r="D223" i="148" s="1"/>
  <c r="O215" i="148"/>
  <c r="D218" i="148" s="1"/>
  <c r="O210" i="148"/>
  <c r="D213" i="148" s="1"/>
  <c r="Q228" i="158"/>
  <c r="Q242" i="158"/>
  <c r="Q235" i="158"/>
  <c r="Q224" i="158"/>
  <c r="D226" i="158" s="1"/>
  <c r="Q249" i="158"/>
  <c r="W243" i="11"/>
  <c r="I45" i="153"/>
  <c r="S45" i="153"/>
  <c r="W209" i="11"/>
  <c r="I45" i="152"/>
  <c r="S45" i="152"/>
  <c r="H191" i="146"/>
  <c r="G190" i="146" s="1"/>
  <c r="AB137" i="146"/>
  <c r="J289" i="151"/>
  <c r="P288" i="151" s="1"/>
  <c r="P289" i="151" s="1"/>
  <c r="R342" i="151" s="1"/>
  <c r="J465" i="151"/>
  <c r="S45" i="150"/>
  <c r="I45" i="150"/>
  <c r="S43" i="150"/>
  <c r="I43" i="150"/>
  <c r="L212" i="112"/>
  <c r="F213" i="112" s="1"/>
  <c r="M237" i="112" s="1"/>
  <c r="AB133" i="112" s="1"/>
  <c r="N103" i="149"/>
  <c r="N104" i="149" s="1"/>
  <c r="J465" i="147"/>
  <c r="J289" i="147"/>
  <c r="P288" i="147" s="1"/>
  <c r="P289" i="147" s="1"/>
  <c r="R342" i="147" s="1"/>
  <c r="I42" i="153"/>
  <c r="S42" i="153"/>
  <c r="J108" i="153"/>
  <c r="J76" i="153"/>
  <c r="J83" i="153" s="1"/>
  <c r="P69" i="153"/>
  <c r="R79" i="153"/>
  <c r="J80" i="153" s="1"/>
  <c r="J86" i="153" s="1"/>
  <c r="S42" i="152"/>
  <c r="I42" i="152"/>
  <c r="O215" i="145"/>
  <c r="D218" i="145" s="1"/>
  <c r="O220" i="145"/>
  <c r="D223" i="145" s="1"/>
  <c r="O210" i="145"/>
  <c r="D213" i="145" s="1"/>
  <c r="J374" i="149"/>
  <c r="J240" i="149"/>
  <c r="O244" i="149" s="1"/>
  <c r="O245" i="149" s="1"/>
  <c r="P247" i="149" s="1"/>
  <c r="S247" i="149" s="1"/>
  <c r="S276" i="149" s="1"/>
  <c r="Q284" i="149" s="1"/>
  <c r="D286" i="149" s="1"/>
  <c r="O215" i="151"/>
  <c r="D218" i="151" s="1"/>
  <c r="O220" i="151"/>
  <c r="D223" i="151" s="1"/>
  <c r="O210" i="151"/>
  <c r="D213" i="151" s="1"/>
  <c r="J107" i="150"/>
  <c r="P69" i="150"/>
  <c r="R78" i="150"/>
  <c r="J79" i="150" s="1"/>
  <c r="J85" i="150" s="1"/>
  <c r="J75" i="150"/>
  <c r="J83" i="150" s="1"/>
  <c r="J465" i="148"/>
  <c r="J289" i="148"/>
  <c r="P288" i="148" s="1"/>
  <c r="P289" i="148" s="1"/>
  <c r="R342" i="148" s="1"/>
  <c r="AB13" i="149"/>
  <c r="N102" i="149"/>
  <c r="O215" i="147"/>
  <c r="D218" i="147" s="1"/>
  <c r="O210" i="147"/>
  <c r="D213" i="147" s="1"/>
  <c r="Q234" i="147" s="1"/>
  <c r="Q240" i="147" s="1"/>
  <c r="Q241" i="147" s="1"/>
  <c r="O220" i="147"/>
  <c r="D223" i="147" s="1"/>
  <c r="Q377" i="158"/>
  <c r="Q369" i="158"/>
  <c r="Q363" i="158"/>
  <c r="Q352" i="158"/>
  <c r="D354" i="158" s="1"/>
  <c r="Q381" i="158" s="1"/>
  <c r="Q356" i="158"/>
  <c r="R79" i="152"/>
  <c r="J80" i="152" s="1"/>
  <c r="J86" i="152" s="1"/>
  <c r="J108" i="152"/>
  <c r="J76" i="152"/>
  <c r="J83" i="152" s="1"/>
  <c r="P69" i="152"/>
  <c r="S46" i="124"/>
  <c r="I43" i="123"/>
  <c r="J47" i="123" s="1"/>
  <c r="S144" i="123" s="1"/>
  <c r="Q234" i="112"/>
  <c r="E235" i="112" s="1"/>
  <c r="N69" i="87"/>
  <c r="O110" i="118"/>
  <c r="J78" i="124"/>
  <c r="J86" i="124" s="1"/>
  <c r="I86" i="124" s="1"/>
  <c r="P70" i="124"/>
  <c r="R81" i="124"/>
  <c r="J82" i="124" s="1"/>
  <c r="J89" i="124" s="1"/>
  <c r="S89" i="124" s="1"/>
  <c r="S42" i="142"/>
  <c r="I42" i="142"/>
  <c r="D236" i="138"/>
  <c r="F236" i="138" s="1"/>
  <c r="D237" i="138"/>
  <c r="F237" i="138" s="1"/>
  <c r="L163" i="134"/>
  <c r="L162" i="134"/>
  <c r="D238" i="134"/>
  <c r="F238" i="134" s="1"/>
  <c r="D239" i="134"/>
  <c r="F239" i="134" s="1"/>
  <c r="O96" i="118"/>
  <c r="D99" i="118" s="1"/>
  <c r="O103" i="118"/>
  <c r="L163" i="136"/>
  <c r="L164" i="136"/>
  <c r="D236" i="136"/>
  <c r="F236" i="136" s="1"/>
  <c r="D237" i="136"/>
  <c r="F237" i="136" s="1"/>
  <c r="L163" i="138"/>
  <c r="L164" i="138"/>
  <c r="H107" i="89"/>
  <c r="S320" i="89" s="1"/>
  <c r="D236" i="139"/>
  <c r="F236" i="139" s="1"/>
  <c r="D237" i="139"/>
  <c r="F237" i="139" s="1"/>
  <c r="L163" i="137"/>
  <c r="L164" i="137"/>
  <c r="L164" i="139"/>
  <c r="L163" i="139"/>
  <c r="L163" i="135"/>
  <c r="L164" i="135"/>
  <c r="D236" i="137"/>
  <c r="F236" i="137" s="1"/>
  <c r="D237" i="137"/>
  <c r="F237" i="137" s="1"/>
  <c r="D236" i="135"/>
  <c r="F236" i="135" s="1"/>
  <c r="D237" i="135"/>
  <c r="F237" i="135" s="1"/>
  <c r="G191" i="89"/>
  <c r="G192" i="89" s="1"/>
  <c r="I43" i="85"/>
  <c r="S45" i="142"/>
  <c r="I45" i="142"/>
  <c r="R79" i="142"/>
  <c r="J80" i="142" s="1"/>
  <c r="J86" i="142" s="1"/>
  <c r="W97" i="11" s="1"/>
  <c r="J76" i="142"/>
  <c r="J83" i="142" s="1"/>
  <c r="J108" i="142"/>
  <c r="P69" i="142"/>
  <c r="R81" i="123"/>
  <c r="J82" i="123" s="1"/>
  <c r="J89" i="123" s="1"/>
  <c r="I89" i="123" s="1"/>
  <c r="P70" i="123"/>
  <c r="S77" i="11"/>
  <c r="S72" i="11" s="1"/>
  <c r="J78" i="123"/>
  <c r="J86" i="123" s="1"/>
  <c r="I86" i="123" s="1"/>
  <c r="H58" i="107"/>
  <c r="S268" i="107" s="1"/>
  <c r="R328" i="91"/>
  <c r="O349" i="91" s="1"/>
  <c r="R248" i="91"/>
  <c r="O276" i="91" s="1"/>
  <c r="O213" i="91"/>
  <c r="D216" i="91" s="1"/>
  <c r="Q281" i="91" s="1"/>
  <c r="Q285" i="91" s="1"/>
  <c r="Q286" i="91" s="1"/>
  <c r="AB179" i="91" s="1"/>
  <c r="O225" i="91"/>
  <c r="O96" i="91"/>
  <c r="D99" i="91" s="1"/>
  <c r="R139" i="91"/>
  <c r="O144" i="91" s="1"/>
  <c r="D147" i="91" s="1"/>
  <c r="Q152" i="91" s="1"/>
  <c r="Q153" i="91" s="1"/>
  <c r="H155" i="91" s="1"/>
  <c r="G154" i="91" s="1"/>
  <c r="G155" i="91" s="1"/>
  <c r="O103" i="91"/>
  <c r="G57" i="114"/>
  <c r="W13" i="114" s="1"/>
  <c r="J375" i="89"/>
  <c r="J376" i="89" s="1"/>
  <c r="O380" i="89" s="1"/>
  <c r="O381" i="89" s="1"/>
  <c r="O383" i="89" s="1"/>
  <c r="Q383" i="89" s="1"/>
  <c r="S407" i="89" s="1"/>
  <c r="Q415" i="89" s="1"/>
  <c r="D417" i="89" s="1"/>
  <c r="N68" i="84"/>
  <c r="I46" i="82"/>
  <c r="J47" i="82" s="1"/>
  <c r="M116" i="109"/>
  <c r="E117" i="109" s="1"/>
  <c r="H135" i="109" s="1"/>
  <c r="H142" i="109" s="1"/>
  <c r="W93" i="109" s="1"/>
  <c r="J111" i="82"/>
  <c r="M116" i="82" s="1"/>
  <c r="J117" i="82" s="1"/>
  <c r="J125" i="82" s="1"/>
  <c r="G51" i="105"/>
  <c r="G52" i="105" s="1"/>
  <c r="K53" i="105" s="1"/>
  <c r="R81" i="82"/>
  <c r="J82" i="82" s="1"/>
  <c r="J89" i="82" s="1"/>
  <c r="I89" i="82" s="1"/>
  <c r="P70" i="82"/>
  <c r="W13" i="122"/>
  <c r="G237" i="104"/>
  <c r="W177" i="104" s="1"/>
  <c r="S91" i="126"/>
  <c r="W13" i="126"/>
  <c r="Q132" i="120"/>
  <c r="Q257" i="11" s="1"/>
  <c r="W11" i="120"/>
  <c r="G56" i="113"/>
  <c r="F55" i="113"/>
  <c r="W51" i="120"/>
  <c r="Q133" i="120"/>
  <c r="Q258" i="11" s="1"/>
  <c r="W264" i="11"/>
  <c r="F116" i="120"/>
  <c r="F117" i="120" s="1"/>
  <c r="G118" i="120" s="1"/>
  <c r="W259" i="11"/>
  <c r="G230" i="113"/>
  <c r="W182" i="113" s="1"/>
  <c r="F229" i="113"/>
  <c r="F141" i="113"/>
  <c r="G142" i="113"/>
  <c r="W94" i="113" s="1"/>
  <c r="R77" i="118"/>
  <c r="T112" i="119"/>
  <c r="H115" i="119" s="1"/>
  <c r="E116" i="119" s="1"/>
  <c r="M118" i="119" s="1"/>
  <c r="S24" i="130"/>
  <c r="S26" i="130" s="1"/>
  <c r="G36" i="130" s="1"/>
  <c r="E37" i="130" s="1"/>
  <c r="H43" i="130" s="1"/>
  <c r="R37" i="118"/>
  <c r="G154" i="118"/>
  <c r="M116" i="124"/>
  <c r="J117" i="124" s="1"/>
  <c r="J125" i="124" s="1"/>
  <c r="R120" i="124"/>
  <c r="J121" i="124" s="1"/>
  <c r="J128" i="124" s="1"/>
  <c r="M116" i="123"/>
  <c r="J117" i="123" s="1"/>
  <c r="J125" i="123" s="1"/>
  <c r="R120" i="123"/>
  <c r="J121" i="123" s="1"/>
  <c r="J128" i="123" s="1"/>
  <c r="W13" i="115"/>
  <c r="S274" i="115"/>
  <c r="O343" i="118"/>
  <c r="R372" i="118"/>
  <c r="O349" i="118"/>
  <c r="O337" i="118"/>
  <c r="D340" i="118" s="1"/>
  <c r="Q410" i="118" s="1"/>
  <c r="Q414" i="118" s="1"/>
  <c r="Q415" i="118" s="1"/>
  <c r="O276" i="118"/>
  <c r="O262" i="118"/>
  <c r="D265" i="118" s="1"/>
  <c r="O269" i="118"/>
  <c r="H288" i="118"/>
  <c r="G287" i="118" s="1"/>
  <c r="AB179" i="118"/>
  <c r="G284" i="110"/>
  <c r="G285" i="110" s="1"/>
  <c r="K286" i="110" s="1"/>
  <c r="W94" i="40"/>
  <c r="G237" i="92"/>
  <c r="W177" i="92" s="1"/>
  <c r="H230" i="107"/>
  <c r="W181" i="107" s="1"/>
  <c r="G222" i="107"/>
  <c r="G223" i="107" s="1"/>
  <c r="K224" i="107" s="1"/>
  <c r="H142" i="107"/>
  <c r="W93" i="107" s="1"/>
  <c r="G134" i="107"/>
  <c r="G135" i="107" s="1"/>
  <c r="K136" i="107" s="1"/>
  <c r="S270" i="105"/>
  <c r="W13" i="105"/>
  <c r="G371" i="112"/>
  <c r="F370" i="112" s="1"/>
  <c r="AB256" i="112"/>
  <c r="S268" i="109"/>
  <c r="W13" i="109"/>
  <c r="N68" i="80"/>
  <c r="T113" i="112"/>
  <c r="H116" i="112" s="1"/>
  <c r="E117" i="112" s="1"/>
  <c r="M118" i="112" s="1"/>
  <c r="G224" i="105"/>
  <c r="G225" i="105" s="1"/>
  <c r="K226" i="105" s="1"/>
  <c r="H232" i="105"/>
  <c r="W183" i="105" s="1"/>
  <c r="G136" i="105"/>
  <c r="G137" i="105" s="1"/>
  <c r="K138" i="105" s="1"/>
  <c r="H144" i="105"/>
  <c r="W95" i="105" s="1"/>
  <c r="H230" i="109"/>
  <c r="W181" i="109" s="1"/>
  <c r="G222" i="109"/>
  <c r="G223" i="109" s="1"/>
  <c r="K224" i="109" s="1"/>
  <c r="G280" i="110"/>
  <c r="G281" i="110" s="1"/>
  <c r="K282" i="110" s="1"/>
  <c r="H288" i="110"/>
  <c r="S298" i="110" s="1"/>
  <c r="G236" i="110"/>
  <c r="W171" i="110" s="1"/>
  <c r="R77" i="91"/>
  <c r="R243" i="91" s="1"/>
  <c r="R37" i="91"/>
  <c r="F53" i="91" s="1"/>
  <c r="D56" i="91" s="1"/>
  <c r="D103" i="91"/>
  <c r="W11" i="90"/>
  <c r="Q144" i="90"/>
  <c r="F82" i="90"/>
  <c r="W263" i="11"/>
  <c r="W116" i="11"/>
  <c r="I46" i="85"/>
  <c r="S46" i="85"/>
  <c r="I89" i="85"/>
  <c r="S89" i="85"/>
  <c r="M116" i="85"/>
  <c r="J117" i="85" s="1"/>
  <c r="J125" i="85" s="1"/>
  <c r="R120" i="85"/>
  <c r="J121" i="85" s="1"/>
  <c r="J128" i="85" s="1"/>
  <c r="S86" i="82"/>
  <c r="I86" i="82"/>
  <c r="H73" i="87"/>
  <c r="H290" i="89"/>
  <c r="G289" i="89" s="1"/>
  <c r="AB232" i="89"/>
  <c r="S86" i="85"/>
  <c r="I86" i="85"/>
  <c r="R38" i="16"/>
  <c r="J39" i="16" s="1"/>
  <c r="J46" i="16" s="1"/>
  <c r="J35" i="16"/>
  <c r="J43" i="16" s="1"/>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6" i="13"/>
  <c r="Q725" i="6"/>
  <c r="Q715" i="6"/>
  <c r="N68" i="79"/>
  <c r="G80" i="76"/>
  <c r="F79" i="76"/>
  <c r="G119" i="77"/>
  <c r="W93" i="77" s="1"/>
  <c r="F118" i="77"/>
  <c r="F39" i="40"/>
  <c r="R275" i="14"/>
  <c r="D301" i="14" s="1"/>
  <c r="R235" i="14"/>
  <c r="R394" i="14" s="1"/>
  <c r="K66" i="40"/>
  <c r="G81" i="40" s="1"/>
  <c r="W252" i="11" s="1"/>
  <c r="J185" i="7"/>
  <c r="J104" i="7"/>
  <c r="O108" i="7" s="1"/>
  <c r="O109" i="7" s="1"/>
  <c r="S137" i="7" s="1"/>
  <c r="L147" i="7" s="1"/>
  <c r="D150" i="7" s="1"/>
  <c r="J505" i="14"/>
  <c r="J506" i="14" s="1"/>
  <c r="P505" i="14" s="1"/>
  <c r="P506" i="14" s="1"/>
  <c r="J378" i="14"/>
  <c r="P377" i="14" s="1"/>
  <c r="P378" i="14" s="1"/>
  <c r="L81" i="38"/>
  <c r="L80" i="38"/>
  <c r="H71" i="7"/>
  <c r="W155" i="11" s="1"/>
  <c r="AB13" i="7"/>
  <c r="J486" i="6"/>
  <c r="R405" i="6"/>
  <c r="G243" i="8"/>
  <c r="F242" i="8"/>
  <c r="J185" i="38"/>
  <c r="J186" i="38" s="1"/>
  <c r="S199" i="38" s="1"/>
  <c r="P230" i="38" s="1"/>
  <c r="H231" i="38" s="1"/>
  <c r="J103" i="38"/>
  <c r="S111" i="38" s="1"/>
  <c r="I154" i="38" s="1"/>
  <c r="D155" i="38" s="1"/>
  <c r="N158" i="38" s="1"/>
  <c r="N159" i="38" s="1"/>
  <c r="M161" i="38" s="1"/>
  <c r="J102" i="15"/>
  <c r="J103" i="15" s="1"/>
  <c r="S108" i="15" s="1"/>
  <c r="O118" i="15" s="1"/>
  <c r="G119" i="15" s="1"/>
  <c r="D122" i="15" s="1"/>
  <c r="F121" i="15" s="1"/>
  <c r="J63" i="15"/>
  <c r="S68" i="15" s="1"/>
  <c r="O78" i="15" s="1"/>
  <c r="G79" i="15" s="1"/>
  <c r="D82" i="15" s="1"/>
  <c r="F81" i="15" s="1"/>
  <c r="J303" i="8"/>
  <c r="J304" i="8" s="1"/>
  <c r="S309" i="8" s="1"/>
  <c r="O319" i="8" s="1"/>
  <c r="G320" i="8" s="1"/>
  <c r="D323" i="8" s="1"/>
  <c r="F322" i="8" s="1"/>
  <c r="J264" i="8"/>
  <c r="S269" i="8" s="1"/>
  <c r="O279" i="8" s="1"/>
  <c r="G280" i="8" s="1"/>
  <c r="D283" i="8" s="1"/>
  <c r="F282" i="8" s="1"/>
  <c r="Q984" i="6"/>
  <c r="Q989" i="6"/>
  <c r="Q979" i="6"/>
  <c r="G42" i="15"/>
  <c r="F41" i="15"/>
  <c r="C127" i="13"/>
  <c r="Q852" i="6"/>
  <c r="Q847" i="6"/>
  <c r="Q857" i="6"/>
  <c r="R38" i="10"/>
  <c r="J39" i="10" s="1"/>
  <c r="J46" i="10" s="1"/>
  <c r="P27" i="10"/>
  <c r="J66" i="10"/>
  <c r="J35" i="10"/>
  <c r="J43" i="10" s="1"/>
  <c r="J35" i="17"/>
  <c r="J43" i="17" s="1"/>
  <c r="R38" i="17"/>
  <c r="J39" i="17" s="1"/>
  <c r="J46" i="17" s="1"/>
  <c r="P27" i="17"/>
  <c r="J66" i="17"/>
  <c r="Q603" i="14"/>
  <c r="Q589" i="14"/>
  <c r="Q596" i="14"/>
  <c r="R968" i="6"/>
  <c r="F979" i="6" s="1"/>
  <c r="O937" i="6"/>
  <c r="O938" i="6" s="1"/>
  <c r="R969" i="6" s="1"/>
  <c r="F984" i="6" s="1"/>
  <c r="F87" i="13"/>
  <c r="F127" i="13"/>
  <c r="X121" i="11"/>
  <c r="W121" i="11"/>
  <c r="Q134" i="40"/>
  <c r="Q251" i="11" s="1"/>
  <c r="W11" i="40"/>
  <c r="O257" i="14"/>
  <c r="O245" i="14"/>
  <c r="D248" i="14" s="1"/>
  <c r="R280" i="14"/>
  <c r="R399" i="14"/>
  <c r="O251" i="14"/>
  <c r="P27" i="16"/>
  <c r="J66" i="9"/>
  <c r="R38" i="9"/>
  <c r="J39" i="9" s="1"/>
  <c r="J46" i="9" s="1"/>
  <c r="J35" i="9"/>
  <c r="J43" i="9" s="1"/>
  <c r="P27" i="9"/>
  <c r="C87" i="13"/>
  <c r="H71" i="154" l="1"/>
  <c r="AB13" i="148"/>
  <c r="W194" i="11"/>
  <c r="R203" i="91"/>
  <c r="S107" i="11"/>
  <c r="S102" i="11" s="1"/>
  <c r="S176" i="11"/>
  <c r="S171" i="11"/>
  <c r="S86" i="123"/>
  <c r="W233" i="11"/>
  <c r="W238" i="11"/>
  <c r="W176" i="11"/>
  <c r="W205" i="11"/>
  <c r="W200" i="11"/>
  <c r="S204" i="11"/>
  <c r="S199" i="11"/>
  <c r="AB13" i="147"/>
  <c r="M113" i="172"/>
  <c r="J114" i="172" s="1"/>
  <c r="J122" i="172" s="1"/>
  <c r="R117" i="172"/>
  <c r="J118" i="172" s="1"/>
  <c r="J125" i="172" s="1"/>
  <c r="O119" i="165"/>
  <c r="E122" i="165" s="1"/>
  <c r="H147" i="165" s="1"/>
  <c r="G146" i="165" s="1"/>
  <c r="K131" i="165"/>
  <c r="E134" i="165" s="1"/>
  <c r="H151" i="165" s="1"/>
  <c r="G150" i="165" s="1"/>
  <c r="G151" i="165" s="1"/>
  <c r="K152" i="165" s="1"/>
  <c r="G237" i="175"/>
  <c r="W177" i="175" s="1"/>
  <c r="S84" i="176"/>
  <c r="I84" i="176"/>
  <c r="R118" i="176"/>
  <c r="J119" i="176" s="1"/>
  <c r="J126" i="176" s="1"/>
  <c r="M114" i="176"/>
  <c r="J115" i="176" s="1"/>
  <c r="J123" i="176" s="1"/>
  <c r="S83" i="172"/>
  <c r="I83" i="172"/>
  <c r="H74" i="165"/>
  <c r="G67" i="165"/>
  <c r="K68" i="165" s="1"/>
  <c r="I87" i="176"/>
  <c r="S87" i="176"/>
  <c r="I86" i="172"/>
  <c r="S86" i="172"/>
  <c r="J47" i="176"/>
  <c r="J46" i="172"/>
  <c r="O199" i="165"/>
  <c r="E202" i="165" s="1"/>
  <c r="H231" i="165" s="1"/>
  <c r="G230" i="165" s="1"/>
  <c r="K215" i="165"/>
  <c r="E218" i="165" s="1"/>
  <c r="H235" i="165" s="1"/>
  <c r="G234" i="165" s="1"/>
  <c r="G235" i="165" s="1"/>
  <c r="K236" i="165" s="1"/>
  <c r="Q234" i="145"/>
  <c r="Q240" i="145" s="1"/>
  <c r="Q241" i="145" s="1"/>
  <c r="AB149" i="145" s="1"/>
  <c r="S86" i="124"/>
  <c r="J46" i="152"/>
  <c r="S141" i="152" s="1"/>
  <c r="S209" i="11" s="1"/>
  <c r="AB13" i="151"/>
  <c r="G146" i="166"/>
  <c r="K215" i="171"/>
  <c r="E218" i="171" s="1"/>
  <c r="H235" i="171" s="1"/>
  <c r="G234" i="171" s="1"/>
  <c r="G235" i="171" s="1"/>
  <c r="K236" i="171" s="1"/>
  <c r="O199" i="171"/>
  <c r="E202" i="171" s="1"/>
  <c r="H231" i="171" s="1"/>
  <c r="G230" i="171" s="1"/>
  <c r="G231" i="167"/>
  <c r="K232" i="167" s="1"/>
  <c r="H238" i="167"/>
  <c r="W173" i="167" s="1"/>
  <c r="O119" i="169"/>
  <c r="E122" i="169" s="1"/>
  <c r="H147" i="169" s="1"/>
  <c r="K131" i="169"/>
  <c r="E134" i="169" s="1"/>
  <c r="H151" i="169" s="1"/>
  <c r="G150" i="169" s="1"/>
  <c r="G151" i="169" s="1"/>
  <c r="K152" i="169" s="1"/>
  <c r="G66" i="168"/>
  <c r="O199" i="169"/>
  <c r="E202" i="169" s="1"/>
  <c r="H231" i="169" s="1"/>
  <c r="G230" i="169" s="1"/>
  <c r="K215" i="169"/>
  <c r="E218" i="169" s="1"/>
  <c r="H235" i="169" s="1"/>
  <c r="G234" i="169" s="1"/>
  <c r="G235" i="169" s="1"/>
  <c r="K236" i="169" s="1"/>
  <c r="K215" i="170"/>
  <c r="E218" i="170" s="1"/>
  <c r="H235" i="170" s="1"/>
  <c r="G234" i="170" s="1"/>
  <c r="G235" i="170" s="1"/>
  <c r="K236" i="170" s="1"/>
  <c r="O199" i="170"/>
  <c r="E202" i="170" s="1"/>
  <c r="H231" i="170" s="1"/>
  <c r="G230" i="170" s="1"/>
  <c r="K215" i="168"/>
  <c r="E218" i="168" s="1"/>
  <c r="H235" i="168" s="1"/>
  <c r="G234" i="168" s="1"/>
  <c r="G235" i="168" s="1"/>
  <c r="K236" i="168" s="1"/>
  <c r="O199" i="168"/>
  <c r="E202" i="168" s="1"/>
  <c r="H231" i="168" s="1"/>
  <c r="G230" i="168" s="1"/>
  <c r="N337" i="154"/>
  <c r="K131" i="168"/>
  <c r="E134" i="168" s="1"/>
  <c r="H151" i="168" s="1"/>
  <c r="G150" i="168" s="1"/>
  <c r="G151" i="168" s="1"/>
  <c r="K152" i="168" s="1"/>
  <c r="O119" i="168"/>
  <c r="E122" i="168" s="1"/>
  <c r="H147" i="168" s="1"/>
  <c r="O119" i="170"/>
  <c r="E122" i="170" s="1"/>
  <c r="H147" i="170" s="1"/>
  <c r="K131" i="170"/>
  <c r="E134" i="170" s="1"/>
  <c r="H151" i="170" s="1"/>
  <c r="G150" i="170" s="1"/>
  <c r="G151" i="170" s="1"/>
  <c r="K152" i="170" s="1"/>
  <c r="H112" i="145"/>
  <c r="H113" i="145" s="1"/>
  <c r="S411" i="145" s="1"/>
  <c r="S126" i="11" s="1"/>
  <c r="G231" i="166"/>
  <c r="K232" i="166" s="1"/>
  <c r="H238" i="166"/>
  <c r="W173" i="166" s="1"/>
  <c r="G66" i="169"/>
  <c r="G66" i="170"/>
  <c r="W218" i="11"/>
  <c r="G67" i="166"/>
  <c r="K68" i="166" s="1"/>
  <c r="H74" i="166"/>
  <c r="W111" i="11"/>
  <c r="G66" i="171"/>
  <c r="G67" i="167"/>
  <c r="K68" i="167" s="1"/>
  <c r="H74" i="167"/>
  <c r="G146" i="167"/>
  <c r="K131" i="171"/>
  <c r="E134" i="171" s="1"/>
  <c r="H151" i="171" s="1"/>
  <c r="G150" i="171" s="1"/>
  <c r="G151" i="171" s="1"/>
  <c r="K152" i="171" s="1"/>
  <c r="O119" i="171"/>
  <c r="E122" i="171" s="1"/>
  <c r="H147" i="171" s="1"/>
  <c r="H156" i="158"/>
  <c r="G155" i="158"/>
  <c r="I228" i="158"/>
  <c r="D230" i="158" s="1"/>
  <c r="I235" i="158"/>
  <c r="S332" i="158"/>
  <c r="S334" i="158"/>
  <c r="I369" i="158" s="1"/>
  <c r="I242" i="158"/>
  <c r="N217" i="159"/>
  <c r="N218" i="159" s="1"/>
  <c r="W92" i="11" s="1"/>
  <c r="N335" i="160"/>
  <c r="N336" i="160" s="1"/>
  <c r="W161" i="11" s="1"/>
  <c r="N216" i="164"/>
  <c r="N217" i="162"/>
  <c r="N218" i="162" s="1"/>
  <c r="H220" i="162" s="1"/>
  <c r="S703" i="162" s="1"/>
  <c r="S112" i="11" s="1"/>
  <c r="N338" i="154"/>
  <c r="N339" i="154" s="1"/>
  <c r="AB281" i="159"/>
  <c r="H339" i="159"/>
  <c r="G338" i="159" s="1"/>
  <c r="J46" i="142"/>
  <c r="J491" i="159"/>
  <c r="J409" i="159"/>
  <c r="O413" i="159" s="1"/>
  <c r="O414" i="159" s="1"/>
  <c r="O416" i="159" s="1"/>
  <c r="Q416" i="159" s="1"/>
  <c r="S440" i="159" s="1"/>
  <c r="Q448" i="159" s="1"/>
  <c r="D450" i="159" s="1"/>
  <c r="H251" i="162"/>
  <c r="G250" i="162" s="1"/>
  <c r="AB137" i="162"/>
  <c r="N216" i="162"/>
  <c r="AB281" i="164"/>
  <c r="H339" i="164"/>
  <c r="G338" i="164" s="1"/>
  <c r="Q234" i="151"/>
  <c r="Q240" i="151" s="1"/>
  <c r="Q241" i="151" s="1"/>
  <c r="H244" i="151" s="1"/>
  <c r="H245" i="151" s="1"/>
  <c r="N217" i="164"/>
  <c r="N218" i="164" s="1"/>
  <c r="H220" i="164" s="1"/>
  <c r="S703" i="164" s="1"/>
  <c r="S161" i="11" s="1"/>
  <c r="J409" i="162"/>
  <c r="O413" i="162" s="1"/>
  <c r="O414" i="162" s="1"/>
  <c r="O416" i="162" s="1"/>
  <c r="Q416" i="162" s="1"/>
  <c r="S440" i="162" s="1"/>
  <c r="Q448" i="162" s="1"/>
  <c r="D450" i="162" s="1"/>
  <c r="J491" i="162"/>
  <c r="W78" i="11"/>
  <c r="W73" i="11" s="1"/>
  <c r="M162" i="38"/>
  <c r="S265" i="38" s="1"/>
  <c r="W160" i="11"/>
  <c r="H70" i="160"/>
  <c r="N216" i="159"/>
  <c r="N334" i="160"/>
  <c r="F423" i="154"/>
  <c r="G424" i="154"/>
  <c r="W376" i="154" s="1"/>
  <c r="F511" i="154"/>
  <c r="G512" i="154"/>
  <c r="W464" i="154" s="1"/>
  <c r="W91" i="11"/>
  <c r="H95" i="159"/>
  <c r="S702" i="159" s="1"/>
  <c r="S91" i="11" s="1"/>
  <c r="G421" i="160"/>
  <c r="W373" i="160" s="1"/>
  <c r="F420" i="160"/>
  <c r="J491" i="164"/>
  <c r="J409" i="164"/>
  <c r="O413" i="164" s="1"/>
  <c r="O414" i="164" s="1"/>
  <c r="O416" i="164" s="1"/>
  <c r="Q416" i="164" s="1"/>
  <c r="S440" i="164" s="1"/>
  <c r="Q448" i="164" s="1"/>
  <c r="D450" i="164" s="1"/>
  <c r="J46" i="153"/>
  <c r="S141" i="153" s="1"/>
  <c r="S243" i="11" s="1"/>
  <c r="H251" i="164"/>
  <c r="G250" i="164" s="1"/>
  <c r="AB137" i="164"/>
  <c r="H251" i="159"/>
  <c r="G250" i="159" s="1"/>
  <c r="AB137" i="159"/>
  <c r="G509" i="160"/>
  <c r="W461" i="160" s="1"/>
  <c r="F508" i="160"/>
  <c r="AB281" i="162"/>
  <c r="H339" i="162"/>
  <c r="G338" i="162" s="1"/>
  <c r="J46" i="150"/>
  <c r="S140" i="150" s="1"/>
  <c r="J466" i="147"/>
  <c r="P465" i="147" s="1"/>
  <c r="P466" i="147" s="1"/>
  <c r="R514" i="147" s="1"/>
  <c r="J592" i="147"/>
  <c r="O355" i="148"/>
  <c r="D358" i="148" s="1"/>
  <c r="O350" i="148"/>
  <c r="D353" i="148" s="1"/>
  <c r="O345" i="148"/>
  <c r="D348" i="148" s="1"/>
  <c r="Q362" i="148" s="1"/>
  <c r="Q368" i="148" s="1"/>
  <c r="Q369" i="148" s="1"/>
  <c r="H106" i="149"/>
  <c r="S319" i="149" s="1"/>
  <c r="S146" i="11" s="1"/>
  <c r="W146" i="11"/>
  <c r="J592" i="148"/>
  <c r="J466" i="148"/>
  <c r="P465" i="148" s="1"/>
  <c r="P466" i="148" s="1"/>
  <c r="R514" i="148" s="1"/>
  <c r="S83" i="150"/>
  <c r="I83" i="150"/>
  <c r="I85" i="150"/>
  <c r="S85" i="150"/>
  <c r="M112" i="150"/>
  <c r="J113" i="150" s="1"/>
  <c r="J121" i="150" s="1"/>
  <c r="R116" i="150"/>
  <c r="J117" i="150" s="1"/>
  <c r="J124" i="150" s="1"/>
  <c r="O355" i="147"/>
  <c r="D358" i="147" s="1"/>
  <c r="O350" i="147"/>
  <c r="D353" i="147" s="1"/>
  <c r="O345" i="147"/>
  <c r="D348" i="147" s="1"/>
  <c r="Q362" i="147" s="1"/>
  <c r="Q368" i="147" s="1"/>
  <c r="Q369" i="147" s="1"/>
  <c r="J457" i="149"/>
  <c r="J375" i="149"/>
  <c r="O379" i="149" s="1"/>
  <c r="O380" i="149" s="1"/>
  <c r="O382" i="149" s="1"/>
  <c r="Q382" i="149" s="1"/>
  <c r="S406" i="149" s="1"/>
  <c r="Q414" i="149" s="1"/>
  <c r="D416" i="149" s="1"/>
  <c r="Q234" i="148"/>
  <c r="Q240" i="148" s="1"/>
  <c r="Q241" i="148" s="1"/>
  <c r="S411" i="148"/>
  <c r="S141" i="11" s="1"/>
  <c r="W141" i="11"/>
  <c r="O269" i="91"/>
  <c r="G190" i="149"/>
  <c r="S411" i="147"/>
  <c r="S136" i="11" s="1"/>
  <c r="W136" i="11"/>
  <c r="I83" i="152"/>
  <c r="S83" i="152"/>
  <c r="S411" i="151"/>
  <c r="O355" i="145"/>
  <c r="D358" i="145" s="1"/>
  <c r="O350" i="145"/>
  <c r="D353" i="145" s="1"/>
  <c r="O345" i="145"/>
  <c r="D348" i="145" s="1"/>
  <c r="Q362" i="145" s="1"/>
  <c r="Q368" i="145" s="1"/>
  <c r="Q369" i="145" s="1"/>
  <c r="G240" i="112"/>
  <c r="F239" i="112" s="1"/>
  <c r="G241" i="112" s="1"/>
  <c r="J466" i="145"/>
  <c r="P465" i="145" s="1"/>
  <c r="P466" i="145" s="1"/>
  <c r="R514" i="145" s="1"/>
  <c r="J592" i="145"/>
  <c r="W244" i="11"/>
  <c r="S86" i="153"/>
  <c r="I86" i="153"/>
  <c r="J457" i="146"/>
  <c r="J375" i="146"/>
  <c r="O379" i="146" s="1"/>
  <c r="O380" i="146" s="1"/>
  <c r="O382" i="146" s="1"/>
  <c r="Q382" i="146" s="1"/>
  <c r="S406" i="146" s="1"/>
  <c r="Q414" i="146" s="1"/>
  <c r="D416" i="146" s="1"/>
  <c r="S83" i="153"/>
  <c r="I83" i="153"/>
  <c r="H244" i="147"/>
  <c r="H245" i="147" s="1"/>
  <c r="AB149" i="147"/>
  <c r="AB231" i="149"/>
  <c r="H289" i="149"/>
  <c r="G288" i="149" s="1"/>
  <c r="J592" i="151"/>
  <c r="J466" i="151"/>
  <c r="P465" i="151" s="1"/>
  <c r="P466" i="151" s="1"/>
  <c r="R514" i="151" s="1"/>
  <c r="O355" i="151"/>
  <c r="D358" i="151" s="1"/>
  <c r="O350" i="151"/>
  <c r="D353" i="151" s="1"/>
  <c r="O345" i="151"/>
  <c r="D348" i="151" s="1"/>
  <c r="Q362" i="151" s="1"/>
  <c r="Q368" i="151" s="1"/>
  <c r="Q369" i="151" s="1"/>
  <c r="O262" i="91"/>
  <c r="D265" i="91" s="1"/>
  <c r="M113" i="152"/>
  <c r="J114" i="152" s="1"/>
  <c r="J122" i="152" s="1"/>
  <c r="R117" i="152"/>
  <c r="J118" i="152" s="1"/>
  <c r="J125" i="152" s="1"/>
  <c r="W210" i="11"/>
  <c r="S86" i="152"/>
  <c r="I86" i="152"/>
  <c r="AB231" i="146"/>
  <c r="H289" i="146"/>
  <c r="G288" i="146" s="1"/>
  <c r="G191" i="146"/>
  <c r="H192" i="146"/>
  <c r="H384" i="158"/>
  <c r="G383" i="158" s="1"/>
  <c r="AB286" i="158"/>
  <c r="M113" i="153"/>
  <c r="J114" i="153" s="1"/>
  <c r="J122" i="153" s="1"/>
  <c r="R117" i="153"/>
  <c r="J118" i="153" s="1"/>
  <c r="J125" i="153" s="1"/>
  <c r="H106" i="146"/>
  <c r="S319" i="146" s="1"/>
  <c r="S131" i="11" s="1"/>
  <c r="W131" i="11"/>
  <c r="O337" i="91"/>
  <c r="D340" i="91" s="1"/>
  <c r="Q410" i="91" s="1"/>
  <c r="Q414" i="91" s="1"/>
  <c r="Q415" i="91" s="1"/>
  <c r="H417" i="91" s="1"/>
  <c r="G416" i="91" s="1"/>
  <c r="O343" i="91"/>
  <c r="R372" i="91"/>
  <c r="O391" i="91" s="1"/>
  <c r="D394" i="91" s="1"/>
  <c r="I89" i="124"/>
  <c r="J90" i="124" s="1"/>
  <c r="W56" i="124" s="1"/>
  <c r="W13" i="107"/>
  <c r="H193" i="89"/>
  <c r="S321" i="89" s="1"/>
  <c r="J47" i="85"/>
  <c r="W13" i="85" s="1"/>
  <c r="S89" i="82"/>
  <c r="G238" i="139"/>
  <c r="W178" i="139" s="1"/>
  <c r="G238" i="136"/>
  <c r="W178" i="136" s="1"/>
  <c r="G238" i="137"/>
  <c r="W178" i="137" s="1"/>
  <c r="S83" i="142"/>
  <c r="I83" i="142"/>
  <c r="G240" i="134"/>
  <c r="W180" i="134" s="1"/>
  <c r="S86" i="142"/>
  <c r="I86" i="142"/>
  <c r="R117" i="142"/>
  <c r="J118" i="142" s="1"/>
  <c r="J125" i="142" s="1"/>
  <c r="M113" i="142"/>
  <c r="J114" i="142" s="1"/>
  <c r="J122" i="142" s="1"/>
  <c r="S89" i="123"/>
  <c r="G238" i="138"/>
  <c r="W178" i="138" s="1"/>
  <c r="G238" i="135"/>
  <c r="W178" i="135" s="1"/>
  <c r="S265" i="114"/>
  <c r="H288" i="91"/>
  <c r="G287" i="91" s="1"/>
  <c r="G288" i="91" s="1"/>
  <c r="W13" i="123"/>
  <c r="J458" i="89"/>
  <c r="J459" i="89" s="1"/>
  <c r="O463" i="89" s="1"/>
  <c r="O464" i="89" s="1"/>
  <c r="O466" i="89" s="1"/>
  <c r="Q466" i="89" s="1"/>
  <c r="S495" i="89" s="1"/>
  <c r="Q503" i="89" s="1"/>
  <c r="D505" i="89" s="1"/>
  <c r="H156" i="91"/>
  <c r="G134" i="109"/>
  <c r="G135" i="109" s="1"/>
  <c r="K136" i="109" s="1"/>
  <c r="R120" i="82"/>
  <c r="J121" i="82" s="1"/>
  <c r="J128" i="82" s="1"/>
  <c r="I128" i="82" s="1"/>
  <c r="W13" i="124"/>
  <c r="Q134" i="120"/>
  <c r="W92" i="120"/>
  <c r="S266" i="113"/>
  <c r="W13" i="113"/>
  <c r="R203" i="118"/>
  <c r="F53" i="118"/>
  <c r="D56" i="118" s="1"/>
  <c r="G42" i="130"/>
  <c r="G43" i="130" s="1"/>
  <c r="H45" i="130" s="1"/>
  <c r="S51" i="130" s="1"/>
  <c r="AB13" i="119"/>
  <c r="G121" i="119"/>
  <c r="F120" i="119" s="1"/>
  <c r="D103" i="118"/>
  <c r="R243" i="118"/>
  <c r="J90" i="123"/>
  <c r="W56" i="123" s="1"/>
  <c r="H417" i="118"/>
  <c r="G416" i="118" s="1"/>
  <c r="AB299" i="118"/>
  <c r="S125" i="123"/>
  <c r="I125" i="123"/>
  <c r="G155" i="118"/>
  <c r="H156" i="118"/>
  <c r="H289" i="118"/>
  <c r="G288" i="118"/>
  <c r="I128" i="123"/>
  <c r="S128" i="123"/>
  <c r="S128" i="124"/>
  <c r="I128" i="124"/>
  <c r="I125" i="124"/>
  <c r="S125" i="124"/>
  <c r="J90" i="85"/>
  <c r="W56" i="85" s="1"/>
  <c r="O405" i="118"/>
  <c r="O391" i="118"/>
  <c r="D394" i="118" s="1"/>
  <c r="O398" i="118"/>
  <c r="Q262" i="11"/>
  <c r="Q268" i="11"/>
  <c r="AB13" i="112"/>
  <c r="G121" i="112"/>
  <c r="F120" i="112" s="1"/>
  <c r="G372" i="112"/>
  <c r="F371" i="112"/>
  <c r="Q118" i="13"/>
  <c r="R323" i="91"/>
  <c r="F343" i="91" s="1"/>
  <c r="F219" i="91"/>
  <c r="D222" i="91" s="1"/>
  <c r="D269" i="91"/>
  <c r="R367" i="91"/>
  <c r="D398" i="91" s="1"/>
  <c r="G84" i="90"/>
  <c r="F83" i="90"/>
  <c r="J90" i="82"/>
  <c r="W56" i="82" s="1"/>
  <c r="S125" i="82"/>
  <c r="I125" i="82"/>
  <c r="AB367" i="89"/>
  <c r="H420" i="89"/>
  <c r="G419" i="89" s="1"/>
  <c r="S128" i="85"/>
  <c r="I128" i="85"/>
  <c r="S125" i="85"/>
  <c r="I125" i="85"/>
  <c r="W13" i="88"/>
  <c r="S67" i="11"/>
  <c r="S144" i="82"/>
  <c r="W13" i="82"/>
  <c r="G290" i="89"/>
  <c r="H291" i="89"/>
  <c r="S46" i="81"/>
  <c r="I46" i="81"/>
  <c r="J47" i="81" s="1"/>
  <c r="S144" i="81" s="1"/>
  <c r="S89" i="81"/>
  <c r="I89" i="81"/>
  <c r="R120" i="81"/>
  <c r="J121" i="81" s="1"/>
  <c r="J128" i="81" s="1"/>
  <c r="M116" i="81"/>
  <c r="J117" i="81" s="1"/>
  <c r="J125" i="81" s="1"/>
  <c r="I86" i="81"/>
  <c r="S86" i="81"/>
  <c r="R435" i="14"/>
  <c r="R565" i="14" s="1"/>
  <c r="D596" i="14" s="1"/>
  <c r="F251" i="14"/>
  <c r="D254" i="14" s="1"/>
  <c r="Q135" i="76"/>
  <c r="W54" i="76"/>
  <c r="F80" i="40"/>
  <c r="F81" i="40" s="1"/>
  <c r="G324" i="8"/>
  <c r="AS83" i="8" s="1"/>
  <c r="F323" i="8"/>
  <c r="H153" i="7"/>
  <c r="W156" i="11" s="1"/>
  <c r="AB95" i="7"/>
  <c r="M129" i="13"/>
  <c r="Q140" i="13" s="1"/>
  <c r="Q142" i="13" s="1"/>
  <c r="F128" i="13"/>
  <c r="J324" i="7"/>
  <c r="J186" i="7"/>
  <c r="O190" i="7" s="1"/>
  <c r="O191" i="7" s="1"/>
  <c r="S222" i="7" s="1"/>
  <c r="L232" i="7" s="1"/>
  <c r="D235" i="7" s="1"/>
  <c r="C88" i="13"/>
  <c r="M91" i="13" s="1"/>
  <c r="M92" i="13" s="1"/>
  <c r="R38" i="118" s="1"/>
  <c r="L160" i="38"/>
  <c r="L161" i="38"/>
  <c r="D235" i="38"/>
  <c r="F235" i="38" s="1"/>
  <c r="D236" i="38"/>
  <c r="F236" i="38" s="1"/>
  <c r="S339" i="8"/>
  <c r="F410" i="14"/>
  <c r="R521" i="14"/>
  <c r="F541" i="14" s="1"/>
  <c r="P88" i="13"/>
  <c r="Q100" i="13" s="1"/>
  <c r="Q102" i="13" s="1"/>
  <c r="S52" i="158" s="1"/>
  <c r="F88" i="13"/>
  <c r="S43" i="16"/>
  <c r="I43" i="16"/>
  <c r="S43" i="9"/>
  <c r="I43" i="9"/>
  <c r="I43" i="10"/>
  <c r="S43" i="10"/>
  <c r="G284" i="8"/>
  <c r="F283"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5" i="7" s="1"/>
  <c r="S155" i="11" s="1"/>
  <c r="S46" i="10"/>
  <c r="I46" i="10"/>
  <c r="O413" i="6"/>
  <c r="D416" i="6" s="1"/>
  <c r="O418" i="6"/>
  <c r="D421" i="6" s="1"/>
  <c r="O408" i="6"/>
  <c r="D411" i="6" s="1"/>
  <c r="O416" i="14"/>
  <c r="R526" i="14"/>
  <c r="O404" i="14"/>
  <c r="D407" i="14" s="1"/>
  <c r="R440" i="14"/>
  <c r="O410" i="14"/>
  <c r="S46" i="17"/>
  <c r="I46" i="17"/>
  <c r="C128" i="13"/>
  <c r="M132" i="13" s="1"/>
  <c r="M133" i="13" s="1"/>
  <c r="G83" i="15"/>
  <c r="F82" i="15"/>
  <c r="J663" i="6"/>
  <c r="J487" i="6"/>
  <c r="P486" i="6" s="1"/>
  <c r="P487" i="6" s="1"/>
  <c r="R540" i="6" s="1"/>
  <c r="O301" i="14"/>
  <c r="O308" i="14"/>
  <c r="O294" i="14"/>
  <c r="D297" i="14" s="1"/>
  <c r="I43" i="17"/>
  <c r="S43" i="17"/>
  <c r="F122" i="15"/>
  <c r="G123" i="15"/>
  <c r="W95" i="15" s="1"/>
  <c r="W122" i="11"/>
  <c r="X122" i="11"/>
  <c r="S138" i="15"/>
  <c r="W13" i="15"/>
  <c r="S233" i="11" l="1"/>
  <c r="S238" i="11"/>
  <c r="W239" i="11"/>
  <c r="W234" i="11"/>
  <c r="S205" i="11"/>
  <c r="S200" i="11"/>
  <c r="J88" i="176"/>
  <c r="H244" i="145"/>
  <c r="H245" i="145" s="1"/>
  <c r="S412" i="145" s="1"/>
  <c r="S127" i="11" s="1"/>
  <c r="G231" i="165"/>
  <c r="K232" i="165" s="1"/>
  <c r="H238" i="165"/>
  <c r="W173" i="165" s="1"/>
  <c r="W13" i="172"/>
  <c r="S141" i="172"/>
  <c r="S228" i="11" s="1"/>
  <c r="J87" i="172"/>
  <c r="W13" i="152"/>
  <c r="W13" i="176"/>
  <c r="S142" i="176"/>
  <c r="S165" i="11" s="1"/>
  <c r="S261" i="165"/>
  <c r="W13" i="165"/>
  <c r="S126" i="176"/>
  <c r="I126" i="176"/>
  <c r="H154" i="165"/>
  <c r="G147" i="165"/>
  <c r="K148" i="165" s="1"/>
  <c r="I123" i="176"/>
  <c r="S123" i="176"/>
  <c r="W56" i="176"/>
  <c r="S143" i="176"/>
  <c r="S166" i="11" s="1"/>
  <c r="S125" i="172"/>
  <c r="I125" i="172"/>
  <c r="S122" i="172"/>
  <c r="I122" i="172"/>
  <c r="W126" i="11"/>
  <c r="G67" i="170"/>
  <c r="K68" i="170" s="1"/>
  <c r="H74" i="170"/>
  <c r="H74" i="169"/>
  <c r="G67" i="169"/>
  <c r="K68" i="169" s="1"/>
  <c r="G146" i="170"/>
  <c r="W219" i="11"/>
  <c r="G146" i="168"/>
  <c r="G231" i="168"/>
  <c r="K232" i="168" s="1"/>
  <c r="H238" i="168"/>
  <c r="W173" i="168" s="1"/>
  <c r="G146" i="171"/>
  <c r="G231" i="169"/>
  <c r="K232" i="169" s="1"/>
  <c r="H238" i="169"/>
  <c r="W173" i="169" s="1"/>
  <c r="G67" i="168"/>
  <c r="K68" i="168" s="1"/>
  <c r="H74" i="168"/>
  <c r="G147" i="167"/>
  <c r="K148" i="167" s="1"/>
  <c r="H154" i="167"/>
  <c r="W112" i="11"/>
  <c r="W13" i="167"/>
  <c r="S261" i="167"/>
  <c r="G146" i="169"/>
  <c r="H220" i="159"/>
  <c r="S703" i="159" s="1"/>
  <c r="S92" i="11" s="1"/>
  <c r="H238" i="170"/>
  <c r="W173" i="170" s="1"/>
  <c r="G231" i="170"/>
  <c r="K232" i="170" s="1"/>
  <c r="H338" i="160"/>
  <c r="S549" i="160" s="1"/>
  <c r="H74" i="171"/>
  <c r="G67" i="171"/>
  <c r="K68" i="171" s="1"/>
  <c r="H238" i="171"/>
  <c r="W173" i="171" s="1"/>
  <c r="G231" i="171"/>
  <c r="K232" i="171" s="1"/>
  <c r="W13" i="166"/>
  <c r="S261" i="166"/>
  <c r="H154" i="166"/>
  <c r="G147" i="166"/>
  <c r="K148" i="166" s="1"/>
  <c r="J87" i="152"/>
  <c r="S205" i="158"/>
  <c r="O81" i="158"/>
  <c r="T81" i="158" s="1"/>
  <c r="G82" i="158" s="1"/>
  <c r="D84" i="158" s="1"/>
  <c r="L102" i="118"/>
  <c r="L268" i="118" s="1"/>
  <c r="S54" i="158"/>
  <c r="R78" i="118"/>
  <c r="R244" i="118" s="1"/>
  <c r="S55" i="158"/>
  <c r="I356" i="158"/>
  <c r="D358" i="158" s="1"/>
  <c r="I363" i="158"/>
  <c r="L109" i="118"/>
  <c r="Q109" i="118" s="1"/>
  <c r="J110" i="118" s="1"/>
  <c r="S56" i="158"/>
  <c r="AB149" i="151"/>
  <c r="J87" i="153"/>
  <c r="S142" i="153" s="1"/>
  <c r="S244" i="11" s="1"/>
  <c r="H340" i="162"/>
  <c r="G339" i="162"/>
  <c r="J579" i="162"/>
  <c r="J580" i="162" s="1"/>
  <c r="O584" i="162" s="1"/>
  <c r="O585" i="162" s="1"/>
  <c r="O587" i="162" s="1"/>
  <c r="Q587" i="162" s="1"/>
  <c r="S616" i="162" s="1"/>
  <c r="Q624" i="162" s="1"/>
  <c r="D626" i="162" s="1"/>
  <c r="J492" i="162"/>
  <c r="O496" i="162" s="1"/>
  <c r="O497" i="162" s="1"/>
  <c r="O499" i="162" s="1"/>
  <c r="Q499" i="162" s="1"/>
  <c r="S528" i="162" s="1"/>
  <c r="Q536" i="162" s="1"/>
  <c r="D538" i="162" s="1"/>
  <c r="AB400" i="162"/>
  <c r="H453" i="162"/>
  <c r="G452" i="162" s="1"/>
  <c r="W13" i="153"/>
  <c r="H340" i="164"/>
  <c r="G339" i="164"/>
  <c r="J87" i="142"/>
  <c r="W55" i="142" s="1"/>
  <c r="G251" i="164"/>
  <c r="H252" i="164"/>
  <c r="G251" i="162"/>
  <c r="H252" i="162"/>
  <c r="J492" i="159"/>
  <c r="O496" i="159" s="1"/>
  <c r="O497" i="159" s="1"/>
  <c r="O499" i="159" s="1"/>
  <c r="Q499" i="159" s="1"/>
  <c r="S528" i="159" s="1"/>
  <c r="Q536" i="159" s="1"/>
  <c r="D538" i="159" s="1"/>
  <c r="J579" i="159"/>
  <c r="J580" i="159" s="1"/>
  <c r="O584" i="159" s="1"/>
  <c r="O585" i="159" s="1"/>
  <c r="O587" i="159" s="1"/>
  <c r="Q587" i="159" s="1"/>
  <c r="S616" i="159" s="1"/>
  <c r="Q624" i="159" s="1"/>
  <c r="D626" i="159" s="1"/>
  <c r="H340" i="159"/>
  <c r="G339" i="159"/>
  <c r="G251" i="159"/>
  <c r="H252" i="159"/>
  <c r="AB400" i="159"/>
  <c r="H453" i="159"/>
  <c r="G452" i="159" s="1"/>
  <c r="W13" i="150"/>
  <c r="H453" i="164"/>
  <c r="G452" i="164" s="1"/>
  <c r="AB400" i="164"/>
  <c r="J579" i="164"/>
  <c r="J580" i="164" s="1"/>
  <c r="O584" i="164" s="1"/>
  <c r="O585" i="164" s="1"/>
  <c r="O587" i="164" s="1"/>
  <c r="Q587" i="164" s="1"/>
  <c r="S616" i="164" s="1"/>
  <c r="Q624" i="164" s="1"/>
  <c r="D626" i="164" s="1"/>
  <c r="J492" i="164"/>
  <c r="O496" i="164" s="1"/>
  <c r="O497" i="164" s="1"/>
  <c r="O499" i="164" s="1"/>
  <c r="Q499" i="164" s="1"/>
  <c r="S528" i="164" s="1"/>
  <c r="Q536" i="164" s="1"/>
  <c r="D538" i="164" s="1"/>
  <c r="W195" i="11"/>
  <c r="H341" i="154"/>
  <c r="S553" i="154" s="1"/>
  <c r="J86" i="150"/>
  <c r="S141" i="150" s="1"/>
  <c r="D346" i="91"/>
  <c r="I125" i="152"/>
  <c r="S125" i="152"/>
  <c r="H372" i="145"/>
  <c r="G371" i="145" s="1"/>
  <c r="AB280" i="145"/>
  <c r="S412" i="151"/>
  <c r="S122" i="152"/>
  <c r="I122" i="152"/>
  <c r="I124" i="150"/>
  <c r="S124" i="150"/>
  <c r="S121" i="150"/>
  <c r="I121" i="150"/>
  <c r="F240" i="112"/>
  <c r="AB280" i="151"/>
  <c r="H372" i="151"/>
  <c r="G371" i="151" s="1"/>
  <c r="O527" i="151"/>
  <c r="D530" i="151" s="1"/>
  <c r="O522" i="151"/>
  <c r="D525" i="151" s="1"/>
  <c r="O517" i="151"/>
  <c r="D520" i="151" s="1"/>
  <c r="J724" i="151"/>
  <c r="J725" i="151" s="1"/>
  <c r="P724" i="151" s="1"/>
  <c r="P725" i="151" s="1"/>
  <c r="R778" i="151" s="1"/>
  <c r="J593" i="151"/>
  <c r="P592" i="151" s="1"/>
  <c r="P593" i="151" s="1"/>
  <c r="R646" i="151" s="1"/>
  <c r="H192" i="149"/>
  <c r="S147" i="11" s="1"/>
  <c r="G191" i="149"/>
  <c r="O517" i="148"/>
  <c r="D520" i="148" s="1"/>
  <c r="O522" i="148"/>
  <c r="D525" i="148" s="1"/>
  <c r="O527" i="148"/>
  <c r="D530" i="148" s="1"/>
  <c r="AB299" i="91"/>
  <c r="J593" i="148"/>
  <c r="P592" i="148" s="1"/>
  <c r="P593" i="148" s="1"/>
  <c r="R646" i="148" s="1"/>
  <c r="J724" i="148"/>
  <c r="J725" i="148" s="1"/>
  <c r="P724" i="148" s="1"/>
  <c r="P725" i="148" s="1"/>
  <c r="R778" i="148" s="1"/>
  <c r="S125" i="153"/>
  <c r="I125" i="153"/>
  <c r="H419" i="149"/>
  <c r="G418" i="149" s="1"/>
  <c r="AB366" i="149"/>
  <c r="O398" i="91"/>
  <c r="H419" i="146"/>
  <c r="G418" i="146" s="1"/>
  <c r="AB366" i="146"/>
  <c r="AB280" i="147"/>
  <c r="H372" i="147"/>
  <c r="G371" i="147" s="1"/>
  <c r="J724" i="145"/>
  <c r="J725" i="145" s="1"/>
  <c r="P724" i="145" s="1"/>
  <c r="P725" i="145" s="1"/>
  <c r="R778" i="145" s="1"/>
  <c r="J593" i="145"/>
  <c r="P592" i="145" s="1"/>
  <c r="P593" i="145" s="1"/>
  <c r="R646" i="145" s="1"/>
  <c r="H290" i="149"/>
  <c r="G289" i="149"/>
  <c r="H244" i="148"/>
  <c r="AB149" i="148"/>
  <c r="I122" i="153"/>
  <c r="S122" i="153"/>
  <c r="J458" i="149"/>
  <c r="O462" i="149" s="1"/>
  <c r="O463" i="149" s="1"/>
  <c r="O465" i="149" s="1"/>
  <c r="Q465" i="149" s="1"/>
  <c r="S494" i="149" s="1"/>
  <c r="Q502" i="149" s="1"/>
  <c r="D504" i="149" s="1"/>
  <c r="J545" i="149"/>
  <c r="J546" i="149" s="1"/>
  <c r="O550" i="149" s="1"/>
  <c r="O551" i="149" s="1"/>
  <c r="O553" i="149" s="1"/>
  <c r="Q553" i="149" s="1"/>
  <c r="S582" i="149" s="1"/>
  <c r="Q590" i="149" s="1"/>
  <c r="D592" i="149" s="1"/>
  <c r="O405" i="91"/>
  <c r="J545" i="146"/>
  <c r="J546" i="146" s="1"/>
  <c r="O550" i="146" s="1"/>
  <c r="O551" i="146" s="1"/>
  <c r="O553" i="146" s="1"/>
  <c r="Q553" i="146" s="1"/>
  <c r="S582" i="146" s="1"/>
  <c r="Q590" i="146" s="1"/>
  <c r="D592" i="146" s="1"/>
  <c r="J458" i="146"/>
  <c r="O462" i="146" s="1"/>
  <c r="O463" i="146" s="1"/>
  <c r="O465" i="146" s="1"/>
  <c r="Q465" i="146" s="1"/>
  <c r="S494" i="146" s="1"/>
  <c r="Q502" i="146" s="1"/>
  <c r="D504" i="146" s="1"/>
  <c r="G384" i="158"/>
  <c r="H385" i="158"/>
  <c r="H372" i="148"/>
  <c r="G371" i="148" s="1"/>
  <c r="AB280" i="148"/>
  <c r="H290" i="146"/>
  <c r="G289" i="146"/>
  <c r="J724" i="147"/>
  <c r="J725" i="147" s="1"/>
  <c r="P724" i="147" s="1"/>
  <c r="P725" i="147" s="1"/>
  <c r="R778" i="147" s="1"/>
  <c r="J593" i="147"/>
  <c r="P592" i="147" s="1"/>
  <c r="P593" i="147" s="1"/>
  <c r="R646" i="147" s="1"/>
  <c r="O522" i="145"/>
  <c r="D525" i="145" s="1"/>
  <c r="O527" i="145"/>
  <c r="D530" i="145" s="1"/>
  <c r="O517" i="145"/>
  <c r="D520" i="145" s="1"/>
  <c r="O517" i="147"/>
  <c r="D520" i="147" s="1"/>
  <c r="O527" i="147"/>
  <c r="D530" i="147" s="1"/>
  <c r="O522" i="147"/>
  <c r="D525" i="147" s="1"/>
  <c r="S144" i="85"/>
  <c r="S116" i="11" s="1"/>
  <c r="I125" i="142"/>
  <c r="S125" i="142"/>
  <c r="J546" i="89"/>
  <c r="J547" i="89" s="1"/>
  <c r="O551" i="89" s="1"/>
  <c r="O552" i="89" s="1"/>
  <c r="O554" i="89" s="1"/>
  <c r="Q554" i="89" s="1"/>
  <c r="S583" i="89" s="1"/>
  <c r="Q591" i="89" s="1"/>
  <c r="D593" i="89" s="1"/>
  <c r="H596" i="89" s="1"/>
  <c r="G595" i="89" s="1"/>
  <c r="S122" i="142"/>
  <c r="I122" i="142"/>
  <c r="W55" i="88"/>
  <c r="S68" i="11"/>
  <c r="W13" i="142"/>
  <c r="S141" i="142"/>
  <c r="S96" i="11" s="1"/>
  <c r="H289" i="91"/>
  <c r="S78" i="11"/>
  <c r="S73" i="11" s="1"/>
  <c r="S128" i="82"/>
  <c r="J130" i="124"/>
  <c r="W101" i="124" s="1"/>
  <c r="Q264" i="11"/>
  <c r="Q259" i="11"/>
  <c r="R204" i="118"/>
  <c r="F59" i="118"/>
  <c r="D62" i="118" s="1"/>
  <c r="R367" i="118"/>
  <c r="D398" i="118" s="1"/>
  <c r="D269" i="118"/>
  <c r="G122" i="119"/>
  <c r="F121" i="119"/>
  <c r="R323" i="118"/>
  <c r="F343" i="118" s="1"/>
  <c r="D346" i="118" s="1"/>
  <c r="F219" i="118"/>
  <c r="D222" i="118" s="1"/>
  <c r="Q102" i="118"/>
  <c r="J103" i="118" s="1"/>
  <c r="D106" i="118" s="1"/>
  <c r="J130" i="123"/>
  <c r="W101" i="123" s="1"/>
  <c r="G417" i="118"/>
  <c r="H418" i="118"/>
  <c r="G122" i="112"/>
  <c r="F121" i="112"/>
  <c r="L109" i="91"/>
  <c r="Q109" i="91" s="1"/>
  <c r="J110" i="91" s="1"/>
  <c r="L102" i="91"/>
  <c r="Q102" i="91" s="1"/>
  <c r="J103" i="91" s="1"/>
  <c r="D106" i="91" s="1"/>
  <c r="R38" i="91"/>
  <c r="F59" i="91" s="1"/>
  <c r="D62" i="91" s="1"/>
  <c r="R78" i="91"/>
  <c r="R244" i="91" s="1"/>
  <c r="L300" i="14"/>
  <c r="Q263" i="11"/>
  <c r="W54" i="90"/>
  <c r="J130" i="85"/>
  <c r="W101" i="85" s="1"/>
  <c r="H508" i="89"/>
  <c r="G507" i="89" s="1"/>
  <c r="AB450" i="89"/>
  <c r="H421" i="89"/>
  <c r="G420" i="89"/>
  <c r="J130" i="82"/>
  <c r="W101" i="82" s="1"/>
  <c r="W97" i="88"/>
  <c r="G417" i="91"/>
  <c r="H418" i="91"/>
  <c r="W13" i="81"/>
  <c r="J90" i="81"/>
  <c r="W56" i="81" s="1"/>
  <c r="AB13" i="6"/>
  <c r="S128" i="81"/>
  <c r="I128" i="81"/>
  <c r="S125" i="81"/>
  <c r="I125" i="81"/>
  <c r="I46" i="16"/>
  <c r="J47" i="16" s="1"/>
  <c r="S55" i="16" s="1"/>
  <c r="S46" i="16"/>
  <c r="D462" i="14"/>
  <c r="L307" i="14"/>
  <c r="Q307" i="14" s="1"/>
  <c r="R276" i="14"/>
  <c r="D308" i="14" s="1"/>
  <c r="R236" i="14"/>
  <c r="F257" i="14" s="1"/>
  <c r="D260" i="14" s="1"/>
  <c r="G82" i="40"/>
  <c r="W52" i="40" s="1"/>
  <c r="J47" i="17"/>
  <c r="S144" i="17" s="1"/>
  <c r="J47" i="10"/>
  <c r="W13" i="10" s="1"/>
  <c r="Q432" i="6"/>
  <c r="Q438" i="6" s="1"/>
  <c r="Q439" i="6" s="1"/>
  <c r="AB149" i="6" s="1"/>
  <c r="J47" i="9"/>
  <c r="W13" i="9" s="1"/>
  <c r="S89" i="17"/>
  <c r="I89" i="17"/>
  <c r="J407" i="7"/>
  <c r="J325" i="7"/>
  <c r="O329" i="7" s="1"/>
  <c r="O330" i="7" s="1"/>
  <c r="S356" i="7" s="1"/>
  <c r="L366" i="7" s="1"/>
  <c r="D369" i="7" s="1"/>
  <c r="R120" i="17"/>
  <c r="J121" i="17" s="1"/>
  <c r="J128" i="17" s="1"/>
  <c r="M116" i="17"/>
  <c r="J117" i="17" s="1"/>
  <c r="J125" i="17" s="1"/>
  <c r="S340" i="8"/>
  <c r="O462" i="14"/>
  <c r="O469" i="14"/>
  <c r="O454" i="14"/>
  <c r="D457" i="14" s="1"/>
  <c r="I86" i="17"/>
  <c r="S86" i="17"/>
  <c r="AB177" i="7"/>
  <c r="H238" i="7"/>
  <c r="G237" i="7" s="1"/>
  <c r="I86" i="10"/>
  <c r="S86" i="10"/>
  <c r="D413" i="14"/>
  <c r="S89" i="9"/>
  <c r="I89" i="9"/>
  <c r="I89" i="10"/>
  <c r="S89" i="10"/>
  <c r="Z63" i="11"/>
  <c r="H154" i="7"/>
  <c r="S266" i="7" s="1"/>
  <c r="S156" i="11" s="1"/>
  <c r="R120" i="9"/>
  <c r="J121" i="9" s="1"/>
  <c r="J128" i="9" s="1"/>
  <c r="M116" i="9"/>
  <c r="J117" i="9" s="1"/>
  <c r="J125" i="9" s="1"/>
  <c r="R120" i="10"/>
  <c r="J121" i="10" s="1"/>
  <c r="J128" i="10" s="1"/>
  <c r="M116" i="10"/>
  <c r="J117" i="10" s="1"/>
  <c r="J125" i="10" s="1"/>
  <c r="J664" i="6"/>
  <c r="P663" i="6" s="1"/>
  <c r="P664" i="6" s="1"/>
  <c r="R712" i="6" s="1"/>
  <c r="J790" i="6"/>
  <c r="S86" i="9"/>
  <c r="I86" i="9"/>
  <c r="O535" i="14"/>
  <c r="D538" i="14" s="1"/>
  <c r="Q608" i="14" s="1"/>
  <c r="Q612" i="14" s="1"/>
  <c r="Q613" i="14" s="1"/>
  <c r="R570" i="14"/>
  <c r="O541" i="14"/>
  <c r="D544" i="14" s="1"/>
  <c r="O547" i="14"/>
  <c r="O548" i="6"/>
  <c r="D551" i="6" s="1"/>
  <c r="O553" i="6"/>
  <c r="D556" i="6" s="1"/>
  <c r="O543" i="6"/>
  <c r="D546" i="6" s="1"/>
  <c r="Q560" i="6" s="1"/>
  <c r="Q566" i="6" s="1"/>
  <c r="Q567" i="6" s="1"/>
  <c r="S139" i="15"/>
  <c r="W54" i="15"/>
  <c r="G237" i="38"/>
  <c r="W177" i="38" s="1"/>
  <c r="D110" i="118" l="1"/>
  <c r="J128" i="176"/>
  <c r="W99" i="176" s="1"/>
  <c r="S234" i="11"/>
  <c r="S239" i="11"/>
  <c r="W127" i="11"/>
  <c r="S195" i="11"/>
  <c r="S185" i="11"/>
  <c r="J127" i="172"/>
  <c r="W98" i="172" s="1"/>
  <c r="S262" i="165"/>
  <c r="W93" i="165"/>
  <c r="S142" i="172"/>
  <c r="S229" i="11" s="1"/>
  <c r="W55" i="172"/>
  <c r="W13" i="171"/>
  <c r="S261" i="171"/>
  <c r="W93" i="167"/>
  <c r="S262" i="167"/>
  <c r="G147" i="171"/>
  <c r="K148" i="171" s="1"/>
  <c r="H154" i="171"/>
  <c r="S261" i="168"/>
  <c r="W13" i="168"/>
  <c r="G147" i="168"/>
  <c r="K148" i="168" s="1"/>
  <c r="H154" i="168"/>
  <c r="S262" i="166"/>
  <c r="W93" i="166"/>
  <c r="H154" i="170"/>
  <c r="G147" i="170"/>
  <c r="K148" i="170" s="1"/>
  <c r="H154" i="169"/>
  <c r="G147" i="169"/>
  <c r="K148" i="169" s="1"/>
  <c r="J127" i="152"/>
  <c r="W98" i="152" s="1"/>
  <c r="W13" i="169"/>
  <c r="S261" i="169"/>
  <c r="S261" i="170"/>
  <c r="S218" i="11" s="1"/>
  <c r="W13" i="170"/>
  <c r="W55" i="153"/>
  <c r="L275" i="118"/>
  <c r="O97" i="158"/>
  <c r="T97" i="158" s="1"/>
  <c r="G98" i="158" s="1"/>
  <c r="S209" i="158"/>
  <c r="I98" i="158"/>
  <c r="S208" i="158"/>
  <c r="O89" i="158"/>
  <c r="T89" i="158" s="1"/>
  <c r="G90" i="158" s="1"/>
  <c r="D92" i="158" s="1"/>
  <c r="S207" i="158"/>
  <c r="O234" i="158"/>
  <c r="T234" i="158" s="1"/>
  <c r="G235" i="158" s="1"/>
  <c r="D237" i="158" s="1"/>
  <c r="S333" i="158"/>
  <c r="O362" i="158" s="1"/>
  <c r="T362" i="158" s="1"/>
  <c r="G363" i="158" s="1"/>
  <c r="D365" i="158" s="1"/>
  <c r="J127" i="142"/>
  <c r="W98" i="142" s="1"/>
  <c r="Q534" i="145"/>
  <c r="Q540" i="145" s="1"/>
  <c r="Q541" i="145" s="1"/>
  <c r="H544" i="145" s="1"/>
  <c r="G543" i="145" s="1"/>
  <c r="Q534" i="151"/>
  <c r="Q540" i="151" s="1"/>
  <c r="Q541" i="151" s="1"/>
  <c r="AB457" i="151" s="1"/>
  <c r="AB571" i="164"/>
  <c r="H629" i="164"/>
  <c r="G628" i="164" s="1"/>
  <c r="AB483" i="159"/>
  <c r="H541" i="159"/>
  <c r="G540" i="159" s="1"/>
  <c r="H454" i="159"/>
  <c r="G453" i="159"/>
  <c r="H629" i="159"/>
  <c r="G628" i="159" s="1"/>
  <c r="AB571" i="159"/>
  <c r="H454" i="164"/>
  <c r="G453" i="164"/>
  <c r="H541" i="164"/>
  <c r="G540" i="164" s="1"/>
  <c r="AB483" i="164"/>
  <c r="G453" i="162"/>
  <c r="H454" i="162"/>
  <c r="W86" i="11"/>
  <c r="S609" i="6"/>
  <c r="S86" i="11" s="1"/>
  <c r="H541" i="162"/>
  <c r="G540" i="162" s="1"/>
  <c r="AB483" i="162"/>
  <c r="AB571" i="162"/>
  <c r="H629" i="162"/>
  <c r="G628" i="162" s="1"/>
  <c r="W55" i="150"/>
  <c r="H245" i="148"/>
  <c r="S142" i="11" s="1"/>
  <c r="O781" i="151"/>
  <c r="D784" i="151" s="1"/>
  <c r="Q798" i="151" s="1"/>
  <c r="Q804" i="151" s="1"/>
  <c r="Q805" i="151" s="1"/>
  <c r="O786" i="151"/>
  <c r="D789" i="151" s="1"/>
  <c r="O791" i="151"/>
  <c r="D794" i="151" s="1"/>
  <c r="Q534" i="147"/>
  <c r="Q540" i="147" s="1"/>
  <c r="Q541" i="147" s="1"/>
  <c r="O781" i="145"/>
  <c r="D784" i="145" s="1"/>
  <c r="Q798" i="145" s="1"/>
  <c r="Q804" i="145" s="1"/>
  <c r="Q805" i="145" s="1"/>
  <c r="O786" i="145"/>
  <c r="D789" i="145" s="1"/>
  <c r="O791" i="145"/>
  <c r="D794" i="145" s="1"/>
  <c r="O781" i="147"/>
  <c r="D784" i="147" s="1"/>
  <c r="Q798" i="147" s="1"/>
  <c r="Q804" i="147" s="1"/>
  <c r="Q805" i="147" s="1"/>
  <c r="O791" i="147"/>
  <c r="D794" i="147" s="1"/>
  <c r="O786" i="147"/>
  <c r="D789" i="147" s="1"/>
  <c r="H373" i="148"/>
  <c r="G372" i="148"/>
  <c r="G419" i="149"/>
  <c r="H420" i="149"/>
  <c r="J126" i="150"/>
  <c r="W97" i="150" s="1"/>
  <c r="O659" i="148"/>
  <c r="D662" i="148" s="1"/>
  <c r="O654" i="148"/>
  <c r="D657" i="148" s="1"/>
  <c r="O649" i="148"/>
  <c r="D652" i="148" s="1"/>
  <c r="Q666" i="148" s="1"/>
  <c r="Q672" i="148" s="1"/>
  <c r="Q673" i="148" s="1"/>
  <c r="AB537" i="149"/>
  <c r="H595" i="149"/>
  <c r="G594" i="149" s="1"/>
  <c r="H507" i="149"/>
  <c r="G506" i="149" s="1"/>
  <c r="AB449" i="149"/>
  <c r="Q534" i="148"/>
  <c r="Q540" i="148" s="1"/>
  <c r="Q541" i="148" s="1"/>
  <c r="O659" i="145"/>
  <c r="D662" i="145" s="1"/>
  <c r="O654" i="145"/>
  <c r="D657" i="145" s="1"/>
  <c r="O649" i="145"/>
  <c r="D652" i="145" s="1"/>
  <c r="Q666" i="145" s="1"/>
  <c r="Q672" i="145" s="1"/>
  <c r="Q673" i="145" s="1"/>
  <c r="H373" i="147"/>
  <c r="G372" i="147"/>
  <c r="H595" i="146"/>
  <c r="G594" i="146" s="1"/>
  <c r="AB537" i="146"/>
  <c r="H373" i="145"/>
  <c r="G372" i="145"/>
  <c r="O659" i="151"/>
  <c r="D662" i="151" s="1"/>
  <c r="O654" i="151"/>
  <c r="D657" i="151" s="1"/>
  <c r="O649" i="151"/>
  <c r="D652" i="151" s="1"/>
  <c r="Q666" i="151" s="1"/>
  <c r="Q672" i="151" s="1"/>
  <c r="Q673" i="151" s="1"/>
  <c r="W55" i="152"/>
  <c r="S142" i="152"/>
  <c r="S210" i="11" s="1"/>
  <c r="G372" i="151"/>
  <c r="H373" i="151"/>
  <c r="O649" i="147"/>
  <c r="D652" i="147" s="1"/>
  <c r="Q666" i="147" s="1"/>
  <c r="Q672" i="147" s="1"/>
  <c r="Q673" i="147" s="1"/>
  <c r="O659" i="147"/>
  <c r="D662" i="147" s="1"/>
  <c r="O654" i="147"/>
  <c r="D657" i="147" s="1"/>
  <c r="H420" i="146"/>
  <c r="G419" i="146"/>
  <c r="J127" i="153"/>
  <c r="W98" i="153" s="1"/>
  <c r="AB449" i="146"/>
  <c r="H507" i="146"/>
  <c r="G506" i="146" s="1"/>
  <c r="O781" i="148"/>
  <c r="D784" i="148" s="1"/>
  <c r="Q798" i="148" s="1"/>
  <c r="Q804" i="148" s="1"/>
  <c r="Q805" i="148" s="1"/>
  <c r="O791" i="148"/>
  <c r="D794" i="148" s="1"/>
  <c r="O786" i="148"/>
  <c r="D789" i="148" s="1"/>
  <c r="AB538" i="89"/>
  <c r="S142" i="142"/>
  <c r="S97" i="11" s="1"/>
  <c r="J130" i="81"/>
  <c r="W101" i="81" s="1"/>
  <c r="D110" i="91"/>
  <c r="D113" i="118"/>
  <c r="Q115" i="118" s="1"/>
  <c r="Q119" i="118" s="1"/>
  <c r="Q120" i="118" s="1"/>
  <c r="R368" i="118"/>
  <c r="D405" i="118" s="1"/>
  <c r="D276" i="118"/>
  <c r="Q268" i="118"/>
  <c r="J269" i="118" s="1"/>
  <c r="L397" i="118"/>
  <c r="Q397" i="118" s="1"/>
  <c r="J398" i="118" s="1"/>
  <c r="D401" i="118" s="1"/>
  <c r="D272" i="118"/>
  <c r="F225" i="118"/>
  <c r="D228" i="118" s="1"/>
  <c r="R324" i="118"/>
  <c r="F349" i="118" s="1"/>
  <c r="D352" i="118" s="1"/>
  <c r="L404" i="118"/>
  <c r="Q404" i="118" s="1"/>
  <c r="J405" i="118" s="1"/>
  <c r="Q275" i="118"/>
  <c r="J276" i="118" s="1"/>
  <c r="L268" i="91"/>
  <c r="Q268" i="91" s="1"/>
  <c r="J269" i="91" s="1"/>
  <c r="D272" i="91" s="1"/>
  <c r="R204" i="91"/>
  <c r="F225" i="91" s="1"/>
  <c r="D228" i="91" s="1"/>
  <c r="L275" i="91"/>
  <c r="Q275" i="91" s="1"/>
  <c r="J276" i="91" s="1"/>
  <c r="Q300" i="14"/>
  <c r="J301" i="14" s="1"/>
  <c r="D304" i="14" s="1"/>
  <c r="L461" i="14"/>
  <c r="D276" i="91"/>
  <c r="R368" i="91"/>
  <c r="D405" i="91" s="1"/>
  <c r="D113" i="91"/>
  <c r="Q115" i="91" s="1"/>
  <c r="Q119" i="91" s="1"/>
  <c r="Q120" i="91" s="1"/>
  <c r="H597" i="89"/>
  <c r="G596" i="89"/>
  <c r="H509" i="89"/>
  <c r="G508" i="89"/>
  <c r="L468" i="14"/>
  <c r="Q468" i="14" s="1"/>
  <c r="J469" i="14" s="1"/>
  <c r="J308" i="14"/>
  <c r="D311" i="14" s="1"/>
  <c r="R395" i="14"/>
  <c r="F416" i="14" s="1"/>
  <c r="D419" i="14" s="1"/>
  <c r="Q135" i="40"/>
  <c r="Q252" i="11" s="1"/>
  <c r="R436" i="14"/>
  <c r="R566" i="14" s="1"/>
  <c r="D603" i="14" s="1"/>
  <c r="W13" i="17"/>
  <c r="S121" i="11"/>
  <c r="Z57" i="11"/>
  <c r="S144" i="10"/>
  <c r="J90" i="17"/>
  <c r="W56" i="17" s="1"/>
  <c r="W13" i="16"/>
  <c r="H442" i="6"/>
  <c r="J90" i="9"/>
  <c r="W56" i="9" s="1"/>
  <c r="S144" i="9"/>
  <c r="H570" i="6"/>
  <c r="G569" i="6" s="1"/>
  <c r="AB280" i="6"/>
  <c r="O603" i="14"/>
  <c r="O589" i="14"/>
  <c r="D592" i="14" s="1"/>
  <c r="O596" i="14"/>
  <c r="H239" i="7"/>
  <c r="G238" i="7"/>
  <c r="S125" i="10"/>
  <c r="I125" i="10"/>
  <c r="S125" i="9"/>
  <c r="I125" i="9"/>
  <c r="H615" i="14"/>
  <c r="G614" i="14" s="1"/>
  <c r="AB251" i="14"/>
  <c r="S128" i="9"/>
  <c r="I128" i="9"/>
  <c r="AB316" i="7"/>
  <c r="H372" i="7"/>
  <c r="G371" i="7" s="1"/>
  <c r="S128" i="10"/>
  <c r="I128" i="10"/>
  <c r="J922" i="6"/>
  <c r="J923" i="6" s="1"/>
  <c r="P922" i="6" s="1"/>
  <c r="P923" i="6" s="1"/>
  <c r="R976" i="6" s="1"/>
  <c r="J791" i="6"/>
  <c r="P790" i="6" s="1"/>
  <c r="P791" i="6" s="1"/>
  <c r="R844" i="6" s="1"/>
  <c r="J495" i="7"/>
  <c r="J496" i="7" s="1"/>
  <c r="O500" i="7" s="1"/>
  <c r="O501" i="7" s="1"/>
  <c r="S532" i="7" s="1"/>
  <c r="L542" i="7" s="1"/>
  <c r="D545" i="7" s="1"/>
  <c r="J408" i="7"/>
  <c r="O412" i="7" s="1"/>
  <c r="O413" i="7" s="1"/>
  <c r="S444" i="7" s="1"/>
  <c r="L454" i="7" s="1"/>
  <c r="D457" i="7" s="1"/>
  <c r="O715" i="6"/>
  <c r="D718" i="6" s="1"/>
  <c r="O725" i="6"/>
  <c r="D728" i="6" s="1"/>
  <c r="O720" i="6"/>
  <c r="D723" i="6" s="1"/>
  <c r="S125" i="17"/>
  <c r="I125" i="17"/>
  <c r="I128" i="17"/>
  <c r="S128" i="17"/>
  <c r="J90" i="10"/>
  <c r="H544" i="151" l="1"/>
  <c r="G543" i="151" s="1"/>
  <c r="AB457" i="145"/>
  <c r="W93" i="170"/>
  <c r="S262" i="170"/>
  <c r="S219" i="11" s="1"/>
  <c r="W93" i="168"/>
  <c r="S262" i="168"/>
  <c r="S262" i="171"/>
  <c r="W93" i="171"/>
  <c r="S262" i="169"/>
  <c r="W93" i="169"/>
  <c r="O241" i="158"/>
  <c r="T241" i="158" s="1"/>
  <c r="G242" i="158" s="1"/>
  <c r="D244" i="158" s="1"/>
  <c r="S335" i="158"/>
  <c r="O368" i="158" s="1"/>
  <c r="T368" i="158" s="1"/>
  <c r="G369" i="158" s="1"/>
  <c r="D371" i="158" s="1"/>
  <c r="S336" i="158"/>
  <c r="I377" i="158" s="1"/>
  <c r="I249" i="158"/>
  <c r="S337" i="158"/>
  <c r="O376" i="158" s="1"/>
  <c r="T376" i="158" s="1"/>
  <c r="G377" i="158" s="1"/>
  <c r="O248" i="158"/>
  <c r="T248" i="158" s="1"/>
  <c r="G249" i="158" s="1"/>
  <c r="D251" i="158" s="1"/>
  <c r="D100" i="158"/>
  <c r="Q102" i="158" s="1"/>
  <c r="H630" i="162"/>
  <c r="G629" i="162"/>
  <c r="H542" i="162"/>
  <c r="G541" i="162"/>
  <c r="H542" i="164"/>
  <c r="G541" i="164"/>
  <c r="W87" i="11"/>
  <c r="H443" i="6"/>
  <c r="S610" i="6" s="1"/>
  <c r="S87" i="11" s="1"/>
  <c r="H542" i="159"/>
  <c r="G541" i="159"/>
  <c r="H630" i="164"/>
  <c r="G629" i="164"/>
  <c r="G629" i="159"/>
  <c r="H630" i="159"/>
  <c r="H676" i="147"/>
  <c r="G675" i="147" s="1"/>
  <c r="AB584" i="147"/>
  <c r="H508" i="149"/>
  <c r="G507" i="149"/>
  <c r="AB584" i="151"/>
  <c r="H676" i="151"/>
  <c r="G675" i="151" s="1"/>
  <c r="AB584" i="148"/>
  <c r="H676" i="148"/>
  <c r="G675" i="148" s="1"/>
  <c r="H545" i="151"/>
  <c r="G544" i="151"/>
  <c r="AB457" i="148"/>
  <c r="H544" i="148"/>
  <c r="G543" i="148" s="1"/>
  <c r="H596" i="149"/>
  <c r="G595" i="149"/>
  <c r="H808" i="147"/>
  <c r="G807" i="147" s="1"/>
  <c r="AB716" i="147"/>
  <c r="H596" i="146"/>
  <c r="G595" i="146"/>
  <c r="AB716" i="148"/>
  <c r="H808" i="148"/>
  <c r="G807" i="148" s="1"/>
  <c r="H508" i="146"/>
  <c r="G507" i="146"/>
  <c r="AB716" i="145"/>
  <c r="H808" i="145"/>
  <c r="G807" i="145" s="1"/>
  <c r="AB584" i="145"/>
  <c r="H676" i="145"/>
  <c r="G675" i="145" s="1"/>
  <c r="H544" i="147"/>
  <c r="G543" i="147" s="1"/>
  <c r="AB457" i="147"/>
  <c r="G544" i="145"/>
  <c r="H545" i="145"/>
  <c r="AB716" i="151"/>
  <c r="H808" i="151"/>
  <c r="G807" i="151" s="1"/>
  <c r="H122" i="118"/>
  <c r="AB13" i="118"/>
  <c r="D408" i="118"/>
  <c r="D279" i="118"/>
  <c r="Q313" i="14"/>
  <c r="Q317" i="14" s="1"/>
  <c r="Q318" i="14" s="1"/>
  <c r="L397" i="91"/>
  <c r="Q397" i="91" s="1"/>
  <c r="J398" i="91" s="1"/>
  <c r="D401" i="91" s="1"/>
  <c r="L404" i="91"/>
  <c r="Q404" i="91" s="1"/>
  <c r="J405" i="91" s="1"/>
  <c r="D408" i="91" s="1"/>
  <c r="R324" i="91"/>
  <c r="F349" i="91" s="1"/>
  <c r="D352" i="91" s="1"/>
  <c r="D279" i="91"/>
  <c r="AB13" i="91"/>
  <c r="H122" i="91"/>
  <c r="Q461" i="14"/>
  <c r="J462" i="14" s="1"/>
  <c r="D465" i="14" s="1"/>
  <c r="L595" i="14"/>
  <c r="Q595" i="14" s="1"/>
  <c r="J596" i="14" s="1"/>
  <c r="D599" i="14" s="1"/>
  <c r="L602" i="14"/>
  <c r="Q602" i="14" s="1"/>
  <c r="J603" i="14" s="1"/>
  <c r="D606" i="14" s="1"/>
  <c r="D469" i="14"/>
  <c r="D472" i="14" s="1"/>
  <c r="R522" i="14"/>
  <c r="F547" i="14" s="1"/>
  <c r="D550" i="14" s="1"/>
  <c r="S145" i="17"/>
  <c r="S145" i="9"/>
  <c r="Z58" i="11"/>
  <c r="S122" i="11"/>
  <c r="J130" i="9"/>
  <c r="W101" i="9" s="1"/>
  <c r="O984" i="6"/>
  <c r="D987" i="6" s="1"/>
  <c r="O979" i="6"/>
  <c r="D982" i="6" s="1"/>
  <c r="Q996" i="6" s="1"/>
  <c r="Q1002" i="6" s="1"/>
  <c r="Q1003" i="6" s="1"/>
  <c r="O989" i="6"/>
  <c r="D992" i="6" s="1"/>
  <c r="Q732" i="6"/>
  <c r="Q738" i="6" s="1"/>
  <c r="Q739" i="6" s="1"/>
  <c r="H616" i="14"/>
  <c r="G615" i="14"/>
  <c r="J130" i="17"/>
  <c r="W101" i="17" s="1"/>
  <c r="J130" i="10"/>
  <c r="W101" i="10" s="1"/>
  <c r="O847" i="6"/>
  <c r="D850" i="6" s="1"/>
  <c r="Q864" i="6" s="1"/>
  <c r="Q870" i="6" s="1"/>
  <c r="Q871" i="6" s="1"/>
  <c r="O852" i="6"/>
  <c r="D855" i="6" s="1"/>
  <c r="O857" i="6"/>
  <c r="D860" i="6" s="1"/>
  <c r="H460" i="7"/>
  <c r="G459" i="7" s="1"/>
  <c r="AB399" i="7"/>
  <c r="H571" i="6"/>
  <c r="G570" i="6"/>
  <c r="H373" i="7"/>
  <c r="G372" i="7"/>
  <c r="H548" i="7"/>
  <c r="G547" i="7" s="1"/>
  <c r="AB487" i="7"/>
  <c r="W56" i="10"/>
  <c r="S145" i="10"/>
  <c r="D379" i="158" l="1"/>
  <c r="Q253" i="158"/>
  <c r="AB166" i="158" s="1"/>
  <c r="H105" i="158"/>
  <c r="AB13" i="158"/>
  <c r="H677" i="151"/>
  <c r="G676" i="151"/>
  <c r="H677" i="145"/>
  <c r="G676" i="145"/>
  <c r="G808" i="148"/>
  <c r="H809" i="148"/>
  <c r="H677" i="148"/>
  <c r="G676" i="148"/>
  <c r="G808" i="151"/>
  <c r="H809" i="151"/>
  <c r="G544" i="147"/>
  <c r="H545" i="147"/>
  <c r="G808" i="145"/>
  <c r="H809" i="145"/>
  <c r="H677" i="147"/>
  <c r="G676" i="147"/>
  <c r="G808" i="147"/>
  <c r="H809" i="147"/>
  <c r="H545" i="148"/>
  <c r="G544" i="148"/>
  <c r="Q474" i="14"/>
  <c r="Q478" i="14" s="1"/>
  <c r="Q479" i="14" s="1"/>
  <c r="H481" i="14" s="1"/>
  <c r="W58" i="11" s="1"/>
  <c r="Z121" i="118"/>
  <c r="H123" i="118"/>
  <c r="S431" i="118" s="1"/>
  <c r="R142" i="118"/>
  <c r="R142" i="91"/>
  <c r="H123" i="91"/>
  <c r="S431" i="91" s="1"/>
  <c r="Z121" i="91"/>
  <c r="H320" i="14"/>
  <c r="W57" i="11" s="1"/>
  <c r="AB13" i="14"/>
  <c r="H742" i="6"/>
  <c r="G741" i="6" s="1"/>
  <c r="AB457" i="6"/>
  <c r="AB716" i="6"/>
  <c r="H1006" i="6"/>
  <c r="G1005" i="6" s="1"/>
  <c r="H549" i="7"/>
  <c r="G548" i="7"/>
  <c r="AB584" i="6"/>
  <c r="H874" i="6"/>
  <c r="G873" i="6" s="1"/>
  <c r="H461" i="7"/>
  <c r="G460" i="7"/>
  <c r="H256" i="158" l="1"/>
  <c r="G255" i="158" s="1"/>
  <c r="W63" i="11"/>
  <c r="W62" i="11"/>
  <c r="G104" i="158"/>
  <c r="AB125" i="14"/>
  <c r="G480" i="14"/>
  <c r="H482" i="14" s="1"/>
  <c r="S630" i="14" s="1"/>
  <c r="S58" i="11" s="1"/>
  <c r="H321" i="14"/>
  <c r="S629" i="14" s="1"/>
  <c r="S57" i="11" s="1"/>
  <c r="Z67" i="14"/>
  <c r="G1006" i="6"/>
  <c r="H1007" i="6"/>
  <c r="G874" i="6"/>
  <c r="H875" i="6"/>
  <c r="G742" i="6"/>
  <c r="H743" i="6"/>
  <c r="H106" i="158" l="1"/>
  <c r="S424" i="158" s="1"/>
  <c r="S62" i="11" s="1"/>
  <c r="G105" i="158"/>
  <c r="H257" i="158"/>
  <c r="S425" i="158" s="1"/>
  <c r="S63" i="11" s="1"/>
  <c r="G256" i="158"/>
  <c r="G48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56"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57"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8" authorId="0" shapeId="0" xr:uid="{11B702B1-2834-4C19-AB66-27A78C34D7DF}">
      <text>
        <r>
          <rPr>
            <b/>
            <sz val="10"/>
            <color indexed="81"/>
            <rFont val="Tahoma"/>
            <family val="2"/>
          </rPr>
          <t>aeprcha:</t>
        </r>
        <r>
          <rPr>
            <sz val="10"/>
            <color indexed="81"/>
            <rFont val="Tahoma"/>
            <family val="2"/>
          </rPr>
          <t xml:space="preserve">
Usually 4.00 sqmm
Sometimes 6.00 sqmm</t>
        </r>
      </text>
    </comment>
    <comment ref="S9" authorId="0" shapeId="0" xr:uid="{ACF20C81-ADF8-41E9-94F4-30F7B156A5BB}">
      <text>
        <r>
          <rPr>
            <b/>
            <sz val="10"/>
            <color indexed="81"/>
            <rFont val="Tahoma"/>
            <family val="2"/>
          </rPr>
          <t>aeprcha:</t>
        </r>
        <r>
          <rPr>
            <sz val="10"/>
            <color indexed="81"/>
            <rFont val="Tahoma"/>
            <family val="2"/>
          </rPr>
          <t xml:space="preserve">
4.20 for 4 sqmm cable
2.80 for 6 sqmm cable</t>
        </r>
      </text>
    </comment>
    <comment ref="S10" authorId="1" shapeId="0" xr:uid="{6BA65A99-7E3E-43E6-94B2-74BCEAE3EC9B}">
      <text>
        <r>
          <rPr>
            <b/>
            <sz val="9"/>
            <color indexed="81"/>
            <rFont val="Tahoma"/>
            <family val="2"/>
          </rPr>
          <t>Praful Chandarana:</t>
        </r>
        <r>
          <rPr>
            <sz val="9"/>
            <color indexed="81"/>
            <rFont val="Tahoma"/>
            <family val="2"/>
          </rPr>
          <t xml:space="preserve">
usually 0.00393</t>
        </r>
      </text>
    </comment>
    <comment ref="S26" authorId="0" shapeId="0" xr:uid="{6DB39758-9AB0-4542-AD4E-6EADED73B082}">
      <text>
        <r>
          <rPr>
            <b/>
            <sz val="10"/>
            <color indexed="81"/>
            <rFont val="Tahoma"/>
            <family val="2"/>
          </rPr>
          <t>aeprcha:</t>
        </r>
        <r>
          <rPr>
            <sz val="10"/>
            <color indexed="81"/>
            <rFont val="Tahoma"/>
            <family val="2"/>
          </rPr>
          <t xml:space="preserve">
Usually 4.00 sqmm
Sometimes 6.00 sqmm</t>
        </r>
      </text>
    </comment>
    <comment ref="S27" authorId="0" shapeId="0" xr:uid="{06EA80E0-596E-4097-998D-5E6A2D6E2471}">
      <text>
        <r>
          <rPr>
            <b/>
            <sz val="10"/>
            <color indexed="81"/>
            <rFont val="Tahoma"/>
            <family val="2"/>
          </rPr>
          <t>aeprcha:</t>
        </r>
        <r>
          <rPr>
            <sz val="10"/>
            <color indexed="81"/>
            <rFont val="Tahoma"/>
            <family val="2"/>
          </rPr>
          <t xml:space="preserve">
4.20 for 4 sqmm cable
2.80 for 6 sqmm cable</t>
        </r>
      </text>
    </comment>
    <comment ref="Q55" authorId="0" shapeId="0" xr:uid="{A0A7E7D7-04B1-484B-A578-EEE14DA51F96}">
      <text>
        <r>
          <rPr>
            <b/>
            <sz val="10"/>
            <color indexed="81"/>
            <rFont val="Tahoma"/>
            <family val="2"/>
          </rPr>
          <t>aeprcha:</t>
        </r>
        <r>
          <rPr>
            <sz val="10"/>
            <color indexed="81"/>
            <rFont val="Tahoma"/>
            <family val="2"/>
          </rPr>
          <t xml:space="preserve">
(400kV-60, 220kV to 132kV-40, below 132 kV-15, usually)</t>
        </r>
      </text>
    </comment>
    <comment ref="Q82" authorId="0" shapeId="0" xr:uid="{407D6B0A-82D9-4EC6-9D5C-FBB55C31D691}">
      <text>
        <r>
          <rPr>
            <b/>
            <sz val="10"/>
            <color indexed="81"/>
            <rFont val="Tahoma"/>
            <family val="2"/>
          </rPr>
          <t>aeprcha:</t>
        </r>
        <r>
          <rPr>
            <sz val="10"/>
            <color indexed="81"/>
            <rFont val="Tahoma"/>
            <family val="2"/>
          </rPr>
          <t xml:space="preserve">
Usually 1.0 or 1.1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7" authorId="0" shapeId="0" xr:uid="{10DD6081-0DBC-43ED-9CED-EC820245AABE}">
      <text>
        <r>
          <rPr>
            <b/>
            <sz val="10"/>
            <color indexed="81"/>
            <rFont val="Tahoma"/>
            <family val="2"/>
          </rPr>
          <t>aeprcha:</t>
        </r>
        <r>
          <rPr>
            <sz val="10"/>
            <color indexed="81"/>
            <rFont val="Tahoma"/>
            <family val="2"/>
          </rPr>
          <t xml:space="preserve">
Usually 4.00 sqmm
Sometimes 6.00 sqmm</t>
        </r>
      </text>
    </comment>
    <comment ref="AO7" authorId="0" shapeId="0" xr:uid="{78BE08B6-D634-43CC-A33B-F2A612272178}">
      <text>
        <r>
          <rPr>
            <b/>
            <sz val="10"/>
            <color indexed="81"/>
            <rFont val="Tahoma"/>
            <family val="2"/>
          </rPr>
          <t>aeprcha:</t>
        </r>
        <r>
          <rPr>
            <sz val="10"/>
            <color indexed="81"/>
            <rFont val="Tahoma"/>
            <family val="2"/>
          </rPr>
          <t xml:space="preserve">
Usually 4.00 sqmm
Sometimes 6.00 sqmm</t>
        </r>
      </text>
    </comment>
    <comment ref="S8" authorId="0" shapeId="0" xr:uid="{6FF3B6AD-6EAB-438E-8F04-EAB084BA21B7}">
      <text>
        <r>
          <rPr>
            <b/>
            <sz val="10"/>
            <color indexed="81"/>
            <rFont val="Tahoma"/>
            <family val="2"/>
          </rPr>
          <t>aeprcha:</t>
        </r>
        <r>
          <rPr>
            <sz val="10"/>
            <color indexed="81"/>
            <rFont val="Tahoma"/>
            <family val="2"/>
          </rPr>
          <t xml:space="preserve">
4.20 for 4 sqmm cable
2.80 for 6 sqmm cable</t>
        </r>
      </text>
    </comment>
    <comment ref="AO8" authorId="0" shapeId="0" xr:uid="{F598D368-9269-408D-BE91-CA049B18B2ED}">
      <text>
        <r>
          <rPr>
            <b/>
            <sz val="10"/>
            <color indexed="81"/>
            <rFont val="Tahoma"/>
            <family val="2"/>
          </rPr>
          <t>aeprcha:</t>
        </r>
        <r>
          <rPr>
            <sz val="10"/>
            <color indexed="81"/>
            <rFont val="Tahoma"/>
            <family val="2"/>
          </rPr>
          <t xml:space="preserve">
4.20 for 4 sqmm cable
2.80 for 6 sqmm cable</t>
        </r>
      </text>
    </comment>
    <comment ref="S9" authorId="1" shapeId="0" xr:uid="{7160F2C4-3DB6-47B4-B199-16C3FBC5BF68}">
      <text>
        <r>
          <rPr>
            <b/>
            <sz val="9"/>
            <color indexed="81"/>
            <rFont val="Tahoma"/>
            <family val="2"/>
          </rPr>
          <t>Praful Chandarana:</t>
        </r>
        <r>
          <rPr>
            <sz val="9"/>
            <color indexed="81"/>
            <rFont val="Tahoma"/>
            <family val="2"/>
          </rPr>
          <t xml:space="preserve">
usually 0.00393</t>
        </r>
      </text>
    </comment>
    <comment ref="AO9" authorId="1" shapeId="0" xr:uid="{81BAB07B-0C32-4D24-B7E6-ABE5479A298B}">
      <text>
        <r>
          <rPr>
            <b/>
            <sz val="9"/>
            <color indexed="81"/>
            <rFont val="Tahoma"/>
            <family val="2"/>
          </rPr>
          <t>Praful Chandarana:</t>
        </r>
        <r>
          <rPr>
            <sz val="9"/>
            <color indexed="81"/>
            <rFont val="Tahoma"/>
            <family val="2"/>
          </rPr>
          <t xml:space="preserve">
usually 0.00393</t>
        </r>
      </text>
    </comment>
    <comment ref="S25" authorId="0" shapeId="0" xr:uid="{83AD4475-CB0E-4C74-81B3-075F0DF8DCA7}">
      <text>
        <r>
          <rPr>
            <b/>
            <sz val="10"/>
            <color indexed="81"/>
            <rFont val="Tahoma"/>
            <family val="2"/>
          </rPr>
          <t>aeprcha:</t>
        </r>
        <r>
          <rPr>
            <sz val="10"/>
            <color indexed="81"/>
            <rFont val="Tahoma"/>
            <family val="2"/>
          </rPr>
          <t xml:space="preserve">
Usually 4.00 sqmm
Sometimes 6.00 sqmm</t>
        </r>
      </text>
    </comment>
    <comment ref="AO25" authorId="0" shapeId="0" xr:uid="{E5E454D6-F336-44CD-AF61-F8A231E94995}">
      <text>
        <r>
          <rPr>
            <b/>
            <sz val="10"/>
            <color indexed="81"/>
            <rFont val="Tahoma"/>
            <family val="2"/>
          </rPr>
          <t>aeprcha:</t>
        </r>
        <r>
          <rPr>
            <sz val="10"/>
            <color indexed="81"/>
            <rFont val="Tahoma"/>
            <family val="2"/>
          </rPr>
          <t xml:space="preserve">
Usually 4.00 sqmm
Sometimes 6.00 sqmm</t>
        </r>
      </text>
    </comment>
    <comment ref="S26" authorId="0" shapeId="0" xr:uid="{2C5176DE-FFFE-44DA-BF25-463C4E4000D0}">
      <text>
        <r>
          <rPr>
            <b/>
            <sz val="10"/>
            <color indexed="81"/>
            <rFont val="Tahoma"/>
            <family val="2"/>
          </rPr>
          <t>aeprcha:</t>
        </r>
        <r>
          <rPr>
            <sz val="10"/>
            <color indexed="81"/>
            <rFont val="Tahoma"/>
            <family val="2"/>
          </rPr>
          <t xml:space="preserve">
4.20 for 4 sqmm cable
2.80 for 6 sqmm cable</t>
        </r>
      </text>
    </comment>
    <comment ref="AO26" authorId="0" shapeId="0" xr:uid="{82F82994-51CA-4975-A3F9-94E41C4AC422}">
      <text>
        <r>
          <rPr>
            <b/>
            <sz val="10"/>
            <color indexed="81"/>
            <rFont val="Tahoma"/>
            <family val="2"/>
          </rPr>
          <t>aeprcha:</t>
        </r>
        <r>
          <rPr>
            <sz val="10"/>
            <color indexed="81"/>
            <rFont val="Tahoma"/>
            <family val="2"/>
          </rPr>
          <t xml:space="preserve">
4.20 for 4 sqmm cable
2.80 for 6 sqmm cable</t>
        </r>
      </text>
    </comment>
    <comment ref="Q54" authorId="0" shapeId="0" xr:uid="{02D94114-78C2-4ED5-8708-16797C61E5C6}">
      <text>
        <r>
          <rPr>
            <b/>
            <sz val="10"/>
            <color indexed="81"/>
            <rFont val="Tahoma"/>
            <family val="2"/>
          </rPr>
          <t>aeprcha:</t>
        </r>
        <r>
          <rPr>
            <sz val="10"/>
            <color indexed="81"/>
            <rFont val="Tahoma"/>
            <family val="2"/>
          </rPr>
          <t xml:space="preserve">
(400kV-60, 220kV to 132kV-40, below 132 kV-15, usually)</t>
        </r>
      </text>
    </comment>
    <comment ref="AM54" authorId="0" shapeId="0" xr:uid="{FB03C2E4-6834-4E7A-AE7B-CFDF5AA7E40F}">
      <text>
        <r>
          <rPr>
            <b/>
            <sz val="10"/>
            <color indexed="81"/>
            <rFont val="Tahoma"/>
            <family val="2"/>
          </rPr>
          <t>aeprcha:</t>
        </r>
        <r>
          <rPr>
            <sz val="10"/>
            <color indexed="81"/>
            <rFont val="Tahoma"/>
            <family val="2"/>
          </rPr>
          <t xml:space="preserve">
(400kV-60, 220kV to 132kV-40, below 132 kV-15, usually)</t>
        </r>
      </text>
    </comment>
    <comment ref="Q81" authorId="0" shapeId="0" xr:uid="{8B53B3C0-AEF2-4042-8C94-6E5723DBC4A0}">
      <text>
        <r>
          <rPr>
            <b/>
            <sz val="10"/>
            <color indexed="81"/>
            <rFont val="Tahoma"/>
            <family val="2"/>
          </rPr>
          <t>aeprcha:</t>
        </r>
        <r>
          <rPr>
            <sz val="10"/>
            <color indexed="81"/>
            <rFont val="Tahoma"/>
            <family val="2"/>
          </rPr>
          <t xml:space="preserve">
Usually 1.0 or 1.1</t>
        </r>
      </text>
    </comment>
    <comment ref="AM81" authorId="0" shapeId="0" xr:uid="{AAFAB216-21E1-4891-A673-1C48CA4ACF62}">
      <text>
        <r>
          <rPr>
            <b/>
            <sz val="10"/>
            <color indexed="81"/>
            <rFont val="Tahoma"/>
            <family val="2"/>
          </rPr>
          <t>aeprcha:</t>
        </r>
        <r>
          <rPr>
            <sz val="10"/>
            <color indexed="81"/>
            <rFont val="Tahoma"/>
            <family val="2"/>
          </rPr>
          <t xml:space="preserve">
Usually 1.0 or 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8" authorId="0" shapeId="0" xr:uid="{05E57A33-DEC3-4C6D-993E-D6F159B5A1EF}">
      <text>
        <r>
          <rPr>
            <b/>
            <sz val="10"/>
            <color indexed="81"/>
            <rFont val="Tahoma"/>
            <family val="2"/>
          </rPr>
          <t>aeprcha:</t>
        </r>
        <r>
          <rPr>
            <sz val="10"/>
            <color indexed="81"/>
            <rFont val="Tahoma"/>
            <family val="2"/>
          </rPr>
          <t xml:space="preserve">
Usually 4.00 sqmm
Sometimes 6.00 sqmm</t>
        </r>
      </text>
    </comment>
    <comment ref="S9" authorId="0" shapeId="0" xr:uid="{7177B32D-FB4E-412E-9A6D-D3DEFC62ACD1}">
      <text>
        <r>
          <rPr>
            <b/>
            <sz val="10"/>
            <color indexed="81"/>
            <rFont val="Tahoma"/>
            <family val="2"/>
          </rPr>
          <t>aeprcha:</t>
        </r>
        <r>
          <rPr>
            <sz val="10"/>
            <color indexed="81"/>
            <rFont val="Tahoma"/>
            <family val="2"/>
          </rPr>
          <t xml:space="preserve">
4.20 for 4 sqmm cable
2.80 for 6 sqmm cable</t>
        </r>
      </text>
    </comment>
    <comment ref="S10" authorId="1" shapeId="0" xr:uid="{D95D180D-7315-4F64-8D84-77F900259764}">
      <text>
        <r>
          <rPr>
            <b/>
            <sz val="9"/>
            <color indexed="81"/>
            <rFont val="Tahoma"/>
            <family val="2"/>
          </rPr>
          <t>Praful Chandarana:</t>
        </r>
        <r>
          <rPr>
            <sz val="9"/>
            <color indexed="81"/>
            <rFont val="Tahoma"/>
            <family val="2"/>
          </rPr>
          <t xml:space="preserve">
usually 0.00393</t>
        </r>
      </text>
    </comment>
    <comment ref="S27" authorId="0" shapeId="0" xr:uid="{937939DA-98FB-41C0-A46A-C4692AFA648F}">
      <text>
        <r>
          <rPr>
            <b/>
            <sz val="10"/>
            <color indexed="81"/>
            <rFont val="Tahoma"/>
            <family val="2"/>
          </rPr>
          <t>aeprcha:</t>
        </r>
        <r>
          <rPr>
            <sz val="10"/>
            <color indexed="81"/>
            <rFont val="Tahoma"/>
            <family val="2"/>
          </rPr>
          <t xml:space="preserve">
Usually 4.00 sqmm
Sometimes 6.00 sqmm</t>
        </r>
      </text>
    </comment>
    <comment ref="S28" authorId="0" shapeId="0" xr:uid="{4B8238DA-52C0-4A45-ACB9-C8CA95AE5013}">
      <text>
        <r>
          <rPr>
            <b/>
            <sz val="10"/>
            <color indexed="81"/>
            <rFont val="Tahoma"/>
            <family val="2"/>
          </rPr>
          <t>aeprcha:</t>
        </r>
        <r>
          <rPr>
            <sz val="10"/>
            <color indexed="81"/>
            <rFont val="Tahoma"/>
            <family val="2"/>
          </rPr>
          <t xml:space="preserve">
4.20 for 4 sqmm cable
2.80 for 6 sqmm cable</t>
        </r>
      </text>
    </comment>
    <comment ref="Q64" authorId="0" shapeId="0" xr:uid="{05A4541E-E779-4780-9F15-6F144743669E}">
      <text>
        <r>
          <rPr>
            <b/>
            <sz val="10"/>
            <color indexed="81"/>
            <rFont val="Tahoma"/>
            <family val="2"/>
          </rPr>
          <t>aeprcha:</t>
        </r>
        <r>
          <rPr>
            <sz val="10"/>
            <color indexed="81"/>
            <rFont val="Tahoma"/>
            <family val="2"/>
          </rPr>
          <t xml:space="preserve">
(400kV-60, 220kV to 132kV-40, below 132 kV-15, usually)</t>
        </r>
      </text>
    </comment>
    <comment ref="Q67" authorId="0" shapeId="0" xr:uid="{36DDD9BE-4ECD-4C0F-98A8-E57078B0C6B1}">
      <text>
        <r>
          <rPr>
            <b/>
            <sz val="10"/>
            <color indexed="81"/>
            <rFont val="Tahoma"/>
            <family val="2"/>
          </rPr>
          <t>aeprcha:</t>
        </r>
        <r>
          <rPr>
            <sz val="10"/>
            <color indexed="81"/>
            <rFont val="Tahoma"/>
            <family val="2"/>
          </rPr>
          <t xml:space="preserve">
(400kV-60, 220kV to 132kV-40, below 132 kV-15, usually)</t>
        </r>
      </text>
    </comment>
    <comment ref="Q92" authorId="0" shapeId="0" xr:uid="{72FDE194-25D7-4B27-B31A-E7C611B4A569}">
      <text>
        <r>
          <rPr>
            <b/>
            <sz val="10"/>
            <color indexed="81"/>
            <rFont val="Tahoma"/>
            <family val="2"/>
          </rPr>
          <t>aeprcha:</t>
        </r>
        <r>
          <rPr>
            <sz val="10"/>
            <color indexed="81"/>
            <rFont val="Tahoma"/>
            <family val="2"/>
          </rPr>
          <t xml:space="preserve">
Usually 1.0 or 1.1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8" authorId="0" shapeId="0" xr:uid="{E83635B6-C76F-4436-B850-16C8A0B156A4}">
      <text>
        <r>
          <rPr>
            <b/>
            <sz val="10"/>
            <color indexed="81"/>
            <rFont val="Tahoma"/>
            <family val="2"/>
          </rPr>
          <t>aeprcha:</t>
        </r>
        <r>
          <rPr>
            <sz val="10"/>
            <color indexed="81"/>
            <rFont val="Tahoma"/>
            <family val="2"/>
          </rPr>
          <t xml:space="preserve">
Usually 4.00 sqmm
Sometimes 6.00 sqmm</t>
        </r>
      </text>
    </comment>
    <comment ref="S9" authorId="0" shapeId="0" xr:uid="{16427D1E-58E1-44BE-82FF-FDBAA8E971CA}">
      <text>
        <r>
          <rPr>
            <b/>
            <sz val="10"/>
            <color indexed="81"/>
            <rFont val="Tahoma"/>
            <family val="2"/>
          </rPr>
          <t>aeprcha:</t>
        </r>
        <r>
          <rPr>
            <sz val="10"/>
            <color indexed="81"/>
            <rFont val="Tahoma"/>
            <family val="2"/>
          </rPr>
          <t xml:space="preserve">
4.20 for 4 sqmm cable
2.80 for 6 sqmm cable</t>
        </r>
      </text>
    </comment>
    <comment ref="S10" authorId="1" shapeId="0" xr:uid="{3EBA7983-E421-4F00-9A89-56FBDD858831}">
      <text>
        <r>
          <rPr>
            <b/>
            <sz val="9"/>
            <color indexed="81"/>
            <rFont val="Tahoma"/>
            <family val="2"/>
          </rPr>
          <t>Praful Chandarana:</t>
        </r>
        <r>
          <rPr>
            <sz val="9"/>
            <color indexed="81"/>
            <rFont val="Tahoma"/>
            <family val="2"/>
          </rPr>
          <t xml:space="preserve">
usually 0.00393</t>
        </r>
      </text>
    </comment>
    <comment ref="S27" authorId="0" shapeId="0" xr:uid="{243A1DA2-6D01-4ADD-9482-7759DB768BD8}">
      <text>
        <r>
          <rPr>
            <b/>
            <sz val="10"/>
            <color indexed="81"/>
            <rFont val="Tahoma"/>
            <family val="2"/>
          </rPr>
          <t>aeprcha:</t>
        </r>
        <r>
          <rPr>
            <sz val="10"/>
            <color indexed="81"/>
            <rFont val="Tahoma"/>
            <family val="2"/>
          </rPr>
          <t xml:space="preserve">
Usually 4.00 sqmm
Sometimes 6.00 sqmm</t>
        </r>
      </text>
    </comment>
    <comment ref="S28" authorId="0" shapeId="0" xr:uid="{D771225C-BD92-41B4-8BBB-DFC60C434FA6}">
      <text>
        <r>
          <rPr>
            <b/>
            <sz val="10"/>
            <color indexed="81"/>
            <rFont val="Tahoma"/>
            <family val="2"/>
          </rPr>
          <t>aeprcha:</t>
        </r>
        <r>
          <rPr>
            <sz val="10"/>
            <color indexed="81"/>
            <rFont val="Tahoma"/>
            <family val="2"/>
          </rPr>
          <t xml:space="preserve">
4.20 for 4 sqmm cable
2.80 for 6 sqmm cable</t>
        </r>
      </text>
    </comment>
    <comment ref="Q64" authorId="0" shapeId="0" xr:uid="{D6BBCDB7-DC5E-4660-866D-7B83C07A351A}">
      <text>
        <r>
          <rPr>
            <b/>
            <sz val="10"/>
            <color indexed="81"/>
            <rFont val="Tahoma"/>
            <family val="2"/>
          </rPr>
          <t>aeprcha:</t>
        </r>
        <r>
          <rPr>
            <sz val="10"/>
            <color indexed="81"/>
            <rFont val="Tahoma"/>
            <family val="2"/>
          </rPr>
          <t xml:space="preserve">
(400kV-60, 220kV to 132kV-40, below 132 kV-15, usually)</t>
        </r>
      </text>
    </comment>
    <comment ref="Q67" authorId="0" shapeId="0" xr:uid="{5F860322-F829-4BCC-911E-96E43C16152D}">
      <text>
        <r>
          <rPr>
            <b/>
            <sz val="10"/>
            <color indexed="81"/>
            <rFont val="Tahoma"/>
            <family val="2"/>
          </rPr>
          <t>aeprcha:</t>
        </r>
        <r>
          <rPr>
            <sz val="10"/>
            <color indexed="81"/>
            <rFont val="Tahoma"/>
            <family val="2"/>
          </rPr>
          <t xml:space="preserve">
(400kV-60, 220kV to 132kV-40, below 132 kV-15, usually)</t>
        </r>
      </text>
    </comment>
    <comment ref="Q92" authorId="0" shapeId="0" xr:uid="{985BFEB9-2033-4F8A-8328-0BD71A609A7E}">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<sst xmlns="http://schemas.openxmlformats.org/spreadsheetml/2006/main" count="52007" uniqueCount="1141">
  <si>
    <t>HITACHI</t>
  </si>
  <si>
    <t>CT / VT</t>
  </si>
  <si>
    <t>Contract No.</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</si>
  <si>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</si>
  <si>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</si>
  <si>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</si>
  <si>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</si>
  <si>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</si>
  <si>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</si>
  <si>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</si>
  <si>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</si>
  <si>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</si>
  <si>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</si>
  <si>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</si>
  <si>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</si>
  <si>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</si>
  <si>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</si>
  <si>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</si>
  <si>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</si>
  <si>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</si>
  <si>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</si>
  <si>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</si>
  <si>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</si>
  <si>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</si>
  <si>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</si>
  <si>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</si>
  <si>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</si>
  <si>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</si>
  <si>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</si>
  <si>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NOTES</t>
  </si>
  <si>
    <t>Page 4 of 25</t>
  </si>
  <si>
    <t>SUMMARY SHEET</t>
  </si>
  <si>
    <t>Page 5 of 25</t>
  </si>
  <si>
    <t>CT / VT Data Summary</t>
  </si>
  <si>
    <t>CT/VT BURDEN DETAILS</t>
  </si>
  <si>
    <t>Parameters &amp; Fault Calculations</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</si>
  <si>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</si>
  <si>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</si>
  <si>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</si>
  <si>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</si>
  <si>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</si>
  <si>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</si>
  <si>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</si>
  <si>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</si>
  <si>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</si>
  <si>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</si>
  <si>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</si>
  <si>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</si>
  <si>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</si>
  <si>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</si>
  <si>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</si>
  <si>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</si>
  <si>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</si>
  <si>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</si>
  <si>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</si>
  <si>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</si>
  <si>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</si>
  <si>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</si>
  <si>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</si>
  <si>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</si>
  <si>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</si>
  <si>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</si>
  <si>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</si>
  <si>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</si>
  <si>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</si>
  <si>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</si>
  <si>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</si>
  <si>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</si>
  <si>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</si>
  <si>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</si>
  <si>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</si>
  <si>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</si>
  <si>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</si>
  <si>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</si>
  <si>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</si>
  <si>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</si>
  <si>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</si>
  <si>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</si>
  <si>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</si>
  <si>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</si>
  <si>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</si>
  <si>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</si>
  <si>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</si>
  <si>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</si>
  <si>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</si>
  <si>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</si>
  <si>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</si>
  <si>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</si>
  <si>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</si>
  <si>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</si>
  <si>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</si>
  <si>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</si>
  <si>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</si>
  <si>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</si>
  <si>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</si>
  <si>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</si>
  <si>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</si>
  <si>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</si>
  <si>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</si>
  <si>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</si>
  <si>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</si>
  <si>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</si>
  <si>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</si>
  <si>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</si>
  <si>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</si>
  <si>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</si>
  <si>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</si>
  <si>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</si>
  <si>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</si>
  <si>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</si>
  <si>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</si>
  <si>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</si>
  <si>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</si>
  <si>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</si>
  <si>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</si>
  <si>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</si>
  <si>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</si>
  <si>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</si>
  <si>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</si>
  <si>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</si>
  <si>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</si>
  <si>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</si>
  <si>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</si>
  <si>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CT / VT Burdens</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</si>
  <si>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</si>
  <si>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</si>
  <si>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</si>
  <si>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</si>
  <si>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</si>
  <si>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</si>
  <si>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</si>
  <si>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</si>
  <si>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</si>
  <si>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</si>
  <si>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</si>
  <si>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</si>
  <si>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</si>
  <si>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</si>
  <si>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</si>
  <si>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</si>
  <si>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</si>
  <si>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</si>
  <si>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</si>
  <si>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</si>
  <si>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</si>
  <si>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</si>
  <si>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</si>
  <si>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</si>
  <si>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</si>
  <si>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</si>
  <si>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</si>
  <si>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</si>
  <si>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</si>
  <si>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</si>
  <si>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</si>
  <si>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</si>
  <si>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</si>
  <si>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</si>
  <si>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</si>
  <si>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</si>
  <si>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</si>
  <si>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</si>
  <si>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</si>
  <si>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</si>
  <si>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</si>
  <si>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</si>
  <si>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</si>
  <si>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</si>
  <si>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</si>
  <si>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</si>
  <si>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</si>
  <si>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</si>
  <si>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</si>
  <si>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</si>
  <si>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</si>
  <si>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</si>
  <si>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</si>
  <si>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</si>
  <si>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</si>
  <si>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</si>
  <si>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</si>
  <si>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</si>
  <si>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</si>
  <si>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</si>
  <si>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</si>
  <si>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</si>
  <si>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</si>
  <si>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</si>
  <si>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</si>
  <si>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</si>
  <si>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</si>
  <si>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</si>
  <si>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</si>
  <si>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</si>
  <si>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</si>
  <si>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</si>
  <si>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</si>
  <si>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</si>
  <si>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</si>
  <si>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</si>
  <si>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</si>
  <si>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</si>
  <si>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</si>
  <si>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</si>
  <si>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</si>
  <si>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</si>
  <si>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</si>
  <si>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</si>
  <si>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</si>
  <si>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</si>
  <si>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</si>
  <si>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</si>
  <si>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</si>
  <si>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</si>
  <si>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</si>
  <si>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</si>
  <si>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</si>
  <si>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</si>
  <si>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</si>
  <si>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</si>
  <si>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</si>
  <si>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</si>
  <si>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</si>
  <si>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</si>
  <si>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</si>
  <si>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</si>
  <si>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</si>
  <si>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</si>
  <si>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</si>
  <si>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</si>
  <si>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</si>
  <si>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</si>
  <si>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</si>
  <si>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</si>
  <si>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</si>
  <si>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</si>
  <si>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</si>
  <si>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</si>
  <si>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</si>
  <si>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</si>
  <si>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</si>
  <si>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</si>
  <si>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</si>
  <si>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</si>
  <si>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</si>
  <si>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</si>
  <si>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</si>
  <si>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</si>
  <si>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</si>
  <si>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</si>
  <si>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</si>
  <si>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</si>
  <si>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</si>
  <si>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</si>
  <si>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</si>
  <si>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</si>
  <si>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</si>
  <si>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</si>
  <si>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</si>
  <si>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</si>
  <si>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</si>
  <si>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</si>
  <si>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</si>
  <si>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</si>
  <si>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</si>
  <si>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</si>
  <si>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</si>
  <si>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</si>
  <si>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</si>
  <si>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</si>
  <si>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</si>
  <si>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</si>
  <si>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</si>
  <si>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</si>
  <si>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</si>
  <si>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</si>
  <si>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</si>
  <si>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</si>
  <si>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</si>
  <si>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</si>
  <si>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</si>
  <si>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</si>
  <si>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</si>
  <si>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</si>
  <si>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</si>
  <si>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</si>
  <si>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</si>
  <si>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</si>
  <si>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</si>
  <si>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</si>
  <si>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</si>
  <si>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</si>
  <si>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</si>
  <si>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</si>
  <si>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</si>
  <si>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</si>
  <si>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</si>
  <si>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</si>
  <si>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</si>
  <si>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</si>
  <si>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</si>
  <si>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</si>
  <si>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</si>
  <si>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</si>
  <si>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</si>
  <si>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</si>
  <si>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</si>
  <si>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</si>
  <si>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</si>
  <si>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</si>
  <si>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</si>
  <si>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</si>
  <si>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</si>
  <si>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</si>
  <si>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</si>
  <si>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</si>
  <si>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</si>
  <si>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</si>
  <si>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</si>
  <si>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</si>
  <si>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</si>
  <si>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</si>
  <si>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</si>
  <si>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</si>
  <si>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</si>
  <si>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</si>
  <si>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</si>
  <si>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</si>
  <si>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</si>
  <si>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</si>
  <si>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</si>
  <si>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</si>
  <si>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</si>
  <si>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</si>
  <si>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</si>
  <si>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</si>
  <si>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</si>
  <si>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</si>
  <si>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</si>
  <si>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</si>
  <si>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</si>
  <si>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</si>
  <si>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</si>
  <si>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</si>
  <si>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</si>
  <si>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</si>
  <si>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</si>
  <si>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</si>
  <si>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</si>
  <si>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</si>
  <si>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</si>
  <si>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</si>
  <si>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</si>
  <si>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</si>
  <si>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</si>
  <si>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</si>
  <si>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</si>
  <si>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</si>
  <si>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</si>
  <si>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</si>
  <si>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</si>
  <si>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</si>
  <si>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</si>
  <si>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</si>
  <si>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</si>
  <si>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</si>
  <si>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</si>
  <si>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</si>
  <si>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</si>
  <si>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</si>
  <si>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</si>
  <si>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</si>
  <si>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</si>
  <si>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</si>
  <si>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</si>
  <si>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</si>
  <si>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</si>
  <si>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</si>
  <si>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</si>
  <si>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</si>
  <si>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</si>
  <si>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</si>
  <si>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</si>
  <si>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</si>
  <si>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</si>
  <si>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</si>
  <si>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</si>
  <si>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</si>
  <si>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</si>
  <si>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</si>
  <si>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</si>
  <si>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</si>
  <si>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</si>
  <si>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</si>
  <si>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</si>
  <si>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</si>
  <si>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</si>
  <si>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</si>
  <si>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</si>
  <si>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</si>
  <si>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</si>
  <si>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</si>
  <si>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</si>
  <si>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</si>
  <si>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</si>
  <si>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</si>
  <si>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</si>
  <si>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</si>
  <si>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</si>
  <si>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</si>
  <si>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</si>
  <si>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</si>
  <si>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</si>
  <si>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</si>
  <si>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</si>
  <si>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</si>
  <si>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</si>
  <si>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</si>
  <si>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</si>
  <si>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</si>
  <si>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</si>
  <si>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</si>
  <si>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</si>
  <si>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</si>
  <si>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</si>
  <si>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</si>
  <si>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</si>
  <si>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</si>
  <si>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</si>
  <si>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</si>
  <si>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</si>
  <si>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</si>
  <si>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</si>
  <si>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</si>
  <si>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</si>
  <si>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</si>
  <si>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</si>
  <si>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</si>
  <si>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</si>
  <si>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</si>
  <si>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</si>
  <si>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</si>
  <si>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</si>
  <si>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</si>
  <si>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</si>
  <si>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</si>
  <si>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</si>
  <si>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</si>
  <si>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</si>
  <si>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</si>
  <si>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</si>
  <si>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</si>
  <si>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</si>
  <si>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</si>
  <si>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</si>
  <si>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</si>
  <si>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</si>
  <si>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</si>
  <si>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</si>
  <si>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</si>
  <si>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</si>
  <si>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</si>
  <si>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</si>
  <si>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</si>
  <si>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</si>
  <si>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</si>
  <si>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</si>
  <si>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</si>
  <si>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</si>
  <si>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</si>
  <si>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</si>
  <si>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</si>
  <si>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</si>
  <si>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</si>
  <si>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</si>
  <si>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</si>
  <si>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</si>
  <si>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</si>
  <si>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</si>
  <si>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</si>
  <si>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</si>
  <si>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</si>
  <si>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</si>
  <si>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</si>
  <si>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</si>
  <si>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</si>
  <si>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</si>
  <si>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</si>
  <si>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</si>
  <si>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</si>
  <si>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</si>
  <si>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</si>
  <si>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</si>
  <si>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</si>
  <si>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</si>
  <si>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</si>
  <si>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</si>
  <si>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</si>
  <si>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</si>
  <si>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</si>
  <si>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</si>
  <si>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</si>
  <si>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</si>
  <si>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</si>
  <si>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</si>
  <si>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</si>
  <si>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</si>
  <si>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</si>
  <si>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</si>
  <si>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</si>
  <si>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</si>
  <si>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</si>
  <si>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</si>
  <si>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</si>
  <si>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</si>
  <si>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</si>
  <si>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</si>
  <si>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</si>
  <si>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</si>
  <si>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</si>
  <si>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</si>
  <si>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</si>
  <si>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</si>
  <si>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</si>
  <si>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</si>
  <si>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</si>
  <si>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</si>
  <si>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</si>
  <si>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</si>
  <si>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</si>
  <si>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</si>
  <si>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</si>
  <si>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</si>
  <si>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</si>
  <si>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</si>
  <si>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</si>
  <si>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</si>
  <si>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</si>
  <si>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</si>
  <si>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</si>
  <si>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</si>
  <si>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</si>
  <si>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</si>
  <si>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</si>
  <si>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</si>
  <si>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</si>
  <si>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</si>
  <si>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</si>
  <si>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</si>
  <si>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</si>
  <si>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</si>
  <si>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</si>
  <si>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</si>
  <si>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</si>
  <si>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</si>
  <si>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</si>
  <si>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</si>
  <si>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</si>
  <si>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</si>
  <si>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</si>
  <si>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</si>
  <si>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</si>
  <si>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</si>
  <si>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</si>
  <si>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</si>
  <si>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</si>
  <si>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</si>
  <si>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</si>
  <si>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</si>
  <si>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</si>
  <si>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</si>
  <si>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</si>
  <si>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</si>
  <si>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</si>
  <si>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</si>
  <si>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</si>
  <si>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</si>
  <si>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</si>
  <si>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</si>
  <si>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</si>
  <si>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</si>
  <si>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</si>
  <si>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</si>
  <si>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</si>
  <si>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</si>
  <si>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</si>
  <si>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</si>
  <si>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</si>
  <si>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</si>
  <si>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</si>
  <si>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</si>
  <si>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</si>
  <si>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</si>
  <si>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</si>
  <si>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</si>
  <si>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</si>
  <si>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</si>
  <si>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</si>
  <si>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</si>
  <si>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</si>
  <si>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</si>
  <si>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</si>
  <si>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</si>
  <si>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</si>
  <si>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</si>
  <si>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</si>
  <si>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</si>
  <si>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</si>
  <si>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</si>
  <si>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</si>
  <si>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</si>
  <si>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</si>
  <si>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</si>
  <si>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</si>
  <si>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</si>
  <si>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</si>
  <si>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</si>
  <si>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</si>
  <si>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</si>
  <si>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</si>
  <si>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</si>
  <si>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</si>
  <si>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</si>
  <si>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</si>
  <si>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</si>
  <si>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</si>
  <si>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</si>
  <si>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</si>
  <si>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</si>
  <si>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</si>
  <si>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</si>
  <si>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</si>
  <si>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</si>
  <si>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</si>
  <si>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</si>
  <si>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</si>
  <si>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</si>
  <si>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</si>
  <si>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</si>
  <si>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</si>
  <si>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</si>
  <si>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</si>
  <si>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</si>
  <si>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</si>
  <si>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</si>
  <si>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</si>
  <si>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</si>
  <si>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</si>
  <si>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</si>
  <si>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</si>
  <si>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</si>
  <si>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</si>
  <si>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</si>
  <si>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</si>
  <si>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</si>
  <si>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</si>
  <si>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</si>
  <si>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</si>
  <si>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</si>
  <si>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</si>
  <si>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</si>
  <si>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</si>
  <si>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</si>
  <si>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</si>
  <si>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</si>
  <si>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</si>
  <si>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</si>
  <si>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</si>
  <si>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</si>
  <si>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</si>
  <si>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</si>
  <si>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</si>
  <si>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</si>
  <si>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</si>
  <si>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</si>
  <si>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</si>
  <si>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</si>
  <si>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</si>
  <si>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</si>
  <si>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</si>
  <si>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</si>
  <si>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</si>
  <si>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</si>
  <si>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</si>
  <si>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</si>
  <si>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</si>
  <si>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</si>
  <si>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</si>
  <si>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</si>
  <si>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</si>
  <si>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</si>
  <si>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</si>
  <si>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</si>
  <si>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</si>
  <si>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</si>
  <si>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</si>
  <si>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</si>
  <si>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</si>
  <si>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</si>
  <si>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</si>
  <si>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</si>
  <si>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</si>
  <si>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</si>
  <si>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</si>
  <si>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</si>
  <si>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</si>
  <si>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</si>
  <si>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</si>
  <si>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</si>
  <si>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</si>
  <si>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</si>
  <si>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</si>
  <si>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</si>
  <si>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</si>
  <si>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</si>
  <si>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</si>
  <si>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</si>
  <si>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</si>
  <si>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</si>
  <si>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</si>
  <si>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</si>
  <si>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</si>
  <si>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</si>
  <si>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</si>
  <si>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</si>
  <si>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</si>
  <si>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</si>
  <si>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</si>
  <si>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</si>
  <si>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</si>
  <si>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</si>
  <si>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</si>
  <si>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</si>
  <si>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</si>
  <si>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</si>
  <si>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</si>
  <si>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</si>
  <si>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</si>
  <si>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</si>
  <si>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</si>
  <si>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</si>
  <si>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</si>
  <si>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</si>
  <si>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</si>
  <si>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</si>
  <si>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</si>
  <si>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</si>
  <si>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</si>
  <si>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</si>
  <si>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</si>
  <si>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</si>
  <si>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</si>
  <si>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</si>
  <si>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</si>
  <si>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</si>
  <si>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</si>
  <si>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</si>
  <si>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</si>
  <si>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</si>
  <si>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</si>
  <si>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</si>
  <si>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</si>
  <si>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</si>
  <si>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</si>
  <si>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</si>
  <si>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</si>
  <si>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</si>
  <si>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</si>
  <si>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</si>
  <si>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</si>
  <si>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</si>
  <si>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</si>
  <si>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</si>
  <si>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</si>
  <si>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</si>
  <si>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</si>
  <si>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</si>
  <si>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</si>
  <si>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</si>
  <si>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</si>
  <si>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</si>
  <si>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</si>
  <si>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</si>
  <si>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</si>
  <si>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</si>
  <si>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</si>
  <si>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</si>
  <si>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</si>
  <si>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</si>
  <si>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</si>
  <si>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</si>
  <si>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</si>
  <si>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</si>
  <si>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</si>
  <si>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</si>
  <si>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</si>
  <si>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</si>
  <si>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</si>
  <si>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</si>
  <si>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</si>
  <si>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</si>
  <si>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</si>
  <si>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</si>
  <si>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</si>
  <si>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</si>
  <si>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</si>
  <si>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</si>
  <si>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</si>
  <si>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</si>
  <si>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</si>
  <si>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</si>
  <si>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</si>
  <si>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 xml:space="preserve">Size of the VT lead considered as 2.5 Sq. mm for calculation </t>
  </si>
  <si>
    <t>5P20</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</si>
  <si>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</si>
  <si>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</si>
  <si>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</si>
  <si>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</si>
  <si>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</si>
  <si>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</si>
  <si>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</si>
  <si>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</si>
  <si>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</si>
  <si>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</si>
  <si>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</si>
  <si>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</si>
  <si>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</si>
  <si>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</si>
  <si>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</si>
  <si>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</si>
  <si>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</si>
  <si>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</si>
  <si>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</si>
  <si>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</si>
  <si>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</si>
  <si>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</si>
  <si>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</si>
  <si>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</si>
  <si>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</si>
  <si>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</si>
  <si>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</si>
  <si>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</si>
  <si>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</si>
  <si>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</si>
  <si>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</si>
  <si>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</si>
  <si>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</si>
  <si>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</si>
  <si>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</si>
  <si>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</si>
  <si>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</si>
  <si>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</si>
  <si>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</si>
  <si>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</si>
  <si>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</si>
  <si>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</si>
  <si>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</si>
  <si>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</si>
  <si>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</si>
  <si>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</si>
  <si>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</si>
  <si>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</si>
  <si>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</si>
  <si>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</si>
  <si>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</si>
  <si>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</si>
  <si>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</si>
  <si>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</si>
  <si>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</si>
  <si>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</si>
  <si>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</si>
  <si>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</si>
  <si>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</si>
  <si>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</si>
  <si>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</si>
  <si>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</si>
  <si>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</si>
  <si>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</si>
  <si>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</si>
  <si>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</si>
  <si>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</si>
  <si>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</si>
  <si>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</si>
  <si>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</si>
  <si>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</si>
  <si>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</si>
  <si>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</si>
  <si>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</si>
  <si>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</si>
  <si>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</si>
  <si>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</si>
  <si>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</si>
  <si>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</si>
  <si>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</si>
  <si>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</si>
  <si>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</si>
  <si>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</si>
  <si>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</si>
  <si>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</si>
  <si>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</si>
  <si>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</si>
  <si>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0.2S</t>
  </si>
  <si>
    <t>CT ADEQUACY CHECK</t>
  </si>
  <si>
    <t>VT ADEQUACY CHECK</t>
  </si>
  <si>
    <t>Avilable Kssc'</t>
  </si>
  <si>
    <t>Rated Vk (V)</t>
  </si>
  <si>
    <t>Core7</t>
  </si>
  <si>
    <t>(Metering Main)</t>
  </si>
  <si>
    <t>(Metering Check)</t>
  </si>
  <si>
    <t>(Metering)</t>
  </si>
  <si>
    <t>SGT</t>
  </si>
  <si>
    <t>MFAC+MVTP</t>
  </si>
  <si>
    <t>IDM+19</t>
  </si>
  <si>
    <t>PQ100+PM7500</t>
  </si>
  <si>
    <t>FEEDER</t>
  </si>
  <si>
    <t>PM7500</t>
  </si>
  <si>
    <t>PQ100</t>
  </si>
  <si>
    <t>PARAMETERS AND FAULT CALCULATIONS</t>
  </si>
  <si>
    <t>FEEDER (09, 05, 04, 08)</t>
  </si>
  <si>
    <t>SGT 1, 2 &amp; 3 (11, 07,06)</t>
  </si>
  <si>
    <t>MFAC</t>
  </si>
  <si>
    <t>IF</t>
  </si>
  <si>
    <t>2Rw</t>
  </si>
  <si>
    <t>Resistance of each lead between the relay and CT</t>
  </si>
  <si>
    <t>Max primary through fault current for which stability is required</t>
  </si>
  <si>
    <t>MVTP</t>
  </si>
  <si>
    <t>SGT 1, 2 &amp; 3</t>
  </si>
  <si>
    <t>CT requirements of P545</t>
  </si>
  <si>
    <t>CT requirements of IDM+X</t>
  </si>
  <si>
    <t>ANNEXURE-J</t>
  </si>
  <si>
    <t>The maximum CT lead length from the SWGR CT secondary terminal to relay terminals are considered as 160m</t>
  </si>
  <si>
    <t xml:space="preserve">Size of the CT lead considered as  6 Sq. mm for calculation </t>
  </si>
  <si>
    <t>The maximum VT lead length from the VT secondary terminal to relay terminals are considered as 160m</t>
  </si>
  <si>
    <t>X/R ratio is considered as 15 for 132kV system.</t>
  </si>
  <si>
    <t xml:space="preserve">Bus fault level is considered as 50 kA/3s  for 132kV </t>
  </si>
  <si>
    <t>MAIN-1 BBP</t>
  </si>
  <si>
    <t>MAIN-2 BBP/BFP</t>
  </si>
  <si>
    <t xml:space="preserve">MAIN-2 HV REF+SBEF (BUILT IN TR. MAIN-2) </t>
  </si>
  <si>
    <t>MAIN-1 HV REF+SBEF (BUILT IN TR. MAIN-1)</t>
  </si>
  <si>
    <t xml:space="preserve">MAIN-2 MV REF+SBEF (BUILT IN TR. MAIN-2) </t>
  </si>
  <si>
    <t>MAIN-1 MV REF+SBEF (BUILT IN TR. MAIN-1)</t>
  </si>
  <si>
    <t>MAIN-1 TEF (BUILT IN TR. MAIN-1)</t>
  </si>
  <si>
    <t xml:space="preserve">MAIN-2 TEF (BUILT IN TR. MAIN-2) </t>
  </si>
  <si>
    <t>IBT MAIN-2 Diff +FMS+DOC/DEF</t>
  </si>
  <si>
    <t>OC/EF+FMS</t>
  </si>
  <si>
    <t>BCU+AMMETER+PQM</t>
  </si>
  <si>
    <t xml:space="preserve">For 132kV_100MVA TR. FEEDERS </t>
  </si>
  <si>
    <t xml:space="preserve">For 132kV_IBT INCOMER FEEDERS </t>
  </si>
  <si>
    <t xml:space="preserve">For 132kV BUS SECTION </t>
  </si>
  <si>
    <t>For 132kV BUS COUPLER</t>
  </si>
  <si>
    <t>For 132kV BUS SECTION</t>
  </si>
  <si>
    <t>132 / √3</t>
  </si>
  <si>
    <t>Parameters &amp; Fault Calculations for
132kV  FEEDERS</t>
  </si>
  <si>
    <t>132KV CABLE FEEDER</t>
  </si>
  <si>
    <t>132KV CABLE FEEDERS</t>
  </si>
  <si>
    <t>T2</t>
  </si>
  <si>
    <t>CP-L96A</t>
  </si>
  <si>
    <t>Rated Vk  (V)</t>
  </si>
  <si>
    <t>132kV_100MVA TR. FEEDERS</t>
  </si>
  <si>
    <t xml:space="preserve">As per Transco Standard for 132kV system  X/R </t>
  </si>
  <si>
    <t>T3</t>
  </si>
  <si>
    <t>T4</t>
  </si>
  <si>
    <t>T5</t>
  </si>
  <si>
    <t>T6</t>
  </si>
  <si>
    <t>T7</t>
  </si>
  <si>
    <t>T8</t>
  </si>
  <si>
    <t>Main-1</t>
  </si>
  <si>
    <t>7SL86</t>
  </si>
  <si>
    <t>Hence, Total Burden connected to CT core, Rba</t>
  </si>
  <si>
    <t>CT req. as per Siprotec Manual page# 1936 and 1937  ( Refer Annexure-H)  for 7SL86 with Diff + Dist. functions as follows:</t>
  </si>
  <si>
    <t>Diff. function:</t>
  </si>
  <si>
    <t>Internal Fault</t>
  </si>
  <si>
    <t>Ek</t>
  </si>
  <si>
    <t>Isc_Int</t>
  </si>
  <si>
    <t>Rba</t>
  </si>
  <si>
    <t>External Fault</t>
  </si>
  <si>
    <t xml:space="preserve">Isc_Ext </t>
  </si>
  <si>
    <t>Distance function:</t>
  </si>
  <si>
    <t>Isc_A</t>
  </si>
  <si>
    <t>For Zone-1 end faults:</t>
  </si>
  <si>
    <t>b</t>
  </si>
  <si>
    <t>Isc_B</t>
  </si>
  <si>
    <t>---(4)</t>
  </si>
  <si>
    <t>Max fault current for Through fault</t>
  </si>
  <si>
    <t xml:space="preserve">Isc_A / Isc_Ext </t>
  </si>
  <si>
    <t>Primary time constant for close in fault</t>
  </si>
  <si>
    <t>tp</t>
  </si>
  <si>
    <t>Max Phase through fault current at Zone-1 end fault</t>
  </si>
  <si>
    <t>Isc_B (zone1 end phase fault)</t>
  </si>
  <si>
    <t>Primary time constant for Phase through fault current at Zone-1 end fault</t>
  </si>
  <si>
    <t>tp-ph</t>
  </si>
  <si>
    <t>Max Earth through fault current at Zone-1 end fault</t>
  </si>
  <si>
    <t>Isc_B (zone1 end earth fault)</t>
  </si>
  <si>
    <t>Primary time constant for Earth through fault current at Zone-1 end fault</t>
  </si>
  <si>
    <t>tp-e</t>
  </si>
  <si>
    <t>Distance protection factor Ktd for Close in faults</t>
  </si>
  <si>
    <r>
      <t>For the primary time constant t</t>
    </r>
    <r>
      <rPr>
        <vertAlign val="subscript"/>
        <sz val="10"/>
        <rFont val="Arial"/>
        <family val="2"/>
      </rPr>
      <t>p</t>
    </r>
  </si>
  <si>
    <t>&lt;= 30 ms  :</t>
  </si>
  <si>
    <t>&lt;= 50 ms  :</t>
  </si>
  <si>
    <t>&lt;= 250 ms :</t>
  </si>
  <si>
    <t>Distance protection factor Ktd for end  zone-1 faults</t>
  </si>
  <si>
    <t>&lt;= 30 ms :</t>
  </si>
  <si>
    <t>Substituting these values in eq. 1, 2, 3 &amp; 4 above:</t>
  </si>
  <si>
    <t>Diff. function</t>
  </si>
  <si>
    <t>Since time constant for close in fault, tp</t>
  </si>
  <si>
    <t>For Zone-1 end phase faults:</t>
  </si>
  <si>
    <t>Since time constant for close in fault, tp-ph</t>
  </si>
  <si>
    <t>For Zone-1 end earth faults:</t>
  </si>
  <si>
    <t xml:space="preserve">Hence, highest Vk for Differential &amp; Distance functions at </t>
  </si>
  <si>
    <t>Substituting these values in eq. 1, 2 ,3 &amp; 4 above:</t>
  </si>
  <si>
    <t>7UT86</t>
  </si>
  <si>
    <t xml:space="preserve">AC AMMETER </t>
  </si>
  <si>
    <t>7SS522</t>
  </si>
  <si>
    <t>Max primary fundamental frequency fault current (ext. fault)</t>
  </si>
  <si>
    <t>Issc max</t>
  </si>
  <si>
    <t>CT Secondary Current</t>
  </si>
  <si>
    <t>Burden of CT Leads and other connected devices</t>
  </si>
  <si>
    <t>Resistive burden of CT Leads and other connected devices</t>
  </si>
  <si>
    <t>Ktd for stabilizing factor, k &gt;= 0.5</t>
  </si>
  <si>
    <t>&lt;=</t>
  </si>
  <si>
    <t>6MU85</t>
  </si>
  <si>
    <t xml:space="preserve">SIEMENS SIPROTEC </t>
  </si>
  <si>
    <t>132kV GIS ALL FEEDERS</t>
  </si>
  <si>
    <t>132kV_IBT INCOMER FEEDERS</t>
  </si>
  <si>
    <t>132kV BUS SECTION</t>
  </si>
  <si>
    <t>132kV BUS COUPLER</t>
  </si>
  <si>
    <t>132kV GIS ALL FEEDERS                                (T5, T15, T16, T25, T26)</t>
  </si>
  <si>
    <t xml:space="preserve">132kV_100MVA TR. FEEDERS </t>
  </si>
  <si>
    <t xml:space="preserve">132kV BUS SECTION </t>
  </si>
  <si>
    <t>ANNEXURE-K</t>
  </si>
  <si>
    <t>CT requirements of 7UT85</t>
  </si>
  <si>
    <t>CT requirements of CP-L96A</t>
  </si>
  <si>
    <t>N-19957.2-DF4W</t>
  </si>
  <si>
    <t xml:space="preserve">132/33kV SUBSTATION DF4W    AT AL DHAFRA AREA </t>
  </si>
  <si>
    <t>132KV CABLE FEEDERS (E03,E07,E10,E14,E15)</t>
  </si>
  <si>
    <t>132kV_100MVA TR. FEEDERS (E06,E11,E13)</t>
  </si>
  <si>
    <t>132kV_CAPACITOR BANK  (E04)</t>
  </si>
  <si>
    <t xml:space="preserve">132kV CAPACITOR BANK </t>
  </si>
  <si>
    <t>132kV BUS COUPLER  (E05,E12)</t>
  </si>
  <si>
    <t>132kV BUS SECTION (E08,E09)</t>
  </si>
  <si>
    <t xml:space="preserve">Burden of </t>
  </si>
  <si>
    <t>(Line Diff&amp;Dist.)</t>
  </si>
  <si>
    <t>(Line Diff&amp;Dist.+FMS/PMU)</t>
  </si>
  <si>
    <t>(Multi Func. Trans. Protection +HV REF)</t>
  </si>
  <si>
    <t>(Multi Func. Trans. Prtn + FMS + HV REF)</t>
  </si>
  <si>
    <t>(Metering + BCU + PQM)</t>
  </si>
  <si>
    <t>(OC+EF+FMS)</t>
  </si>
  <si>
    <t>(MAIN-1 BBP+BFP)</t>
  </si>
  <si>
    <t>Cable Main-1 Diff&amp;Dist.</t>
  </si>
  <si>
    <t>Cable Main-2 Diff&amp;Dist.+FMS/PMU</t>
  </si>
  <si>
    <t>METERING+BCU+PQM</t>
  </si>
  <si>
    <t>MAIN-2 BBP+BFP</t>
  </si>
  <si>
    <t>MAIN-1 Multi Func. Trans. Prtn +HV REF</t>
  </si>
  <si>
    <t>MAIN-2 Multi Func. Trans. Prtn +HV REF</t>
  </si>
  <si>
    <t>(BCU+PQM)</t>
  </si>
  <si>
    <t>132KV FOR ALL FEEDERS</t>
  </si>
  <si>
    <t>SEL2240</t>
  </si>
  <si>
    <t>SEL Measurements and control Relay.</t>
  </si>
  <si>
    <t>SEL-2240</t>
  </si>
  <si>
    <t>6MD85</t>
  </si>
  <si>
    <t>(Main-1 Multi Func. Capacitor Protection)</t>
  </si>
  <si>
    <t>132kV BUS COUPLER (E05,E12)</t>
  </si>
  <si>
    <t>132kV_BUS SECTION</t>
  </si>
  <si>
    <t>Required Kssc' (V)</t>
  </si>
  <si>
    <t>CABLE  FEEDER</t>
  </si>
  <si>
    <t>BUS  FEEDER</t>
  </si>
  <si>
    <t xml:space="preserve">132kV_ CAPACITOR_BANK </t>
  </si>
  <si>
    <t>CT requirements of 6MD85</t>
  </si>
  <si>
    <t xml:space="preserve">132kV_CAPACITOR BANK </t>
  </si>
  <si>
    <t xml:space="preserve">132KV CABLE FEEDER VT </t>
  </si>
  <si>
    <t>132kV BUS VT</t>
  </si>
  <si>
    <r>
      <t>132kV</t>
    </r>
    <r>
      <rPr>
        <sz val="11"/>
        <color rgb="FF000000"/>
        <rFont val="Calibri"/>
        <family val="2"/>
      </rPr>
      <t xml:space="preserve"> BUS COUPLER</t>
    </r>
  </si>
  <si>
    <t>The above CT Wiring and VT Wiring calculations is done for all the IEDs. 
The formula will be same for all the bays. But the inputs might differ for each bays.</t>
  </si>
  <si>
    <t>Relion 670/650 series Relays Such as
 (RED670,REC670,REB650,RET670)</t>
  </si>
  <si>
    <t>All relion series 670 and 650 IEDs will have 0.02 burden for both CT and VT</t>
  </si>
  <si>
    <t>The above values are the relay burden values. These are Standard values for Each relays.</t>
  </si>
  <si>
    <t>The above Parameters and Calculations are required for all IEDs.</t>
  </si>
  <si>
    <t>Y</t>
  </si>
  <si>
    <t>Inputs from the USER for CT parameters :</t>
  </si>
  <si>
    <t xml:space="preserve">CALCULATIONS FOR CT WIRING: </t>
  </si>
  <si>
    <t>R75</t>
  </si>
  <si>
    <t>EXAMPLE 
INPUTS</t>
  </si>
  <si>
    <t xml:space="preserve">a is a Constant value which is </t>
  </si>
  <si>
    <t xml:space="preserve">After Substituting in these above  Formula, Multiply by 0.001 for KM to M conversion.  </t>
  </si>
  <si>
    <t xml:space="preserve">Temperature t </t>
  </si>
  <si>
    <t>t</t>
  </si>
  <si>
    <t xml:space="preserve">t is a Constant value which is </t>
  </si>
  <si>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]/1000 </t>
    </r>
  </si>
  <si>
    <t>(UNITS)</t>
  </si>
  <si>
    <r>
      <t>Resistance at 20</t>
    </r>
    <r>
      <rPr>
        <vertAlign val="superscript"/>
        <sz val="10"/>
        <rFont val="Arial"/>
        <family val="2"/>
      </rPr>
      <t>0</t>
    </r>
    <r>
      <rPr>
        <sz val="10"/>
        <rFont val="Arial"/>
        <family val="2"/>
      </rPr>
      <t xml:space="preserve"> C</t>
    </r>
  </si>
  <si>
    <t>L</t>
  </si>
  <si>
    <t>PI</t>
  </si>
  <si>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]/1000</t>
    </r>
  </si>
  <si>
    <t xml:space="preserve">Lead Resistance For CT  </t>
  </si>
  <si>
    <t xml:space="preserve">Conductor length For VT </t>
  </si>
  <si>
    <t>RI</t>
  </si>
  <si>
    <r>
      <t xml:space="preserve"> = I</t>
    </r>
    <r>
      <rPr>
        <vertAlign val="subscript"/>
        <sz val="10"/>
        <rFont val="Arial"/>
        <family val="2"/>
      </rPr>
      <t>s</t>
    </r>
    <r>
      <rPr>
        <vertAlign val="superscript"/>
        <sz val="10"/>
        <rFont val="Arial"/>
        <family val="2"/>
      </rPr>
      <t>2</t>
    </r>
    <r>
      <rPr>
        <sz val="10"/>
        <rFont val="Arial"/>
        <family val="2"/>
      </rPr>
      <t xml:space="preserve"> X RI </t>
    </r>
  </si>
  <si>
    <r>
      <t>2RL</t>
    </r>
    <r>
      <rPr>
        <vertAlign val="subscript"/>
        <sz val="10"/>
        <rFont val="Arial"/>
        <family val="2"/>
      </rPr>
      <t xml:space="preserve"> </t>
    </r>
    <r>
      <rPr>
        <sz val="10"/>
        <rFont val="Arial"/>
        <family val="2"/>
      </rPr>
      <t>= 2 x R x L</t>
    </r>
  </si>
  <si>
    <t>IED BURDENS FOR CT VT CALCULATION</t>
  </si>
  <si>
    <t>7SLJ86</t>
  </si>
  <si>
    <t xml:space="preserve">The above values are the IED burden values. These are Standard values for Each IEDs </t>
  </si>
  <si>
    <t>EXAMPLE INPUTS</t>
  </si>
  <si>
    <t>INPUTS FROM THE USER FOR VT PARAMETERS</t>
  </si>
  <si>
    <t>INPUTS FROM USERS</t>
  </si>
  <si>
    <t>Power line parameter Inputs :</t>
  </si>
  <si>
    <t xml:space="preserve">Cable Details Inputs </t>
  </si>
  <si>
    <t>FORMULA</t>
  </si>
  <si>
    <r>
      <t>Resistance in Ω/km at t</t>
    </r>
    <r>
      <rPr>
        <b/>
        <vertAlign val="superscript"/>
        <sz val="10"/>
        <rFont val="Arial"/>
        <family val="2"/>
      </rPr>
      <t>0</t>
    </r>
    <r>
      <rPr>
        <b/>
        <sz val="10"/>
        <rFont val="Arial"/>
        <family val="2"/>
      </rPr>
      <t xml:space="preserve"> C   R75  =</t>
    </r>
  </si>
  <si>
    <t>R1 /1</t>
  </si>
  <si>
    <t>R0/1</t>
  </si>
  <si>
    <t>X1/1</t>
  </si>
  <si>
    <t>X0/1</t>
  </si>
  <si>
    <t>R1/1*RL</t>
  </si>
  <si>
    <t>X1/1*RL</t>
  </si>
  <si>
    <t>X0/1*RL</t>
  </si>
  <si>
    <t>The calculated Values for the above formulas :</t>
  </si>
  <si>
    <t>Formula  = Max. Bus fault level*1000</t>
  </si>
  <si>
    <t xml:space="preserve">               HV rating of Busbar                                           Formula  = Bus Voltage Level*1000</t>
  </si>
  <si>
    <r>
      <rPr>
        <b/>
        <u/>
        <sz val="10"/>
        <rFont val="Arial"/>
        <family val="2"/>
      </rPr>
      <t>Source X / R ratio
 Formula</t>
    </r>
    <r>
      <rPr>
        <sz val="10"/>
        <rFont val="Arial"/>
        <family val="2"/>
      </rPr>
      <t xml:space="preserve"> </t>
    </r>
  </si>
  <si>
    <t xml:space="preserve">USER INPUTS </t>
  </si>
  <si>
    <t xml:space="preserve">= (132000 X 1 ) / (√3  X  50000)     =&gt;                                         </t>
  </si>
  <si>
    <t xml:space="preserve">Impedence Angle Formula </t>
  </si>
  <si>
    <t xml:space="preserve">Source Impedence Formula </t>
  </si>
  <si>
    <t>SQRT ((0.1398)^2+ (J 1.7992)^2)</t>
  </si>
  <si>
    <t>(DEGREES(ATAN(J124/G124))</t>
  </si>
  <si>
    <r>
      <rPr>
        <u/>
        <sz val="10"/>
        <rFont val="Arial"/>
        <family val="2"/>
      </rPr>
      <t>HV RATING OF BUSBAR X 1.0</t>
    </r>
    <r>
      <rPr>
        <sz val="10"/>
        <rFont val="Arial"/>
        <family val="2"/>
      </rPr>
      <t xml:space="preserve">
Z1t X √3</t>
    </r>
  </si>
  <si>
    <t>DEGREES(ATAN(J145/G145))</t>
  </si>
  <si>
    <r>
      <rPr>
        <u/>
        <sz val="10"/>
        <rFont val="Arial"/>
        <family val="2"/>
      </rPr>
      <t>HV RATING OF BUSBAR X 1.0 X 3</t>
    </r>
    <r>
      <rPr>
        <sz val="10"/>
        <rFont val="Arial"/>
        <family val="2"/>
      </rPr>
      <t xml:space="preserve">
Z0t X √3</t>
    </r>
  </si>
  <si>
    <t>(DEGREES(ATAN(J171/G171)))</t>
  </si>
  <si>
    <r>
      <rPr>
        <u/>
        <sz val="10"/>
        <rFont val="Arial"/>
        <family val="2"/>
      </rPr>
      <t xml:space="preserve">HV RATING OF BUSBAR X 1.0  </t>
    </r>
    <r>
      <rPr>
        <sz val="10"/>
        <rFont val="Arial"/>
        <family val="2"/>
      </rPr>
      <t xml:space="preserve">
Z1zone-1 X √3</t>
    </r>
  </si>
  <si>
    <t>DEGREES(ATAN(J189/G189))</t>
  </si>
  <si>
    <t>This is the Way of Finding System Time constant (L/R) , Fault impedence and Fault current.
 The approach is same it may differ for each fault currents.</t>
  </si>
  <si>
    <t>DEGREES(ATAN(F193/C193))</t>
  </si>
  <si>
    <t>RED 670 IED TEMPLATE</t>
  </si>
  <si>
    <t>The above CT Wiring and VT Wiring calculations is done for all the IEDs. 
SO, The inputs will be same for all IEDs in each bay. The formula will be same for all the bays. 
But the inputs might differ for each bays.</t>
  </si>
  <si>
    <t>USER INPUTS :</t>
  </si>
  <si>
    <t>The above Parameters and Calculations are required for all IEDs The below Formulas and Calculations
 will differ for each IED.</t>
  </si>
  <si>
    <t xml:space="preserve">The Main Goal is to find the IED Is suitably Dimensioned or not. Here We find Eal required for Differential and Distance function. And we compare which is maximum and take it to find required Vk. When the Available  Vk is greater than the required Vk , it is Suitably Dimensioned and when The Available  Vk is lesser than the required Vk. </t>
  </si>
  <si>
    <r>
      <rPr>
        <u/>
        <sz val="10"/>
        <rFont val="Arial"/>
        <family val="2"/>
      </rPr>
      <t>HV RATING OF BUSBAR X 1.0</t>
    </r>
    <r>
      <rPr>
        <sz val="10"/>
        <rFont val="Arial"/>
        <family val="2"/>
      </rPr>
      <t xml:space="preserve">
Z0f X √3</t>
    </r>
  </si>
  <si>
    <r>
      <rPr>
        <u/>
        <sz val="10"/>
        <rFont val="Arial"/>
        <family val="2"/>
      </rPr>
      <t xml:space="preserve">HV RATING OF BUSBAR X 1.0 X 3  </t>
    </r>
    <r>
      <rPr>
        <sz val="10"/>
        <rFont val="Arial"/>
        <family val="2"/>
      </rPr>
      <t xml:space="preserve">
Z1zone-1 X √3</t>
    </r>
  </si>
  <si>
    <t>7SJ85 IED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</si>
</sst>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 numFmtId="176" formatCode="0.00_);[Red]\(0.00\)"/>
  </numFmts>
  <fonts count="101">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
      <b/>
      <sz val="11"/>
      <name val="Arial"/>
      <family val="2"/>
    </font>
    <font>
      <sz val="11"/>
      <name val="Arial"/>
      <family val="2"/>
    </font>
    <font>
      <b/>
      <sz val="72"/>
      <color indexed="12"/>
      <name val="Arial"/>
      <family val="2"/>
    </font>
    <font>
      <sz val="11"/>
      <color rgb="FF000000"/>
      <name val="Calibri"/>
      <family val="2"/>
    </font>
  </fonts>
  <fills count="9">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367">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8" xfId="0" applyFont="1" applyBorder="1"/>
    <xf numFmtId="43" fontId="12" fillId="0" borderId="0" xfId="1" applyNumberFormat="1" applyFont="1" applyBorder="1" applyAlignment="1" applyProtection="1">
      <alignment horizontal="righ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8" xfId="0" applyFont="1" applyBorder="1"/>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63" fillId="0" borderId="4" xfId="0" applyFont="1" applyBorder="1" applyAlignment="1">
      <alignment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12" fillId="3" borderId="9" xfId="0" applyFont="1" applyFill="1" applyBorder="1" applyAlignment="1">
      <alignment vertical="center"/>
    </xf>
    <xf numFmtId="0" fontId="0" fillId="3" borderId="10" xfId="0" applyFill="1" applyBorder="1" applyAlignment="1">
      <alignment vertical="center"/>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0" fontId="50" fillId="0" borderId="7" xfId="0" applyFont="1" applyBorder="1" applyAlignment="1">
      <alignment horizontal="right" vertical="center"/>
    </xf>
    <xf numFmtId="2" fontId="0" fillId="0" borderId="5"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1" fillId="0" borderId="6" xfId="0" applyFont="1" applyBorder="1" applyAlignment="1">
      <alignment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12" fillId="0" borderId="6" xfId="0" applyFont="1" applyBorder="1" applyAlignment="1">
      <alignment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left" vertical="center" wrapText="1"/>
    </xf>
    <xf numFmtId="0" fontId="12" fillId="0" borderId="0" xfId="0" applyFont="1" applyAlignment="1" applyProtection="1">
      <alignment horizontal="center" vertical="center"/>
      <protection locked="0"/>
    </xf>
    <xf numFmtId="0" fontId="1" fillId="0" borderId="6" xfId="0" applyFont="1" applyBorder="1"/>
    <xf numFmtId="0" fontId="47" fillId="0" borderId="0" xfId="0" applyFont="1"/>
    <xf numFmtId="49" fontId="5" fillId="0" borderId="0" xfId="0" applyNumberFormat="1" applyFont="1"/>
    <xf numFmtId="0" fontId="46" fillId="0" borderId="0" xfId="0" applyFont="1" applyAlignment="1">
      <alignment horizontal="right" vertical="center"/>
    </xf>
    <xf numFmtId="0" fontId="46" fillId="0" borderId="0" xfId="0" applyFont="1" applyAlignment="1">
      <alignment horizontal="center"/>
    </xf>
    <xf numFmtId="0" fontId="41" fillId="0" borderId="0" xfId="0" applyFont="1" applyAlignment="1">
      <alignment vertical="center"/>
    </xf>
    <xf numFmtId="43" fontId="12" fillId="0" borderId="5" xfId="1" applyNumberFormat="1" applyFont="1" applyBorder="1" applyAlignment="1" applyProtection="1">
      <alignment horizontal="right" vertical="center"/>
    </xf>
    <xf numFmtId="0" fontId="47" fillId="0" borderId="7" xfId="0" applyFont="1" applyBorder="1"/>
    <xf numFmtId="0" fontId="50" fillId="0" borderId="0" xfId="0" applyFont="1" applyAlignment="1">
      <alignment vertical="center"/>
    </xf>
    <xf numFmtId="0" fontId="50" fillId="0" borderId="0" xfId="0" applyFont="1" applyAlignment="1">
      <alignment horizontal="center"/>
    </xf>
    <xf numFmtId="2" fontId="50" fillId="0" borderId="0" xfId="0" applyNumberFormat="1" applyFont="1" applyAlignment="1">
      <alignment horizontal="right" vertical="center"/>
    </xf>
    <xf numFmtId="0" fontId="50" fillId="0" borderId="0" xfId="0" applyFont="1" applyAlignment="1">
      <alignment horizontal="left" vertical="center"/>
    </xf>
    <xf numFmtId="0" fontId="50" fillId="0" borderId="0" xfId="0" applyFont="1" applyAlignment="1">
      <alignment horizontal="right"/>
    </xf>
    <xf numFmtId="0" fontId="50" fillId="0" borderId="0" xfId="0" applyFont="1" applyAlignment="1">
      <alignment horizontal="right" vertical="center"/>
    </xf>
    <xf numFmtId="0" fontId="50" fillId="0" borderId="0" xfId="0" applyFont="1" applyAlignment="1">
      <alignment horizontal="left"/>
    </xf>
    <xf numFmtId="0" fontId="86" fillId="0" borderId="0" xfId="0" applyFont="1" applyAlignment="1">
      <alignment vertical="center"/>
    </xf>
    <xf numFmtId="0" fontId="1" fillId="0" borderId="0" xfId="0" applyFont="1" applyAlignment="1">
      <alignment shrinkToFit="1"/>
    </xf>
    <xf numFmtId="0" fontId="12" fillId="0" borderId="4" xfId="0" applyFont="1" applyBorder="1" applyAlignment="1">
      <alignment vertical="center"/>
    </xf>
    <xf numFmtId="0" fontId="0" fillId="0" borderId="5" xfId="0" applyBorder="1" applyAlignment="1">
      <alignment horizontal="left" vertical="center" wrapText="1"/>
    </xf>
    <xf numFmtId="1" fontId="1" fillId="0" borderId="0" xfId="0" applyNumberFormat="1" applyFont="1" applyAlignment="1">
      <alignment horizontal="center" vertical="center" shrinkToFit="1"/>
    </xf>
    <xf numFmtId="167" fontId="0" fillId="0" borderId="0" xfId="0" applyNumberFormat="1" applyAlignment="1">
      <alignment horizontal="center" vertical="center" shrinkToFit="1"/>
    </xf>
    <xf numFmtId="0" fontId="53" fillId="0" borderId="5" xfId="0" quotePrefix="1" applyFont="1" applyBorder="1" applyAlignment="1">
      <alignment horizontal="center" vertical="center"/>
    </xf>
    <xf numFmtId="2" fontId="0" fillId="0" borderId="0" xfId="0" applyNumberFormat="1" applyAlignment="1">
      <alignment horizontal="center"/>
    </xf>
    <xf numFmtId="0" fontId="15" fillId="0" borderId="0" xfId="0" applyFont="1"/>
    <xf numFmtId="0" fontId="0" fillId="0" borderId="0" xfId="0" applyAlignment="1">
      <alignment wrapText="1"/>
    </xf>
    <xf numFmtId="0" fontId="1" fillId="0" borderId="0" xfId="0" applyFont="1" applyAlignment="1">
      <alignment wrapText="1"/>
    </xf>
    <xf numFmtId="0" fontId="0" fillId="0" borderId="8" xfId="0" applyBorder="1" applyAlignment="1">
      <alignment wrapText="1"/>
    </xf>
    <xf numFmtId="0" fontId="4" fillId="0" borderId="0" xfId="0" applyFont="1" applyAlignment="1">
      <alignment shrinkToFit="1"/>
    </xf>
    <xf numFmtId="0" fontId="4" fillId="0" borderId="0" xfId="0" quotePrefix="1" applyFont="1" applyAlignment="1">
      <alignment horizontal="right"/>
    </xf>
    <xf numFmtId="0" fontId="3" fillId="0" borderId="0" xfId="0" applyFont="1" applyAlignment="1">
      <alignment horizontal="left"/>
    </xf>
    <xf numFmtId="0" fontId="53" fillId="0" borderId="4" xfId="0" applyFont="1" applyBorder="1"/>
    <xf numFmtId="0" fontId="4" fillId="0" borderId="5" xfId="0" applyFont="1" applyBorder="1"/>
    <xf numFmtId="0" fontId="0" fillId="0" borderId="5" xfId="0" applyBorder="1" applyAlignment="1">
      <alignment horizontal="center"/>
    </xf>
    <xf numFmtId="0" fontId="0" fillId="0" borderId="6" xfId="0" applyBorder="1"/>
    <xf numFmtId="0" fontId="1" fillId="0" borderId="2" xfId="0" applyFont="1" applyBorder="1" applyAlignment="1">
      <alignment horizontal="right"/>
    </xf>
    <xf numFmtId="0" fontId="53" fillId="0" borderId="2" xfId="0" quotePrefix="1" applyFont="1" applyBorder="1" applyAlignment="1">
      <alignment horizontal="center" vertical="center"/>
    </xf>
    <xf numFmtId="0" fontId="1" fillId="0" borderId="0" xfId="0" quotePrefix="1" applyFont="1"/>
    <xf numFmtId="0" fontId="13" fillId="0" borderId="0" xfId="0" applyFont="1" applyAlignment="1">
      <alignment horizontal="left"/>
    </xf>
    <xf numFmtId="168" fontId="1" fillId="0" borderId="0" xfId="0" applyNumberFormat="1" applyFont="1"/>
    <xf numFmtId="0" fontId="1" fillId="0" borderId="0" xfId="0" quotePrefix="1" applyFont="1" applyAlignment="1">
      <alignment horizontal="left"/>
    </xf>
    <xf numFmtId="164" fontId="6" fillId="0" borderId="0" xfId="1" applyFont="1" applyBorder="1" applyAlignment="1" applyProtection="1">
      <alignment horizontal="right"/>
    </xf>
    <xf numFmtId="0" fontId="6" fillId="0" borderId="7" xfId="0" applyFont="1" applyBorder="1" applyAlignment="1">
      <alignment horizontal="right"/>
    </xf>
    <xf numFmtId="164" fontId="6" fillId="0" borderId="0" xfId="1" applyFont="1" applyBorder="1" applyAlignment="1" applyProtection="1">
      <alignment horizontal="center"/>
    </xf>
    <xf numFmtId="164" fontId="79" fillId="0" borderId="0" xfId="1" applyFont="1" applyBorder="1" applyProtection="1"/>
    <xf numFmtId="164" fontId="53" fillId="0" borderId="0" xfId="1" applyFont="1" applyBorder="1" applyAlignment="1" applyProtection="1">
      <alignment horizontal="right"/>
    </xf>
    <xf numFmtId="0" fontId="1" fillId="0" borderId="0" xfId="0" applyFont="1" applyAlignment="1">
      <alignment horizontal="center" shrinkToFit="1"/>
    </xf>
    <xf numFmtId="0" fontId="80" fillId="0" borderId="0" xfId="0" applyFont="1" applyAlignment="1">
      <alignment horizontal="center"/>
    </xf>
    <xf numFmtId="0" fontId="53" fillId="0" borderId="0" xfId="0" applyFont="1" applyAlignment="1">
      <alignment shrinkToFit="1"/>
    </xf>
    <xf numFmtId="0" fontId="53" fillId="0" borderId="0" xfId="0" quotePrefix="1" applyFont="1" applyAlignment="1">
      <alignment horizontal="right"/>
    </xf>
    <xf numFmtId="0" fontId="79" fillId="0" borderId="0" xfId="0" applyFont="1" applyAlignment="1">
      <alignment horizontal="left"/>
    </xf>
    <xf numFmtId="0" fontId="0" fillId="0" borderId="4" xfId="0" applyBorder="1"/>
    <xf numFmtId="0" fontId="12" fillId="0" borderId="5" xfId="0" applyFont="1" applyBorder="1"/>
    <xf numFmtId="0" fontId="42" fillId="0" borderId="0" xfId="0" applyFont="1"/>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2" fontId="0" fillId="0" borderId="2" xfId="0" applyNumberFormat="1" applyBorder="1" applyAlignment="1">
      <alignment vertical="center"/>
    </xf>
    <xf numFmtId="0" fontId="15" fillId="0" borderId="0" xfId="0" applyFont="1" applyAlignment="1">
      <alignment horizontal="center" vertical="center" shrinkToFit="1"/>
    </xf>
    <xf numFmtId="0" fontId="53" fillId="0" borderId="1" xfId="0" applyFont="1" applyBorder="1"/>
    <xf numFmtId="0" fontId="0" fillId="0" borderId="2" xfId="0" applyBorder="1" applyAlignment="1">
      <alignment horizontal="center"/>
    </xf>
    <xf numFmtId="0" fontId="12" fillId="0" borderId="2" xfId="0" applyFont="1" applyBorder="1" applyAlignment="1">
      <alignment horizontal="left" vertical="center"/>
    </xf>
    <xf numFmtId="0" fontId="42" fillId="0" borderId="2" xfId="0" applyFont="1" applyBorder="1" applyAlignment="1">
      <alignment horizontal="left" vertical="center"/>
    </xf>
    <xf numFmtId="2" fontId="0" fillId="0" borderId="10" xfId="0" applyNumberFormat="1" applyBorder="1" applyAlignment="1">
      <alignment horizontal="center" vertical="center"/>
    </xf>
    <xf numFmtId="0" fontId="0" fillId="0" borderId="13" xfId="0" applyBorder="1" applyAlignment="1">
      <alignment horizontal="center" vertical="center"/>
    </xf>
    <xf numFmtId="0" fontId="12" fillId="0" borderId="0" xfId="0" applyFont="1" applyAlignment="1">
      <alignment horizontal="center" vertical="center" wrapText="1"/>
    </xf>
    <xf numFmtId="2" fontId="12" fillId="0" borderId="8" xfId="0" applyNumberFormat="1" applyFont="1" applyBorder="1" applyAlignment="1">
      <alignment vertical="center"/>
    </xf>
    <xf numFmtId="0" fontId="0" fillId="0" borderId="10" xfId="0" applyBorder="1" applyAlignment="1">
      <alignment horizontal="center" vertical="center" shrinkToFit="1"/>
    </xf>
    <xf numFmtId="0" fontId="0" fillId="0" borderId="10" xfId="0" quotePrefix="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2" fontId="1" fillId="0" borderId="2" xfId="0" applyNumberFormat="1" applyFont="1" applyBorder="1" applyAlignment="1">
      <alignment horizontal="right" vertical="center"/>
    </xf>
    <xf numFmtId="0" fontId="12" fillId="0" borderId="8" xfId="0" applyFont="1" applyBorder="1" applyAlignment="1">
      <alignment horizontal="center" vertical="center"/>
    </xf>
    <xf numFmtId="0" fontId="50" fillId="0" borderId="12" xfId="0" applyFont="1" applyBorder="1" applyAlignment="1">
      <alignment horizontal="center" vertical="center"/>
    </xf>
    <xf numFmtId="0" fontId="50" fillId="8" borderId="12" xfId="0" applyFont="1" applyFill="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12" fillId="2" borderId="12" xfId="0" applyFont="1" applyFill="1" applyBorder="1" applyAlignment="1" applyProtection="1">
      <alignment horizontal="center" vertical="center"/>
      <protection locked="0"/>
    </xf>
    <xf numFmtId="166"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20" fillId="0" borderId="7" xfId="0" applyFont="1" applyBorder="1" applyAlignment="1">
      <alignment horizontal="left" vertical="center"/>
    </xf>
    <xf numFmtId="0" fontId="0" fillId="0" borderId="8" xfId="0" applyBorder="1" applyAlignment="1">
      <alignment horizontal="center" vertical="center" wrapText="1"/>
    </xf>
    <xf numFmtId="0" fontId="2" fillId="0" borderId="1" xfId="0" applyFont="1" applyBorder="1" applyAlignment="1">
      <alignment vertical="center"/>
    </xf>
    <xf numFmtId="0" fontId="2" fillId="0" borderId="7" xfId="0" applyFont="1" applyBorder="1" applyAlignment="1">
      <alignment vertical="center"/>
    </xf>
    <xf numFmtId="0" fontId="2" fillId="0" borderId="0" xfId="0" applyFont="1" applyAlignment="1">
      <alignment vertical="center"/>
    </xf>
    <xf numFmtId="0" fontId="3" fillId="0" borderId="0" xfId="0" applyFont="1" applyAlignment="1">
      <alignment vertical="center"/>
    </xf>
    <xf numFmtId="14" fontId="1" fillId="0" borderId="0" xfId="0" applyNumberFormat="1" applyFont="1" applyAlignment="1">
      <alignment vertical="center"/>
    </xf>
    <xf numFmtId="0" fontId="3" fillId="0" borderId="0" xfId="0" applyFont="1" applyAlignment="1">
      <alignment vertical="center" wrapText="1"/>
    </xf>
    <xf numFmtId="0" fontId="0" fillId="0" borderId="8" xfId="0" applyBorder="1" applyAlignment="1">
      <alignment horizontal="right" vertical="top"/>
    </xf>
    <xf numFmtId="171" fontId="0" fillId="0" borderId="0" xfId="0" applyNumberFormat="1" applyAlignment="1">
      <alignment horizontal="center" vertical="center"/>
    </xf>
    <xf numFmtId="43" fontId="1" fillId="0" borderId="0" xfId="0" applyNumberFormat="1" applyFont="1" applyAlignment="1">
      <alignment horizontal="center" vertical="center"/>
    </xf>
    <xf numFmtId="171" fontId="1" fillId="0" borderId="0" xfId="0" applyNumberFormat="1" applyFont="1" applyAlignment="1">
      <alignment horizontal="center" vertical="center"/>
    </xf>
    <xf numFmtId="169" fontId="0" fillId="0" borderId="0" xfId="0" applyNumberFormat="1" applyAlignment="1">
      <alignment horizontal="center" vertical="center"/>
    </xf>
    <xf numFmtId="0" fontId="50" fillId="8" borderId="14" xfId="0" applyFont="1" applyFill="1" applyBorder="1" applyAlignment="1">
      <alignment horizontal="center" vertical="center"/>
    </xf>
    <xf numFmtId="0" fontId="50" fillId="0" borderId="14" xfId="0" applyFont="1" applyBorder="1" applyAlignment="1">
      <alignment horizontal="center" vertical="center"/>
    </xf>
    <xf numFmtId="0" fontId="42" fillId="2" borderId="0" xfId="0" applyFont="1" applyFill="1" applyAlignment="1" applyProtection="1">
      <alignment horizontal="center" vertical="center"/>
      <protection locked="0"/>
    </xf>
    <xf numFmtId="43" fontId="12" fillId="0" borderId="10" xfId="1" applyNumberFormat="1" applyFont="1" applyBorder="1" applyAlignment="1" applyProtection="1">
      <alignment horizontal="right" vertical="center"/>
    </xf>
    <xf numFmtId="2" fontId="42" fillId="2" borderId="0" xfId="1" applyNumberFormat="1" applyFont="1" applyFill="1" applyBorder="1" applyAlignment="1" applyProtection="1">
      <alignment horizontal="center" vertical="center"/>
      <protection locked="0"/>
    </xf>
    <xf numFmtId="2" fontId="12" fillId="2" borderId="0" xfId="0" applyNumberFormat="1" applyFont="1" applyFill="1" applyAlignment="1" applyProtection="1">
      <alignment horizontal="center" vertical="center"/>
      <protection locked="0"/>
    </xf>
    <xf numFmtId="0" fontId="12" fillId="0" borderId="7" xfId="0" applyFont="1" applyBorder="1" applyAlignment="1">
      <alignment horizontal="left" vertical="center"/>
    </xf>
    <xf numFmtId="0" fontId="0" fillId="0" borderId="7" xfId="0" quotePrefix="1" applyBorder="1" applyAlignment="1">
      <alignment horizontal="center" vertical="center"/>
    </xf>
    <xf numFmtId="0" fontId="0" fillId="0" borderId="0" xfId="0" quotePrefix="1" applyAlignment="1">
      <alignment horizontal="right" vertical="center"/>
    </xf>
    <xf numFmtId="169" fontId="0" fillId="0" borderId="0" xfId="0" quotePrefix="1" applyNumberFormat="1" applyAlignment="1">
      <alignment horizontal="center" vertical="center"/>
    </xf>
    <xf numFmtId="0" fontId="0" fillId="0" borderId="0" xfId="0" applyAlignment="1">
      <alignment horizontal="right" vertical="center" wrapText="1"/>
    </xf>
    <xf numFmtId="0" fontId="40" fillId="0" borderId="0" xfId="0" applyFont="1"/>
    <xf numFmtId="0" fontId="0" fillId="0" borderId="0" xfId="0" applyAlignment="1">
      <alignment horizontal="right" vertical="top"/>
    </xf>
    <xf numFmtId="0" fontId="0" fillId="0" borderId="0" xfId="0" quotePrefix="1" applyAlignment="1">
      <alignment horizontal="left" vertical="center"/>
    </xf>
    <xf numFmtId="176" fontId="0" fillId="0" borderId="0" xfId="0" applyNumberFormat="1" applyAlignment="1">
      <alignment horizontal="center" vertical="center"/>
    </xf>
    <xf numFmtId="176" fontId="1" fillId="0" borderId="0" xfId="0" applyNumberFormat="1" applyFont="1"/>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0" fillId="0" borderId="0" xfId="0" applyAlignment="1">
      <alignment horizontal="center" wrapText="1"/>
    </xf>
    <xf numFmtId="0" fontId="0" fillId="0" borderId="0" xfId="0" applyAlignment="1">
      <alignment horizontal="center"/>
    </xf>
    <xf numFmtId="0" fontId="3" fillId="0" borderId="7" xfId="0" applyFont="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1" xfId="0" applyNumberFormat="1" applyFont="1" applyBorder="1" applyAlignment="1">
      <alignment horizontal="center" vertical="center"/>
    </xf>
    <xf numFmtId="1" fontId="1" fillId="0" borderId="3" xfId="0" applyNumberFormat="1" applyFont="1" applyBorder="1" applyAlignment="1">
      <alignment horizontal="center" vertical="center"/>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0" fontId="1" fillId="0" borderId="0" xfId="0" applyFont="1" applyAlignment="1">
      <alignment horizont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xf>
    <xf numFmtId="0" fontId="2" fillId="0" borderId="12" xfId="0" applyFont="1" applyBorder="1" applyAlignment="1">
      <alignment horizontal="center" vertical="center"/>
    </xf>
    <xf numFmtId="173" fontId="0" fillId="0" borderId="0" xfId="0" applyNumberFormat="1"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1" fontId="1" fillId="0" borderId="0" xfId="0" applyNumberFormat="1" applyFont="1" applyAlignment="1">
      <alignment horizontal="center" vertical="center"/>
    </xf>
    <xf numFmtId="1" fontId="0" fillId="0" borderId="0" xfId="0" applyNumberFormat="1" applyAlignment="1">
      <alignment horizontal="center" vertical="center" wrapText="1"/>
    </xf>
    <xf numFmtId="1" fontId="0" fillId="0" borderId="0" xfId="0" applyNumberFormat="1" applyAlignment="1">
      <alignment horizontal="center" vertical="center"/>
    </xf>
    <xf numFmtId="1" fontId="0" fillId="0" borderId="8" xfId="0" applyNumberFormat="1" applyBorder="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0" fontId="0" fillId="0" borderId="7" xfId="0" applyBorder="1" applyAlignment="1">
      <alignment horizontal="center" wrapText="1"/>
    </xf>
    <xf numFmtId="166" fontId="1" fillId="0" borderId="10" xfId="0" applyNumberFormat="1" applyFont="1" applyBorder="1" applyAlignment="1">
      <alignment horizontal="center" vertical="center"/>
    </xf>
    <xf numFmtId="176" fontId="0" fillId="0" borderId="0" xfId="0" applyNumberFormat="1" applyAlignment="1">
      <alignment horizontal="center"/>
    </xf>
    <xf numFmtId="176" fontId="1" fillId="0" borderId="0" xfId="0" applyNumberFormat="1" applyFont="1" applyAlignment="1">
      <alignment horizontal="center"/>
    </xf>
    <xf numFmtId="164" fontId="1" fillId="0" borderId="5" xfId="0" applyNumberFormat="1" applyFont="1" applyBorder="1" applyAlignment="1">
      <alignment horizontal="center" vertical="center"/>
    </xf>
    <xf numFmtId="2" fontId="1" fillId="0" borderId="6" xfId="0" applyNumberFormat="1" applyFont="1" applyBorder="1" applyAlignment="1">
      <alignment horizontal="center" vertical="center"/>
    </xf>
    <xf numFmtId="0" fontId="0" fillId="0" borderId="0" xfId="0" applyAlignment="1">
      <alignment vertical="center"/>
    </xf>
    <xf numFmtId="165" fontId="1" fillId="0" borderId="0" xfId="0" applyNumberFormat="1" applyFont="1" applyAlignment="1">
      <alignment horizontal="center" vertical="center"/>
    </xf>
    <xf numFmtId="0" fontId="0" fillId="0" borderId="7" xfId="0" quotePrefix="1" applyBorder="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wrapText="1"/>
    </xf>
    <xf numFmtId="0" fontId="40" fillId="0" borderId="7" xfId="0" applyFont="1" applyBorder="1" applyAlignment="1">
      <alignment horizontal="center" vertical="center" wrapText="1"/>
    </xf>
    <xf numFmtId="0" fontId="1" fillId="0" borderId="0" xfId="0" quotePrefix="1" applyFont="1" applyAlignment="1">
      <alignment horizontal="center" vertical="center"/>
    </xf>
    <xf numFmtId="0" fontId="0" fillId="0" borderId="7" xfId="0" applyBorder="1" applyAlignment="1">
      <alignment horizontal="left" vertical="center" indent="1"/>
    </xf>
    <xf numFmtId="0" fontId="1" fillId="0" borderId="0" xfId="0" applyFont="1" applyAlignment="1">
      <alignment horizontal="left" vertical="center" indent="1"/>
    </xf>
    <xf numFmtId="0" fontId="1" fillId="0" borderId="8" xfId="0" applyFont="1" applyBorder="1" applyAlignment="1">
      <alignment horizontal="left" vertical="center" indent="1"/>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0" fontId="3" fillId="0" borderId="7" xfId="0" applyFont="1" applyBorder="1" applyAlignment="1">
      <alignment horizontal="left"/>
    </xf>
    <xf numFmtId="0" fontId="4" fillId="0" borderId="0" xfId="0" applyFont="1" applyAlignment="1">
      <alignment horizontal="left"/>
    </xf>
    <xf numFmtId="170" fontId="1" fillId="0" borderId="0" xfId="0" applyNumberFormat="1" applyFont="1" applyAlignment="1">
      <alignment horizontal="center" vertical="center"/>
    </xf>
    <xf numFmtId="170" fontId="42" fillId="2" borderId="12" xfId="1" applyNumberFormat="1"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2" fontId="42" fillId="2" borderId="12" xfId="1"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170" fontId="0" fillId="0" borderId="0" xfId="0" applyNumberFormat="1" applyAlignment="1">
      <alignment horizontal="center" vertical="center"/>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0" fontId="50" fillId="0" borderId="7" xfId="0" applyFont="1" applyBorder="1" applyAlignment="1">
      <alignment horizontal="center" vertical="top"/>
    </xf>
    <xf numFmtId="0" fontId="50" fillId="0" borderId="0" xfId="0" applyFont="1" applyAlignment="1">
      <alignment horizontal="center" vertical="top"/>
    </xf>
    <xf numFmtId="0" fontId="50" fillId="8" borderId="12" xfId="0" applyFont="1" applyFill="1" applyBorder="1" applyAlignment="1">
      <alignment horizontal="center" vertical="center"/>
    </xf>
    <xf numFmtId="0" fontId="50" fillId="0" borderId="12" xfId="0" applyFont="1" applyBorder="1" applyAlignment="1">
      <alignment horizontal="center" vertical="center"/>
    </xf>
    <xf numFmtId="0" fontId="96" fillId="0" borderId="7" xfId="0" applyFont="1" applyBorder="1" applyAlignment="1">
      <alignment horizontal="center" vertical="top"/>
    </xf>
    <xf numFmtId="0" fontId="96" fillId="0" borderId="0" xfId="0" applyFont="1" applyAlignment="1">
      <alignment horizontal="center" vertical="top"/>
    </xf>
    <xf numFmtId="0" fontId="96" fillId="0" borderId="8" xfId="0" applyFont="1" applyBorder="1" applyAlignment="1">
      <alignment horizontal="center" vertical="top"/>
    </xf>
    <xf numFmtId="0" fontId="20" fillId="0" borderId="7" xfId="0" applyFont="1" applyBorder="1" applyAlignment="1">
      <alignment horizontal="center" vertical="center"/>
    </xf>
    <xf numFmtId="0" fontId="20" fillId="0" borderId="0" xfId="0" applyFont="1" applyAlignment="1">
      <alignment horizontal="center" vertical="center"/>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4" fillId="0" borderId="1" xfId="0" applyFont="1" applyBorder="1" applyAlignment="1">
      <alignment horizontal="left"/>
    </xf>
    <xf numFmtId="0" fontId="4" fillId="0" borderId="2" xfId="0" applyFont="1" applyBorder="1" applyAlignment="1">
      <alignment horizontal="left"/>
    </xf>
    <xf numFmtId="0" fontId="4" fillId="0" borderId="2" xfId="0" applyFont="1" applyBorder="1" applyAlignment="1">
      <alignment horizontal="center" vertical="center"/>
    </xf>
    <xf numFmtId="0" fontId="4" fillId="0" borderId="0" xfId="0" applyFont="1" applyAlignment="1">
      <alignment horizontal="center" vertical="center"/>
    </xf>
    <xf numFmtId="0" fontId="1" fillId="0" borderId="12" xfId="0" applyFont="1" applyBorder="1" applyAlignment="1">
      <alignment horizontal="center" vertical="center"/>
    </xf>
    <xf numFmtId="2" fontId="1" fillId="0" borderId="12" xfId="0" applyNumberFormat="1"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50" fillId="0" borderId="7" xfId="0" applyFont="1" applyBorder="1" applyAlignment="1">
      <alignment horizontal="center" vertical="top" wrapText="1"/>
    </xf>
    <xf numFmtId="0" fontId="50" fillId="0" borderId="0" xfId="0" applyFont="1" applyAlignment="1">
      <alignment horizontal="center" vertical="top" wrapText="1"/>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0" fillId="0" borderId="0" xfId="0" applyAlignment="1">
      <alignment horizontal="right" vertical="center" wrapText="1"/>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85" fillId="2" borderId="4" xfId="0" applyFont="1" applyFill="1" applyBorder="1" applyAlignment="1">
      <alignment horizontal="center" vertical="center"/>
    </xf>
    <xf numFmtId="0" fontId="85" fillId="2" borderId="6" xfId="0" applyFont="1" applyFill="1" applyBorder="1" applyAlignment="1">
      <alignment horizontal="center" vertical="center"/>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2" fontId="0" fillId="0" borderId="0" xfId="0" applyNumberFormat="1" applyAlignment="1">
      <alignment horizontal="center" vertical="center"/>
    </xf>
    <xf numFmtId="0" fontId="0" fillId="0" borderId="4" xfId="0" applyBorder="1" applyAlignment="1">
      <alignment horizontal="center"/>
    </xf>
    <xf numFmtId="0" fontId="20" fillId="0" borderId="10" xfId="0" quotePrefix="1" applyFont="1" applyBorder="1" applyAlignment="1">
      <alignment horizontal="center" vertical="center"/>
    </xf>
    <xf numFmtId="0" fontId="20" fillId="0" borderId="0" xfId="0" applyFont="1" applyAlignment="1">
      <alignment vertical="center"/>
    </xf>
    <xf numFmtId="0" fontId="20" fillId="0" borderId="7" xfId="0" applyFont="1" applyBorder="1" applyAlignment="1">
      <alignment horizontal="right" vertical="center"/>
    </xf>
    <xf numFmtId="0" fontId="1" fillId="0" borderId="0" xfId="0" applyFont="1" applyAlignment="1">
      <alignment horizontal="right"/>
    </xf>
    <xf numFmtId="0" fontId="1" fillId="0" borderId="7" xfId="0" applyFont="1" applyBorder="1" applyAlignment="1">
      <alignment horizontal="right"/>
    </xf>
    <xf numFmtId="0" fontId="1" fillId="0" borderId="0" xfId="0" applyFont="1" applyAlignment="1">
      <alignment horizontal="right" vertical="center"/>
    </xf>
    <xf numFmtId="0" fontId="0" fillId="0" borderId="10" xfId="0" applyBorder="1"/>
    <xf numFmtId="0" fontId="0" fillId="0" borderId="0" xfId="0"/>
    <xf numFmtId="0" fontId="1" fillId="0" borderId="0" xfId="0" applyFont="1" applyAlignment="1">
      <alignment horizontal="center" vertical="center" shrinkToFit="1"/>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1" fontId="1" fillId="0" borderId="0" xfId="0" applyNumberFormat="1" applyFont="1" applyAlignment="1">
      <alignment horizontal="right"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0" fillId="0" borderId="4" xfId="0" applyBorder="1" applyAlignment="1">
      <alignment horizontal="center" vertical="center"/>
    </xf>
    <xf numFmtId="0" fontId="0" fillId="0" borderId="6" xfId="0" applyBorder="1" applyAlignment="1">
      <alignment horizontal="center" vertical="center"/>
    </xf>
    <xf numFmtId="0" fontId="1" fillId="0" borderId="10" xfId="0" applyFont="1" applyBorder="1" applyAlignment="1">
      <alignment shrinkToFit="1"/>
    </xf>
    <xf numFmtId="0" fontId="1" fillId="0" borderId="10" xfId="0"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0" fontId="12" fillId="0" borderId="6" xfId="0" applyFont="1" applyBorder="1" applyAlignment="1">
      <alignment horizontal="center" vertical="center"/>
    </xf>
    <xf numFmtId="167" fontId="1" fillId="0" borderId="0" xfId="0" applyNumberFormat="1" applyFont="1" applyAlignment="1">
      <alignment vertical="center"/>
    </xf>
    <xf numFmtId="2" fontId="20" fillId="0" borderId="10" xfId="0" applyNumberFormat="1" applyFont="1" applyBorder="1" applyAlignment="1">
      <alignment horizontal="center" vertical="center"/>
    </xf>
    <xf numFmtId="1" fontId="1" fillId="0" borderId="0" xfId="0" applyNumberFormat="1" applyFont="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 fillId="0" borderId="7" xfId="0" applyFont="1" applyBorder="1" applyAlignment="1">
      <alignment horizontal="center" vertical="center"/>
    </xf>
    <xf numFmtId="0" fontId="85" fillId="0" borderId="0" xfId="0" applyFont="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1" xfId="0" applyFont="1" applyBorder="1" applyAlignment="1">
      <alignment horizontal="center"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0" fontId="12" fillId="0" borderId="1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horizontal="center" vertical="center" shrinkToFit="1"/>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12" xfId="0" applyBorder="1" applyAlignment="1">
      <alignment vertical="center" shrinkToFit="1"/>
    </xf>
    <xf numFmtId="0" fontId="1" fillId="0" borderId="12" xfId="0" applyFont="1" applyBorder="1" applyAlignment="1">
      <alignment vertical="center" shrinkToFit="1"/>
    </xf>
    <xf numFmtId="0" fontId="1" fillId="0" borderId="12" xfId="0" applyFont="1" applyBorder="1" applyAlignment="1">
      <alignment horizontal="center" vertical="center" wrapText="1" shrinkToFi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9" fillId="2" borderId="0" xfId="0" applyFont="1" applyFill="1" applyAlignment="1" applyProtection="1">
      <alignment horizontal="center" vertical="center" shrinkToFit="1"/>
      <protection locked="0"/>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97" fillId="2" borderId="1" xfId="0" applyFont="1" applyFill="1" applyBorder="1" applyAlignment="1" applyProtection="1">
      <alignment horizontal="center" vertical="center" wrapText="1"/>
      <protection locked="0"/>
    </xf>
    <xf numFmtId="0" fontId="98" fillId="2" borderId="2" xfId="0" applyFont="1" applyFill="1" applyBorder="1" applyAlignment="1" applyProtection="1">
      <alignment horizontal="center" wrapText="1"/>
      <protection locked="0"/>
    </xf>
    <xf numFmtId="0" fontId="98" fillId="2" borderId="3" xfId="0" applyFont="1" applyFill="1" applyBorder="1" applyAlignment="1" applyProtection="1">
      <alignment horizontal="center" wrapText="1"/>
      <protection locked="0"/>
    </xf>
    <xf numFmtId="0" fontId="98" fillId="2" borderId="9" xfId="0" applyFont="1" applyFill="1" applyBorder="1" applyAlignment="1" applyProtection="1">
      <alignment horizontal="center" wrapText="1"/>
      <protection locked="0"/>
    </xf>
    <xf numFmtId="0" fontId="98" fillId="2" borderId="10" xfId="0" applyFont="1" applyFill="1" applyBorder="1" applyAlignment="1" applyProtection="1">
      <alignment horizontal="center" wrapText="1"/>
      <protection locked="0"/>
    </xf>
    <xf numFmtId="0" fontId="98"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4" fontId="5" fillId="0" borderId="4" xfId="0" applyNumberFormat="1" applyFont="1" applyBorder="1" applyAlignment="1">
      <alignment horizontal="center" vertical="center"/>
    </xf>
    <xf numFmtId="0" fontId="97" fillId="0" borderId="1" xfId="0" applyFont="1" applyBorder="1" applyAlignment="1">
      <alignment horizontal="center" vertical="center" wrapText="1"/>
    </xf>
    <xf numFmtId="0" fontId="97" fillId="0" borderId="2" xfId="0" applyFont="1" applyBorder="1" applyAlignment="1">
      <alignment horizontal="center" vertical="center" wrapText="1"/>
    </xf>
    <xf numFmtId="0" fontId="97" fillId="0" borderId="3" xfId="0" applyFont="1" applyBorder="1" applyAlignment="1">
      <alignment horizontal="center" vertical="center" wrapText="1"/>
    </xf>
    <xf numFmtId="0" fontId="97" fillId="0" borderId="9" xfId="0" applyFont="1" applyBorder="1" applyAlignment="1">
      <alignment horizontal="center" vertical="center" wrapText="1"/>
    </xf>
    <xf numFmtId="0" fontId="97" fillId="0" borderId="10" xfId="0" applyFont="1" applyBorder="1" applyAlignment="1">
      <alignment horizontal="center" vertical="center" wrapText="1"/>
    </xf>
    <xf numFmtId="0" fontId="97"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0" fillId="0" borderId="12" xfId="0" applyBorder="1" applyAlignment="1">
      <alignment horizontal="center" vertical="center"/>
    </xf>
    <xf numFmtId="167" fontId="1" fillId="0" borderId="12" xfId="0" applyNumberFormat="1" applyFont="1" applyBorder="1" applyAlignment="1">
      <alignment horizontal="center" vertical="center" shrinkToFit="1"/>
    </xf>
    <xf numFmtId="0" fontId="0" fillId="0" borderId="12" xfId="0" quotePrefix="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wrapTex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2" fontId="1" fillId="0" borderId="1"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2" xfId="0"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0" fontId="12" fillId="0" borderId="0" xfId="0" applyFont="1" applyAlignment="1">
      <alignment horizontal="center" vertical="center"/>
    </xf>
    <xf numFmtId="0" fontId="12" fillId="0" borderId="0" xfId="0" applyFont="1" applyAlignment="1">
      <alignment horizontal="center" vertical="center" wrapText="1"/>
    </xf>
    <xf numFmtId="0" fontId="37" fillId="0" borderId="10"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0" fillId="0" borderId="0" xfId="0" applyAlignment="1">
      <alignment horizontal="center" vertical="center" shrinkToFit="1"/>
    </xf>
    <xf numFmtId="0" fontId="1" fillId="0" borderId="14" xfId="0" applyFont="1" applyBorder="1" applyAlignment="1">
      <alignment horizontal="center" vertical="center"/>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1" xfId="0" applyFont="1" applyBorder="1" applyAlignment="1">
      <alignment horizontal="center" vertical="center" shrinkToFit="1"/>
    </xf>
    <xf numFmtId="0" fontId="1" fillId="0" borderId="4" xfId="0" applyFont="1" applyBorder="1" applyAlignment="1">
      <alignment horizontal="right" vertical="center" shrinkToFit="1"/>
    </xf>
    <xf numFmtId="0" fontId="1" fillId="0" borderId="6" xfId="0" applyFont="1" applyBorder="1" applyAlignment="1">
      <alignment horizontal="left" vertical="center" shrinkToFit="1"/>
    </xf>
    <xf numFmtId="1" fontId="1" fillId="0" borderId="12"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167" fontId="1" fillId="0" borderId="12" xfId="0" applyNumberFormat="1" applyFont="1" applyBorder="1" applyAlignment="1">
      <alignment horizontal="center" vertical="center" wrapTex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67" fontId="1" fillId="0" borderId="14" xfId="0" applyNumberFormat="1" applyFont="1" applyBorder="1" applyAlignment="1">
      <alignment horizontal="center" vertical="center" shrinkToFit="1"/>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2" fontId="1" fillId="0" borderId="4" xfId="0" applyNumberFormat="1"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wrapText="1" shrinkToFit="1"/>
    </xf>
    <xf numFmtId="2" fontId="1" fillId="0" borderId="14" xfId="0" applyNumberFormat="1" applyFont="1" applyBorder="1" applyAlignment="1">
      <alignment horizontal="center" vertical="center" shrinkToFit="1"/>
    </xf>
    <xf numFmtId="0" fontId="0" fillId="0" borderId="5" xfId="0" applyBorder="1" applyAlignment="1">
      <alignment horizontal="center" vertical="center"/>
    </xf>
    <xf numFmtId="2" fontId="0" fillId="0" borderId="12" xfId="0" applyNumberFormat="1" applyBorder="1" applyAlignment="1">
      <alignment horizontal="center" vertical="center"/>
    </xf>
    <xf numFmtId="0" fontId="12" fillId="0" borderId="7" xfId="0" applyFont="1"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12" fillId="3" borderId="4"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50" fillId="8" borderId="4" xfId="0" applyFont="1" applyFill="1" applyBorder="1" applyAlignment="1">
      <alignment horizontal="center" vertical="center"/>
    </xf>
    <xf numFmtId="0" fontId="50" fillId="8" borderId="6" xfId="0" applyFont="1" applyFill="1" applyBorder="1" applyAlignment="1">
      <alignment horizontal="center" vertical="center"/>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0" fillId="0" borderId="0" xfId="0" applyAlignment="1">
      <alignment horizontal="left" vertical="center" wrapText="1"/>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1" fillId="8" borderId="12" xfId="0" applyFont="1" applyFill="1" applyBorder="1" applyAlignment="1">
      <alignment horizontal="center" vertical="center"/>
    </xf>
    <xf numFmtId="2" fontId="51" fillId="0" borderId="12" xfId="0" applyNumberFormat="1" applyFont="1" applyBorder="1" applyAlignment="1">
      <alignment horizontal="center" vertical="center"/>
    </xf>
    <xf numFmtId="2" fontId="52" fillId="0" borderId="0" xfId="0" applyNumberFormat="1" applyFont="1" applyAlignment="1">
      <alignment horizontal="right"/>
    </xf>
    <xf numFmtId="0" fontId="50" fillId="8" borderId="13" xfId="0" applyFont="1" applyFill="1" applyBorder="1" applyAlignment="1">
      <alignment horizontal="center" vertical="center"/>
    </xf>
    <xf numFmtId="0" fontId="50" fillId="0" borderId="13" xfId="0" applyFont="1" applyBorder="1" applyAlignment="1">
      <alignment horizontal="center" vertical="center"/>
    </xf>
    <xf numFmtId="0" fontId="50" fillId="8" borderId="4" xfId="0" applyFont="1" applyFill="1" applyBorder="1" applyAlignment="1">
      <alignment vertical="center"/>
    </xf>
    <xf numFmtId="0" fontId="50" fillId="8" borderId="5" xfId="0" applyFont="1" applyFill="1" applyBorder="1" applyAlignment="1">
      <alignment vertical="center"/>
    </xf>
    <xf numFmtId="0" fontId="50" fillId="0" borderId="5" xfId="0" applyFont="1" applyBorder="1" applyAlignment="1">
      <alignment vertical="center"/>
    </xf>
    <xf numFmtId="0" fontId="50" fillId="0" borderId="6" xfId="0" applyFont="1" applyBorder="1" applyAlignment="1">
      <alignment vertical="center"/>
    </xf>
    <xf numFmtId="0" fontId="50" fillId="0" borderId="0" xfId="0" applyFont="1" applyAlignment="1">
      <alignment horizontal="center"/>
    </xf>
    <xf numFmtId="0" fontId="50" fillId="0" borderId="5" xfId="0" applyFont="1" applyBorder="1" applyAlignment="1">
      <alignment horizontal="center" vertical="center"/>
    </xf>
    <xf numFmtId="0" fontId="50" fillId="0" borderId="0" xfId="0" applyFont="1" applyAlignment="1">
      <alignment horizontal="right"/>
    </xf>
    <xf numFmtId="49" fontId="61" fillId="2" borderId="0" xfId="0" applyNumberFormat="1" applyFont="1" applyFill="1" applyAlignment="1" applyProtection="1">
      <alignment horizontal="center" vertical="center" shrinkToFit="1"/>
      <protection locked="0"/>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49" fontId="92" fillId="2" borderId="0" xfId="0" applyNumberFormat="1" applyFont="1" applyFill="1" applyAlignment="1" applyProtection="1">
      <alignment horizontal="center" vertical="center" wrapText="1" shrinkToFit="1"/>
      <protection locked="0"/>
    </xf>
    <xf numFmtId="2" fontId="0" fillId="0" borderId="10" xfId="0" applyNumberFormat="1" applyBorder="1" applyAlignment="1">
      <alignment horizontal="center" vertical="center"/>
    </xf>
    <xf numFmtId="2" fontId="0" fillId="0" borderId="0" xfId="0" applyNumberFormat="1" applyAlignment="1">
      <alignment horizontal="left"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165" fontId="0" fillId="0" borderId="0" xfId="0" applyNumberFormat="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0" fontId="3" fillId="0" borderId="0" xfId="0" applyFont="1" applyAlignment="1">
      <alignment vertical="center" wrapText="1"/>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2" fontId="0" fillId="0" borderId="0" xfId="0" applyNumberFormat="1" applyAlignment="1">
      <alignment horizontal="center" vertical="center" shrinkToFit="1"/>
    </xf>
    <xf numFmtId="0" fontId="85" fillId="6"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2" xfId="0" applyFont="1" applyFill="1" applyBorder="1" applyAlignment="1">
      <alignment horizontal="center" vertical="center"/>
    </xf>
    <xf numFmtId="2" fontId="1" fillId="0" borderId="11" xfId="0" applyNumberFormat="1" applyFont="1" applyBorder="1" applyAlignment="1">
      <alignment horizontal="center" vertical="center"/>
    </xf>
    <xf numFmtId="2" fontId="1" fillId="0" borderId="3" xfId="0" applyNumberFormat="1" applyFont="1"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0" fontId="1" fillId="0" borderId="12" xfId="0" applyFont="1" applyBorder="1" applyAlignment="1">
      <alignment vertical="center" wrapText="1"/>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0" fillId="0" borderId="12" xfId="0" applyBorder="1" applyAlignment="1">
      <alignment vertical="center"/>
    </xf>
    <xf numFmtId="169" fontId="0" fillId="0" borderId="0" xfId="0" applyNumberFormat="1" applyAlignment="1">
      <alignment horizontal="center" vertical="center"/>
    </xf>
    <xf numFmtId="0" fontId="1" fillId="0" borderId="2" xfId="0" applyFont="1" applyBorder="1" applyAlignment="1">
      <alignment horizontal="center" vertical="center" wrapText="1"/>
    </xf>
    <xf numFmtId="0" fontId="1" fillId="0" borderId="10" xfId="0" applyFont="1" applyBorder="1" applyAlignment="1">
      <alignment vertical="center"/>
    </xf>
    <xf numFmtId="2" fontId="0" fillId="0" borderId="0" xfId="0" applyNumberFormat="1" applyAlignment="1">
      <alignment vertical="center"/>
    </xf>
    <xf numFmtId="1" fontId="0" fillId="0" borderId="0" xfId="0" applyNumberFormat="1" applyAlignment="1">
      <alignment vertical="center"/>
    </xf>
    <xf numFmtId="0" fontId="15" fillId="0" borderId="0" xfId="0" applyFont="1" applyAlignment="1">
      <alignment horizontal="center" vertical="center"/>
    </xf>
    <xf numFmtId="0" fontId="53" fillId="0" borderId="10" xfId="0" applyFont="1" applyBorder="1" applyAlignment="1">
      <alignment horizontal="center" vertical="center"/>
    </xf>
    <xf numFmtId="2" fontId="1" fillId="0" borderId="10" xfId="0" applyNumberFormat="1" applyFont="1" applyBorder="1" applyAlignment="1">
      <alignment vertical="center"/>
    </xf>
    <xf numFmtId="0" fontId="4" fillId="0" borderId="10" xfId="0" applyFont="1" applyBorder="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0" fontId="13" fillId="2" borderId="13" xfId="0" applyFont="1" applyFill="1" applyBorder="1" applyAlignment="1">
      <alignment horizontal="center" vertical="center"/>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1" fillId="0" borderId="0" xfId="0" applyNumberFormat="1" applyFont="1" applyAlignment="1">
      <alignment horizontal="center" vertical="center" shrinkToFit="1"/>
    </xf>
    <xf numFmtId="1" fontId="0" fillId="0" borderId="0" xfId="0" applyNumberFormat="1" applyAlignment="1">
      <alignment horizontal="right" vertical="center"/>
    </xf>
    <xf numFmtId="0" fontId="1" fillId="0" borderId="0" xfId="0" applyFont="1" applyAlignment="1">
      <alignment horizontal="left" vertical="center" shrinkToFit="1"/>
    </xf>
    <xf numFmtId="0" fontId="1" fillId="0" borderId="8" xfId="0" applyFont="1" applyBorder="1" applyAlignment="1">
      <alignment horizontal="left" vertical="center" shrinkToFit="1"/>
    </xf>
    <xf numFmtId="2" fontId="1" fillId="0" borderId="0" xfId="0" applyNumberFormat="1" applyFont="1" applyAlignment="1">
      <alignment horizontal="left"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42" fillId="0" borderId="7" xfId="0" applyFont="1" applyBorder="1" applyAlignment="1">
      <alignment horizontal="center" vertical="center"/>
    </xf>
    <xf numFmtId="0" fontId="42" fillId="0" borderId="0" xfId="0" applyFont="1" applyAlignment="1">
      <alignment horizontal="center" vertical="center"/>
    </xf>
    <xf numFmtId="2" fontId="13" fillId="2" borderId="12" xfId="0" applyNumberFormat="1" applyFont="1" applyFill="1" applyBorder="1" applyAlignment="1" applyProtection="1">
      <alignment horizontal="center" vertical="center"/>
      <protection locked="0"/>
    </xf>
    <xf numFmtId="2" fontId="13" fillId="2" borderId="13" xfId="0" applyNumberFormat="1"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2" fontId="1" fillId="0" borderId="10" xfId="0" applyNumberFormat="1" applyFont="1" applyBorder="1" applyAlignment="1">
      <alignment horizontal="center" vertical="center" shrinkToFit="1"/>
    </xf>
    <xf numFmtId="0" fontId="53" fillId="0" borderId="10" xfId="0" applyFont="1" applyBorder="1" applyAlignment="1">
      <alignment horizontal="center" vertical="center" shrinkToFit="1"/>
    </xf>
    <xf numFmtId="1" fontId="1" fillId="0" borderId="10" xfId="0" applyNumberFormat="1" applyFont="1" applyBorder="1" applyAlignment="1">
      <alignment horizontal="center" shrinkToFit="1"/>
    </xf>
    <xf numFmtId="0" fontId="1" fillId="0" borderId="0" xfId="0" applyFont="1" applyAlignment="1">
      <alignment horizontal="center" shrinkToFit="1"/>
    </xf>
    <xf numFmtId="0" fontId="0" fillId="0" borderId="0" xfId="0" applyAlignment="1">
      <alignment horizontal="center" shrinkToFit="1"/>
    </xf>
    <xf numFmtId="0" fontId="53" fillId="0" borderId="0" xfId="0" applyFont="1" applyAlignment="1">
      <alignment shrinkToFit="1"/>
    </xf>
    <xf numFmtId="0" fontId="1" fillId="0" borderId="10" xfId="0" applyFont="1" applyBorder="1" applyAlignment="1">
      <alignment horizontal="center" shrinkToFit="1"/>
    </xf>
    <xf numFmtId="0" fontId="1" fillId="0" borderId="10" xfId="0" applyFont="1" applyBorder="1" applyAlignment="1">
      <alignment horizontal="center"/>
    </xf>
    <xf numFmtId="0" fontId="1" fillId="0" borderId="10" xfId="0" applyFont="1" applyBorder="1"/>
    <xf numFmtId="1" fontId="1" fillId="0" borderId="10" xfId="0" applyNumberFormat="1" applyFont="1" applyBorder="1" applyAlignment="1">
      <alignment horizontal="center"/>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53" fillId="0" borderId="0" xfId="0" applyFont="1" applyAlignment="1">
      <alignment horizontal="center" vertical="center" shrinkToFit="1"/>
    </xf>
    <xf numFmtId="0" fontId="1" fillId="0" borderId="2" xfId="0" applyFont="1" applyBorder="1" applyAlignment="1">
      <alignment horizontal="center" shrinkToFit="1"/>
    </xf>
    <xf numFmtId="165" fontId="1" fillId="0" borderId="4" xfId="0" applyNumberFormat="1" applyFont="1" applyBorder="1" applyAlignment="1">
      <alignment horizontal="center" vertical="center"/>
    </xf>
    <xf numFmtId="165" fontId="1" fillId="0" borderId="6" xfId="0" applyNumberFormat="1" applyFont="1" applyBorder="1" applyAlignment="1">
      <alignment horizontal="center" vertical="center"/>
    </xf>
    <xf numFmtId="2" fontId="1" fillId="0" borderId="0" xfId="0" applyNumberFormat="1" applyFont="1" applyAlignment="1">
      <alignment vertical="center"/>
    </xf>
    <xf numFmtId="2" fontId="13" fillId="2" borderId="6" xfId="0" applyNumberFormat="1" applyFont="1" applyFill="1" applyBorder="1" applyAlignment="1">
      <alignment horizontal="center" vertical="center"/>
    </xf>
    <xf numFmtId="0" fontId="42" fillId="2" borderId="4" xfId="0" applyFont="1" applyFill="1" applyBorder="1" applyAlignment="1" applyProtection="1">
      <alignment vertical="center" shrinkToFit="1"/>
      <protection locked="0"/>
    </xf>
    <xf numFmtId="0" fontId="0" fillId="0" borderId="9" xfId="0" applyBorder="1" applyAlignment="1">
      <alignment horizontal="center" vertical="center"/>
    </xf>
    <xf numFmtId="0" fontId="0" fillId="0" borderId="11" xfId="0" applyBorder="1" applyAlignment="1">
      <alignment horizontal="center" vertical="center"/>
    </xf>
    <xf numFmtId="0" fontId="64" fillId="7" borderId="12" xfId="0" applyFont="1" applyFill="1" applyBorder="1" applyAlignment="1" applyProtection="1">
      <alignment horizontal="center" vertical="center"/>
      <protection locked="0"/>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85" fillId="7" borderId="4" xfId="0" applyFont="1" applyFill="1" applyBorder="1" applyAlignment="1">
      <alignment horizontal="center" vertical="center"/>
    </xf>
    <xf numFmtId="0" fontId="85" fillId="7" borderId="6" xfId="0" applyFont="1" applyFill="1" applyBorder="1" applyAlignment="1">
      <alignment horizontal="center" vertical="center"/>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0" fillId="0" borderId="0" xfId="0"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0" fillId="0" borderId="0" xfId="0" applyAlignment="1">
      <alignment horizontal="left" vertical="center"/>
    </xf>
    <xf numFmtId="165" fontId="0" fillId="0" borderId="12" xfId="0" applyNumberFormat="1" applyBorder="1" applyAlignment="1">
      <alignment horizontal="center" vertical="center"/>
    </xf>
    <xf numFmtId="49" fontId="91" fillId="2" borderId="0" xfId="0" applyNumberFormat="1" applyFont="1" applyFill="1" applyAlignment="1" applyProtection="1">
      <alignment horizontal="center" vertical="center" wrapText="1" shrinkToFit="1"/>
      <protection locked="0"/>
    </xf>
    <xf numFmtId="0" fontId="42" fillId="0" borderId="2" xfId="0" applyFont="1" applyBorder="1" applyAlignment="1" applyProtection="1">
      <alignment horizontal="center" vertical="center"/>
      <protection locked="0"/>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20" fillId="0" borderId="7" xfId="0" applyFont="1" applyBorder="1" applyAlignment="1">
      <alignment horizontal="left" vertical="center"/>
    </xf>
    <xf numFmtId="0" fontId="20" fillId="0" borderId="0" xfId="0" applyFont="1" applyAlignment="1">
      <alignment horizontal="left" vertical="center"/>
    </xf>
    <xf numFmtId="2" fontId="20" fillId="0" borderId="10" xfId="0" applyNumberFormat="1" applyFont="1" applyBorder="1" applyAlignment="1">
      <alignment horizontal="center" vertical="center" shrinkToFit="1"/>
    </xf>
    <xf numFmtId="0" fontId="1" fillId="0" borderId="2" xfId="0" applyFont="1" applyBorder="1" applyAlignment="1">
      <alignment horizontal="right" vertical="center" shrinkToFit="1"/>
    </xf>
    <xf numFmtId="0" fontId="1" fillId="0" borderId="2" xfId="0" applyFont="1" applyBorder="1" applyAlignment="1">
      <alignment vertical="center" shrinkToFit="1"/>
    </xf>
    <xf numFmtId="0" fontId="1" fillId="0" borderId="2" xfId="0" quotePrefix="1" applyFont="1" applyBorder="1" applyAlignment="1">
      <alignment horizontal="center" vertical="center" shrinkToFit="1"/>
    </xf>
    <xf numFmtId="2" fontId="1" fillId="0" borderId="2" xfId="0" applyNumberFormat="1" applyFont="1" applyBorder="1" applyAlignment="1">
      <alignment vertical="center" shrinkToFit="1"/>
    </xf>
    <xf numFmtId="0" fontId="20" fillId="0" borderId="1" xfId="0" applyFont="1" applyBorder="1" applyAlignment="1">
      <alignment horizontal="right" vertical="center"/>
    </xf>
    <xf numFmtId="0" fontId="20" fillId="0" borderId="2" xfId="0" applyFont="1" applyBorder="1" applyAlignment="1">
      <alignment horizontal="right" vertical="center"/>
    </xf>
    <xf numFmtId="2" fontId="12" fillId="0" borderId="6" xfId="0" applyNumberFormat="1" applyFont="1" applyBorder="1" applyAlignment="1">
      <alignment horizontal="center" vertical="center"/>
    </xf>
    <xf numFmtId="2" fontId="20" fillId="0" borderId="5" xfId="0" applyNumberFormat="1" applyFont="1" applyBorder="1" applyAlignment="1">
      <alignment horizontal="center" vertical="center" shrinkToFit="1"/>
    </xf>
    <xf numFmtId="0" fontId="20" fillId="0" borderId="2" xfId="0" applyFont="1" applyBorder="1" applyAlignment="1">
      <alignment vertical="center"/>
    </xf>
    <xf numFmtId="0" fontId="0" fillId="0" borderId="10" xfId="0" applyBorder="1" applyAlignment="1">
      <alignment vertical="center" shrinkToFit="1"/>
    </xf>
    <xf numFmtId="0" fontId="1" fillId="0" borderId="6" xfId="0" applyFont="1" applyBorder="1" applyAlignment="1">
      <alignment vertical="center"/>
    </xf>
    <xf numFmtId="0" fontId="1" fillId="0" borderId="12" xfId="0" applyFont="1" applyBorder="1" applyAlignment="1">
      <alignment vertical="center"/>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2" fontId="1" fillId="0" borderId="13" xfId="0" applyNumberFormat="1" applyFont="1" applyBorder="1" applyAlignment="1">
      <alignment horizontal="right" vertical="center"/>
    </xf>
    <xf numFmtId="0" fontId="0" fillId="0" borderId="13" xfId="0" applyBorder="1" applyAlignment="1">
      <alignment vertical="center"/>
    </xf>
    <xf numFmtId="2" fontId="1" fillId="0" borderId="12" xfId="0" applyNumberFormat="1" applyFont="1" applyBorder="1" applyAlignment="1">
      <alignment horizontal="right" vertical="center"/>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68" fillId="0" borderId="12" xfId="0" applyFont="1" applyBorder="1" applyAlignment="1">
      <alignment horizontal="center" vertical="center"/>
    </xf>
    <xf numFmtId="0" fontId="68" fillId="0" borderId="12" xfId="0" applyFont="1" applyBorder="1" applyAlignment="1">
      <alignment vertical="center"/>
    </xf>
    <xf numFmtId="165" fontId="13" fillId="2" borderId="12" xfId="0" applyNumberFormat="1" applyFont="1" applyFill="1" applyBorder="1" applyAlignment="1" applyProtection="1">
      <alignment horizontal="center" vertical="center"/>
      <protection locked="0"/>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6" fillId="6" borderId="12" xfId="0" applyFont="1" applyFill="1" applyBorder="1" applyAlignment="1">
      <alignment horizontal="center" vertical="center"/>
    </xf>
    <xf numFmtId="0" fontId="0" fillId="2" borderId="12" xfId="0" applyFill="1" applyBorder="1" applyAlignment="1" applyProtection="1">
      <alignment horizontal="center" vertical="center"/>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12" fillId="0" borderId="0" xfId="0" applyFont="1" applyAlignment="1">
      <alignment horizontal="center" vertical="center" shrinkToFit="1"/>
    </xf>
    <xf numFmtId="0" fontId="0" fillId="2" borderId="12" xfId="0" applyFill="1" applyBorder="1" applyAlignment="1" applyProtection="1">
      <alignment vertical="center"/>
      <protection locked="0"/>
    </xf>
    <xf numFmtId="0" fontId="0" fillId="0" borderId="8" xfId="0" applyBorder="1" applyAlignment="1">
      <alignment horizontal="left" vertical="center" wrapText="1"/>
    </xf>
    <xf numFmtId="0" fontId="0" fillId="0" borderId="7" xfId="0" applyBorder="1" applyAlignment="1">
      <alignment horizontal="left" vertical="center" wrapText="1"/>
    </xf>
    <xf numFmtId="0" fontId="85" fillId="2" borderId="1" xfId="0" applyFont="1" applyFill="1" applyBorder="1" applyAlignment="1">
      <alignment horizontal="center" vertical="center"/>
    </xf>
    <xf numFmtId="0" fontId="0" fillId="0" borderId="0" xfId="0" applyAlignment="1">
      <alignment horizontal="right"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86" fillId="6" borderId="6" xfId="0" applyFont="1" applyFill="1" applyBorder="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center" vertical="center"/>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0" fontId="1" fillId="0" borderId="0" xfId="0" applyFont="1" applyAlignment="1" applyProtection="1">
      <alignment horizontal="center" vertical="center"/>
      <protection locked="0"/>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166" fontId="1" fillId="0" borderId="0" xfId="0" applyNumberFormat="1" applyFont="1" applyAlignment="1">
      <alignment horizontal="left" vertical="center"/>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0" fontId="1" fillId="0" borderId="4" xfId="0" quotePrefix="1" applyFont="1" applyBorder="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167" fontId="1" fillId="0" borderId="0" xfId="0" applyNumberFormat="1" applyFont="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1" fontId="4" fillId="0" borderId="12" xfId="0" applyNumberFormat="1" applyFont="1" applyBorder="1" applyAlignment="1">
      <alignment horizontal="center" vertical="center" shrinkToFit="1"/>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0" fontId="0" fillId="0" borderId="1" xfId="0" applyBorder="1" applyAlignment="1">
      <alignment horizontal="center" vertical="center"/>
    </xf>
    <xf numFmtId="0" fontId="0" fillId="0" borderId="3"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2" fontId="13" fillId="2" borderId="1" xfId="0" applyNumberFormat="1" applyFont="1" applyFill="1" applyBorder="1" applyAlignment="1" applyProtection="1">
      <alignment horizontal="center" vertical="center"/>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1" xfId="0" applyBorder="1" applyAlignment="1">
      <alignment horizontal="center" vertical="center" wrapText="1"/>
    </xf>
    <xf numFmtId="0" fontId="0" fillId="0" borderId="3" xfId="0" applyBorder="1" applyAlignment="1">
      <alignment horizontal="center" vertical="center" wrapText="1"/>
    </xf>
    <xf numFmtId="1" fontId="0" fillId="0" borderId="12" xfId="0" applyNumberFormat="1" applyBorder="1" applyAlignment="1">
      <alignment horizontal="center" vertical="center"/>
    </xf>
    <xf numFmtId="0" fontId="0" fillId="0" borderId="0" xfId="0" quotePrefix="1" applyFont="1" applyAlignment="1">
      <alignment horizontal="center" vertical="center"/>
    </xf>
    <xf numFmtId="0" fontId="0" fillId="0" borderId="0" xfId="0" applyFont="1" applyAlignment="1">
      <alignment horizontal="left" vertical="center"/>
    </xf>
    <xf numFmtId="0" fontId="0" fillId="0" borderId="0" xfId="0" applyFont="1" applyAlignment="1">
      <alignment horizontal="right" vertical="center"/>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223">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lor theme="9" tint="-0.499984740745262"/>
      </font>
    </dxf>
    <dxf>
      <font>
        <b/>
        <i val="0"/>
        <color rgb="FFFF0000"/>
      </font>
    </dxf>
    <dxf>
      <font>
        <b/>
        <i val="0"/>
        <color theme="9" tint="-0.499984740745262"/>
      </font>
    </dxf>
    <dxf>
      <font>
        <b/>
        <i val="0"/>
        <color rgb="FFFF0000"/>
      </font>
    </dxf>
    <dxf>
      <fill>
        <patternFill>
          <bgColor rgb="FFFFC7CE"/>
        </patternFill>
      </fill>
    </dxf>
    <dxf>
      <font>
        <b/>
        <i val="0"/>
        <color theme="9" tint="-0.499984740745262"/>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theme" Target="theme/theme1.xml"/><Relationship Id="rId16" Type="http://schemas.openxmlformats.org/officeDocument/2006/relationships/worksheet" Target="worksheets/sheet16.xml"/><Relationship Id="rId107" Type="http://schemas.openxmlformats.org/officeDocument/2006/relationships/externalLink" Target="externalLinks/externalLink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tyles" Target="styles.xml"/><Relationship Id="rId118" Type="http://schemas.openxmlformats.org/officeDocument/2006/relationships/customXml" Target="../customXml/item2.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1.xml"/><Relationship Id="rId108" Type="http://schemas.openxmlformats.org/officeDocument/2006/relationships/externalLink" Target="externalLinks/externalLink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sharedStrings" Target="sharedStrings.xml"/><Relationship Id="rId119"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8.xml"/><Relationship Id="rId115" Type="http://schemas.microsoft.com/office/2017/10/relationships/person" Target="persons/perso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5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13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24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B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E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35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40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66273" name="Button 1" hidden="1">
              <a:extLst>
                <a:ext uri="{63B3BB69-23CF-44E3-9099-C40C66FF867C}">
                  <a14:compatExt spid="_x0000_s566273"/>
                </a:ext>
                <a:ext uri="{FF2B5EF4-FFF2-40B4-BE49-F238E27FC236}">
                  <a16:creationId xmlns:a16="http://schemas.microsoft.com/office/drawing/2014/main" id="{00000000-0008-0000-4F00-000001A408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59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5A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5B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76513" name="Button 1" hidden="1">
              <a:extLst>
                <a:ext uri="{63B3BB69-23CF-44E3-9099-C40C66FF867C}">
                  <a14:compatExt spid="_x0000_s576513"/>
                </a:ext>
                <a:ext uri="{FF2B5EF4-FFF2-40B4-BE49-F238E27FC236}">
                  <a16:creationId xmlns:a16="http://schemas.microsoft.com/office/drawing/2014/main" id="{00000000-0008-0000-5C00-000001CC08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656385" name="Button 1" hidden="1">
              <a:extLst>
                <a:ext uri="{63B3BB69-23CF-44E3-9099-C40C66FF867C}">
                  <a14:compatExt spid="_x0000_s656385"/>
                </a:ext>
                <a:ext uri="{FF2B5EF4-FFF2-40B4-BE49-F238E27FC236}">
                  <a16:creationId xmlns:a16="http://schemas.microsoft.com/office/drawing/2014/main" id="{00000000-0008-0000-5D00-000001040A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5E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5F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60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61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62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63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teams/GAApT/Shared%20Documents/General/ApT/01.%20Projects/1.%20AE/25.4%20220kV%20&amp;%2033kV%20TAZIZ%20(TAQA)/4.%20CT%20Calculation/3.%20Cal/D4D48A00.xls" TargetMode="External"/><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yhokesh_d_hitachienergy_com/Documents/Desktop/CT%20PT/project%203%20-%20400-132-33kV%20GRID%20STATION%20AT%20AL%20DHAFRA/Sample/Ref/TWPS_CT%20VT_Calc_Rev.A.xls" TargetMode="External"/><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personal/yhokesh_d_hitachienergy_com/Documents/Desktop/CT%20PT/project%203%20-%20400-132-33kV%20GRID%20STATION%20AT%20AL%20DHAFRA/Sample/Ref/TWPS_CT%20VT_Calc_Rev.A.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yhokesh_d_hitachienergy_com/Documents/Desktop/CT%20PT/project%201/CT%20calculation.xlsm" TargetMode="External"/><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personal/yhokesh_d_hitachienergy_com/Documents/Desktop/CT%20PT/project%201/CT%20calculation.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yhokesh_d_hitachienergy_com/Documents/Desktop/CT%20PT/project%201/Ref/TWPS_CT%20VT_Calc_Rev.A.xls" TargetMode="External"/><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personal/yhokesh_d_hitachienergy_com/Documents/Desktop/CT%20PT/project%201/Ref/TWPS_CT%20VT_Calc_Rev.A.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yhokesh_d_hitachienergy_com/Documents/Desktop/CT%20PT/project%203%20-%20400-132-33kV%20GRID%20STATION%20AT%20AL%20DHAFRA/Sample/132kV%20CT_VT%20Cal.xlsx" TargetMode="External"/><Relationship Id="rId2" Type="http://schemas.openxmlformats.org/officeDocument/2006/relationships/externalLinkPath" Target="https://hitachipowergrids-my.sharepoint.com/personal/yhokesh_d_hitachienergy_com/Documents/Desktop/CT%20PT/project%203/Sample/132kV%20CT_VT%20Cal.xlsx" TargetMode="External"/><Relationship Id="rId1" Type="http://schemas.openxmlformats.org/officeDocument/2006/relationships/externalLinkPath" Target="/personal/yhokesh_d_hitachienergy_com/Documents/Desktop/CT%20PT/project%203%20-%20400-132-33kV%20GRID%20STATION%20AT%20AL%20DHAFRA/Sample/132kV%20CT_VT%20Cal.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teams/GAApT/Shared%20Documents/General/ApT/01.%20Projects/1.%20AE/25.4%20220kV%20&amp;%2033kV%20TAZIZ%20(TAQA)/4.%20CT%20Calculation/3.%20Cal/220kV/ref/NIMR_CT%20VT_Calc.xls" TargetMode="External"/><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2">
          <cell r="Q12">
            <v>132</v>
          </cell>
        </row>
        <row r="31">
          <cell r="Q31">
            <v>40000</v>
          </cell>
        </row>
        <row r="33">
          <cell r="Q33">
            <v>40000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sheetData sheetId="47"/>
      <sheetData sheetId="48"/>
      <sheetData sheetId="49">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ow r="40">
          <cell r="G40">
            <v>33.333333333333336</v>
          </cell>
        </row>
      </sheetData>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ow r="36">
          <cell r="G36">
            <v>1.0404833234988959</v>
          </cell>
        </row>
        <row r="137">
          <cell r="G137" t="str">
            <v>/</v>
          </cell>
        </row>
      </sheetData>
      <sheetData sheetId="241"/>
      <sheetData sheetId="242"/>
      <sheetData sheetId="243"/>
      <sheetData sheetId="244"/>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row>
        <row r="2">
          <cell r="H2" t="str">
            <v>CALCULATION</v>
          </cell>
        </row>
        <row r="5">
          <cell r="A5" t="str">
            <v>Prep. By</v>
          </cell>
          <cell r="C5" t="str">
            <v>PK</v>
          </cell>
          <cell r="D5" t="str">
            <v>Checked By</v>
          </cell>
          <cell r="G5" t="str">
            <v>RN</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0">
          <cell r="Q10">
            <v>63</v>
          </cell>
        </row>
        <row r="12">
          <cell r="Q12">
            <v>132</v>
          </cell>
        </row>
      </sheetData>
      <sheetData sheetId="21">
        <row r="11">
          <cell r="H11" t="str">
            <v>PX</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O2" t="str">
            <v>Date</v>
          </cell>
          <cell r="R2">
            <v>45276</v>
          </cell>
        </row>
        <row r="3">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itle"/>
      <sheetName val="INDEX"/>
      <sheetName val="Notes Or Assumptions"/>
      <sheetName val="CT-VT Data landscape"/>
      <sheetName val="CT-VT Burdens"/>
      <sheetName val="5 (6)"/>
      <sheetName val="Parameters &amp; Fault Cal. (4)"/>
      <sheetName val="RED670_2.2C42-X (2)"/>
      <sheetName val="7SL86-X"/>
      <sheetName val="OC+BCPU+FMS-X"/>
      <sheetName val="OC+FMS+BFR-X (BS)"/>
      <sheetName val="BCU+OC-5P SEL751+7SJ85 (2)"/>
      <sheetName val="(Metering + Ammeter)"/>
      <sheetName val="Tariff Check-0.2FS  (3)"/>
      <sheetName val="5"/>
      <sheetName val="RET670_650-PX (HV) (2)"/>
      <sheetName val="SEL487E-X"/>
      <sheetName val="Tariff Main-0.2FS "/>
      <sheetName val="Tariff Check-0.2FS  (2)"/>
      <sheetName val="7UT635-X"/>
      <sheetName val="OC+BCPU+FMS-X (2)"/>
      <sheetName val="Main Tariff Meter "/>
      <sheetName val="Check Tariff Meter + Ammeters"/>
      <sheetName val="(Metering + Ammeter) (4)"/>
      <sheetName val="5 (7)"/>
      <sheetName val="OC+BCPU+FMS-X (3)"/>
      <sheetName val="(Metering + Ammeter) (2)"/>
      <sheetName val="5 (8)"/>
      <sheetName val="(Metering + Ammeter) (5)"/>
      <sheetName val="5 (4)"/>
      <sheetName val="P743"/>
      <sheetName val="REB670-X"/>
      <sheetName val="9"/>
      <sheetName val="Incomer VT"/>
      <sheetName val="Cable Feeder"/>
      <sheetName val="Bus VT (2)"/>
      <sheetName val="Bus VT (3)"/>
    </sheetNames>
    <sheetDataSet>
      <sheetData sheetId="0">
        <row r="1">
          <cell r="H1" t="str">
            <v>CT / VT</v>
          </cell>
        </row>
        <row r="2">
          <cell r="H2" t="str">
            <v>ADEQUACY CHECK</v>
          </cell>
        </row>
        <row r="5">
          <cell r="A5" t="str">
            <v>Prep. By</v>
          </cell>
          <cell r="C5" t="str">
            <v>AP</v>
          </cell>
          <cell r="D5" t="str">
            <v>Checked By</v>
          </cell>
          <cell r="G5" t="str">
            <v>RB</v>
          </cell>
        </row>
      </sheetData>
      <sheetData sheetId="1"/>
      <sheetData sheetId="2"/>
      <sheetData sheetId="3"/>
      <sheetData sheetId="4">
        <row r="19">
          <cell r="S19">
            <v>50</v>
          </cell>
        </row>
        <row r="28">
          <cell r="S28">
            <v>4</v>
          </cell>
        </row>
        <row r="57">
          <cell r="Q57">
            <v>0.02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20.bin"/><Relationship Id="rId4" Type="http://schemas.openxmlformats.org/officeDocument/2006/relationships/ctrlProp" Target="../ctrlProps/ctrlProp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37.bin"/><Relationship Id="rId4" Type="http://schemas.openxmlformats.org/officeDocument/2006/relationships/ctrlProp" Target="../ctrlProps/ctrlProp7.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xml"/><Relationship Id="rId1" Type="http://schemas.openxmlformats.org/officeDocument/2006/relationships/printerSettings" Target="../printerSettings/printerSettings44.bin"/><Relationship Id="rId4" Type="http://schemas.openxmlformats.org/officeDocument/2006/relationships/ctrlProp" Target="../ctrlProps/ctrlProp8.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9.xml"/><Relationship Id="rId1" Type="http://schemas.openxmlformats.org/officeDocument/2006/relationships/printerSettings" Target="../printerSettings/printerSettings47.bin"/><Relationship Id="rId4" Type="http://schemas.openxmlformats.org/officeDocument/2006/relationships/ctrlProp" Target="../ctrlProps/ctrlProp9.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0.xml"/><Relationship Id="rId1" Type="http://schemas.openxmlformats.org/officeDocument/2006/relationships/printerSettings" Target="../printerSettings/printerSettings54.bin"/><Relationship Id="rId4" Type="http://schemas.openxmlformats.org/officeDocument/2006/relationships/ctrlProp" Target="../ctrlProps/ctrlProp10.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1.xml"/><Relationship Id="rId1" Type="http://schemas.openxmlformats.org/officeDocument/2006/relationships/printerSettings" Target="../printerSettings/printerSettings65.bin"/><Relationship Id="rId4" Type="http://schemas.openxmlformats.org/officeDocument/2006/relationships/ctrlProp" Target="../ctrlProps/ctrlProp11.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2.xml"/><Relationship Id="rId1" Type="http://schemas.openxmlformats.org/officeDocument/2006/relationships/printerSettings" Target="../printerSettings/printerSettings80.bin"/><Relationship Id="rId4" Type="http://schemas.openxmlformats.org/officeDocument/2006/relationships/ctrlProp" Target="../ctrlProps/ctrlProp12.xml"/></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3.xml"/><Relationship Id="rId1" Type="http://schemas.openxmlformats.org/officeDocument/2006/relationships/printerSettings" Target="../printerSettings/printerSettings90.bin"/><Relationship Id="rId4" Type="http://schemas.openxmlformats.org/officeDocument/2006/relationships/ctrlProp" Target="../ctrlProps/ctrlProp13.xml"/></Relationships>
</file>

<file path=xl/worksheets/_rels/sheet9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4.xml"/><Relationship Id="rId1" Type="http://schemas.openxmlformats.org/officeDocument/2006/relationships/printerSettings" Target="../printerSettings/printerSettings91.bin"/><Relationship Id="rId4" Type="http://schemas.openxmlformats.org/officeDocument/2006/relationships/ctrlProp" Target="../ctrlProps/ctrlProp14.xml"/></Relationships>
</file>

<file path=xl/worksheets/_rels/sheet9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5.xml"/><Relationship Id="rId1" Type="http://schemas.openxmlformats.org/officeDocument/2006/relationships/printerSettings" Target="../printerSettings/printerSettings92.bin"/><Relationship Id="rId4" Type="http://schemas.openxmlformats.org/officeDocument/2006/relationships/ctrlProp" Target="../ctrlProps/ctrlProp15.xml"/></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6.xml"/><Relationship Id="rId1" Type="http://schemas.openxmlformats.org/officeDocument/2006/relationships/printerSettings" Target="../printerSettings/printerSettings93.bin"/><Relationship Id="rId4" Type="http://schemas.openxmlformats.org/officeDocument/2006/relationships/ctrlProp" Target="../ctrlProps/ctrlProp16.xml"/></Relationships>
</file>

<file path=xl/worksheets/_rels/sheet9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7.xml"/><Relationship Id="rId1" Type="http://schemas.openxmlformats.org/officeDocument/2006/relationships/printerSettings" Target="../printerSettings/printerSettings94.bin"/><Relationship Id="rId4" Type="http://schemas.openxmlformats.org/officeDocument/2006/relationships/ctrlProp" Target="../ctrlProps/ctrlProp17.xml"/></Relationships>
</file>

<file path=xl/worksheets/_rels/sheet9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8.xml"/><Relationship Id="rId1" Type="http://schemas.openxmlformats.org/officeDocument/2006/relationships/printerSettings" Target="../printerSettings/printerSettings95.bin"/><Relationship Id="rId4" Type="http://schemas.openxmlformats.org/officeDocument/2006/relationships/ctrlProp" Target="../ctrlProps/ctrlProp18.xml"/></Relationships>
</file>

<file path=xl/worksheets/_rels/sheet9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19.xml"/><Relationship Id="rId1" Type="http://schemas.openxmlformats.org/officeDocument/2006/relationships/printerSettings" Target="../printerSettings/printerSettings96.bin"/><Relationship Id="rId4" Type="http://schemas.openxmlformats.org/officeDocument/2006/relationships/ctrlProp" Target="../ctrlProps/ctrlProp19.xml"/></Relationships>
</file>

<file path=xl/worksheets/_rels/sheet9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0.xml"/><Relationship Id="rId1" Type="http://schemas.openxmlformats.org/officeDocument/2006/relationships/printerSettings" Target="../printerSettings/printerSettings97.bin"/><Relationship Id="rId4" Type="http://schemas.openxmlformats.org/officeDocument/2006/relationships/ctrlProp" Target="../ctrlProps/ctrlProp20.xml"/></Relationships>
</file>

<file path=xl/worksheets/_rels/sheet9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1.xml"/><Relationship Id="rId1" Type="http://schemas.openxmlformats.org/officeDocument/2006/relationships/printerSettings" Target="../printerSettings/printerSettings98.bin"/><Relationship Id="rId4" Type="http://schemas.openxmlformats.org/officeDocument/2006/relationships/ctrlProp" Target="../ctrlProps/ctrlProp21.xml"/></Relationships>
</file>

<file path=xl/worksheets/_rels/sheet9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2.xml"/><Relationship Id="rId1" Type="http://schemas.openxmlformats.org/officeDocument/2006/relationships/printerSettings" Target="../printerSettings/printerSettings99.bin"/><Relationship Id="rId4" Type="http://schemas.openxmlformats.org/officeDocument/2006/relationships/ctrlProp" Target="../ctrlProps/ctrlProp22.xml"/></Relationships>
</file>

<file path=xl/worksheets/_rels/sheet10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3.xml"/><Relationship Id="rId1" Type="http://schemas.openxmlformats.org/officeDocument/2006/relationships/printerSettings" Target="../printerSettings/printerSettings100.bin"/><Relationship Id="rId4" Type="http://schemas.openxmlformats.org/officeDocument/2006/relationships/ctrlProp" Target="../ctrlProps/ctrlProp23.xml"/></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6"/>
  <sheetViews>
    <sheetView view="pageBreakPreview" topLeftCell="A15" zoomScaleNormal="100" zoomScaleSheetLayoutView="100" workbookViewId="0">
      <selection activeCell="X21" sqref="X21"/>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897" t="s">
        <v>0</v>
      </c>
      <c r="B1" s="898"/>
      <c r="C1" s="898"/>
      <c r="D1" s="898"/>
      <c r="E1" s="898"/>
      <c r="F1" s="898"/>
      <c r="G1" s="899"/>
      <c r="H1" s="906" t="s">
        <v>1</v>
      </c>
      <c r="I1" s="907"/>
      <c r="J1" s="907"/>
      <c r="K1" s="907"/>
      <c r="L1" s="907"/>
      <c r="M1" s="907"/>
      <c r="N1" s="908"/>
      <c r="O1" s="885" t="s">
        <v>2</v>
      </c>
      <c r="P1" s="886"/>
      <c r="Q1" s="887"/>
      <c r="R1" s="888" t="s">
        <v>1032</v>
      </c>
      <c r="S1" s="889"/>
      <c r="T1" s="889"/>
      <c r="U1" s="889"/>
      <c r="V1" s="890"/>
      <c r="W1" s="4"/>
      <c r="X1" s="4"/>
      <c r="Y1" s="5"/>
      <c r="Z1" s="5"/>
      <c r="AA1" s="5"/>
    </row>
    <row r="2" spans="1:27" ht="18" customHeight="1">
      <c r="A2" s="900"/>
      <c r="B2" s="901"/>
      <c r="C2" s="901"/>
      <c r="D2" s="901"/>
      <c r="E2" s="901"/>
      <c r="F2" s="901"/>
      <c r="G2" s="902"/>
      <c r="H2" s="909" t="s">
        <v>3</v>
      </c>
      <c r="I2" s="910"/>
      <c r="J2" s="910"/>
      <c r="K2" s="910"/>
      <c r="L2" s="910"/>
      <c r="M2" s="910"/>
      <c r="N2" s="911"/>
      <c r="O2" s="885" t="s">
        <v>4</v>
      </c>
      <c r="P2" s="886"/>
      <c r="Q2" s="887"/>
      <c r="R2" s="912">
        <v>46134</v>
      </c>
      <c r="S2" s="889"/>
      <c r="T2" s="889"/>
      <c r="U2" s="889"/>
      <c r="V2" s="890"/>
    </row>
    <row r="3" spans="1:27" ht="23.4" customHeight="1">
      <c r="A3" s="900"/>
      <c r="B3" s="901"/>
      <c r="C3" s="901"/>
      <c r="D3" s="901"/>
      <c r="E3" s="901"/>
      <c r="F3" s="901"/>
      <c r="G3" s="902"/>
      <c r="H3" s="913" t="s">
        <v>1033</v>
      </c>
      <c r="I3" s="914"/>
      <c r="J3" s="914"/>
      <c r="K3" s="914"/>
      <c r="L3" s="914"/>
      <c r="M3" s="914"/>
      <c r="N3" s="915"/>
      <c r="O3" s="885" t="s">
        <v>5</v>
      </c>
      <c r="P3" s="886"/>
      <c r="Q3" s="887"/>
      <c r="R3" s="919" t="s">
        <v>6</v>
      </c>
      <c r="S3" s="889"/>
      <c r="T3" s="889"/>
      <c r="U3" s="889"/>
      <c r="V3" s="890"/>
      <c r="X3" s="7"/>
    </row>
    <row r="4" spans="1:27" ht="18" customHeight="1">
      <c r="A4" s="903"/>
      <c r="B4" s="904"/>
      <c r="C4" s="904"/>
      <c r="D4" s="904"/>
      <c r="E4" s="904"/>
      <c r="F4" s="904"/>
      <c r="G4" s="905"/>
      <c r="H4" s="916"/>
      <c r="I4" s="917"/>
      <c r="J4" s="917"/>
      <c r="K4" s="917"/>
      <c r="L4" s="917"/>
      <c r="M4" s="917"/>
      <c r="N4" s="918"/>
      <c r="O4" s="885" t="s">
        <v>7</v>
      </c>
      <c r="P4" s="886"/>
      <c r="Q4" s="887"/>
      <c r="R4" s="896" t="s">
        <v>8</v>
      </c>
      <c r="S4" s="889"/>
      <c r="T4" s="889"/>
      <c r="U4" s="889"/>
      <c r="V4" s="890"/>
      <c r="X4" s="7"/>
    </row>
    <row r="5" spans="1:27" ht="18" customHeight="1">
      <c r="A5" s="880" t="s">
        <v>9</v>
      </c>
      <c r="B5" s="881"/>
      <c r="C5" s="8" t="s">
        <v>10</v>
      </c>
      <c r="D5" s="880" t="s">
        <v>11</v>
      </c>
      <c r="E5" s="881"/>
      <c r="F5" s="881"/>
      <c r="G5" s="8" t="s">
        <v>12</v>
      </c>
      <c r="H5" s="882" t="s">
        <v>13</v>
      </c>
      <c r="I5" s="883"/>
      <c r="J5" s="883"/>
      <c r="K5" s="883"/>
      <c r="L5" s="883"/>
      <c r="M5" s="883"/>
      <c r="N5" s="884"/>
      <c r="O5" s="885" t="s">
        <v>14</v>
      </c>
      <c r="P5" s="886"/>
      <c r="Q5" s="887"/>
      <c r="R5" s="888" t="s">
        <v>0</v>
      </c>
      <c r="S5" s="889"/>
      <c r="T5" s="889"/>
      <c r="U5" s="889"/>
      <c r="V5" s="890"/>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891" t="str">
        <f>H3</f>
        <v xml:space="preserve">132/33kV SUBSTATION DF4W    AT AL DHAFRA AREA </v>
      </c>
      <c r="F17" s="891"/>
      <c r="G17" s="891"/>
      <c r="H17" s="891"/>
      <c r="I17" s="891"/>
      <c r="J17" s="891"/>
      <c r="K17" s="891"/>
      <c r="L17" s="891"/>
      <c r="M17" s="891"/>
      <c r="N17" s="891"/>
      <c r="O17" s="891"/>
      <c r="P17" s="891"/>
      <c r="Q17" s="891"/>
      <c r="R17" s="891"/>
      <c r="S17" s="11"/>
      <c r="T17" s="11"/>
      <c r="V17" s="10"/>
    </row>
    <row r="18" spans="1:22" ht="18" customHeight="1">
      <c r="A18" s="9"/>
      <c r="E18" s="891"/>
      <c r="F18" s="891"/>
      <c r="G18" s="891"/>
      <c r="H18" s="891"/>
      <c r="I18" s="891"/>
      <c r="J18" s="891"/>
      <c r="K18" s="891"/>
      <c r="L18" s="891"/>
      <c r="M18" s="891"/>
      <c r="N18" s="891"/>
      <c r="O18" s="891"/>
      <c r="P18" s="891"/>
      <c r="Q18" s="891"/>
      <c r="R18" s="891"/>
      <c r="S18" s="11"/>
      <c r="T18" s="11"/>
      <c r="V18" s="10"/>
    </row>
    <row r="19" spans="1:22" ht="18" customHeight="1">
      <c r="A19" s="9"/>
      <c r="E19" s="891"/>
      <c r="F19" s="891"/>
      <c r="G19" s="891"/>
      <c r="H19" s="891"/>
      <c r="I19" s="891"/>
      <c r="J19" s="891"/>
      <c r="K19" s="891"/>
      <c r="L19" s="891"/>
      <c r="M19" s="891"/>
      <c r="N19" s="891"/>
      <c r="O19" s="891"/>
      <c r="P19" s="891"/>
      <c r="Q19" s="891"/>
      <c r="R19" s="891"/>
      <c r="S19" s="11"/>
      <c r="T19" s="11"/>
      <c r="V19" s="10"/>
    </row>
    <row r="20" spans="1:22" ht="18" customHeight="1">
      <c r="A20" s="9"/>
      <c r="E20" s="892" t="s">
        <v>15</v>
      </c>
      <c r="F20" s="892"/>
      <c r="G20" s="892"/>
      <c r="H20" s="892"/>
      <c r="I20" s="892"/>
      <c r="J20" s="892"/>
      <c r="K20" s="892"/>
      <c r="L20" s="892"/>
      <c r="M20" s="892"/>
      <c r="N20" s="892"/>
      <c r="O20" s="892"/>
      <c r="P20" s="892"/>
      <c r="Q20" s="892"/>
      <c r="R20" s="892"/>
      <c r="S20" s="11"/>
      <c r="T20" s="11"/>
      <c r="V20" s="10"/>
    </row>
    <row r="21" spans="1:22" ht="18" customHeight="1">
      <c r="A21" s="9"/>
      <c r="E21" s="892"/>
      <c r="F21" s="892"/>
      <c r="G21" s="892"/>
      <c r="H21" s="892"/>
      <c r="I21" s="892"/>
      <c r="J21" s="892"/>
      <c r="K21" s="892"/>
      <c r="L21" s="892"/>
      <c r="M21" s="892"/>
      <c r="N21" s="892"/>
      <c r="O21" s="892"/>
      <c r="P21" s="892"/>
      <c r="Q21" s="892"/>
      <c r="R21" s="892"/>
      <c r="S21" s="11"/>
      <c r="T21" s="11"/>
      <c r="V21" s="10"/>
    </row>
    <row r="22" spans="1:22" ht="18" customHeight="1">
      <c r="A22" s="9"/>
      <c r="E22" s="893"/>
      <c r="F22" s="893"/>
      <c r="G22" s="893"/>
      <c r="H22" s="893"/>
      <c r="I22" s="893"/>
      <c r="J22" s="893"/>
      <c r="K22" s="893"/>
      <c r="L22" s="893" t="s">
        <v>16</v>
      </c>
      <c r="M22" s="893"/>
      <c r="N22" s="893"/>
      <c r="O22" s="893"/>
      <c r="P22" s="893"/>
      <c r="Q22" s="893"/>
      <c r="R22" s="893"/>
      <c r="S22" s="11"/>
      <c r="T22" s="11"/>
      <c r="V22" s="10"/>
    </row>
    <row r="23" spans="1:22" ht="18" customHeight="1">
      <c r="A23" s="9"/>
      <c r="E23" s="893"/>
      <c r="F23" s="893"/>
      <c r="G23" s="893"/>
      <c r="H23" s="893"/>
      <c r="I23" s="893"/>
      <c r="J23" s="893"/>
      <c r="K23" s="893"/>
      <c r="L23" s="893"/>
      <c r="M23" s="893"/>
      <c r="N23" s="893"/>
      <c r="O23" s="893"/>
      <c r="P23" s="893"/>
      <c r="Q23" s="893"/>
      <c r="R23" s="893"/>
      <c r="S23" s="11"/>
      <c r="T23" s="11"/>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V33" s="10"/>
    </row>
    <row r="34" spans="1:24" ht="18" customHeight="1">
      <c r="A34" s="9"/>
      <c r="M34" s="516" t="s">
        <v>17</v>
      </c>
      <c r="N34" s="13"/>
      <c r="O34" s="14"/>
      <c r="P34" s="13"/>
      <c r="Q34" s="13"/>
      <c r="R34" s="13"/>
      <c r="S34" s="13"/>
      <c r="T34" s="13"/>
      <c r="V34" s="10"/>
    </row>
    <row r="35" spans="1:24" ht="18" customHeight="1">
      <c r="A35" s="9"/>
      <c r="M35" s="15" t="s">
        <v>18</v>
      </c>
      <c r="N35" s="13"/>
      <c r="O35" s="14"/>
      <c r="P35" s="13"/>
      <c r="Q35" s="13"/>
      <c r="R35" s="13"/>
      <c r="S35" s="13"/>
      <c r="T35" s="13"/>
      <c r="V35" s="10"/>
      <c r="X35" s="13"/>
    </row>
    <row r="36" spans="1:24" ht="18" customHeight="1">
      <c r="A36" s="9"/>
      <c r="N36" s="13"/>
      <c r="O36" s="14"/>
      <c r="P36" s="13"/>
      <c r="Q36" s="13"/>
      <c r="R36" s="13"/>
      <c r="S36" s="13"/>
      <c r="T36" s="13"/>
      <c r="V36" s="10"/>
      <c r="X36" s="13"/>
    </row>
    <row r="37" spans="1:24" ht="18" customHeight="1">
      <c r="A37" s="9"/>
      <c r="M37" s="15" t="s">
        <v>19</v>
      </c>
      <c r="N37" s="13"/>
      <c r="O37" s="14"/>
      <c r="P37" s="894">
        <f>R2</f>
        <v>46134</v>
      </c>
      <c r="Q37" s="895"/>
      <c r="R37" s="895"/>
      <c r="S37" s="895"/>
      <c r="V37" s="10"/>
      <c r="X37" s="13"/>
    </row>
    <row r="38" spans="1:24" ht="18" customHeight="1">
      <c r="A38" s="9"/>
      <c r="M38" s="15" t="s">
        <v>20</v>
      </c>
      <c r="N38" s="13"/>
      <c r="O38" s="14"/>
      <c r="P38" s="16" t="s">
        <v>21</v>
      </c>
      <c r="Q38" s="16"/>
      <c r="R38" s="16"/>
      <c r="V38" s="10"/>
      <c r="X38" s="13"/>
    </row>
    <row r="39" spans="1:24" ht="18" customHeight="1">
      <c r="A39" s="9"/>
      <c r="M39" s="15" t="s">
        <v>22</v>
      </c>
      <c r="N39" s="13"/>
      <c r="O39" s="14"/>
      <c r="P39" s="16" t="s">
        <v>23</v>
      </c>
      <c r="Q39" s="16"/>
      <c r="R39" s="16"/>
      <c r="V39" s="10"/>
      <c r="X39" s="17"/>
    </row>
    <row r="40" spans="1:24" ht="18" customHeight="1">
      <c r="A40" s="9"/>
      <c r="M40" s="18" t="s">
        <v>24</v>
      </c>
      <c r="N40" s="13"/>
      <c r="O40" s="13"/>
      <c r="P40" s="16" t="s">
        <v>25</v>
      </c>
      <c r="Q40" s="16"/>
      <c r="R40" s="16"/>
      <c r="V40" s="10"/>
      <c r="X40" s="17"/>
    </row>
    <row r="41" spans="1:24" ht="18" customHeight="1">
      <c r="A41" s="9"/>
      <c r="V41" s="10"/>
      <c r="X41" s="17"/>
    </row>
    <row r="42" spans="1:24" ht="18" customHeight="1">
      <c r="A42" s="9"/>
      <c r="V42" s="10"/>
      <c r="X42" s="17"/>
    </row>
    <row r="43" spans="1:24" ht="18" customHeight="1">
      <c r="A43" s="9"/>
      <c r="V43" s="10"/>
      <c r="X43" s="17"/>
    </row>
    <row r="44" spans="1:24" ht="18" customHeight="1">
      <c r="A44" s="9"/>
      <c r="V44" s="10"/>
    </row>
    <row r="45" spans="1:24" ht="18" customHeight="1">
      <c r="A45" s="9"/>
      <c r="V45" s="10"/>
    </row>
    <row r="46" spans="1:24" s="5" customFormat="1" ht="18" customHeight="1">
      <c r="A46" s="19"/>
      <c r="B46" s="20"/>
      <c r="C46" s="20"/>
      <c r="D46" s="20"/>
      <c r="E46" s="20"/>
      <c r="F46" s="20"/>
      <c r="G46" s="20"/>
      <c r="H46" s="20"/>
      <c r="I46" s="20"/>
      <c r="J46" s="20"/>
      <c r="K46" s="20"/>
      <c r="L46" s="20"/>
      <c r="M46" s="20"/>
      <c r="N46" s="20"/>
      <c r="O46" s="20"/>
      <c r="P46" s="20"/>
      <c r="Q46" s="21"/>
      <c r="R46" s="22"/>
      <c r="S46" s="23"/>
      <c r="T46" s="20"/>
      <c r="U46" s="20"/>
      <c r="V46" s="24"/>
      <c r="W46" s="4"/>
      <c r="X46" s="4"/>
    </row>
  </sheetData>
  <mergeCells count="21">
    <mergeCell ref="E17:R19"/>
    <mergeCell ref="E20:R21"/>
    <mergeCell ref="E22:R23"/>
    <mergeCell ref="P37:S37"/>
    <mergeCell ref="O4:Q4"/>
    <mergeCell ref="R4:V4"/>
    <mergeCell ref="A1:G4"/>
    <mergeCell ref="H1:N1"/>
    <mergeCell ref="O1:Q1"/>
    <mergeCell ref="R1:V1"/>
    <mergeCell ref="H2:N2"/>
    <mergeCell ref="O2:Q2"/>
    <mergeCell ref="R2:V2"/>
    <mergeCell ref="H3:N4"/>
    <mergeCell ref="O3:Q3"/>
    <mergeCell ref="R3:V3"/>
    <mergeCell ref="A5:B5"/>
    <mergeCell ref="D5:F5"/>
    <mergeCell ref="H5:N5"/>
    <mergeCell ref="O5:Q5"/>
    <mergeCell ref="R5:V5"/>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51"/>
  <sheetViews>
    <sheetView view="pageBreakPreview" topLeftCell="A6" zoomScale="115" zoomScaleNormal="100" zoomScaleSheetLayoutView="115" workbookViewId="0">
      <selection activeCell="X21" sqref="X21"/>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920" t="str">
        <f>Title!A1</f>
        <v>HITACHI</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4"/>
      <c r="X1" s="4"/>
      <c r="Y1" s="5"/>
      <c r="Z1" s="5"/>
      <c r="AA1" s="5"/>
    </row>
    <row r="2" spans="1:27"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row>
    <row r="3" spans="1:27" ht="21.6"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row>
    <row r="4" spans="1:27"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row>
    <row r="5" spans="1:27" ht="18" customHeight="1">
      <c r="A5" s="880" t="str">
        <f>Title!A5</f>
        <v>Prep. By</v>
      </c>
      <c r="B5" s="943"/>
      <c r="C5" s="25" t="str">
        <f>Title!C5</f>
        <v>AP</v>
      </c>
      <c r="D5" s="880" t="str">
        <f>Title!D5</f>
        <v>Checked By</v>
      </c>
      <c r="E5" s="881"/>
      <c r="F5" s="943"/>
      <c r="G5" s="25" t="str">
        <f>Title!G5</f>
        <v>RB</v>
      </c>
      <c r="H5" s="944" t="s">
        <v>26</v>
      </c>
      <c r="I5" s="945"/>
      <c r="J5" s="945"/>
      <c r="K5" s="945"/>
      <c r="L5" s="945"/>
      <c r="M5" s="945"/>
      <c r="N5" s="946"/>
      <c r="O5" s="947" t="str">
        <f>Title!O5</f>
        <v>Contractor</v>
      </c>
      <c r="P5" s="948"/>
      <c r="Q5" s="949"/>
      <c r="R5" s="931" t="str">
        <f>Title!R5</f>
        <v>HITACHI</v>
      </c>
      <c r="S5" s="932"/>
      <c r="T5" s="932"/>
      <c r="U5" s="932"/>
      <c r="V5" s="933"/>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27</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494" t="s">
        <v>28</v>
      </c>
      <c r="S10" s="32"/>
      <c r="V10" s="10"/>
    </row>
    <row r="11" spans="1:27" ht="18" customHeight="1">
      <c r="A11" s="9"/>
      <c r="C11" s="43">
        <v>1</v>
      </c>
      <c r="D11" s="39" t="s">
        <v>29</v>
      </c>
      <c r="E11" s="28"/>
      <c r="F11" s="27"/>
      <c r="G11" s="27"/>
      <c r="H11" s="27"/>
      <c r="I11" s="27"/>
      <c r="J11" s="27"/>
      <c r="K11" s="35"/>
      <c r="N11" s="36" t="s">
        <v>30</v>
      </c>
      <c r="O11" s="37"/>
      <c r="P11" s="37"/>
      <c r="Q11" s="37"/>
      <c r="R11" s="493">
        <v>3</v>
      </c>
      <c r="S11" s="32"/>
      <c r="T11" s="32"/>
      <c r="V11" s="10"/>
    </row>
    <row r="12" spans="1:27" ht="18" customHeight="1">
      <c r="A12" s="9"/>
      <c r="C12" s="43">
        <v>2</v>
      </c>
      <c r="D12" s="296" t="s">
        <v>31</v>
      </c>
      <c r="E12" s="28"/>
      <c r="F12" s="27"/>
      <c r="G12" s="27"/>
      <c r="H12" s="27"/>
      <c r="I12" s="27"/>
      <c r="J12" s="27"/>
      <c r="K12" s="35"/>
      <c r="N12" s="36" t="s">
        <v>32</v>
      </c>
      <c r="O12" s="37"/>
      <c r="P12" s="37"/>
      <c r="Q12" s="37"/>
      <c r="R12" s="493">
        <v>4</v>
      </c>
      <c r="S12" s="32"/>
      <c r="T12" s="32"/>
      <c r="V12" s="10"/>
      <c r="Y12" s="34" t="s">
        <v>33</v>
      </c>
    </row>
    <row r="13" spans="1:27" ht="18" customHeight="1">
      <c r="A13" s="9"/>
      <c r="C13" s="43">
        <v>3</v>
      </c>
      <c r="D13" s="39" t="s">
        <v>34</v>
      </c>
      <c r="E13" s="14"/>
      <c r="K13" s="35"/>
      <c r="N13" s="36"/>
      <c r="O13" s="37"/>
      <c r="P13" s="37"/>
      <c r="Q13" s="37" t="s">
        <v>6</v>
      </c>
      <c r="R13" s="493">
        <v>11</v>
      </c>
      <c r="S13" s="32"/>
      <c r="T13" s="32"/>
      <c r="V13" s="10"/>
    </row>
    <row r="14" spans="1:27" ht="18" customHeight="1">
      <c r="A14" s="9"/>
      <c r="C14" s="43">
        <v>4</v>
      </c>
      <c r="D14" s="39" t="s">
        <v>902</v>
      </c>
      <c r="E14" s="14"/>
      <c r="K14" s="35"/>
      <c r="N14" s="36"/>
      <c r="O14" s="37"/>
      <c r="P14" s="37"/>
      <c r="Q14" s="37"/>
      <c r="R14" s="493">
        <v>14</v>
      </c>
      <c r="S14" s="32"/>
      <c r="T14" s="32"/>
      <c r="V14" s="10"/>
    </row>
    <row r="15" spans="1:27" ht="18" customHeight="1">
      <c r="A15" s="9"/>
      <c r="C15" s="43">
        <v>5</v>
      </c>
      <c r="D15" s="39" t="s">
        <v>917</v>
      </c>
      <c r="E15" s="14"/>
      <c r="K15" s="35"/>
      <c r="N15" s="36"/>
      <c r="O15" s="37"/>
      <c r="P15" s="37"/>
      <c r="Q15" s="37" t="s">
        <v>6</v>
      </c>
      <c r="R15" s="493">
        <v>15</v>
      </c>
      <c r="S15" s="32"/>
      <c r="T15" s="32"/>
      <c r="V15" s="10"/>
      <c r="Y15" s="34" t="s">
        <v>35</v>
      </c>
    </row>
    <row r="16" spans="1:27" ht="18" customHeight="1">
      <c r="A16" s="9"/>
      <c r="C16" s="43">
        <v>6</v>
      </c>
      <c r="D16" s="39" t="s">
        <v>954</v>
      </c>
      <c r="E16" s="38"/>
      <c r="F16" s="32"/>
      <c r="G16" s="32"/>
      <c r="H16" s="32"/>
      <c r="I16" s="32"/>
      <c r="J16" s="32"/>
      <c r="K16" s="35"/>
      <c r="N16" s="36"/>
      <c r="O16" s="37"/>
      <c r="P16" s="37"/>
      <c r="Q16" s="37"/>
      <c r="R16" s="493">
        <v>19</v>
      </c>
      <c r="S16" s="32"/>
      <c r="T16" s="32"/>
      <c r="V16" s="10"/>
    </row>
    <row r="17" spans="1:39" ht="18" customHeight="1">
      <c r="A17" s="9"/>
      <c r="C17" s="43">
        <v>7</v>
      </c>
      <c r="D17" s="39" t="s">
        <v>1027</v>
      </c>
      <c r="E17" s="14"/>
      <c r="K17" s="35"/>
      <c r="N17" s="36"/>
      <c r="O17" s="37"/>
      <c r="P17" s="37"/>
      <c r="Q17" s="37"/>
      <c r="R17" s="493">
        <v>47</v>
      </c>
      <c r="S17" s="32"/>
      <c r="T17" s="32"/>
      <c r="V17" s="10"/>
    </row>
    <row r="18" spans="1:39" ht="18" hidden="1" customHeight="1">
      <c r="A18" s="9"/>
      <c r="C18" s="33"/>
      <c r="D18" s="39" t="s">
        <v>1027</v>
      </c>
      <c r="E18" s="34"/>
      <c r="F18" s="34"/>
      <c r="G18" s="34"/>
      <c r="H18" s="34"/>
      <c r="I18" s="34"/>
      <c r="J18" s="34"/>
      <c r="K18" s="34"/>
      <c r="L18" s="34"/>
      <c r="M18" s="34"/>
      <c r="N18" s="34"/>
      <c r="O18" s="34"/>
      <c r="P18" s="34"/>
      <c r="Q18" s="34"/>
      <c r="R18" s="493"/>
      <c r="S18" s="32"/>
      <c r="T18" s="32"/>
      <c r="V18" s="10"/>
      <c r="AA18" s="34"/>
      <c r="AB18" s="14"/>
      <c r="AH18" s="35"/>
      <c r="AK18" s="36"/>
      <c r="AL18" s="37"/>
      <c r="AM18" s="37"/>
    </row>
    <row r="19" spans="1:39" ht="18" customHeight="1">
      <c r="A19" s="9"/>
      <c r="C19" s="43">
        <v>8</v>
      </c>
      <c r="D19" s="39" t="s">
        <v>1068</v>
      </c>
      <c r="E19" s="34"/>
      <c r="F19" s="34"/>
      <c r="G19" s="34"/>
      <c r="H19" s="34"/>
      <c r="I19" s="34"/>
      <c r="J19" s="34"/>
      <c r="K19" s="34"/>
      <c r="L19" s="34"/>
      <c r="M19" s="34"/>
      <c r="N19" s="34"/>
      <c r="O19" s="34"/>
      <c r="P19" s="34"/>
      <c r="Q19" s="34"/>
      <c r="R19" s="493"/>
      <c r="S19" s="32"/>
      <c r="T19" s="32"/>
      <c r="V19" s="10"/>
      <c r="AA19" s="34"/>
      <c r="AB19" s="14"/>
      <c r="AH19" s="35"/>
      <c r="AK19" s="36"/>
      <c r="AL19" s="37"/>
      <c r="AM19" s="37"/>
    </row>
    <row r="20" spans="1:39" ht="18" customHeight="1">
      <c r="A20" s="9"/>
      <c r="C20" s="43">
        <v>9</v>
      </c>
      <c r="D20" s="39" t="s">
        <v>1071</v>
      </c>
      <c r="E20" s="34"/>
      <c r="F20" s="34"/>
      <c r="G20" s="34"/>
      <c r="H20" s="34"/>
      <c r="I20" s="34"/>
      <c r="J20" s="34"/>
      <c r="K20" s="34"/>
      <c r="L20" s="34"/>
      <c r="M20" s="34"/>
      <c r="N20" s="34"/>
      <c r="O20" s="34"/>
      <c r="P20" s="34"/>
      <c r="Q20" s="34"/>
      <c r="R20" s="493">
        <v>118</v>
      </c>
      <c r="S20" s="32"/>
      <c r="T20" s="32"/>
      <c r="V20" s="10"/>
      <c r="AA20" s="34"/>
      <c r="AB20" s="14"/>
      <c r="AH20" s="35"/>
      <c r="AK20" s="36"/>
      <c r="AL20" s="37"/>
      <c r="AM20" s="37"/>
    </row>
    <row r="21" spans="1:39" ht="18" customHeight="1">
      <c r="A21" s="9"/>
      <c r="C21" s="43">
        <v>10</v>
      </c>
      <c r="D21" s="39" t="s">
        <v>1028</v>
      </c>
      <c r="E21" s="39"/>
      <c r="F21" s="39"/>
      <c r="G21" s="39"/>
      <c r="H21" s="39"/>
      <c r="I21" s="39"/>
      <c r="J21" s="39"/>
      <c r="K21" s="39"/>
      <c r="L21" s="39"/>
      <c r="M21" s="39"/>
      <c r="N21" s="39"/>
      <c r="O21" s="39"/>
      <c r="P21" s="39"/>
      <c r="Q21" s="37"/>
      <c r="R21" s="493">
        <v>127</v>
      </c>
      <c r="S21" s="32"/>
      <c r="T21" s="32"/>
      <c r="V21" s="10"/>
      <c r="AA21" s="34"/>
      <c r="AB21" s="14"/>
      <c r="AH21" s="35"/>
      <c r="AK21" s="36"/>
      <c r="AL21" s="37"/>
      <c r="AM21" s="37"/>
    </row>
    <row r="22" spans="1:39" ht="18" customHeight="1">
      <c r="A22" s="9"/>
      <c r="C22" s="43">
        <v>11</v>
      </c>
      <c r="D22" s="39" t="s">
        <v>903</v>
      </c>
      <c r="E22" s="14"/>
      <c r="K22" s="35"/>
      <c r="N22" s="36"/>
      <c r="O22" s="37"/>
      <c r="P22" s="37"/>
      <c r="Q22" s="37"/>
      <c r="R22" s="493">
        <v>136</v>
      </c>
      <c r="S22" s="32"/>
      <c r="T22" s="32"/>
      <c r="V22" s="10"/>
      <c r="AA22" s="34"/>
      <c r="AB22" s="14"/>
      <c r="AH22" s="35"/>
      <c r="AK22" s="36"/>
      <c r="AL22" s="37"/>
      <c r="AM22" s="37"/>
    </row>
    <row r="23" spans="1:39" ht="18" customHeight="1">
      <c r="A23" s="9"/>
      <c r="C23" s="43">
        <v>12</v>
      </c>
      <c r="D23" s="39" t="s">
        <v>1069</v>
      </c>
      <c r="E23" s="34"/>
      <c r="F23" s="34"/>
      <c r="G23" s="34"/>
      <c r="H23" s="34"/>
      <c r="I23" s="34"/>
      <c r="J23" s="34"/>
      <c r="K23" s="34"/>
      <c r="L23" s="34"/>
      <c r="M23" s="34"/>
      <c r="N23" s="34"/>
      <c r="O23" s="34"/>
      <c r="P23" s="34"/>
      <c r="Q23" s="37"/>
      <c r="R23" s="493">
        <v>137</v>
      </c>
      <c r="S23" s="32"/>
      <c r="T23" s="32"/>
      <c r="V23" s="10"/>
      <c r="AA23" s="34"/>
      <c r="AB23" s="14"/>
      <c r="AH23" s="35"/>
      <c r="AK23" s="36"/>
      <c r="AL23" s="37"/>
      <c r="AM23" s="37"/>
    </row>
    <row r="24" spans="1:39" ht="18" customHeight="1">
      <c r="A24" s="9"/>
      <c r="C24" s="43">
        <v>13</v>
      </c>
      <c r="D24" s="39" t="s">
        <v>1070</v>
      </c>
      <c r="E24" s="14"/>
      <c r="K24" s="35"/>
      <c r="N24" s="36"/>
      <c r="O24" s="37"/>
      <c r="P24" s="34"/>
      <c r="Q24" s="37"/>
      <c r="R24" s="493"/>
      <c r="S24" s="32"/>
      <c r="T24" s="32"/>
      <c r="V24" s="10"/>
      <c r="AA24" s="950"/>
      <c r="AB24" s="950"/>
      <c r="AC24" s="950"/>
      <c r="AD24" s="950"/>
      <c r="AE24" s="950"/>
      <c r="AF24" s="950"/>
      <c r="AG24" s="950"/>
      <c r="AH24" s="950"/>
      <c r="AI24" s="950"/>
      <c r="AJ24" s="950"/>
      <c r="AK24" s="950"/>
      <c r="AL24" s="950"/>
      <c r="AM24" s="950"/>
    </row>
    <row r="25" spans="1:39" ht="18" customHeight="1">
      <c r="A25" s="9"/>
      <c r="C25" s="33"/>
      <c r="D25" s="34"/>
      <c r="E25" s="14"/>
      <c r="K25" s="35"/>
      <c r="N25" s="36"/>
      <c r="O25" s="37"/>
      <c r="P25" s="39"/>
      <c r="Q25" s="37"/>
      <c r="R25" s="493"/>
      <c r="S25" s="32"/>
      <c r="T25" s="32"/>
      <c r="V25" s="10"/>
      <c r="AA25" s="39"/>
      <c r="AB25" s="39"/>
      <c r="AC25" s="39"/>
      <c r="AD25" s="39"/>
      <c r="AE25" s="39"/>
      <c r="AF25" s="39"/>
      <c r="AG25" s="39"/>
      <c r="AH25" s="39"/>
      <c r="AI25" s="39"/>
      <c r="AJ25" s="39"/>
      <c r="AK25" s="39"/>
      <c r="AL25" s="39"/>
      <c r="AM25" s="39"/>
    </row>
    <row r="26" spans="1:39" ht="18" customHeight="1">
      <c r="A26" s="9"/>
      <c r="C26" s="33"/>
      <c r="D26" s="34"/>
      <c r="E26" s="40"/>
      <c r="F26" s="41"/>
      <c r="G26" s="41"/>
      <c r="H26" s="41"/>
      <c r="I26" s="41"/>
      <c r="J26" s="41"/>
      <c r="K26" s="42"/>
      <c r="L26" s="41"/>
      <c r="M26" s="41"/>
      <c r="N26" s="36"/>
      <c r="O26" s="37"/>
      <c r="P26" s="37"/>
      <c r="Q26" s="37"/>
      <c r="R26" s="493"/>
      <c r="S26" s="32"/>
      <c r="T26" s="32"/>
      <c r="V26" s="10"/>
    </row>
    <row r="27" spans="1:39" ht="18" customHeight="1">
      <c r="A27" s="9"/>
      <c r="C27" s="33"/>
      <c r="D27" s="34"/>
      <c r="E27" s="40"/>
      <c r="F27" s="41"/>
      <c r="G27" s="41"/>
      <c r="H27" s="41"/>
      <c r="I27" s="41"/>
      <c r="J27" s="41"/>
      <c r="K27" s="42"/>
      <c r="L27" s="41"/>
      <c r="M27" s="41"/>
      <c r="N27" s="36"/>
      <c r="O27" s="37"/>
      <c r="P27" s="37"/>
      <c r="Q27" s="37"/>
      <c r="R27" s="493"/>
      <c r="S27" s="32"/>
      <c r="T27" s="32"/>
      <c r="V27" s="10"/>
    </row>
    <row r="28" spans="1:39" ht="18" customHeight="1">
      <c r="A28" s="9"/>
      <c r="C28" s="33"/>
      <c r="D28" s="34"/>
      <c r="E28" s="40"/>
      <c r="F28" s="41"/>
      <c r="G28" s="41"/>
      <c r="H28" s="41"/>
      <c r="I28" s="41"/>
      <c r="J28" s="41"/>
      <c r="K28" s="42"/>
      <c r="L28" s="41"/>
      <c r="M28" s="41"/>
      <c r="N28" s="36"/>
      <c r="O28" s="37"/>
      <c r="P28" s="37"/>
      <c r="Q28" s="37"/>
      <c r="R28" s="493"/>
      <c r="S28" s="32"/>
      <c r="T28" s="32"/>
      <c r="V28" s="10"/>
    </row>
    <row r="29" spans="1:39" ht="18" customHeight="1">
      <c r="A29" s="9"/>
      <c r="C29" s="33"/>
      <c r="D29" s="34"/>
      <c r="E29" s="40"/>
      <c r="F29" s="41"/>
      <c r="G29" s="41"/>
      <c r="H29" s="41"/>
      <c r="I29" s="41"/>
      <c r="J29" s="41"/>
      <c r="K29" s="42"/>
      <c r="L29" s="41"/>
      <c r="M29" s="41"/>
      <c r="N29" s="36"/>
      <c r="O29" s="37"/>
      <c r="P29" s="37"/>
      <c r="Q29" s="37"/>
      <c r="R29" s="493"/>
      <c r="S29" s="32"/>
      <c r="T29" s="32"/>
      <c r="V29" s="10"/>
    </row>
    <row r="30" spans="1:39" ht="18" customHeight="1">
      <c r="A30" s="9"/>
      <c r="C30" s="33"/>
      <c r="D30" s="34"/>
      <c r="R30" s="148"/>
      <c r="V30" s="10"/>
    </row>
    <row r="31" spans="1:39" ht="18" customHeight="1">
      <c r="A31" s="9"/>
      <c r="M31" s="11"/>
      <c r="N31" s="11"/>
      <c r="O31" s="11"/>
      <c r="P31" s="11"/>
      <c r="Q31" s="11"/>
      <c r="R31" s="492"/>
      <c r="S31" s="11"/>
      <c r="T31" s="11"/>
      <c r="V31" s="10"/>
      <c r="AC31" s="33"/>
      <c r="AD31" s="44" t="s">
        <v>36</v>
      </c>
      <c r="AE31" s="7"/>
    </row>
    <row r="32" spans="1:39" ht="18" customHeight="1">
      <c r="A32" s="9"/>
      <c r="C32" s="186" t="s">
        <v>37</v>
      </c>
      <c r="G32" s="296" t="s">
        <v>38</v>
      </c>
      <c r="M32" s="11"/>
      <c r="N32" s="11"/>
      <c r="O32" s="11"/>
      <c r="P32" s="11"/>
      <c r="Q32" s="11"/>
      <c r="R32" s="148">
        <v>141</v>
      </c>
      <c r="S32" s="11"/>
      <c r="T32" s="11"/>
      <c r="V32" s="10"/>
      <c r="AC32" s="33"/>
      <c r="AD32" s="45" t="s">
        <v>39</v>
      </c>
      <c r="AE32" s="46"/>
      <c r="AF32" s="47"/>
      <c r="AG32" s="48" t="s">
        <v>40</v>
      </c>
    </row>
    <row r="33" spans="1:38" ht="18" customHeight="1">
      <c r="A33" s="9"/>
      <c r="C33" s="186" t="s">
        <v>41</v>
      </c>
      <c r="G33" s="296" t="s">
        <v>42</v>
      </c>
      <c r="R33" s="148">
        <v>144</v>
      </c>
      <c r="S33" s="11"/>
      <c r="T33" s="11"/>
      <c r="V33" s="10"/>
      <c r="AB33" s="26"/>
      <c r="AC33" s="33"/>
      <c r="AD33" s="45" t="s">
        <v>43</v>
      </c>
      <c r="AE33" s="48"/>
      <c r="AF33" s="47"/>
      <c r="AG33" s="48" t="s">
        <v>44</v>
      </c>
      <c r="AI33" s="11"/>
      <c r="AJ33" s="11"/>
      <c r="AK33" s="11"/>
      <c r="AL33" s="11"/>
    </row>
    <row r="34" spans="1:38" ht="18" customHeight="1">
      <c r="A34" s="9"/>
      <c r="C34" s="186" t="s">
        <v>45</v>
      </c>
      <c r="G34" s="296" t="s">
        <v>46</v>
      </c>
      <c r="M34" s="49"/>
      <c r="N34" s="49"/>
      <c r="O34" s="49"/>
      <c r="P34" s="49"/>
      <c r="Q34" s="49"/>
      <c r="R34" s="148">
        <v>150</v>
      </c>
      <c r="S34" s="50"/>
      <c r="T34" s="50"/>
      <c r="U34" s="49"/>
      <c r="V34" s="10"/>
      <c r="AC34" s="33"/>
      <c r="AD34" s="45" t="s">
        <v>47</v>
      </c>
      <c r="AE34" s="48"/>
      <c r="AF34" s="47"/>
      <c r="AG34" s="47" t="s">
        <v>48</v>
      </c>
      <c r="AI34" s="50"/>
      <c r="AJ34" s="50"/>
      <c r="AK34" s="50"/>
      <c r="AL34" s="50"/>
    </row>
    <row r="35" spans="1:38" ht="18" customHeight="1">
      <c r="A35" s="9"/>
      <c r="C35" s="186" t="s">
        <v>49</v>
      </c>
      <c r="G35" s="296" t="s">
        <v>51</v>
      </c>
      <c r="M35" s="49"/>
      <c r="N35" s="49"/>
      <c r="O35" s="49"/>
      <c r="P35" s="49"/>
      <c r="Q35" s="49"/>
      <c r="R35" s="148">
        <v>160</v>
      </c>
      <c r="S35" s="50"/>
      <c r="T35" s="50"/>
      <c r="U35" s="49"/>
      <c r="V35" s="10"/>
      <c r="AB35" s="26"/>
      <c r="AC35" s="33"/>
      <c r="AD35" s="45" t="s">
        <v>50</v>
      </c>
      <c r="AE35" s="51"/>
      <c r="AF35" s="52"/>
      <c r="AG35" s="47" t="s">
        <v>51</v>
      </c>
      <c r="AH35" s="53"/>
      <c r="AI35" s="54"/>
      <c r="AJ35" s="54"/>
      <c r="AK35" s="54"/>
      <c r="AL35" s="50"/>
    </row>
    <row r="36" spans="1:38" ht="18" customHeight="1">
      <c r="A36" s="9"/>
      <c r="C36" s="186" t="s">
        <v>52</v>
      </c>
      <c r="G36" s="296" t="s">
        <v>53</v>
      </c>
      <c r="M36" s="49"/>
      <c r="N36" s="49"/>
      <c r="O36" s="49"/>
      <c r="P36" s="49"/>
      <c r="Q36" s="49"/>
      <c r="R36" s="148">
        <v>170</v>
      </c>
      <c r="S36" s="50"/>
      <c r="T36" s="50"/>
      <c r="U36" s="49"/>
      <c r="V36" s="10"/>
      <c r="AC36" s="33"/>
      <c r="AD36" s="45" t="s">
        <v>54</v>
      </c>
      <c r="AE36" s="55"/>
      <c r="AF36" s="56"/>
      <c r="AG36" s="48" t="s">
        <v>55</v>
      </c>
      <c r="AI36" s="50"/>
      <c r="AJ36" s="50"/>
      <c r="AK36" s="50"/>
      <c r="AL36" s="50"/>
    </row>
    <row r="37" spans="1:38" ht="18" customHeight="1">
      <c r="A37" s="9"/>
      <c r="C37" s="186" t="s">
        <v>56</v>
      </c>
      <c r="G37" s="296" t="s">
        <v>57</v>
      </c>
      <c r="M37" s="49"/>
      <c r="N37" s="49"/>
      <c r="O37" s="49"/>
      <c r="P37" s="49"/>
      <c r="Q37" s="49"/>
      <c r="R37" s="148">
        <v>174</v>
      </c>
      <c r="S37" s="50"/>
      <c r="T37" s="50"/>
      <c r="U37" s="49"/>
      <c r="V37" s="10"/>
      <c r="AB37" s="26"/>
      <c r="AC37" s="33"/>
      <c r="AD37" s="45"/>
      <c r="AE37" s="51"/>
      <c r="AF37" s="52"/>
      <c r="AG37" s="47"/>
      <c r="AH37" s="53"/>
      <c r="AI37" s="54"/>
      <c r="AJ37" s="54"/>
      <c r="AK37" s="54"/>
      <c r="AL37" s="50"/>
    </row>
    <row r="38" spans="1:38" ht="18" hidden="1" customHeight="1">
      <c r="A38" s="9"/>
      <c r="C38" s="186" t="s">
        <v>58</v>
      </c>
      <c r="G38" s="296" t="s">
        <v>927</v>
      </c>
      <c r="M38" s="49"/>
      <c r="N38" s="49"/>
      <c r="O38" s="49"/>
      <c r="P38" s="49"/>
      <c r="Q38" s="49"/>
      <c r="R38" s="148">
        <v>127</v>
      </c>
      <c r="S38" s="50"/>
      <c r="T38" s="50"/>
      <c r="U38" s="49"/>
      <c r="V38" s="10"/>
      <c r="AC38" s="33"/>
      <c r="AD38" s="45" t="s">
        <v>54</v>
      </c>
      <c r="AE38" s="55"/>
      <c r="AF38" s="56"/>
      <c r="AG38" s="48" t="s">
        <v>55</v>
      </c>
      <c r="AI38" s="50"/>
      <c r="AJ38" s="50"/>
      <c r="AK38" s="50"/>
      <c r="AL38" s="50"/>
    </row>
    <row r="39" spans="1:38" ht="18" hidden="1" customHeight="1">
      <c r="A39" s="9"/>
      <c r="C39" s="186" t="s">
        <v>59</v>
      </c>
      <c r="G39" s="296" t="s">
        <v>60</v>
      </c>
      <c r="M39" s="49"/>
      <c r="N39" s="49"/>
      <c r="O39" s="49"/>
      <c r="P39" s="49"/>
      <c r="Q39" s="49"/>
      <c r="R39" s="148">
        <v>249</v>
      </c>
      <c r="S39" s="49"/>
      <c r="T39" s="49"/>
      <c r="U39" s="49"/>
      <c r="V39" s="10"/>
      <c r="AB39" s="7"/>
      <c r="AC39" s="57"/>
      <c r="AD39" s="45" t="s">
        <v>61</v>
      </c>
      <c r="AE39" s="48"/>
      <c r="AF39" s="58"/>
      <c r="AG39" s="48" t="s">
        <v>62</v>
      </c>
      <c r="AI39" s="49"/>
      <c r="AJ39" s="49"/>
      <c r="AK39" s="49"/>
      <c r="AL39" s="49"/>
    </row>
    <row r="40" spans="1:38" ht="18" hidden="1" customHeight="1">
      <c r="A40" s="9"/>
      <c r="B40" s="7"/>
      <c r="C40" s="186" t="s">
        <v>63</v>
      </c>
      <c r="D40" s="45"/>
      <c r="E40" s="59"/>
      <c r="F40" s="58"/>
      <c r="G40" s="296" t="s">
        <v>64</v>
      </c>
      <c r="I40" s="49"/>
      <c r="J40" s="49"/>
      <c r="K40" s="49"/>
      <c r="L40" s="49"/>
      <c r="M40" s="49"/>
      <c r="N40" s="49"/>
      <c r="O40" s="49"/>
      <c r="P40" s="49"/>
      <c r="Q40" s="49"/>
      <c r="R40" s="148">
        <v>255</v>
      </c>
      <c r="S40" s="49"/>
      <c r="T40" s="49"/>
      <c r="U40" s="49"/>
      <c r="V40" s="10"/>
    </row>
    <row r="41" spans="1:38" ht="18" hidden="1" customHeight="1">
      <c r="A41" s="9"/>
      <c r="B41" s="32"/>
      <c r="C41" s="186" t="s">
        <v>59</v>
      </c>
      <c r="D41" s="45"/>
      <c r="E41" s="59"/>
      <c r="F41" s="58"/>
      <c r="G41" s="296" t="s">
        <v>928</v>
      </c>
      <c r="I41" s="49"/>
      <c r="J41" s="49"/>
      <c r="K41" s="49"/>
      <c r="L41" s="49"/>
      <c r="M41" s="49"/>
      <c r="N41" s="49"/>
      <c r="O41" s="49"/>
      <c r="P41" s="49"/>
      <c r="Q41" s="49"/>
      <c r="R41" s="148">
        <v>137</v>
      </c>
      <c r="S41" s="49"/>
      <c r="T41" s="49"/>
      <c r="U41" s="49"/>
      <c r="V41" s="10"/>
    </row>
    <row r="42" spans="1:38" ht="18" customHeight="1">
      <c r="A42" s="9"/>
      <c r="B42" s="32"/>
      <c r="C42" s="186" t="s">
        <v>58</v>
      </c>
      <c r="D42" s="45"/>
      <c r="E42" s="59"/>
      <c r="G42" s="296" t="s">
        <v>44</v>
      </c>
      <c r="I42" s="49"/>
      <c r="J42" s="49"/>
      <c r="K42" s="49"/>
      <c r="R42" s="148">
        <v>178</v>
      </c>
      <c r="S42" s="49"/>
      <c r="T42" s="49"/>
      <c r="U42" s="49"/>
      <c r="V42" s="10"/>
    </row>
    <row r="43" spans="1:38" ht="18" customHeight="1">
      <c r="A43" s="9"/>
      <c r="B43" s="32"/>
      <c r="C43" s="186" t="s">
        <v>59</v>
      </c>
      <c r="D43" s="45"/>
      <c r="E43" s="59"/>
      <c r="G43" s="296" t="s">
        <v>60</v>
      </c>
      <c r="I43" s="49"/>
      <c r="J43" s="49"/>
      <c r="K43" s="49"/>
      <c r="M43" s="32"/>
      <c r="N43" s="32"/>
      <c r="O43" s="32"/>
      <c r="P43" s="32"/>
      <c r="Q43" s="32"/>
      <c r="R43" s="142">
        <v>188</v>
      </c>
      <c r="S43" s="49"/>
      <c r="T43" s="49"/>
      <c r="U43" s="49"/>
      <c r="V43" s="10"/>
    </row>
    <row r="44" spans="1:38" ht="18" customHeight="1">
      <c r="A44" s="9"/>
      <c r="B44" s="32"/>
      <c r="C44" s="186" t="s">
        <v>63</v>
      </c>
      <c r="D44" s="45"/>
      <c r="E44" s="59"/>
      <c r="F44" s="60"/>
      <c r="G44" s="296" t="s">
        <v>1030</v>
      </c>
      <c r="I44" s="49"/>
      <c r="J44" s="49"/>
      <c r="K44" s="49"/>
      <c r="M44" s="32"/>
      <c r="N44" s="32"/>
      <c r="O44" s="32"/>
      <c r="P44" s="32"/>
      <c r="Q44" s="32"/>
      <c r="R44">
        <v>200</v>
      </c>
      <c r="S44" s="49"/>
      <c r="T44" s="49"/>
      <c r="U44" s="49"/>
      <c r="V44" s="10"/>
    </row>
    <row r="45" spans="1:38" ht="18" customHeight="1">
      <c r="A45" s="9"/>
      <c r="B45" s="32"/>
      <c r="C45" s="186" t="s">
        <v>929</v>
      </c>
      <c r="D45" s="45"/>
      <c r="E45" s="59"/>
      <c r="F45" s="60"/>
      <c r="G45" s="296" t="s">
        <v>1067</v>
      </c>
      <c r="I45" s="49"/>
      <c r="J45" s="49"/>
      <c r="K45" s="49"/>
      <c r="M45" s="32"/>
      <c r="N45" s="32"/>
      <c r="O45" s="32"/>
      <c r="P45" s="32"/>
      <c r="Q45" s="32"/>
      <c r="R45">
        <v>217</v>
      </c>
      <c r="S45" s="49"/>
      <c r="T45" s="49"/>
      <c r="U45" s="49"/>
      <c r="V45" s="10"/>
    </row>
    <row r="46" spans="1:38" ht="18" customHeight="1">
      <c r="A46" s="9"/>
      <c r="B46" s="32"/>
      <c r="C46" s="186" t="s">
        <v>1029</v>
      </c>
      <c r="D46" s="45"/>
      <c r="E46" s="59"/>
      <c r="F46" s="60"/>
      <c r="G46" s="296" t="s">
        <v>1031</v>
      </c>
      <c r="I46" s="49"/>
      <c r="J46" s="49"/>
      <c r="K46" s="49"/>
      <c r="M46" s="49"/>
      <c r="N46" s="49"/>
      <c r="O46" s="49"/>
      <c r="P46" s="49"/>
      <c r="Q46" s="49"/>
      <c r="R46">
        <v>221</v>
      </c>
      <c r="S46" s="49"/>
      <c r="T46" s="49"/>
      <c r="U46" s="49"/>
      <c r="V46" s="10"/>
    </row>
    <row r="47" spans="1:38" ht="18" customHeight="1">
      <c r="A47" s="9"/>
      <c r="B47" s="32"/>
      <c r="C47" s="186"/>
      <c r="D47" s="45"/>
      <c r="E47" s="59"/>
      <c r="F47" s="60"/>
      <c r="G47" s="296"/>
      <c r="I47" s="49"/>
      <c r="J47" s="49"/>
      <c r="K47" s="49"/>
      <c r="M47" s="49"/>
      <c r="N47" s="49"/>
      <c r="O47" s="49"/>
      <c r="P47" s="49"/>
      <c r="Q47" s="49"/>
      <c r="R47" s="49"/>
      <c r="S47" s="49"/>
      <c r="T47" s="49"/>
      <c r="U47" s="49"/>
      <c r="V47" s="10"/>
    </row>
    <row r="48" spans="1:38" ht="18" customHeight="1">
      <c r="A48" s="9"/>
      <c r="B48" s="32"/>
      <c r="C48" s="60"/>
      <c r="D48" s="60"/>
      <c r="E48" s="60"/>
      <c r="F48" s="60"/>
      <c r="G48" s="60"/>
      <c r="H48" s="49"/>
      <c r="I48" s="49"/>
      <c r="J48" s="49"/>
      <c r="K48" s="49"/>
      <c r="L48" s="49"/>
      <c r="M48" s="49"/>
      <c r="N48" s="49"/>
      <c r="O48" s="49"/>
      <c r="P48" s="49"/>
      <c r="Q48" s="49"/>
      <c r="R48" s="49"/>
      <c r="S48" s="49"/>
      <c r="T48" s="49"/>
      <c r="U48" s="49"/>
      <c r="V48" s="10"/>
    </row>
    <row r="49" spans="1:24" ht="18" customHeight="1">
      <c r="A49" s="9"/>
      <c r="B49" s="7"/>
      <c r="C49" s="60"/>
      <c r="D49" s="60"/>
      <c r="E49" s="60"/>
      <c r="F49" s="60"/>
      <c r="G49" s="60"/>
      <c r="H49" s="49"/>
      <c r="I49" s="49"/>
      <c r="J49" s="49"/>
      <c r="K49" s="49"/>
      <c r="L49" s="49"/>
      <c r="M49" s="49"/>
      <c r="N49" s="49"/>
      <c r="O49" s="49"/>
      <c r="P49" s="61"/>
      <c r="Q49" s="62"/>
      <c r="R49" s="62"/>
      <c r="S49" s="62"/>
      <c r="T49" s="62"/>
      <c r="U49" s="62"/>
      <c r="V49" s="63"/>
      <c r="W49" s="64"/>
      <c r="X49" s="64"/>
    </row>
    <row r="50" spans="1:24" ht="18" customHeight="1">
      <c r="A50" s="9"/>
      <c r="V50" s="10"/>
    </row>
    <row r="51" spans="1:24" s="5" customFormat="1" ht="18" customHeight="1">
      <c r="A51" s="65"/>
      <c r="B51" s="66"/>
      <c r="C51" s="66"/>
      <c r="D51" s="66"/>
      <c r="E51" s="66"/>
      <c r="F51" s="66"/>
      <c r="G51" s="66"/>
      <c r="H51" s="66"/>
      <c r="I51" s="66"/>
      <c r="J51" s="66"/>
      <c r="K51" s="66"/>
      <c r="L51" s="66"/>
      <c r="M51" s="66"/>
      <c r="N51" s="66"/>
      <c r="O51" s="66"/>
      <c r="P51" s="66"/>
      <c r="Q51" s="66"/>
      <c r="R51" s="66"/>
      <c r="S51" s="66"/>
      <c r="T51" s="66"/>
      <c r="U51" s="66"/>
      <c r="V51" s="67"/>
      <c r="W51" s="4"/>
      <c r="X51" s="4"/>
    </row>
  </sheetData>
  <mergeCells count="18">
    <mergeCell ref="AA24:AM2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4"/>
  <sheetViews>
    <sheetView view="pageBreakPreview" zoomScale="115" zoomScaleNormal="100" zoomScaleSheetLayoutView="115" workbookViewId="0">
      <selection activeCell="X21" sqref="X21"/>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4"/>
      <c r="X1" s="4"/>
    </row>
    <row r="2" spans="1:26"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4"/>
      <c r="X2" s="4"/>
    </row>
    <row r="3" spans="1:26" ht="22.2"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4"/>
      <c r="X3" s="4"/>
    </row>
    <row r="4" spans="1:26"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68"/>
      <c r="X4" s="68"/>
    </row>
    <row r="5" spans="1:26" ht="18" customHeight="1">
      <c r="A5" s="880" t="str">
        <f>Title!A5</f>
        <v>Prep. By</v>
      </c>
      <c r="B5" s="943"/>
      <c r="C5" s="25" t="str">
        <f>Title!C5</f>
        <v>AP</v>
      </c>
      <c r="D5" s="880" t="str">
        <f>Title!D5</f>
        <v>Checked By</v>
      </c>
      <c r="E5" s="881"/>
      <c r="F5" s="943"/>
      <c r="G5" s="25" t="str">
        <f>Title!G5</f>
        <v>RB</v>
      </c>
      <c r="H5" s="952" t="s">
        <v>65</v>
      </c>
      <c r="I5" s="953"/>
      <c r="J5" s="953"/>
      <c r="K5" s="953"/>
      <c r="L5" s="953"/>
      <c r="M5" s="953"/>
      <c r="N5" s="954"/>
      <c r="O5" s="947" t="str">
        <f>Title!O5</f>
        <v>Contractor</v>
      </c>
      <c r="P5" s="948"/>
      <c r="Q5" s="949"/>
      <c r="R5" s="931" t="str">
        <f>Title!R5</f>
        <v>HITACHI</v>
      </c>
      <c r="S5" s="932"/>
      <c r="T5" s="932"/>
      <c r="U5" s="932"/>
      <c r="V5" s="933"/>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65</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951" t="s">
        <v>930</v>
      </c>
      <c r="D10" s="951"/>
      <c r="E10" s="951"/>
      <c r="F10" s="951"/>
      <c r="G10" s="951"/>
      <c r="H10" s="951"/>
      <c r="I10" s="951"/>
      <c r="J10" s="951"/>
      <c r="K10" s="951"/>
      <c r="L10" s="951"/>
      <c r="M10" s="951"/>
      <c r="N10" s="951"/>
      <c r="O10" s="951"/>
      <c r="P10" s="951"/>
      <c r="Q10" s="951"/>
      <c r="R10" s="951"/>
      <c r="S10" s="951"/>
      <c r="T10" s="951"/>
      <c r="U10" s="951"/>
      <c r="V10" s="71"/>
      <c r="W10" s="4"/>
      <c r="X10" s="4"/>
    </row>
    <row r="11" spans="1:26" ht="18" customHeight="1">
      <c r="A11" s="69"/>
      <c r="B11" s="28"/>
      <c r="C11" s="951"/>
      <c r="D11" s="951"/>
      <c r="E11" s="951"/>
      <c r="F11" s="951"/>
      <c r="G11" s="951"/>
      <c r="H11" s="951"/>
      <c r="I11" s="951"/>
      <c r="J11" s="951"/>
      <c r="K11" s="951"/>
      <c r="L11" s="951"/>
      <c r="M11" s="951"/>
      <c r="N11" s="951"/>
      <c r="O11" s="951"/>
      <c r="P11" s="951"/>
      <c r="Q11" s="951"/>
      <c r="R11" s="951"/>
      <c r="S11" s="951"/>
      <c r="T11" s="951"/>
      <c r="U11" s="951"/>
      <c r="V11" s="71"/>
      <c r="W11" s="4"/>
      <c r="X11" s="4"/>
    </row>
    <row r="12" spans="1:26" ht="18" customHeight="1">
      <c r="A12" s="69"/>
      <c r="B12" s="28">
        <v>2</v>
      </c>
      <c r="C12" s="477" t="s">
        <v>931</v>
      </c>
      <c r="D12" s="499"/>
      <c r="E12" s="499"/>
      <c r="F12" s="499"/>
      <c r="G12" s="499"/>
      <c r="H12" s="499"/>
      <c r="I12" s="499"/>
      <c r="J12" s="499"/>
      <c r="K12" s="499"/>
      <c r="L12" s="499"/>
      <c r="M12" s="499"/>
      <c r="N12" s="499"/>
      <c r="O12" s="499"/>
      <c r="P12" s="499"/>
      <c r="Q12" s="499"/>
      <c r="R12" s="499"/>
      <c r="S12" s="499"/>
      <c r="T12" s="499"/>
      <c r="U12" s="499"/>
      <c r="V12" s="71"/>
      <c r="W12" s="4"/>
      <c r="X12" s="4"/>
      <c r="Z12" s="5" t="s">
        <v>66</v>
      </c>
    </row>
    <row r="13" spans="1:26" ht="18" customHeight="1">
      <c r="A13" s="69"/>
      <c r="B13" s="28">
        <v>3</v>
      </c>
      <c r="C13" s="477" t="s">
        <v>932</v>
      </c>
      <c r="D13" s="499"/>
      <c r="E13" s="499"/>
      <c r="F13" s="499"/>
      <c r="G13" s="499"/>
      <c r="H13" s="499"/>
      <c r="I13" s="499"/>
      <c r="J13" s="499"/>
      <c r="K13" s="499"/>
      <c r="L13" s="499"/>
      <c r="M13" s="499"/>
      <c r="N13" s="499"/>
      <c r="O13" s="499"/>
      <c r="P13" s="499"/>
      <c r="Q13" s="499"/>
      <c r="R13" s="499"/>
      <c r="S13" s="499"/>
      <c r="T13" s="499"/>
      <c r="U13" s="499"/>
      <c r="V13" s="71"/>
      <c r="W13" s="4"/>
      <c r="X13" s="4"/>
    </row>
    <row r="14" spans="1:26" ht="18" customHeight="1">
      <c r="A14" s="69"/>
      <c r="B14" s="28">
        <v>4</v>
      </c>
      <c r="C14" s="477" t="s">
        <v>812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00" t="s">
        <v>934</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933</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79"/>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79"/>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79"/>
      <c r="D38" s="14"/>
      <c r="E38" s="14"/>
      <c r="F38" s="14"/>
      <c r="G38" s="14"/>
      <c r="H38" s="14"/>
      <c r="I38" s="14"/>
      <c r="J38" s="14"/>
      <c r="K38" s="14"/>
      <c r="L38" s="14"/>
      <c r="M38" s="13"/>
      <c r="N38" s="13"/>
      <c r="O38" s="14"/>
      <c r="P38" s="13"/>
      <c r="Q38" s="13"/>
      <c r="R38" s="13"/>
      <c r="S38" s="13"/>
      <c r="T38" s="13"/>
      <c r="U38" s="13"/>
      <c r="V38" s="100"/>
      <c r="W38" s="4"/>
      <c r="X38" s="4"/>
    </row>
    <row r="39" spans="1:25" ht="18" customHeight="1">
      <c r="A39" s="98"/>
      <c r="B39" s="14"/>
      <c r="C39" s="79"/>
      <c r="D39" s="14"/>
      <c r="E39" s="14"/>
      <c r="F39" s="14"/>
      <c r="G39" s="14"/>
      <c r="H39" s="14"/>
      <c r="I39" s="14"/>
      <c r="J39" s="14"/>
      <c r="K39" s="14"/>
      <c r="L39" s="14"/>
      <c r="M39" s="13"/>
      <c r="N39" s="13"/>
      <c r="O39" s="14"/>
      <c r="P39" s="13"/>
      <c r="Q39" s="13"/>
      <c r="R39" s="13"/>
      <c r="S39" s="13"/>
      <c r="T39" s="13"/>
      <c r="U39" s="13"/>
      <c r="V39" s="100"/>
      <c r="W39" s="4"/>
      <c r="X39" s="4"/>
    </row>
    <row r="40" spans="1:25" ht="18" customHeight="1">
      <c r="A40" s="98"/>
      <c r="B40" s="14"/>
      <c r="C40" s="79"/>
      <c r="D40" s="14"/>
      <c r="E40" s="14"/>
      <c r="F40" s="14"/>
      <c r="G40" s="14"/>
      <c r="H40" s="14"/>
      <c r="I40" s="14"/>
      <c r="J40" s="14"/>
      <c r="K40" s="14"/>
      <c r="L40" s="14"/>
      <c r="M40" s="13"/>
      <c r="N40" s="13"/>
      <c r="O40" s="14"/>
      <c r="P40" s="13"/>
      <c r="Q40" s="13"/>
      <c r="R40" s="13"/>
      <c r="S40" s="13"/>
      <c r="T40" s="13"/>
      <c r="U40" s="13"/>
      <c r="V40" s="100"/>
      <c r="W40" s="4"/>
      <c r="X40" s="4"/>
    </row>
    <row r="41" spans="1:25" ht="18" customHeight="1">
      <c r="A41" s="98"/>
      <c r="B41" s="14"/>
      <c r="C41" s="79"/>
      <c r="D41" s="14"/>
      <c r="E41" s="14"/>
      <c r="F41" s="14"/>
      <c r="G41" s="14"/>
      <c r="H41" s="14"/>
      <c r="I41" s="14"/>
      <c r="J41" s="14"/>
      <c r="K41" s="14"/>
      <c r="L41" s="14"/>
      <c r="M41" s="13"/>
      <c r="N41" s="13"/>
      <c r="O41" s="14"/>
      <c r="P41" s="13"/>
      <c r="Q41" s="13"/>
      <c r="R41" s="13"/>
      <c r="S41" s="13"/>
      <c r="T41" s="13"/>
      <c r="U41" s="13"/>
      <c r="V41" s="100"/>
      <c r="W41" s="4"/>
      <c r="X41" s="4"/>
    </row>
    <row r="42" spans="1:25" ht="18" customHeight="1">
      <c r="A42" s="98"/>
      <c r="B42" s="14"/>
      <c r="C42" s="47"/>
      <c r="D42" s="14"/>
      <c r="E42" s="14"/>
      <c r="F42" s="14"/>
      <c r="G42" s="14"/>
      <c r="H42" s="14"/>
      <c r="I42" s="14"/>
      <c r="J42" s="14"/>
      <c r="K42" s="14"/>
      <c r="L42" s="14"/>
      <c r="M42" s="13"/>
      <c r="N42" s="13"/>
      <c r="O42" s="14"/>
      <c r="P42" s="13"/>
      <c r="Q42" s="13"/>
      <c r="R42" s="13"/>
      <c r="S42" s="13"/>
      <c r="T42" s="13"/>
      <c r="U42" s="13"/>
      <c r="V42" s="100"/>
      <c r="W42" s="4"/>
      <c r="X42" s="4"/>
    </row>
    <row r="43" spans="1:25" ht="18" customHeight="1">
      <c r="A43" s="98"/>
      <c r="B43" s="14"/>
      <c r="C43" s="28"/>
      <c r="D43" s="14"/>
      <c r="E43" s="14"/>
      <c r="F43" s="14"/>
      <c r="G43" s="14"/>
      <c r="H43" s="14"/>
      <c r="I43" s="14"/>
      <c r="J43" s="14"/>
      <c r="K43" s="14"/>
      <c r="L43" s="14"/>
      <c r="M43" s="14"/>
      <c r="N43" s="13"/>
      <c r="O43" s="13"/>
      <c r="P43" s="13"/>
      <c r="Q43" s="13"/>
      <c r="R43" s="13"/>
      <c r="S43" s="13"/>
      <c r="T43" s="13"/>
      <c r="U43" s="13"/>
      <c r="V43" s="100"/>
      <c r="W43" s="4"/>
      <c r="X43" s="4"/>
    </row>
    <row r="44" spans="1:25" ht="18" customHeight="1">
      <c r="A44" s="98"/>
      <c r="B44" s="14"/>
      <c r="C44" s="14"/>
      <c r="D44" s="14"/>
      <c r="E44" s="14"/>
      <c r="F44" s="14"/>
      <c r="G44" s="14"/>
      <c r="H44" s="14"/>
      <c r="I44" s="14"/>
      <c r="J44" s="14"/>
      <c r="K44" s="14"/>
      <c r="L44" s="14"/>
      <c r="M44" s="14"/>
      <c r="N44" s="13"/>
      <c r="O44" s="13"/>
      <c r="P44" s="13"/>
      <c r="Q44" s="13"/>
      <c r="R44" s="13"/>
      <c r="S44" s="13"/>
      <c r="T44" s="13"/>
      <c r="U44" s="13"/>
      <c r="V44" s="100"/>
      <c r="W44" s="4"/>
      <c r="X44" s="4"/>
    </row>
    <row r="45" spans="1:25" s="107" customFormat="1" ht="18" customHeight="1">
      <c r="A45" s="106"/>
      <c r="B45" s="13"/>
      <c r="C45" s="79"/>
      <c r="D45" s="13"/>
      <c r="E45" s="13"/>
      <c r="F45" s="13"/>
      <c r="G45" s="13"/>
      <c r="H45" s="13"/>
      <c r="I45" s="13"/>
      <c r="J45" s="13"/>
      <c r="K45" s="13"/>
      <c r="L45" s="13"/>
      <c r="M45" s="13"/>
      <c r="N45" s="13"/>
      <c r="O45" s="13"/>
      <c r="P45" s="13"/>
      <c r="Q45" s="13"/>
      <c r="R45" s="13"/>
      <c r="S45" s="13"/>
      <c r="T45" s="13"/>
      <c r="U45" s="13"/>
      <c r="V45" s="100"/>
      <c r="W45" s="4"/>
      <c r="X45" s="4"/>
      <c r="Y45" s="5"/>
    </row>
    <row r="46" spans="1:25" ht="18" customHeight="1">
      <c r="A46" s="65"/>
      <c r="B46" s="66"/>
      <c r="C46" s="108"/>
      <c r="D46" s="66"/>
      <c r="E46" s="66"/>
      <c r="F46" s="66"/>
      <c r="G46" s="66"/>
      <c r="H46" s="66"/>
      <c r="I46" s="66"/>
      <c r="J46" s="66"/>
      <c r="K46" s="66"/>
      <c r="L46" s="66"/>
      <c r="M46" s="66"/>
      <c r="N46" s="66"/>
      <c r="O46" s="66"/>
      <c r="P46" s="66"/>
      <c r="Q46" s="66"/>
      <c r="R46" s="66"/>
      <c r="S46" s="66"/>
      <c r="T46" s="66"/>
      <c r="U46" s="66"/>
      <c r="V46" s="67"/>
      <c r="W46" s="4"/>
      <c r="X46" s="4"/>
    </row>
    <row r="54" spans="3:9" ht="18" customHeight="1">
      <c r="C54" s="5"/>
      <c r="G54" s="5" t="s">
        <v>65</v>
      </c>
    </row>
    <row r="55" spans="3:9" ht="18" customHeight="1">
      <c r="C55" s="5"/>
      <c r="G55" s="5" t="s">
        <v>67</v>
      </c>
    </row>
    <row r="56" spans="3:9" ht="18" customHeight="1">
      <c r="C56" s="5"/>
      <c r="G56" s="5" t="s">
        <v>68</v>
      </c>
    </row>
    <row r="57" spans="3:9" ht="18" customHeight="1">
      <c r="C57" s="5"/>
      <c r="G57" s="5" t="s">
        <v>69</v>
      </c>
    </row>
    <row r="63" spans="3:9" ht="18" customHeight="1">
      <c r="C63" s="5"/>
      <c r="G63" s="14"/>
      <c r="H63" s="28" t="s">
        <v>70</v>
      </c>
      <c r="I63" s="14"/>
    </row>
    <row r="64" spans="3:9" ht="18" customHeight="1">
      <c r="C64" s="5"/>
      <c r="G64" s="14">
        <v>1</v>
      </c>
      <c r="H64" s="47" t="s">
        <v>71</v>
      </c>
      <c r="I64" s="14"/>
    </row>
    <row r="65" spans="3:9" ht="18" customHeight="1">
      <c r="C65" s="5"/>
      <c r="G65" s="14">
        <v>2</v>
      </c>
      <c r="H65" s="28"/>
      <c r="I65" s="14"/>
    </row>
    <row r="66" spans="3:9" ht="18" customHeight="1">
      <c r="C66" s="5"/>
      <c r="G66" s="14"/>
      <c r="H66" s="93" t="s">
        <v>72</v>
      </c>
      <c r="I66" s="14"/>
    </row>
    <row r="67" spans="3:9" ht="18" customHeight="1">
      <c r="C67" s="5"/>
      <c r="G67" s="14"/>
      <c r="H67" s="14" t="s">
        <v>73</v>
      </c>
      <c r="I67" s="14"/>
    </row>
    <row r="68" spans="3:9" ht="18" customHeight="1">
      <c r="C68" s="5"/>
      <c r="G68" s="14"/>
      <c r="H68" s="93" t="s">
        <v>74</v>
      </c>
      <c r="I68" s="14"/>
    </row>
    <row r="69" spans="3:9" ht="18" customHeight="1">
      <c r="C69" s="5"/>
      <c r="G69" s="14"/>
      <c r="H69" s="14" t="s">
        <v>75</v>
      </c>
      <c r="I69" s="14"/>
    </row>
    <row r="70" spans="3:9" ht="18" customHeight="1">
      <c r="C70" s="5"/>
      <c r="G70" s="14"/>
      <c r="H70" s="14" t="s">
        <v>76</v>
      </c>
      <c r="I70" s="14"/>
    </row>
    <row r="71" spans="3:9" ht="18" customHeight="1">
      <c r="C71" s="5"/>
      <c r="G71" s="14"/>
      <c r="H71" s="14" t="s">
        <v>77</v>
      </c>
      <c r="I71" s="14"/>
    </row>
    <row r="72" spans="3:9" ht="18" customHeight="1">
      <c r="C72" s="5"/>
      <c r="G72" s="14"/>
      <c r="H72" s="47" t="s">
        <v>78</v>
      </c>
      <c r="I72" s="14"/>
    </row>
    <row r="73" spans="3:9" ht="18" customHeight="1">
      <c r="C73" s="5"/>
      <c r="G73" s="14"/>
      <c r="H73" s="47" t="s">
        <v>79</v>
      </c>
      <c r="I73" s="14"/>
    </row>
    <row r="74" spans="3:9" ht="18" customHeight="1">
      <c r="C74" s="5"/>
      <c r="G74" s="13"/>
      <c r="H74" s="79" t="s">
        <v>80</v>
      </c>
      <c r="I74" s="13"/>
    </row>
  </sheetData>
  <sheetProtection selectLockedCells="1"/>
  <mergeCells count="18">
    <mergeCell ref="H5:N5"/>
    <mergeCell ref="O5:Q5"/>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99"/>
  <sheetViews>
    <sheetView view="pageBreakPreview" topLeftCell="A203" zoomScale="115" zoomScaleNormal="100" zoomScaleSheetLayoutView="115" workbookViewId="0">
      <selection activeCell="X21" sqref="X21"/>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920" t="s">
        <v>0</v>
      </c>
      <c r="B1" s="921"/>
      <c r="C1" s="921"/>
      <c r="D1" s="921"/>
      <c r="E1" s="921"/>
      <c r="F1" s="921"/>
      <c r="G1" s="922"/>
      <c r="H1" s="1002" t="str">
        <f>Title!H1&amp;" "&amp;Title!H2</f>
        <v>CT / VT ADEQUACY CHECK</v>
      </c>
      <c r="I1" s="1002"/>
      <c r="J1" s="1002"/>
      <c r="K1" s="1002"/>
      <c r="L1" s="1002"/>
      <c r="M1" s="1002"/>
      <c r="N1" s="1002"/>
      <c r="O1" s="1002"/>
      <c r="P1" s="1002"/>
      <c r="Q1" s="1002"/>
      <c r="R1" s="1002"/>
      <c r="S1" s="1002"/>
      <c r="T1" s="1001" t="str">
        <f>Title!O1</f>
        <v>Contract No.</v>
      </c>
      <c r="U1" s="1001"/>
      <c r="V1" s="1001"/>
      <c r="W1" s="998" t="str">
        <f>Title!R1</f>
        <v>N-19957.2-DF4W</v>
      </c>
      <c r="X1" s="998"/>
      <c r="Y1" s="14"/>
      <c r="Z1" s="14"/>
    </row>
    <row r="2" spans="1:26" ht="13.2" customHeight="1">
      <c r="A2" s="923"/>
      <c r="B2" s="924"/>
      <c r="C2" s="924"/>
      <c r="D2" s="924"/>
      <c r="E2" s="924"/>
      <c r="F2" s="924"/>
      <c r="G2" s="925"/>
      <c r="H2" s="1002"/>
      <c r="I2" s="1002"/>
      <c r="J2" s="1002"/>
      <c r="K2" s="1002"/>
      <c r="L2" s="1002"/>
      <c r="M2" s="1002"/>
      <c r="N2" s="1002"/>
      <c r="O2" s="1002"/>
      <c r="P2" s="1002"/>
      <c r="Q2" s="1002"/>
      <c r="R2" s="1002"/>
      <c r="S2" s="1002"/>
      <c r="T2" s="1001" t="str">
        <f>Title!O2</f>
        <v>Date</v>
      </c>
      <c r="U2" s="1001"/>
      <c r="V2" s="1001"/>
      <c r="W2" s="1003">
        <f>Title!R2</f>
        <v>46134</v>
      </c>
      <c r="X2" s="998"/>
      <c r="Y2" s="14"/>
      <c r="Z2" s="14"/>
    </row>
    <row r="3" spans="1:26" ht="22.2" customHeight="1">
      <c r="A3" s="923"/>
      <c r="B3" s="924"/>
      <c r="C3" s="924"/>
      <c r="D3" s="924"/>
      <c r="E3" s="924"/>
      <c r="F3" s="924"/>
      <c r="G3" s="925"/>
      <c r="H3" s="1002" t="str">
        <f>Title!H3</f>
        <v xml:space="preserve">132/33kV SUBSTATION DF4W    AT AL DHAFRA AREA </v>
      </c>
      <c r="I3" s="1002"/>
      <c r="J3" s="1002"/>
      <c r="K3" s="1002"/>
      <c r="L3" s="1002"/>
      <c r="M3" s="1002"/>
      <c r="N3" s="1002"/>
      <c r="O3" s="1002"/>
      <c r="P3" s="1002"/>
      <c r="Q3" s="1002"/>
      <c r="R3" s="1002"/>
      <c r="S3" s="1002"/>
      <c r="T3" s="1001" t="str">
        <f>Title!O3</f>
        <v>Document No.</v>
      </c>
      <c r="U3" s="1001"/>
      <c r="V3" s="1001"/>
      <c r="W3" s="999" t="str">
        <f>Title!R3</f>
        <v>-</v>
      </c>
      <c r="X3" s="999"/>
      <c r="Y3" s="14"/>
      <c r="Z3" s="14"/>
    </row>
    <row r="4" spans="1:26">
      <c r="A4" s="926"/>
      <c r="B4" s="927"/>
      <c r="C4" s="927"/>
      <c r="D4" s="927"/>
      <c r="E4" s="927"/>
      <c r="F4" s="927"/>
      <c r="G4" s="928"/>
      <c r="H4" s="1002"/>
      <c r="I4" s="1002"/>
      <c r="J4" s="1002"/>
      <c r="K4" s="1002"/>
      <c r="L4" s="1002"/>
      <c r="M4" s="1002"/>
      <c r="N4" s="1002"/>
      <c r="O4" s="1002"/>
      <c r="P4" s="1002"/>
      <c r="Q4" s="1002"/>
      <c r="R4" s="1002"/>
      <c r="S4" s="1002"/>
      <c r="T4" s="1001" t="str">
        <f>Title!O4</f>
        <v>Revision No.</v>
      </c>
      <c r="U4" s="1001"/>
      <c r="V4" s="1001"/>
      <c r="W4" s="998" t="str">
        <f>Title!R4</f>
        <v>A</v>
      </c>
      <c r="X4" s="998"/>
      <c r="Y4" s="14"/>
      <c r="Z4" s="14"/>
    </row>
    <row r="5" spans="1:26" ht="18" customHeight="1">
      <c r="A5" s="999" t="str">
        <f>Title!A5</f>
        <v>Prep. By</v>
      </c>
      <c r="B5" s="999"/>
      <c r="C5" s="25" t="str">
        <f>Title!C5</f>
        <v>AP</v>
      </c>
      <c r="D5" s="999" t="str">
        <f>Title!D5</f>
        <v>Checked By</v>
      </c>
      <c r="E5" s="999"/>
      <c r="F5" s="999"/>
      <c r="G5" s="25" t="str">
        <f>Title!G5</f>
        <v>RB</v>
      </c>
      <c r="H5" s="1000" t="s">
        <v>81</v>
      </c>
      <c r="I5" s="1000"/>
      <c r="J5" s="1000"/>
      <c r="K5" s="1000"/>
      <c r="L5" s="1000"/>
      <c r="M5" s="1000"/>
      <c r="N5" s="1000"/>
      <c r="O5" s="1000"/>
      <c r="P5" s="1000"/>
      <c r="Q5" s="1000"/>
      <c r="R5" s="1000"/>
      <c r="S5" s="1000"/>
      <c r="T5" s="1001" t="str">
        <f>Title!O5</f>
        <v>Contractor</v>
      </c>
      <c r="U5" s="1001"/>
      <c r="V5" s="1001"/>
      <c r="W5" s="998" t="str">
        <f>Title!R5</f>
        <v>HITACHI</v>
      </c>
      <c r="X5" s="998"/>
      <c r="Y5" s="14"/>
      <c r="Z5" s="14"/>
    </row>
    <row r="6" spans="1:26" ht="18" customHeight="1">
      <c r="A6" s="226"/>
      <c r="B6" s="227"/>
      <c r="C6" s="227"/>
      <c r="D6" s="227"/>
      <c r="E6" s="227"/>
      <c r="F6" s="227"/>
      <c r="G6" s="227"/>
      <c r="H6" s="227"/>
      <c r="I6" s="227"/>
      <c r="J6" s="227"/>
      <c r="K6" s="227"/>
      <c r="L6" s="227"/>
      <c r="M6" s="227"/>
      <c r="N6" s="227"/>
      <c r="O6" s="227"/>
      <c r="P6" s="227"/>
      <c r="Q6" s="227"/>
      <c r="R6" s="227"/>
      <c r="S6" s="227"/>
      <c r="T6" s="227"/>
      <c r="U6" s="227"/>
      <c r="V6" s="227"/>
      <c r="W6" s="311"/>
      <c r="X6" s="312"/>
      <c r="Y6" s="30"/>
      <c r="Z6" s="30"/>
    </row>
    <row r="7" spans="1:26" ht="18" customHeight="1">
      <c r="A7" s="184"/>
      <c r="B7" s="30"/>
      <c r="C7" s="30"/>
      <c r="D7" s="30"/>
      <c r="E7" s="30"/>
      <c r="F7" s="30"/>
      <c r="G7" s="30"/>
      <c r="H7" s="1004" t="s">
        <v>82</v>
      </c>
      <c r="I7" s="1004"/>
      <c r="J7" s="1004"/>
      <c r="K7" s="1004"/>
      <c r="L7" s="1004"/>
      <c r="M7" s="1004"/>
      <c r="N7" s="1004"/>
      <c r="O7" s="1004"/>
      <c r="P7" s="1004"/>
      <c r="Q7" s="1004"/>
      <c r="R7" s="1004"/>
      <c r="S7" s="1004"/>
      <c r="T7" s="30"/>
      <c r="U7" s="30"/>
      <c r="V7" s="30"/>
      <c r="W7" s="27"/>
      <c r="X7" s="177"/>
      <c r="Y7" s="30"/>
      <c r="Z7" s="30"/>
    </row>
    <row r="8" spans="1:26" ht="18" hidden="1" customHeight="1">
      <c r="A8" s="313" t="s">
        <v>83</v>
      </c>
      <c r="B8" s="483"/>
      <c r="C8" s="481"/>
      <c r="D8" s="481"/>
      <c r="E8" s="481"/>
      <c r="F8" s="481"/>
      <c r="G8" s="481"/>
      <c r="H8" s="481"/>
      <c r="I8" s="481"/>
      <c r="J8" s="481"/>
      <c r="K8" s="481"/>
      <c r="L8" s="481"/>
      <c r="M8" s="481"/>
      <c r="N8" s="481"/>
      <c r="O8" s="481"/>
      <c r="P8" s="481"/>
      <c r="Q8" s="481"/>
      <c r="R8" s="481"/>
      <c r="S8" s="481"/>
      <c r="T8" s="481"/>
      <c r="U8" s="481"/>
      <c r="V8" s="481"/>
      <c r="W8" s="482"/>
      <c r="X8" s="314"/>
      <c r="Y8" s="30"/>
      <c r="Z8" s="30"/>
    </row>
    <row r="9" spans="1:26" ht="18" hidden="1" customHeight="1">
      <c r="A9" s="315" t="s">
        <v>84</v>
      </c>
      <c r="B9" s="316"/>
      <c r="C9" s="316"/>
      <c r="D9" s="316"/>
      <c r="E9" s="316"/>
      <c r="F9" s="316"/>
      <c r="G9" s="316"/>
      <c r="H9" s="316"/>
      <c r="I9" s="316"/>
      <c r="J9" s="316"/>
      <c r="K9" s="316"/>
      <c r="L9" s="316"/>
      <c r="M9" s="316"/>
      <c r="N9" s="316"/>
      <c r="O9" s="316"/>
      <c r="P9" s="316"/>
      <c r="Q9" s="316"/>
      <c r="R9" s="316"/>
      <c r="S9" s="316"/>
      <c r="T9" s="316"/>
      <c r="U9" s="316"/>
      <c r="V9" s="316"/>
      <c r="W9" s="317"/>
      <c r="X9" s="318"/>
      <c r="Y9" s="30"/>
      <c r="Z9" s="30"/>
    </row>
    <row r="10" spans="1:26" ht="26.4" hidden="1">
      <c r="A10" s="955" t="s">
        <v>85</v>
      </c>
      <c r="B10" s="956"/>
      <c r="C10" s="957"/>
      <c r="D10" s="955" t="s">
        <v>86</v>
      </c>
      <c r="E10" s="956"/>
      <c r="F10" s="957"/>
      <c r="G10" s="955" t="s">
        <v>87</v>
      </c>
      <c r="H10" s="957"/>
      <c r="I10" s="955" t="s">
        <v>88</v>
      </c>
      <c r="J10" s="957"/>
      <c r="K10" s="955" t="s">
        <v>89</v>
      </c>
      <c r="L10" s="957"/>
      <c r="M10" s="955" t="s">
        <v>90</v>
      </c>
      <c r="N10" s="957"/>
      <c r="O10" s="955" t="s">
        <v>91</v>
      </c>
      <c r="P10" s="957"/>
      <c r="Q10" s="955" t="s">
        <v>92</v>
      </c>
      <c r="R10" s="957"/>
      <c r="S10" s="868" t="s">
        <v>93</v>
      </c>
      <c r="T10" s="868"/>
      <c r="U10" s="868"/>
      <c r="V10" s="868"/>
      <c r="W10" s="319" t="s">
        <v>94</v>
      </c>
      <c r="X10" s="319"/>
      <c r="Y10" s="30"/>
      <c r="Z10" s="30"/>
    </row>
    <row r="11" spans="1:26" ht="18" hidden="1" customHeight="1">
      <c r="A11" s="765" t="str">
        <f>'[2]RET670_650-PX (LV)'!A398</f>
        <v>BC1</v>
      </c>
      <c r="B11" s="765" t="str">
        <f>'[2]RET670_650-PX (LV)'!B398</f>
        <v>Core1</v>
      </c>
      <c r="C11" s="765"/>
      <c r="D11" s="870">
        <f>'[2]RET670_650-PX (LV)'!D398</f>
        <v>1500</v>
      </c>
      <c r="E11" s="870"/>
      <c r="F11" s="871">
        <f>'[2]RET670_650-PX (LV)'!F398</f>
        <v>1</v>
      </c>
      <c r="G11" s="870">
        <f>'[2]RET670_650-PX (LV)'!G398</f>
        <v>50</v>
      </c>
      <c r="H11" s="874">
        <f>'[2]RET670_650-PX (LV)'!H398</f>
        <v>2.5</v>
      </c>
      <c r="I11" s="874" t="str">
        <f>'[2]RET670_650-PX (LV)'!I398</f>
        <v>PX</v>
      </c>
      <c r="J11" s="874"/>
      <c r="K11" s="869">
        <f>'[2]RET670_650-PX (LV)'!K398</f>
        <v>3</v>
      </c>
      <c r="L11" s="869"/>
      <c r="M11" s="869">
        <f>'[2]RET670_650-PX (LV)'!M398</f>
        <v>1500</v>
      </c>
      <c r="N11" s="869"/>
      <c r="O11" s="870">
        <f>'[2]RET670_650-PX (LV)'!O398</f>
        <v>37.76</v>
      </c>
      <c r="P11" s="870"/>
      <c r="Q11" s="879" t="str">
        <f>'[2]RET670_650-PX (LV)'!Q398</f>
        <v>RET670</v>
      </c>
      <c r="R11" s="879"/>
      <c r="S11" s="870" t="str">
        <f>'[2]RET670_650-PX (LV)'!S398</f>
        <v>Suitably Dimensioned</v>
      </c>
      <c r="T11" s="870"/>
      <c r="U11" s="870"/>
      <c r="V11" s="870"/>
      <c r="W11" s="289">
        <f>'[2]RET670_650-PX (LV)'!H100</f>
        <v>94.143205209421495</v>
      </c>
      <c r="X11" s="263"/>
      <c r="Y11" s="30"/>
      <c r="Z11" s="30"/>
    </row>
    <row r="12" spans="1:26" ht="18" hidden="1" customHeight="1">
      <c r="A12" s="765"/>
      <c r="B12" s="765"/>
      <c r="C12" s="765"/>
      <c r="D12" s="870" t="str">
        <f>'[2]RET670_650-PX (LV)'!D399</f>
        <v>-</v>
      </c>
      <c r="E12" s="870"/>
      <c r="F12" s="872"/>
      <c r="G12" s="870"/>
      <c r="H12" s="870"/>
      <c r="I12" s="874"/>
      <c r="J12" s="874"/>
      <c r="K12" s="869" t="str">
        <f>'[2]RET670_650-PX (LV)'!K399</f>
        <v>-</v>
      </c>
      <c r="L12" s="869"/>
      <c r="M12" s="869" t="str">
        <f>'[2]RET670_650-PX (LV)'!M399</f>
        <v>-</v>
      </c>
      <c r="N12" s="869"/>
      <c r="O12" s="870" t="str">
        <f>'[2]RET670_650-PX (LV)'!O399</f>
        <v>-</v>
      </c>
      <c r="P12" s="870"/>
      <c r="Q12" s="879"/>
      <c r="R12" s="879"/>
      <c r="S12" s="870" t="s">
        <v>6</v>
      </c>
      <c r="T12" s="870"/>
      <c r="U12" s="870"/>
      <c r="V12" s="870"/>
      <c r="W12" s="289" t="s">
        <v>6</v>
      </c>
      <c r="X12" s="263"/>
      <c r="Y12" s="30"/>
      <c r="Z12" s="30"/>
    </row>
    <row r="13" spans="1:26" ht="18" hidden="1" customHeight="1">
      <c r="A13" s="765"/>
      <c r="B13" s="765"/>
      <c r="C13" s="765"/>
      <c r="D13" s="870" t="str">
        <f>'[2]RET670_650-PX (LV)'!D400</f>
        <v>-</v>
      </c>
      <c r="E13" s="870"/>
      <c r="F13" s="873"/>
      <c r="G13" s="870"/>
      <c r="H13" s="870"/>
      <c r="I13" s="874"/>
      <c r="J13" s="874"/>
      <c r="K13" s="869" t="str">
        <f>'[2]RET670_650-PX (LV)'!K400</f>
        <v>-</v>
      </c>
      <c r="L13" s="869"/>
      <c r="M13" s="869" t="str">
        <f>'[2]RET670_650-PX (LV)'!M400</f>
        <v>-</v>
      </c>
      <c r="N13" s="869"/>
      <c r="O13" s="870" t="str">
        <f>'[2]RET670_650-PX (LV)'!O400</f>
        <v>-</v>
      </c>
      <c r="P13" s="870"/>
      <c r="Q13" s="879"/>
      <c r="R13" s="879"/>
      <c r="S13" s="870" t="str">
        <f>'[2]RET670_650-PX (LV)'!S400</f>
        <v>-</v>
      </c>
      <c r="T13" s="870"/>
      <c r="U13" s="870"/>
      <c r="V13" s="870"/>
      <c r="W13" s="263" t="s">
        <v>6</v>
      </c>
      <c r="X13" s="263"/>
      <c r="Y13" s="30"/>
      <c r="Z13" s="30"/>
    </row>
    <row r="14" spans="1:26" ht="18" hidden="1" customHeight="1">
      <c r="A14" s="315" t="s">
        <v>95</v>
      </c>
      <c r="B14" s="316"/>
      <c r="C14" s="316"/>
      <c r="D14" s="316"/>
      <c r="E14" s="316"/>
      <c r="F14" s="316"/>
      <c r="G14" s="316"/>
      <c r="H14" s="316"/>
      <c r="I14" s="316"/>
      <c r="J14" s="316"/>
      <c r="K14" s="316"/>
      <c r="L14" s="316"/>
      <c r="M14" s="316"/>
      <c r="N14" s="316"/>
      <c r="O14" s="316"/>
      <c r="P14" s="316"/>
      <c r="Q14" s="316"/>
      <c r="R14" s="316"/>
      <c r="S14" s="316"/>
      <c r="T14" s="316"/>
      <c r="U14" s="316"/>
      <c r="V14" s="316"/>
      <c r="W14" s="317"/>
      <c r="X14" s="318"/>
      <c r="Y14" s="30"/>
      <c r="Z14" s="30"/>
    </row>
    <row r="15" spans="1:26" ht="26.4" hidden="1" customHeight="1">
      <c r="A15" s="955" t="s">
        <v>85</v>
      </c>
      <c r="B15" s="956"/>
      <c r="C15" s="957"/>
      <c r="D15" s="955" t="s">
        <v>86</v>
      </c>
      <c r="E15" s="956"/>
      <c r="F15" s="957"/>
      <c r="G15" s="955" t="s">
        <v>87</v>
      </c>
      <c r="H15" s="957"/>
      <c r="I15" s="955" t="s">
        <v>88</v>
      </c>
      <c r="J15" s="957"/>
      <c r="K15" s="955" t="s">
        <v>89</v>
      </c>
      <c r="L15" s="957"/>
      <c r="M15" s="955" t="s">
        <v>90</v>
      </c>
      <c r="N15" s="957"/>
      <c r="O15" s="955" t="s">
        <v>91</v>
      </c>
      <c r="P15" s="957"/>
      <c r="Q15" s="955" t="s">
        <v>92</v>
      </c>
      <c r="R15" s="957"/>
      <c r="S15" s="868" t="s">
        <v>93</v>
      </c>
      <c r="T15" s="868"/>
      <c r="U15" s="868"/>
      <c r="V15" s="868"/>
      <c r="W15" s="319" t="s">
        <v>94</v>
      </c>
      <c r="X15" s="319"/>
      <c r="Y15" s="30"/>
      <c r="Z15" s="30"/>
    </row>
    <row r="16" spans="1:26" ht="18" hidden="1" customHeight="1">
      <c r="A16" s="765" t="str">
        <f>'[2]RET670_650-PX (HV-T12) '!A398</f>
        <v>T12</v>
      </c>
      <c r="B16" s="765" t="str">
        <f>'[2]RET670_650-PX (HV-T12) '!B398</f>
        <v>Core1</v>
      </c>
      <c r="C16" s="765"/>
      <c r="D16" s="870">
        <f>'[2]RET670_650-PX (HV-T12) '!D398</f>
        <v>1200</v>
      </c>
      <c r="E16" s="870"/>
      <c r="F16" s="871">
        <f>'[2]RET670_650-PX (HV-T12) '!F398</f>
        <v>1</v>
      </c>
      <c r="G16" s="870">
        <f>'[2]RET670_650-PX (HV-T12) '!G398</f>
        <v>50</v>
      </c>
      <c r="H16" s="874">
        <f>'[2]RET670_650-PX (HV-T12) '!H398</f>
        <v>2.5</v>
      </c>
      <c r="I16" s="874" t="str">
        <f>'[2]RET670_650-PX (HV-T12) '!I398</f>
        <v>PX</v>
      </c>
      <c r="J16" s="874"/>
      <c r="K16" s="869">
        <f>'[2]RET670_650-PX (HV-T12) '!K398</f>
        <v>5</v>
      </c>
      <c r="L16" s="869"/>
      <c r="M16" s="869">
        <f>'[2]RET670_650-PX (HV-T12) '!M398</f>
        <v>1000</v>
      </c>
      <c r="N16" s="869"/>
      <c r="O16" s="870">
        <f>'[2]RET670_650-PX (HV-T12) '!O398</f>
        <v>30</v>
      </c>
      <c r="P16" s="870"/>
      <c r="Q16" s="879" t="str">
        <f>'[2]RET670_650-PX (HV-T12) '!Q398</f>
        <v>RET670</v>
      </c>
      <c r="R16" s="879"/>
      <c r="S16" s="870" t="str">
        <f>'[2]RET670_650-PX (HV-T12) '!S398</f>
        <v>Suitably Dimensioned</v>
      </c>
      <c r="T16" s="870"/>
      <c r="U16" s="870"/>
      <c r="V16" s="870"/>
      <c r="W16" s="289">
        <f>'[2]RET670_650-PX (HV-T12) '!H100</f>
        <v>177.39685253704729</v>
      </c>
      <c r="X16" s="263"/>
      <c r="Y16" s="30"/>
      <c r="Z16" s="30"/>
    </row>
    <row r="17" spans="1:26" ht="18" hidden="1" customHeight="1">
      <c r="A17" s="765"/>
      <c r="B17" s="765"/>
      <c r="C17" s="765"/>
      <c r="D17" s="870" t="str">
        <f>'[2]RET670_650-PX (HV-T12) '!D399</f>
        <v>-</v>
      </c>
      <c r="E17" s="870"/>
      <c r="F17" s="872"/>
      <c r="G17" s="870"/>
      <c r="H17" s="870"/>
      <c r="I17" s="874"/>
      <c r="J17" s="874"/>
      <c r="K17" s="869" t="str">
        <f>'[2]RET670_650-PX (HV-T12) '!K399</f>
        <v>-</v>
      </c>
      <c r="L17" s="869"/>
      <c r="M17" s="869" t="str">
        <f>'[2]RET670_650-PX (HV-T12) '!M399</f>
        <v>-</v>
      </c>
      <c r="N17" s="869"/>
      <c r="O17" s="870" t="str">
        <f>'[2]RET670_650-PX (HV-T12) '!O399</f>
        <v>-</v>
      </c>
      <c r="P17" s="870"/>
      <c r="Q17" s="879"/>
      <c r="R17" s="879"/>
      <c r="S17" s="870" t="str">
        <f>'[2]RET670_650-PX (HV-T12) '!S399</f>
        <v>-</v>
      </c>
      <c r="T17" s="870"/>
      <c r="U17" s="870"/>
      <c r="V17" s="870"/>
      <c r="W17" s="289" t="s">
        <v>6</v>
      </c>
      <c r="X17" s="263"/>
      <c r="Y17" s="30"/>
      <c r="Z17" s="30"/>
    </row>
    <row r="18" spans="1:26" ht="18" hidden="1" customHeight="1">
      <c r="A18" s="765"/>
      <c r="B18" s="765"/>
      <c r="C18" s="765"/>
      <c r="D18" s="870" t="str">
        <f>'[2]RET670_650-PX (HV-T12) '!D400</f>
        <v>-</v>
      </c>
      <c r="E18" s="870"/>
      <c r="F18" s="873"/>
      <c r="G18" s="870"/>
      <c r="H18" s="870"/>
      <c r="I18" s="874"/>
      <c r="J18" s="874"/>
      <c r="K18" s="869" t="str">
        <f>'[2]RET670_650-PX (HV-T12) '!K400</f>
        <v>-</v>
      </c>
      <c r="L18" s="869"/>
      <c r="M18" s="869" t="str">
        <f>'[2]RET670_650-PX (HV-T12) '!M400</f>
        <v>-</v>
      </c>
      <c r="N18" s="869"/>
      <c r="O18" s="870" t="str">
        <f>'[2]RET670_650-PX (HV-T12) '!O400</f>
        <v>-</v>
      </c>
      <c r="P18" s="870"/>
      <c r="Q18" s="879"/>
      <c r="R18" s="879"/>
      <c r="S18" s="870" t="str">
        <f>'[2]RET670_650-PX (HV-T12) '!S400</f>
        <v>-</v>
      </c>
      <c r="T18" s="870"/>
      <c r="U18" s="870"/>
      <c r="V18" s="870"/>
      <c r="W18" s="263" t="s">
        <v>6</v>
      </c>
      <c r="X18" s="263"/>
      <c r="Y18" s="30"/>
      <c r="Z18" s="30"/>
    </row>
    <row r="19" spans="1:26" ht="18" hidden="1" customHeight="1">
      <c r="A19" s="315" t="s">
        <v>96</v>
      </c>
      <c r="B19" s="316"/>
      <c r="C19" s="316"/>
      <c r="D19" s="316"/>
      <c r="E19" s="316"/>
      <c r="F19" s="316"/>
      <c r="G19" s="316"/>
      <c r="H19" s="316"/>
      <c r="I19" s="316"/>
      <c r="J19" s="316"/>
      <c r="K19" s="316"/>
      <c r="L19" s="316"/>
      <c r="M19" s="316"/>
      <c r="N19" s="316"/>
      <c r="O19" s="316"/>
      <c r="P19" s="316"/>
      <c r="Q19" s="316"/>
      <c r="R19" s="316"/>
      <c r="S19" s="316"/>
      <c r="T19" s="316"/>
      <c r="U19" s="316"/>
      <c r="V19" s="316"/>
      <c r="W19" s="317"/>
      <c r="X19" s="318"/>
      <c r="Y19" s="30"/>
      <c r="Z19" s="30"/>
    </row>
    <row r="20" spans="1:26" ht="26.4" hidden="1">
      <c r="A20" s="955" t="s">
        <v>85</v>
      </c>
      <c r="B20" s="956"/>
      <c r="C20" s="957"/>
      <c r="D20" s="955" t="s">
        <v>86</v>
      </c>
      <c r="E20" s="956"/>
      <c r="F20" s="957"/>
      <c r="G20" s="955" t="s">
        <v>87</v>
      </c>
      <c r="H20" s="957"/>
      <c r="I20" s="955" t="s">
        <v>88</v>
      </c>
      <c r="J20" s="957"/>
      <c r="K20" s="955" t="s">
        <v>89</v>
      </c>
      <c r="L20" s="957"/>
      <c r="M20" s="955" t="s">
        <v>90</v>
      </c>
      <c r="N20" s="957"/>
      <c r="O20" s="955" t="s">
        <v>91</v>
      </c>
      <c r="P20" s="957"/>
      <c r="Q20" s="955" t="s">
        <v>92</v>
      </c>
      <c r="R20" s="957"/>
      <c r="S20" s="868" t="s">
        <v>93</v>
      </c>
      <c r="T20" s="868"/>
      <c r="U20" s="868"/>
      <c r="V20" s="868"/>
      <c r="W20" s="319" t="s">
        <v>94</v>
      </c>
      <c r="X20" s="319"/>
      <c r="Y20" s="30"/>
      <c r="Z20" s="30"/>
    </row>
    <row r="21" spans="1:26" ht="18" hidden="1" customHeight="1">
      <c r="A21" s="765" t="str">
        <f>'[2]REF615 OC-5P (5)'!A141</f>
        <v>BC1</v>
      </c>
      <c r="B21" s="765" t="str">
        <f>'[2]REF615 OC-5P (5)'!B141</f>
        <v>Core3</v>
      </c>
      <c r="C21" s="765"/>
      <c r="D21" s="870">
        <f>'[2]REF615 OC-5P (5)'!D141</f>
        <v>1500</v>
      </c>
      <c r="E21" s="870"/>
      <c r="F21" s="871">
        <f>'[2]REF615 OC-5P (5)'!F141</f>
        <v>1</v>
      </c>
      <c r="G21" s="870">
        <f>'[2]REF615 OC-5P (5)'!G141</f>
        <v>50</v>
      </c>
      <c r="H21" s="874">
        <f>'[2]REF615 OC-5P (5)'!H141</f>
        <v>2.5</v>
      </c>
      <c r="I21" s="874" t="str">
        <f>'[2]REF615 OC-5P (5)'!I141</f>
        <v>5P</v>
      </c>
      <c r="J21" s="874"/>
      <c r="K21" s="869">
        <f>'[2]REF615 OC-5P (5)'!K141</f>
        <v>4</v>
      </c>
      <c r="L21" s="869"/>
      <c r="M21" s="869">
        <f>'[2]REF615 OC-5P (5)'!M141</f>
        <v>30</v>
      </c>
      <c r="N21" s="869"/>
      <c r="O21" s="870" t="str">
        <f>'[2]REF615 OC-5P (5)'!O141</f>
        <v>-</v>
      </c>
      <c r="P21" s="870"/>
      <c r="Q21" s="879" t="str">
        <f>'[2]REF615 OC-5P (5)'!Q141</f>
        <v>REF615+REF615</v>
      </c>
      <c r="R21" s="879"/>
      <c r="S21" s="870" t="str">
        <f>'[2]REF615 OC-5P (5)'!S141</f>
        <v>Suitably Dimensioned</v>
      </c>
      <c r="T21" s="870"/>
      <c r="U21" s="870"/>
      <c r="V21" s="870"/>
      <c r="W21" s="289">
        <f>'[2]REF615 OC-5P (5)'!G40</f>
        <v>26.666666666666668</v>
      </c>
      <c r="X21" s="263"/>
      <c r="Y21" s="30"/>
      <c r="Z21" s="30"/>
    </row>
    <row r="22" spans="1:26" ht="18" hidden="1" customHeight="1">
      <c r="A22" s="765"/>
      <c r="B22" s="765"/>
      <c r="C22" s="765"/>
      <c r="D22" s="870" t="str">
        <f>'[2]REF615 OC-5P (5)'!D142</f>
        <v>-</v>
      </c>
      <c r="E22" s="870"/>
      <c r="F22" s="872"/>
      <c r="G22" s="870"/>
      <c r="H22" s="870"/>
      <c r="I22" s="874"/>
      <c r="J22" s="874"/>
      <c r="K22" s="869" t="str">
        <f>'[2]REF615 OC-5P (5)'!K142</f>
        <v>-</v>
      </c>
      <c r="L22" s="869"/>
      <c r="M22" s="869" t="str">
        <f>'[2]REF615 OC-5P (5)'!M142</f>
        <v>-</v>
      </c>
      <c r="N22" s="869"/>
      <c r="O22" s="870" t="str">
        <f>'[2]REF615 OC-5P (5)'!O142</f>
        <v>-</v>
      </c>
      <c r="P22" s="870"/>
      <c r="Q22" s="879"/>
      <c r="R22" s="879"/>
      <c r="S22" s="870" t="str">
        <f>'[2]REF615 OC-5P (5)'!S142</f>
        <v>-</v>
      </c>
      <c r="T22" s="870"/>
      <c r="U22" s="870"/>
      <c r="V22" s="870"/>
      <c r="W22" s="289" t="s">
        <v>6</v>
      </c>
      <c r="X22" s="263"/>
      <c r="Y22" s="30"/>
      <c r="Z22" s="30"/>
    </row>
    <row r="23" spans="1:26" ht="18" hidden="1" customHeight="1">
      <c r="A23" s="765"/>
      <c r="B23" s="765"/>
      <c r="C23" s="765"/>
      <c r="D23" s="870" t="str">
        <f>'[2]REF615 OC-5P (5)'!D143</f>
        <v>-</v>
      </c>
      <c r="E23" s="870"/>
      <c r="F23" s="873"/>
      <c r="G23" s="870"/>
      <c r="H23" s="870"/>
      <c r="I23" s="874"/>
      <c r="J23" s="874"/>
      <c r="K23" s="869" t="str">
        <f>'[2]REF615 OC-5P (5)'!K143</f>
        <v>-</v>
      </c>
      <c r="L23" s="869"/>
      <c r="M23" s="869" t="str">
        <f>'[2]REF615 OC-5P (5)'!M143</f>
        <v>-</v>
      </c>
      <c r="N23" s="869"/>
      <c r="O23" s="870" t="str">
        <f>'[2]REF615 OC-5P (5)'!O143</f>
        <v>-</v>
      </c>
      <c r="P23" s="870"/>
      <c r="Q23" s="879"/>
      <c r="R23" s="879"/>
      <c r="S23" s="870" t="str">
        <f>'[2]REF615 OC-5P (5)'!S143</f>
        <v>-</v>
      </c>
      <c r="T23" s="870"/>
      <c r="U23" s="870"/>
      <c r="V23" s="870"/>
      <c r="W23" s="263" t="s">
        <v>6</v>
      </c>
      <c r="X23" s="263"/>
      <c r="Y23" s="30"/>
      <c r="Z23" s="30"/>
    </row>
    <row r="24" spans="1:26" ht="18" hidden="1" customHeight="1">
      <c r="A24" s="315" t="s">
        <v>97</v>
      </c>
      <c r="B24" s="316"/>
      <c r="C24" s="316"/>
      <c r="D24" s="316"/>
      <c r="E24" s="316"/>
      <c r="F24" s="316"/>
      <c r="G24" s="316"/>
      <c r="H24" s="316"/>
      <c r="I24" s="316"/>
      <c r="J24" s="316"/>
      <c r="K24" s="316"/>
      <c r="L24" s="316"/>
      <c r="M24" s="316"/>
      <c r="N24" s="316"/>
      <c r="O24" s="316"/>
      <c r="P24" s="316"/>
      <c r="Q24" s="316"/>
      <c r="R24" s="316"/>
      <c r="S24" s="316"/>
      <c r="T24" s="316"/>
      <c r="U24" s="316"/>
      <c r="V24" s="316"/>
      <c r="W24" s="317"/>
      <c r="X24" s="318"/>
      <c r="Y24" s="30"/>
      <c r="Z24" s="30"/>
    </row>
    <row r="25" spans="1:26" ht="26.4" hidden="1" customHeight="1">
      <c r="A25" s="955" t="s">
        <v>85</v>
      </c>
      <c r="B25" s="956"/>
      <c r="C25" s="957"/>
      <c r="D25" s="955" t="s">
        <v>86</v>
      </c>
      <c r="E25" s="956"/>
      <c r="F25" s="957"/>
      <c r="G25" s="955" t="s">
        <v>87</v>
      </c>
      <c r="H25" s="957"/>
      <c r="I25" s="955" t="s">
        <v>88</v>
      </c>
      <c r="J25" s="957"/>
      <c r="K25" s="955" t="s">
        <v>89</v>
      </c>
      <c r="L25" s="957"/>
      <c r="M25" s="955" t="s">
        <v>90</v>
      </c>
      <c r="N25" s="957"/>
      <c r="O25" s="955" t="s">
        <v>91</v>
      </c>
      <c r="P25" s="957"/>
      <c r="Q25" s="955" t="s">
        <v>92</v>
      </c>
      <c r="R25" s="957"/>
      <c r="S25" s="868" t="s">
        <v>93</v>
      </c>
      <c r="T25" s="868"/>
      <c r="U25" s="868"/>
      <c r="V25" s="868"/>
      <c r="W25" s="319" t="s">
        <v>94</v>
      </c>
      <c r="X25" s="319"/>
      <c r="Y25" s="30"/>
      <c r="Z25" s="30"/>
    </row>
    <row r="26" spans="1:26" ht="18" hidden="1" customHeight="1">
      <c r="A26" s="765" t="str">
        <f>'[2]REB500-PX (5)'!A260</f>
        <v>BC1</v>
      </c>
      <c r="B26" s="765" t="str">
        <f>'[2]REB500-PX (5)'!B260</f>
        <v>Core5</v>
      </c>
      <c r="C26" s="765"/>
      <c r="D26" s="870">
        <f>'[2]REB500-PX (5)'!D260</f>
        <v>3150</v>
      </c>
      <c r="E26" s="870"/>
      <c r="F26" s="871">
        <f>'[2]REB500-PX (5)'!F260</f>
        <v>1</v>
      </c>
      <c r="G26" s="870">
        <f>'[2]REB500-PX (5)'!G260</f>
        <v>100</v>
      </c>
      <c r="H26" s="874">
        <f>'[2]REB500-PX (5)'!H260</f>
        <v>4</v>
      </c>
      <c r="I26" s="874" t="str">
        <f>'[2]REB500-PX (5)'!I260</f>
        <v>PX</v>
      </c>
      <c r="J26" s="874"/>
      <c r="K26" s="869">
        <f>'[2]REB500-PX (5)'!K260</f>
        <v>10</v>
      </c>
      <c r="L26" s="869"/>
      <c r="M26" s="869">
        <f>'[2]REB500-PX (5)'!M260</f>
        <v>3150</v>
      </c>
      <c r="N26" s="869"/>
      <c r="O26" s="870">
        <f>'[2]REB500-PX (5)'!O260</f>
        <v>210.8</v>
      </c>
      <c r="P26" s="870"/>
      <c r="Q26" s="879" t="str">
        <f>'[2]REB500-PX (5)'!Q260</f>
        <v>REB500</v>
      </c>
      <c r="R26" s="879"/>
      <c r="S26" s="870" t="str">
        <f>'[2]REB500-PX (5)'!S260</f>
        <v>Suitably Dimensioned</v>
      </c>
      <c r="T26" s="870"/>
      <c r="U26" s="870"/>
      <c r="V26" s="870"/>
      <c r="W26" s="289">
        <f>'[2]REB500-PX (5)'!G148</f>
        <v>10</v>
      </c>
      <c r="X26" s="289"/>
      <c r="Y26" s="30"/>
      <c r="Z26" s="30"/>
    </row>
    <row r="27" spans="1:26" ht="18" hidden="1" customHeight="1">
      <c r="A27" s="765"/>
      <c r="B27" s="765"/>
      <c r="C27" s="765"/>
      <c r="D27" s="870">
        <f>'[2]REB500-PX (5)'!D261</f>
        <v>1500</v>
      </c>
      <c r="E27" s="870"/>
      <c r="F27" s="872"/>
      <c r="G27" s="870"/>
      <c r="H27" s="870"/>
      <c r="I27" s="874"/>
      <c r="J27" s="874"/>
      <c r="K27" s="869">
        <f>'[2]REB500-PX (5)'!K261</f>
        <v>5</v>
      </c>
      <c r="L27" s="869"/>
      <c r="M27" s="869">
        <f>'[2]REB500-PX (5)'!M261</f>
        <v>1000</v>
      </c>
      <c r="N27" s="869"/>
      <c r="O27" s="870">
        <f>'[2]REB500-PX (5)'!O261</f>
        <v>147.72999999999999</v>
      </c>
      <c r="P27" s="870"/>
      <c r="Q27" s="879"/>
      <c r="R27" s="879"/>
      <c r="S27" s="870" t="str">
        <f>'[2]REB500-PX (5)'!S261</f>
        <v>Suitably Dimensioned</v>
      </c>
      <c r="T27" s="870"/>
      <c r="U27" s="870"/>
      <c r="V27" s="870"/>
      <c r="W27" s="289" t="s">
        <v>6</v>
      </c>
      <c r="X27" s="289"/>
      <c r="Y27" s="30"/>
      <c r="Z27" s="30"/>
    </row>
    <row r="28" spans="1:26" ht="18" hidden="1" customHeight="1">
      <c r="A28" s="765"/>
      <c r="B28" s="765"/>
      <c r="C28" s="765"/>
      <c r="D28" s="870" t="str">
        <f>'[2]REB500-PX (5)'!D262</f>
        <v>-</v>
      </c>
      <c r="E28" s="870"/>
      <c r="F28" s="873"/>
      <c r="G28" s="870"/>
      <c r="H28" s="870"/>
      <c r="I28" s="874"/>
      <c r="J28" s="874"/>
      <c r="K28" s="869" t="str">
        <f>'[2]REB500-PX (5)'!K262</f>
        <v>-</v>
      </c>
      <c r="L28" s="869"/>
      <c r="M28" s="869" t="str">
        <f>'[2]REB500-PX (5)'!M262</f>
        <v>-</v>
      </c>
      <c r="N28" s="869"/>
      <c r="O28" s="870" t="str">
        <f>'[2]REB500-PX (5)'!O262</f>
        <v>-</v>
      </c>
      <c r="P28" s="870"/>
      <c r="Q28" s="879"/>
      <c r="R28" s="879"/>
      <c r="S28" s="870" t="str">
        <f>'[2]REB500-PX (5)'!S262</f>
        <v>-</v>
      </c>
      <c r="T28" s="870"/>
      <c r="U28" s="870"/>
      <c r="V28" s="870"/>
      <c r="W28" s="263" t="s">
        <v>6</v>
      </c>
      <c r="X28" s="263"/>
      <c r="Y28" s="30"/>
      <c r="Z28" s="30"/>
    </row>
    <row r="29" spans="1:26" ht="18" hidden="1" customHeight="1">
      <c r="A29" s="320"/>
      <c r="B29" s="138"/>
      <c r="C29" s="138"/>
      <c r="D29" s="321"/>
      <c r="E29" s="321"/>
      <c r="F29" s="221"/>
      <c r="G29" s="321"/>
      <c r="H29" s="321"/>
      <c r="I29" s="322"/>
      <c r="J29" s="322"/>
      <c r="K29" s="269"/>
      <c r="L29" s="269"/>
      <c r="M29" s="269"/>
      <c r="N29" s="269"/>
      <c r="O29" s="321"/>
      <c r="P29" s="321"/>
      <c r="Q29" s="323"/>
      <c r="R29" s="323"/>
      <c r="S29" s="321"/>
      <c r="T29" s="321"/>
      <c r="U29" s="321"/>
      <c r="V29" s="321"/>
      <c r="W29" s="321"/>
      <c r="X29" s="324"/>
      <c r="Y29" s="30"/>
      <c r="Z29" s="30"/>
    </row>
    <row r="30" spans="1:26" ht="18" hidden="1" customHeight="1">
      <c r="A30" s="325"/>
      <c r="B30" s="28"/>
      <c r="C30" s="28"/>
      <c r="D30" s="221"/>
      <c r="E30" s="221"/>
      <c r="F30" s="221"/>
      <c r="G30" s="221"/>
      <c r="H30" s="221"/>
      <c r="I30" s="222"/>
      <c r="J30" s="222"/>
      <c r="K30" s="475"/>
      <c r="L30" s="475"/>
      <c r="M30" s="475"/>
      <c r="N30" s="475"/>
      <c r="O30" s="221"/>
      <c r="P30" s="221"/>
      <c r="Q30" s="479"/>
      <c r="R30" s="479"/>
      <c r="S30" s="221"/>
      <c r="T30" s="221"/>
      <c r="U30" s="221"/>
      <c r="V30" s="221"/>
      <c r="W30" s="221"/>
      <c r="X30" s="326"/>
      <c r="Y30" s="30"/>
      <c r="Z30" s="30"/>
    </row>
    <row r="31" spans="1:26" ht="21" hidden="1" customHeight="1">
      <c r="A31" s="261"/>
      <c r="B31" s="229"/>
      <c r="C31" s="229"/>
      <c r="D31" s="238"/>
      <c r="E31" s="238"/>
      <c r="F31" s="238"/>
      <c r="G31" s="238"/>
      <c r="H31" s="238"/>
      <c r="I31" s="327"/>
      <c r="J31" s="327"/>
      <c r="K31" s="270"/>
      <c r="L31" s="270"/>
      <c r="M31" s="270"/>
      <c r="N31" s="270"/>
      <c r="O31" s="238"/>
      <c r="P31" s="238"/>
      <c r="Q31" s="328"/>
      <c r="R31" s="328"/>
      <c r="S31" s="238"/>
      <c r="T31" s="238"/>
      <c r="U31" s="238"/>
      <c r="V31" s="238"/>
      <c r="W31" s="238"/>
      <c r="X31" s="329"/>
      <c r="Y31" s="30"/>
      <c r="Z31" s="30"/>
    </row>
    <row r="32" spans="1:26" ht="21" hidden="1" customHeight="1">
      <c r="A32" s="325"/>
      <c r="B32" s="28"/>
      <c r="C32" s="28"/>
      <c r="D32" s="221"/>
      <c r="E32" s="221"/>
      <c r="F32" s="221"/>
      <c r="G32" s="221"/>
      <c r="H32" s="221"/>
      <c r="I32" s="222"/>
      <c r="J32" s="222"/>
      <c r="K32" s="475"/>
      <c r="L32" s="475"/>
      <c r="M32" s="475"/>
      <c r="N32" s="475"/>
      <c r="O32" s="221"/>
      <c r="P32" s="221"/>
      <c r="Q32" s="479"/>
      <c r="R32" s="479"/>
      <c r="S32" s="221"/>
      <c r="T32" s="221"/>
      <c r="U32" s="221"/>
      <c r="V32" s="221"/>
      <c r="W32" s="221"/>
      <c r="X32" s="326"/>
      <c r="Y32" s="30"/>
      <c r="Z32" s="30"/>
    </row>
    <row r="33" spans="1:26" ht="18" hidden="1" customHeight="1">
      <c r="A33" s="330" t="s">
        <v>98</v>
      </c>
      <c r="B33" s="331"/>
      <c r="C33" s="331"/>
      <c r="D33" s="331"/>
      <c r="E33" s="331"/>
      <c r="F33" s="331"/>
      <c r="G33" s="331"/>
      <c r="H33" s="331"/>
      <c r="I33" s="331"/>
      <c r="J33" s="331"/>
      <c r="K33" s="331"/>
      <c r="L33" s="331"/>
      <c r="M33" s="331"/>
      <c r="N33" s="331"/>
      <c r="O33" s="331"/>
      <c r="P33" s="331"/>
      <c r="Q33" s="331"/>
      <c r="R33" s="331"/>
      <c r="S33" s="331"/>
      <c r="T33" s="331"/>
      <c r="U33" s="331"/>
      <c r="V33" s="331"/>
      <c r="W33" s="332"/>
      <c r="X33" s="333"/>
      <c r="Y33" s="30"/>
      <c r="Z33" s="30"/>
    </row>
    <row r="34" spans="1:26" ht="26.4" hidden="1">
      <c r="A34" s="955" t="s">
        <v>85</v>
      </c>
      <c r="B34" s="956"/>
      <c r="C34" s="957"/>
      <c r="D34" s="955" t="s">
        <v>86</v>
      </c>
      <c r="E34" s="956"/>
      <c r="F34" s="957"/>
      <c r="G34" s="955" t="s">
        <v>87</v>
      </c>
      <c r="H34" s="957"/>
      <c r="I34" s="955" t="s">
        <v>88</v>
      </c>
      <c r="J34" s="957"/>
      <c r="K34" s="955" t="s">
        <v>89</v>
      </c>
      <c r="L34" s="957"/>
      <c r="M34" s="955" t="s">
        <v>90</v>
      </c>
      <c r="N34" s="957"/>
      <c r="O34" s="955" t="s">
        <v>91</v>
      </c>
      <c r="P34" s="957"/>
      <c r="Q34" s="955" t="s">
        <v>92</v>
      </c>
      <c r="R34" s="957"/>
      <c r="S34" s="868" t="s">
        <v>93</v>
      </c>
      <c r="T34" s="868"/>
      <c r="U34" s="868"/>
      <c r="V34" s="868"/>
      <c r="W34" s="319" t="s">
        <v>94</v>
      </c>
      <c r="X34" s="319"/>
      <c r="Y34" s="30"/>
      <c r="Z34" s="30"/>
    </row>
    <row r="35" spans="1:26" ht="18" hidden="1" customHeight="1">
      <c r="A35" s="765" t="str">
        <f>'[2]RET615_Trafo LV REF (High)'!A91</f>
        <v>BC1</v>
      </c>
      <c r="B35" s="765" t="str">
        <f>'[2]RET615_Trafo LV REF (High)'!B91</f>
        <v>Core2</v>
      </c>
      <c r="C35" s="765"/>
      <c r="D35" s="870">
        <f>'[2]RET615_Trafo LV REF (High)'!D91</f>
        <v>1500</v>
      </c>
      <c r="E35" s="870"/>
      <c r="F35" s="871">
        <f>'[2]RET615_Trafo LV REF (High)'!F91</f>
        <v>1</v>
      </c>
      <c r="G35" s="870">
        <f>'[2]RET615_Trafo LV REF (High)'!G91</f>
        <v>50</v>
      </c>
      <c r="H35" s="874">
        <f>'[2]RET615_Trafo LV REF (High)'!H91</f>
        <v>2.5</v>
      </c>
      <c r="I35" s="874" t="str">
        <f>'[2]RET615_Trafo LV REF (High)'!I91</f>
        <v>PX</v>
      </c>
      <c r="J35" s="874"/>
      <c r="K35" s="869">
        <f>'[2]RET615_Trafo LV REF (High)'!K91</f>
        <v>3</v>
      </c>
      <c r="L35" s="869"/>
      <c r="M35" s="869">
        <f>'[2]RET615_Trafo LV REF (High)'!M91</f>
        <v>1500</v>
      </c>
      <c r="N35" s="869"/>
      <c r="O35" s="870">
        <f>'[2]RET615_Trafo LV REF (High)'!O91</f>
        <v>74.39</v>
      </c>
      <c r="P35" s="870"/>
      <c r="Q35" s="879" t="str">
        <f>'[2]RET615_Trafo LV REF (High)'!Q91</f>
        <v>RET615</v>
      </c>
      <c r="R35" s="879"/>
      <c r="S35" s="870" t="str">
        <f>'[2]RET615_Trafo LV REF (High)'!S91</f>
        <v>Suitably Dimensioned</v>
      </c>
      <c r="T35" s="870"/>
      <c r="U35" s="870"/>
      <c r="V35" s="870"/>
      <c r="W35" s="289">
        <f>'[2]RET615_Trafo LV REF (High)'!G78</f>
        <v>308.19170832649024</v>
      </c>
      <c r="X35" s="263"/>
      <c r="Y35" s="30"/>
      <c r="Z35" s="30"/>
    </row>
    <row r="36" spans="1:26" ht="18" hidden="1" customHeight="1">
      <c r="A36" s="765"/>
      <c r="B36" s="765"/>
      <c r="C36" s="765"/>
      <c r="D36" s="870" t="str">
        <f>'[2]RET615_Trafo LV REF (High)'!D92</f>
        <v>-</v>
      </c>
      <c r="E36" s="870"/>
      <c r="F36" s="872"/>
      <c r="G36" s="870"/>
      <c r="H36" s="870"/>
      <c r="I36" s="874"/>
      <c r="J36" s="874"/>
      <c r="K36" s="869" t="str">
        <f>'[2]RET615_Trafo LV REF (High)'!K92</f>
        <v>-</v>
      </c>
      <c r="L36" s="869"/>
      <c r="M36" s="869" t="str">
        <f>'[2]RET615_Trafo LV REF (High)'!M92</f>
        <v>-</v>
      </c>
      <c r="N36" s="869"/>
      <c r="O36" s="870" t="str">
        <f>'[2]RET615_Trafo LV REF (High)'!O92</f>
        <v>-</v>
      </c>
      <c r="P36" s="870"/>
      <c r="Q36" s="879"/>
      <c r="R36" s="879"/>
      <c r="S36" s="870" t="str">
        <f>'[2]RET615_Trafo LV REF (High)'!S92</f>
        <v>-</v>
      </c>
      <c r="T36" s="870"/>
      <c r="U36" s="870"/>
      <c r="V36" s="870"/>
      <c r="W36" s="289"/>
      <c r="X36" s="263"/>
      <c r="Y36" s="30"/>
      <c r="Z36" s="30"/>
    </row>
    <row r="37" spans="1:26" ht="18" hidden="1" customHeight="1">
      <c r="A37" s="765"/>
      <c r="B37" s="765"/>
      <c r="C37" s="765"/>
      <c r="D37" s="870" t="str">
        <f>'[2]RET615_Trafo LV REF (High)'!D93</f>
        <v>-</v>
      </c>
      <c r="E37" s="870"/>
      <c r="F37" s="873"/>
      <c r="G37" s="870"/>
      <c r="H37" s="870"/>
      <c r="I37" s="874"/>
      <c r="J37" s="874"/>
      <c r="K37" s="869" t="str">
        <f>'[2]RET615_Trafo LV REF (High)'!K93</f>
        <v>-</v>
      </c>
      <c r="L37" s="869"/>
      <c r="M37" s="869" t="str">
        <f>'[2]RET615_Trafo LV REF (High)'!M93</f>
        <v>-</v>
      </c>
      <c r="N37" s="869"/>
      <c r="O37" s="870" t="str">
        <f>'[2]RET615_Trafo LV REF (High)'!O93</f>
        <v>-</v>
      </c>
      <c r="P37" s="870"/>
      <c r="Q37" s="879"/>
      <c r="R37" s="879"/>
      <c r="S37" s="870" t="str">
        <f>'[2]RET615_Trafo LV REF (High)'!S93</f>
        <v>-</v>
      </c>
      <c r="T37" s="870"/>
      <c r="U37" s="870"/>
      <c r="V37" s="870"/>
      <c r="W37" s="263"/>
      <c r="X37" s="263"/>
      <c r="Y37" s="30"/>
      <c r="Z37" s="30"/>
    </row>
    <row r="38" spans="1:26" ht="18" hidden="1" customHeight="1">
      <c r="A38" s="765" t="str">
        <f>'[2]RET615_Trafo LV REF (High)'!A94</f>
        <v>T2N</v>
      </c>
      <c r="B38" s="765" t="str">
        <f>'[2]RET615_Trafo LV REF (High)'!B94</f>
        <v>Core1</v>
      </c>
      <c r="C38" s="765"/>
      <c r="D38" s="870">
        <f>'[2]RET615_Trafo LV REF (High)'!D94</f>
        <v>1500</v>
      </c>
      <c r="E38" s="870"/>
      <c r="F38" s="871">
        <f>'[2]RET615_Trafo LV REF (High)'!F94</f>
        <v>1</v>
      </c>
      <c r="G38" s="870">
        <f>'[2]RET615_Trafo LV REF (High)'!G94</f>
        <v>50</v>
      </c>
      <c r="H38" s="874">
        <f>'[2]RET615_Trafo LV REF (High)'!H94</f>
        <v>2.5</v>
      </c>
      <c r="I38" s="874" t="str">
        <f>'[2]RET615_Trafo LV REF (High)'!I94</f>
        <v>PX</v>
      </c>
      <c r="J38" s="874"/>
      <c r="K38" s="869">
        <f>'[2]RET615_Trafo LV REF (High)'!K94</f>
        <v>10</v>
      </c>
      <c r="L38" s="869"/>
      <c r="M38" s="869">
        <f>'[2]RET615_Trafo LV REF (High)'!M94</f>
        <v>1500</v>
      </c>
      <c r="N38" s="869"/>
      <c r="O38" s="870">
        <f>'[2]RET615_Trafo LV REF (High)'!O94</f>
        <v>100</v>
      </c>
      <c r="P38" s="870"/>
      <c r="Q38" s="879" t="str">
        <f>'[2]RET615_Trafo LV REF (High)'!Q94</f>
        <v>RET615</v>
      </c>
      <c r="R38" s="879"/>
      <c r="S38" s="870" t="str">
        <f>'[2]RET615_Trafo LV REF (High)'!S94</f>
        <v>Suitably Dimensioned</v>
      </c>
      <c r="T38" s="870"/>
      <c r="U38" s="870"/>
      <c r="V38" s="870"/>
      <c r="W38" s="289">
        <f>'[2]RET615_Trafo LV REF (High)'!G78</f>
        <v>308.19170832649024</v>
      </c>
      <c r="X38" s="263"/>
      <c r="Y38" s="30"/>
      <c r="Z38" s="30"/>
    </row>
    <row r="39" spans="1:26" ht="18" hidden="1" customHeight="1">
      <c r="A39" s="765"/>
      <c r="B39" s="765"/>
      <c r="C39" s="765"/>
      <c r="D39" s="870" t="str">
        <f>'[2]RET615_Trafo LV REF (High)'!D95</f>
        <v>-</v>
      </c>
      <c r="E39" s="870"/>
      <c r="F39" s="872"/>
      <c r="G39" s="870"/>
      <c r="H39" s="870"/>
      <c r="I39" s="874"/>
      <c r="J39" s="874"/>
      <c r="K39" s="869" t="str">
        <f>'[2]RET615_Trafo LV REF (High)'!K95</f>
        <v>-</v>
      </c>
      <c r="L39" s="869"/>
      <c r="M39" s="869" t="str">
        <f>'[2]RET615_Trafo LV REF (High)'!M95</f>
        <v>-</v>
      </c>
      <c r="N39" s="869"/>
      <c r="O39" s="870" t="str">
        <f>'[2]RET615_Trafo LV REF (High)'!O95</f>
        <v>-</v>
      </c>
      <c r="P39" s="870"/>
      <c r="Q39" s="879"/>
      <c r="R39" s="879"/>
      <c r="S39" s="870" t="str">
        <f>'[2]RET615_Trafo LV REF (High)'!S95</f>
        <v>-</v>
      </c>
      <c r="T39" s="870"/>
      <c r="U39" s="870"/>
      <c r="V39" s="870"/>
      <c r="W39" s="289"/>
      <c r="X39" s="263"/>
      <c r="Y39" s="30"/>
      <c r="Z39" s="30"/>
    </row>
    <row r="40" spans="1:26" ht="18" hidden="1" customHeight="1">
      <c r="A40" s="765"/>
      <c r="B40" s="765"/>
      <c r="C40" s="765"/>
      <c r="D40" s="870" t="str">
        <f>'[2]RET615_Trafo LV REF (High)'!D96</f>
        <v>-</v>
      </c>
      <c r="E40" s="870"/>
      <c r="F40" s="873"/>
      <c r="G40" s="870"/>
      <c r="H40" s="870"/>
      <c r="I40" s="874"/>
      <c r="J40" s="874"/>
      <c r="K40" s="869" t="str">
        <f>'[2]RET615_Trafo LV REF (High)'!K96</f>
        <v>-</v>
      </c>
      <c r="L40" s="869"/>
      <c r="M40" s="869" t="str">
        <f>'[2]RET615_Trafo LV REF (High)'!M96</f>
        <v>-</v>
      </c>
      <c r="N40" s="869"/>
      <c r="O40" s="870" t="str">
        <f>'[2]RET615_Trafo LV REF (High)'!O96</f>
        <v>-</v>
      </c>
      <c r="P40" s="870"/>
      <c r="Q40" s="879"/>
      <c r="R40" s="879"/>
      <c r="S40" s="870" t="str">
        <f>'[2]RET615_Trafo LV REF (High)'!S96</f>
        <v>-</v>
      </c>
      <c r="T40" s="870"/>
      <c r="U40" s="870"/>
      <c r="V40" s="870"/>
      <c r="W40" s="263"/>
      <c r="X40" s="263"/>
      <c r="Y40" s="30"/>
      <c r="Z40" s="30"/>
    </row>
    <row r="41" spans="1:26" ht="18" hidden="1" customHeight="1">
      <c r="A41" s="765">
        <f>'[2]RET615_Trafo LV REF (High)'!A97</f>
        <v>0</v>
      </c>
      <c r="B41" s="765">
        <f>'[2]RET615_Trafo LV REF (High)'!B97</f>
        <v>0</v>
      </c>
      <c r="C41" s="765"/>
      <c r="D41" s="870">
        <f>'[2]RET615_Trafo LV REF (High)'!D97</f>
        <v>1500</v>
      </c>
      <c r="E41" s="870"/>
      <c r="F41" s="871">
        <f>'[2]RET615_Trafo LV REF (High)'!F97</f>
        <v>1</v>
      </c>
      <c r="G41" s="870">
        <f>'[2]RET615_Trafo LV REF (High)'!G97</f>
        <v>50</v>
      </c>
      <c r="H41" s="874">
        <f>'[2]RET615_Trafo LV REF (High)'!H97</f>
        <v>2.5</v>
      </c>
      <c r="I41" s="874" t="str">
        <f>'[2]RET615_Trafo LV REF (High)'!I97</f>
        <v>PX</v>
      </c>
      <c r="J41" s="874"/>
      <c r="K41" s="869">
        <f>'[2]RET615_Trafo LV REF (High)'!K97</f>
        <v>3</v>
      </c>
      <c r="L41" s="869"/>
      <c r="M41" s="869">
        <f>'[2]RET615_Trafo LV REF (High)'!M97</f>
        <v>1500</v>
      </c>
      <c r="N41" s="869"/>
      <c r="O41" s="870">
        <f>'[2]RET615_Trafo LV REF (High)'!O97</f>
        <v>74.39</v>
      </c>
      <c r="P41" s="870"/>
      <c r="Q41" s="879" t="str">
        <f>'[2]RET615_Trafo LV REF (High)'!Q97</f>
        <v>RET615</v>
      </c>
      <c r="R41" s="879"/>
      <c r="S41" s="870" t="str">
        <f>'[2]RET615_Trafo LV REF (High)'!S97</f>
        <v>Suitably Dimensioned</v>
      </c>
      <c r="T41" s="870"/>
      <c r="U41" s="870"/>
      <c r="V41" s="870"/>
      <c r="W41" s="289">
        <f>'[2]RET615_Trafo LV REF (High)'!G78</f>
        <v>308.19170832649024</v>
      </c>
      <c r="X41" s="263"/>
      <c r="Y41" s="30"/>
      <c r="Z41" s="30"/>
    </row>
    <row r="42" spans="1:26" ht="18" hidden="1" customHeight="1">
      <c r="A42" s="765"/>
      <c r="B42" s="765"/>
      <c r="C42" s="765"/>
      <c r="D42" s="870" t="str">
        <f>'[2]RET615_Trafo LV REF (High)'!D98</f>
        <v>-</v>
      </c>
      <c r="E42" s="870"/>
      <c r="F42" s="872"/>
      <c r="G42" s="870"/>
      <c r="H42" s="870"/>
      <c r="I42" s="874"/>
      <c r="J42" s="874"/>
      <c r="K42" s="869" t="str">
        <f>'[2]RET615_Trafo LV REF (High)'!K98</f>
        <v>-</v>
      </c>
      <c r="L42" s="869"/>
      <c r="M42" s="869" t="str">
        <f>'[2]RET615_Trafo LV REF (High)'!M98</f>
        <v>-</v>
      </c>
      <c r="N42" s="869"/>
      <c r="O42" s="870" t="str">
        <f>'[2]RET615_Trafo LV REF (High)'!O98</f>
        <v>-</v>
      </c>
      <c r="P42" s="870"/>
      <c r="Q42" s="879"/>
      <c r="R42" s="879"/>
      <c r="S42" s="870" t="str">
        <f>'[2]RET615_Trafo LV REF (High)'!S98</f>
        <v>-</v>
      </c>
      <c r="T42" s="870"/>
      <c r="U42" s="870"/>
      <c r="V42" s="870"/>
      <c r="W42" s="289"/>
      <c r="X42" s="263"/>
      <c r="Y42" s="30"/>
      <c r="Z42" s="30"/>
    </row>
    <row r="43" spans="1:26" ht="18" hidden="1" customHeight="1">
      <c r="A43" s="765"/>
      <c r="B43" s="765"/>
      <c r="C43" s="765"/>
      <c r="D43" s="870" t="str">
        <f>'[2]RET615_Trafo LV REF (High)'!D99</f>
        <v>-</v>
      </c>
      <c r="E43" s="870"/>
      <c r="F43" s="873"/>
      <c r="G43" s="870"/>
      <c r="H43" s="870"/>
      <c r="I43" s="874"/>
      <c r="J43" s="874"/>
      <c r="K43" s="869" t="str">
        <f>'[2]RET615_Trafo LV REF (High)'!K99</f>
        <v>-</v>
      </c>
      <c r="L43" s="869"/>
      <c r="M43" s="869" t="str">
        <f>'[2]RET615_Trafo LV REF (High)'!M99</f>
        <v>-</v>
      </c>
      <c r="N43" s="869"/>
      <c r="O43" s="870" t="str">
        <f>'[2]RET615_Trafo LV REF (High)'!O99</f>
        <v>-</v>
      </c>
      <c r="P43" s="870"/>
      <c r="Q43" s="879"/>
      <c r="R43" s="879"/>
      <c r="S43" s="870" t="str">
        <f>'[2]RET615_Trafo LV REF (High)'!S99</f>
        <v>-</v>
      </c>
      <c r="T43" s="870"/>
      <c r="U43" s="870"/>
      <c r="V43" s="870"/>
      <c r="W43" s="263"/>
      <c r="X43" s="263"/>
      <c r="Y43" s="30"/>
      <c r="Z43" s="30"/>
    </row>
    <row r="44" spans="1:26" ht="18" hidden="1" customHeight="1">
      <c r="A44" s="315" t="s">
        <v>99</v>
      </c>
      <c r="B44" s="316"/>
      <c r="C44" s="316"/>
      <c r="D44" s="316"/>
      <c r="E44" s="316"/>
      <c r="F44" s="316"/>
      <c r="G44" s="316"/>
      <c r="H44" s="316"/>
      <c r="I44" s="316"/>
      <c r="J44" s="316"/>
      <c r="K44" s="316"/>
      <c r="L44" s="316"/>
      <c r="M44" s="316"/>
      <c r="N44" s="316"/>
      <c r="O44" s="316"/>
      <c r="P44" s="316"/>
      <c r="Q44" s="316"/>
      <c r="R44" s="316"/>
      <c r="S44" s="316"/>
      <c r="T44" s="316"/>
      <c r="U44" s="316"/>
      <c r="V44" s="316"/>
      <c r="W44" s="974"/>
      <c r="X44" s="975"/>
      <c r="Y44" s="30"/>
      <c r="Z44" s="30"/>
    </row>
    <row r="45" spans="1:26" ht="26.4" hidden="1" customHeight="1">
      <c r="A45" s="868" t="s">
        <v>85</v>
      </c>
      <c r="B45" s="868"/>
      <c r="C45" s="869"/>
      <c r="D45" s="868" t="s">
        <v>86</v>
      </c>
      <c r="E45" s="868"/>
      <c r="F45" s="868"/>
      <c r="G45" s="868" t="s">
        <v>87</v>
      </c>
      <c r="H45" s="868"/>
      <c r="I45" s="868" t="s">
        <v>88</v>
      </c>
      <c r="J45" s="868"/>
      <c r="K45" s="955" t="s">
        <v>89</v>
      </c>
      <c r="L45" s="957"/>
      <c r="M45" s="868" t="s">
        <v>100</v>
      </c>
      <c r="N45" s="868"/>
      <c r="O45" s="868"/>
      <c r="P45" s="868"/>
      <c r="Q45" s="955" t="s">
        <v>92</v>
      </c>
      <c r="R45" s="957"/>
      <c r="S45" s="955" t="s">
        <v>93</v>
      </c>
      <c r="T45" s="956"/>
      <c r="U45" s="956"/>
      <c r="V45" s="956"/>
      <c r="W45" s="319"/>
      <c r="X45" s="319"/>
      <c r="Y45" s="30"/>
      <c r="Z45" s="30"/>
    </row>
    <row r="46" spans="1:26" ht="18" hidden="1" customHeight="1">
      <c r="A46" s="765" t="str">
        <f>'[2]BCU-0.2FS  (2)'!A137</f>
        <v>BC1</v>
      </c>
      <c r="B46" s="765" t="str">
        <f>'[2]BCU-0.2FS  (2)'!B137</f>
        <v>Core4</v>
      </c>
      <c r="C46" s="765"/>
      <c r="D46" s="870">
        <f>'[2]BCU-0.2FS  (2)'!D137</f>
        <v>1500</v>
      </c>
      <c r="E46" s="870"/>
      <c r="F46" s="871">
        <f>'[2]BCU-0.2FS  (2)'!F137</f>
        <v>1</v>
      </c>
      <c r="G46" s="870">
        <f>'[2]BCU-0.2FS  (2)'!H137</f>
        <v>50</v>
      </c>
      <c r="H46" s="874">
        <f>'[2]BCU-0.2FS  (2)'!I137</f>
        <v>2.5</v>
      </c>
      <c r="I46" s="1005" t="str">
        <f>'[2]BCU-0.2FS  (2)'!J137</f>
        <v>1FS5</v>
      </c>
      <c r="J46" s="966"/>
      <c r="K46" s="869">
        <f>'[2]BCU-0.2FS  (2)'!O137</f>
        <v>20</v>
      </c>
      <c r="L46" s="869"/>
      <c r="M46" s="869">
        <f>'[2]BCU-0.2FS  (2)'!O137</f>
        <v>20</v>
      </c>
      <c r="N46" s="869"/>
      <c r="O46" s="870" t="s">
        <v>6</v>
      </c>
      <c r="P46" s="870"/>
      <c r="Q46" s="879" t="str">
        <f>'[2]BCU-0.2FS  (2)'!R137</f>
        <v>REC670</v>
      </c>
      <c r="R46" s="879"/>
      <c r="S46" s="971" t="str">
        <f>'[2]BCU-0.2FS  (2)'!U137</f>
        <v>Not suitable</v>
      </c>
      <c r="T46" s="972"/>
      <c r="U46" s="972"/>
      <c r="V46" s="973"/>
      <c r="W46" s="288"/>
      <c r="X46" s="263"/>
      <c r="Y46" s="30"/>
      <c r="Z46" s="30"/>
    </row>
    <row r="47" spans="1:26" ht="18" hidden="1" customHeight="1">
      <c r="A47" s="765"/>
      <c r="B47" s="765"/>
      <c r="C47" s="765"/>
      <c r="D47" s="870" t="s">
        <v>6</v>
      </c>
      <c r="E47" s="870"/>
      <c r="F47" s="872"/>
      <c r="G47" s="870"/>
      <c r="H47" s="870"/>
      <c r="I47" s="967"/>
      <c r="J47" s="968"/>
      <c r="K47" s="869" t="s">
        <v>6</v>
      </c>
      <c r="L47" s="869"/>
      <c r="M47" s="869" t="s">
        <v>6</v>
      </c>
      <c r="N47" s="869"/>
      <c r="O47" s="870" t="s">
        <v>6</v>
      </c>
      <c r="P47" s="870"/>
      <c r="Q47" s="879"/>
      <c r="R47" s="879"/>
      <c r="S47" s="971" t="s">
        <v>6</v>
      </c>
      <c r="T47" s="972"/>
      <c r="U47" s="972"/>
      <c r="V47" s="973"/>
      <c r="W47" s="264"/>
      <c r="X47" s="263"/>
      <c r="Y47" s="30"/>
      <c r="Z47" s="30"/>
    </row>
    <row r="48" spans="1:26" ht="18" hidden="1" customHeight="1">
      <c r="A48" s="765"/>
      <c r="B48" s="765"/>
      <c r="C48" s="765"/>
      <c r="D48" s="870" t="s">
        <v>6</v>
      </c>
      <c r="E48" s="870"/>
      <c r="F48" s="873"/>
      <c r="G48" s="870"/>
      <c r="H48" s="870"/>
      <c r="I48" s="969"/>
      <c r="J48" s="970"/>
      <c r="K48" s="869" t="s">
        <v>6</v>
      </c>
      <c r="L48" s="869"/>
      <c r="M48" s="869" t="s">
        <v>6</v>
      </c>
      <c r="N48" s="869"/>
      <c r="O48" s="870" t="s">
        <v>6</v>
      </c>
      <c r="P48" s="870"/>
      <c r="Q48" s="879"/>
      <c r="R48" s="879"/>
      <c r="S48" s="971" t="s">
        <v>6</v>
      </c>
      <c r="T48" s="972"/>
      <c r="U48" s="972"/>
      <c r="V48" s="973"/>
      <c r="W48" s="263"/>
      <c r="X48" s="263"/>
      <c r="Y48" s="30"/>
      <c r="Z48" s="30"/>
    </row>
    <row r="49" spans="1:26" ht="18" hidden="1" customHeight="1">
      <c r="A49" s="315" t="s">
        <v>101</v>
      </c>
      <c r="B49" s="316"/>
      <c r="C49" s="316"/>
      <c r="D49" s="316"/>
      <c r="E49" s="316"/>
      <c r="F49" s="316"/>
      <c r="G49" s="316"/>
      <c r="H49" s="316"/>
      <c r="I49" s="316"/>
      <c r="J49" s="316"/>
      <c r="K49" s="316"/>
      <c r="L49" s="316"/>
      <c r="M49" s="316"/>
      <c r="N49" s="316"/>
      <c r="O49" s="316"/>
      <c r="P49" s="316"/>
      <c r="Q49" s="316"/>
      <c r="R49" s="316"/>
      <c r="S49" s="316"/>
      <c r="T49" s="316"/>
      <c r="U49" s="316"/>
      <c r="V49" s="316"/>
      <c r="W49" s="974"/>
      <c r="X49" s="975"/>
      <c r="Y49" s="30"/>
      <c r="Z49" s="30"/>
    </row>
    <row r="50" spans="1:26" ht="26.4" hidden="1">
      <c r="A50" s="868" t="s">
        <v>85</v>
      </c>
      <c r="B50" s="868"/>
      <c r="C50" s="869"/>
      <c r="D50" s="868" t="s">
        <v>86</v>
      </c>
      <c r="E50" s="868"/>
      <c r="F50" s="868"/>
      <c r="G50" s="868" t="s">
        <v>87</v>
      </c>
      <c r="H50" s="868"/>
      <c r="I50" s="868" t="s">
        <v>88</v>
      </c>
      <c r="J50" s="868"/>
      <c r="K50" s="955" t="s">
        <v>89</v>
      </c>
      <c r="L50" s="957"/>
      <c r="M50" s="868" t="s">
        <v>100</v>
      </c>
      <c r="N50" s="868"/>
      <c r="O50" s="868"/>
      <c r="P50" s="868"/>
      <c r="Q50" s="955" t="s">
        <v>92</v>
      </c>
      <c r="R50" s="957"/>
      <c r="S50" s="955" t="s">
        <v>93</v>
      </c>
      <c r="T50" s="956"/>
      <c r="U50" s="956"/>
      <c r="V50" s="956"/>
      <c r="W50" s="319" t="s">
        <v>94</v>
      </c>
      <c r="X50" s="319"/>
      <c r="Y50" s="30"/>
      <c r="Z50" s="30"/>
    </row>
    <row r="51" spans="1:26" ht="18" hidden="1" customHeight="1">
      <c r="A51" s="765" t="str">
        <f>'[2]REF615 OC-5P (SBEF)'!A141</f>
        <v>T2N</v>
      </c>
      <c r="B51" s="765" t="str">
        <f>'[2]REF615 OC-5P (SBEF)'!B141</f>
        <v>Core2</v>
      </c>
      <c r="C51" s="765"/>
      <c r="D51" s="870">
        <f>'[2]REF615 OC-5P (SBEF)'!D141</f>
        <v>1500</v>
      </c>
      <c r="E51" s="870"/>
      <c r="F51" s="871">
        <f>'[2]REF615 OC-5P (SBEF)'!F141</f>
        <v>1</v>
      </c>
      <c r="G51" s="870">
        <f>'[2]REF615 OC-5P (SBEF)'!G141</f>
        <v>50</v>
      </c>
      <c r="H51" s="874">
        <f>'[2]REF615 OC-5P (SBEF)'!H141</f>
        <v>2.5</v>
      </c>
      <c r="I51" s="1006" t="str">
        <f>'[2]REF615 OC-5P (SBEF)'!I141</f>
        <v>5P</v>
      </c>
      <c r="J51" s="1007">
        <f>'[2]REF615 OC-5P (SBEF)'!J141</f>
        <v>20</v>
      </c>
      <c r="K51" s="869">
        <f>'[2]REF615 OC-5P (SBEF)'!K141</f>
        <v>4</v>
      </c>
      <c r="L51" s="869"/>
      <c r="M51" s="869">
        <f>'[2]REF615 OC-5P (SBEF)'!M141</f>
        <v>15</v>
      </c>
      <c r="N51" s="869"/>
      <c r="O51" s="870" t="str">
        <f>'[2]REF615 OC-5P (SBEF)'!O141</f>
        <v>-</v>
      </c>
      <c r="P51" s="870"/>
      <c r="Q51" s="879" t="str">
        <f>'[2]REF615 OC-5P (SBEF)'!Q141</f>
        <v>REF615</v>
      </c>
      <c r="R51" s="879"/>
      <c r="S51" s="971" t="str">
        <f>'[2]REF615 OC-5P (SBEF)'!S141</f>
        <v>Suitably Dimensioned</v>
      </c>
      <c r="T51" s="972"/>
      <c r="U51" s="972"/>
      <c r="V51" s="973"/>
      <c r="W51" s="288">
        <f>'[2]REF615 OC-5P (SBEF)'!G40</f>
        <v>26.666666666666668</v>
      </c>
      <c r="X51" s="263"/>
      <c r="Y51" s="30"/>
      <c r="Z51" s="30"/>
    </row>
    <row r="52" spans="1:26" ht="18" hidden="1" customHeight="1">
      <c r="A52" s="765"/>
      <c r="B52" s="765"/>
      <c r="C52" s="765"/>
      <c r="D52" s="870" t="str">
        <f>'[2]REF615 OC-5P (SBEF)'!D142</f>
        <v>-</v>
      </c>
      <c r="E52" s="870"/>
      <c r="F52" s="872"/>
      <c r="G52" s="870"/>
      <c r="H52" s="870"/>
      <c r="I52" s="1006"/>
      <c r="J52" s="1007"/>
      <c r="K52" s="869" t="str">
        <f>'[2]REF615 OC-5P (SBEF)'!K142</f>
        <v>-</v>
      </c>
      <c r="L52" s="869"/>
      <c r="M52" s="869" t="str">
        <f>'[2]REF615 OC-5P (SBEF)'!M142</f>
        <v>-</v>
      </c>
      <c r="N52" s="869"/>
      <c r="O52" s="870" t="str">
        <f>'[2]REF615 OC-5P (SBEF)'!O142</f>
        <v>-</v>
      </c>
      <c r="P52" s="870"/>
      <c r="Q52" s="879"/>
      <c r="R52" s="879"/>
      <c r="S52" s="971" t="str">
        <f>'[2]REF615 OC-5P (SBEF)'!S142</f>
        <v>-</v>
      </c>
      <c r="T52" s="972"/>
      <c r="U52" s="972"/>
      <c r="V52" s="973"/>
      <c r="W52" s="264" t="s">
        <v>6</v>
      </c>
      <c r="X52" s="263"/>
      <c r="Y52" s="30"/>
      <c r="Z52" s="30"/>
    </row>
    <row r="53" spans="1:26" ht="18" hidden="1" customHeight="1">
      <c r="A53" s="765"/>
      <c r="B53" s="765"/>
      <c r="C53" s="765"/>
      <c r="D53" s="870" t="str">
        <f>'[2]REF615 OC-5P (SBEF)'!D143</f>
        <v>-</v>
      </c>
      <c r="E53" s="870"/>
      <c r="F53" s="873"/>
      <c r="G53" s="870"/>
      <c r="H53" s="870"/>
      <c r="I53" s="1006"/>
      <c r="J53" s="1007"/>
      <c r="K53" s="869" t="str">
        <f>'[2]REF615 OC-5P (SBEF)'!K143</f>
        <v>-</v>
      </c>
      <c r="L53" s="869"/>
      <c r="M53" s="869" t="str">
        <f>'[2]REF615 OC-5P (SBEF)'!M143</f>
        <v>-</v>
      </c>
      <c r="N53" s="869"/>
      <c r="O53" s="870" t="str">
        <f>'[2]REF615 OC-5P (SBEF)'!O143</f>
        <v>-</v>
      </c>
      <c r="P53" s="870"/>
      <c r="Q53" s="879"/>
      <c r="R53" s="879"/>
      <c r="S53" s="971" t="str">
        <f>'[2]REF615 OC-5P (SBEF)'!S143</f>
        <v>-</v>
      </c>
      <c r="T53" s="972"/>
      <c r="U53" s="972"/>
      <c r="V53" s="973"/>
      <c r="W53" s="263" t="s">
        <v>6</v>
      </c>
      <c r="X53" s="263"/>
      <c r="Y53" s="30"/>
      <c r="Z53" s="30"/>
    </row>
    <row r="54" spans="1:26" ht="18" customHeight="1">
      <c r="A54" s="338" t="s">
        <v>1034</v>
      </c>
      <c r="B54" s="339"/>
      <c r="C54" s="339"/>
      <c r="D54" s="339"/>
      <c r="E54" s="339"/>
      <c r="F54" s="339"/>
      <c r="G54" s="339"/>
      <c r="H54" s="339"/>
      <c r="I54" s="339"/>
      <c r="J54" s="339"/>
      <c r="K54" s="339"/>
      <c r="L54" s="339"/>
      <c r="M54" s="339"/>
      <c r="N54" s="339"/>
      <c r="O54" s="339"/>
      <c r="P54" s="339"/>
      <c r="Q54" s="339"/>
      <c r="R54" s="339"/>
      <c r="S54" s="339"/>
      <c r="T54" s="339"/>
      <c r="U54" s="339"/>
      <c r="V54" s="339"/>
      <c r="W54" s="340"/>
      <c r="X54" s="341"/>
      <c r="Y54" s="30"/>
      <c r="Z54" s="30"/>
    </row>
    <row r="55" spans="1:26" ht="18" customHeight="1">
      <c r="A55" s="334" t="s">
        <v>1048</v>
      </c>
      <c r="B55" s="335"/>
      <c r="C55" s="335"/>
      <c r="D55" s="335"/>
      <c r="E55" s="335"/>
      <c r="F55" s="335"/>
      <c r="G55" s="335"/>
      <c r="H55" s="335"/>
      <c r="I55" s="335"/>
      <c r="J55" s="335"/>
      <c r="K55" s="335"/>
      <c r="L55" s="335"/>
      <c r="M55" s="335"/>
      <c r="N55" s="335"/>
      <c r="O55" s="335"/>
      <c r="P55" s="335"/>
      <c r="Q55" s="335"/>
      <c r="R55" s="335"/>
      <c r="S55" s="335"/>
      <c r="T55" s="335"/>
      <c r="U55" s="335"/>
      <c r="V55" s="335"/>
      <c r="W55" s="336"/>
      <c r="X55" s="337"/>
      <c r="Y55" s="30"/>
      <c r="Z55" s="30"/>
    </row>
    <row r="56" spans="1:26" ht="26.4">
      <c r="A56" s="955" t="s">
        <v>85</v>
      </c>
      <c r="B56" s="956"/>
      <c r="C56" s="957"/>
      <c r="D56" s="955" t="s">
        <v>86</v>
      </c>
      <c r="E56" s="956"/>
      <c r="F56" s="957"/>
      <c r="G56" s="955" t="s">
        <v>87</v>
      </c>
      <c r="H56" s="957"/>
      <c r="I56" s="955" t="s">
        <v>88</v>
      </c>
      <c r="J56" s="957"/>
      <c r="K56" s="955" t="s">
        <v>89</v>
      </c>
      <c r="L56" s="957"/>
      <c r="M56" s="955" t="s">
        <v>90</v>
      </c>
      <c r="N56" s="957"/>
      <c r="O56" s="955" t="s">
        <v>91</v>
      </c>
      <c r="P56" s="957"/>
      <c r="Q56" s="955" t="s">
        <v>92</v>
      </c>
      <c r="R56" s="957"/>
      <c r="S56" s="868" t="s">
        <v>93</v>
      </c>
      <c r="T56" s="868"/>
      <c r="U56" s="868"/>
      <c r="V56" s="868"/>
      <c r="W56" s="478" t="s">
        <v>94</v>
      </c>
      <c r="X56" s="319"/>
      <c r="Y56" s="30"/>
      <c r="Z56" s="319" t="s">
        <v>94</v>
      </c>
    </row>
    <row r="57" spans="1:26" ht="18" customHeight="1">
      <c r="A57" s="765" t="str">
        <f>'RED670 IED TEMPLATE'!A629</f>
        <v>T1</v>
      </c>
      <c r="B57" s="765" t="str">
        <f>'RED670 IED TEMPLATE'!B629</f>
        <v>Core1</v>
      </c>
      <c r="C57" s="765"/>
      <c r="D57" s="870">
        <f>'RED670 IED TEMPLATE'!D629</f>
        <v>1500</v>
      </c>
      <c r="E57" s="870"/>
      <c r="F57" s="871">
        <f>'RED670 IED TEMPLATE'!F629</f>
        <v>1</v>
      </c>
      <c r="G57" s="870">
        <f>'CT-VT Burdens'!S21</f>
        <v>120</v>
      </c>
      <c r="H57" s="959">
        <f>'CT-VT Burdens'!S10</f>
        <v>6</v>
      </c>
      <c r="I57" s="874" t="str">
        <f>'RED670 IED TEMPLATE'!I629</f>
        <v>PX</v>
      </c>
      <c r="J57" s="874"/>
      <c r="K57" s="869">
        <f>'RED670 IED TEMPLATE'!K629</f>
        <v>20</v>
      </c>
      <c r="L57" s="869"/>
      <c r="M57" s="869">
        <f>'RED670 IED TEMPLATE'!M629</f>
        <v>3000</v>
      </c>
      <c r="N57" s="869"/>
      <c r="O57" s="876">
        <f>'RED670 IED TEMPLATE'!O629</f>
        <v>10</v>
      </c>
      <c r="P57" s="870"/>
      <c r="Q57" s="879" t="str">
        <f>'RED670 IED TEMPLATE'!Q629</f>
        <v>RED670</v>
      </c>
      <c r="R57" s="879"/>
      <c r="S57" s="870" t="str">
        <f>'RED670 IED TEMPLATE'!S629</f>
        <v>Suitably Dimensioned</v>
      </c>
      <c r="T57" s="870"/>
      <c r="U57" s="870"/>
      <c r="V57" s="870"/>
      <c r="W57" s="344">
        <f>'RED670 IED TEMPLATE'!H320</f>
        <v>1508.5411565603663</v>
      </c>
      <c r="X57" s="263"/>
      <c r="Y57" s="30"/>
      <c r="Z57" s="288">
        <f>'TR. MAIN-1 MF '!H310</f>
        <v>171.17022440000002</v>
      </c>
    </row>
    <row r="58" spans="1:26" ht="18" customHeight="1">
      <c r="A58" s="765"/>
      <c r="B58" s="765"/>
      <c r="C58" s="765"/>
      <c r="D58" s="876">
        <f>'RED670 IED TEMPLATE'!D630</f>
        <v>1800</v>
      </c>
      <c r="E58" s="870"/>
      <c r="F58" s="872"/>
      <c r="G58" s="870"/>
      <c r="H58" s="959"/>
      <c r="I58" s="874"/>
      <c r="J58" s="874"/>
      <c r="K58" s="875">
        <f>'RED670 IED TEMPLATE'!K630</f>
        <v>5.6</v>
      </c>
      <c r="L58" s="869"/>
      <c r="M58" s="875">
        <f>'RED670 IED TEMPLATE'!M630</f>
        <v>1250</v>
      </c>
      <c r="N58" s="869"/>
      <c r="O58" s="876">
        <f>'RED670 IED TEMPLATE'!O630</f>
        <v>20</v>
      </c>
      <c r="P58" s="870"/>
      <c r="Q58" s="879"/>
      <c r="R58" s="879"/>
      <c r="S58" s="876" t="str">
        <f>'RED670 IED TEMPLATE'!S630</f>
        <v>Suitably Dimensioned</v>
      </c>
      <c r="T58" s="870"/>
      <c r="U58" s="870"/>
      <c r="V58" s="870"/>
      <c r="W58" s="344">
        <f>'RED670 IED TEMPLATE'!H481</f>
        <v>399.87111618404276</v>
      </c>
      <c r="X58" s="263"/>
      <c r="Y58" s="30"/>
      <c r="Z58" s="288">
        <f>'TR. MAIN-1 MF '!H442</f>
        <v>219.57453013333335</v>
      </c>
    </row>
    <row r="59" spans="1:26" ht="18" customHeight="1">
      <c r="A59" s="765"/>
      <c r="B59" s="765"/>
      <c r="C59" s="765"/>
      <c r="D59" s="870" t="str">
        <f>'RED670 IED TEMPLATE'!D631</f>
        <v>-</v>
      </c>
      <c r="E59" s="870"/>
      <c r="F59" s="873"/>
      <c r="G59" s="870"/>
      <c r="H59" s="959"/>
      <c r="I59" s="874"/>
      <c r="J59" s="874"/>
      <c r="K59" s="869" t="str">
        <f>'RED670 IED TEMPLATE'!K631</f>
        <v>-</v>
      </c>
      <c r="L59" s="869"/>
      <c r="M59" s="869" t="str">
        <f>'RED670 IED TEMPLATE'!M631</f>
        <v>-</v>
      </c>
      <c r="N59" s="869"/>
      <c r="O59" s="870" t="str">
        <f>'RED670 IED TEMPLATE'!O631</f>
        <v>-</v>
      </c>
      <c r="P59" s="870"/>
      <c r="Q59" s="879"/>
      <c r="R59" s="879"/>
      <c r="S59" s="870" t="str">
        <f>'RED670 IED TEMPLATE'!S631</f>
        <v>-</v>
      </c>
      <c r="T59" s="870"/>
      <c r="U59" s="870"/>
      <c r="V59" s="870"/>
      <c r="W59" s="474" t="s">
        <v>6</v>
      </c>
      <c r="X59" s="263"/>
      <c r="Y59" s="30"/>
      <c r="Z59" s="30"/>
    </row>
    <row r="60" spans="1:26" ht="18" customHeight="1">
      <c r="A60" s="334" t="s">
        <v>1049</v>
      </c>
      <c r="B60" s="335"/>
      <c r="C60" s="335"/>
      <c r="D60" s="335"/>
      <c r="E60" s="335"/>
      <c r="F60" s="335"/>
      <c r="G60" s="335"/>
      <c r="H60" s="335"/>
      <c r="I60" s="335"/>
      <c r="J60" s="335"/>
      <c r="K60" s="335"/>
      <c r="L60" s="335"/>
      <c r="M60" s="335"/>
      <c r="N60" s="335"/>
      <c r="O60" s="335"/>
      <c r="P60" s="335"/>
      <c r="Q60" s="335"/>
      <c r="R60" s="335"/>
      <c r="S60" s="335"/>
      <c r="T60" s="335"/>
      <c r="U60" s="335"/>
      <c r="V60" s="335"/>
      <c r="W60" s="974"/>
      <c r="X60" s="975"/>
      <c r="Y60" s="30"/>
      <c r="Z60" s="30"/>
    </row>
    <row r="61" spans="1:26" ht="27" customHeight="1">
      <c r="A61" s="868" t="s">
        <v>85</v>
      </c>
      <c r="B61" s="868"/>
      <c r="C61" s="869"/>
      <c r="D61" s="868" t="s">
        <v>86</v>
      </c>
      <c r="E61" s="868"/>
      <c r="F61" s="868"/>
      <c r="G61" s="868" t="s">
        <v>87</v>
      </c>
      <c r="H61" s="868"/>
      <c r="I61" s="868" t="s">
        <v>88</v>
      </c>
      <c r="J61" s="868"/>
      <c r="K61" s="955" t="s">
        <v>89</v>
      </c>
      <c r="L61" s="957"/>
      <c r="M61" s="868" t="s">
        <v>90</v>
      </c>
      <c r="N61" s="868"/>
      <c r="O61" s="868" t="s">
        <v>91</v>
      </c>
      <c r="P61" s="868"/>
      <c r="Q61" s="955" t="s">
        <v>92</v>
      </c>
      <c r="R61" s="957"/>
      <c r="S61" s="955" t="s">
        <v>93</v>
      </c>
      <c r="T61" s="956"/>
      <c r="U61" s="956"/>
      <c r="V61" s="956"/>
      <c r="W61" s="478" t="s">
        <v>94</v>
      </c>
      <c r="X61" s="319"/>
      <c r="Y61" s="30"/>
      <c r="Z61" s="319" t="s">
        <v>94</v>
      </c>
    </row>
    <row r="62" spans="1:26" ht="18" customHeight="1">
      <c r="A62" s="765" t="str">
        <f>'CABLE MAIN-2'!A424</f>
        <v>T1</v>
      </c>
      <c r="B62" s="765" t="str">
        <f>'CABLE MAIN-2'!B424</f>
        <v>Core2</v>
      </c>
      <c r="C62" s="765"/>
      <c r="D62" s="870">
        <f>'CABLE MAIN-2'!D424</f>
        <v>3200</v>
      </c>
      <c r="E62" s="870"/>
      <c r="F62" s="871">
        <f>'CABLE MAIN-2'!F424</f>
        <v>1</v>
      </c>
      <c r="G62" s="870">
        <f>'CT-VT Burdens'!S21</f>
        <v>120</v>
      </c>
      <c r="H62" s="959">
        <f>'CT-VT Burdens'!S10</f>
        <v>6</v>
      </c>
      <c r="I62" s="965" t="str">
        <f>'CABLE MAIN-2'!I424</f>
        <v>PX</v>
      </c>
      <c r="J62" s="966"/>
      <c r="K62" s="1012">
        <f>'CABLE MAIN-2'!K424</f>
        <v>9.8000000000000007</v>
      </c>
      <c r="L62" s="1012"/>
      <c r="M62" s="869">
        <f>'CABLE MAIN-2'!M424</f>
        <v>2000</v>
      </c>
      <c r="N62" s="869"/>
      <c r="O62" s="870">
        <f>'CABLE MAIN-2'!O424</f>
        <v>10</v>
      </c>
      <c r="P62" s="870"/>
      <c r="Q62" s="1013" t="str">
        <f>'CABLE MAIN-2'!Q424</f>
        <v>7SL86</v>
      </c>
      <c r="R62" s="1014"/>
      <c r="S62" s="971" t="str">
        <f>'CABLE MAIN-2'!S424</f>
        <v>Suitably Dimensioned</v>
      </c>
      <c r="T62" s="972"/>
      <c r="U62" s="972"/>
      <c r="V62" s="972"/>
      <c r="W62" s="344">
        <f>'CABLE MAIN-2'!H105</f>
        <v>598.03946709666695</v>
      </c>
      <c r="X62" s="288"/>
      <c r="Y62" s="30"/>
      <c r="Z62" s="288">
        <f>'SEL487E-X'!H71</f>
        <v>324.61160018255754</v>
      </c>
    </row>
    <row r="63" spans="1:26" ht="19.2" customHeight="1">
      <c r="A63" s="765"/>
      <c r="B63" s="765"/>
      <c r="C63" s="765"/>
      <c r="D63" s="870">
        <f>'CABLE MAIN-2'!D425</f>
        <v>1800</v>
      </c>
      <c r="E63" s="870"/>
      <c r="F63" s="872"/>
      <c r="G63" s="870"/>
      <c r="H63" s="959"/>
      <c r="I63" s="967"/>
      <c r="J63" s="968"/>
      <c r="K63" s="1012">
        <f>'CABLE MAIN-2'!K425</f>
        <v>5.6</v>
      </c>
      <c r="L63" s="1012"/>
      <c r="M63" s="869">
        <f>'CABLE MAIN-2'!M425</f>
        <v>1250</v>
      </c>
      <c r="N63" s="869"/>
      <c r="O63" s="870">
        <f>'CABLE MAIN-2'!O425</f>
        <v>20</v>
      </c>
      <c r="P63" s="870"/>
      <c r="Q63" s="1015"/>
      <c r="R63" s="1016"/>
      <c r="S63" s="971" t="str">
        <f>'CABLE MAIN-2'!S425</f>
        <v>Suitably Dimentioned</v>
      </c>
      <c r="T63" s="972"/>
      <c r="U63" s="972"/>
      <c r="V63" s="972"/>
      <c r="W63" s="344">
        <f>'CABLE MAIN-2'!H256</f>
        <v>656.38959897839572</v>
      </c>
      <c r="X63" s="288"/>
      <c r="Y63" s="30"/>
      <c r="Z63" s="288">
        <f>'SEL487E-X'!H153</f>
        <v>458.6641909998653</v>
      </c>
    </row>
    <row r="64" spans="1:26" ht="18" customHeight="1">
      <c r="A64" s="765"/>
      <c r="B64" s="765"/>
      <c r="C64" s="765"/>
      <c r="D64" s="870" t="str">
        <f>'CABLE MAIN-2'!D426</f>
        <v>-</v>
      </c>
      <c r="E64" s="870"/>
      <c r="F64" s="873"/>
      <c r="G64" s="870"/>
      <c r="H64" s="959"/>
      <c r="I64" s="969"/>
      <c r="J64" s="970"/>
      <c r="K64" s="1008" t="str">
        <f>'CABLE MAIN-2'!K426</f>
        <v>-</v>
      </c>
      <c r="L64" s="1008"/>
      <c r="M64" s="869" t="str">
        <f>'CABLE MAIN-2'!M426</f>
        <v>-</v>
      </c>
      <c r="N64" s="869"/>
      <c r="O64" s="870" t="str">
        <f>'CABLE MAIN-2'!O426</f>
        <v>-</v>
      </c>
      <c r="P64" s="870"/>
      <c r="Q64" s="1017"/>
      <c r="R64" s="1018"/>
      <c r="S64" s="971" t="str">
        <f>'CABLE MAIN-2'!S426</f>
        <v>-</v>
      </c>
      <c r="T64" s="972"/>
      <c r="U64" s="972"/>
      <c r="V64" s="972"/>
      <c r="W64" s="474" t="s">
        <v>6</v>
      </c>
      <c r="X64" s="263"/>
      <c r="Y64" s="30"/>
      <c r="Z64" s="30"/>
    </row>
    <row r="65" spans="1:26" ht="18" customHeight="1">
      <c r="A65" s="334" t="s">
        <v>1050</v>
      </c>
      <c r="B65" s="335"/>
      <c r="C65" s="335"/>
      <c r="D65" s="335"/>
      <c r="E65" s="335"/>
      <c r="F65" s="335"/>
      <c r="G65" s="335"/>
      <c r="H65" s="335"/>
      <c r="I65" s="335"/>
      <c r="J65" s="335"/>
      <c r="K65" s="335"/>
      <c r="L65" s="335"/>
      <c r="M65" s="335"/>
      <c r="N65" s="335"/>
      <c r="O65" s="335"/>
      <c r="P65" s="335"/>
      <c r="Q65" s="335"/>
      <c r="R65" s="335"/>
      <c r="S65" s="335"/>
      <c r="T65" s="335"/>
      <c r="U65" s="335"/>
      <c r="V65" s="335"/>
      <c r="W65" s="336"/>
      <c r="X65" s="337"/>
      <c r="Y65" s="30"/>
      <c r="Z65" s="30"/>
    </row>
    <row r="66" spans="1:26" ht="28.2" customHeight="1">
      <c r="A66" s="1009" t="s">
        <v>85</v>
      </c>
      <c r="B66" s="1010"/>
      <c r="C66" s="1011"/>
      <c r="D66" s="1009" t="s">
        <v>86</v>
      </c>
      <c r="E66" s="1010"/>
      <c r="F66" s="1011"/>
      <c r="G66" s="1009" t="s">
        <v>87</v>
      </c>
      <c r="H66" s="1011"/>
      <c r="I66" s="1009" t="s">
        <v>88</v>
      </c>
      <c r="J66" s="1011"/>
      <c r="K66" s="1009" t="s">
        <v>89</v>
      </c>
      <c r="L66" s="1011"/>
      <c r="M66" s="868" t="s">
        <v>100</v>
      </c>
      <c r="N66" s="868"/>
      <c r="O66" s="1009" t="s">
        <v>91</v>
      </c>
      <c r="P66" s="1011"/>
      <c r="Q66" s="1009" t="s">
        <v>92</v>
      </c>
      <c r="R66" s="1011"/>
      <c r="S66" s="868" t="s">
        <v>93</v>
      </c>
      <c r="T66" s="868"/>
      <c r="U66" s="868"/>
      <c r="V66" s="868"/>
      <c r="W66" s="478" t="s">
        <v>103</v>
      </c>
      <c r="X66" s="319"/>
      <c r="Y66" s="30"/>
      <c r="Z66" s="319" t="s">
        <v>94</v>
      </c>
    </row>
    <row r="67" spans="1:26" ht="18" customHeight="1">
      <c r="A67" s="765">
        <f>'BCU+AMMETER'!A140</f>
        <v>0</v>
      </c>
      <c r="B67" s="765">
        <f>'BCU+AMMETER'!B140</f>
        <v>0</v>
      </c>
      <c r="C67" s="765"/>
      <c r="D67" s="870">
        <f>'BCU+AMMETER'!D140</f>
        <v>0</v>
      </c>
      <c r="E67" s="870"/>
      <c r="F67" s="871">
        <f>'BCU+AMMETER'!F140</f>
        <v>0</v>
      </c>
      <c r="G67" s="1019">
        <f>'CT-VT Burdens'!S21</f>
        <v>120</v>
      </c>
      <c r="H67" s="1022">
        <f>'CT-VT Burdens'!S10</f>
        <v>6</v>
      </c>
      <c r="I67" s="965">
        <f>'BCU+AMMETER'!I140</f>
        <v>0</v>
      </c>
      <c r="J67" s="1025"/>
      <c r="K67" s="869">
        <f>'BCU+AMMETER'!K140</f>
        <v>0</v>
      </c>
      <c r="L67" s="869"/>
      <c r="M67" s="869">
        <f>'BCU+AMMETER'!M140</f>
        <v>0</v>
      </c>
      <c r="N67" s="869"/>
      <c r="O67" s="876" t="s">
        <v>6</v>
      </c>
      <c r="P67" s="870"/>
      <c r="Q67" s="879">
        <f>'BCU+AMMETER'!Q140</f>
        <v>0</v>
      </c>
      <c r="R67" s="879"/>
      <c r="S67" s="870">
        <f>'BCU+AMMETER'!S140</f>
        <v>0</v>
      </c>
      <c r="T67" s="870"/>
      <c r="U67" s="870"/>
      <c r="V67" s="870"/>
      <c r="W67" s="344">
        <f>'BCU+AMMETER'!J45</f>
        <v>0</v>
      </c>
      <c r="X67" s="263"/>
      <c r="Y67" s="30"/>
      <c r="Z67" s="289">
        <f>'7SJ85 IED TEMPLATE'!G242</f>
        <v>10.5</v>
      </c>
    </row>
    <row r="68" spans="1:26" ht="18" customHeight="1">
      <c r="A68" s="765"/>
      <c r="B68" s="765"/>
      <c r="C68" s="765"/>
      <c r="D68" s="870">
        <f>'BCU+AMMETER'!D141</f>
        <v>0</v>
      </c>
      <c r="E68" s="870"/>
      <c r="F68" s="872"/>
      <c r="G68" s="1020"/>
      <c r="H68" s="1023"/>
      <c r="I68" s="1026"/>
      <c r="J68" s="1027"/>
      <c r="K68" s="869" t="str">
        <f>'BCU+AMMETER'!K141</f>
        <v>+</v>
      </c>
      <c r="L68" s="869"/>
      <c r="M68" s="869">
        <f>'BCU+AMMETER'!M141</f>
        <v>0</v>
      </c>
      <c r="N68" s="869"/>
      <c r="O68" s="870" t="str">
        <f>'7SJ85 IED TEMPLATE'!O340</f>
        <v>-</v>
      </c>
      <c r="P68" s="870"/>
      <c r="Q68" s="879"/>
      <c r="R68" s="879"/>
      <c r="S68" s="870">
        <f>'BCU+AMMETER'!S141</f>
        <v>0</v>
      </c>
      <c r="T68" s="870"/>
      <c r="U68" s="870"/>
      <c r="V68" s="870"/>
      <c r="W68" s="344">
        <f>'BCU+AMMETER'!J85</f>
        <v>0</v>
      </c>
      <c r="X68" s="263"/>
      <c r="Y68" s="30"/>
      <c r="Z68" s="289">
        <f>'7SJ85 IED TEMPLATE'!G283</f>
        <v>15.75</v>
      </c>
    </row>
    <row r="69" spans="1:26" ht="18" customHeight="1">
      <c r="A69" s="765"/>
      <c r="B69" s="765"/>
      <c r="C69" s="765"/>
      <c r="D69" s="870">
        <f>'BCU+AMMETER'!D142</f>
        <v>0</v>
      </c>
      <c r="E69" s="870"/>
      <c r="F69" s="873"/>
      <c r="G69" s="1021"/>
      <c r="H69" s="1024"/>
      <c r="I69" s="1028"/>
      <c r="J69" s="1029"/>
      <c r="K69" s="869" t="str">
        <f>'BCU+AMMETER'!K142</f>
        <v>+j</v>
      </c>
      <c r="L69" s="869"/>
      <c r="M69" s="869">
        <f>'BCU+AMMETER'!M142</f>
        <v>0</v>
      </c>
      <c r="N69" s="869"/>
      <c r="O69" s="870" t="str">
        <f>'7SJ85 IED TEMPLATE'!O341</f>
        <v>-</v>
      </c>
      <c r="P69" s="870"/>
      <c r="Q69" s="879"/>
      <c r="R69" s="879"/>
      <c r="S69" s="870">
        <f>'BCU+AMMETER'!S142</f>
        <v>0</v>
      </c>
      <c r="T69" s="870"/>
      <c r="U69" s="870"/>
      <c r="V69" s="870"/>
      <c r="W69" s="474" t="s">
        <v>6</v>
      </c>
      <c r="X69" s="263"/>
      <c r="Y69" s="30"/>
      <c r="Z69" s="30"/>
    </row>
    <row r="70" spans="1:26" ht="18" customHeight="1">
      <c r="A70" s="334" t="s">
        <v>935</v>
      </c>
      <c r="B70" s="335"/>
      <c r="C70" s="335"/>
      <c r="D70" s="335"/>
      <c r="E70" s="335"/>
      <c r="F70" s="335"/>
      <c r="G70" s="335"/>
      <c r="H70" s="335"/>
      <c r="I70" s="335"/>
      <c r="J70" s="335"/>
      <c r="K70" s="335"/>
      <c r="L70" s="335"/>
      <c r="M70" s="335"/>
      <c r="N70" s="335"/>
      <c r="O70" s="335"/>
      <c r="P70" s="335"/>
      <c r="Q70" s="335"/>
      <c r="R70" s="335"/>
      <c r="S70" s="335"/>
      <c r="T70" s="335"/>
      <c r="U70" s="335"/>
      <c r="V70" s="335"/>
      <c r="W70" s="336"/>
      <c r="X70" s="337"/>
      <c r="Y70" s="30"/>
      <c r="Z70" s="30"/>
    </row>
    <row r="71" spans="1:26" ht="27.6" customHeight="1">
      <c r="A71" s="955" t="s">
        <v>85</v>
      </c>
      <c r="B71" s="956"/>
      <c r="C71" s="957"/>
      <c r="D71" s="955" t="s">
        <v>86</v>
      </c>
      <c r="E71" s="956"/>
      <c r="F71" s="957"/>
      <c r="G71" s="955" t="s">
        <v>87</v>
      </c>
      <c r="H71" s="957"/>
      <c r="I71" s="955" t="s">
        <v>88</v>
      </c>
      <c r="J71" s="957"/>
      <c r="K71" s="955" t="s">
        <v>89</v>
      </c>
      <c r="L71" s="957"/>
      <c r="M71" s="955" t="s">
        <v>90</v>
      </c>
      <c r="N71" s="957"/>
      <c r="O71" s="955" t="s">
        <v>91</v>
      </c>
      <c r="P71" s="957"/>
      <c r="Q71" s="955" t="s">
        <v>92</v>
      </c>
      <c r="R71" s="957"/>
      <c r="S71" s="868" t="s">
        <v>93</v>
      </c>
      <c r="T71" s="868"/>
      <c r="U71" s="868"/>
      <c r="V71" s="868"/>
      <c r="W71" s="319" t="s">
        <v>94</v>
      </c>
      <c r="X71" s="319"/>
      <c r="Y71" s="30"/>
      <c r="Z71" s="30"/>
    </row>
    <row r="72" spans="1:26" ht="18" customHeight="1">
      <c r="A72" s="765" t="str">
        <f t="shared" ref="A72:W72" si="0">A77</f>
        <v>T1</v>
      </c>
      <c r="B72" s="958" t="s">
        <v>113</v>
      </c>
      <c r="C72" s="765"/>
      <c r="D72" s="870">
        <f t="shared" si="0"/>
        <v>3200</v>
      </c>
      <c r="E72" s="870"/>
      <c r="F72" s="871">
        <f t="shared" si="0"/>
        <v>1</v>
      </c>
      <c r="G72" s="1019">
        <f t="shared" si="0"/>
        <v>120</v>
      </c>
      <c r="H72" s="1022">
        <f t="shared" si="0"/>
        <v>6</v>
      </c>
      <c r="I72" s="965" t="str">
        <f t="shared" si="0"/>
        <v>PX</v>
      </c>
      <c r="J72" s="1025"/>
      <c r="K72" s="869">
        <f t="shared" si="0"/>
        <v>8</v>
      </c>
      <c r="L72" s="869"/>
      <c r="M72" s="869">
        <f t="shared" si="0"/>
        <v>900</v>
      </c>
      <c r="N72" s="869"/>
      <c r="O72" s="870">
        <f t="shared" si="0"/>
        <v>10</v>
      </c>
      <c r="P72" s="870"/>
      <c r="Q72" s="879" t="str">
        <f t="shared" si="0"/>
        <v>REB500</v>
      </c>
      <c r="R72" s="879"/>
      <c r="S72" s="870" t="str">
        <f t="shared" si="0"/>
        <v>Suitably Dimensioned</v>
      </c>
      <c r="T72" s="870"/>
      <c r="U72" s="870"/>
      <c r="V72" s="870"/>
      <c r="W72" s="344">
        <f t="shared" si="0"/>
        <v>87.331415424000014</v>
      </c>
      <c r="X72" s="263"/>
      <c r="Y72" s="30"/>
      <c r="Z72" s="30"/>
    </row>
    <row r="73" spans="1:26" ht="18" customHeight="1">
      <c r="A73" s="765"/>
      <c r="B73" s="765"/>
      <c r="C73" s="765"/>
      <c r="D73" s="870">
        <f t="shared" ref="D73:W73" si="1">D78</f>
        <v>2000</v>
      </c>
      <c r="E73" s="870"/>
      <c r="F73" s="872"/>
      <c r="G73" s="1020"/>
      <c r="H73" s="1023"/>
      <c r="I73" s="1026"/>
      <c r="J73" s="1027"/>
      <c r="K73" s="869">
        <f t="shared" si="1"/>
        <v>5</v>
      </c>
      <c r="L73" s="869"/>
      <c r="M73" s="869">
        <f t="shared" si="1"/>
        <v>500</v>
      </c>
      <c r="N73" s="869"/>
      <c r="O73" s="870">
        <f t="shared" si="1"/>
        <v>20</v>
      </c>
      <c r="P73" s="870"/>
      <c r="Q73" s="879"/>
      <c r="R73" s="879"/>
      <c r="S73" s="870" t="str">
        <f t="shared" si="1"/>
        <v>Suitably Dimensioned</v>
      </c>
      <c r="T73" s="870"/>
      <c r="U73" s="870"/>
      <c r="V73" s="870"/>
      <c r="W73" s="344">
        <f t="shared" si="1"/>
        <v>58.531415423999995</v>
      </c>
      <c r="X73" s="263"/>
      <c r="Y73" s="30"/>
      <c r="Z73" s="30"/>
    </row>
    <row r="74" spans="1:26" ht="18" customHeight="1">
      <c r="A74" s="765"/>
      <c r="B74" s="765"/>
      <c r="C74" s="765"/>
      <c r="D74" s="870" t="str">
        <f t="shared" ref="D74:W74" si="2">D79</f>
        <v>-</v>
      </c>
      <c r="E74" s="870"/>
      <c r="F74" s="873"/>
      <c r="G74" s="1021"/>
      <c r="H74" s="1024"/>
      <c r="I74" s="1028"/>
      <c r="J74" s="1029"/>
      <c r="K74" s="869" t="str">
        <f t="shared" si="2"/>
        <v>-</v>
      </c>
      <c r="L74" s="869"/>
      <c r="M74" s="869" t="str">
        <f t="shared" si="2"/>
        <v>-</v>
      </c>
      <c r="N74" s="869"/>
      <c r="O74" s="870" t="str">
        <f t="shared" si="2"/>
        <v>-</v>
      </c>
      <c r="P74" s="870"/>
      <c r="Q74" s="879"/>
      <c r="R74" s="879"/>
      <c r="S74" s="870" t="str">
        <f t="shared" si="2"/>
        <v>-</v>
      </c>
      <c r="T74" s="870"/>
      <c r="U74" s="870"/>
      <c r="V74" s="870"/>
      <c r="W74" s="474" t="str">
        <f t="shared" si="2"/>
        <v>-</v>
      </c>
      <c r="X74" s="263"/>
      <c r="Y74" s="30"/>
      <c r="Z74" s="30"/>
    </row>
    <row r="75" spans="1:26" ht="18" customHeight="1">
      <c r="A75" s="334" t="s">
        <v>1051</v>
      </c>
      <c r="B75" s="335"/>
      <c r="C75" s="335"/>
      <c r="D75" s="335"/>
      <c r="E75" s="335"/>
      <c r="F75" s="335"/>
      <c r="G75" s="335"/>
      <c r="H75" s="335"/>
      <c r="I75" s="335"/>
      <c r="J75" s="335"/>
      <c r="K75" s="335"/>
      <c r="L75" s="335"/>
      <c r="M75" s="335"/>
      <c r="N75" s="335"/>
      <c r="O75" s="335"/>
      <c r="P75" s="335"/>
      <c r="Q75" s="335"/>
      <c r="R75" s="335"/>
      <c r="S75" s="335"/>
      <c r="T75" s="335"/>
      <c r="U75" s="335"/>
      <c r="V75" s="335"/>
      <c r="W75" s="336"/>
      <c r="X75" s="337"/>
      <c r="Y75" s="30"/>
      <c r="Z75" s="30"/>
    </row>
    <row r="76" spans="1:26" ht="27.6" customHeight="1">
      <c r="A76" s="955" t="s">
        <v>85</v>
      </c>
      <c r="B76" s="956"/>
      <c r="C76" s="957"/>
      <c r="D76" s="955" t="s">
        <v>86</v>
      </c>
      <c r="E76" s="956"/>
      <c r="F76" s="957"/>
      <c r="G76" s="955" t="s">
        <v>87</v>
      </c>
      <c r="H76" s="957"/>
      <c r="I76" s="955" t="s">
        <v>88</v>
      </c>
      <c r="J76" s="957"/>
      <c r="K76" s="955" t="s">
        <v>89</v>
      </c>
      <c r="L76" s="957"/>
      <c r="M76" s="955" t="s">
        <v>90</v>
      </c>
      <c r="N76" s="957"/>
      <c r="O76" s="955" t="s">
        <v>91</v>
      </c>
      <c r="P76" s="957"/>
      <c r="Q76" s="955" t="s">
        <v>92</v>
      </c>
      <c r="R76" s="957"/>
      <c r="S76" s="868" t="s">
        <v>93</v>
      </c>
      <c r="T76" s="868"/>
      <c r="U76" s="868"/>
      <c r="V76" s="868"/>
      <c r="W76" s="319" t="s">
        <v>94</v>
      </c>
      <c r="X76" s="319"/>
      <c r="Y76" s="30"/>
      <c r="Z76" s="30"/>
    </row>
    <row r="77" spans="1:26" ht="18" customHeight="1">
      <c r="A77" s="765" t="str">
        <f>'MAIN-1 BBP+BFP'!A264</f>
        <v>T1</v>
      </c>
      <c r="B77" s="958" t="s">
        <v>112</v>
      </c>
      <c r="C77" s="765"/>
      <c r="D77" s="870">
        <f>'MAIN-1 BBP+BFP'!D264</f>
        <v>3200</v>
      </c>
      <c r="E77" s="870"/>
      <c r="F77" s="871">
        <f>'MAIN-1 BBP+BFP'!F264</f>
        <v>1</v>
      </c>
      <c r="G77" s="1019">
        <f>'CT-VT Burdens'!S21</f>
        <v>120</v>
      </c>
      <c r="H77" s="1022">
        <f>'CT-VT Burdens'!S10</f>
        <v>6</v>
      </c>
      <c r="I77" s="965" t="str">
        <f>'MAIN-1 BBP+BFP'!I264</f>
        <v>PX</v>
      </c>
      <c r="J77" s="1025"/>
      <c r="K77" s="869">
        <f>'MAIN-1 BBP+BFP'!K264</f>
        <v>8</v>
      </c>
      <c r="L77" s="869"/>
      <c r="M77" s="869">
        <f>'MAIN-1 BBP+BFP'!M264</f>
        <v>900</v>
      </c>
      <c r="N77" s="869"/>
      <c r="O77" s="870">
        <f>'MAIN-1 BBP+BFP'!O264</f>
        <v>10</v>
      </c>
      <c r="P77" s="870"/>
      <c r="Q77" s="879" t="str">
        <f>'MAIN-1 BBP+BFP'!Q264</f>
        <v>REB500</v>
      </c>
      <c r="R77" s="879"/>
      <c r="S77" s="870" t="str">
        <f>'MAIN-1 BBP+BFP'!S264</f>
        <v>Suitably Dimensioned</v>
      </c>
      <c r="T77" s="870"/>
      <c r="U77" s="870"/>
      <c r="V77" s="870"/>
      <c r="W77" s="344">
        <f>'MAIN-1 BBP+BFP'!M81</f>
        <v>87.331415424000014</v>
      </c>
      <c r="X77" s="263"/>
      <c r="Y77" s="30"/>
      <c r="Z77" s="30"/>
    </row>
    <row r="78" spans="1:26" ht="18" customHeight="1">
      <c r="A78" s="765"/>
      <c r="B78" s="765"/>
      <c r="C78" s="765"/>
      <c r="D78" s="870">
        <f>'MAIN-1 BBP+BFP'!D265</f>
        <v>2000</v>
      </c>
      <c r="E78" s="870"/>
      <c r="F78" s="872"/>
      <c r="G78" s="1020"/>
      <c r="H78" s="1023"/>
      <c r="I78" s="1026"/>
      <c r="J78" s="1027"/>
      <c r="K78" s="869">
        <f>'MAIN-1 BBP+BFP'!K265</f>
        <v>5</v>
      </c>
      <c r="L78" s="869"/>
      <c r="M78" s="869">
        <f>'MAIN-1 BBP+BFP'!M265</f>
        <v>500</v>
      </c>
      <c r="N78" s="869"/>
      <c r="O78" s="870">
        <f>'MAIN-1 BBP+BFP'!O265</f>
        <v>20</v>
      </c>
      <c r="P78" s="870"/>
      <c r="Q78" s="879"/>
      <c r="R78" s="879"/>
      <c r="S78" s="870" t="str">
        <f>'MAIN-1 BBP+BFP'!S265</f>
        <v>Suitably Dimensioned</v>
      </c>
      <c r="T78" s="870"/>
      <c r="U78" s="870"/>
      <c r="V78" s="870"/>
      <c r="W78" s="344">
        <f>'MAIN-1 BBP+BFP'!M161</f>
        <v>58.531415423999995</v>
      </c>
      <c r="X78" s="263"/>
      <c r="Y78" s="30"/>
      <c r="Z78" s="30"/>
    </row>
    <row r="79" spans="1:26" ht="21" customHeight="1">
      <c r="A79" s="765"/>
      <c r="B79" s="765"/>
      <c r="C79" s="765"/>
      <c r="D79" s="870" t="str">
        <f>'MAIN-1 BBP+BFP'!D266</f>
        <v>-</v>
      </c>
      <c r="E79" s="870"/>
      <c r="F79" s="873"/>
      <c r="G79" s="1021"/>
      <c r="H79" s="1024"/>
      <c r="I79" s="1028"/>
      <c r="J79" s="1029"/>
      <c r="K79" s="869" t="str">
        <f>'MAIN-1 BBP+BFP'!K266</f>
        <v>-</v>
      </c>
      <c r="L79" s="869"/>
      <c r="M79" s="869" t="str">
        <f>'MAIN-1 BBP+BFP'!M266</f>
        <v>-</v>
      </c>
      <c r="N79" s="869"/>
      <c r="O79" s="870" t="str">
        <f>'MAIN-1 BBP+BFP'!O266</f>
        <v>-</v>
      </c>
      <c r="P79" s="870"/>
      <c r="Q79" s="879"/>
      <c r="R79" s="879"/>
      <c r="S79" s="870" t="str">
        <f>'MAIN-1 BBP+BFP'!S266</f>
        <v>-</v>
      </c>
      <c r="T79" s="870"/>
      <c r="U79" s="870"/>
      <c r="V79" s="870"/>
      <c r="W79" s="474" t="s">
        <v>6</v>
      </c>
      <c r="X79" s="263"/>
      <c r="Y79" s="30"/>
      <c r="Z79" s="30"/>
    </row>
    <row r="80" spans="1:26" ht="21" customHeight="1">
      <c r="A80" s="28"/>
      <c r="B80" s="28"/>
      <c r="C80" s="28"/>
      <c r="D80" s="221"/>
      <c r="E80" s="221"/>
      <c r="F80" s="221"/>
      <c r="G80" s="589"/>
      <c r="H80" s="253"/>
      <c r="I80" s="222"/>
      <c r="J80" s="222"/>
      <c r="K80" s="475"/>
      <c r="L80" s="475"/>
      <c r="M80" s="475"/>
      <c r="N80" s="475"/>
      <c r="O80" s="221"/>
      <c r="P80" s="221"/>
      <c r="Q80" s="479"/>
      <c r="R80" s="479"/>
      <c r="S80" s="221"/>
      <c r="T80" s="221"/>
      <c r="U80" s="221"/>
      <c r="V80" s="221"/>
      <c r="W80" s="245"/>
      <c r="X80" s="221"/>
      <c r="Y80" s="30"/>
      <c r="Z80" s="30"/>
    </row>
    <row r="81" spans="1:26" ht="13.2" hidden="1" customHeight="1">
      <c r="A81" s="325"/>
      <c r="B81" s="28"/>
      <c r="C81" s="28"/>
      <c r="D81" s="245"/>
      <c r="E81" s="221"/>
      <c r="F81" s="221"/>
      <c r="G81" s="221"/>
      <c r="H81" s="221"/>
      <c r="I81" s="222"/>
      <c r="J81" s="222"/>
      <c r="K81" s="480"/>
      <c r="L81" s="475"/>
      <c r="M81" s="480"/>
      <c r="N81" s="475"/>
      <c r="O81" s="245"/>
      <c r="P81" s="221"/>
      <c r="Q81" s="479"/>
      <c r="R81" s="479"/>
      <c r="S81" s="245"/>
      <c r="T81" s="221"/>
      <c r="U81" s="221"/>
      <c r="V81" s="221"/>
      <c r="W81" s="253"/>
      <c r="X81" s="326"/>
      <c r="Y81" s="30"/>
      <c r="Z81" s="30"/>
    </row>
    <row r="82" spans="1:26" ht="18" customHeight="1">
      <c r="A82" s="325"/>
      <c r="B82" s="28"/>
      <c r="C82" s="28"/>
      <c r="D82" s="245"/>
      <c r="E82" s="221"/>
      <c r="F82" s="221"/>
      <c r="G82" s="221"/>
      <c r="H82" s="221"/>
      <c r="I82" s="222"/>
      <c r="J82" s="222"/>
      <c r="K82" s="480"/>
      <c r="L82" s="475"/>
      <c r="M82" s="480"/>
      <c r="N82" s="475"/>
      <c r="O82" s="245"/>
      <c r="P82" s="221"/>
      <c r="Q82" s="479"/>
      <c r="R82" s="479"/>
      <c r="S82" s="245"/>
      <c r="T82" s="221"/>
      <c r="U82" s="221"/>
      <c r="V82" s="221"/>
      <c r="W82" s="253"/>
      <c r="X82" s="326"/>
      <c r="Y82" s="30"/>
      <c r="Z82" s="30"/>
    </row>
    <row r="83" spans="1:26" ht="18" customHeight="1">
      <c r="A83" s="338" t="s">
        <v>1035</v>
      </c>
      <c r="B83" s="339"/>
      <c r="C83" s="339"/>
      <c r="D83" s="339"/>
      <c r="E83" s="339"/>
      <c r="F83" s="339"/>
      <c r="G83" s="339"/>
      <c r="H83" s="339"/>
      <c r="I83" s="339"/>
      <c r="J83" s="339"/>
      <c r="K83" s="339"/>
      <c r="L83" s="339"/>
      <c r="M83" s="339"/>
      <c r="N83" s="339"/>
      <c r="O83" s="339"/>
      <c r="P83" s="339"/>
      <c r="Q83" s="339"/>
      <c r="R83" s="339"/>
      <c r="S83" s="339"/>
      <c r="T83" s="339"/>
      <c r="U83" s="339"/>
      <c r="V83" s="339"/>
      <c r="W83" s="340"/>
      <c r="X83" s="341"/>
      <c r="Y83" s="30"/>
      <c r="Z83" s="30"/>
    </row>
    <row r="84" spans="1:26" ht="18" customHeight="1">
      <c r="A84" s="334" t="s">
        <v>1052</v>
      </c>
      <c r="B84" s="335"/>
      <c r="C84" s="335"/>
      <c r="D84" s="335"/>
      <c r="E84" s="335"/>
      <c r="F84" s="335"/>
      <c r="G84" s="335"/>
      <c r="H84" s="335"/>
      <c r="I84" s="335"/>
      <c r="J84" s="335"/>
      <c r="K84" s="335"/>
      <c r="L84" s="335"/>
      <c r="M84" s="335"/>
      <c r="N84" s="335"/>
      <c r="O84" s="335"/>
      <c r="P84" s="335"/>
      <c r="Q84" s="335"/>
      <c r="R84" s="335"/>
      <c r="S84" s="335"/>
      <c r="T84" s="335"/>
      <c r="U84" s="335"/>
      <c r="V84" s="335"/>
      <c r="W84" s="974"/>
      <c r="X84" s="975"/>
      <c r="Y84" s="30"/>
      <c r="Z84" s="30"/>
    </row>
    <row r="85" spans="1:26" ht="28.95" customHeight="1">
      <c r="A85" s="868" t="s">
        <v>85</v>
      </c>
      <c r="B85" s="868"/>
      <c r="C85" s="869"/>
      <c r="D85" s="868" t="s">
        <v>86</v>
      </c>
      <c r="E85" s="868"/>
      <c r="F85" s="868"/>
      <c r="G85" s="868" t="s">
        <v>87</v>
      </c>
      <c r="H85" s="868"/>
      <c r="I85" s="868" t="s">
        <v>88</v>
      </c>
      <c r="J85" s="868"/>
      <c r="K85" s="955" t="s">
        <v>89</v>
      </c>
      <c r="L85" s="957"/>
      <c r="M85" s="868" t="s">
        <v>957</v>
      </c>
      <c r="N85" s="868"/>
      <c r="O85" s="868" t="s">
        <v>91</v>
      </c>
      <c r="P85" s="868"/>
      <c r="Q85" s="955" t="s">
        <v>92</v>
      </c>
      <c r="R85" s="957"/>
      <c r="S85" s="955" t="s">
        <v>93</v>
      </c>
      <c r="T85" s="956"/>
      <c r="U85" s="956"/>
      <c r="V85" s="956"/>
      <c r="W85" s="478" t="s">
        <v>94</v>
      </c>
      <c r="X85" s="319"/>
      <c r="Y85" s="30"/>
      <c r="Z85" s="319" t="s">
        <v>94</v>
      </c>
    </row>
    <row r="86" spans="1:26" ht="18" customHeight="1">
      <c r="A86" s="765" t="str">
        <f>'TR. MAIN-1 MF '!A609</f>
        <v>T1</v>
      </c>
      <c r="B86" s="765" t="str">
        <f>'TR. MAIN-1 MF '!B609</f>
        <v>Core1</v>
      </c>
      <c r="C86" s="765"/>
      <c r="D86" s="870">
        <f>'TR. MAIN-1 MF '!D609</f>
        <v>3200</v>
      </c>
      <c r="E86" s="870"/>
      <c r="F86" s="871">
        <f>'TR. MAIN-1 MF '!F609</f>
        <v>1</v>
      </c>
      <c r="G86" s="870">
        <f>'CT-VT Burdens'!S21</f>
        <v>120</v>
      </c>
      <c r="H86" s="959">
        <f>'CT-VT Burdens'!S10</f>
        <v>6</v>
      </c>
      <c r="I86" s="965" t="str">
        <f>'TR. MAIN-1 MF '!I609</f>
        <v>PX</v>
      </c>
      <c r="J86" s="966"/>
      <c r="K86" s="869">
        <f>'TR. MAIN-1 MF '!K609</f>
        <v>16</v>
      </c>
      <c r="L86" s="869"/>
      <c r="M86" s="869">
        <f>'TR. MAIN-1 MF '!M609</f>
        <v>1600</v>
      </c>
      <c r="N86" s="869"/>
      <c r="O86" s="870">
        <f>'TR. MAIN-1 MF '!O609</f>
        <v>10</v>
      </c>
      <c r="P86" s="870"/>
      <c r="Q86" s="879" t="str">
        <f>'TR. MAIN-1 MF '!Q609</f>
        <v>RET670</v>
      </c>
      <c r="R86" s="879"/>
      <c r="S86" s="971" t="str">
        <f>'TR. MAIN-1 MF '!S609</f>
        <v>Suitably Dimensioned</v>
      </c>
      <c r="T86" s="972"/>
      <c r="U86" s="972"/>
      <c r="V86" s="972"/>
      <c r="W86" s="344">
        <f>'TR. MAIN-1 MF '!H310</f>
        <v>171.17022440000002</v>
      </c>
      <c r="X86" s="288"/>
      <c r="Y86" s="30"/>
      <c r="Z86" s="288">
        <f>'[2]REF615 OC-5P_HV_SBEF(8)'!G40</f>
        <v>33.333333333333336</v>
      </c>
    </row>
    <row r="87" spans="1:26" ht="18" customHeight="1">
      <c r="A87" s="765"/>
      <c r="B87" s="765"/>
      <c r="C87" s="765"/>
      <c r="D87" s="870">
        <f>'TR. MAIN-1 MF '!D610</f>
        <v>600</v>
      </c>
      <c r="E87" s="870"/>
      <c r="F87" s="872"/>
      <c r="G87" s="870"/>
      <c r="H87" s="959"/>
      <c r="I87" s="967"/>
      <c r="J87" s="968"/>
      <c r="K87" s="869">
        <f>'TR. MAIN-1 MF '!K610</f>
        <v>3</v>
      </c>
      <c r="L87" s="869"/>
      <c r="M87" s="869">
        <f>'TR. MAIN-1 MF '!M610</f>
        <v>400</v>
      </c>
      <c r="N87" s="869"/>
      <c r="O87" s="870">
        <f>'TR. MAIN-1 MF '!O610</f>
        <v>30</v>
      </c>
      <c r="P87" s="870"/>
      <c r="Q87" s="879"/>
      <c r="R87" s="879"/>
      <c r="S87" s="971" t="str">
        <f>'TR. MAIN-1 MF '!S610</f>
        <v>Suitably Dimensioned</v>
      </c>
      <c r="T87" s="972"/>
      <c r="U87" s="972"/>
      <c r="V87" s="973"/>
      <c r="W87" s="486">
        <f>'TR. MAIN-1 MF '!H442</f>
        <v>219.57453013333335</v>
      </c>
      <c r="X87" s="288"/>
      <c r="Y87" s="30"/>
      <c r="Z87" s="30"/>
    </row>
    <row r="88" spans="1:26" ht="18" customHeight="1">
      <c r="A88" s="765"/>
      <c r="B88" s="765"/>
      <c r="C88" s="765"/>
      <c r="D88" s="870" t="str">
        <f>'TR. MAIN-1 MF '!D611</f>
        <v>-</v>
      </c>
      <c r="E88" s="870"/>
      <c r="F88" s="873"/>
      <c r="G88" s="870"/>
      <c r="H88" s="959"/>
      <c r="I88" s="969"/>
      <c r="J88" s="970"/>
      <c r="K88" s="869" t="str">
        <f>'TR. MAIN-1 MF '!K611</f>
        <v>-</v>
      </c>
      <c r="L88" s="869"/>
      <c r="M88" s="869" t="str">
        <f>'TR. MAIN-1 MF '!M611</f>
        <v>-</v>
      </c>
      <c r="N88" s="869"/>
      <c r="O88" s="870" t="str">
        <f>'TR. MAIN-1 MF '!O611</f>
        <v>-</v>
      </c>
      <c r="P88" s="870"/>
      <c r="Q88" s="879"/>
      <c r="R88" s="879"/>
      <c r="S88" s="971" t="str">
        <f>'TR. MAIN-1 MF '!S611</f>
        <v>-</v>
      </c>
      <c r="T88" s="972"/>
      <c r="U88" s="972"/>
      <c r="V88" s="973"/>
      <c r="W88" s="474" t="s">
        <v>6</v>
      </c>
      <c r="X88" s="263"/>
      <c r="Y88" s="30"/>
      <c r="Z88" s="30"/>
    </row>
    <row r="89" spans="1:26" ht="16.2" customHeight="1">
      <c r="A89" s="334" t="s">
        <v>1053</v>
      </c>
      <c r="B89" s="335"/>
      <c r="C89" s="335"/>
      <c r="D89" s="335"/>
      <c r="E89" s="335"/>
      <c r="F89" s="335"/>
      <c r="G89" s="335"/>
      <c r="H89" s="335"/>
      <c r="I89" s="335"/>
      <c r="J89" s="335"/>
      <c r="K89" s="335"/>
      <c r="L89" s="335"/>
      <c r="M89" s="335"/>
      <c r="N89" s="335"/>
      <c r="O89" s="335"/>
      <c r="P89" s="335"/>
      <c r="Q89" s="335"/>
      <c r="R89" s="335"/>
      <c r="S89" s="335"/>
      <c r="T89" s="335"/>
      <c r="U89" s="335"/>
      <c r="V89" s="335"/>
      <c r="W89" s="974"/>
      <c r="X89" s="975"/>
      <c r="Y89" s="30"/>
      <c r="Z89" s="30"/>
    </row>
    <row r="90" spans="1:26" ht="28.2" customHeight="1">
      <c r="A90" s="868" t="s">
        <v>85</v>
      </c>
      <c r="B90" s="868"/>
      <c r="C90" s="869"/>
      <c r="D90" s="868" t="s">
        <v>86</v>
      </c>
      <c r="E90" s="868"/>
      <c r="F90" s="868"/>
      <c r="G90" s="868" t="s">
        <v>87</v>
      </c>
      <c r="H90" s="868"/>
      <c r="I90" s="868" t="s">
        <v>88</v>
      </c>
      <c r="J90" s="868"/>
      <c r="K90" s="955" t="s">
        <v>89</v>
      </c>
      <c r="L90" s="957"/>
      <c r="M90" s="868" t="s">
        <v>90</v>
      </c>
      <c r="N90" s="868"/>
      <c r="O90" s="868" t="s">
        <v>91</v>
      </c>
      <c r="P90" s="868"/>
      <c r="Q90" s="955" t="s">
        <v>92</v>
      </c>
      <c r="R90" s="957"/>
      <c r="S90" s="955" t="s">
        <v>93</v>
      </c>
      <c r="T90" s="956"/>
      <c r="U90" s="956"/>
      <c r="V90" s="956"/>
      <c r="W90" s="478" t="s">
        <v>94</v>
      </c>
      <c r="X90" s="319"/>
      <c r="Y90" s="30"/>
      <c r="Z90" s="30"/>
    </row>
    <row r="91" spans="1:26" ht="18" customHeight="1">
      <c r="A91" s="994" t="str">
        <f>'TR. MAIN-2 MF '!A702</f>
        <v>T1</v>
      </c>
      <c r="B91" s="976" t="str">
        <f>'TR. MAIN-2 MF '!B702</f>
        <v>Core2</v>
      </c>
      <c r="C91" s="856"/>
      <c r="D91" s="971">
        <f>'TR. MAIN-2 MF '!D702</f>
        <v>3200</v>
      </c>
      <c r="E91" s="973"/>
      <c r="F91" s="871">
        <f>'TR. MAIN-2 MF '!F702</f>
        <v>1</v>
      </c>
      <c r="G91" s="871">
        <f>'CT-VT Burdens'!S21</f>
        <v>120</v>
      </c>
      <c r="H91" s="1022">
        <f>'CT-VT Burdens'!S10</f>
        <v>6</v>
      </c>
      <c r="I91" s="965" t="str">
        <f>'TR. MAIN-2 MF '!I702</f>
        <v>PX</v>
      </c>
      <c r="J91" s="966"/>
      <c r="K91" s="1030">
        <f>'TR. MAIN-2 MF '!K702</f>
        <v>16</v>
      </c>
      <c r="L91" s="1031"/>
      <c r="M91" s="1030">
        <f>'TR. MAIN-2 MF '!M702</f>
        <v>1600</v>
      </c>
      <c r="N91" s="1031"/>
      <c r="O91" s="971">
        <f>'TR. MAIN-2 MF '!O702</f>
        <v>10</v>
      </c>
      <c r="P91" s="973"/>
      <c r="Q91" s="1013" t="str">
        <f>'TR. MAIN-2 MF '!Q702</f>
        <v xml:space="preserve">7UT85   </v>
      </c>
      <c r="R91" s="1014"/>
      <c r="S91" s="971" t="str">
        <f>'TR. MAIN-2 MF '!S702</f>
        <v>Suitably Dimensioned</v>
      </c>
      <c r="T91" s="972"/>
      <c r="U91" s="972"/>
      <c r="V91" s="973"/>
      <c r="W91" s="344">
        <f>'TR. MAIN-2 MF '!N93</f>
        <v>343.55</v>
      </c>
      <c r="X91" s="288"/>
      <c r="Y91" s="30"/>
      <c r="Z91" s="30"/>
    </row>
    <row r="92" spans="1:26" ht="18" customHeight="1">
      <c r="A92" s="1033"/>
      <c r="B92" s="837"/>
      <c r="C92" s="977"/>
      <c r="D92" s="971">
        <f>'TR. MAIN-2 MF '!D703</f>
        <v>600</v>
      </c>
      <c r="E92" s="973"/>
      <c r="F92" s="872"/>
      <c r="G92" s="872"/>
      <c r="H92" s="1023"/>
      <c r="I92" s="967"/>
      <c r="J92" s="968"/>
      <c r="K92" s="1030">
        <f>'TR. MAIN-2 MF '!K703</f>
        <v>3</v>
      </c>
      <c r="L92" s="1031"/>
      <c r="M92" s="1030">
        <f>'TR. MAIN-2 MF '!M703</f>
        <v>400</v>
      </c>
      <c r="N92" s="1031"/>
      <c r="O92" s="971">
        <f>'TR. MAIN-2 MF '!O703</f>
        <v>30</v>
      </c>
      <c r="P92" s="973"/>
      <c r="Q92" s="1015"/>
      <c r="R92" s="1016"/>
      <c r="S92" s="971" t="str">
        <f>'TR. MAIN-2 MF '!S703</f>
        <v>Suitably Dimensioned</v>
      </c>
      <c r="T92" s="972"/>
      <c r="U92" s="972"/>
      <c r="V92" s="973"/>
      <c r="W92" s="486">
        <f>'TR. MAIN-2 MF '!N218</f>
        <v>139.23999999999998</v>
      </c>
      <c r="X92" s="288"/>
      <c r="Y92" s="30"/>
      <c r="Z92" s="30"/>
    </row>
    <row r="93" spans="1:26" ht="15.6" customHeight="1">
      <c r="A93" s="1034"/>
      <c r="B93" s="857"/>
      <c r="C93" s="858"/>
      <c r="D93" s="971" t="str">
        <f>'TR. MAIN-2 MF '!D704</f>
        <v>-</v>
      </c>
      <c r="E93" s="973"/>
      <c r="F93" s="873"/>
      <c r="G93" s="873"/>
      <c r="H93" s="1024"/>
      <c r="I93" s="969"/>
      <c r="J93" s="970"/>
      <c r="K93" s="1030" t="str">
        <f>'TR. MAIN-2 MF '!K704</f>
        <v>-</v>
      </c>
      <c r="L93" s="1031"/>
      <c r="M93" s="1030" t="str">
        <f>'TR. MAIN-2 MF '!M704</f>
        <v>-</v>
      </c>
      <c r="N93" s="1031"/>
      <c r="O93" s="971" t="str">
        <f>'TR. MAIN-2 MF '!O704</f>
        <v>-</v>
      </c>
      <c r="P93" s="973"/>
      <c r="Q93" s="1017"/>
      <c r="R93" s="1018"/>
      <c r="S93" s="971" t="str">
        <f>'TR. MAIN-2 MF '!S704</f>
        <v>-</v>
      </c>
      <c r="T93" s="972"/>
      <c r="U93" s="972"/>
      <c r="V93" s="973"/>
      <c r="W93" s="474" t="s">
        <v>6</v>
      </c>
      <c r="X93" s="263"/>
      <c r="Y93" s="30"/>
      <c r="Z93" s="30"/>
    </row>
    <row r="94" spans="1:26" ht="15.6" customHeight="1">
      <c r="A94" s="334" t="s">
        <v>1050</v>
      </c>
      <c r="B94" s="335"/>
      <c r="C94" s="335"/>
      <c r="D94" s="335"/>
      <c r="E94" s="335"/>
      <c r="F94" s="335"/>
      <c r="G94" s="335"/>
      <c r="H94" s="335"/>
      <c r="I94" s="335"/>
      <c r="J94" s="335"/>
      <c r="K94" s="335"/>
      <c r="L94" s="335"/>
      <c r="M94" s="335"/>
      <c r="N94" s="335"/>
      <c r="O94" s="335"/>
      <c r="P94" s="335"/>
      <c r="Q94" s="335"/>
      <c r="R94" s="335"/>
      <c r="S94" s="335"/>
      <c r="T94" s="335"/>
      <c r="U94" s="335"/>
      <c r="V94" s="335"/>
      <c r="W94" s="336"/>
      <c r="X94" s="337"/>
      <c r="Y94" s="30"/>
      <c r="Z94" s="30"/>
    </row>
    <row r="95" spans="1:26" ht="28.95" customHeight="1">
      <c r="A95" s="868" t="s">
        <v>85</v>
      </c>
      <c r="B95" s="868"/>
      <c r="C95" s="869"/>
      <c r="D95" s="868" t="s">
        <v>86</v>
      </c>
      <c r="E95" s="868"/>
      <c r="F95" s="868"/>
      <c r="G95" s="868" t="s">
        <v>87</v>
      </c>
      <c r="H95" s="868"/>
      <c r="I95" s="868" t="s">
        <v>88</v>
      </c>
      <c r="J95" s="868"/>
      <c r="K95" s="955" t="s">
        <v>89</v>
      </c>
      <c r="L95" s="957"/>
      <c r="M95" s="868" t="s">
        <v>100</v>
      </c>
      <c r="N95" s="868"/>
      <c r="O95" s="868" t="s">
        <v>91</v>
      </c>
      <c r="P95" s="868"/>
      <c r="Q95" s="955" t="s">
        <v>92</v>
      </c>
      <c r="R95" s="957"/>
      <c r="S95" s="955" t="s">
        <v>93</v>
      </c>
      <c r="T95" s="956"/>
      <c r="U95" s="956"/>
      <c r="V95" s="956"/>
      <c r="W95" s="478" t="s">
        <v>103</v>
      </c>
      <c r="X95" s="319"/>
      <c r="Y95" s="30"/>
      <c r="Z95" s="30"/>
    </row>
    <row r="96" spans="1:26" ht="15.6" customHeight="1">
      <c r="A96" s="994" t="str">
        <f>'BCU+PQM+AMMETER'!A141</f>
        <v>T1</v>
      </c>
      <c r="B96" s="976" t="str">
        <f>'BCU+PQM+AMMETER'!B141</f>
        <v>Core3</v>
      </c>
      <c r="C96" s="856"/>
      <c r="D96" s="971">
        <f>'BCU+PQM+AMMETER'!D141</f>
        <v>3200</v>
      </c>
      <c r="E96" s="973"/>
      <c r="F96" s="871">
        <f>'BCU+PQM+AMMETER'!F141</f>
        <v>1</v>
      </c>
      <c r="G96" s="871">
        <f>'CT-VT Burdens'!S21</f>
        <v>120</v>
      </c>
      <c r="H96" s="1022">
        <f>'CT-VT Burdens'!S10</f>
        <v>6</v>
      </c>
      <c r="I96" s="965">
        <f>'BCU+PQM+AMMETER'!I141</f>
        <v>0.5</v>
      </c>
      <c r="J96" s="966"/>
      <c r="K96" s="1030">
        <f>'BCU+PQM+AMMETER'!K141</f>
        <v>5</v>
      </c>
      <c r="L96" s="1031"/>
      <c r="M96" s="1032">
        <f>'BCU+PQM+AMMETER'!M141</f>
        <v>30</v>
      </c>
      <c r="N96" s="1031"/>
      <c r="O96" s="990" t="str">
        <f>'BCU+PQM+AMMETER'!O141</f>
        <v>-</v>
      </c>
      <c r="P96" s="973"/>
      <c r="Q96" s="1013" t="str">
        <f>'BCU+PQM+AMMETER'!Q141</f>
        <v xml:space="preserve">REC670 +  CP-L96A  </v>
      </c>
      <c r="R96" s="1014"/>
      <c r="S96" s="971" t="str">
        <f>'BCU+PQM+AMMETER'!S141</f>
        <v>Suitably Dimensioned</v>
      </c>
      <c r="T96" s="972"/>
      <c r="U96" s="972"/>
      <c r="V96" s="973"/>
      <c r="W96" s="344">
        <f>'BCU+PQM+AMMETER'!J45</f>
        <v>21.612883167457294</v>
      </c>
      <c r="X96" s="288"/>
      <c r="Y96" s="30"/>
      <c r="Z96" s="30"/>
    </row>
    <row r="97" spans="1:26" ht="15.6" customHeight="1">
      <c r="A97" s="1033"/>
      <c r="B97" s="837"/>
      <c r="C97" s="977"/>
      <c r="D97" s="971">
        <f>'BCU+PQM+AMMETER'!D142</f>
        <v>600</v>
      </c>
      <c r="E97" s="973"/>
      <c r="F97" s="872"/>
      <c r="G97" s="872"/>
      <c r="H97" s="1023"/>
      <c r="I97" s="967"/>
      <c r="J97" s="968"/>
      <c r="K97" s="1030">
        <f>'BCU+PQM+AMMETER'!K142</f>
        <v>1</v>
      </c>
      <c r="L97" s="1031"/>
      <c r="M97" s="1032">
        <f>'BCU+PQM+AMMETER'!M142</f>
        <v>10</v>
      </c>
      <c r="N97" s="1031"/>
      <c r="O97" s="971" t="str">
        <f>'OC+BCPU+FMS-X (2)'!O287</f>
        <v>-</v>
      </c>
      <c r="P97" s="973"/>
      <c r="Q97" s="1015"/>
      <c r="R97" s="1016"/>
      <c r="S97" s="971" t="str">
        <f>'BCU+PQM+AMMETER'!S142</f>
        <v>Suitably Dimensioned</v>
      </c>
      <c r="T97" s="972"/>
      <c r="U97" s="972"/>
      <c r="V97" s="973"/>
      <c r="W97" s="486">
        <f>'BCU+PQM+AMMETER'!J86</f>
        <v>13.424383391954279</v>
      </c>
      <c r="X97" s="288"/>
      <c r="Y97" s="30"/>
      <c r="Z97" s="30"/>
    </row>
    <row r="98" spans="1:26" ht="15.6" customHeight="1">
      <c r="A98" s="1034"/>
      <c r="B98" s="857"/>
      <c r="C98" s="858"/>
      <c r="D98" s="971" t="str">
        <f>'BCU+PQM+AMMETER'!D143</f>
        <v>-</v>
      </c>
      <c r="E98" s="973"/>
      <c r="F98" s="873"/>
      <c r="G98" s="873"/>
      <c r="H98" s="1024"/>
      <c r="I98" s="969"/>
      <c r="J98" s="970"/>
      <c r="K98" s="1030" t="str">
        <f>'BCU+PQM+AMMETER'!K143</f>
        <v>-</v>
      </c>
      <c r="L98" s="1031"/>
      <c r="M98" s="1032" t="str">
        <f>'BCU+PQM+AMMETER'!M143</f>
        <v>-</v>
      </c>
      <c r="N98" s="1031"/>
      <c r="O98" s="971" t="str">
        <f>'OC+BCPU+FMS-X (2)'!O288</f>
        <v>-</v>
      </c>
      <c r="P98" s="973"/>
      <c r="Q98" s="1017"/>
      <c r="R98" s="1018"/>
      <c r="S98" s="971" t="str">
        <f>'BCU+PQM+AMMETER'!S143</f>
        <v>-</v>
      </c>
      <c r="T98" s="972"/>
      <c r="U98" s="972"/>
      <c r="V98" s="973"/>
      <c r="W98" s="474" t="s">
        <v>6</v>
      </c>
      <c r="X98" s="263"/>
      <c r="Y98" s="30"/>
      <c r="Z98" s="30"/>
    </row>
    <row r="99" spans="1:26" ht="15.6" customHeight="1">
      <c r="A99" s="334" t="s">
        <v>935</v>
      </c>
      <c r="B99" s="335"/>
      <c r="C99" s="335"/>
      <c r="D99" s="335"/>
      <c r="E99" s="335"/>
      <c r="F99" s="335"/>
      <c r="G99" s="335"/>
      <c r="H99" s="335"/>
      <c r="I99" s="335"/>
      <c r="J99" s="335"/>
      <c r="K99" s="335"/>
      <c r="L99" s="335"/>
      <c r="M99" s="335"/>
      <c r="N99" s="335"/>
      <c r="O99" s="335"/>
      <c r="P99" s="335"/>
      <c r="Q99" s="335"/>
      <c r="R99" s="335"/>
      <c r="S99" s="335"/>
      <c r="T99" s="335"/>
      <c r="U99" s="335"/>
      <c r="V99" s="335"/>
      <c r="W99" s="336"/>
      <c r="X99" s="337"/>
      <c r="Y99" s="30"/>
      <c r="Z99" s="30"/>
    </row>
    <row r="100" spans="1:26" ht="26.4" customHeight="1">
      <c r="A100" s="955" t="s">
        <v>85</v>
      </c>
      <c r="B100" s="956"/>
      <c r="C100" s="957"/>
      <c r="D100" s="955" t="s">
        <v>86</v>
      </c>
      <c r="E100" s="956"/>
      <c r="F100" s="957"/>
      <c r="G100" s="955" t="s">
        <v>87</v>
      </c>
      <c r="H100" s="957"/>
      <c r="I100" s="955" t="s">
        <v>88</v>
      </c>
      <c r="J100" s="957"/>
      <c r="K100" s="955" t="s">
        <v>89</v>
      </c>
      <c r="L100" s="957"/>
      <c r="M100" s="955" t="s">
        <v>905</v>
      </c>
      <c r="N100" s="957"/>
      <c r="O100" s="955" t="s">
        <v>91</v>
      </c>
      <c r="P100" s="957"/>
      <c r="Q100" s="955" t="s">
        <v>92</v>
      </c>
      <c r="R100" s="957"/>
      <c r="S100" s="868" t="s">
        <v>93</v>
      </c>
      <c r="T100" s="868"/>
      <c r="U100" s="868"/>
      <c r="V100" s="868"/>
      <c r="W100" s="319" t="s">
        <v>94</v>
      </c>
      <c r="X100" s="319"/>
      <c r="Y100" s="30"/>
      <c r="Z100" s="30"/>
    </row>
    <row r="101" spans="1:26" ht="15.6" customHeight="1">
      <c r="A101" s="765" t="str">
        <f t="shared" ref="A101:W101" si="3">A106</f>
        <v>T1</v>
      </c>
      <c r="B101" s="958" t="s">
        <v>113</v>
      </c>
      <c r="C101" s="765"/>
      <c r="D101" s="870">
        <f t="shared" si="3"/>
        <v>3200</v>
      </c>
      <c r="E101" s="870"/>
      <c r="F101" s="871">
        <f t="shared" si="3"/>
        <v>1</v>
      </c>
      <c r="G101" s="961">
        <f t="shared" si="3"/>
        <v>120</v>
      </c>
      <c r="H101" s="959">
        <f t="shared" si="3"/>
        <v>6</v>
      </c>
      <c r="I101" s="965" t="str">
        <f t="shared" si="3"/>
        <v>PX</v>
      </c>
      <c r="J101" s="1025"/>
      <c r="K101" s="869">
        <f t="shared" si="3"/>
        <v>8</v>
      </c>
      <c r="L101" s="869"/>
      <c r="M101" s="869">
        <f t="shared" si="3"/>
        <v>900</v>
      </c>
      <c r="N101" s="869"/>
      <c r="O101" s="870">
        <f t="shared" si="3"/>
        <v>10</v>
      </c>
      <c r="P101" s="870"/>
      <c r="Q101" s="879" t="str">
        <f t="shared" si="3"/>
        <v>REB500</v>
      </c>
      <c r="R101" s="879"/>
      <c r="S101" s="870" t="str">
        <f t="shared" si="3"/>
        <v>Suitably Dimensioned</v>
      </c>
      <c r="T101" s="870"/>
      <c r="U101" s="870"/>
      <c r="V101" s="870"/>
      <c r="W101" s="344">
        <f t="shared" si="3"/>
        <v>87.331415424000014</v>
      </c>
      <c r="X101" s="263"/>
      <c r="Y101" s="30"/>
      <c r="Z101" s="30"/>
    </row>
    <row r="102" spans="1:26" ht="15.6" customHeight="1">
      <c r="A102" s="765"/>
      <c r="B102" s="765"/>
      <c r="C102" s="765"/>
      <c r="D102" s="870">
        <f t="shared" ref="D102:W102" si="4">D107</f>
        <v>2000</v>
      </c>
      <c r="E102" s="870"/>
      <c r="F102" s="872"/>
      <c r="G102" s="870"/>
      <c r="H102" s="959"/>
      <c r="I102" s="1026"/>
      <c r="J102" s="1027"/>
      <c r="K102" s="869">
        <f t="shared" si="4"/>
        <v>5</v>
      </c>
      <c r="L102" s="869"/>
      <c r="M102" s="869">
        <f t="shared" si="4"/>
        <v>500</v>
      </c>
      <c r="N102" s="869"/>
      <c r="O102" s="870">
        <f t="shared" si="4"/>
        <v>30</v>
      </c>
      <c r="P102" s="870"/>
      <c r="Q102" s="879"/>
      <c r="R102" s="879"/>
      <c r="S102" s="870" t="str">
        <f t="shared" si="4"/>
        <v>Suitably Dimensioned</v>
      </c>
      <c r="T102" s="870"/>
      <c r="U102" s="870"/>
      <c r="V102" s="870"/>
      <c r="W102" s="344">
        <f t="shared" si="4"/>
        <v>58.531415423999995</v>
      </c>
      <c r="X102" s="263"/>
      <c r="Y102" s="30"/>
      <c r="Z102" s="30"/>
    </row>
    <row r="103" spans="1:26" ht="18.75" customHeight="1">
      <c r="A103" s="994"/>
      <c r="B103" s="994"/>
      <c r="C103" s="994"/>
      <c r="D103" s="870" t="str">
        <f t="shared" ref="D103:W103" si="5">D108</f>
        <v>-</v>
      </c>
      <c r="E103" s="870"/>
      <c r="F103" s="872"/>
      <c r="G103" s="871"/>
      <c r="H103" s="1022"/>
      <c r="I103" s="1026"/>
      <c r="J103" s="1027"/>
      <c r="K103" s="869" t="str">
        <f t="shared" si="5"/>
        <v>-</v>
      </c>
      <c r="L103" s="869"/>
      <c r="M103" s="869" t="str">
        <f t="shared" si="5"/>
        <v>-</v>
      </c>
      <c r="N103" s="869"/>
      <c r="O103" s="870" t="str">
        <f t="shared" si="5"/>
        <v>-</v>
      </c>
      <c r="P103" s="870"/>
      <c r="Q103" s="1035"/>
      <c r="R103" s="1035"/>
      <c r="S103" s="870" t="str">
        <f t="shared" si="5"/>
        <v>-</v>
      </c>
      <c r="T103" s="870"/>
      <c r="U103" s="870"/>
      <c r="V103" s="870"/>
      <c r="W103" s="506" t="str">
        <f t="shared" si="5"/>
        <v>-</v>
      </c>
      <c r="X103" s="468"/>
      <c r="Y103" s="30"/>
      <c r="Z103" s="30"/>
    </row>
    <row r="104" spans="1:26" ht="15.6" customHeight="1">
      <c r="A104" s="334" t="s">
        <v>936</v>
      </c>
      <c r="B104" s="335"/>
      <c r="C104" s="335"/>
      <c r="D104" s="335"/>
      <c r="E104" s="335"/>
      <c r="F104" s="335"/>
      <c r="G104" s="335"/>
      <c r="H104" s="335"/>
      <c r="I104" s="335"/>
      <c r="J104" s="335"/>
      <c r="K104" s="335"/>
      <c r="L104" s="335"/>
      <c r="M104" s="335"/>
      <c r="N104" s="335"/>
      <c r="O104" s="335"/>
      <c r="P104" s="335"/>
      <c r="Q104" s="335"/>
      <c r="R104" s="335"/>
      <c r="S104" s="335"/>
      <c r="T104" s="335"/>
      <c r="U104" s="335"/>
      <c r="V104" s="335"/>
      <c r="W104" s="336"/>
      <c r="X104" s="337"/>
      <c r="Y104" s="30"/>
      <c r="Z104" s="30"/>
    </row>
    <row r="105" spans="1:26" ht="31.5" customHeight="1">
      <c r="A105" s="955" t="s">
        <v>85</v>
      </c>
      <c r="B105" s="956"/>
      <c r="C105" s="957"/>
      <c r="D105" s="955" t="s">
        <v>86</v>
      </c>
      <c r="E105" s="956"/>
      <c r="F105" s="957"/>
      <c r="G105" s="955" t="s">
        <v>87</v>
      </c>
      <c r="H105" s="957"/>
      <c r="I105" s="955" t="s">
        <v>88</v>
      </c>
      <c r="J105" s="957"/>
      <c r="K105" s="955" t="s">
        <v>89</v>
      </c>
      <c r="L105" s="957"/>
      <c r="M105" s="955" t="s">
        <v>905</v>
      </c>
      <c r="N105" s="957"/>
      <c r="O105" s="955" t="s">
        <v>91</v>
      </c>
      <c r="P105" s="957"/>
      <c r="Q105" s="955" t="s">
        <v>92</v>
      </c>
      <c r="R105" s="957"/>
      <c r="S105" s="868" t="s">
        <v>93</v>
      </c>
      <c r="T105" s="868"/>
      <c r="U105" s="868"/>
      <c r="V105" s="868"/>
      <c r="W105" s="319" t="s">
        <v>94</v>
      </c>
      <c r="X105" s="319"/>
      <c r="Y105" s="30"/>
      <c r="Z105" s="30"/>
    </row>
    <row r="106" spans="1:26" ht="17.25" customHeight="1">
      <c r="A106" s="765" t="str">
        <f>'MAIN-1 BBP+BFP (2)'!A264</f>
        <v>T1</v>
      </c>
      <c r="B106" s="958" t="s">
        <v>112</v>
      </c>
      <c r="C106" s="765"/>
      <c r="D106" s="870">
        <f>'MAIN-1 BBP+BFP (2)'!D264</f>
        <v>3200</v>
      </c>
      <c r="E106" s="870"/>
      <c r="F106" s="871">
        <f>'MAIN-1 BBP+BFP (2)'!F264</f>
        <v>1</v>
      </c>
      <c r="G106" s="961">
        <f>'MAIN-1 BBP+BFP (2)'!G264</f>
        <v>120</v>
      </c>
      <c r="H106" s="959">
        <f>'MAIN-1 BBP+BFP (2)'!H264</f>
        <v>6</v>
      </c>
      <c r="I106" s="965" t="str">
        <f>'MAIN-1 BBP+BFP (2)'!I264</f>
        <v>PX</v>
      </c>
      <c r="J106" s="1025"/>
      <c r="K106" s="869">
        <f>'MAIN-1 BBP+BFP (2)'!K264</f>
        <v>8</v>
      </c>
      <c r="L106" s="869"/>
      <c r="M106" s="869">
        <f>'MAIN-1 BBP+BFP (2)'!M264</f>
        <v>900</v>
      </c>
      <c r="N106" s="869"/>
      <c r="O106" s="870">
        <f>'MAIN-1 BBP+BFP (2)'!O264</f>
        <v>10</v>
      </c>
      <c r="P106" s="870"/>
      <c r="Q106" s="879" t="str">
        <f>'MAIN-1 BBP+BFP (2)'!Q264</f>
        <v>REB500</v>
      </c>
      <c r="R106" s="879"/>
      <c r="S106" s="870" t="str">
        <f>'MAIN-1 BBP+BFP (2)'!S264</f>
        <v>Suitably Dimensioned</v>
      </c>
      <c r="T106" s="870"/>
      <c r="U106" s="870"/>
      <c r="V106" s="870"/>
      <c r="W106" s="344">
        <f>'MAIN-1 BBP+BFP (2)'!M81</f>
        <v>87.331415424000014</v>
      </c>
      <c r="X106" s="263"/>
      <c r="Y106" s="30"/>
      <c r="Z106" s="30"/>
    </row>
    <row r="107" spans="1:26" ht="15.6" customHeight="1">
      <c r="A107" s="765"/>
      <c r="B107" s="765"/>
      <c r="C107" s="765"/>
      <c r="D107" s="870">
        <f>'MAIN-1 BBP+BFP (2)'!D265</f>
        <v>2000</v>
      </c>
      <c r="E107" s="870"/>
      <c r="F107" s="872"/>
      <c r="G107" s="870"/>
      <c r="H107" s="959"/>
      <c r="I107" s="1026"/>
      <c r="J107" s="1027"/>
      <c r="K107" s="869">
        <f>'MAIN-1 BBP+BFP (2)'!K265</f>
        <v>5</v>
      </c>
      <c r="L107" s="869"/>
      <c r="M107" s="869">
        <f>'MAIN-1 BBP+BFP (2)'!M265</f>
        <v>500</v>
      </c>
      <c r="N107" s="869"/>
      <c r="O107" s="870">
        <f>'MAIN-1 BBP+BFP (2)'!O265</f>
        <v>30</v>
      </c>
      <c r="P107" s="870"/>
      <c r="Q107" s="879"/>
      <c r="R107" s="879"/>
      <c r="S107" s="870" t="str">
        <f>'MAIN-1 BBP+BFP (2)'!S265</f>
        <v>Suitably Dimensioned</v>
      </c>
      <c r="T107" s="870"/>
      <c r="U107" s="870"/>
      <c r="V107" s="870"/>
      <c r="W107" s="344">
        <f>'MAIN-1 BBP+BFP (2)'!M161</f>
        <v>58.531415423999995</v>
      </c>
      <c r="X107" s="263"/>
      <c r="Y107" s="30"/>
      <c r="Z107" s="30"/>
    </row>
    <row r="108" spans="1:26" ht="15.6" customHeight="1">
      <c r="A108" s="765"/>
      <c r="B108" s="765"/>
      <c r="C108" s="765"/>
      <c r="D108" s="870" t="str">
        <f>'MAIN-1 BBP+BFP (2)'!D266</f>
        <v>-</v>
      </c>
      <c r="E108" s="870"/>
      <c r="F108" s="873"/>
      <c r="G108" s="870"/>
      <c r="H108" s="959"/>
      <c r="I108" s="1028"/>
      <c r="J108" s="1029"/>
      <c r="K108" s="869" t="str">
        <f>'MAIN-1 BBP+BFP (2)'!K266</f>
        <v>-</v>
      </c>
      <c r="L108" s="869"/>
      <c r="M108" s="869" t="str">
        <f>'MAIN-1 BBP+BFP (2)'!M266</f>
        <v>-</v>
      </c>
      <c r="N108" s="869"/>
      <c r="O108" s="870" t="str">
        <f>'MAIN-1 BBP+BFP (2)'!O266</f>
        <v>-</v>
      </c>
      <c r="P108" s="870"/>
      <c r="Q108" s="879"/>
      <c r="R108" s="879"/>
      <c r="S108" s="870" t="str">
        <f>'MAIN-1 BBP+BFP (2)'!S266</f>
        <v>-</v>
      </c>
      <c r="T108" s="870"/>
      <c r="U108" s="870"/>
      <c r="V108" s="870"/>
      <c r="W108" s="474" t="s">
        <v>6</v>
      </c>
      <c r="X108" s="263"/>
      <c r="Y108" s="30"/>
      <c r="Z108" s="30"/>
    </row>
    <row r="109" spans="1:26" ht="15" hidden="1" customHeight="1">
      <c r="A109" s="1042" t="s">
        <v>937</v>
      </c>
      <c r="B109" s="1043"/>
      <c r="C109" s="1043"/>
      <c r="D109" s="1043"/>
      <c r="E109" s="1043"/>
      <c r="F109" s="1043"/>
      <c r="G109" s="1043"/>
      <c r="H109" s="1043"/>
      <c r="I109" s="1043"/>
      <c r="J109" s="1043"/>
      <c r="K109" s="1043"/>
      <c r="L109" s="1043"/>
      <c r="M109" s="1043"/>
      <c r="N109" s="1043"/>
      <c r="O109" s="1043"/>
      <c r="P109" s="1043"/>
      <c r="Q109" s="1043"/>
      <c r="R109" s="1043"/>
      <c r="S109" s="1043"/>
      <c r="T109" s="1043"/>
      <c r="U109" s="1043"/>
      <c r="V109" s="1043"/>
      <c r="W109" s="1043"/>
      <c r="X109" s="1044"/>
      <c r="Y109" s="30"/>
      <c r="Z109" s="30"/>
    </row>
    <row r="110" spans="1:26" ht="28.95" hidden="1" customHeight="1">
      <c r="A110" s="868" t="s">
        <v>85</v>
      </c>
      <c r="B110" s="868"/>
      <c r="C110" s="869"/>
      <c r="D110" s="868" t="s">
        <v>86</v>
      </c>
      <c r="E110" s="868"/>
      <c r="F110" s="868"/>
      <c r="G110" s="868" t="s">
        <v>87</v>
      </c>
      <c r="H110" s="868"/>
      <c r="I110" s="868" t="s">
        <v>88</v>
      </c>
      <c r="J110" s="868"/>
      <c r="K110" s="955" t="s">
        <v>89</v>
      </c>
      <c r="L110" s="957"/>
      <c r="M110" s="868" t="s">
        <v>90</v>
      </c>
      <c r="N110" s="868"/>
      <c r="O110" s="868" t="s">
        <v>91</v>
      </c>
      <c r="P110" s="868"/>
      <c r="Q110" s="955" t="s">
        <v>92</v>
      </c>
      <c r="R110" s="957"/>
      <c r="S110" s="955" t="s">
        <v>93</v>
      </c>
      <c r="T110" s="956"/>
      <c r="U110" s="956"/>
      <c r="V110" s="956"/>
      <c r="W110" s="478" t="s">
        <v>94</v>
      </c>
      <c r="X110" s="319"/>
      <c r="Y110" s="30"/>
      <c r="Z110" s="30"/>
    </row>
    <row r="111" spans="1:26" ht="19.8" hidden="1" customHeight="1">
      <c r="A111" s="976" t="str">
        <f>'MAIN-2 HV REF+SBEF'!A702</f>
        <v>T3</v>
      </c>
      <c r="B111" s="976" t="str">
        <f>'MAIN-2 HV REF+SBEF'!B702</f>
        <v>Core1</v>
      </c>
      <c r="C111" s="856"/>
      <c r="D111" s="971">
        <f>'MAIN-2 HV REF+SBEF'!D702</f>
        <v>600</v>
      </c>
      <c r="E111" s="973"/>
      <c r="F111" s="871">
        <f>'MAIN-2 HV REF+SBEF'!F702</f>
        <v>1</v>
      </c>
      <c r="G111" s="871">
        <f>'CT-VT Burdens'!S21</f>
        <v>120</v>
      </c>
      <c r="H111" s="995">
        <f>'CT-VT Burdens'!S10</f>
        <v>6</v>
      </c>
      <c r="I111" s="965" t="str">
        <f>'MAIN-2 HV REF+SBEF'!I702</f>
        <v>PX</v>
      </c>
      <c r="J111" s="978"/>
      <c r="K111" s="869">
        <f>'MAIN-2 HV REF+SBEF'!K702</f>
        <v>1.5</v>
      </c>
      <c r="L111" s="869"/>
      <c r="M111" s="869">
        <f>'MAIN-2 HV REF+SBEF'!M702</f>
        <v>400</v>
      </c>
      <c r="N111" s="869"/>
      <c r="O111" s="870">
        <f>'MAIN-2 HV REF+SBEF'!O702</f>
        <v>20</v>
      </c>
      <c r="P111" s="870"/>
      <c r="Q111" s="979" t="str">
        <f>'MAIN-2 HV REF+SBEF'!Q702</f>
        <v xml:space="preserve">7UT85   </v>
      </c>
      <c r="R111" s="979"/>
      <c r="S111" s="971" t="str">
        <f>'MAIN-2 HV REF+SBEF'!S702</f>
        <v>Suitably Dimensioned</v>
      </c>
      <c r="T111" s="972"/>
      <c r="U111" s="972"/>
      <c r="V111" s="972"/>
      <c r="W111" s="344">
        <f>'MAIN-2 HV REF+SBEF'!N93</f>
        <v>92.23</v>
      </c>
      <c r="X111" s="288"/>
      <c r="Y111" s="30"/>
      <c r="Z111" s="30"/>
    </row>
    <row r="112" spans="1:26" ht="15.6" hidden="1" customHeight="1">
      <c r="A112" s="837"/>
      <c r="B112" s="837"/>
      <c r="C112" s="977"/>
      <c r="D112" s="971">
        <f>'MAIN-2 HV REF+SBEF'!D703</f>
        <v>1000</v>
      </c>
      <c r="E112" s="973"/>
      <c r="F112" s="872"/>
      <c r="G112" s="872"/>
      <c r="H112" s="996"/>
      <c r="I112" s="967"/>
      <c r="J112" s="805"/>
      <c r="K112" s="869">
        <f>'MAIN-2 HV REF+SBEF'!K703</f>
        <v>2.7</v>
      </c>
      <c r="L112" s="869"/>
      <c r="M112" s="869">
        <f>'MAIN-2 HV REF+SBEF'!M703</f>
        <v>900</v>
      </c>
      <c r="N112" s="869"/>
      <c r="O112" s="870">
        <f>'MAIN-2 HV REF+SBEF'!O703</f>
        <v>10</v>
      </c>
      <c r="P112" s="870"/>
      <c r="Q112" s="980"/>
      <c r="R112" s="980"/>
      <c r="S112" s="971" t="str">
        <f>'MAIN-2 HV REF+SBEF'!S703</f>
        <v>Suitably Dimensioned</v>
      </c>
      <c r="T112" s="972"/>
      <c r="U112" s="972"/>
      <c r="V112" s="972"/>
      <c r="W112" s="486">
        <f>'MAIN-2 HV REF+SBEF'!N218</f>
        <v>79.34</v>
      </c>
      <c r="X112" s="288"/>
      <c r="Y112" s="30"/>
      <c r="Z112" s="30"/>
    </row>
    <row r="113" spans="1:26" ht="15.6" hidden="1" customHeight="1">
      <c r="A113" s="837"/>
      <c r="B113" s="837"/>
      <c r="C113" s="977"/>
      <c r="D113" s="971" t="str">
        <f>'MAIN-2 HV REF+SBEF'!D704</f>
        <v>-</v>
      </c>
      <c r="E113" s="973"/>
      <c r="F113" s="872"/>
      <c r="G113" s="872"/>
      <c r="H113" s="996"/>
      <c r="I113" s="967"/>
      <c r="J113" s="805"/>
      <c r="K113" s="869" t="str">
        <f>'OC+BCPU+FMS-X (3)'!K288</f>
        <v>-</v>
      </c>
      <c r="L113" s="869"/>
      <c r="M113" s="869" t="str">
        <f>'OC+BCPU+FMS-X (3)'!M288</f>
        <v>-</v>
      </c>
      <c r="N113" s="869"/>
      <c r="O113" s="870" t="str">
        <f>'OC+BCPU+FMS-X (3)'!O288</f>
        <v>-</v>
      </c>
      <c r="P113" s="870"/>
      <c r="Q113" s="980"/>
      <c r="R113" s="980"/>
      <c r="S113" s="971" t="str">
        <f>'OC+BCPU+FMS-X (3)'!S288</f>
        <v>-</v>
      </c>
      <c r="T113" s="972"/>
      <c r="U113" s="972"/>
      <c r="V113" s="973"/>
      <c r="W113" s="474" t="s">
        <v>6</v>
      </c>
      <c r="X113" s="263"/>
      <c r="Y113" s="30"/>
      <c r="Z113" s="30"/>
    </row>
    <row r="114" spans="1:26" ht="26.4" hidden="1" customHeight="1">
      <c r="A114" s="837"/>
      <c r="B114" s="837"/>
      <c r="C114" s="977"/>
      <c r="D114" s="971">
        <f>'MAIN-2 HV REF+SBEF'!D705</f>
        <v>0</v>
      </c>
      <c r="E114" s="973"/>
      <c r="F114" s="872"/>
      <c r="G114" s="872"/>
      <c r="H114" s="996"/>
      <c r="I114" s="967"/>
      <c r="J114" s="805"/>
      <c r="K114" s="335"/>
      <c r="L114" s="335"/>
      <c r="M114" s="335"/>
      <c r="N114" s="335"/>
      <c r="O114" s="335"/>
      <c r="P114" s="335"/>
      <c r="Q114" s="980"/>
      <c r="R114" s="980"/>
      <c r="S114" s="335"/>
      <c r="T114" s="335"/>
      <c r="U114" s="335"/>
      <c r="V114" s="335"/>
      <c r="W114" s="974"/>
      <c r="X114" s="975"/>
      <c r="Y114" s="30"/>
      <c r="Z114" s="30"/>
    </row>
    <row r="115" spans="1:26" ht="15.6" hidden="1" customHeight="1">
      <c r="A115" s="837"/>
      <c r="B115" s="837"/>
      <c r="C115" s="977"/>
      <c r="D115" s="971">
        <f>'MAIN-2 HV REF+SBEF'!D706</f>
        <v>0</v>
      </c>
      <c r="E115" s="973"/>
      <c r="F115" s="872"/>
      <c r="G115" s="872"/>
      <c r="H115" s="996"/>
      <c r="I115" s="967"/>
      <c r="J115" s="805"/>
      <c r="K115" s="955" t="s">
        <v>89</v>
      </c>
      <c r="L115" s="957"/>
      <c r="M115" s="868" t="s">
        <v>100</v>
      </c>
      <c r="N115" s="868"/>
      <c r="O115" s="868"/>
      <c r="P115" s="868"/>
      <c r="Q115" s="980"/>
      <c r="R115" s="980"/>
      <c r="S115" s="955" t="s">
        <v>93</v>
      </c>
      <c r="T115" s="956"/>
      <c r="U115" s="956"/>
      <c r="V115" s="956"/>
      <c r="W115" s="319" t="s">
        <v>103</v>
      </c>
      <c r="X115" s="319"/>
      <c r="Y115" s="30"/>
      <c r="Z115" s="30"/>
    </row>
    <row r="116" spans="1:26" ht="15.6" hidden="1" customHeight="1">
      <c r="A116" s="837"/>
      <c r="B116" s="837"/>
      <c r="C116" s="977"/>
      <c r="D116" s="971">
        <f>'MAIN-2 HV REF+SBEF'!D707</f>
        <v>0</v>
      </c>
      <c r="E116" s="973"/>
      <c r="F116" s="872"/>
      <c r="G116" s="872"/>
      <c r="H116" s="996"/>
      <c r="I116" s="967"/>
      <c r="J116" s="805"/>
      <c r="K116" s="869">
        <f>'(Metering + Ammeter) (2)'!K144</f>
        <v>1</v>
      </c>
      <c r="L116" s="869"/>
      <c r="M116" s="869">
        <f>'(Metering + Ammeter) (2)'!M144</f>
        <v>5</v>
      </c>
      <c r="N116" s="869"/>
      <c r="O116" s="870" t="str">
        <f>'(Metering + Ammeter) (2)'!O144</f>
        <v>-</v>
      </c>
      <c r="P116" s="870"/>
      <c r="Q116" s="980"/>
      <c r="R116" s="980"/>
      <c r="S116" s="971" t="str">
        <f>'(Metering + Ammeter) (2)'!S144</f>
        <v>Suitable Dimensions</v>
      </c>
      <c r="T116" s="972"/>
      <c r="U116" s="972"/>
      <c r="V116" s="973"/>
      <c r="W116" s="264">
        <f>'(Metering + Ammeter) (2)'!J46</f>
        <v>8.995441721825415</v>
      </c>
      <c r="X116" s="288"/>
      <c r="Y116" s="30"/>
      <c r="Z116" s="30"/>
    </row>
    <row r="117" spans="1:26" ht="15.6" hidden="1" customHeight="1">
      <c r="A117" s="837"/>
      <c r="B117" s="837"/>
      <c r="C117" s="977"/>
      <c r="D117" s="971">
        <f>'MAIN-2 HV REF+SBEF'!D708</f>
        <v>0</v>
      </c>
      <c r="E117" s="973"/>
      <c r="F117" s="872"/>
      <c r="G117" s="872"/>
      <c r="H117" s="996"/>
      <c r="I117" s="967"/>
      <c r="J117" s="805"/>
      <c r="K117" s="869" t="str">
        <f>'(Metering + Ammeter) (2)'!K145</f>
        <v>-</v>
      </c>
      <c r="L117" s="869"/>
      <c r="M117" s="869" t="str">
        <f>'(Metering + Ammeter) (2)'!M145</f>
        <v>-</v>
      </c>
      <c r="N117" s="869"/>
      <c r="O117" s="870" t="str">
        <f>'(Metering + Ammeter) (2)'!O145</f>
        <v>-</v>
      </c>
      <c r="P117" s="870"/>
      <c r="Q117" s="980"/>
      <c r="R117" s="980"/>
      <c r="S117" s="971" t="str">
        <f>'(Metering + Ammeter) (2)'!S145</f>
        <v>-</v>
      </c>
      <c r="T117" s="972"/>
      <c r="U117" s="972"/>
      <c r="V117" s="973"/>
      <c r="W117" s="486" t="s">
        <v>6</v>
      </c>
      <c r="X117" s="288"/>
      <c r="Y117" s="30"/>
      <c r="Z117" s="30"/>
    </row>
    <row r="118" spans="1:26" ht="15.6" hidden="1" customHeight="1">
      <c r="A118" s="837"/>
      <c r="B118" s="837"/>
      <c r="C118" s="977"/>
      <c r="D118" s="971">
        <f>'MAIN-2 HV REF+SBEF'!D709</f>
        <v>0</v>
      </c>
      <c r="E118" s="973"/>
      <c r="F118" s="872"/>
      <c r="G118" s="872"/>
      <c r="H118" s="996"/>
      <c r="I118" s="967"/>
      <c r="J118" s="805"/>
      <c r="K118" s="869" t="str">
        <f>'(Metering + Ammeter) (2)'!K146</f>
        <v>-</v>
      </c>
      <c r="L118" s="869"/>
      <c r="M118" s="869" t="str">
        <f>'(Metering + Ammeter) (2)'!M146</f>
        <v>-</v>
      </c>
      <c r="N118" s="869"/>
      <c r="O118" s="870" t="str">
        <f>'(Metering + Ammeter) (2)'!O146</f>
        <v>-</v>
      </c>
      <c r="P118" s="870"/>
      <c r="Q118" s="980"/>
      <c r="R118" s="980"/>
      <c r="S118" s="971" t="str">
        <f>'(Metering + Ammeter) (2)'!S146</f>
        <v>-</v>
      </c>
      <c r="T118" s="972"/>
      <c r="U118" s="972"/>
      <c r="V118" s="973"/>
      <c r="W118" s="474" t="s">
        <v>6</v>
      </c>
      <c r="X118" s="263"/>
      <c r="Y118" s="30"/>
      <c r="Z118" s="30"/>
    </row>
    <row r="119" spans="1:26" ht="26.4" hidden="1" customHeight="1">
      <c r="A119" s="837"/>
      <c r="B119" s="837"/>
      <c r="C119" s="977"/>
      <c r="D119" s="971">
        <f>'MAIN-2 HV REF+SBEF'!D710</f>
        <v>0</v>
      </c>
      <c r="E119" s="973"/>
      <c r="F119" s="872"/>
      <c r="G119" s="872"/>
      <c r="H119" s="996"/>
      <c r="I119" s="967"/>
      <c r="J119" s="805"/>
      <c r="K119" s="335"/>
      <c r="L119" s="335"/>
      <c r="M119" s="335"/>
      <c r="N119" s="335"/>
      <c r="O119" s="335"/>
      <c r="P119" s="335"/>
      <c r="Q119" s="980"/>
      <c r="R119" s="980"/>
      <c r="S119" s="335"/>
      <c r="T119" s="335"/>
      <c r="U119" s="335"/>
      <c r="V119" s="335"/>
      <c r="W119" s="336"/>
      <c r="X119" s="337"/>
      <c r="Y119" s="30"/>
      <c r="Z119" s="30"/>
    </row>
    <row r="120" spans="1:26" ht="15.6" hidden="1" customHeight="1">
      <c r="A120" s="837"/>
      <c r="B120" s="837"/>
      <c r="C120" s="977"/>
      <c r="D120" s="971">
        <f>'MAIN-2 HV REF+SBEF'!D711</f>
        <v>0</v>
      </c>
      <c r="E120" s="973"/>
      <c r="F120" s="872"/>
      <c r="G120" s="872"/>
      <c r="H120" s="996"/>
      <c r="I120" s="967"/>
      <c r="J120" s="805"/>
      <c r="K120" s="955" t="s">
        <v>89</v>
      </c>
      <c r="L120" s="957"/>
      <c r="M120" s="955" t="s">
        <v>102</v>
      </c>
      <c r="N120" s="957"/>
      <c r="O120" s="955" t="s">
        <v>91</v>
      </c>
      <c r="P120" s="957"/>
      <c r="Q120" s="980"/>
      <c r="R120" s="980"/>
      <c r="S120" s="868" t="s">
        <v>93</v>
      </c>
      <c r="T120" s="868"/>
      <c r="U120" s="868"/>
      <c r="V120" s="868"/>
      <c r="W120" s="485" t="s">
        <v>104</v>
      </c>
      <c r="X120" s="485" t="s">
        <v>105</v>
      </c>
      <c r="Y120" s="30"/>
      <c r="Z120" s="30"/>
    </row>
    <row r="121" spans="1:26" ht="15.6" hidden="1" customHeight="1">
      <c r="A121" s="837"/>
      <c r="B121" s="837"/>
      <c r="C121" s="977"/>
      <c r="D121" s="971">
        <f>'MAIN-2 HV REF+SBEF'!D712</f>
        <v>0</v>
      </c>
      <c r="E121" s="973"/>
      <c r="F121" s="872"/>
      <c r="G121" s="872"/>
      <c r="H121" s="996"/>
      <c r="I121" s="967"/>
      <c r="J121" s="805"/>
      <c r="K121" s="869" t="e">
        <f>#REF!</f>
        <v>#REF!</v>
      </c>
      <c r="L121" s="869"/>
      <c r="M121" s="869" t="e">
        <f>#REF!</f>
        <v>#REF!</v>
      </c>
      <c r="N121" s="869"/>
      <c r="O121" s="870" t="e">
        <f>#REF!</f>
        <v>#REF!</v>
      </c>
      <c r="P121" s="870"/>
      <c r="Q121" s="980"/>
      <c r="R121" s="980"/>
      <c r="S121" s="870" t="e">
        <f>#REF!</f>
        <v>#REF!</v>
      </c>
      <c r="T121" s="870"/>
      <c r="U121" s="870"/>
      <c r="V121" s="870"/>
      <c r="W121" s="264" t="e">
        <f>#REF!</f>
        <v>#REF!</v>
      </c>
      <c r="X121" s="264" t="e">
        <f>#REF!</f>
        <v>#REF!</v>
      </c>
      <c r="Y121" s="30"/>
      <c r="Z121" s="30"/>
    </row>
    <row r="122" spans="1:26" ht="15.6" hidden="1" customHeight="1">
      <c r="A122" s="837"/>
      <c r="B122" s="837"/>
      <c r="C122" s="977"/>
      <c r="D122" s="971">
        <f>'MAIN-2 HV REF+SBEF'!D713</f>
        <v>0</v>
      </c>
      <c r="E122" s="973"/>
      <c r="F122" s="872"/>
      <c r="G122" s="872"/>
      <c r="H122" s="996"/>
      <c r="I122" s="967"/>
      <c r="J122" s="805"/>
      <c r="K122" s="869" t="e">
        <f>#REF!</f>
        <v>#REF!</v>
      </c>
      <c r="L122" s="869"/>
      <c r="M122" s="869" t="e">
        <f>#REF!</f>
        <v>#REF!</v>
      </c>
      <c r="N122" s="869"/>
      <c r="O122" s="870" t="e">
        <f>#REF!</f>
        <v>#REF!</v>
      </c>
      <c r="P122" s="870"/>
      <c r="Q122" s="980"/>
      <c r="R122" s="980"/>
      <c r="S122" s="870" t="e">
        <f>#REF!</f>
        <v>#REF!</v>
      </c>
      <c r="T122" s="870"/>
      <c r="U122" s="870"/>
      <c r="V122" s="870"/>
      <c r="W122" s="264" t="e">
        <f>#REF!</f>
        <v>#REF!</v>
      </c>
      <c r="X122" s="264" t="e">
        <f>#REF!</f>
        <v>#REF!</v>
      </c>
      <c r="Y122" s="30"/>
      <c r="Z122" s="30"/>
    </row>
    <row r="123" spans="1:26" ht="15.6" hidden="1" customHeight="1">
      <c r="A123" s="857"/>
      <c r="B123" s="857"/>
      <c r="C123" s="858"/>
      <c r="D123" s="971" t="str">
        <f>'MAIN-2 HV REF+SBEF'!D704</f>
        <v>-</v>
      </c>
      <c r="E123" s="973"/>
      <c r="F123" s="873"/>
      <c r="G123" s="873"/>
      <c r="H123" s="997"/>
      <c r="I123" s="969"/>
      <c r="J123" s="822"/>
      <c r="K123" s="875" t="s">
        <v>6</v>
      </c>
      <c r="L123" s="869"/>
      <c r="M123" s="875" t="s">
        <v>6</v>
      </c>
      <c r="N123" s="869"/>
      <c r="O123" s="876" t="s">
        <v>6</v>
      </c>
      <c r="P123" s="870"/>
      <c r="Q123" s="981"/>
      <c r="R123" s="981"/>
      <c r="S123" s="876" t="s">
        <v>6</v>
      </c>
      <c r="T123" s="870"/>
      <c r="U123" s="870"/>
      <c r="V123" s="870"/>
      <c r="W123" s="474" t="s">
        <v>6</v>
      </c>
      <c r="X123" s="263"/>
      <c r="Y123" s="30"/>
      <c r="Z123" s="30"/>
    </row>
    <row r="124" spans="1:26" ht="17.399999999999999" hidden="1" customHeight="1">
      <c r="A124" s="334" t="s">
        <v>938</v>
      </c>
      <c r="B124" s="335"/>
      <c r="C124" s="335"/>
      <c r="D124" s="335"/>
      <c r="E124" s="335"/>
      <c r="F124" s="335"/>
      <c r="G124" s="335"/>
      <c r="H124" s="335"/>
      <c r="I124" s="335"/>
      <c r="J124" s="335"/>
      <c r="K124" s="335"/>
      <c r="L124" s="335"/>
      <c r="M124" s="335"/>
      <c r="N124" s="335"/>
      <c r="O124" s="335"/>
      <c r="P124" s="335"/>
      <c r="Q124" s="335"/>
      <c r="R124" s="335"/>
      <c r="S124" s="335"/>
      <c r="T124" s="335"/>
      <c r="U124" s="335"/>
      <c r="V124" s="335"/>
      <c r="W124" s="336"/>
      <c r="X124" s="337"/>
      <c r="Y124" s="30"/>
      <c r="Z124" s="30"/>
    </row>
    <row r="125" spans="1:26" ht="30" hidden="1" customHeight="1">
      <c r="A125" s="868" t="s">
        <v>85</v>
      </c>
      <c r="B125" s="868"/>
      <c r="C125" s="868"/>
      <c r="D125" s="868" t="s">
        <v>86</v>
      </c>
      <c r="E125" s="868"/>
      <c r="F125" s="868"/>
      <c r="G125" s="868" t="s">
        <v>87</v>
      </c>
      <c r="H125" s="868"/>
      <c r="I125" s="868" t="s">
        <v>88</v>
      </c>
      <c r="J125" s="868"/>
      <c r="K125" s="868" t="s">
        <v>89</v>
      </c>
      <c r="L125" s="868"/>
      <c r="M125" s="868" t="s">
        <v>90</v>
      </c>
      <c r="N125" s="868"/>
      <c r="O125" s="868" t="s">
        <v>91</v>
      </c>
      <c r="P125" s="868"/>
      <c r="Q125" s="868" t="s">
        <v>92</v>
      </c>
      <c r="R125" s="868"/>
      <c r="S125" s="868" t="s">
        <v>93</v>
      </c>
      <c r="T125" s="868"/>
      <c r="U125" s="868"/>
      <c r="V125" s="868"/>
      <c r="W125" s="478" t="s">
        <v>94</v>
      </c>
      <c r="X125" s="485"/>
      <c r="Y125" s="30"/>
      <c r="Z125" s="30"/>
    </row>
    <row r="126" spans="1:26" ht="20.25" hidden="1" customHeight="1">
      <c r="A126" s="765" t="str">
        <f>'MAIN-1 HV REF+SBEF'!A411</f>
        <v>T4</v>
      </c>
      <c r="B126" s="765" t="str">
        <f>'MAIN-1 HV REF+SBEF'!B411</f>
        <v>Core1</v>
      </c>
      <c r="C126" s="765"/>
      <c r="D126" s="971">
        <f>'MAIN-1 HV REF+SBEF'!D411</f>
        <v>600</v>
      </c>
      <c r="E126" s="973"/>
      <c r="F126" s="870">
        <f>'MAIN-1 HV REF+SBEF'!F411</f>
        <v>1</v>
      </c>
      <c r="G126" s="876">
        <f>'CT-VT Burdens'!S21</f>
        <v>120</v>
      </c>
      <c r="H126" s="874">
        <f>'CT-VT Burdens'!S10</f>
        <v>6</v>
      </c>
      <c r="I126" s="874" t="str">
        <f>'MAIN-1 HV REF+SBEF'!I411</f>
        <v>PX</v>
      </c>
      <c r="J126" s="874"/>
      <c r="K126" s="869">
        <f>'MAIN-1 HV REF+SBEF'!K411</f>
        <v>1.5</v>
      </c>
      <c r="L126" s="869"/>
      <c r="M126" s="869">
        <f>'MAIN-1 HV REF+SBEF'!M411</f>
        <v>400</v>
      </c>
      <c r="N126" s="869"/>
      <c r="O126" s="870">
        <f>'MAIN-1 HV REF+SBEF'!O411</f>
        <v>20</v>
      </c>
      <c r="P126" s="870"/>
      <c r="Q126" s="1013" t="str">
        <f>'MAIN-1 HV REF+SBEF'!Q411</f>
        <v>RET670</v>
      </c>
      <c r="R126" s="1014"/>
      <c r="S126" s="870" t="str">
        <f>'MAIN-1 HV REF+SBEF'!S411</f>
        <v>Suitably Dimensioned</v>
      </c>
      <c r="T126" s="870"/>
      <c r="U126" s="870"/>
      <c r="V126" s="870"/>
      <c r="W126" s="264">
        <f>'MAIN-1 HV REF+SBEF'!H112</f>
        <v>47.356268985274667</v>
      </c>
      <c r="X126" s="264"/>
      <c r="Y126" s="30"/>
      <c r="Z126" s="30"/>
    </row>
    <row r="127" spans="1:26" ht="15.6" hidden="1" customHeight="1">
      <c r="A127" s="765"/>
      <c r="B127" s="765"/>
      <c r="C127" s="765"/>
      <c r="D127" s="971">
        <f>'MAIN-1 HV REF+SBEF'!D412</f>
        <v>1000</v>
      </c>
      <c r="E127" s="973"/>
      <c r="F127" s="870"/>
      <c r="G127" s="870"/>
      <c r="H127" s="870"/>
      <c r="I127" s="874"/>
      <c r="J127" s="874"/>
      <c r="K127" s="869">
        <f>'MAIN-1 HV REF+SBEF'!K412</f>
        <v>2.7</v>
      </c>
      <c r="L127" s="869"/>
      <c r="M127" s="869">
        <f>'MAIN-1 HV REF+SBEF'!M412</f>
        <v>900</v>
      </c>
      <c r="N127" s="869"/>
      <c r="O127" s="870">
        <f>'MAIN-1 HV REF+SBEF'!O412</f>
        <v>10</v>
      </c>
      <c r="P127" s="870"/>
      <c r="Q127" s="1015"/>
      <c r="R127" s="1016"/>
      <c r="S127" s="870" t="str">
        <f>'MAIN-1 HV REF+SBEF'!S412</f>
        <v>Suitably Dimensioned</v>
      </c>
      <c r="T127" s="870"/>
      <c r="U127" s="870"/>
      <c r="V127" s="870"/>
      <c r="W127" s="486">
        <f>'MAIN-1 HV REF+SBEF'!H244</f>
        <v>43.744527506261619</v>
      </c>
      <c r="X127" s="264"/>
      <c r="Y127" s="30"/>
      <c r="Z127" s="30"/>
    </row>
    <row r="128" spans="1:26" ht="15.75" hidden="1" customHeight="1">
      <c r="A128" s="765"/>
      <c r="B128" s="765"/>
      <c r="C128" s="765"/>
      <c r="D128" s="971" t="str">
        <f>'MAIN-1 HV REF+SBEF'!D413</f>
        <v>-</v>
      </c>
      <c r="E128" s="973"/>
      <c r="F128" s="870"/>
      <c r="G128" s="870"/>
      <c r="H128" s="870"/>
      <c r="I128" s="874"/>
      <c r="J128" s="874"/>
      <c r="K128" s="875" t="s">
        <v>6</v>
      </c>
      <c r="L128" s="869"/>
      <c r="M128" s="869" t="str">
        <f>'MAIN-1 HV REF+SBEF'!M413</f>
        <v>-</v>
      </c>
      <c r="N128" s="869"/>
      <c r="O128" s="870" t="str">
        <f>'MAIN-1 HV REF+SBEF'!O413</f>
        <v>-</v>
      </c>
      <c r="P128" s="870"/>
      <c r="Q128" s="1017"/>
      <c r="R128" s="1018"/>
      <c r="S128" s="870" t="str">
        <f>'MAIN-1 HV REF+SBEF'!S413</f>
        <v>-</v>
      </c>
      <c r="T128" s="870"/>
      <c r="U128" s="870"/>
      <c r="V128" s="870"/>
      <c r="W128" s="474" t="s">
        <v>6</v>
      </c>
      <c r="X128" s="263"/>
      <c r="Y128" s="30"/>
      <c r="Z128" s="30"/>
    </row>
    <row r="129" spans="1:26" ht="15.6" hidden="1" customHeight="1">
      <c r="A129" s="334" t="s">
        <v>939</v>
      </c>
      <c r="B129" s="335"/>
      <c r="C129" s="335"/>
      <c r="D129" s="335"/>
      <c r="E129" s="335"/>
      <c r="F129" s="335"/>
      <c r="G129" s="335"/>
      <c r="H129" s="335"/>
      <c r="I129" s="335"/>
      <c r="J129" s="335"/>
      <c r="K129" s="335"/>
      <c r="L129" s="335"/>
      <c r="M129" s="335"/>
      <c r="N129" s="335"/>
      <c r="O129" s="335"/>
      <c r="P129" s="335"/>
      <c r="Q129" s="335"/>
      <c r="R129" s="335"/>
      <c r="S129" s="335"/>
      <c r="T129" s="335"/>
      <c r="U129" s="335"/>
      <c r="V129" s="335"/>
      <c r="W129" s="336"/>
      <c r="X129" s="337"/>
      <c r="Y129" s="30"/>
      <c r="Z129" s="30"/>
    </row>
    <row r="130" spans="1:26" ht="31.5" hidden="1" customHeight="1">
      <c r="A130" s="868" t="s">
        <v>85</v>
      </c>
      <c r="B130" s="868"/>
      <c r="C130" s="868"/>
      <c r="D130" s="868" t="s">
        <v>86</v>
      </c>
      <c r="E130" s="868"/>
      <c r="F130" s="868"/>
      <c r="G130" s="868" t="s">
        <v>87</v>
      </c>
      <c r="H130" s="868"/>
      <c r="I130" s="868" t="s">
        <v>88</v>
      </c>
      <c r="J130" s="868"/>
      <c r="K130" s="868" t="s">
        <v>89</v>
      </c>
      <c r="L130" s="868"/>
      <c r="M130" s="868" t="s">
        <v>90</v>
      </c>
      <c r="N130" s="868"/>
      <c r="O130" s="868" t="s">
        <v>91</v>
      </c>
      <c r="P130" s="868"/>
      <c r="Q130" s="868" t="s">
        <v>92</v>
      </c>
      <c r="R130" s="868"/>
      <c r="S130" s="868" t="s">
        <v>93</v>
      </c>
      <c r="T130" s="868"/>
      <c r="U130" s="868"/>
      <c r="V130" s="868"/>
      <c r="W130" s="478" t="s">
        <v>94</v>
      </c>
      <c r="X130" s="319"/>
      <c r="Y130" s="30"/>
      <c r="Z130" s="30"/>
    </row>
    <row r="131" spans="1:26" ht="18.75" hidden="1" customHeight="1">
      <c r="A131" s="958" t="str">
        <f>'MAIN-2 HV REF+SBEF (2)'!A319</f>
        <v>T5</v>
      </c>
      <c r="B131" s="958" t="str">
        <f>'MAIN-2 HV REF+SBEF (2)'!B319</f>
        <v>Core1</v>
      </c>
      <c r="C131" s="765"/>
      <c r="D131" s="870">
        <f>'MAIN-2 HV REF+SBEF (2)'!D319</f>
        <v>2500</v>
      </c>
      <c r="E131" s="870"/>
      <c r="F131" s="870">
        <f>'MAIN-2 HV REF+SBEF (2)'!F319</f>
        <v>1</v>
      </c>
      <c r="G131" s="870">
        <f>'CT-VT Burdens'!S21</f>
        <v>120</v>
      </c>
      <c r="H131" s="959">
        <f>'CT-VT Burdens'!S10</f>
        <v>6</v>
      </c>
      <c r="I131" s="874" t="str">
        <f>'MAIN-2 HV REF+SBEF (2)'!I319</f>
        <v>PX</v>
      </c>
      <c r="J131" s="874"/>
      <c r="K131" s="869">
        <f>'MAIN-2 HV REF+SBEF (2)'!K319</f>
        <v>5</v>
      </c>
      <c r="L131" s="869"/>
      <c r="M131" s="962">
        <f>'MAIN-2 HV REF+SBEF (2)'!M319</f>
        <v>400</v>
      </c>
      <c r="N131" s="869"/>
      <c r="O131" s="876">
        <f>'MAIN-2 HV REF+SBEF (2)'!O319</f>
        <v>20</v>
      </c>
      <c r="P131" s="870"/>
      <c r="Q131" s="879" t="str">
        <f>'MAIN-2 HV REF+SBEF (2)'!Q319</f>
        <v>7UT85</v>
      </c>
      <c r="R131" s="879"/>
      <c r="S131" s="870" t="str">
        <f>'MAIN-2 HV REF+SBEF (2)'!S319</f>
        <v>Suitably Dimensioned</v>
      </c>
      <c r="T131" s="870"/>
      <c r="U131" s="870"/>
      <c r="V131" s="870"/>
      <c r="W131" s="264">
        <f>'MAIN-2 HV REF+SBEF (2)'!N104</f>
        <v>125.34</v>
      </c>
      <c r="X131" s="263"/>
      <c r="Y131" s="30"/>
      <c r="Z131" s="30"/>
    </row>
    <row r="132" spans="1:26" ht="15.6" hidden="1" customHeight="1">
      <c r="A132" s="765"/>
      <c r="B132" s="765"/>
      <c r="C132" s="765"/>
      <c r="D132" s="870" t="str">
        <f>'MAIN-2 HV REF+SBEF (2)'!D320</f>
        <v>-</v>
      </c>
      <c r="E132" s="870"/>
      <c r="F132" s="870"/>
      <c r="G132" s="870"/>
      <c r="H132" s="959"/>
      <c r="I132" s="874"/>
      <c r="J132" s="874"/>
      <c r="K132" s="869" t="str">
        <f>'MAIN-2 HV REF+SBEF (2)'!K320</f>
        <v>-</v>
      </c>
      <c r="L132" s="869"/>
      <c r="M132" s="962" t="str">
        <f>'MAIN-2 HV REF+SBEF (2)'!M320</f>
        <v>-</v>
      </c>
      <c r="N132" s="869"/>
      <c r="O132" s="876" t="str">
        <f>'MAIN-2 HV REF+SBEF (2)'!O320</f>
        <v>-</v>
      </c>
      <c r="P132" s="870"/>
      <c r="Q132" s="879"/>
      <c r="R132" s="879"/>
      <c r="S132" s="870" t="str">
        <f>'MAIN-2 HV REF+SBEF (2)'!S320</f>
        <v>-</v>
      </c>
      <c r="T132" s="870"/>
      <c r="U132" s="870"/>
      <c r="V132" s="870"/>
      <c r="W132" s="514" t="s">
        <v>6</v>
      </c>
      <c r="X132" s="263"/>
      <c r="Y132" s="30"/>
      <c r="Z132" s="30"/>
    </row>
    <row r="133" spans="1:26" ht="15.6" hidden="1" customHeight="1">
      <c r="A133" s="994"/>
      <c r="B133" s="994"/>
      <c r="C133" s="994"/>
      <c r="D133" s="870" t="str">
        <f>'MAIN-2 HV REF+SBEF (2)'!D321</f>
        <v>-</v>
      </c>
      <c r="E133" s="870"/>
      <c r="F133" s="871"/>
      <c r="G133" s="871"/>
      <c r="H133" s="1022"/>
      <c r="I133" s="1036"/>
      <c r="J133" s="1036"/>
      <c r="K133" s="869" t="str">
        <f>'MAIN-2 HV REF+SBEF (2)'!K321</f>
        <v>-</v>
      </c>
      <c r="L133" s="869"/>
      <c r="M133" s="962" t="str">
        <f>'MAIN-2 HV REF+SBEF (2)'!M321</f>
        <v>-</v>
      </c>
      <c r="N133" s="869"/>
      <c r="O133" s="876" t="str">
        <f>'MAIN-2 HV REF+SBEF (2)'!O321</f>
        <v>-</v>
      </c>
      <c r="P133" s="870"/>
      <c r="Q133" s="1035"/>
      <c r="R133" s="1035"/>
      <c r="S133" s="870" t="str">
        <f>'MAIN-2 HV REF+SBEF (2)'!S321</f>
        <v>-</v>
      </c>
      <c r="T133" s="870"/>
      <c r="U133" s="870"/>
      <c r="V133" s="870"/>
      <c r="W133" s="515" t="s">
        <v>6</v>
      </c>
      <c r="X133" s="468"/>
      <c r="Y133" s="30"/>
      <c r="Z133" s="30"/>
    </row>
    <row r="134" spans="1:26" ht="15.6" hidden="1" customHeight="1">
      <c r="A134" s="334" t="s">
        <v>940</v>
      </c>
      <c r="B134" s="335"/>
      <c r="C134" s="335"/>
      <c r="D134" s="335"/>
      <c r="E134" s="335"/>
      <c r="F134" s="335"/>
      <c r="G134" s="335"/>
      <c r="H134" s="335"/>
      <c r="I134" s="335"/>
      <c r="J134" s="335"/>
      <c r="K134" s="335"/>
      <c r="L134" s="335"/>
      <c r="M134" s="335"/>
      <c r="N134" s="335"/>
      <c r="O134" s="335"/>
      <c r="P134" s="335"/>
      <c r="Q134" s="335"/>
      <c r="R134" s="335"/>
      <c r="S134" s="335"/>
      <c r="T134" s="335"/>
      <c r="U134" s="335"/>
      <c r="V134" s="335"/>
      <c r="W134" s="336"/>
      <c r="X134" s="337"/>
      <c r="Y134" s="30"/>
      <c r="Z134" s="30"/>
    </row>
    <row r="135" spans="1:26" ht="28.95" hidden="1" customHeight="1">
      <c r="A135" s="868" t="s">
        <v>85</v>
      </c>
      <c r="B135" s="868"/>
      <c r="C135" s="868"/>
      <c r="D135" s="868" t="s">
        <v>86</v>
      </c>
      <c r="E135" s="868"/>
      <c r="F135" s="868"/>
      <c r="G135" s="868" t="s">
        <v>87</v>
      </c>
      <c r="H135" s="868"/>
      <c r="I135" s="868" t="s">
        <v>88</v>
      </c>
      <c r="J135" s="868"/>
      <c r="K135" s="868" t="s">
        <v>89</v>
      </c>
      <c r="L135" s="868"/>
      <c r="M135" s="868" t="s">
        <v>90</v>
      </c>
      <c r="N135" s="868"/>
      <c r="O135" s="868" t="s">
        <v>91</v>
      </c>
      <c r="P135" s="868"/>
      <c r="Q135" s="868" t="s">
        <v>92</v>
      </c>
      <c r="R135" s="868"/>
      <c r="S135" s="868" t="s">
        <v>93</v>
      </c>
      <c r="T135" s="868"/>
      <c r="U135" s="868"/>
      <c r="V135" s="868"/>
      <c r="W135" s="478" t="s">
        <v>94</v>
      </c>
      <c r="X135" s="319"/>
      <c r="Y135" s="30"/>
      <c r="Z135" s="30"/>
    </row>
    <row r="136" spans="1:26" ht="18.75" hidden="1" customHeight="1">
      <c r="A136" s="958" t="str">
        <f>'MAIN-1 HV REF+SBEF (2)'!A411</f>
        <v>T6</v>
      </c>
      <c r="B136" s="958" t="str">
        <f>'MAIN-1 HV REF+SBEF (2)'!B411</f>
        <v>Core1</v>
      </c>
      <c r="C136" s="765"/>
      <c r="D136" s="870">
        <f>'MAIN-1 HV REF+SBEF (2)'!D411</f>
        <v>2500</v>
      </c>
      <c r="E136" s="870"/>
      <c r="F136" s="870">
        <f>'MAIN-1 HV REF+SBEF (2)'!F411</f>
        <v>1</v>
      </c>
      <c r="G136" s="870">
        <f>'CT-VT Burdens'!S21</f>
        <v>120</v>
      </c>
      <c r="H136" s="959">
        <f>'CT-VT Burdens'!S10</f>
        <v>6</v>
      </c>
      <c r="I136" s="874" t="str">
        <f>'MAIN-1 HV REF+SBEF (2)'!I411</f>
        <v>PX</v>
      </c>
      <c r="J136" s="874"/>
      <c r="K136" s="869">
        <f>'MAIN-1 HV REF+SBEF (2)'!K411</f>
        <v>5</v>
      </c>
      <c r="L136" s="869"/>
      <c r="M136" s="962">
        <f>'MAIN-1 HV REF+SBEF (2)'!M411</f>
        <v>400</v>
      </c>
      <c r="N136" s="869"/>
      <c r="O136" s="870">
        <f>'MAIN-1 HV REF+SBEF (2)'!O411</f>
        <v>20</v>
      </c>
      <c r="P136" s="870"/>
      <c r="Q136" s="879" t="str">
        <f>'MAIN-1 HV REF+SBEF (2)'!Q411</f>
        <v>RET670</v>
      </c>
      <c r="R136" s="879"/>
      <c r="S136" s="870" t="str">
        <f>'MAIN-1 HV REF+SBEF (2)'!S411</f>
        <v>Suitably Dimensioned</v>
      </c>
      <c r="T136" s="870"/>
      <c r="U136" s="870"/>
      <c r="V136" s="870"/>
      <c r="W136" s="264">
        <f>'MAIN-1 HV REF+SBEF (2)'!H112</f>
        <v>26.061693226747305</v>
      </c>
      <c r="X136" s="263"/>
      <c r="Y136" s="30"/>
      <c r="Z136" s="30"/>
    </row>
    <row r="137" spans="1:26" ht="18.75" hidden="1" customHeight="1">
      <c r="A137" s="765"/>
      <c r="B137" s="765"/>
      <c r="C137" s="765"/>
      <c r="D137" s="870" t="str">
        <f>'MAIN-1 HV REF+SBEF (2)'!D412</f>
        <v>-</v>
      </c>
      <c r="E137" s="870"/>
      <c r="F137" s="870"/>
      <c r="G137" s="870"/>
      <c r="H137" s="959"/>
      <c r="I137" s="874"/>
      <c r="J137" s="874"/>
      <c r="K137" s="869" t="str">
        <f>'MAIN-1 HV REF+SBEF (2)'!K412</f>
        <v>-</v>
      </c>
      <c r="L137" s="869"/>
      <c r="M137" s="962" t="str">
        <f>'MAIN-1 HV REF+SBEF (2)'!M412</f>
        <v>-</v>
      </c>
      <c r="N137" s="869"/>
      <c r="O137" s="870" t="str">
        <f>'MAIN-1 HV REF+SBEF (2)'!O412</f>
        <v>-</v>
      </c>
      <c r="P137" s="870"/>
      <c r="Q137" s="879"/>
      <c r="R137" s="879"/>
      <c r="S137" s="870" t="str">
        <f>'MAIN-1 HV REF+SBEF (2)'!S412</f>
        <v>-</v>
      </c>
      <c r="T137" s="870"/>
      <c r="U137" s="870"/>
      <c r="V137" s="870"/>
      <c r="W137" s="486" t="s">
        <v>6</v>
      </c>
      <c r="X137" s="263"/>
      <c r="Y137" s="30"/>
      <c r="Z137" s="30"/>
    </row>
    <row r="138" spans="1:26" ht="15.6" hidden="1" customHeight="1">
      <c r="A138" s="994"/>
      <c r="B138" s="994"/>
      <c r="C138" s="994"/>
      <c r="D138" s="870" t="str">
        <f>'MAIN-1 HV REF+SBEF (2)'!D413</f>
        <v>-</v>
      </c>
      <c r="E138" s="870"/>
      <c r="F138" s="871"/>
      <c r="G138" s="871"/>
      <c r="H138" s="1022"/>
      <c r="I138" s="1036"/>
      <c r="J138" s="1036"/>
      <c r="K138" s="869" t="str">
        <f>'MAIN-1 HV REF+SBEF (2)'!K413</f>
        <v>-</v>
      </c>
      <c r="L138" s="869"/>
      <c r="M138" s="962" t="str">
        <f>'MAIN-1 HV REF+SBEF (2)'!M413</f>
        <v>-</v>
      </c>
      <c r="N138" s="869"/>
      <c r="O138" s="870" t="str">
        <f>'MAIN-1 HV REF+SBEF (2)'!O413</f>
        <v>-</v>
      </c>
      <c r="P138" s="870"/>
      <c r="Q138" s="1035"/>
      <c r="R138" s="1035"/>
      <c r="S138" s="870" t="str">
        <f>'MAIN-1 HV REF+SBEF (2)'!S413</f>
        <v>-</v>
      </c>
      <c r="T138" s="870"/>
      <c r="U138" s="870"/>
      <c r="V138" s="870"/>
      <c r="W138" s="486" t="s">
        <v>6</v>
      </c>
      <c r="X138" s="468"/>
      <c r="Y138" s="30"/>
      <c r="Z138" s="30"/>
    </row>
    <row r="139" spans="1:26" ht="15.6" hidden="1" customHeight="1">
      <c r="A139" s="334" t="s">
        <v>941</v>
      </c>
      <c r="B139" s="335"/>
      <c r="C139" s="335"/>
      <c r="D139" s="335"/>
      <c r="E139" s="335"/>
      <c r="F139" s="335"/>
      <c r="G139" s="335"/>
      <c r="H139" s="335"/>
      <c r="I139" s="335"/>
      <c r="J139" s="335"/>
      <c r="K139" s="335"/>
      <c r="L139" s="335"/>
      <c r="M139" s="335"/>
      <c r="N139" s="335"/>
      <c r="O139" s="335"/>
      <c r="P139" s="335"/>
      <c r="Q139" s="335"/>
      <c r="R139" s="335"/>
      <c r="S139" s="335"/>
      <c r="T139" s="335"/>
      <c r="U139" s="335"/>
      <c r="V139" s="335"/>
      <c r="W139" s="336"/>
      <c r="X139" s="337"/>
      <c r="Y139" s="30"/>
      <c r="Z139" s="30"/>
    </row>
    <row r="140" spans="1:26" ht="28.2" hidden="1" customHeight="1">
      <c r="A140" s="868" t="s">
        <v>85</v>
      </c>
      <c r="B140" s="868"/>
      <c r="C140" s="868"/>
      <c r="D140" s="868" t="s">
        <v>86</v>
      </c>
      <c r="E140" s="868"/>
      <c r="F140" s="868"/>
      <c r="G140" s="868" t="s">
        <v>87</v>
      </c>
      <c r="H140" s="868"/>
      <c r="I140" s="868" t="s">
        <v>88</v>
      </c>
      <c r="J140" s="868"/>
      <c r="K140" s="868" t="s">
        <v>89</v>
      </c>
      <c r="L140" s="868"/>
      <c r="M140" s="868" t="s">
        <v>90</v>
      </c>
      <c r="N140" s="868"/>
      <c r="O140" s="868" t="s">
        <v>91</v>
      </c>
      <c r="P140" s="868"/>
      <c r="Q140" s="868" t="s">
        <v>92</v>
      </c>
      <c r="R140" s="868"/>
      <c r="S140" s="868" t="s">
        <v>93</v>
      </c>
      <c r="T140" s="868"/>
      <c r="U140" s="868"/>
      <c r="V140" s="868"/>
      <c r="W140" s="478" t="s">
        <v>94</v>
      </c>
      <c r="X140" s="319"/>
      <c r="Y140" s="30"/>
      <c r="Z140" s="30"/>
    </row>
    <row r="141" spans="1:26" ht="18" hidden="1" customHeight="1">
      <c r="A141" s="958" t="str">
        <f>'MAIN-1 TEF'!A411</f>
        <v>T7</v>
      </c>
      <c r="B141" s="958" t="str">
        <f>'MAIN-1 TEF'!B411</f>
        <v>Core1</v>
      </c>
      <c r="C141" s="765"/>
      <c r="D141" s="870">
        <f>'MAIN-1 TEF'!D411</f>
        <v>1750</v>
      </c>
      <c r="E141" s="870"/>
      <c r="F141" s="870">
        <f>'MAIN-1 TEF'!F411</f>
        <v>1</v>
      </c>
      <c r="G141" s="870">
        <f>'CT-VT Burdens'!S21</f>
        <v>120</v>
      </c>
      <c r="H141" s="959">
        <f>'CT-VT Burdens'!S10</f>
        <v>6</v>
      </c>
      <c r="I141" s="874" t="str">
        <f>'MAIN-1 TEF'!I411</f>
        <v>PX</v>
      </c>
      <c r="J141" s="874"/>
      <c r="K141" s="869">
        <f>'MAIN-1 TEF'!K411</f>
        <v>5</v>
      </c>
      <c r="L141" s="869"/>
      <c r="M141" s="869">
        <f>'MAIN-1 TEF'!M411</f>
        <v>300</v>
      </c>
      <c r="N141" s="869"/>
      <c r="O141" s="960">
        <f>'MAIN-1 TEF'!O411</f>
        <v>30</v>
      </c>
      <c r="P141" s="870"/>
      <c r="Q141" s="879" t="str">
        <f>'MAIN-1 TEF'!Q411</f>
        <v>RET670</v>
      </c>
      <c r="R141" s="879"/>
      <c r="S141" s="870" t="str">
        <f>'MAIN-1 TEF'!S411</f>
        <v>Suitably Dimensioned</v>
      </c>
      <c r="T141" s="870"/>
      <c r="U141" s="870"/>
      <c r="V141" s="870"/>
      <c r="W141" s="264">
        <f>'MAIN-1 TEF'!H112</f>
        <v>37.230990323924722</v>
      </c>
      <c r="X141" s="263"/>
      <c r="Y141" s="30"/>
      <c r="Z141" s="30"/>
    </row>
    <row r="142" spans="1:26" ht="16.5" hidden="1" customHeight="1">
      <c r="A142" s="765"/>
      <c r="B142" s="765"/>
      <c r="C142" s="765"/>
      <c r="D142" s="870">
        <f>'MAIN-1 TEF'!D412</f>
        <v>2500</v>
      </c>
      <c r="E142" s="870"/>
      <c r="F142" s="870"/>
      <c r="G142" s="870"/>
      <c r="H142" s="959"/>
      <c r="I142" s="874"/>
      <c r="J142" s="874"/>
      <c r="K142" s="869" t="str">
        <f>'MAIN-1 TEF'!K412</f>
        <v>-</v>
      </c>
      <c r="L142" s="869"/>
      <c r="M142" s="869" t="str">
        <f>'MAIN-1 TEF'!M412</f>
        <v>-</v>
      </c>
      <c r="N142" s="869"/>
      <c r="O142" s="960" t="str">
        <f>'MAIN-1 TEF'!O412</f>
        <v>-</v>
      </c>
      <c r="P142" s="870"/>
      <c r="Q142" s="879"/>
      <c r="R142" s="879"/>
      <c r="S142" s="870" t="str">
        <f>'MAIN-1 TEF'!S412</f>
        <v>-</v>
      </c>
      <c r="T142" s="870"/>
      <c r="U142" s="870"/>
      <c r="V142" s="870"/>
      <c r="W142" s="514" t="s">
        <v>6</v>
      </c>
      <c r="X142" s="263"/>
      <c r="Y142" s="30"/>
      <c r="Z142" s="30"/>
    </row>
    <row r="143" spans="1:26" ht="15.6" hidden="1" customHeight="1">
      <c r="A143" s="765"/>
      <c r="B143" s="765"/>
      <c r="C143" s="765"/>
      <c r="D143" s="870" t="str">
        <f>'MAIN-1 TEF'!D413</f>
        <v>-</v>
      </c>
      <c r="E143" s="870"/>
      <c r="F143" s="870"/>
      <c r="G143" s="870"/>
      <c r="H143" s="959"/>
      <c r="I143" s="874"/>
      <c r="J143" s="874"/>
      <c r="K143" s="869" t="str">
        <f>'MAIN-1 TEF'!K413</f>
        <v>-</v>
      </c>
      <c r="L143" s="869"/>
      <c r="M143" s="869" t="str">
        <f>'MAIN-1 TEF'!M413</f>
        <v>-</v>
      </c>
      <c r="N143" s="869"/>
      <c r="O143" s="960" t="str">
        <f>'MAIN-1 TEF'!O413</f>
        <v>-</v>
      </c>
      <c r="P143" s="870"/>
      <c r="Q143" s="879"/>
      <c r="R143" s="879"/>
      <c r="S143" s="870" t="str">
        <f>'MAIN-1 TEF'!S413</f>
        <v>-</v>
      </c>
      <c r="T143" s="870"/>
      <c r="U143" s="870"/>
      <c r="V143" s="870"/>
      <c r="W143" s="514" t="s">
        <v>6</v>
      </c>
      <c r="X143" s="263"/>
      <c r="Y143" s="30"/>
      <c r="Z143" s="30"/>
    </row>
    <row r="144" spans="1:26" ht="15.6" hidden="1" customHeight="1">
      <c r="A144" s="1042" t="s">
        <v>942</v>
      </c>
      <c r="B144" s="1043"/>
      <c r="C144" s="1043"/>
      <c r="D144" s="1043"/>
      <c r="E144" s="1043"/>
      <c r="F144" s="1043"/>
      <c r="G144" s="1043"/>
      <c r="H144" s="1043"/>
      <c r="I144" s="1043"/>
      <c r="J144" s="1043"/>
      <c r="K144" s="1043"/>
      <c r="L144" s="1043"/>
      <c r="M144" s="1043"/>
      <c r="N144" s="1043"/>
      <c r="O144" s="1043"/>
      <c r="P144" s="1043"/>
      <c r="Q144" s="1043"/>
      <c r="R144" s="1043"/>
      <c r="S144" s="1043"/>
      <c r="T144" s="1043"/>
      <c r="U144" s="1043"/>
      <c r="V144" s="1043"/>
      <c r="W144" s="1043"/>
      <c r="X144" s="1044"/>
      <c r="Y144" s="30"/>
      <c r="Z144" s="30"/>
    </row>
    <row r="145" spans="1:26" ht="36" hidden="1" customHeight="1">
      <c r="A145" s="868" t="s">
        <v>85</v>
      </c>
      <c r="B145" s="868"/>
      <c r="C145" s="868"/>
      <c r="D145" s="868" t="s">
        <v>86</v>
      </c>
      <c r="E145" s="868"/>
      <c r="F145" s="868"/>
      <c r="G145" s="868" t="s">
        <v>87</v>
      </c>
      <c r="H145" s="868"/>
      <c r="I145" s="868" t="s">
        <v>88</v>
      </c>
      <c r="J145" s="868"/>
      <c r="K145" s="868" t="s">
        <v>89</v>
      </c>
      <c r="L145" s="868"/>
      <c r="M145" s="868" t="s">
        <v>90</v>
      </c>
      <c r="N145" s="868"/>
      <c r="O145" s="868" t="s">
        <v>91</v>
      </c>
      <c r="P145" s="868"/>
      <c r="Q145" s="868" t="s">
        <v>92</v>
      </c>
      <c r="R145" s="868"/>
      <c r="S145" s="868" t="s">
        <v>93</v>
      </c>
      <c r="T145" s="868"/>
      <c r="U145" s="868"/>
      <c r="V145" s="868"/>
      <c r="W145" s="478" t="s">
        <v>94</v>
      </c>
      <c r="X145" s="319"/>
      <c r="Y145" s="30"/>
      <c r="Z145" s="30"/>
    </row>
    <row r="146" spans="1:26" ht="18.75" hidden="1" customHeight="1">
      <c r="A146" s="958" t="str">
        <f>'MAIN-2 TEF'!A319</f>
        <v>T8</v>
      </c>
      <c r="B146" s="958" t="str">
        <f>'MAIN-2 TEF'!B319</f>
        <v>Core1</v>
      </c>
      <c r="C146" s="765"/>
      <c r="D146" s="870">
        <f>'MAIN-2 TEF'!D319</f>
        <v>1750</v>
      </c>
      <c r="E146" s="870"/>
      <c r="F146" s="870">
        <f>'MAIN-2 TEF'!F319</f>
        <v>1</v>
      </c>
      <c r="G146" s="870">
        <f>'CT-VT Burdens'!S21</f>
        <v>120</v>
      </c>
      <c r="H146" s="959">
        <f>'CT-VT Burdens'!S10</f>
        <v>6</v>
      </c>
      <c r="I146" s="874" t="str">
        <f>'MAIN-2 TEF'!I319</f>
        <v>PX</v>
      </c>
      <c r="J146" s="874"/>
      <c r="K146" s="869">
        <f>'MAIN-2 TEF'!K319</f>
        <v>5</v>
      </c>
      <c r="L146" s="869"/>
      <c r="M146" s="869">
        <f>'MAIN-2 TEF'!M319</f>
        <v>300</v>
      </c>
      <c r="N146" s="869"/>
      <c r="O146" s="876">
        <f>'MAIN-2 TEF'!O319</f>
        <v>30</v>
      </c>
      <c r="P146" s="870"/>
      <c r="Q146" s="879" t="str">
        <f>'MAIN-2 TEF'!Q319</f>
        <v>7UT85</v>
      </c>
      <c r="R146" s="879"/>
      <c r="S146" s="870" t="str">
        <f>'MAIN-2 TEF'!S319</f>
        <v>Suitably Dimensioned</v>
      </c>
      <c r="T146" s="870"/>
      <c r="U146" s="870"/>
      <c r="V146" s="870"/>
      <c r="W146" s="264">
        <f>'MAIN-2 TEF'!N104</f>
        <v>125.34</v>
      </c>
      <c r="X146" s="263"/>
      <c r="Y146" s="30"/>
      <c r="Z146" s="30"/>
    </row>
    <row r="147" spans="1:26" ht="15" hidden="1" customHeight="1">
      <c r="A147" s="765"/>
      <c r="B147" s="765"/>
      <c r="C147" s="765"/>
      <c r="D147" s="870">
        <f>'MAIN-2 TEF'!D320</f>
        <v>2500</v>
      </c>
      <c r="E147" s="870"/>
      <c r="F147" s="870"/>
      <c r="G147" s="870"/>
      <c r="H147" s="959"/>
      <c r="I147" s="874"/>
      <c r="J147" s="874"/>
      <c r="K147" s="875" t="s">
        <v>6</v>
      </c>
      <c r="L147" s="869"/>
      <c r="M147" s="869" t="str">
        <f>'MAIN-2 TEF'!M320</f>
        <v>-</v>
      </c>
      <c r="N147" s="869"/>
      <c r="O147" s="876" t="str">
        <f>'MAIN-2 TEF'!O320</f>
        <v>-</v>
      </c>
      <c r="P147" s="870"/>
      <c r="Q147" s="879"/>
      <c r="R147" s="879"/>
      <c r="S147" s="870" t="str">
        <f>'MAIN-2 TEF'!S320</f>
        <v>-</v>
      </c>
      <c r="T147" s="870"/>
      <c r="U147" s="870"/>
      <c r="V147" s="870"/>
      <c r="W147" s="514" t="s">
        <v>6</v>
      </c>
      <c r="X147" s="263"/>
      <c r="Y147" s="30"/>
      <c r="Z147" s="30"/>
    </row>
    <row r="148" spans="1:26" ht="15.6" hidden="1" customHeight="1">
      <c r="A148" s="765"/>
      <c r="B148" s="765"/>
      <c r="C148" s="765"/>
      <c r="D148" s="870" t="str">
        <f>'MAIN-2 TEF'!D321</f>
        <v>-</v>
      </c>
      <c r="E148" s="870"/>
      <c r="F148" s="870"/>
      <c r="G148" s="870"/>
      <c r="H148" s="959"/>
      <c r="I148" s="874"/>
      <c r="J148" s="874"/>
      <c r="K148" s="1040" t="s">
        <v>6</v>
      </c>
      <c r="L148" s="1041"/>
      <c r="M148" s="869" t="str">
        <f>'MAIN-2 TEF'!M321</f>
        <v>-</v>
      </c>
      <c r="N148" s="869"/>
      <c r="O148" s="876" t="str">
        <f>'MAIN-2 TEF'!O321</f>
        <v>-</v>
      </c>
      <c r="P148" s="870"/>
      <c r="Q148" s="879"/>
      <c r="R148" s="879"/>
      <c r="S148" s="870" t="str">
        <f>'MAIN-2 TEF'!S321</f>
        <v>-</v>
      </c>
      <c r="T148" s="870"/>
      <c r="U148" s="870"/>
      <c r="V148" s="870"/>
      <c r="W148" s="514" t="s">
        <v>6</v>
      </c>
      <c r="X148" s="263"/>
      <c r="Y148" s="30"/>
      <c r="Z148" s="30"/>
    </row>
    <row r="149" spans="1:26" ht="15.6" hidden="1" customHeight="1">
      <c r="A149" s="28"/>
      <c r="B149" s="28"/>
      <c r="C149" s="28"/>
      <c r="D149" s="245"/>
      <c r="E149" s="245"/>
      <c r="F149" s="221"/>
      <c r="G149" s="221"/>
      <c r="H149" s="253"/>
      <c r="I149" s="222"/>
      <c r="J149" s="222"/>
      <c r="K149" s="480"/>
      <c r="L149" s="480"/>
      <c r="M149" s="480"/>
      <c r="N149" s="480"/>
      <c r="O149" s="245"/>
      <c r="P149" s="245"/>
      <c r="Q149" s="479"/>
      <c r="R149" s="479"/>
      <c r="S149" s="245"/>
      <c r="T149" s="245"/>
      <c r="U149" s="245"/>
      <c r="V149" s="245"/>
      <c r="W149" s="590"/>
      <c r="X149" s="221"/>
      <c r="Y149" s="30"/>
      <c r="Z149" s="30"/>
    </row>
    <row r="150" spans="1:26" ht="12.6" hidden="1" customHeight="1">
      <c r="A150" s="325"/>
      <c r="B150" s="28"/>
      <c r="C150" s="28"/>
      <c r="D150" s="245"/>
      <c r="E150" s="245"/>
      <c r="F150" s="221"/>
      <c r="G150" s="221"/>
      <c r="H150" s="253"/>
      <c r="I150" s="222"/>
      <c r="J150" s="222"/>
      <c r="K150" s="480"/>
      <c r="L150" s="480"/>
      <c r="M150" s="480"/>
      <c r="N150" s="480"/>
      <c r="O150" s="245"/>
      <c r="P150" s="245"/>
      <c r="Q150" s="479"/>
      <c r="R150" s="479"/>
      <c r="S150" s="245"/>
      <c r="T150" s="245"/>
      <c r="U150" s="245"/>
      <c r="V150" s="245"/>
      <c r="W150" s="590"/>
      <c r="X150" s="326"/>
      <c r="Y150" s="30"/>
      <c r="Z150" s="30"/>
    </row>
    <row r="151" spans="1:26" ht="18" customHeight="1">
      <c r="A151" s="325"/>
      <c r="B151" s="28"/>
      <c r="C151" s="28"/>
      <c r="D151" s="245"/>
      <c r="E151" s="245"/>
      <c r="F151" s="221"/>
      <c r="G151" s="221"/>
      <c r="H151" s="253"/>
      <c r="I151" s="222"/>
      <c r="J151" s="222"/>
      <c r="K151" s="480"/>
      <c r="L151" s="480"/>
      <c r="M151" s="480"/>
      <c r="N151" s="480"/>
      <c r="O151" s="245"/>
      <c r="P151" s="245"/>
      <c r="Q151" s="479"/>
      <c r="R151" s="479"/>
      <c r="S151" s="245"/>
      <c r="T151" s="245"/>
      <c r="U151" s="245"/>
      <c r="V151" s="245"/>
      <c r="W151" s="590"/>
      <c r="X151" s="326"/>
      <c r="Y151" s="30"/>
      <c r="Z151" s="30"/>
    </row>
    <row r="152" spans="1:26" ht="18" customHeight="1">
      <c r="A152" s="338" t="s">
        <v>1036</v>
      </c>
      <c r="B152" s="339"/>
      <c r="C152" s="339"/>
      <c r="D152" s="339"/>
      <c r="E152" s="339"/>
      <c r="F152" s="339"/>
      <c r="G152" s="339"/>
      <c r="H152" s="339"/>
      <c r="I152" s="339"/>
      <c r="J152" s="339"/>
      <c r="K152" s="339"/>
      <c r="L152" s="339"/>
      <c r="M152" s="339"/>
      <c r="N152" s="339"/>
      <c r="O152" s="339"/>
      <c r="P152" s="339"/>
      <c r="Q152" s="339"/>
      <c r="R152" s="339"/>
      <c r="S152" s="339"/>
      <c r="T152" s="339"/>
      <c r="U152" s="339"/>
      <c r="V152" s="339"/>
      <c r="W152" s="340"/>
      <c r="X152" s="341"/>
      <c r="Y152" s="30"/>
      <c r="Z152" s="30"/>
    </row>
    <row r="153" spans="1:26" ht="15.6" customHeight="1">
      <c r="A153" s="334" t="str">
        <f>'SEL487E-X'!G7</f>
        <v>(Main-1 Multi Func. Capacitor Protection)</v>
      </c>
      <c r="B153" s="335"/>
      <c r="C153" s="335"/>
      <c r="D153" s="335"/>
      <c r="E153" s="335"/>
      <c r="F153" s="335"/>
      <c r="G153" s="335"/>
      <c r="H153" s="335"/>
      <c r="I153" s="335"/>
      <c r="J153" s="335"/>
      <c r="K153" s="335"/>
      <c r="L153" s="335"/>
      <c r="M153" s="335"/>
      <c r="N153" s="335"/>
      <c r="O153" s="335"/>
      <c r="P153" s="335"/>
      <c r="Q153" s="335"/>
      <c r="R153" s="335"/>
      <c r="S153" s="335"/>
      <c r="T153" s="335"/>
      <c r="U153" s="335"/>
      <c r="V153" s="335"/>
      <c r="W153" s="336"/>
      <c r="X153" s="337"/>
      <c r="Y153" s="30"/>
      <c r="Z153" s="30"/>
    </row>
    <row r="154" spans="1:26" ht="28.2" customHeight="1">
      <c r="A154" s="868" t="s">
        <v>85</v>
      </c>
      <c r="B154" s="868"/>
      <c r="C154" s="868"/>
      <c r="D154" s="868" t="s">
        <v>86</v>
      </c>
      <c r="E154" s="868"/>
      <c r="F154" s="868"/>
      <c r="G154" s="868" t="s">
        <v>87</v>
      </c>
      <c r="H154" s="868"/>
      <c r="I154" s="868" t="s">
        <v>88</v>
      </c>
      <c r="J154" s="868"/>
      <c r="K154" s="868" t="s">
        <v>89</v>
      </c>
      <c r="L154" s="868"/>
      <c r="M154" s="868" t="s">
        <v>90</v>
      </c>
      <c r="N154" s="868"/>
      <c r="O154" s="868" t="s">
        <v>91</v>
      </c>
      <c r="P154" s="868"/>
      <c r="Q154" s="868" t="s">
        <v>92</v>
      </c>
      <c r="R154" s="868"/>
      <c r="S154" s="868" t="s">
        <v>93</v>
      </c>
      <c r="T154" s="868"/>
      <c r="U154" s="868"/>
      <c r="V154" s="868"/>
      <c r="W154" s="478" t="s">
        <v>94</v>
      </c>
      <c r="X154" s="319"/>
      <c r="Y154" s="30"/>
      <c r="Z154" s="30"/>
    </row>
    <row r="155" spans="1:26" ht="20.25" customHeight="1">
      <c r="A155" s="958" t="str">
        <f>'SEL487E-X'!A265</f>
        <v>T1</v>
      </c>
      <c r="B155" s="958" t="str">
        <f>'SEL487E-X'!B265</f>
        <v>Core1</v>
      </c>
      <c r="C155" s="765"/>
      <c r="D155" s="870">
        <f>'SEL487E-X'!D265</f>
        <v>1600</v>
      </c>
      <c r="E155" s="870"/>
      <c r="F155" s="870">
        <f>'SEL487E-X'!F265</f>
        <v>1</v>
      </c>
      <c r="G155" s="870">
        <f>'SEL487E-X'!G265</f>
        <v>120</v>
      </c>
      <c r="H155" s="959">
        <f>'SEL487E-X'!H265</f>
        <v>6</v>
      </c>
      <c r="I155" s="874" t="str">
        <f>'SEL487E-X'!I265</f>
        <v>PX</v>
      </c>
      <c r="J155" s="874"/>
      <c r="K155" s="869">
        <f>'SEL487E-X'!K265</f>
        <v>8</v>
      </c>
      <c r="L155" s="869"/>
      <c r="M155" s="869">
        <f>'SEL487E-X'!M265</f>
        <v>1600</v>
      </c>
      <c r="N155" s="869"/>
      <c r="O155" s="876">
        <f>'SEL487E-X'!O265</f>
        <v>10</v>
      </c>
      <c r="P155" s="870"/>
      <c r="Q155" s="879" t="str">
        <f>'SEL487E-X'!Q265</f>
        <v>SEL487E</v>
      </c>
      <c r="R155" s="879"/>
      <c r="S155" s="870" t="str">
        <f>'SEL487E-X'!S265</f>
        <v>Suitable Dimensions</v>
      </c>
      <c r="T155" s="870"/>
      <c r="U155" s="870"/>
      <c r="V155" s="870"/>
      <c r="W155" s="264">
        <f>'SEL487E-X'!H71</f>
        <v>324.61160018255754</v>
      </c>
      <c r="X155" s="263"/>
      <c r="Y155" s="30"/>
      <c r="Z155" s="30"/>
    </row>
    <row r="156" spans="1:26" ht="17.25" customHeight="1">
      <c r="A156" s="765"/>
      <c r="B156" s="765"/>
      <c r="C156" s="765"/>
      <c r="D156" s="870">
        <f>'SEL487E-X'!D266</f>
        <v>400</v>
      </c>
      <c r="E156" s="870"/>
      <c r="F156" s="870"/>
      <c r="G156" s="870"/>
      <c r="H156" s="959"/>
      <c r="I156" s="874"/>
      <c r="J156" s="874"/>
      <c r="K156" s="869">
        <f>'SEL487E-X'!K266</f>
        <v>2</v>
      </c>
      <c r="L156" s="869"/>
      <c r="M156" s="869">
        <f>'SEL487E-X'!M266</f>
        <v>400</v>
      </c>
      <c r="N156" s="869"/>
      <c r="O156" s="876">
        <f>'SEL487E-X'!O266</f>
        <v>30</v>
      </c>
      <c r="P156" s="870"/>
      <c r="Q156" s="879"/>
      <c r="R156" s="879"/>
      <c r="S156" s="870" t="str">
        <f>'SEL487E-X'!S266</f>
        <v>Under Dimensioned</v>
      </c>
      <c r="T156" s="870"/>
      <c r="U156" s="870"/>
      <c r="V156" s="870"/>
      <c r="W156" s="514">
        <f>'SEL487E-X'!H153</f>
        <v>458.6641909998653</v>
      </c>
      <c r="X156" s="263"/>
      <c r="Y156" s="30"/>
      <c r="Z156" s="30"/>
    </row>
    <row r="157" spans="1:26" ht="15.6" customHeight="1">
      <c r="A157" s="765"/>
      <c r="B157" s="765"/>
      <c r="C157" s="765"/>
      <c r="D157" s="870" t="str">
        <f>'SEL487E-X'!D267</f>
        <v>-</v>
      </c>
      <c r="E157" s="870"/>
      <c r="F157" s="870"/>
      <c r="G157" s="870"/>
      <c r="H157" s="959"/>
      <c r="I157" s="874"/>
      <c r="J157" s="874"/>
      <c r="K157" s="869" t="str">
        <f>'SEL487E-X'!K267</f>
        <v>-</v>
      </c>
      <c r="L157" s="869"/>
      <c r="M157" s="869" t="str">
        <f>'SEL487E-X'!M267</f>
        <v>-</v>
      </c>
      <c r="N157" s="869"/>
      <c r="O157" s="876" t="str">
        <f>'SEL487E-X'!O267</f>
        <v>-</v>
      </c>
      <c r="P157" s="870"/>
      <c r="Q157" s="879"/>
      <c r="R157" s="879"/>
      <c r="S157" s="870" t="str">
        <f>'SEL487E-X'!S267</f>
        <v>-</v>
      </c>
      <c r="T157" s="870"/>
      <c r="U157" s="870"/>
      <c r="V157" s="870"/>
      <c r="W157" s="514" t="s">
        <v>6</v>
      </c>
      <c r="X157" s="263"/>
      <c r="Y157" s="30"/>
      <c r="Z157" s="30"/>
    </row>
    <row r="158" spans="1:26" ht="17.399999999999999" customHeight="1">
      <c r="A158" s="334" t="s">
        <v>943</v>
      </c>
      <c r="B158" s="335"/>
      <c r="C158" s="335"/>
      <c r="D158" s="335"/>
      <c r="E158" s="335"/>
      <c r="F158" s="335"/>
      <c r="G158" s="335"/>
      <c r="H158" s="335"/>
      <c r="I158" s="335"/>
      <c r="J158" s="335"/>
      <c r="K158" s="335"/>
      <c r="L158" s="335"/>
      <c r="M158" s="335"/>
      <c r="N158" s="335"/>
      <c r="O158" s="335"/>
      <c r="P158" s="335"/>
      <c r="Q158" s="335"/>
      <c r="R158" s="335"/>
      <c r="S158" s="335"/>
      <c r="T158" s="335"/>
      <c r="U158" s="335"/>
      <c r="V158" s="335"/>
      <c r="W158" s="336"/>
      <c r="X158" s="337"/>
      <c r="Y158" s="30"/>
      <c r="Z158" s="30"/>
    </row>
    <row r="159" spans="1:26" ht="28.2" customHeight="1">
      <c r="A159" s="868" t="s">
        <v>85</v>
      </c>
      <c r="B159" s="868"/>
      <c r="C159" s="868"/>
      <c r="D159" s="868" t="s">
        <v>86</v>
      </c>
      <c r="E159" s="868"/>
      <c r="F159" s="868"/>
      <c r="G159" s="868" t="s">
        <v>87</v>
      </c>
      <c r="H159" s="868"/>
      <c r="I159" s="868" t="s">
        <v>88</v>
      </c>
      <c r="J159" s="868"/>
      <c r="K159" s="868" t="s">
        <v>89</v>
      </c>
      <c r="L159" s="868"/>
      <c r="M159" s="868" t="s">
        <v>90</v>
      </c>
      <c r="N159" s="868"/>
      <c r="O159" s="868" t="s">
        <v>91</v>
      </c>
      <c r="P159" s="868"/>
      <c r="Q159" s="868" t="s">
        <v>92</v>
      </c>
      <c r="R159" s="868"/>
      <c r="S159" s="868" t="s">
        <v>93</v>
      </c>
      <c r="T159" s="868"/>
      <c r="U159" s="868"/>
      <c r="V159" s="868"/>
      <c r="W159" s="478" t="s">
        <v>94</v>
      </c>
      <c r="X159" s="319"/>
      <c r="Y159" s="30"/>
      <c r="Z159" s="30"/>
    </row>
    <row r="160" spans="1:26" ht="15.6" customHeight="1">
      <c r="A160" s="958" t="str">
        <f>'IBT MAIN-2 Diff'!A702</f>
        <v>T1</v>
      </c>
      <c r="B160" s="958" t="str">
        <f>'IBT MAIN-2 Diff'!B702</f>
        <v>Core2</v>
      </c>
      <c r="C160" s="765"/>
      <c r="D160" s="870">
        <f>'IBT MAIN-2 Diff'!D702</f>
        <v>2800</v>
      </c>
      <c r="E160" s="870"/>
      <c r="F160" s="870">
        <f>'IBT MAIN-2 Diff'!F702</f>
        <v>1</v>
      </c>
      <c r="G160" s="870">
        <f>'CT-VT Burdens'!S67</f>
        <v>120</v>
      </c>
      <c r="H160" s="959">
        <f>'CT-VT Burdens'!S56</f>
        <v>2.5</v>
      </c>
      <c r="I160" s="874" t="str">
        <f>'IBT MAIN-2 Diff'!I702</f>
        <v>PX</v>
      </c>
      <c r="J160" s="874"/>
      <c r="K160" s="869">
        <f>'IBT MAIN-2 Diff'!K702</f>
        <v>4</v>
      </c>
      <c r="L160" s="869"/>
      <c r="M160" s="869">
        <f>'IBT MAIN-2 Diff'!M702</f>
        <v>500</v>
      </c>
      <c r="N160" s="869"/>
      <c r="O160" s="960">
        <f>'IBT MAIN-2 Diff'!O702</f>
        <v>20</v>
      </c>
      <c r="P160" s="870"/>
      <c r="Q160" s="879" t="str">
        <f>'IBT MAIN-2 Diff'!Q702</f>
        <v xml:space="preserve">7UT85 IDM+ REF615 </v>
      </c>
      <c r="R160" s="879"/>
      <c r="S160" s="870" t="str">
        <f>'IBT MAIN-2 Diff'!S702</f>
        <v>Suitably Dimensioned</v>
      </c>
      <c r="T160" s="870"/>
      <c r="U160" s="870"/>
      <c r="V160" s="870"/>
      <c r="W160" s="264">
        <f>'IBT MAIN-2 FMS+DOC DEF '!N68</f>
        <v>130.91</v>
      </c>
      <c r="X160" s="263"/>
      <c r="Y160" s="30"/>
      <c r="Z160" s="30"/>
    </row>
    <row r="161" spans="1:26" ht="15.6" customHeight="1">
      <c r="A161" s="765"/>
      <c r="B161" s="765"/>
      <c r="C161" s="765"/>
      <c r="D161" s="870">
        <f>'IBT MAIN-2 Diff'!D703</f>
        <v>3200</v>
      </c>
      <c r="E161" s="870"/>
      <c r="F161" s="870"/>
      <c r="G161" s="870"/>
      <c r="H161" s="959"/>
      <c r="I161" s="874"/>
      <c r="J161" s="874"/>
      <c r="K161" s="869">
        <f>'IBT MAIN-2 Diff'!K703</f>
        <v>5</v>
      </c>
      <c r="L161" s="869"/>
      <c r="M161" s="869">
        <f>'IBT MAIN-2 Diff'!M703</f>
        <v>600</v>
      </c>
      <c r="N161" s="869"/>
      <c r="O161" s="960">
        <f>'IBT MAIN-2 Diff'!O703</f>
        <v>10</v>
      </c>
      <c r="P161" s="870"/>
      <c r="Q161" s="879"/>
      <c r="R161" s="879"/>
      <c r="S161" s="870" t="str">
        <f>'IBT MAIN-2 Diff'!S703</f>
        <v>Suitably Dimensioned</v>
      </c>
      <c r="T161" s="870"/>
      <c r="U161" s="870"/>
      <c r="V161" s="870"/>
      <c r="W161" s="514">
        <f>'IBT MAIN-2 FMS+DOC DEF '!N336</f>
        <v>154.91</v>
      </c>
      <c r="X161" s="263"/>
      <c r="Y161" s="30"/>
      <c r="Z161" s="30"/>
    </row>
    <row r="162" spans="1:26" ht="15.6" customHeight="1">
      <c r="A162" s="765"/>
      <c r="B162" s="765"/>
      <c r="C162" s="765"/>
      <c r="D162" s="870" t="str">
        <f>'IBT MAIN-2 Diff'!D704</f>
        <v>-</v>
      </c>
      <c r="E162" s="870"/>
      <c r="F162" s="870"/>
      <c r="G162" s="870"/>
      <c r="H162" s="959"/>
      <c r="I162" s="874"/>
      <c r="J162" s="874"/>
      <c r="K162" s="869" t="str">
        <f>'IBT MAIN-2 Diff'!K704</f>
        <v>-</v>
      </c>
      <c r="L162" s="869"/>
      <c r="M162" s="869" t="str">
        <f>'IBT MAIN-2 Diff'!M704</f>
        <v>-</v>
      </c>
      <c r="N162" s="869"/>
      <c r="O162" s="960" t="str">
        <f>'IBT MAIN-2 Diff'!O704</f>
        <v>-</v>
      </c>
      <c r="P162" s="870"/>
      <c r="Q162" s="879"/>
      <c r="R162" s="879"/>
      <c r="S162" s="870" t="str">
        <f>'IBT MAIN-2 Diff'!S704</f>
        <v>-</v>
      </c>
      <c r="T162" s="870"/>
      <c r="U162" s="870"/>
      <c r="V162" s="870"/>
      <c r="W162" s="514" t="s">
        <v>6</v>
      </c>
      <c r="X162" s="263"/>
      <c r="Y162" s="30"/>
      <c r="Z162" s="30"/>
    </row>
    <row r="163" spans="1:26" ht="15.6" customHeight="1">
      <c r="A163" s="334" t="str">
        <f>'METERING+BCU+PQM(4)'!H7</f>
        <v>(Metering + BCU + PQM)</v>
      </c>
      <c r="B163" s="335"/>
      <c r="C163" s="335"/>
      <c r="D163" s="335"/>
      <c r="E163" s="335"/>
      <c r="F163" s="335"/>
      <c r="G163" s="335"/>
      <c r="H163" s="335"/>
      <c r="I163" s="335"/>
      <c r="J163" s="335"/>
      <c r="K163" s="335"/>
      <c r="L163" s="335"/>
      <c r="M163" s="335"/>
      <c r="N163" s="335"/>
      <c r="O163" s="335"/>
      <c r="P163" s="335"/>
      <c r="Q163" s="335"/>
      <c r="R163" s="335"/>
      <c r="S163" s="335"/>
      <c r="T163" s="335"/>
      <c r="U163" s="335"/>
      <c r="V163" s="335"/>
      <c r="W163" s="336"/>
      <c r="X163" s="337"/>
      <c r="Y163" s="30"/>
      <c r="Z163" s="30"/>
    </row>
    <row r="164" spans="1:26" ht="27.6" customHeight="1">
      <c r="A164" s="868" t="s">
        <v>85</v>
      </c>
      <c r="B164" s="868"/>
      <c r="C164" s="868"/>
      <c r="D164" s="868" t="s">
        <v>86</v>
      </c>
      <c r="E164" s="868"/>
      <c r="F164" s="868"/>
      <c r="G164" s="868" t="s">
        <v>87</v>
      </c>
      <c r="H164" s="868"/>
      <c r="I164" s="868" t="s">
        <v>88</v>
      </c>
      <c r="J164" s="868"/>
      <c r="K164" s="868" t="s">
        <v>89</v>
      </c>
      <c r="L164" s="868"/>
      <c r="M164" s="868" t="s">
        <v>100</v>
      </c>
      <c r="N164" s="868"/>
      <c r="O164" s="868"/>
      <c r="P164" s="868"/>
      <c r="Q164" s="868" t="s">
        <v>92</v>
      </c>
      <c r="R164" s="868"/>
      <c r="S164" s="868" t="s">
        <v>93</v>
      </c>
      <c r="T164" s="868"/>
      <c r="U164" s="868"/>
      <c r="V164" s="868"/>
      <c r="W164" s="478" t="s">
        <v>103</v>
      </c>
      <c r="X164" s="319"/>
      <c r="Y164" s="30"/>
      <c r="Z164" s="30"/>
    </row>
    <row r="165" spans="1:26" ht="15.6" customHeight="1">
      <c r="A165" s="958" t="str">
        <f>'METERING+BCU+PQM(4)'!A142</f>
        <v>T1</v>
      </c>
      <c r="B165" s="958" t="str">
        <f>'METERING+BCU+PQM(4)'!B142</f>
        <v>Core3</v>
      </c>
      <c r="C165" s="765"/>
      <c r="D165" s="870">
        <f>'METERING+BCU+PQM(4)'!D142</f>
        <v>1600</v>
      </c>
      <c r="E165" s="870"/>
      <c r="F165" s="870">
        <f>'METERING+BCU+PQM(4)'!F142</f>
        <v>1</v>
      </c>
      <c r="G165" s="870">
        <f>'METERING+BCU+PQM(4)'!G142</f>
        <v>120</v>
      </c>
      <c r="H165" s="959">
        <f>'METERING+BCU+PQM(4)'!H142</f>
        <v>6</v>
      </c>
      <c r="I165" s="874">
        <f>'METERING+BCU+PQM(4)'!I142</f>
        <v>0.5</v>
      </c>
      <c r="J165" s="874"/>
      <c r="K165" s="869">
        <f>'METERING+BCU+PQM(4)'!K142</f>
        <v>4</v>
      </c>
      <c r="L165" s="869"/>
      <c r="M165" s="962">
        <f>'METERING+BCU+PQM(4)'!M142</f>
        <v>30</v>
      </c>
      <c r="N165" s="869"/>
      <c r="O165" s="868"/>
      <c r="P165" s="868"/>
      <c r="Q165" s="879" t="str">
        <f>'METERING+BCU+PQM(4)'!Q142</f>
        <v xml:space="preserve">SEL2240 +  6MD85  </v>
      </c>
      <c r="R165" s="879"/>
      <c r="S165" s="870" t="str">
        <f>'METERING+BCU+PQM(4)'!S142</f>
        <v>Not suitable</v>
      </c>
      <c r="T165" s="870"/>
      <c r="U165" s="870"/>
      <c r="V165" s="870"/>
      <c r="W165" s="264">
        <f>'METERING+BCU+PQM(4)'!J46</f>
        <v>32.215136837659536</v>
      </c>
      <c r="X165" s="263"/>
      <c r="Y165" s="30"/>
      <c r="Z165" s="30"/>
    </row>
    <row r="166" spans="1:26" ht="15.6" customHeight="1">
      <c r="A166" s="765"/>
      <c r="B166" s="765"/>
      <c r="C166" s="765"/>
      <c r="D166" s="870">
        <f>'METERING+BCU+PQM(4)'!D143</f>
        <v>400</v>
      </c>
      <c r="E166" s="870"/>
      <c r="F166" s="870"/>
      <c r="G166" s="870"/>
      <c r="H166" s="959"/>
      <c r="I166" s="874"/>
      <c r="J166" s="874"/>
      <c r="K166" s="869">
        <f>'METERING+BCU+PQM(4)'!K143</f>
        <v>1</v>
      </c>
      <c r="L166" s="869"/>
      <c r="M166" s="962">
        <f>'METERING+BCU+PQM(4)'!M143</f>
        <v>7.5</v>
      </c>
      <c r="N166" s="869"/>
      <c r="O166" s="868"/>
      <c r="P166" s="868"/>
      <c r="Q166" s="879"/>
      <c r="R166" s="879"/>
      <c r="S166" s="870" t="str">
        <f>'METERING+BCU+PQM(4)'!S143</f>
        <v>Suitably Dimensioned</v>
      </c>
      <c r="T166" s="870"/>
      <c r="U166" s="870"/>
      <c r="V166" s="870"/>
      <c r="W166" s="514">
        <f>'METERING+BCU+PQM(4)'!J87</f>
        <v>18.664726027030284</v>
      </c>
      <c r="X166" s="263"/>
      <c r="Y166" s="30"/>
      <c r="Z166" s="30"/>
    </row>
    <row r="167" spans="1:26" ht="15.6" customHeight="1">
      <c r="A167" s="765"/>
      <c r="B167" s="765"/>
      <c r="C167" s="765"/>
      <c r="D167" s="870" t="str">
        <f>'METERING+BCU+PQM(4)'!D144</f>
        <v>-</v>
      </c>
      <c r="E167" s="870"/>
      <c r="F167" s="870"/>
      <c r="G167" s="870"/>
      <c r="H167" s="959"/>
      <c r="I167" s="874"/>
      <c r="J167" s="874"/>
      <c r="K167" s="869" t="str">
        <f>'METERING+BCU+PQM(4)'!K144</f>
        <v>-</v>
      </c>
      <c r="L167" s="869"/>
      <c r="M167" s="962" t="str">
        <f>'METERING+BCU+PQM(4)'!M144</f>
        <v>-</v>
      </c>
      <c r="N167" s="869"/>
      <c r="O167" s="868"/>
      <c r="P167" s="868"/>
      <c r="Q167" s="879"/>
      <c r="R167" s="879"/>
      <c r="S167" s="870" t="str">
        <f>'METERING+BCU+PQM(4)'!S144</f>
        <v>-</v>
      </c>
      <c r="T167" s="870"/>
      <c r="U167" s="870"/>
      <c r="V167" s="870"/>
      <c r="W167" s="514" t="s">
        <v>6</v>
      </c>
      <c r="X167" s="263"/>
      <c r="Y167" s="30"/>
      <c r="Z167" s="30"/>
    </row>
    <row r="168" spans="1:26" ht="15.6" customHeight="1">
      <c r="A168" s="334" t="s">
        <v>935</v>
      </c>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6"/>
      <c r="X168" s="337"/>
      <c r="Y168" s="30"/>
      <c r="Z168" s="30"/>
    </row>
    <row r="169" spans="1:26" ht="27.6" customHeight="1">
      <c r="A169" s="868" t="s">
        <v>85</v>
      </c>
      <c r="B169" s="868"/>
      <c r="C169" s="868"/>
      <c r="D169" s="868" t="s">
        <v>86</v>
      </c>
      <c r="E169" s="868"/>
      <c r="F169" s="868"/>
      <c r="G169" s="868" t="s">
        <v>87</v>
      </c>
      <c r="H169" s="868"/>
      <c r="I169" s="868" t="s">
        <v>88</v>
      </c>
      <c r="J169" s="868"/>
      <c r="K169" s="868" t="s">
        <v>89</v>
      </c>
      <c r="L169" s="868"/>
      <c r="M169" s="868" t="s">
        <v>90</v>
      </c>
      <c r="N169" s="868"/>
      <c r="O169" s="868" t="s">
        <v>91</v>
      </c>
      <c r="P169" s="868"/>
      <c r="Q169" s="868" t="s">
        <v>92</v>
      </c>
      <c r="R169" s="868"/>
      <c r="S169" s="868" t="s">
        <v>93</v>
      </c>
      <c r="T169" s="868"/>
      <c r="U169" s="868"/>
      <c r="V169" s="868"/>
      <c r="W169" s="478" t="s">
        <v>94</v>
      </c>
      <c r="X169" s="319"/>
      <c r="Y169" s="30"/>
      <c r="Z169" s="30"/>
    </row>
    <row r="170" spans="1:26" ht="15.6" customHeight="1">
      <c r="A170" s="958" t="str">
        <f>'MAIN-1 BBP+BFP (2)'!A264</f>
        <v>T1</v>
      </c>
      <c r="B170" s="958" t="str">
        <f>'MAIN-1 BBP+BFP (2)'!B264</f>
        <v>Core4</v>
      </c>
      <c r="C170" s="765"/>
      <c r="D170" s="870">
        <f>'MAIN-1 BBP+BFP (2)'!D264</f>
        <v>3200</v>
      </c>
      <c r="E170" s="870"/>
      <c r="F170" s="870">
        <f>'MAIN-1 BBP+BFP (2)'!F264</f>
        <v>1</v>
      </c>
      <c r="G170" s="870">
        <f>'MAIN-1 BBP+BFP (2)'!G264</f>
        <v>120</v>
      </c>
      <c r="H170" s="959">
        <f>'MAIN-1 BBP+BFP (2)'!H264</f>
        <v>6</v>
      </c>
      <c r="I170" s="874" t="str">
        <f>'MAIN-1 BBP+BFP (2)'!I264</f>
        <v>PX</v>
      </c>
      <c r="J170" s="874"/>
      <c r="K170" s="869">
        <f>'MAIN-1 BBP+BFP (2)'!K264</f>
        <v>8</v>
      </c>
      <c r="L170" s="869"/>
      <c r="M170" s="869">
        <f>'MAIN-1 BBP+BFP (2)'!M264</f>
        <v>900</v>
      </c>
      <c r="N170" s="869"/>
      <c r="O170" s="960">
        <f>'MAIN-1 BBP+BFP (2)'!O264</f>
        <v>10</v>
      </c>
      <c r="P170" s="870"/>
      <c r="Q170" s="879" t="str">
        <f>'MAIN-1 BBP+BFP (2)'!Q264</f>
        <v>REB500</v>
      </c>
      <c r="R170" s="879"/>
      <c r="S170" s="870" t="str">
        <f>'MAIN-1 BBP+BFP (2)'!S264</f>
        <v>Suitably Dimensioned</v>
      </c>
      <c r="T170" s="870"/>
      <c r="U170" s="870"/>
      <c r="V170" s="870"/>
      <c r="W170" s="264">
        <f>'MAIN-1 BBP+BFP (2)'!M81</f>
        <v>87.331415424000014</v>
      </c>
      <c r="X170" s="263"/>
      <c r="Y170" s="30"/>
      <c r="Z170" s="30"/>
    </row>
    <row r="171" spans="1:26" ht="15.6" customHeight="1">
      <c r="A171" s="765"/>
      <c r="B171" s="765"/>
      <c r="C171" s="765"/>
      <c r="D171" s="870">
        <f>'MAIN-1 BBP+BFP (2)'!D265</f>
        <v>2000</v>
      </c>
      <c r="E171" s="870"/>
      <c r="F171" s="870"/>
      <c r="G171" s="870"/>
      <c r="H171" s="959"/>
      <c r="I171" s="874"/>
      <c r="J171" s="874"/>
      <c r="K171" s="869">
        <f>'MAIN-1 BBP+BFP (2)'!K265</f>
        <v>5</v>
      </c>
      <c r="L171" s="869"/>
      <c r="M171" s="869">
        <f>'MAIN-1 BBP+BFP (2)'!M265</f>
        <v>500</v>
      </c>
      <c r="N171" s="869"/>
      <c r="O171" s="960">
        <f>'MAIN-1 BBP+BFP (2)'!O265</f>
        <v>30</v>
      </c>
      <c r="P171" s="870"/>
      <c r="Q171" s="879"/>
      <c r="R171" s="879"/>
      <c r="S171" s="870" t="str">
        <f>'MAIN-1 BBP+BFP (2)'!S265</f>
        <v>Suitably Dimensioned</v>
      </c>
      <c r="T171" s="870"/>
      <c r="U171" s="870"/>
      <c r="V171" s="870"/>
      <c r="W171" s="514">
        <f>'MAIN-1 BBP+BFP (2)'!M161</f>
        <v>58.531415423999995</v>
      </c>
      <c r="X171" s="263"/>
      <c r="Y171" s="30"/>
      <c r="Z171" s="30"/>
    </row>
    <row r="172" spans="1:26" ht="15.6" customHeight="1">
      <c r="A172" s="765"/>
      <c r="B172" s="765"/>
      <c r="C172" s="765"/>
      <c r="D172" s="870" t="str">
        <f>'MAIN-1 BBP+BFP (2)'!D266</f>
        <v>-</v>
      </c>
      <c r="E172" s="870"/>
      <c r="F172" s="870"/>
      <c r="G172" s="870"/>
      <c r="H172" s="959"/>
      <c r="I172" s="874"/>
      <c r="J172" s="874"/>
      <c r="K172" s="869" t="str">
        <f>'MAIN-1 BBP+BFP (2)'!K266</f>
        <v>-</v>
      </c>
      <c r="L172" s="869"/>
      <c r="M172" s="869" t="str">
        <f>'MAIN-1 BBP+BFP (2)'!M266</f>
        <v>-</v>
      </c>
      <c r="N172" s="869"/>
      <c r="O172" s="960" t="str">
        <f>'MAIN-1 BBP+BFP (2)'!O266</f>
        <v>-</v>
      </c>
      <c r="P172" s="870"/>
      <c r="Q172" s="879"/>
      <c r="R172" s="879"/>
      <c r="S172" s="870" t="str">
        <f>'MAIN-1 BBP+BFP (2)'!S266</f>
        <v>-</v>
      </c>
      <c r="T172" s="870"/>
      <c r="U172" s="870"/>
      <c r="V172" s="870"/>
      <c r="W172" s="514" t="s">
        <v>6</v>
      </c>
      <c r="X172" s="263"/>
      <c r="Y172" s="30"/>
      <c r="Z172" s="30"/>
    </row>
    <row r="173" spans="1:26" ht="15.6" customHeight="1">
      <c r="A173" s="334" t="s">
        <v>936</v>
      </c>
      <c r="B173" s="335"/>
      <c r="C173" s="335"/>
      <c r="D173" s="335"/>
      <c r="E173" s="335"/>
      <c r="F173" s="335"/>
      <c r="G173" s="335"/>
      <c r="H173" s="335"/>
      <c r="I173" s="335"/>
      <c r="J173" s="335"/>
      <c r="K173" s="335"/>
      <c r="L173" s="335"/>
      <c r="M173" s="335"/>
      <c r="N173" s="335"/>
      <c r="O173" s="335"/>
      <c r="P173" s="335"/>
      <c r="Q173" s="335"/>
      <c r="R173" s="335"/>
      <c r="S173" s="335"/>
      <c r="T173" s="335"/>
      <c r="U173" s="335"/>
      <c r="V173" s="335"/>
      <c r="W173" s="336"/>
      <c r="X173" s="337"/>
      <c r="Y173" s="30"/>
      <c r="Z173" s="30"/>
    </row>
    <row r="174" spans="1:26" ht="28.2" customHeight="1">
      <c r="A174" s="868" t="s">
        <v>85</v>
      </c>
      <c r="B174" s="868"/>
      <c r="C174" s="868"/>
      <c r="D174" s="868" t="s">
        <v>86</v>
      </c>
      <c r="E174" s="868"/>
      <c r="F174" s="868"/>
      <c r="G174" s="868" t="s">
        <v>87</v>
      </c>
      <c r="H174" s="868"/>
      <c r="I174" s="868" t="s">
        <v>88</v>
      </c>
      <c r="J174" s="868"/>
      <c r="K174" s="868" t="s">
        <v>89</v>
      </c>
      <c r="L174" s="868"/>
      <c r="M174" s="868" t="s">
        <v>90</v>
      </c>
      <c r="N174" s="868"/>
      <c r="O174" s="868" t="s">
        <v>91</v>
      </c>
      <c r="P174" s="868"/>
      <c r="Q174" s="868" t="s">
        <v>92</v>
      </c>
      <c r="R174" s="868"/>
      <c r="S174" s="868" t="s">
        <v>93</v>
      </c>
      <c r="T174" s="868"/>
      <c r="U174" s="868"/>
      <c r="V174" s="868"/>
      <c r="W174" s="478" t="s">
        <v>94</v>
      </c>
      <c r="X174" s="319"/>
      <c r="Y174" s="30"/>
      <c r="Z174" s="30"/>
    </row>
    <row r="175" spans="1:26" ht="15.6" customHeight="1">
      <c r="A175" s="958" t="str">
        <f>'MAIN-1 BBP+BFP (2)'!A264</f>
        <v>T1</v>
      </c>
      <c r="B175" s="958" t="s">
        <v>112</v>
      </c>
      <c r="C175" s="765"/>
      <c r="D175" s="870">
        <f>'MAIN-1 BBP+BFP (2)'!D264</f>
        <v>3200</v>
      </c>
      <c r="E175" s="870"/>
      <c r="F175" s="870">
        <f>'MAIN-1 BBP+BFP (2)'!F264</f>
        <v>1</v>
      </c>
      <c r="G175" s="870">
        <f>'MAIN-1 BBP+BFP (2)'!G264</f>
        <v>120</v>
      </c>
      <c r="H175" s="959">
        <f>'MAIN-1 BBP+BFP (2)'!H264</f>
        <v>6</v>
      </c>
      <c r="I175" s="874" t="str">
        <f>'MAIN-1 BBP+BFP (2)'!I264</f>
        <v>PX</v>
      </c>
      <c r="J175" s="874"/>
      <c r="K175" s="869">
        <f>'MAIN-1 BBP+BFP (2)'!K264</f>
        <v>8</v>
      </c>
      <c r="L175" s="869"/>
      <c r="M175" s="869">
        <f>'MAIN-1 BBP+BFP (2)'!M264</f>
        <v>900</v>
      </c>
      <c r="N175" s="869"/>
      <c r="O175" s="960">
        <f>'MAIN-1 BBP+BFP (2)'!O264</f>
        <v>10</v>
      </c>
      <c r="P175" s="870"/>
      <c r="Q175" s="879" t="str">
        <f>'MAIN-1 BBP+BFP (2)'!Q264</f>
        <v>REB500</v>
      </c>
      <c r="R175" s="879"/>
      <c r="S175" s="870" t="str">
        <f>'MAIN-1 BBP+BFP (2)'!S264</f>
        <v>Suitably Dimensioned</v>
      </c>
      <c r="T175" s="870"/>
      <c r="U175" s="870"/>
      <c r="V175" s="870"/>
      <c r="W175" s="264">
        <f t="shared" ref="W175:W176" si="6">W170</f>
        <v>87.331415424000014</v>
      </c>
      <c r="X175" s="263"/>
      <c r="Y175" s="30"/>
      <c r="Z175" s="30"/>
    </row>
    <row r="176" spans="1:26" ht="15.6" customHeight="1">
      <c r="A176" s="765"/>
      <c r="B176" s="765"/>
      <c r="C176" s="765"/>
      <c r="D176" s="870">
        <f>'MAIN-1 BBP+BFP (2)'!D265</f>
        <v>2000</v>
      </c>
      <c r="E176" s="870"/>
      <c r="F176" s="870"/>
      <c r="G176" s="870"/>
      <c r="H176" s="959"/>
      <c r="I176" s="874"/>
      <c r="J176" s="874"/>
      <c r="K176" s="869">
        <f>'MAIN-1 BBP+BFP (2)'!K265</f>
        <v>5</v>
      </c>
      <c r="L176" s="869"/>
      <c r="M176" s="869">
        <f>'MAIN-1 BBP+BFP (2)'!M265</f>
        <v>500</v>
      </c>
      <c r="N176" s="869"/>
      <c r="O176" s="960">
        <f>'MAIN-1 BBP+BFP (2)'!O265</f>
        <v>30</v>
      </c>
      <c r="P176" s="870"/>
      <c r="Q176" s="879"/>
      <c r="R176" s="879"/>
      <c r="S176" s="870" t="str">
        <f>'MAIN-1 BBP+BFP (2)'!S265</f>
        <v>Suitably Dimensioned</v>
      </c>
      <c r="T176" s="870"/>
      <c r="U176" s="870"/>
      <c r="V176" s="870"/>
      <c r="W176" s="514">
        <f t="shared" si="6"/>
        <v>58.531415423999995</v>
      </c>
      <c r="X176" s="263"/>
      <c r="Y176" s="30"/>
      <c r="Z176" s="30"/>
    </row>
    <row r="177" spans="1:26" ht="15.6" customHeight="1">
      <c r="A177" s="765"/>
      <c r="B177" s="765"/>
      <c r="C177" s="765"/>
      <c r="D177" s="870" t="str">
        <f>'MAIN-1 BBP+BFP (2)'!D266</f>
        <v>-</v>
      </c>
      <c r="E177" s="870"/>
      <c r="F177" s="870"/>
      <c r="G177" s="870"/>
      <c r="H177" s="959"/>
      <c r="I177" s="874"/>
      <c r="J177" s="874"/>
      <c r="K177" s="869" t="str">
        <f>'MAIN-1 BBP+BFP (2)'!K266</f>
        <v>-</v>
      </c>
      <c r="L177" s="869"/>
      <c r="M177" s="869" t="str">
        <f>'MAIN-1 BBP+BFP (2)'!M266</f>
        <v>-</v>
      </c>
      <c r="N177" s="869"/>
      <c r="O177" s="960" t="str">
        <f>'MAIN-1 BBP+BFP (2)'!O266</f>
        <v>-</v>
      </c>
      <c r="P177" s="870"/>
      <c r="Q177" s="879"/>
      <c r="R177" s="879"/>
      <c r="S177" s="870" t="str">
        <f>'MAIN-1 BBP+BFP (2)'!S266</f>
        <v>-</v>
      </c>
      <c r="T177" s="870"/>
      <c r="U177" s="870"/>
      <c r="V177" s="870"/>
      <c r="W177" s="514" t="s">
        <v>6</v>
      </c>
      <c r="X177" s="263"/>
      <c r="Y177" s="30"/>
      <c r="Z177" s="30"/>
    </row>
    <row r="178" spans="1:26" ht="15.6" customHeight="1">
      <c r="A178" s="28"/>
      <c r="B178" s="28"/>
      <c r="C178" s="28"/>
      <c r="D178" s="245"/>
      <c r="E178" s="245"/>
      <c r="F178" s="221"/>
      <c r="G178" s="221"/>
      <c r="H178" s="221"/>
      <c r="I178" s="222"/>
      <c r="J178" s="222"/>
      <c r="K178" s="480"/>
      <c r="L178" s="480"/>
      <c r="M178" s="480"/>
      <c r="N178" s="480"/>
      <c r="O178" s="245"/>
      <c r="P178" s="245"/>
      <c r="Q178" s="479"/>
      <c r="R178" s="479"/>
      <c r="S178" s="245"/>
      <c r="T178" s="245"/>
      <c r="U178" s="245"/>
      <c r="V178" s="245"/>
      <c r="W178" s="253"/>
      <c r="X178" s="221"/>
      <c r="Y178" s="30"/>
      <c r="Z178" s="30"/>
    </row>
    <row r="179" spans="1:26" ht="12" hidden="1" customHeight="1">
      <c r="A179" s="325"/>
      <c r="B179" s="28"/>
      <c r="C179" s="28"/>
      <c r="D179" s="245"/>
      <c r="E179" s="245"/>
      <c r="F179" s="221"/>
      <c r="G179" s="221"/>
      <c r="H179" s="221"/>
      <c r="I179" s="222"/>
      <c r="J179" s="222"/>
      <c r="K179" s="480"/>
      <c r="L179" s="480"/>
      <c r="M179" s="480"/>
      <c r="N179" s="480"/>
      <c r="O179" s="245"/>
      <c r="P179" s="245"/>
      <c r="Q179" s="479"/>
      <c r="R179" s="479"/>
      <c r="S179" s="245"/>
      <c r="T179" s="245"/>
      <c r="U179" s="245"/>
      <c r="V179" s="245"/>
      <c r="W179" s="253"/>
      <c r="X179" s="326"/>
      <c r="Y179" s="30"/>
      <c r="Z179" s="30"/>
    </row>
    <row r="180" spans="1:26" ht="18" customHeight="1">
      <c r="A180" s="325"/>
      <c r="B180" s="28"/>
      <c r="C180" s="28"/>
      <c r="D180" s="245"/>
      <c r="E180" s="245"/>
      <c r="F180" s="221"/>
      <c r="G180" s="221"/>
      <c r="H180" s="221"/>
      <c r="I180" s="222"/>
      <c r="J180" s="222"/>
      <c r="K180" s="480"/>
      <c r="L180" s="480"/>
      <c r="M180" s="480"/>
      <c r="N180" s="480"/>
      <c r="O180" s="245"/>
      <c r="P180" s="245"/>
      <c r="Q180" s="479"/>
      <c r="R180" s="479"/>
      <c r="S180" s="245"/>
      <c r="T180" s="245"/>
      <c r="U180" s="245"/>
      <c r="V180" s="245"/>
      <c r="W180" s="253"/>
      <c r="X180" s="326"/>
      <c r="Y180" s="30"/>
      <c r="Z180" s="30"/>
    </row>
    <row r="181" spans="1:26" ht="18" customHeight="1">
      <c r="A181" s="338" t="s">
        <v>1061</v>
      </c>
      <c r="B181" s="339"/>
      <c r="C181" s="339"/>
      <c r="D181" s="339"/>
      <c r="E181" s="339"/>
      <c r="F181" s="339"/>
      <c r="G181" s="339"/>
      <c r="H181" s="339"/>
      <c r="I181" s="339"/>
      <c r="J181" s="339"/>
      <c r="K181" s="339"/>
      <c r="L181" s="339"/>
      <c r="M181" s="339"/>
      <c r="N181" s="339"/>
      <c r="O181" s="339"/>
      <c r="P181" s="339"/>
      <c r="Q181" s="339"/>
      <c r="R181" s="339"/>
      <c r="S181" s="339"/>
      <c r="T181" s="339"/>
      <c r="U181" s="339"/>
      <c r="V181" s="339"/>
      <c r="W181" s="340"/>
      <c r="X181" s="341"/>
      <c r="Y181" s="30"/>
      <c r="Z181" s="30"/>
    </row>
    <row r="182" spans="1:26" ht="15" customHeight="1">
      <c r="A182" s="334" t="str">
        <f>'OC-EF+FMS'!H7</f>
        <v>(OC+EF+FMS)</v>
      </c>
      <c r="B182" s="335"/>
      <c r="C182" s="335"/>
      <c r="D182" s="335"/>
      <c r="E182" s="335"/>
      <c r="F182" s="335"/>
      <c r="G182" s="335"/>
      <c r="H182" s="335"/>
      <c r="I182" s="335"/>
      <c r="J182" s="335"/>
      <c r="K182" s="335"/>
      <c r="L182" s="335"/>
      <c r="M182" s="335"/>
      <c r="N182" s="335"/>
      <c r="O182" s="335"/>
      <c r="P182" s="335"/>
      <c r="Q182" s="335"/>
      <c r="R182" s="335"/>
      <c r="S182" s="335"/>
      <c r="T182" s="335"/>
      <c r="U182" s="335"/>
      <c r="V182" s="335"/>
      <c r="W182" s="974"/>
      <c r="X182" s="975"/>
      <c r="Y182" s="30"/>
      <c r="Z182" s="30"/>
    </row>
    <row r="183" spans="1:26" ht="27.6" customHeight="1">
      <c r="A183" s="868" t="s">
        <v>85</v>
      </c>
      <c r="B183" s="868"/>
      <c r="C183" s="869"/>
      <c r="D183" s="868" t="s">
        <v>86</v>
      </c>
      <c r="E183" s="868"/>
      <c r="F183" s="868"/>
      <c r="G183" s="868" t="s">
        <v>87</v>
      </c>
      <c r="H183" s="868"/>
      <c r="I183" s="868" t="s">
        <v>88</v>
      </c>
      <c r="J183" s="868"/>
      <c r="K183" s="955" t="s">
        <v>89</v>
      </c>
      <c r="L183" s="957"/>
      <c r="M183" s="868" t="s">
        <v>90</v>
      </c>
      <c r="N183" s="868"/>
      <c r="O183" s="868" t="s">
        <v>91</v>
      </c>
      <c r="P183" s="868"/>
      <c r="Q183" s="955" t="s">
        <v>92</v>
      </c>
      <c r="R183" s="957"/>
      <c r="S183" s="955" t="s">
        <v>93</v>
      </c>
      <c r="T183" s="956"/>
      <c r="U183" s="956"/>
      <c r="V183" s="956"/>
      <c r="W183" s="478" t="s">
        <v>94</v>
      </c>
      <c r="X183" s="319"/>
      <c r="Y183" s="30"/>
      <c r="Z183" s="30"/>
    </row>
    <row r="184" spans="1:26" ht="24.75" customHeight="1">
      <c r="A184" s="958" t="str">
        <f>'OC-EF+FMS'!A552</f>
        <v>T1</v>
      </c>
      <c r="B184" s="958" t="str">
        <f>'OC-EF+FMS'!B552</f>
        <v>Core1</v>
      </c>
      <c r="C184" s="765"/>
      <c r="D184" s="870">
        <f>'OC-EF+FMS'!D552</f>
        <v>3200</v>
      </c>
      <c r="E184" s="870"/>
      <c r="F184" s="870">
        <f>'OC-EF+FMS'!F552</f>
        <v>1</v>
      </c>
      <c r="G184" s="870">
        <f>'OC-EF+FMS'!G552</f>
        <v>120</v>
      </c>
      <c r="H184" s="959">
        <f>'OC-EF+FMS'!H552</f>
        <v>6</v>
      </c>
      <c r="I184" s="874" t="str">
        <f>'OC-EF+FMS'!I552</f>
        <v>PX</v>
      </c>
      <c r="J184" s="874"/>
      <c r="K184" s="869">
        <f>'OC-EF+FMS'!K552</f>
        <v>9.1999999999999993</v>
      </c>
      <c r="L184" s="869"/>
      <c r="M184" s="869">
        <f>'OC-EF+FMS'!M552</f>
        <v>600</v>
      </c>
      <c r="N184" s="869"/>
      <c r="O184" s="960">
        <f>'OC-EF+FMS'!O552</f>
        <v>10</v>
      </c>
      <c r="P184" s="870"/>
      <c r="Q184" s="879" t="str">
        <f>'OC-EF+FMS'!Q552</f>
        <v xml:space="preserve">REF615 </v>
      </c>
      <c r="R184" s="879"/>
      <c r="S184" s="870" t="str">
        <f>'OC-EF+FMS'!S552</f>
        <v>Suitably Dimensioned</v>
      </c>
      <c r="T184" s="870"/>
      <c r="U184" s="870"/>
      <c r="V184" s="870"/>
      <c r="W184" s="264">
        <f>'OC-EF+FMS'!N69</f>
        <v>247.60999999999999</v>
      </c>
      <c r="X184" s="263"/>
      <c r="Y184" s="30"/>
      <c r="Z184" s="30"/>
    </row>
    <row r="185" spans="1:26" ht="15.6" customHeight="1">
      <c r="A185" s="765"/>
      <c r="B185" s="765"/>
      <c r="C185" s="765"/>
      <c r="D185" s="870">
        <f>'OC-EF+FMS'!D553</f>
        <v>2800</v>
      </c>
      <c r="E185" s="870"/>
      <c r="F185" s="870"/>
      <c r="G185" s="870"/>
      <c r="H185" s="959"/>
      <c r="I185" s="874"/>
      <c r="J185" s="874"/>
      <c r="K185" s="869">
        <f>'OC-EF+FMS'!K553</f>
        <v>8</v>
      </c>
      <c r="L185" s="869"/>
      <c r="M185" s="869">
        <f>'OC-EF+FMS'!M553</f>
        <v>500</v>
      </c>
      <c r="N185" s="869"/>
      <c r="O185" s="960">
        <f>'OC-EF+FMS'!O553</f>
        <v>20</v>
      </c>
      <c r="P185" s="870"/>
      <c r="Q185" s="879"/>
      <c r="R185" s="879"/>
      <c r="S185" s="870" t="str">
        <f>'OC-EF+FMS'!S553</f>
        <v>Suitably Dimensioned</v>
      </c>
      <c r="T185" s="870"/>
      <c r="U185" s="870"/>
      <c r="V185" s="870"/>
      <c r="W185" s="514">
        <f>'OC-EF+FMS'!G154</f>
        <v>6.8571428571428568</v>
      </c>
      <c r="X185" s="263"/>
      <c r="Y185" s="30"/>
      <c r="Z185" s="30"/>
    </row>
    <row r="186" spans="1:26" ht="12.75" customHeight="1">
      <c r="A186" s="765"/>
      <c r="B186" s="765"/>
      <c r="C186" s="765"/>
      <c r="D186" s="870" t="str">
        <f>'OC-EF+FMS'!D554</f>
        <v>-</v>
      </c>
      <c r="E186" s="870"/>
      <c r="F186" s="870"/>
      <c r="G186" s="870"/>
      <c r="H186" s="959"/>
      <c r="I186" s="874"/>
      <c r="J186" s="874"/>
      <c r="K186" s="869" t="str">
        <f>'OC-EF+FMS'!K554</f>
        <v>-</v>
      </c>
      <c r="L186" s="869"/>
      <c r="M186" s="869" t="str">
        <f>'OC-EF+FMS'!M554</f>
        <v>-</v>
      </c>
      <c r="N186" s="869"/>
      <c r="O186" s="960" t="str">
        <f>'OC-EF+FMS'!O554</f>
        <v>-</v>
      </c>
      <c r="P186" s="870"/>
      <c r="Q186" s="879"/>
      <c r="R186" s="879"/>
      <c r="S186" s="870" t="str">
        <f>'OC-EF+FMS'!S554</f>
        <v>-</v>
      </c>
      <c r="T186" s="870"/>
      <c r="U186" s="870"/>
      <c r="V186" s="870"/>
      <c r="W186" s="514" t="s">
        <v>6</v>
      </c>
      <c r="X186" s="263"/>
      <c r="Y186" s="30"/>
      <c r="Z186" s="30"/>
    </row>
    <row r="187" spans="1:26" ht="15.6" hidden="1" customHeight="1">
      <c r="A187" s="512" t="s">
        <v>936</v>
      </c>
      <c r="B187" s="513"/>
      <c r="C187" s="513"/>
      <c r="D187" s="513"/>
      <c r="E187" s="513"/>
      <c r="F187" s="513"/>
      <c r="G187" s="513"/>
      <c r="H187" s="513"/>
      <c r="I187" s="513"/>
      <c r="J187" s="513"/>
      <c r="K187" s="513"/>
      <c r="L187" s="513"/>
      <c r="M187" s="513"/>
      <c r="N187" s="513"/>
      <c r="O187" s="513"/>
      <c r="P187" s="513"/>
      <c r="Q187" s="513"/>
      <c r="R187" s="513"/>
      <c r="S187" s="513"/>
      <c r="T187" s="513"/>
      <c r="U187" s="513"/>
      <c r="V187" s="513"/>
      <c r="W187" s="963"/>
      <c r="X187" s="964"/>
      <c r="Y187" s="30"/>
      <c r="Z187" s="30"/>
    </row>
    <row r="188" spans="1:26" ht="27.6" hidden="1" customHeight="1">
      <c r="A188" s="868" t="s">
        <v>85</v>
      </c>
      <c r="B188" s="868"/>
      <c r="C188" s="869"/>
      <c r="D188" s="868" t="s">
        <v>86</v>
      </c>
      <c r="E188" s="868"/>
      <c r="F188" s="868"/>
      <c r="G188" s="868" t="s">
        <v>87</v>
      </c>
      <c r="H188" s="868"/>
      <c r="I188" s="868" t="s">
        <v>88</v>
      </c>
      <c r="J188" s="868"/>
      <c r="K188" s="955" t="s">
        <v>89</v>
      </c>
      <c r="L188" s="957"/>
      <c r="M188" s="868" t="s">
        <v>90</v>
      </c>
      <c r="N188" s="868"/>
      <c r="O188" s="868" t="s">
        <v>91</v>
      </c>
      <c r="P188" s="868"/>
      <c r="Q188" s="955" t="s">
        <v>92</v>
      </c>
      <c r="R188" s="957"/>
      <c r="S188" s="955" t="s">
        <v>93</v>
      </c>
      <c r="T188" s="956"/>
      <c r="U188" s="956"/>
      <c r="V188" s="956"/>
      <c r="W188" s="319" t="s">
        <v>94</v>
      </c>
      <c r="X188" s="319"/>
      <c r="Y188" s="30"/>
      <c r="Z188" s="30"/>
    </row>
    <row r="189" spans="1:26" ht="18" hidden="1" customHeight="1">
      <c r="A189" s="765" t="str">
        <f>'MAIN-2 BBP (4)'!A265</f>
        <v>T1</v>
      </c>
      <c r="B189" s="765" t="str">
        <f>'MAIN-2 BBP (4)'!B265</f>
        <v>Core2</v>
      </c>
      <c r="C189" s="765"/>
      <c r="D189" s="870">
        <f>'MAIN-2 BBP (4)'!D265</f>
        <v>2000</v>
      </c>
      <c r="E189" s="870"/>
      <c r="F189" s="871">
        <f>'BCU+AMMETER'!F140</f>
        <v>0</v>
      </c>
      <c r="G189" s="870">
        <f>'CT-VT Burdens'!S21</f>
        <v>120</v>
      </c>
      <c r="H189" s="959">
        <f>'CT-VT Burdens'!S10</f>
        <v>6</v>
      </c>
      <c r="I189" s="965" t="str">
        <f>'MAIN-2 BBP (4)'!I265</f>
        <v>PX</v>
      </c>
      <c r="J189" s="966"/>
      <c r="K189" s="869">
        <f>'MAIN-2 BBP (4)'!K265</f>
        <v>3.5</v>
      </c>
      <c r="L189" s="869"/>
      <c r="M189" s="869">
        <f>'MAIN-2 BBP (4)'!M265</f>
        <v>500</v>
      </c>
      <c r="N189" s="869"/>
      <c r="O189" s="870">
        <f>'MAIN-2 BBP (4)'!O265</f>
        <v>20</v>
      </c>
      <c r="P189" s="870"/>
      <c r="Q189" s="879" t="str">
        <f>'MAIN-2 BBP (4)'!Q265</f>
        <v>REB500</v>
      </c>
      <c r="R189" s="879"/>
      <c r="S189" s="971" t="str">
        <f>'MAIN-2 BBP (4)'!S265</f>
        <v>Suitably Dimensioned</v>
      </c>
      <c r="T189" s="972"/>
      <c r="U189" s="972"/>
      <c r="V189" s="973"/>
      <c r="W189" s="264">
        <f>'MAIN-2 BBP (4)'!M82</f>
        <v>44.131415423999997</v>
      </c>
      <c r="X189" s="288"/>
      <c r="Y189" s="30"/>
      <c r="Z189" s="30"/>
    </row>
    <row r="190" spans="1:26" ht="21" hidden="1" customHeight="1">
      <c r="A190" s="765"/>
      <c r="B190" s="765"/>
      <c r="C190" s="765"/>
      <c r="D190" s="870">
        <f>'MAIN-2 BBP (4)'!D266</f>
        <v>3200</v>
      </c>
      <c r="E190" s="870"/>
      <c r="F190" s="872"/>
      <c r="G190" s="870"/>
      <c r="H190" s="959"/>
      <c r="I190" s="967"/>
      <c r="J190" s="968"/>
      <c r="K190" s="869">
        <f>'MAIN-2 BBP (4)'!K266</f>
        <v>5</v>
      </c>
      <c r="L190" s="869"/>
      <c r="M190" s="869">
        <f>'MAIN-2 BBP (4)'!M266</f>
        <v>900</v>
      </c>
      <c r="N190" s="869"/>
      <c r="O190" s="870">
        <f>'MAIN-2 BBP (4)'!O266</f>
        <v>10</v>
      </c>
      <c r="P190" s="870"/>
      <c r="Q190" s="879"/>
      <c r="R190" s="879"/>
      <c r="S190" s="971" t="str">
        <f>'MAIN-2 BBP (4)'!S266</f>
        <v>Suitably Dimensioned</v>
      </c>
      <c r="T190" s="972"/>
      <c r="U190" s="972"/>
      <c r="V190" s="973"/>
      <c r="W190" s="486">
        <f>'MAIN-2 BBP (4)'!M164</f>
        <v>58.531415423999995</v>
      </c>
      <c r="X190" s="288"/>
      <c r="Y190" s="30"/>
      <c r="Z190" s="30"/>
    </row>
    <row r="191" spans="1:26" ht="15.6" hidden="1" customHeight="1">
      <c r="A191" s="765"/>
      <c r="B191" s="765"/>
      <c r="C191" s="765"/>
      <c r="D191" s="870" t="str">
        <f>'MAIN-2 BBP (4)'!D267</f>
        <v>-</v>
      </c>
      <c r="E191" s="870"/>
      <c r="F191" s="873"/>
      <c r="G191" s="870"/>
      <c r="H191" s="959"/>
      <c r="I191" s="969"/>
      <c r="J191" s="970"/>
      <c r="K191" s="869" t="str">
        <f>'MAIN-2 BBP (4)'!K267</f>
        <v>-</v>
      </c>
      <c r="L191" s="869"/>
      <c r="M191" s="869" t="str">
        <f>'MAIN-2 BBP (4)'!M267</f>
        <v>-</v>
      </c>
      <c r="N191" s="869"/>
      <c r="O191" s="870" t="str">
        <f>'MAIN-2 BBP (4)'!O267</f>
        <v>-</v>
      </c>
      <c r="P191" s="870"/>
      <c r="Q191" s="879"/>
      <c r="R191" s="879"/>
      <c r="S191" s="971" t="str">
        <f>'MAIN-2 BBP (4)'!S267</f>
        <v>-</v>
      </c>
      <c r="T191" s="972"/>
      <c r="U191" s="972"/>
      <c r="V191" s="973"/>
      <c r="W191" s="263"/>
      <c r="X191" s="263"/>
      <c r="Y191" s="30"/>
      <c r="Z191" s="30"/>
    </row>
    <row r="192" spans="1:26" ht="15.6" hidden="1" customHeight="1">
      <c r="A192" s="334" t="s">
        <v>944</v>
      </c>
      <c r="B192" s="335"/>
      <c r="C192" s="335"/>
      <c r="D192" s="335"/>
      <c r="E192" s="335"/>
      <c r="F192" s="335"/>
      <c r="G192" s="335"/>
      <c r="H192" s="335"/>
      <c r="I192" s="335"/>
      <c r="J192" s="335"/>
      <c r="K192" s="335"/>
      <c r="L192" s="335"/>
      <c r="M192" s="335"/>
      <c r="N192" s="335"/>
      <c r="O192" s="335"/>
      <c r="P192" s="335"/>
      <c r="Q192" s="335"/>
      <c r="R192" s="335"/>
      <c r="S192" s="335"/>
      <c r="T192" s="335"/>
      <c r="U192" s="335"/>
      <c r="V192" s="335"/>
      <c r="W192" s="336"/>
      <c r="X192" s="337"/>
      <c r="Y192" s="30"/>
      <c r="Z192" s="30"/>
    </row>
    <row r="193" spans="1:50" ht="30" hidden="1" customHeight="1">
      <c r="A193" s="955" t="s">
        <v>85</v>
      </c>
      <c r="B193" s="956"/>
      <c r="C193" s="957"/>
      <c r="D193" s="955" t="s">
        <v>86</v>
      </c>
      <c r="E193" s="956"/>
      <c r="F193" s="957"/>
      <c r="G193" s="955" t="s">
        <v>87</v>
      </c>
      <c r="H193" s="957"/>
      <c r="I193" s="955" t="s">
        <v>88</v>
      </c>
      <c r="J193" s="957"/>
      <c r="K193" s="955" t="s">
        <v>89</v>
      </c>
      <c r="L193" s="957"/>
      <c r="M193" s="868" t="s">
        <v>90</v>
      </c>
      <c r="N193" s="868"/>
      <c r="O193" s="955" t="s">
        <v>91</v>
      </c>
      <c r="P193" s="957"/>
      <c r="Q193" s="955" t="s">
        <v>92</v>
      </c>
      <c r="R193" s="957"/>
      <c r="S193" s="868" t="s">
        <v>93</v>
      </c>
      <c r="T193" s="868"/>
      <c r="U193" s="868"/>
      <c r="V193" s="868"/>
      <c r="W193" s="478" t="s">
        <v>94</v>
      </c>
      <c r="X193" s="485"/>
      <c r="Y193" s="30"/>
      <c r="Z193" s="30"/>
    </row>
    <row r="194" spans="1:50" ht="21" hidden="1" customHeight="1">
      <c r="A194" s="765" t="str">
        <f>'OC-EF+FMS'!A552</f>
        <v>T1</v>
      </c>
      <c r="B194" s="765" t="str">
        <f>'OC-EF+FMS'!B552</f>
        <v>Core1</v>
      </c>
      <c r="C194" s="765"/>
      <c r="D194" s="870">
        <f>'OC-EF+FMS'!D552</f>
        <v>3200</v>
      </c>
      <c r="E194" s="870"/>
      <c r="F194" s="870">
        <f>'OC-EF+FMS'!F552</f>
        <v>1</v>
      </c>
      <c r="G194" s="961">
        <f>'CT-VT Burdens'!S21</f>
        <v>120</v>
      </c>
      <c r="H194" s="959">
        <f>'CT-VT Burdens'!S10</f>
        <v>6</v>
      </c>
      <c r="I194" s="874" t="str">
        <f>'OC-EF+FMS'!I552</f>
        <v>PX</v>
      </c>
      <c r="J194" s="874"/>
      <c r="K194" s="869">
        <f>'OC-EF+FMS'!K552</f>
        <v>9.1999999999999993</v>
      </c>
      <c r="L194" s="869"/>
      <c r="M194" s="869">
        <f>'OC-EF+FMS'!M552</f>
        <v>600</v>
      </c>
      <c r="N194" s="869"/>
      <c r="O194" s="876">
        <f>'OC-EF+FMS'!O552</f>
        <v>10</v>
      </c>
      <c r="P194" s="870"/>
      <c r="Q194" s="879" t="str">
        <f>'OC-EF+FMS'!Q552</f>
        <v xml:space="preserve">REF615 </v>
      </c>
      <c r="R194" s="879"/>
      <c r="S194" s="870" t="str">
        <f>'OC-EF+FMS'!S552</f>
        <v>Suitably Dimensioned</v>
      </c>
      <c r="T194" s="870"/>
      <c r="U194" s="870"/>
      <c r="V194" s="870"/>
      <c r="W194" s="264">
        <f>'OC-EF+FMS'!N69</f>
        <v>247.60999999999999</v>
      </c>
      <c r="X194" s="264"/>
      <c r="Y194" s="30"/>
      <c r="Z194" s="30"/>
    </row>
    <row r="195" spans="1:50" ht="15" hidden="1" customHeight="1">
      <c r="A195" s="765"/>
      <c r="B195" s="765"/>
      <c r="C195" s="765"/>
      <c r="D195" s="870">
        <f>'OC-EF+FMS'!D553</f>
        <v>2800</v>
      </c>
      <c r="E195" s="870"/>
      <c r="F195" s="870"/>
      <c r="G195" s="961"/>
      <c r="H195" s="959"/>
      <c r="I195" s="874"/>
      <c r="J195" s="874"/>
      <c r="K195" s="869">
        <f>'OC-EF+FMS'!K553</f>
        <v>8</v>
      </c>
      <c r="L195" s="869"/>
      <c r="M195" s="869">
        <f>'OC-EF+FMS'!M553</f>
        <v>500</v>
      </c>
      <c r="N195" s="869"/>
      <c r="O195" s="876">
        <f>'OC-EF+FMS'!O553</f>
        <v>20</v>
      </c>
      <c r="P195" s="870"/>
      <c r="Q195" s="879"/>
      <c r="R195" s="879"/>
      <c r="S195" s="870" t="str">
        <f>'OC-EF+FMS'!S553</f>
        <v>Suitably Dimensioned</v>
      </c>
      <c r="T195" s="870"/>
      <c r="U195" s="870"/>
      <c r="V195" s="870"/>
      <c r="W195" s="486">
        <f>'OC-EF+FMS'!N339</f>
        <v>146.81</v>
      </c>
      <c r="X195" s="264"/>
      <c r="Y195" s="30"/>
      <c r="Z195" s="30"/>
    </row>
    <row r="196" spans="1:50" ht="15.6" hidden="1" customHeight="1">
      <c r="A196" s="765"/>
      <c r="B196" s="765"/>
      <c r="C196" s="765"/>
      <c r="D196" s="870" t="str">
        <f>'OC-EF+FMS'!D554</f>
        <v>-</v>
      </c>
      <c r="E196" s="870"/>
      <c r="F196" s="870"/>
      <c r="G196" s="961"/>
      <c r="H196" s="959"/>
      <c r="I196" s="874"/>
      <c r="J196" s="874"/>
      <c r="K196" s="869" t="str">
        <f>'OC-EF+FMS'!K554</f>
        <v>-</v>
      </c>
      <c r="L196" s="869"/>
      <c r="M196" s="962" t="str">
        <f>'OC-EF+FMS'!M554</f>
        <v>-</v>
      </c>
      <c r="N196" s="869"/>
      <c r="O196" s="876" t="str">
        <f>'OC-EF+FMS'!O554</f>
        <v>-</v>
      </c>
      <c r="P196" s="870"/>
      <c r="Q196" s="879"/>
      <c r="R196" s="879"/>
      <c r="S196" s="870" t="str">
        <f>'OC-EF+FMS'!S554</f>
        <v>-</v>
      </c>
      <c r="T196" s="870"/>
      <c r="U196" s="870"/>
      <c r="V196" s="870"/>
      <c r="W196" s="474" t="s">
        <v>6</v>
      </c>
      <c r="X196" s="263"/>
      <c r="Y196" s="30"/>
      <c r="Z196" s="30"/>
    </row>
    <row r="197" spans="1:50" ht="16.95" customHeight="1">
      <c r="A197" s="334" t="s">
        <v>935</v>
      </c>
      <c r="B197" s="335"/>
      <c r="C197" s="335"/>
      <c r="D197" s="335"/>
      <c r="E197" s="335"/>
      <c r="F197" s="335"/>
      <c r="G197" s="335"/>
      <c r="H197" s="335"/>
      <c r="I197" s="335"/>
      <c r="J197" s="335"/>
      <c r="K197" s="335"/>
      <c r="L197" s="335"/>
      <c r="M197" s="335"/>
      <c r="N197" s="335"/>
      <c r="O197" s="335"/>
      <c r="P197" s="335"/>
      <c r="Q197" s="335"/>
      <c r="R197" s="335"/>
      <c r="S197" s="335"/>
      <c r="T197" s="335"/>
      <c r="U197" s="335"/>
      <c r="V197" s="335"/>
      <c r="W197" s="336"/>
      <c r="X197" s="337"/>
      <c r="Y197" s="30"/>
      <c r="Z197" s="30"/>
    </row>
    <row r="198" spans="1:50" ht="32.25" customHeight="1">
      <c r="A198" s="868" t="s">
        <v>85</v>
      </c>
      <c r="B198" s="868"/>
      <c r="C198" s="868"/>
      <c r="D198" s="868" t="s">
        <v>86</v>
      </c>
      <c r="E198" s="868"/>
      <c r="F198" s="868"/>
      <c r="G198" s="868" t="s">
        <v>87</v>
      </c>
      <c r="H198" s="868"/>
      <c r="I198" s="868" t="s">
        <v>88</v>
      </c>
      <c r="J198" s="868"/>
      <c r="K198" s="868" t="s">
        <v>89</v>
      </c>
      <c r="L198" s="868"/>
      <c r="M198" s="868" t="s">
        <v>90</v>
      </c>
      <c r="N198" s="868"/>
      <c r="O198" s="868" t="s">
        <v>91</v>
      </c>
      <c r="P198" s="868"/>
      <c r="Q198" s="868" t="s">
        <v>92</v>
      </c>
      <c r="R198" s="868"/>
      <c r="S198" s="868" t="s">
        <v>93</v>
      </c>
      <c r="T198" s="868"/>
      <c r="U198" s="868"/>
      <c r="V198" s="868"/>
      <c r="W198" s="478" t="s">
        <v>94</v>
      </c>
      <c r="X198" s="485"/>
      <c r="Y198" s="30"/>
      <c r="Z198" s="30"/>
    </row>
    <row r="199" spans="1:50" ht="18" customHeight="1">
      <c r="A199" s="958" t="str">
        <f t="shared" ref="A199:W199" si="7">A170</f>
        <v>T1</v>
      </c>
      <c r="B199" s="958" t="s">
        <v>506</v>
      </c>
      <c r="C199" s="765"/>
      <c r="D199" s="870">
        <f t="shared" si="7"/>
        <v>3200</v>
      </c>
      <c r="E199" s="870"/>
      <c r="F199" s="870">
        <f t="shared" si="7"/>
        <v>1</v>
      </c>
      <c r="G199" s="870">
        <f t="shared" si="7"/>
        <v>120</v>
      </c>
      <c r="H199" s="959">
        <f t="shared" si="7"/>
        <v>6</v>
      </c>
      <c r="I199" s="874" t="str">
        <f t="shared" si="7"/>
        <v>PX</v>
      </c>
      <c r="J199" s="874"/>
      <c r="K199" s="869">
        <f t="shared" si="7"/>
        <v>8</v>
      </c>
      <c r="L199" s="869"/>
      <c r="M199" s="869">
        <f t="shared" si="7"/>
        <v>900</v>
      </c>
      <c r="N199" s="869"/>
      <c r="O199" s="960">
        <f t="shared" si="7"/>
        <v>10</v>
      </c>
      <c r="P199" s="870"/>
      <c r="Q199" s="879" t="str">
        <f t="shared" si="7"/>
        <v>REB500</v>
      </c>
      <c r="R199" s="879"/>
      <c r="S199" s="870" t="str">
        <f t="shared" si="7"/>
        <v>Suitably Dimensioned</v>
      </c>
      <c r="T199" s="870"/>
      <c r="U199" s="870"/>
      <c r="V199" s="870"/>
      <c r="W199" s="264">
        <f t="shared" si="7"/>
        <v>87.331415424000014</v>
      </c>
      <c r="X199" s="263"/>
      <c r="Y199" s="30"/>
      <c r="Z199" s="30"/>
    </row>
    <row r="200" spans="1:50" ht="15.75" customHeight="1">
      <c r="A200" s="765"/>
      <c r="B200" s="765"/>
      <c r="C200" s="765"/>
      <c r="D200" s="870">
        <f t="shared" ref="D200:W200" si="8">D171</f>
        <v>2000</v>
      </c>
      <c r="E200" s="870"/>
      <c r="F200" s="870"/>
      <c r="G200" s="870"/>
      <c r="H200" s="959"/>
      <c r="I200" s="874"/>
      <c r="J200" s="874"/>
      <c r="K200" s="869">
        <f t="shared" si="8"/>
        <v>5</v>
      </c>
      <c r="L200" s="869"/>
      <c r="M200" s="869">
        <f t="shared" si="8"/>
        <v>500</v>
      </c>
      <c r="N200" s="869"/>
      <c r="O200" s="960">
        <f t="shared" si="8"/>
        <v>30</v>
      </c>
      <c r="P200" s="870"/>
      <c r="Q200" s="879"/>
      <c r="R200" s="879"/>
      <c r="S200" s="870" t="str">
        <f t="shared" si="8"/>
        <v>Suitably Dimensioned</v>
      </c>
      <c r="T200" s="870"/>
      <c r="U200" s="870"/>
      <c r="V200" s="870"/>
      <c r="W200" s="514">
        <f t="shared" si="8"/>
        <v>58.531415423999995</v>
      </c>
      <c r="X200" s="263"/>
      <c r="Y200" s="30"/>
      <c r="Z200" s="30"/>
    </row>
    <row r="201" spans="1:50" ht="15.6" customHeight="1">
      <c r="A201" s="765"/>
      <c r="B201" s="765"/>
      <c r="C201" s="765"/>
      <c r="D201" s="870" t="str">
        <f t="shared" ref="D201:W201" si="9">D172</f>
        <v>-</v>
      </c>
      <c r="E201" s="870"/>
      <c r="F201" s="870"/>
      <c r="G201" s="870"/>
      <c r="H201" s="959"/>
      <c r="I201" s="874"/>
      <c r="J201" s="874"/>
      <c r="K201" s="869" t="str">
        <f t="shared" si="9"/>
        <v>-</v>
      </c>
      <c r="L201" s="869"/>
      <c r="M201" s="869" t="str">
        <f t="shared" si="9"/>
        <v>-</v>
      </c>
      <c r="N201" s="869"/>
      <c r="O201" s="960" t="str">
        <f t="shared" si="9"/>
        <v>-</v>
      </c>
      <c r="P201" s="870"/>
      <c r="Q201" s="879"/>
      <c r="R201" s="879"/>
      <c r="S201" s="870" t="str">
        <f t="shared" si="9"/>
        <v>-</v>
      </c>
      <c r="T201" s="870"/>
      <c r="U201" s="870"/>
      <c r="V201" s="870"/>
      <c r="W201" s="514" t="str">
        <f t="shared" si="9"/>
        <v>-</v>
      </c>
      <c r="X201" s="263"/>
      <c r="Y201" s="30"/>
      <c r="Z201" s="30"/>
    </row>
    <row r="202" spans="1:50" ht="15.6" customHeight="1">
      <c r="A202" s="334" t="s">
        <v>936</v>
      </c>
      <c r="B202" s="335"/>
      <c r="C202" s="335"/>
      <c r="D202" s="335"/>
      <c r="E202" s="335"/>
      <c r="F202" s="335"/>
      <c r="G202" s="335"/>
      <c r="H202" s="335"/>
      <c r="I202" s="335"/>
      <c r="J202" s="335"/>
      <c r="K202" s="335"/>
      <c r="L202" s="335"/>
      <c r="M202" s="335"/>
      <c r="N202" s="335"/>
      <c r="O202" s="335"/>
      <c r="P202" s="335"/>
      <c r="Q202" s="335"/>
      <c r="R202" s="335"/>
      <c r="S202" s="335"/>
      <c r="T202" s="335"/>
      <c r="U202" s="335"/>
      <c r="V202" s="335"/>
      <c r="W202" s="336"/>
      <c r="X202" s="337"/>
      <c r="Y202" s="30"/>
      <c r="Z202" s="30"/>
    </row>
    <row r="203" spans="1:50" ht="31.5" customHeight="1">
      <c r="A203" s="955" t="s">
        <v>85</v>
      </c>
      <c r="B203" s="956"/>
      <c r="C203" s="957"/>
      <c r="D203" s="955" t="s">
        <v>86</v>
      </c>
      <c r="E203" s="956"/>
      <c r="F203" s="957"/>
      <c r="G203" s="955" t="s">
        <v>87</v>
      </c>
      <c r="H203" s="957"/>
      <c r="I203" s="955" t="s">
        <v>88</v>
      </c>
      <c r="J203" s="957"/>
      <c r="K203" s="955" t="s">
        <v>89</v>
      </c>
      <c r="L203" s="957"/>
      <c r="M203" s="955" t="s">
        <v>90</v>
      </c>
      <c r="N203" s="957"/>
      <c r="O203" s="955" t="s">
        <v>91</v>
      </c>
      <c r="P203" s="957"/>
      <c r="Q203" s="955" t="s">
        <v>92</v>
      </c>
      <c r="R203" s="957"/>
      <c r="S203" s="868" t="s">
        <v>93</v>
      </c>
      <c r="T203" s="868"/>
      <c r="U203" s="868"/>
      <c r="V203" s="868"/>
      <c r="W203" s="478" t="s">
        <v>94</v>
      </c>
      <c r="X203" s="319"/>
      <c r="Y203" s="30"/>
      <c r="Z203" s="30"/>
    </row>
    <row r="204" spans="1:50" ht="15.6" customHeight="1">
      <c r="A204" s="765" t="str">
        <f t="shared" ref="A204:W204" si="10">A170</f>
        <v>T1</v>
      </c>
      <c r="B204" s="958" t="s">
        <v>109</v>
      </c>
      <c r="C204" s="765"/>
      <c r="D204" s="870">
        <f t="shared" si="10"/>
        <v>3200</v>
      </c>
      <c r="E204" s="870"/>
      <c r="F204" s="871">
        <f t="shared" si="10"/>
        <v>1</v>
      </c>
      <c r="G204" s="870">
        <f t="shared" si="10"/>
        <v>120</v>
      </c>
      <c r="H204" s="959">
        <f t="shared" si="10"/>
        <v>6</v>
      </c>
      <c r="I204" s="874" t="str">
        <f t="shared" si="10"/>
        <v>PX</v>
      </c>
      <c r="J204" s="874"/>
      <c r="K204" s="869">
        <f t="shared" si="10"/>
        <v>8</v>
      </c>
      <c r="L204" s="869"/>
      <c r="M204" s="869">
        <f t="shared" si="10"/>
        <v>900</v>
      </c>
      <c r="N204" s="869"/>
      <c r="O204" s="870">
        <f t="shared" si="10"/>
        <v>10</v>
      </c>
      <c r="P204" s="870"/>
      <c r="Q204" s="879" t="str">
        <f t="shared" si="10"/>
        <v>REB500</v>
      </c>
      <c r="R204" s="879"/>
      <c r="S204" s="870" t="str">
        <f t="shared" si="10"/>
        <v>Suitably Dimensioned</v>
      </c>
      <c r="T204" s="870"/>
      <c r="U204" s="870"/>
      <c r="V204" s="870"/>
      <c r="W204" s="344">
        <f t="shared" si="10"/>
        <v>87.331415424000014</v>
      </c>
      <c r="X204" s="263"/>
      <c r="Y204" s="30"/>
      <c r="Z204" s="30"/>
    </row>
    <row r="205" spans="1:50" ht="18" customHeight="1">
      <c r="A205" s="765"/>
      <c r="B205" s="765"/>
      <c r="C205" s="765"/>
      <c r="D205" s="870">
        <f t="shared" ref="D205:W205" si="11">D171</f>
        <v>2000</v>
      </c>
      <c r="E205" s="870"/>
      <c r="F205" s="872"/>
      <c r="G205" s="870"/>
      <c r="H205" s="959"/>
      <c r="I205" s="874"/>
      <c r="J205" s="874"/>
      <c r="K205" s="869">
        <f t="shared" si="11"/>
        <v>5</v>
      </c>
      <c r="L205" s="869"/>
      <c r="M205" s="869">
        <f t="shared" si="11"/>
        <v>500</v>
      </c>
      <c r="N205" s="869"/>
      <c r="O205" s="870">
        <f t="shared" si="11"/>
        <v>30</v>
      </c>
      <c r="P205" s="870"/>
      <c r="Q205" s="879"/>
      <c r="R205" s="879"/>
      <c r="S205" s="870" t="str">
        <f t="shared" si="11"/>
        <v>Suitably Dimensioned</v>
      </c>
      <c r="T205" s="870"/>
      <c r="U205" s="870"/>
      <c r="V205" s="870"/>
      <c r="W205" s="344">
        <f t="shared" si="11"/>
        <v>58.531415423999995</v>
      </c>
      <c r="X205" s="263"/>
      <c r="Y205" s="30"/>
      <c r="Z205" s="30"/>
    </row>
    <row r="206" spans="1:50" ht="15.6" customHeight="1">
      <c r="A206" s="765"/>
      <c r="B206" s="765"/>
      <c r="C206" s="765"/>
      <c r="D206" s="870" t="str">
        <f t="shared" ref="D206:W206" si="12">D172</f>
        <v>-</v>
      </c>
      <c r="E206" s="870"/>
      <c r="F206" s="873"/>
      <c r="G206" s="870"/>
      <c r="H206" s="959"/>
      <c r="I206" s="874"/>
      <c r="J206" s="874"/>
      <c r="K206" s="869" t="str">
        <f t="shared" si="12"/>
        <v>-</v>
      </c>
      <c r="L206" s="869"/>
      <c r="M206" s="869" t="str">
        <f t="shared" si="12"/>
        <v>-</v>
      </c>
      <c r="N206" s="869"/>
      <c r="O206" s="870" t="str">
        <f t="shared" si="12"/>
        <v>-</v>
      </c>
      <c r="P206" s="870"/>
      <c r="Q206" s="879"/>
      <c r="R206" s="879"/>
      <c r="S206" s="870" t="str">
        <f t="shared" si="12"/>
        <v>-</v>
      </c>
      <c r="T206" s="870"/>
      <c r="U206" s="870"/>
      <c r="V206" s="870"/>
      <c r="W206" s="263" t="str">
        <f t="shared" si="12"/>
        <v>-</v>
      </c>
      <c r="X206" s="263"/>
      <c r="Y206" s="30"/>
      <c r="Z206" s="30"/>
    </row>
    <row r="207" spans="1:50" ht="15.6" hidden="1" customHeight="1">
      <c r="A207" s="334" t="s">
        <v>945</v>
      </c>
      <c r="B207" s="335"/>
      <c r="C207" s="335"/>
      <c r="D207" s="335"/>
      <c r="E207" s="335"/>
      <c r="F207" s="335"/>
      <c r="G207" s="335"/>
      <c r="H207" s="335"/>
      <c r="I207" s="335"/>
      <c r="J207" s="335"/>
      <c r="K207" s="335"/>
      <c r="L207" s="335"/>
      <c r="M207" s="335"/>
      <c r="N207" s="335"/>
      <c r="O207" s="335"/>
      <c r="P207" s="335"/>
      <c r="Q207" s="335"/>
      <c r="R207" s="335"/>
      <c r="S207" s="335"/>
      <c r="T207" s="335"/>
      <c r="U207" s="335"/>
      <c r="V207" s="335"/>
      <c r="W207" s="336"/>
      <c r="X207" s="337"/>
      <c r="Y207" s="320"/>
      <c r="Z207" s="138"/>
      <c r="AA207" s="138"/>
      <c r="AB207" s="321"/>
      <c r="AC207" s="321"/>
      <c r="AD207" s="321"/>
      <c r="AE207" s="321"/>
      <c r="AF207" s="497"/>
      <c r="AG207" s="322"/>
      <c r="AH207" s="322"/>
      <c r="AI207" s="269"/>
      <c r="AJ207" s="269"/>
      <c r="AK207" s="269"/>
      <c r="AL207" s="269"/>
      <c r="AM207" s="321"/>
      <c r="AN207" s="321"/>
      <c r="AO207" s="323"/>
      <c r="AP207" s="323"/>
      <c r="AQ207" s="321"/>
      <c r="AR207" s="321"/>
      <c r="AS207" s="321"/>
      <c r="AT207" s="321"/>
      <c r="AU207" s="321"/>
      <c r="AV207" s="324"/>
      <c r="AW207" s="30"/>
      <c r="AX207" s="30"/>
    </row>
    <row r="208" spans="1:50" ht="29.4" hidden="1" customHeight="1">
      <c r="A208" s="955" t="s">
        <v>85</v>
      </c>
      <c r="B208" s="956"/>
      <c r="C208" s="957"/>
      <c r="D208" s="955" t="s">
        <v>86</v>
      </c>
      <c r="E208" s="956"/>
      <c r="F208" s="957"/>
      <c r="G208" s="955" t="s">
        <v>87</v>
      </c>
      <c r="H208" s="957"/>
      <c r="I208" s="955" t="s">
        <v>88</v>
      </c>
      <c r="J208" s="957"/>
      <c r="K208" s="955" t="s">
        <v>89</v>
      </c>
      <c r="L208" s="957"/>
      <c r="M208" s="868" t="s">
        <v>100</v>
      </c>
      <c r="N208" s="868"/>
      <c r="O208" s="955" t="s">
        <v>91</v>
      </c>
      <c r="P208" s="957"/>
      <c r="Q208" s="955" t="s">
        <v>92</v>
      </c>
      <c r="R208" s="957"/>
      <c r="S208" s="868" t="s">
        <v>93</v>
      </c>
      <c r="T208" s="868"/>
      <c r="U208" s="868"/>
      <c r="V208" s="868"/>
      <c r="W208" s="319" t="s">
        <v>103</v>
      </c>
      <c r="X208" s="319"/>
      <c r="Y208" s="325"/>
      <c r="Z208" s="28"/>
      <c r="AA208" s="28"/>
      <c r="AB208" s="221"/>
      <c r="AC208" s="221"/>
      <c r="AD208" s="221"/>
      <c r="AE208" s="221"/>
      <c r="AF208" s="253"/>
      <c r="AG208" s="222"/>
      <c r="AH208" s="222"/>
      <c r="AI208" s="475"/>
      <c r="AJ208" s="475"/>
      <c r="AK208" s="475"/>
      <c r="AL208" s="475"/>
      <c r="AM208" s="221"/>
      <c r="AN208" s="221"/>
      <c r="AO208" s="479"/>
      <c r="AP208" s="479"/>
      <c r="AQ208" s="221"/>
      <c r="AR208" s="221"/>
      <c r="AS208" s="221"/>
      <c r="AT208" s="221"/>
      <c r="AU208" s="221"/>
      <c r="AV208" s="326"/>
      <c r="AW208" s="30"/>
      <c r="AX208" s="30"/>
    </row>
    <row r="209" spans="1:50" ht="15.6" hidden="1" customHeight="1">
      <c r="A209" s="765" t="str">
        <f>'BCU+PQM+AMMETER (2)'!A141</f>
        <v>T2</v>
      </c>
      <c r="B209" s="958" t="str">
        <f>'BCU+PQM+AMMETER (2)'!B141</f>
        <v>Core3</v>
      </c>
      <c r="C209" s="765"/>
      <c r="D209" s="870">
        <f>'BCU+PQM+AMMETER (2)'!D141</f>
        <v>2800</v>
      </c>
      <c r="E209" s="870"/>
      <c r="F209" s="871">
        <f>'BCU+PQM+AMMETER (2)'!F141</f>
        <v>1</v>
      </c>
      <c r="G209" s="870">
        <f>'CT-VT Burdens'!S21</f>
        <v>120</v>
      </c>
      <c r="H209" s="959">
        <f>'CT-VT Burdens'!S10</f>
        <v>6</v>
      </c>
      <c r="I209" s="874" t="str">
        <f>'BCU+PQM+AMMETER (2)'!I141</f>
        <v>0.5FS5</v>
      </c>
      <c r="J209" s="874"/>
      <c r="K209" s="869">
        <f>'BCU+PQM+AMMETER (2)'!K141</f>
        <v>4</v>
      </c>
      <c r="L209" s="869"/>
      <c r="M209" s="869">
        <f>'BCU+PQM+AMMETER (2)'!M141</f>
        <v>25</v>
      </c>
      <c r="N209" s="869"/>
      <c r="O209" s="876" t="s">
        <v>6</v>
      </c>
      <c r="P209" s="870"/>
      <c r="Q209" s="879" t="str">
        <f>'BCU+PQM+AMMETER (2)'!Q141</f>
        <v xml:space="preserve">REC670 CP-L96A IDM+ </v>
      </c>
      <c r="R209" s="879"/>
      <c r="S209" s="870" t="str">
        <f>'BCU+PQM+AMMETER (2)'!S141</f>
        <v>Suitably Dimensioned</v>
      </c>
      <c r="T209" s="870"/>
      <c r="U209" s="870"/>
      <c r="V209" s="870"/>
      <c r="W209" s="344">
        <f>'BCU+PQM+AMMETER (2)'!J45</f>
        <v>22.259645991923843</v>
      </c>
      <c r="X209" s="263"/>
      <c r="Y209" s="325"/>
      <c r="Z209" s="28"/>
      <c r="AA209" s="28"/>
      <c r="AB209" s="221"/>
      <c r="AC209" s="221"/>
      <c r="AD209" s="221"/>
      <c r="AE209" s="221"/>
      <c r="AF209" s="253"/>
      <c r="AG209" s="222"/>
      <c r="AH209" s="222"/>
      <c r="AI209" s="475"/>
      <c r="AJ209" s="475"/>
      <c r="AK209" s="475"/>
      <c r="AL209" s="475"/>
      <c r="AM209" s="221"/>
      <c r="AN209" s="221"/>
      <c r="AO209" s="479"/>
      <c r="AP209" s="479"/>
      <c r="AQ209" s="221"/>
      <c r="AR209" s="221"/>
      <c r="AS209" s="221"/>
      <c r="AT209" s="221"/>
      <c r="AU209" s="221"/>
      <c r="AV209" s="326"/>
      <c r="AW209" s="30"/>
      <c r="AX209" s="30"/>
    </row>
    <row r="210" spans="1:50" ht="15.6" hidden="1" customHeight="1">
      <c r="A210" s="765"/>
      <c r="B210" s="765"/>
      <c r="C210" s="765"/>
      <c r="D210" s="876">
        <f>'BCU+PQM+AMMETER (2)'!D142</f>
        <v>3200</v>
      </c>
      <c r="E210" s="870"/>
      <c r="F210" s="872"/>
      <c r="G210" s="870"/>
      <c r="H210" s="959"/>
      <c r="I210" s="874"/>
      <c r="J210" s="874"/>
      <c r="K210" s="869">
        <f>'BCU+PQM+AMMETER (2)'!K142</f>
        <v>5</v>
      </c>
      <c r="L210" s="869"/>
      <c r="M210" s="869">
        <f>'BCU+PQM+AMMETER (2)'!M142</f>
        <v>30</v>
      </c>
      <c r="N210" s="869"/>
      <c r="O210" s="876" t="s">
        <v>6</v>
      </c>
      <c r="P210" s="870"/>
      <c r="Q210" s="879"/>
      <c r="R210" s="879"/>
      <c r="S210" s="870" t="str">
        <f>'BCU+PQM+AMMETER (2)'!S142</f>
        <v>Suitably Dimensioned</v>
      </c>
      <c r="T210" s="870"/>
      <c r="U210" s="870"/>
      <c r="V210" s="870"/>
      <c r="W210" s="344">
        <f>'BCU+PQM+AMMETER (2)'!J86</f>
        <v>23.289766192466796</v>
      </c>
      <c r="X210" s="263"/>
      <c r="Y210" s="325"/>
      <c r="Z210" s="28"/>
      <c r="AA210" s="28"/>
      <c r="AB210" s="221"/>
      <c r="AC210" s="221"/>
      <c r="AD210" s="221"/>
      <c r="AE210" s="221"/>
      <c r="AF210" s="253"/>
      <c r="AG210" s="222"/>
      <c r="AH210" s="222"/>
      <c r="AI210" s="475"/>
      <c r="AJ210" s="475"/>
      <c r="AK210" s="475"/>
      <c r="AL210" s="475"/>
      <c r="AM210" s="221"/>
      <c r="AN210" s="221"/>
      <c r="AO210" s="479"/>
      <c r="AP210" s="479"/>
      <c r="AQ210" s="221"/>
      <c r="AR210" s="221"/>
      <c r="AS210" s="221"/>
      <c r="AT210" s="221"/>
      <c r="AU210" s="221"/>
      <c r="AV210" s="326"/>
      <c r="AW210" s="30"/>
      <c r="AX210" s="30"/>
    </row>
    <row r="211" spans="1:50" ht="15.6" hidden="1" customHeight="1">
      <c r="A211" s="765"/>
      <c r="B211" s="765"/>
      <c r="C211" s="765"/>
      <c r="D211" s="876" t="s">
        <v>6</v>
      </c>
      <c r="E211" s="870"/>
      <c r="F211" s="873"/>
      <c r="G211" s="870"/>
      <c r="H211" s="959"/>
      <c r="I211" s="874"/>
      <c r="J211" s="874"/>
      <c r="K211" s="869" t="str">
        <f>'BCU+PQM+AMMETER (2)'!K143</f>
        <v>-</v>
      </c>
      <c r="L211" s="869"/>
      <c r="M211" s="869" t="str">
        <f>'BCU+PQM+AMMETER (2)'!M143</f>
        <v>-</v>
      </c>
      <c r="N211" s="869"/>
      <c r="O211" s="876" t="s">
        <v>6</v>
      </c>
      <c r="P211" s="870"/>
      <c r="Q211" s="879"/>
      <c r="R211" s="879"/>
      <c r="S211" s="870" t="str">
        <f>'BCU+PQM+AMMETER (2)'!S143</f>
        <v>-</v>
      </c>
      <c r="T211" s="870"/>
      <c r="U211" s="870"/>
      <c r="V211" s="870"/>
      <c r="W211" s="474" t="s">
        <v>6</v>
      </c>
      <c r="X211" s="263"/>
      <c r="Y211" s="325"/>
      <c r="Z211" s="28"/>
      <c r="AA211" s="28"/>
      <c r="AB211" s="221"/>
      <c r="AC211" s="221"/>
      <c r="AD211" s="221"/>
      <c r="AE211" s="221"/>
      <c r="AF211" s="253"/>
      <c r="AG211" s="222"/>
      <c r="AH211" s="222"/>
      <c r="AI211" s="475"/>
      <c r="AJ211" s="475"/>
      <c r="AK211" s="475"/>
      <c r="AL211" s="475"/>
      <c r="AM211" s="221"/>
      <c r="AN211" s="221"/>
      <c r="AO211" s="479"/>
      <c r="AP211" s="479"/>
      <c r="AQ211" s="221"/>
      <c r="AR211" s="221"/>
      <c r="AS211" s="221"/>
      <c r="AT211" s="221"/>
      <c r="AU211" s="221"/>
      <c r="AV211" s="326"/>
      <c r="AW211" s="30"/>
      <c r="AX211" s="30"/>
    </row>
    <row r="212" spans="1:50" ht="15.6" hidden="1" customHeight="1">
      <c r="A212" s="28"/>
      <c r="B212" s="28"/>
      <c r="C212" s="28"/>
      <c r="D212" s="245"/>
      <c r="E212" s="221"/>
      <c r="F212" s="221"/>
      <c r="G212" s="221"/>
      <c r="H212" s="253"/>
      <c r="I212" s="222"/>
      <c r="J212" s="222"/>
      <c r="K212" s="480"/>
      <c r="L212" s="475"/>
      <c r="M212" s="480"/>
      <c r="N212" s="475"/>
      <c r="O212" s="245"/>
      <c r="P212" s="221"/>
      <c r="Q212" s="479"/>
      <c r="R212" s="479"/>
      <c r="S212" s="245"/>
      <c r="T212" s="221"/>
      <c r="U212" s="221"/>
      <c r="V212" s="221"/>
      <c r="W212" s="245"/>
      <c r="X212" s="221"/>
      <c r="Y212" s="28"/>
      <c r="Z212" s="28"/>
      <c r="AA212" s="28"/>
      <c r="AB212" s="221"/>
      <c r="AC212" s="221"/>
      <c r="AD212" s="221"/>
      <c r="AE212" s="221"/>
      <c r="AF212" s="253"/>
      <c r="AG212" s="222"/>
      <c r="AH212" s="222"/>
      <c r="AI212" s="475"/>
      <c r="AJ212" s="475"/>
      <c r="AK212" s="475"/>
      <c r="AL212" s="475"/>
      <c r="AM212" s="221"/>
      <c r="AN212" s="221"/>
      <c r="AO212" s="479"/>
      <c r="AP212" s="479"/>
      <c r="AQ212" s="221"/>
      <c r="AR212" s="221"/>
      <c r="AS212" s="221"/>
      <c r="AT212" s="221"/>
      <c r="AU212" s="221"/>
      <c r="AV212" s="326"/>
      <c r="AW212" s="30"/>
      <c r="AX212" s="30"/>
    </row>
    <row r="213" spans="1:50" ht="12" hidden="1" customHeight="1">
      <c r="A213" s="261"/>
      <c r="B213" s="28"/>
      <c r="C213" s="28"/>
      <c r="D213" s="245"/>
      <c r="E213" s="221"/>
      <c r="F213" s="221"/>
      <c r="G213" s="221"/>
      <c r="H213" s="253"/>
      <c r="I213" s="222"/>
      <c r="J213" s="222"/>
      <c r="K213" s="480"/>
      <c r="L213" s="475"/>
      <c r="M213" s="480"/>
      <c r="N213" s="475"/>
      <c r="O213" s="245"/>
      <c r="P213" s="221"/>
      <c r="Q213" s="479"/>
      <c r="R213" s="479"/>
      <c r="S213" s="245"/>
      <c r="T213" s="221"/>
      <c r="U213" s="221"/>
      <c r="V213" s="221"/>
      <c r="W213" s="245"/>
      <c r="X213" s="329"/>
      <c r="Y213" s="28"/>
      <c r="Z213" s="28"/>
      <c r="AA213" s="28"/>
      <c r="AB213" s="221"/>
      <c r="AC213" s="221"/>
      <c r="AD213" s="221"/>
      <c r="AE213" s="221"/>
      <c r="AF213" s="253"/>
      <c r="AG213" s="222"/>
      <c r="AH213" s="222"/>
      <c r="AI213" s="475"/>
      <c r="AJ213" s="475"/>
      <c r="AK213" s="475"/>
      <c r="AL213" s="475"/>
      <c r="AM213" s="221"/>
      <c r="AN213" s="221"/>
      <c r="AO213" s="479"/>
      <c r="AP213" s="479"/>
      <c r="AQ213" s="221"/>
      <c r="AR213" s="221"/>
      <c r="AS213" s="221"/>
      <c r="AT213" s="221"/>
      <c r="AU213" s="221"/>
      <c r="AV213" s="326"/>
      <c r="AW213" s="30"/>
      <c r="AX213" s="30"/>
    </row>
    <row r="214" spans="1:50" ht="18" customHeight="1">
      <c r="A214" s="261"/>
      <c r="B214" s="28"/>
      <c r="C214" s="28"/>
      <c r="D214" s="245"/>
      <c r="E214" s="221"/>
      <c r="F214" s="221"/>
      <c r="G214" s="221"/>
      <c r="H214" s="253"/>
      <c r="I214" s="222"/>
      <c r="J214" s="222"/>
      <c r="K214" s="480"/>
      <c r="L214" s="475"/>
      <c r="M214" s="480"/>
      <c r="N214" s="475"/>
      <c r="O214" s="245"/>
      <c r="P214" s="221"/>
      <c r="Q214" s="479"/>
      <c r="R214" s="479"/>
      <c r="S214" s="245"/>
      <c r="T214" s="221"/>
      <c r="U214" s="221"/>
      <c r="V214" s="221"/>
      <c r="W214" s="245"/>
      <c r="X214" s="329"/>
      <c r="Y214" s="28"/>
      <c r="Z214" s="28"/>
      <c r="AA214" s="28"/>
      <c r="AB214" s="221"/>
      <c r="AC214" s="221"/>
      <c r="AD214" s="221"/>
      <c r="AE214" s="221"/>
      <c r="AF214" s="253"/>
      <c r="AG214" s="222"/>
      <c r="AH214" s="222"/>
      <c r="AI214" s="475"/>
      <c r="AJ214" s="475"/>
      <c r="AK214" s="475"/>
      <c r="AL214" s="475"/>
      <c r="AM214" s="221"/>
      <c r="AN214" s="221"/>
      <c r="AO214" s="479"/>
      <c r="AP214" s="479"/>
      <c r="AQ214" s="221"/>
      <c r="AR214" s="221"/>
      <c r="AS214" s="221"/>
      <c r="AT214" s="221"/>
      <c r="AU214" s="221"/>
      <c r="AV214" s="221"/>
      <c r="AW214" s="30"/>
      <c r="AX214" s="30"/>
    </row>
    <row r="215" spans="1:50" ht="18" customHeight="1">
      <c r="A215" s="338" t="s">
        <v>1039</v>
      </c>
      <c r="B215" s="339"/>
      <c r="C215" s="339"/>
      <c r="D215" s="339"/>
      <c r="E215" s="339"/>
      <c r="F215" s="339"/>
      <c r="G215" s="339"/>
      <c r="H215" s="339"/>
      <c r="I215" s="339"/>
      <c r="J215" s="339"/>
      <c r="K215" s="339"/>
      <c r="L215" s="339"/>
      <c r="M215" s="339"/>
      <c r="N215" s="339"/>
      <c r="O215" s="339"/>
      <c r="P215" s="339"/>
      <c r="Q215" s="339"/>
      <c r="R215" s="339"/>
      <c r="S215" s="339"/>
      <c r="T215" s="339"/>
      <c r="U215" s="339"/>
      <c r="V215" s="339"/>
      <c r="W215" s="340"/>
      <c r="X215" s="341"/>
      <c r="Y215" s="30"/>
      <c r="Z215" s="30"/>
    </row>
    <row r="216" spans="1:50" ht="15.6" hidden="1" customHeight="1">
      <c r="A216" s="334" t="s">
        <v>935</v>
      </c>
      <c r="B216" s="335"/>
      <c r="C216" s="335"/>
      <c r="D216" s="335"/>
      <c r="E216" s="335"/>
      <c r="F216" s="335"/>
      <c r="G216" s="335"/>
      <c r="H216" s="335"/>
      <c r="I216" s="335"/>
      <c r="J216" s="335"/>
      <c r="K216" s="335"/>
      <c r="L216" s="335"/>
      <c r="M216" s="335"/>
      <c r="N216" s="335"/>
      <c r="O216" s="335"/>
      <c r="P216" s="335"/>
      <c r="Q216" s="335"/>
      <c r="R216" s="335"/>
      <c r="S216" s="335"/>
      <c r="T216" s="335"/>
      <c r="U216" s="335"/>
      <c r="V216" s="335"/>
      <c r="W216" s="974"/>
      <c r="X216" s="975"/>
      <c r="Y216" s="28"/>
      <c r="Z216" s="28"/>
      <c r="AA216" s="28"/>
      <c r="AB216" s="221"/>
      <c r="AC216" s="221"/>
      <c r="AD216" s="221"/>
      <c r="AE216" s="221"/>
      <c r="AF216" s="253"/>
      <c r="AG216" s="222"/>
      <c r="AH216" s="222"/>
      <c r="AI216" s="475"/>
      <c r="AJ216" s="475"/>
      <c r="AK216" s="475"/>
      <c r="AL216" s="475"/>
      <c r="AM216" s="221"/>
      <c r="AN216" s="221"/>
      <c r="AO216" s="479"/>
      <c r="AP216" s="479"/>
      <c r="AQ216" s="221"/>
      <c r="AR216" s="221"/>
      <c r="AS216" s="221"/>
      <c r="AT216" s="221"/>
      <c r="AU216" s="221"/>
      <c r="AV216" s="326"/>
      <c r="AW216" s="30"/>
      <c r="AX216" s="30"/>
    </row>
    <row r="217" spans="1:50" ht="27" hidden="1" customHeight="1">
      <c r="A217" s="868" t="s">
        <v>85</v>
      </c>
      <c r="B217" s="868"/>
      <c r="C217" s="869"/>
      <c r="D217" s="868" t="s">
        <v>86</v>
      </c>
      <c r="E217" s="868"/>
      <c r="F217" s="868"/>
      <c r="G217" s="868" t="s">
        <v>87</v>
      </c>
      <c r="H217" s="868"/>
      <c r="I217" s="868" t="s">
        <v>88</v>
      </c>
      <c r="J217" s="868"/>
      <c r="K217" s="955" t="s">
        <v>89</v>
      </c>
      <c r="L217" s="957"/>
      <c r="M217" s="868" t="s">
        <v>90</v>
      </c>
      <c r="N217" s="868"/>
      <c r="O217" s="868" t="s">
        <v>91</v>
      </c>
      <c r="P217" s="868"/>
      <c r="Q217" s="955" t="s">
        <v>92</v>
      </c>
      <c r="R217" s="957"/>
      <c r="S217" s="955" t="s">
        <v>93</v>
      </c>
      <c r="T217" s="956"/>
      <c r="U217" s="956"/>
      <c r="V217" s="956"/>
      <c r="W217" s="478" t="s">
        <v>94</v>
      </c>
      <c r="X217" s="319"/>
      <c r="Y217" s="28"/>
      <c r="Z217" s="28"/>
      <c r="AA217" s="28"/>
      <c r="AB217" s="221"/>
      <c r="AC217" s="221"/>
      <c r="AD217" s="221"/>
      <c r="AE217" s="221"/>
      <c r="AF217" s="253"/>
      <c r="AG217" s="222"/>
      <c r="AH217" s="222"/>
      <c r="AI217" s="475"/>
      <c r="AJ217" s="475"/>
      <c r="AK217" s="475"/>
      <c r="AL217" s="475"/>
      <c r="AM217" s="221"/>
      <c r="AN217" s="221"/>
      <c r="AO217" s="479"/>
      <c r="AP217" s="479"/>
      <c r="AQ217" s="221"/>
      <c r="AR217" s="221"/>
      <c r="AS217" s="221"/>
      <c r="AT217" s="221"/>
      <c r="AU217" s="221"/>
      <c r="AV217" s="326"/>
      <c r="AW217" s="30"/>
      <c r="AX217" s="30"/>
    </row>
    <row r="218" spans="1:50" ht="15.6" hidden="1" customHeight="1">
      <c r="A218" s="958" t="str">
        <f>'MAIN-1 BBP (6)'!A261</f>
        <v>T1</v>
      </c>
      <c r="B218" s="958" t="str">
        <f>'MAIN-1 BBP (6)'!B261</f>
        <v>Core1</v>
      </c>
      <c r="C218" s="765"/>
      <c r="D218" s="870">
        <f>'MAIN-1 BBP (6)'!D261</f>
        <v>2000</v>
      </c>
      <c r="E218" s="870"/>
      <c r="F218" s="870">
        <f>'MAIN-1 BBP (6)'!F261</f>
        <v>1</v>
      </c>
      <c r="G218" s="870">
        <f>'CT-VT Burdens'!S21</f>
        <v>120</v>
      </c>
      <c r="H218" s="959">
        <f>'CT-VT Burdens'!S10</f>
        <v>6</v>
      </c>
      <c r="I218" s="874" t="str">
        <f>'MAIN-1 BBP (6)'!I261</f>
        <v>PX</v>
      </c>
      <c r="J218" s="874"/>
      <c r="K218" s="869">
        <f>'MAIN-1 BBP (6)'!K261</f>
        <v>3.5</v>
      </c>
      <c r="L218" s="869"/>
      <c r="M218" s="869">
        <f>'MAIN-1 BBP (6)'!M261</f>
        <v>500</v>
      </c>
      <c r="N218" s="869"/>
      <c r="O218" s="960">
        <f>'MAIN-1 BBP (6)'!O261</f>
        <v>20</v>
      </c>
      <c r="P218" s="870"/>
      <c r="Q218" s="879" t="str">
        <f>'MAIN-1 BBP (6)'!Q261</f>
        <v xml:space="preserve">7SS522 6MU85  </v>
      </c>
      <c r="R218" s="879"/>
      <c r="S218" s="870" t="str">
        <f>'MAIN-1 BBP (6)'!S261</f>
        <v>Suitably Dimentioned</v>
      </c>
      <c r="T218" s="870"/>
      <c r="U218" s="870"/>
      <c r="V218" s="870"/>
      <c r="W218" s="264">
        <f>'MAIN-1 BBP (6)'!H67</f>
        <v>47.658905576923075</v>
      </c>
      <c r="X218" s="263"/>
      <c r="Y218" s="28"/>
      <c r="Z218" s="28"/>
      <c r="AA218" s="28"/>
      <c r="AB218" s="221"/>
      <c r="AC218" s="221"/>
      <c r="AD218" s="221"/>
      <c r="AE218" s="221"/>
      <c r="AF218" s="253"/>
      <c r="AG218" s="222"/>
      <c r="AH218" s="222"/>
      <c r="AI218" s="475"/>
      <c r="AJ218" s="475"/>
      <c r="AK218" s="475"/>
      <c r="AL218" s="475"/>
      <c r="AM218" s="221"/>
      <c r="AN218" s="221"/>
      <c r="AO218" s="479"/>
      <c r="AP218" s="479"/>
      <c r="AQ218" s="221"/>
      <c r="AR218" s="221"/>
      <c r="AS218" s="221"/>
      <c r="AT218" s="221"/>
      <c r="AU218" s="221"/>
      <c r="AV218" s="326"/>
      <c r="AW218" s="30"/>
      <c r="AX218" s="30"/>
    </row>
    <row r="219" spans="1:50" hidden="1">
      <c r="A219" s="765"/>
      <c r="B219" s="765"/>
      <c r="C219" s="765"/>
      <c r="D219" s="870">
        <f>'MAIN-1 BBP (6)'!D262</f>
        <v>3200</v>
      </c>
      <c r="E219" s="870"/>
      <c r="F219" s="870"/>
      <c r="G219" s="870"/>
      <c r="H219" s="959"/>
      <c r="I219" s="874"/>
      <c r="J219" s="874"/>
      <c r="K219" s="869">
        <f>'MAIN-1 BBP (6)'!K262</f>
        <v>5</v>
      </c>
      <c r="L219" s="869"/>
      <c r="M219" s="869">
        <f>'MAIN-1 BBP (6)'!M262</f>
        <v>900</v>
      </c>
      <c r="N219" s="869"/>
      <c r="O219" s="960">
        <f>'MAIN-1 BBP (6)'!O262</f>
        <v>10</v>
      </c>
      <c r="P219" s="870"/>
      <c r="Q219" s="879"/>
      <c r="R219" s="879"/>
      <c r="S219" s="870" t="str">
        <f>'MAIN-1 BBP (6)'!S262</f>
        <v>Suitably Dimentioned</v>
      </c>
      <c r="T219" s="870"/>
      <c r="U219" s="870"/>
      <c r="V219" s="870"/>
      <c r="W219" s="514">
        <f>'MAIN-1 BBP (6)'!H147</f>
        <v>38.801239062500002</v>
      </c>
      <c r="X219" s="263"/>
    </row>
    <row r="220" spans="1:50" ht="15.6" hidden="1" customHeight="1">
      <c r="A220" s="765"/>
      <c r="B220" s="765"/>
      <c r="C220" s="765"/>
      <c r="D220" s="870" t="str">
        <f>'MAIN-1 BBP (6)'!D263</f>
        <v>-</v>
      </c>
      <c r="E220" s="870"/>
      <c r="F220" s="870"/>
      <c r="G220" s="870"/>
      <c r="H220" s="959"/>
      <c r="I220" s="874"/>
      <c r="J220" s="874"/>
      <c r="K220" s="869" t="str">
        <f>'MAIN-1 BBP (6)'!K263</f>
        <v>-</v>
      </c>
      <c r="L220" s="869"/>
      <c r="M220" s="869" t="str">
        <f>'MAIN-1 BBP (6)'!M263</f>
        <v>-</v>
      </c>
      <c r="N220" s="869"/>
      <c r="O220" s="960" t="str">
        <f>'MAIN-1 BBP (6)'!O263</f>
        <v>-</v>
      </c>
      <c r="P220" s="870"/>
      <c r="Q220" s="879"/>
      <c r="R220" s="879"/>
      <c r="S220" s="870" t="str">
        <f>'MAIN-1 BBP (6)'!S263</f>
        <v>-</v>
      </c>
      <c r="T220" s="870"/>
      <c r="U220" s="870"/>
      <c r="V220" s="870"/>
      <c r="W220" s="514" t="s">
        <v>6</v>
      </c>
      <c r="X220" s="263"/>
      <c r="Y220" s="28"/>
      <c r="Z220" s="28"/>
      <c r="AA220" s="28"/>
      <c r="AB220" s="221"/>
      <c r="AC220" s="221"/>
      <c r="AD220" s="221"/>
      <c r="AE220" s="221"/>
      <c r="AF220" s="253"/>
      <c r="AG220" s="222"/>
      <c r="AH220" s="222"/>
      <c r="AI220" s="475"/>
      <c r="AJ220" s="475"/>
      <c r="AK220" s="475"/>
      <c r="AL220" s="475"/>
      <c r="AM220" s="221"/>
      <c r="AN220" s="221"/>
      <c r="AO220" s="479"/>
      <c r="AP220" s="479"/>
      <c r="AQ220" s="221"/>
      <c r="AR220" s="221"/>
      <c r="AS220" s="221"/>
      <c r="AT220" s="221"/>
      <c r="AU220" s="221"/>
      <c r="AV220" s="326"/>
      <c r="AW220" s="30"/>
      <c r="AX220" s="30"/>
    </row>
    <row r="221" spans="1:50" ht="15.6" hidden="1" customHeight="1">
      <c r="A221" s="512" t="s">
        <v>936</v>
      </c>
      <c r="B221" s="513"/>
      <c r="C221" s="513"/>
      <c r="D221" s="513"/>
      <c r="E221" s="513"/>
      <c r="F221" s="513"/>
      <c r="G221" s="513"/>
      <c r="H221" s="513"/>
      <c r="I221" s="513"/>
      <c r="J221" s="513"/>
      <c r="K221" s="513"/>
      <c r="L221" s="513"/>
      <c r="M221" s="513"/>
      <c r="N221" s="513"/>
      <c r="O221" s="513"/>
      <c r="P221" s="513"/>
      <c r="Q221" s="513"/>
      <c r="R221" s="513"/>
      <c r="S221" s="513"/>
      <c r="T221" s="513"/>
      <c r="U221" s="513"/>
      <c r="V221" s="513"/>
      <c r="W221" s="963"/>
      <c r="X221" s="964"/>
      <c r="Y221" s="28"/>
      <c r="Z221" s="28"/>
      <c r="AA221" s="28"/>
      <c r="AB221" s="221"/>
      <c r="AC221" s="221"/>
      <c r="AD221" s="221"/>
      <c r="AE221" s="221"/>
      <c r="AF221" s="253"/>
      <c r="AG221" s="222"/>
      <c r="AH221" s="222"/>
      <c r="AI221" s="475"/>
      <c r="AJ221" s="475"/>
      <c r="AK221" s="475"/>
      <c r="AL221" s="475"/>
      <c r="AM221" s="221"/>
      <c r="AN221" s="221"/>
      <c r="AO221" s="479"/>
      <c r="AP221" s="479"/>
      <c r="AQ221" s="221"/>
      <c r="AR221" s="221"/>
      <c r="AS221" s="221"/>
      <c r="AT221" s="221"/>
      <c r="AU221" s="221"/>
      <c r="AV221" s="326"/>
      <c r="AW221" s="30"/>
      <c r="AX221" s="30"/>
    </row>
    <row r="222" spans="1:50" ht="28.8" hidden="1" customHeight="1">
      <c r="A222" s="868" t="s">
        <v>85</v>
      </c>
      <c r="B222" s="868"/>
      <c r="C222" s="869"/>
      <c r="D222" s="868" t="s">
        <v>86</v>
      </c>
      <c r="E222" s="868"/>
      <c r="F222" s="868"/>
      <c r="G222" s="868" t="s">
        <v>87</v>
      </c>
      <c r="H222" s="868"/>
      <c r="I222" s="868" t="s">
        <v>88</v>
      </c>
      <c r="J222" s="868"/>
      <c r="K222" s="955" t="s">
        <v>89</v>
      </c>
      <c r="L222" s="957"/>
      <c r="M222" s="868" t="s">
        <v>90</v>
      </c>
      <c r="N222" s="868"/>
      <c r="O222" s="868" t="s">
        <v>91</v>
      </c>
      <c r="P222" s="868"/>
      <c r="Q222" s="955" t="s">
        <v>92</v>
      </c>
      <c r="R222" s="957"/>
      <c r="S222" s="955" t="s">
        <v>93</v>
      </c>
      <c r="T222" s="956"/>
      <c r="U222" s="956"/>
      <c r="V222" s="956"/>
      <c r="W222" s="319" t="s">
        <v>94</v>
      </c>
      <c r="X222" s="319"/>
      <c r="Y222" s="28"/>
      <c r="Z222" s="28"/>
      <c r="AA222" s="28"/>
      <c r="AB222" s="221"/>
      <c r="AC222" s="221"/>
      <c r="AD222" s="221"/>
      <c r="AE222" s="221"/>
      <c r="AF222" s="253"/>
      <c r="AG222" s="222"/>
      <c r="AH222" s="222"/>
      <c r="AI222" s="475"/>
      <c r="AJ222" s="475"/>
      <c r="AK222" s="475"/>
      <c r="AL222" s="475"/>
      <c r="AM222" s="221"/>
      <c r="AN222" s="221"/>
      <c r="AO222" s="479"/>
      <c r="AP222" s="479"/>
      <c r="AQ222" s="221"/>
      <c r="AR222" s="221"/>
      <c r="AS222" s="221"/>
      <c r="AT222" s="221"/>
      <c r="AU222" s="221"/>
      <c r="AV222" s="326"/>
      <c r="AW222" s="30"/>
      <c r="AX222" s="30"/>
    </row>
    <row r="223" spans="1:50" ht="15.6" hidden="1" customHeight="1">
      <c r="A223" s="765" t="str">
        <f>'MAIN-2 BBP (6)'!A265</f>
        <v>T1</v>
      </c>
      <c r="B223" s="765" t="str">
        <f>'MAIN-2 BBP (6)'!B265</f>
        <v>Core2</v>
      </c>
      <c r="C223" s="765"/>
      <c r="D223" s="870">
        <f>'MAIN-2 BBP (6)'!D265</f>
        <v>2000</v>
      </c>
      <c r="E223" s="870"/>
      <c r="F223" s="871">
        <f>'MAIN-2 BBP (6)'!F265</f>
        <v>1</v>
      </c>
      <c r="G223" s="870">
        <f>'CT-VT Burdens'!S21</f>
        <v>120</v>
      </c>
      <c r="H223" s="959">
        <f>'CT-VT Burdens'!S10</f>
        <v>6</v>
      </c>
      <c r="I223" s="965" t="str">
        <f>'MAIN-2 BBP (6)'!I265</f>
        <v>PX</v>
      </c>
      <c r="J223" s="966"/>
      <c r="K223" s="869">
        <f>'MAIN-2 BBP (6)'!K265</f>
        <v>3.5</v>
      </c>
      <c r="L223" s="869"/>
      <c r="M223" s="869">
        <f>'MAIN-2 BBP (6)'!M265</f>
        <v>500</v>
      </c>
      <c r="N223" s="869"/>
      <c r="O223" s="870">
        <f>'MAIN-2 BBP (6)'!O265</f>
        <v>20</v>
      </c>
      <c r="P223" s="870"/>
      <c r="Q223" s="879" t="str">
        <f>'MAIN-2 BBP (6)'!Q265</f>
        <v>REB500</v>
      </c>
      <c r="R223" s="879"/>
      <c r="S223" s="971" t="str">
        <f>'MAIN-2 BBP (6)'!S265</f>
        <v>Suitably Dimensioned</v>
      </c>
      <c r="T223" s="972"/>
      <c r="U223" s="972"/>
      <c r="V223" s="973"/>
      <c r="W223" s="264">
        <f>'MAIN-2 BBP (6)'!M82</f>
        <v>44.131415423999997</v>
      </c>
      <c r="X223" s="288"/>
      <c r="Y223" s="28"/>
      <c r="Z223" s="28"/>
      <c r="AA223" s="28"/>
      <c r="AB223" s="221"/>
      <c r="AC223" s="221"/>
      <c r="AD223" s="221"/>
      <c r="AE223" s="221"/>
      <c r="AF223" s="253"/>
      <c r="AG223" s="222"/>
      <c r="AH223" s="222"/>
      <c r="AI223" s="475"/>
      <c r="AJ223" s="475"/>
      <c r="AK223" s="475"/>
      <c r="AL223" s="475"/>
      <c r="AM223" s="221"/>
      <c r="AN223" s="221"/>
      <c r="AO223" s="479"/>
      <c r="AP223" s="479"/>
      <c r="AQ223" s="221"/>
      <c r="AR223" s="221"/>
      <c r="AS223" s="221"/>
      <c r="AT223" s="221"/>
      <c r="AU223" s="221"/>
      <c r="AV223" s="326"/>
      <c r="AW223" s="30"/>
      <c r="AX223" s="30"/>
    </row>
    <row r="224" spans="1:50" ht="15.6" hidden="1" customHeight="1">
      <c r="A224" s="765"/>
      <c r="B224" s="765"/>
      <c r="C224" s="765"/>
      <c r="D224" s="870">
        <f>'MAIN-2 BBP (6)'!D266</f>
        <v>3200</v>
      </c>
      <c r="E224" s="870"/>
      <c r="F224" s="872"/>
      <c r="G224" s="870"/>
      <c r="H224" s="959"/>
      <c r="I224" s="967"/>
      <c r="J224" s="968"/>
      <c r="K224" s="869">
        <f>'MAIN-2 BBP (6)'!K266</f>
        <v>5</v>
      </c>
      <c r="L224" s="869"/>
      <c r="M224" s="869">
        <f>'MAIN-2 BBP (6)'!M266</f>
        <v>900</v>
      </c>
      <c r="N224" s="869"/>
      <c r="O224" s="870">
        <f>'MAIN-2 BBP (6)'!O266</f>
        <v>10</v>
      </c>
      <c r="P224" s="870"/>
      <c r="Q224" s="879"/>
      <c r="R224" s="879"/>
      <c r="S224" s="971" t="str">
        <f>'MAIN-2 BBP (6)'!S266</f>
        <v>Suitably Dimensioned</v>
      </c>
      <c r="T224" s="972"/>
      <c r="U224" s="972"/>
      <c r="V224" s="973"/>
      <c r="W224" s="486">
        <f>'MAIN-2 BBP (6)'!M164</f>
        <v>58.531415423999995</v>
      </c>
      <c r="X224" s="288"/>
      <c r="Y224" s="28"/>
      <c r="Z224" s="28"/>
      <c r="AA224" s="28"/>
      <c r="AB224" s="221"/>
      <c r="AC224" s="221"/>
      <c r="AD224" s="221"/>
      <c r="AE224" s="221"/>
      <c r="AF224" s="253"/>
      <c r="AG224" s="222"/>
      <c r="AH224" s="222"/>
      <c r="AI224" s="475"/>
      <c r="AJ224" s="475"/>
      <c r="AK224" s="475"/>
      <c r="AL224" s="475"/>
      <c r="AM224" s="221"/>
      <c r="AN224" s="221"/>
      <c r="AO224" s="479"/>
      <c r="AP224" s="479"/>
      <c r="AQ224" s="221"/>
      <c r="AR224" s="221"/>
      <c r="AS224" s="221"/>
      <c r="AT224" s="221"/>
      <c r="AU224" s="221"/>
      <c r="AV224" s="326"/>
      <c r="AW224" s="30"/>
      <c r="AX224" s="30"/>
    </row>
    <row r="225" spans="1:50" ht="15.6" hidden="1" customHeight="1">
      <c r="A225" s="765"/>
      <c r="B225" s="765"/>
      <c r="C225" s="765"/>
      <c r="D225" s="870" t="str">
        <f>'MAIN-2 BBP (6)'!D267</f>
        <v>-</v>
      </c>
      <c r="E225" s="870"/>
      <c r="F225" s="873"/>
      <c r="G225" s="870"/>
      <c r="H225" s="959"/>
      <c r="I225" s="969"/>
      <c r="J225" s="970"/>
      <c r="K225" s="962" t="str">
        <f>'MAIN-2 BBP (6)'!K267</f>
        <v>-</v>
      </c>
      <c r="L225" s="869"/>
      <c r="M225" s="869" t="str">
        <f>'MAIN-2 BBP (6)'!M267</f>
        <v>-</v>
      </c>
      <c r="N225" s="869"/>
      <c r="O225" s="870" t="str">
        <f>'MAIN-2 BBP (6)'!O267</f>
        <v>-</v>
      </c>
      <c r="P225" s="870"/>
      <c r="Q225" s="879"/>
      <c r="R225" s="879"/>
      <c r="S225" s="971" t="str">
        <f>'MAIN-2 BBP (6)'!S267</f>
        <v>-</v>
      </c>
      <c r="T225" s="972"/>
      <c r="U225" s="972"/>
      <c r="V225" s="973"/>
      <c r="W225" s="263"/>
      <c r="X225" s="263"/>
      <c r="Y225" s="28"/>
      <c r="Z225" s="28"/>
      <c r="AA225" s="28"/>
      <c r="AB225" s="221"/>
      <c r="AC225" s="221"/>
      <c r="AD225" s="221"/>
      <c r="AE225" s="221"/>
      <c r="AF225" s="253"/>
      <c r="AG225" s="222"/>
      <c r="AH225" s="222"/>
      <c r="AI225" s="475"/>
      <c r="AJ225" s="475"/>
      <c r="AK225" s="475"/>
      <c r="AL225" s="475"/>
      <c r="AM225" s="221"/>
      <c r="AN225" s="221"/>
      <c r="AO225" s="479"/>
      <c r="AP225" s="479"/>
      <c r="AQ225" s="221"/>
      <c r="AR225" s="221"/>
      <c r="AS225" s="221"/>
      <c r="AT225" s="221"/>
      <c r="AU225" s="221"/>
      <c r="AV225" s="326"/>
      <c r="AW225" s="30"/>
      <c r="AX225" s="30"/>
    </row>
    <row r="226" spans="1:50" ht="15.6" customHeight="1">
      <c r="A226" s="334" t="str">
        <f>'BCU+PQM+AMMETER '!H7</f>
        <v>(BCU+PQM)</v>
      </c>
      <c r="B226" s="335"/>
      <c r="C226" s="335"/>
      <c r="D226" s="335"/>
      <c r="E226" s="335"/>
      <c r="F226" s="335"/>
      <c r="G226" s="335"/>
      <c r="H226" s="335"/>
      <c r="I226" s="335"/>
      <c r="J226" s="335"/>
      <c r="K226" s="335"/>
      <c r="L226" s="335"/>
      <c r="M226" s="335"/>
      <c r="N226" s="335"/>
      <c r="O226" s="335"/>
      <c r="P226" s="335"/>
      <c r="Q226" s="335"/>
      <c r="R226" s="335"/>
      <c r="S226" s="335"/>
      <c r="T226" s="335"/>
      <c r="U226" s="335"/>
      <c r="V226" s="335"/>
      <c r="W226" s="336"/>
      <c r="X226" s="337"/>
      <c r="Y226" s="28"/>
      <c r="Z226" s="28"/>
      <c r="AA226" s="28"/>
      <c r="AB226" s="221"/>
      <c r="AC226" s="221"/>
      <c r="AD226" s="221"/>
      <c r="AE226" s="221"/>
      <c r="AF226" s="253"/>
      <c r="AG226" s="222"/>
      <c r="AH226" s="222"/>
      <c r="AI226" s="475"/>
      <c r="AJ226" s="475"/>
      <c r="AK226" s="475"/>
      <c r="AL226" s="475"/>
      <c r="AM226" s="221"/>
      <c r="AN226" s="221"/>
      <c r="AO226" s="479"/>
      <c r="AP226" s="479"/>
      <c r="AQ226" s="221"/>
      <c r="AR226" s="221"/>
      <c r="AS226" s="221"/>
      <c r="AT226" s="221"/>
      <c r="AU226" s="221"/>
      <c r="AV226" s="326"/>
      <c r="AW226" s="30"/>
      <c r="AX226" s="30"/>
    </row>
    <row r="227" spans="1:50" ht="27" customHeight="1">
      <c r="A227" s="955" t="s">
        <v>85</v>
      </c>
      <c r="B227" s="956"/>
      <c r="C227" s="957"/>
      <c r="D227" s="955" t="s">
        <v>86</v>
      </c>
      <c r="E227" s="956"/>
      <c r="F227" s="957"/>
      <c r="G227" s="955" t="s">
        <v>87</v>
      </c>
      <c r="H227" s="957"/>
      <c r="I227" s="955" t="s">
        <v>88</v>
      </c>
      <c r="J227" s="957"/>
      <c r="K227" s="955" t="s">
        <v>89</v>
      </c>
      <c r="L227" s="957"/>
      <c r="M227" s="868" t="s">
        <v>90</v>
      </c>
      <c r="N227" s="868"/>
      <c r="O227" s="955"/>
      <c r="P227" s="957"/>
      <c r="Q227" s="955" t="s">
        <v>92</v>
      </c>
      <c r="R227" s="957"/>
      <c r="S227" s="868" t="s">
        <v>93</v>
      </c>
      <c r="T227" s="868"/>
      <c r="U227" s="868"/>
      <c r="V227" s="868"/>
      <c r="W227" s="319" t="s">
        <v>1063</v>
      </c>
      <c r="X227" s="485"/>
      <c r="Y227" s="28"/>
      <c r="Z227" s="28"/>
      <c r="AA227" s="28"/>
      <c r="AB227" s="221"/>
      <c r="AC227" s="221"/>
      <c r="AD227" s="221"/>
      <c r="AE227" s="221"/>
      <c r="AF227" s="253"/>
      <c r="AG227" s="222"/>
      <c r="AH227" s="222"/>
      <c r="AI227" s="475"/>
      <c r="AJ227" s="475"/>
      <c r="AK227" s="475"/>
      <c r="AL227" s="475"/>
      <c r="AM227" s="221"/>
      <c r="AN227" s="221"/>
      <c r="AO227" s="479"/>
      <c r="AP227" s="479"/>
      <c r="AQ227" s="221"/>
      <c r="AR227" s="221"/>
      <c r="AS227" s="221"/>
      <c r="AT227" s="221"/>
      <c r="AU227" s="221"/>
      <c r="AV227" s="326"/>
      <c r="AW227" s="30"/>
      <c r="AX227" s="30"/>
    </row>
    <row r="228" spans="1:50" ht="15.6" customHeight="1">
      <c r="A228" s="958" t="s">
        <v>955</v>
      </c>
      <c r="B228" s="765" t="str">
        <f>'BCU+PQM+AMMETER '!B141</f>
        <v>Core1</v>
      </c>
      <c r="C228" s="765"/>
      <c r="D228" s="870">
        <f>'BCU+PQM+AMMETER '!D141</f>
        <v>3200</v>
      </c>
      <c r="E228" s="870"/>
      <c r="F228" s="870">
        <f>'BCU+PQM+AMMETER '!F141</f>
        <v>1</v>
      </c>
      <c r="G228" s="961">
        <f>'BCU+PQM+AMMETER '!G141</f>
        <v>120</v>
      </c>
      <c r="H228" s="959">
        <f>'BCU+PQM+AMMETER '!H141</f>
        <v>6</v>
      </c>
      <c r="I228" s="874">
        <f>'BCU+PQM+AMMETER '!I141</f>
        <v>0.5</v>
      </c>
      <c r="J228" s="874"/>
      <c r="K228" s="869">
        <f>'BCU+PQM+AMMETER '!K141</f>
        <v>5</v>
      </c>
      <c r="L228" s="869"/>
      <c r="M228" s="869">
        <f>'BCU+PQM+AMMETER '!M141</f>
        <v>30</v>
      </c>
      <c r="N228" s="869"/>
      <c r="O228" s="955"/>
      <c r="P228" s="957"/>
      <c r="Q228" s="879" t="str">
        <f>'BCU+PQM+AMMETER '!Q141</f>
        <v xml:space="preserve">REC670   </v>
      </c>
      <c r="R228" s="879"/>
      <c r="S228" s="870" t="str">
        <f>'BCU+PQM+AMMETER '!S141</f>
        <v>Not suitable</v>
      </c>
      <c r="T228" s="870"/>
      <c r="U228" s="870"/>
      <c r="V228" s="870"/>
      <c r="W228" s="264">
        <f>'BCU+PQM+AMMETER '!J45</f>
        <v>28.702535003299086</v>
      </c>
      <c r="X228" s="264"/>
      <c r="Y228" s="28"/>
      <c r="Z228" s="28"/>
      <c r="AA228" s="28"/>
      <c r="AB228" s="221"/>
      <c r="AC228" s="221"/>
      <c r="AD228" s="221"/>
      <c r="AE228" s="221"/>
      <c r="AF228" s="253"/>
      <c r="AG228" s="222"/>
      <c r="AH228" s="222"/>
      <c r="AI228" s="475"/>
      <c r="AJ228" s="475"/>
      <c r="AK228" s="475"/>
      <c r="AL228" s="475"/>
      <c r="AM228" s="221"/>
      <c r="AN228" s="221"/>
      <c r="AO228" s="479"/>
      <c r="AP228" s="479"/>
      <c r="AQ228" s="221"/>
      <c r="AR228" s="221"/>
      <c r="AS228" s="221"/>
      <c r="AT228" s="221"/>
      <c r="AU228" s="221"/>
      <c r="AV228" s="326"/>
      <c r="AW228" s="30"/>
      <c r="AX228" s="30"/>
    </row>
    <row r="229" spans="1:50" ht="15.6" customHeight="1">
      <c r="A229" s="765"/>
      <c r="B229" s="765"/>
      <c r="C229" s="765"/>
      <c r="D229" s="870">
        <f>'BCU+PQM+AMMETER '!D142</f>
        <v>2800</v>
      </c>
      <c r="E229" s="870"/>
      <c r="F229" s="870"/>
      <c r="G229" s="961"/>
      <c r="H229" s="959"/>
      <c r="I229" s="874"/>
      <c r="J229" s="874"/>
      <c r="K229" s="869">
        <f>'BCU+PQM+AMMETER '!K142</f>
        <v>4</v>
      </c>
      <c r="L229" s="869"/>
      <c r="M229" s="869">
        <f>'BCU+PQM+AMMETER '!M142</f>
        <v>25</v>
      </c>
      <c r="N229" s="869"/>
      <c r="O229" s="955"/>
      <c r="P229" s="957"/>
      <c r="Q229" s="879"/>
      <c r="R229" s="879"/>
      <c r="S229" s="870" t="str">
        <f>'BCU+PQM+AMMETER '!S142</f>
        <v>Not suitable</v>
      </c>
      <c r="T229" s="870"/>
      <c r="U229" s="870"/>
      <c r="V229" s="870"/>
      <c r="W229" s="486">
        <f>'BCU+PQM+AMMETER '!J86</f>
        <v>28.447981484656758</v>
      </c>
      <c r="X229" s="264"/>
      <c r="Y229" s="28"/>
      <c r="Z229" s="28"/>
      <c r="AA229" s="28"/>
      <c r="AB229" s="221"/>
      <c r="AC229" s="221"/>
      <c r="AD229" s="221"/>
      <c r="AE229" s="221"/>
      <c r="AF229" s="253"/>
      <c r="AG229" s="222"/>
      <c r="AH229" s="222"/>
      <c r="AI229" s="475"/>
      <c r="AJ229" s="475"/>
      <c r="AK229" s="475"/>
      <c r="AL229" s="475"/>
      <c r="AM229" s="221"/>
      <c r="AN229" s="221"/>
      <c r="AO229" s="479"/>
      <c r="AP229" s="479"/>
      <c r="AQ229" s="221"/>
      <c r="AR229" s="221"/>
      <c r="AS229" s="221"/>
      <c r="AT229" s="221"/>
      <c r="AU229" s="221"/>
      <c r="AV229" s="326"/>
      <c r="AW229" s="30"/>
      <c r="AX229" s="30"/>
    </row>
    <row r="230" spans="1:50" ht="15.6" customHeight="1">
      <c r="A230" s="765"/>
      <c r="B230" s="765"/>
      <c r="C230" s="765"/>
      <c r="D230" s="870" t="str">
        <f>'BCU+PQM+AMMETER '!D143</f>
        <v>-</v>
      </c>
      <c r="E230" s="870"/>
      <c r="F230" s="870"/>
      <c r="G230" s="961"/>
      <c r="H230" s="959"/>
      <c r="I230" s="874"/>
      <c r="J230" s="874"/>
      <c r="K230" s="869" t="str">
        <f>'BCU+PQM+AMMETER '!K143</f>
        <v>-</v>
      </c>
      <c r="L230" s="869"/>
      <c r="M230" s="962" t="str">
        <f>'BCU+PQM+AMMETER '!M143</f>
        <v>-</v>
      </c>
      <c r="N230" s="869"/>
      <c r="O230" s="955"/>
      <c r="P230" s="957"/>
      <c r="Q230" s="879"/>
      <c r="R230" s="879"/>
      <c r="S230" s="870" t="str">
        <f>'BCU+PQM+AMMETER '!S143</f>
        <v>-</v>
      </c>
      <c r="T230" s="870"/>
      <c r="U230" s="870"/>
      <c r="V230" s="870"/>
      <c r="W230" s="474" t="s">
        <v>6</v>
      </c>
      <c r="X230" s="263"/>
      <c r="Y230" s="28"/>
      <c r="Z230" s="28"/>
      <c r="AA230" s="28"/>
      <c r="AB230" s="221"/>
      <c r="AC230" s="221"/>
      <c r="AD230" s="221"/>
      <c r="AE230" s="221"/>
      <c r="AF230" s="253"/>
      <c r="AG230" s="222"/>
      <c r="AH230" s="222"/>
      <c r="AI230" s="475"/>
      <c r="AJ230" s="475"/>
      <c r="AK230" s="475"/>
      <c r="AL230" s="475"/>
      <c r="AM230" s="221"/>
      <c r="AN230" s="221"/>
      <c r="AO230" s="479"/>
      <c r="AP230" s="479"/>
      <c r="AQ230" s="221"/>
      <c r="AR230" s="221"/>
      <c r="AS230" s="221"/>
      <c r="AT230" s="221"/>
      <c r="AU230" s="221"/>
      <c r="AV230" s="326"/>
      <c r="AW230" s="30"/>
      <c r="AX230" s="30"/>
    </row>
    <row r="231" spans="1:50" ht="15.6" customHeight="1">
      <c r="A231" s="334" t="s">
        <v>935</v>
      </c>
      <c r="B231" s="335"/>
      <c r="C231" s="335"/>
      <c r="D231" s="335"/>
      <c r="E231" s="335"/>
      <c r="F231" s="335"/>
      <c r="G231" s="335"/>
      <c r="H231" s="335"/>
      <c r="I231" s="335"/>
      <c r="J231" s="335"/>
      <c r="K231" s="335"/>
      <c r="L231" s="335"/>
      <c r="M231" s="335"/>
      <c r="N231" s="335"/>
      <c r="O231" s="335"/>
      <c r="P231" s="335"/>
      <c r="Q231" s="335"/>
      <c r="R231" s="335"/>
      <c r="S231" s="335"/>
      <c r="T231" s="335"/>
      <c r="U231" s="335"/>
      <c r="V231" s="335"/>
      <c r="W231" s="336"/>
      <c r="X231" s="337"/>
      <c r="Y231" s="28"/>
      <c r="Z231" s="28"/>
      <c r="AA231" s="28"/>
      <c r="AB231" s="221"/>
      <c r="AC231" s="221"/>
      <c r="AD231" s="221"/>
      <c r="AE231" s="221"/>
      <c r="AF231" s="253"/>
      <c r="AG231" s="222"/>
      <c r="AH231" s="222"/>
      <c r="AI231" s="475"/>
      <c r="AJ231" s="475"/>
      <c r="AK231" s="475"/>
      <c r="AL231" s="475"/>
      <c r="AM231" s="221"/>
      <c r="AN231" s="221"/>
      <c r="AO231" s="479"/>
      <c r="AP231" s="479"/>
      <c r="AQ231" s="221"/>
      <c r="AR231" s="221"/>
      <c r="AS231" s="221"/>
      <c r="AT231" s="221"/>
      <c r="AU231" s="221"/>
      <c r="AV231" s="326"/>
      <c r="AW231" s="30"/>
      <c r="AX231" s="30"/>
    </row>
    <row r="232" spans="1:50" ht="27" customHeight="1">
      <c r="A232" s="868" t="s">
        <v>85</v>
      </c>
      <c r="B232" s="868"/>
      <c r="C232" s="868"/>
      <c r="D232" s="868" t="s">
        <v>86</v>
      </c>
      <c r="E232" s="868"/>
      <c r="F232" s="868"/>
      <c r="G232" s="868" t="s">
        <v>87</v>
      </c>
      <c r="H232" s="868"/>
      <c r="I232" s="868" t="s">
        <v>88</v>
      </c>
      <c r="J232" s="868"/>
      <c r="K232" s="868" t="s">
        <v>89</v>
      </c>
      <c r="L232" s="868"/>
      <c r="M232" s="868" t="s">
        <v>90</v>
      </c>
      <c r="N232" s="868"/>
      <c r="O232" s="868" t="s">
        <v>91</v>
      </c>
      <c r="P232" s="868"/>
      <c r="Q232" s="868" t="s">
        <v>92</v>
      </c>
      <c r="R232" s="868"/>
      <c r="S232" s="868" t="s">
        <v>93</v>
      </c>
      <c r="T232" s="868"/>
      <c r="U232" s="868"/>
      <c r="V232" s="868"/>
      <c r="W232" s="319" t="s">
        <v>94</v>
      </c>
      <c r="X232" s="485"/>
      <c r="Y232" s="28"/>
      <c r="Z232" s="28"/>
      <c r="AA232" s="28"/>
      <c r="AB232" s="221"/>
      <c r="AC232" s="221"/>
      <c r="AD232" s="221"/>
      <c r="AE232" s="221"/>
      <c r="AF232" s="253"/>
      <c r="AG232" s="222"/>
      <c r="AH232" s="222"/>
      <c r="AI232" s="475"/>
      <c r="AJ232" s="475"/>
      <c r="AK232" s="475"/>
      <c r="AL232" s="475"/>
      <c r="AM232" s="221"/>
      <c r="AN232" s="221"/>
      <c r="AO232" s="479"/>
      <c r="AP232" s="479"/>
      <c r="AQ232" s="221"/>
      <c r="AR232" s="221"/>
      <c r="AS232" s="221"/>
      <c r="AT232" s="221"/>
      <c r="AU232" s="221"/>
      <c r="AV232" s="326"/>
      <c r="AW232" s="30"/>
      <c r="AX232" s="30"/>
    </row>
    <row r="233" spans="1:50" ht="15.6" customHeight="1">
      <c r="A233" s="958" t="s">
        <v>955</v>
      </c>
      <c r="B233" s="958" t="str">
        <f t="shared" ref="B233:W233" si="13">B199</f>
        <v>Core2</v>
      </c>
      <c r="C233" s="765"/>
      <c r="D233" s="870">
        <f t="shared" si="13"/>
        <v>3200</v>
      </c>
      <c r="E233" s="870"/>
      <c r="F233" s="870">
        <f t="shared" si="13"/>
        <v>1</v>
      </c>
      <c r="G233" s="870">
        <f t="shared" si="13"/>
        <v>120</v>
      </c>
      <c r="H233" s="959">
        <f t="shared" si="13"/>
        <v>6</v>
      </c>
      <c r="I233" s="874" t="str">
        <f t="shared" si="13"/>
        <v>PX</v>
      </c>
      <c r="J233" s="874"/>
      <c r="K233" s="869">
        <f t="shared" si="13"/>
        <v>8</v>
      </c>
      <c r="L233" s="869"/>
      <c r="M233" s="869">
        <f t="shared" si="13"/>
        <v>900</v>
      </c>
      <c r="N233" s="869"/>
      <c r="O233" s="960">
        <f t="shared" si="13"/>
        <v>10</v>
      </c>
      <c r="P233" s="870"/>
      <c r="Q233" s="879" t="str">
        <f t="shared" si="13"/>
        <v>REB500</v>
      </c>
      <c r="R233" s="879"/>
      <c r="S233" s="870" t="str">
        <f t="shared" si="13"/>
        <v>Suitably Dimensioned</v>
      </c>
      <c r="T233" s="870"/>
      <c r="U233" s="870"/>
      <c r="V233" s="870"/>
      <c r="W233" s="264">
        <f t="shared" si="13"/>
        <v>87.331415424000014</v>
      </c>
      <c r="X233" s="263"/>
      <c r="Y233" s="28"/>
      <c r="Z233" s="28"/>
      <c r="AA233" s="28"/>
      <c r="AB233" s="221"/>
      <c r="AC233" s="221"/>
      <c r="AD233" s="221"/>
      <c r="AE233" s="221"/>
      <c r="AF233" s="253"/>
      <c r="AG233" s="222"/>
      <c r="AH233" s="222"/>
      <c r="AI233" s="475"/>
      <c r="AJ233" s="475"/>
      <c r="AK233" s="475"/>
      <c r="AL233" s="475"/>
      <c r="AM233" s="221"/>
      <c r="AN233" s="221"/>
      <c r="AO233" s="479"/>
      <c r="AP233" s="479"/>
      <c r="AQ233" s="221"/>
      <c r="AR233" s="221"/>
      <c r="AS233" s="221"/>
      <c r="AT233" s="221"/>
      <c r="AU233" s="221"/>
      <c r="AV233" s="326"/>
      <c r="AW233" s="30"/>
      <c r="AX233" s="30"/>
    </row>
    <row r="234" spans="1:50" ht="15.6" customHeight="1">
      <c r="A234" s="765"/>
      <c r="B234" s="765"/>
      <c r="C234" s="765"/>
      <c r="D234" s="870">
        <f t="shared" ref="D234:W234" si="14">D200</f>
        <v>2000</v>
      </c>
      <c r="E234" s="870"/>
      <c r="F234" s="870"/>
      <c r="G234" s="870"/>
      <c r="H234" s="959"/>
      <c r="I234" s="874"/>
      <c r="J234" s="874"/>
      <c r="K234" s="869">
        <f t="shared" si="14"/>
        <v>5</v>
      </c>
      <c r="L234" s="869"/>
      <c r="M234" s="869">
        <f t="shared" si="14"/>
        <v>500</v>
      </c>
      <c r="N234" s="869"/>
      <c r="O234" s="960">
        <f t="shared" si="14"/>
        <v>30</v>
      </c>
      <c r="P234" s="870"/>
      <c r="Q234" s="879"/>
      <c r="R234" s="879"/>
      <c r="S234" s="870" t="str">
        <f t="shared" si="14"/>
        <v>Suitably Dimensioned</v>
      </c>
      <c r="T234" s="870"/>
      <c r="U234" s="870"/>
      <c r="V234" s="870"/>
      <c r="W234" s="514">
        <f t="shared" si="14"/>
        <v>58.531415423999995</v>
      </c>
      <c r="X234" s="263"/>
      <c r="Y234" s="28"/>
      <c r="Z234" s="28"/>
      <c r="AA234" s="28"/>
      <c r="AB234" s="221"/>
      <c r="AC234" s="221"/>
      <c r="AD234" s="221"/>
      <c r="AE234" s="221"/>
      <c r="AF234" s="253"/>
      <c r="AG234" s="222"/>
      <c r="AH234" s="222"/>
      <c r="AI234" s="475"/>
      <c r="AJ234" s="475"/>
      <c r="AK234" s="475"/>
      <c r="AL234" s="475"/>
      <c r="AM234" s="221"/>
      <c r="AN234" s="221"/>
      <c r="AO234" s="479"/>
      <c r="AP234" s="479"/>
      <c r="AQ234" s="221"/>
      <c r="AR234" s="221"/>
      <c r="AS234" s="221"/>
      <c r="AT234" s="221"/>
      <c r="AU234" s="221"/>
      <c r="AV234" s="326"/>
      <c r="AW234" s="30"/>
      <c r="AX234" s="30"/>
    </row>
    <row r="235" spans="1:50" ht="15.6" customHeight="1">
      <c r="A235" s="765"/>
      <c r="B235" s="765"/>
      <c r="C235" s="765"/>
      <c r="D235" s="870" t="str">
        <f t="shared" ref="D235:W235" si="15">D201</f>
        <v>-</v>
      </c>
      <c r="E235" s="870"/>
      <c r="F235" s="870"/>
      <c r="G235" s="870"/>
      <c r="H235" s="959"/>
      <c r="I235" s="874"/>
      <c r="J235" s="874"/>
      <c r="K235" s="869" t="str">
        <f t="shared" si="15"/>
        <v>-</v>
      </c>
      <c r="L235" s="869"/>
      <c r="M235" s="869" t="str">
        <f t="shared" si="15"/>
        <v>-</v>
      </c>
      <c r="N235" s="869"/>
      <c r="O235" s="960" t="str">
        <f t="shared" si="15"/>
        <v>-</v>
      </c>
      <c r="P235" s="870"/>
      <c r="Q235" s="879"/>
      <c r="R235" s="879"/>
      <c r="S235" s="870" t="str">
        <f t="shared" si="15"/>
        <v>-</v>
      </c>
      <c r="T235" s="870"/>
      <c r="U235" s="870"/>
      <c r="V235" s="870"/>
      <c r="W235" s="514" t="str">
        <f t="shared" si="15"/>
        <v>-</v>
      </c>
      <c r="X235" s="263"/>
      <c r="Y235" s="28"/>
      <c r="Z235" s="28"/>
      <c r="AA235" s="28"/>
      <c r="AB235" s="221"/>
      <c r="AC235" s="221"/>
      <c r="AD235" s="221"/>
      <c r="AE235" s="221"/>
      <c r="AF235" s="253"/>
      <c r="AG235" s="222"/>
      <c r="AH235" s="222"/>
      <c r="AI235" s="475"/>
      <c r="AJ235" s="475"/>
      <c r="AK235" s="475"/>
      <c r="AL235" s="475"/>
      <c r="AM235" s="221"/>
      <c r="AN235" s="221"/>
      <c r="AO235" s="479"/>
      <c r="AP235" s="479"/>
      <c r="AQ235" s="221"/>
      <c r="AR235" s="221"/>
      <c r="AS235" s="221"/>
      <c r="AT235" s="221"/>
      <c r="AU235" s="221"/>
      <c r="AV235" s="326"/>
      <c r="AW235" s="30"/>
      <c r="AX235" s="30"/>
    </row>
    <row r="236" spans="1:50" ht="15.6" customHeight="1">
      <c r="A236" s="334" t="s">
        <v>936</v>
      </c>
      <c r="B236" s="335"/>
      <c r="C236" s="335"/>
      <c r="D236" s="335"/>
      <c r="E236" s="335"/>
      <c r="F236" s="335"/>
      <c r="G236" s="335"/>
      <c r="H236" s="335"/>
      <c r="I236" s="335"/>
      <c r="J236" s="335"/>
      <c r="K236" s="335"/>
      <c r="L236" s="335"/>
      <c r="M236" s="335"/>
      <c r="N236" s="335"/>
      <c r="O236" s="335"/>
      <c r="P236" s="335"/>
      <c r="Q236" s="335"/>
      <c r="R236" s="335"/>
      <c r="S236" s="335"/>
      <c r="T236" s="335"/>
      <c r="U236" s="335"/>
      <c r="V236" s="335"/>
      <c r="W236" s="336"/>
      <c r="X236" s="337"/>
      <c r="Y236" s="28"/>
      <c r="Z236" s="28"/>
      <c r="AA236" s="28"/>
      <c r="AB236" s="221"/>
      <c r="AC236" s="221"/>
      <c r="AD236" s="221"/>
      <c r="AE236" s="221"/>
      <c r="AF236" s="253"/>
      <c r="AG236" s="222"/>
      <c r="AH236" s="222"/>
      <c r="AI236" s="475"/>
      <c r="AJ236" s="475"/>
      <c r="AK236" s="475"/>
      <c r="AL236" s="475"/>
      <c r="AM236" s="221"/>
      <c r="AN236" s="221"/>
      <c r="AO236" s="479"/>
      <c r="AP236" s="479"/>
      <c r="AQ236" s="221"/>
      <c r="AR236" s="221"/>
      <c r="AS236" s="221"/>
      <c r="AT236" s="221"/>
      <c r="AU236" s="221"/>
      <c r="AV236" s="326"/>
      <c r="AW236" s="30"/>
      <c r="AX236" s="30"/>
    </row>
    <row r="237" spans="1:50" ht="28.2" customHeight="1">
      <c r="A237" s="955" t="s">
        <v>85</v>
      </c>
      <c r="B237" s="956"/>
      <c r="C237" s="957"/>
      <c r="D237" s="955" t="s">
        <v>86</v>
      </c>
      <c r="E237" s="956"/>
      <c r="F237" s="957"/>
      <c r="G237" s="955" t="s">
        <v>87</v>
      </c>
      <c r="H237" s="957"/>
      <c r="I237" s="955" t="s">
        <v>88</v>
      </c>
      <c r="J237" s="957"/>
      <c r="K237" s="955" t="s">
        <v>89</v>
      </c>
      <c r="L237" s="957"/>
      <c r="M237" s="955" t="s">
        <v>90</v>
      </c>
      <c r="N237" s="957"/>
      <c r="O237" s="955" t="s">
        <v>91</v>
      </c>
      <c r="P237" s="957"/>
      <c r="Q237" s="955" t="s">
        <v>92</v>
      </c>
      <c r="R237" s="957"/>
      <c r="S237" s="868" t="s">
        <v>93</v>
      </c>
      <c r="T237" s="868"/>
      <c r="U237" s="868"/>
      <c r="V237" s="868"/>
      <c r="W237" s="478" t="s">
        <v>94</v>
      </c>
      <c r="X237" s="319"/>
      <c r="Y237" s="28"/>
      <c r="Z237" s="28"/>
      <c r="AA237" s="28"/>
      <c r="AB237" s="221"/>
      <c r="AC237" s="221"/>
      <c r="AD237" s="221"/>
      <c r="AE237" s="221"/>
      <c r="AF237" s="253"/>
      <c r="AG237" s="222"/>
      <c r="AH237" s="222"/>
      <c r="AI237" s="475"/>
      <c r="AJ237" s="475"/>
      <c r="AK237" s="475"/>
      <c r="AL237" s="475"/>
      <c r="AM237" s="221"/>
      <c r="AN237" s="221"/>
      <c r="AO237" s="479"/>
      <c r="AP237" s="479"/>
      <c r="AQ237" s="221"/>
      <c r="AR237" s="221"/>
      <c r="AS237" s="221"/>
      <c r="AT237" s="221"/>
      <c r="AU237" s="221"/>
      <c r="AV237" s="326"/>
      <c r="AW237" s="30"/>
      <c r="AX237" s="30"/>
    </row>
    <row r="238" spans="1:50" ht="15.6" customHeight="1">
      <c r="A238" s="958" t="s">
        <v>955</v>
      </c>
      <c r="B238" s="958" t="s">
        <v>109</v>
      </c>
      <c r="C238" s="765"/>
      <c r="D238" s="870">
        <f t="shared" ref="D238:W238" si="16">D199</f>
        <v>3200</v>
      </c>
      <c r="E238" s="870"/>
      <c r="F238" s="871">
        <f t="shared" si="16"/>
        <v>1</v>
      </c>
      <c r="G238" s="870">
        <f t="shared" si="16"/>
        <v>120</v>
      </c>
      <c r="H238" s="959">
        <f t="shared" si="16"/>
        <v>6</v>
      </c>
      <c r="I238" s="874" t="str">
        <f t="shared" si="16"/>
        <v>PX</v>
      </c>
      <c r="J238" s="874"/>
      <c r="K238" s="869">
        <f t="shared" si="16"/>
        <v>8</v>
      </c>
      <c r="L238" s="869"/>
      <c r="M238" s="869">
        <f t="shared" si="16"/>
        <v>900</v>
      </c>
      <c r="N238" s="869"/>
      <c r="O238" s="870">
        <f t="shared" si="16"/>
        <v>10</v>
      </c>
      <c r="P238" s="870"/>
      <c r="Q238" s="879" t="str">
        <f t="shared" si="16"/>
        <v>REB500</v>
      </c>
      <c r="R238" s="879"/>
      <c r="S238" s="870" t="str">
        <f t="shared" si="16"/>
        <v>Suitably Dimensioned</v>
      </c>
      <c r="T238" s="870"/>
      <c r="U238" s="870"/>
      <c r="V238" s="870"/>
      <c r="W238" s="344">
        <f t="shared" si="16"/>
        <v>87.331415424000014</v>
      </c>
      <c r="X238" s="263"/>
      <c r="Y238" s="28"/>
      <c r="Z238" s="28"/>
      <c r="AA238" s="28"/>
      <c r="AB238" s="221"/>
      <c r="AC238" s="221"/>
      <c r="AD238" s="221"/>
      <c r="AE238" s="221"/>
      <c r="AF238" s="253"/>
      <c r="AG238" s="222"/>
      <c r="AH238" s="222"/>
      <c r="AI238" s="475"/>
      <c r="AJ238" s="475"/>
      <c r="AK238" s="475"/>
      <c r="AL238" s="475"/>
      <c r="AM238" s="221"/>
      <c r="AN238" s="221"/>
      <c r="AO238" s="479"/>
      <c r="AP238" s="479"/>
      <c r="AQ238" s="221"/>
      <c r="AR238" s="221"/>
      <c r="AS238" s="221"/>
      <c r="AT238" s="221"/>
      <c r="AU238" s="221"/>
      <c r="AV238" s="326"/>
      <c r="AW238" s="30"/>
      <c r="AX238" s="30"/>
    </row>
    <row r="239" spans="1:50" ht="15.6" customHeight="1">
      <c r="A239" s="765"/>
      <c r="B239" s="765"/>
      <c r="C239" s="765"/>
      <c r="D239" s="870">
        <f t="shared" ref="D239:W239" si="17">D200</f>
        <v>2000</v>
      </c>
      <c r="E239" s="870"/>
      <c r="F239" s="872"/>
      <c r="G239" s="870"/>
      <c r="H239" s="959"/>
      <c r="I239" s="874"/>
      <c r="J239" s="874"/>
      <c r="K239" s="869">
        <f t="shared" si="17"/>
        <v>5</v>
      </c>
      <c r="L239" s="869"/>
      <c r="M239" s="869">
        <f t="shared" si="17"/>
        <v>500</v>
      </c>
      <c r="N239" s="869"/>
      <c r="O239" s="870">
        <f t="shared" si="17"/>
        <v>30</v>
      </c>
      <c r="P239" s="870"/>
      <c r="Q239" s="879"/>
      <c r="R239" s="879"/>
      <c r="S239" s="870" t="str">
        <f t="shared" si="17"/>
        <v>Suitably Dimensioned</v>
      </c>
      <c r="T239" s="870"/>
      <c r="U239" s="870"/>
      <c r="V239" s="870"/>
      <c r="W239" s="344">
        <f t="shared" si="17"/>
        <v>58.531415423999995</v>
      </c>
      <c r="X239" s="263"/>
      <c r="Y239" s="28"/>
      <c r="Z239" s="28"/>
      <c r="AA239" s="28"/>
      <c r="AB239" s="221"/>
      <c r="AC239" s="221"/>
      <c r="AD239" s="221"/>
      <c r="AE239" s="221"/>
      <c r="AF239" s="253"/>
      <c r="AG239" s="222"/>
      <c r="AH239" s="222"/>
      <c r="AI239" s="475"/>
      <c r="AJ239" s="475"/>
      <c r="AK239" s="475"/>
      <c r="AL239" s="475"/>
      <c r="AM239" s="221"/>
      <c r="AN239" s="221"/>
      <c r="AO239" s="479"/>
      <c r="AP239" s="479"/>
      <c r="AQ239" s="221"/>
      <c r="AR239" s="221"/>
      <c r="AS239" s="221"/>
      <c r="AT239" s="221"/>
      <c r="AU239" s="221"/>
      <c r="AV239" s="326"/>
      <c r="AW239" s="30"/>
      <c r="AX239" s="30"/>
    </row>
    <row r="240" spans="1:50" ht="15.6" customHeight="1">
      <c r="A240" s="765"/>
      <c r="B240" s="765"/>
      <c r="C240" s="765"/>
      <c r="D240" s="870" t="str">
        <f t="shared" ref="D240:W240" si="18">D201</f>
        <v>-</v>
      </c>
      <c r="E240" s="870"/>
      <c r="F240" s="873"/>
      <c r="G240" s="870"/>
      <c r="H240" s="959"/>
      <c r="I240" s="874"/>
      <c r="J240" s="874"/>
      <c r="K240" s="869" t="str">
        <f t="shared" si="18"/>
        <v>-</v>
      </c>
      <c r="L240" s="869"/>
      <c r="M240" s="869" t="str">
        <f t="shared" si="18"/>
        <v>-</v>
      </c>
      <c r="N240" s="869"/>
      <c r="O240" s="870" t="str">
        <f t="shared" si="18"/>
        <v>-</v>
      </c>
      <c r="P240" s="870"/>
      <c r="Q240" s="879"/>
      <c r="R240" s="879"/>
      <c r="S240" s="870" t="str">
        <f t="shared" si="18"/>
        <v>-</v>
      </c>
      <c r="T240" s="870"/>
      <c r="U240" s="870"/>
      <c r="V240" s="870"/>
      <c r="W240" s="263" t="str">
        <f t="shared" si="18"/>
        <v>-</v>
      </c>
      <c r="X240" s="263"/>
      <c r="Y240" s="28"/>
      <c r="Z240" s="28"/>
      <c r="AA240" s="28"/>
      <c r="AB240" s="221"/>
      <c r="AC240" s="221"/>
      <c r="AD240" s="221"/>
      <c r="AE240" s="221"/>
      <c r="AF240" s="253"/>
      <c r="AG240" s="222"/>
      <c r="AH240" s="222"/>
      <c r="AI240" s="475"/>
      <c r="AJ240" s="475"/>
      <c r="AK240" s="475"/>
      <c r="AL240" s="475"/>
      <c r="AM240" s="221"/>
      <c r="AN240" s="221"/>
      <c r="AO240" s="479"/>
      <c r="AP240" s="479"/>
      <c r="AQ240" s="221"/>
      <c r="AR240" s="221"/>
      <c r="AS240" s="221"/>
      <c r="AT240" s="221"/>
      <c r="AU240" s="221"/>
      <c r="AV240" s="326"/>
      <c r="AW240" s="30"/>
      <c r="AX240" s="30"/>
    </row>
    <row r="241" spans="1:50" ht="15.6" hidden="1" customHeight="1">
      <c r="A241" s="334" t="s">
        <v>945</v>
      </c>
      <c r="B241" s="335"/>
      <c r="C241" s="335"/>
      <c r="D241" s="335"/>
      <c r="E241" s="335"/>
      <c r="F241" s="335"/>
      <c r="G241" s="335"/>
      <c r="H241" s="335"/>
      <c r="I241" s="335"/>
      <c r="J241" s="335"/>
      <c r="K241" s="335"/>
      <c r="L241" s="335"/>
      <c r="M241" s="335"/>
      <c r="N241" s="335"/>
      <c r="O241" s="335"/>
      <c r="P241" s="335"/>
      <c r="Q241" s="335"/>
      <c r="R241" s="335"/>
      <c r="S241" s="335"/>
      <c r="T241" s="335"/>
      <c r="U241" s="335"/>
      <c r="V241" s="335"/>
      <c r="W241" s="336"/>
      <c r="X241" s="337"/>
      <c r="Y241" s="325"/>
      <c r="Z241" s="28"/>
      <c r="AA241" s="28"/>
      <c r="AB241" s="221"/>
      <c r="AC241" s="221"/>
      <c r="AD241" s="221"/>
      <c r="AE241" s="221"/>
      <c r="AF241" s="253"/>
      <c r="AG241" s="222"/>
      <c r="AH241" s="222"/>
      <c r="AI241" s="475"/>
      <c r="AJ241" s="475"/>
      <c r="AK241" s="475"/>
      <c r="AL241" s="475"/>
      <c r="AM241" s="221"/>
      <c r="AN241" s="221"/>
      <c r="AO241" s="479"/>
      <c r="AP241" s="479"/>
      <c r="AQ241" s="221"/>
      <c r="AR241" s="221"/>
      <c r="AS241" s="221"/>
      <c r="AT241" s="221"/>
      <c r="AU241" s="221"/>
      <c r="AV241" s="326"/>
      <c r="AW241" s="30"/>
      <c r="AX241" s="30"/>
    </row>
    <row r="242" spans="1:50" ht="31.5" hidden="1" customHeight="1">
      <c r="A242" s="955" t="s">
        <v>85</v>
      </c>
      <c r="B242" s="956"/>
      <c r="C242" s="957"/>
      <c r="D242" s="955" t="s">
        <v>86</v>
      </c>
      <c r="E242" s="956"/>
      <c r="F242" s="957"/>
      <c r="G242" s="955" t="s">
        <v>87</v>
      </c>
      <c r="H242" s="957"/>
      <c r="I242" s="955" t="s">
        <v>88</v>
      </c>
      <c r="J242" s="957"/>
      <c r="K242" s="955" t="s">
        <v>89</v>
      </c>
      <c r="L242" s="957"/>
      <c r="M242" s="868" t="s">
        <v>100</v>
      </c>
      <c r="N242" s="868"/>
      <c r="O242" s="955" t="s">
        <v>91</v>
      </c>
      <c r="P242" s="957"/>
      <c r="Q242" s="955" t="s">
        <v>92</v>
      </c>
      <c r="R242" s="957"/>
      <c r="S242" s="868" t="s">
        <v>93</v>
      </c>
      <c r="T242" s="868"/>
      <c r="U242" s="868"/>
      <c r="V242" s="868"/>
      <c r="W242" s="319" t="s">
        <v>103</v>
      </c>
      <c r="X242" s="319"/>
      <c r="Y242" s="325"/>
      <c r="Z242" s="28"/>
      <c r="AA242" s="28"/>
      <c r="AB242" s="221"/>
      <c r="AC242" s="221"/>
      <c r="AD242" s="221"/>
      <c r="AE242" s="221"/>
      <c r="AF242" s="253"/>
      <c r="AG242" s="222"/>
      <c r="AH242" s="222"/>
      <c r="AI242" s="475"/>
      <c r="AJ242" s="475"/>
      <c r="AK242" s="475"/>
      <c r="AL242" s="475"/>
      <c r="AM242" s="221"/>
      <c r="AN242" s="221"/>
      <c r="AO242" s="479"/>
      <c r="AP242" s="479"/>
      <c r="AQ242" s="221"/>
      <c r="AR242" s="221"/>
      <c r="AS242" s="221"/>
      <c r="AT242" s="221"/>
      <c r="AU242" s="221"/>
      <c r="AV242" s="326"/>
      <c r="AW242" s="30"/>
      <c r="AX242" s="30"/>
    </row>
    <row r="243" spans="1:50" ht="15.6" hidden="1" customHeight="1">
      <c r="A243" s="765" t="str">
        <f>'BCU+PQM+AMMETER (3)'!A141</f>
        <v>T2</v>
      </c>
      <c r="B243" s="958" t="str">
        <f>'BCU+PQM+AMMETER (3)'!B141</f>
        <v>Core3</v>
      </c>
      <c r="C243" s="765"/>
      <c r="D243" s="870">
        <f>'BCU+PQM+AMMETER (3)'!D141</f>
        <v>2800</v>
      </c>
      <c r="E243" s="870"/>
      <c r="F243" s="871">
        <f>'BCU+PQM+AMMETER (3)'!F141</f>
        <v>1</v>
      </c>
      <c r="G243" s="870">
        <f>'CT-VT Burdens'!S21</f>
        <v>120</v>
      </c>
      <c r="H243" s="959">
        <f>'CT-VT Burdens'!S10</f>
        <v>6</v>
      </c>
      <c r="I243" s="874" t="str">
        <f>'BCU+PQM+AMMETER (3)'!I141</f>
        <v>0.5FS5</v>
      </c>
      <c r="J243" s="874"/>
      <c r="K243" s="869">
        <f>'BCU+PQM+AMMETER (3)'!K141</f>
        <v>4</v>
      </c>
      <c r="L243" s="869"/>
      <c r="M243" s="869">
        <f>'BCU+PQM+AMMETER (3)'!M141</f>
        <v>25</v>
      </c>
      <c r="N243" s="869"/>
      <c r="O243" s="876" t="s">
        <v>6</v>
      </c>
      <c r="P243" s="870"/>
      <c r="Q243" s="879" t="str">
        <f>'BCU+PQM+AMMETER (3)'!Q141</f>
        <v xml:space="preserve">REC670 CP-L96A IDM+ </v>
      </c>
      <c r="R243" s="879"/>
      <c r="S243" s="870" t="str">
        <f>'BCU+PQM+AMMETER (3)'!S141</f>
        <v>Suitably Dimensioned</v>
      </c>
      <c r="T243" s="870"/>
      <c r="U243" s="870"/>
      <c r="V243" s="870"/>
      <c r="W243" s="344">
        <f>'BCU+PQM+AMMETER (3)'!J45</f>
        <v>23.557996971331917</v>
      </c>
      <c r="X243" s="263"/>
      <c r="Y243" s="325"/>
      <c r="Z243" s="28"/>
      <c r="AA243" s="28"/>
      <c r="AB243" s="221"/>
      <c r="AC243" s="221"/>
      <c r="AD243" s="221"/>
      <c r="AE243" s="221"/>
      <c r="AF243" s="253"/>
      <c r="AG243" s="222"/>
      <c r="AH243" s="222"/>
      <c r="AI243" s="475"/>
      <c r="AJ243" s="475"/>
      <c r="AK243" s="475"/>
      <c r="AL243" s="475"/>
      <c r="AM243" s="221"/>
      <c r="AN243" s="221"/>
      <c r="AO243" s="479"/>
      <c r="AP243" s="479"/>
      <c r="AQ243" s="221"/>
      <c r="AR243" s="221"/>
      <c r="AS243" s="221"/>
      <c r="AT243" s="221"/>
      <c r="AU243" s="221"/>
      <c r="AV243" s="326"/>
      <c r="AW243" s="30"/>
      <c r="AX243" s="30"/>
    </row>
    <row r="244" spans="1:50" ht="15.6" hidden="1" customHeight="1">
      <c r="A244" s="765"/>
      <c r="B244" s="765"/>
      <c r="C244" s="765"/>
      <c r="D244" s="870">
        <f>'BCU+PQM+AMMETER (3)'!D142</f>
        <v>3200</v>
      </c>
      <c r="E244" s="870"/>
      <c r="F244" s="872"/>
      <c r="G244" s="870"/>
      <c r="H244" s="959"/>
      <c r="I244" s="874"/>
      <c r="J244" s="874"/>
      <c r="K244" s="869">
        <f>'BCU+PQM+AMMETER (3)'!K142</f>
        <v>5</v>
      </c>
      <c r="L244" s="869"/>
      <c r="M244" s="869">
        <f>'BCU+PQM+AMMETER (3)'!M142</f>
        <v>30</v>
      </c>
      <c r="N244" s="869"/>
      <c r="O244" s="876" t="s">
        <v>6</v>
      </c>
      <c r="P244" s="870"/>
      <c r="Q244" s="879"/>
      <c r="R244" s="879"/>
      <c r="S244" s="870" t="str">
        <f>'BCU+PQM+AMMETER (3)'!S142</f>
        <v>Suitably Dimensioned</v>
      </c>
      <c r="T244" s="870"/>
      <c r="U244" s="870"/>
      <c r="V244" s="870"/>
      <c r="W244" s="344">
        <f>'BCU+PQM+AMMETER (3)'!J86</f>
        <v>24.458343976905823</v>
      </c>
      <c r="X244" s="263"/>
      <c r="Y244" s="325"/>
      <c r="Z244" s="28"/>
      <c r="AA244" s="28"/>
      <c r="AB244" s="221"/>
      <c r="AC244" s="221"/>
      <c r="AD244" s="221"/>
      <c r="AE244" s="221"/>
      <c r="AF244" s="253"/>
      <c r="AG244" s="222"/>
      <c r="AH244" s="222"/>
      <c r="AI244" s="475"/>
      <c r="AJ244" s="475"/>
      <c r="AK244" s="475"/>
      <c r="AL244" s="475"/>
      <c r="AM244" s="221"/>
      <c r="AN244" s="221"/>
      <c r="AO244" s="479"/>
      <c r="AP244" s="479"/>
      <c r="AQ244" s="221"/>
      <c r="AR244" s="221"/>
      <c r="AS244" s="221"/>
      <c r="AT244" s="221"/>
      <c r="AU244" s="221"/>
      <c r="AV244" s="326"/>
      <c r="AW244" s="30"/>
      <c r="AX244" s="30"/>
    </row>
    <row r="245" spans="1:50" ht="15.6" hidden="1" customHeight="1">
      <c r="A245" s="765"/>
      <c r="B245" s="765"/>
      <c r="C245" s="765"/>
      <c r="D245" s="870" t="str">
        <f>'BCU+PQM+AMMETER (3)'!D143</f>
        <v>-</v>
      </c>
      <c r="E245" s="870"/>
      <c r="F245" s="873"/>
      <c r="G245" s="870"/>
      <c r="H245" s="959"/>
      <c r="I245" s="874"/>
      <c r="J245" s="874"/>
      <c r="K245" s="869" t="str">
        <f>'BCU+PQM+AMMETER (3)'!K143</f>
        <v>-</v>
      </c>
      <c r="L245" s="869"/>
      <c r="M245" s="869" t="str">
        <f>'BCU+PQM+AMMETER (3)'!M143</f>
        <v>-</v>
      </c>
      <c r="N245" s="869"/>
      <c r="O245" s="876" t="s">
        <v>6</v>
      </c>
      <c r="P245" s="870"/>
      <c r="Q245" s="879"/>
      <c r="R245" s="879"/>
      <c r="S245" s="870" t="str">
        <f>'BCU+PQM+AMMETER (3)'!S143</f>
        <v>-</v>
      </c>
      <c r="T245" s="870"/>
      <c r="U245" s="870"/>
      <c r="V245" s="870"/>
      <c r="W245" s="474" t="s">
        <v>6</v>
      </c>
      <c r="X245" s="263"/>
      <c r="Y245" s="325"/>
      <c r="Z245" s="28"/>
      <c r="AA245" s="28"/>
      <c r="AB245" s="221"/>
      <c r="AC245" s="221"/>
      <c r="AD245" s="221"/>
      <c r="AE245" s="221"/>
      <c r="AF245" s="253"/>
      <c r="AG245" s="222"/>
      <c r="AH245" s="222"/>
      <c r="AI245" s="475"/>
      <c r="AJ245" s="475"/>
      <c r="AK245" s="475"/>
      <c r="AL245" s="475"/>
      <c r="AM245" s="221"/>
      <c r="AN245" s="221"/>
      <c r="AO245" s="479"/>
      <c r="AP245" s="479"/>
      <c r="AQ245" s="221"/>
      <c r="AR245" s="221"/>
      <c r="AS245" s="221"/>
      <c r="AT245" s="221"/>
      <c r="AU245" s="221"/>
      <c r="AV245" s="326"/>
      <c r="AW245" s="30"/>
      <c r="AX245" s="30"/>
    </row>
    <row r="246" spans="1:50" ht="15.6" customHeight="1">
      <c r="A246" s="28"/>
      <c r="B246" s="28"/>
      <c r="C246" s="28"/>
      <c r="D246" s="245"/>
      <c r="E246" s="221"/>
      <c r="F246" s="221"/>
      <c r="G246" s="221"/>
      <c r="H246" s="253"/>
      <c r="I246" s="222"/>
      <c r="J246" s="222"/>
      <c r="K246" s="480"/>
      <c r="L246" s="475"/>
      <c r="M246" s="480"/>
      <c r="N246" s="475"/>
      <c r="O246" s="245"/>
      <c r="P246" s="221"/>
      <c r="Q246" s="479"/>
      <c r="R246" s="479"/>
      <c r="S246" s="245"/>
      <c r="T246" s="221"/>
      <c r="U246" s="221"/>
      <c r="V246" s="221"/>
      <c r="W246" s="245"/>
      <c r="X246" s="221"/>
      <c r="Y246" s="28"/>
      <c r="Z246" s="28"/>
      <c r="AA246" s="28"/>
      <c r="AB246" s="221"/>
      <c r="AC246" s="221"/>
      <c r="AD246" s="221"/>
      <c r="AE246" s="221"/>
      <c r="AF246" s="253"/>
      <c r="AG246" s="222"/>
      <c r="AH246" s="222"/>
      <c r="AI246" s="475"/>
      <c r="AJ246" s="475"/>
      <c r="AK246" s="475"/>
      <c r="AL246" s="475"/>
      <c r="AM246" s="221"/>
      <c r="AN246" s="221"/>
      <c r="AO246" s="479"/>
      <c r="AP246" s="479"/>
      <c r="AQ246" s="221"/>
      <c r="AR246" s="221"/>
      <c r="AS246" s="221"/>
      <c r="AT246" s="221"/>
      <c r="AU246" s="221"/>
      <c r="AV246" s="221"/>
      <c r="AW246" s="30"/>
      <c r="AX246" s="30"/>
    </row>
    <row r="247" spans="1:50" ht="15.6" customHeight="1">
      <c r="A247" s="320"/>
      <c r="B247" s="138"/>
      <c r="C247" s="138"/>
      <c r="D247" s="495"/>
      <c r="E247" s="321"/>
      <c r="F247" s="321"/>
      <c r="G247" s="321"/>
      <c r="H247" s="497"/>
      <c r="I247" s="322"/>
      <c r="J247" s="322"/>
      <c r="K247" s="496"/>
      <c r="L247" s="269"/>
      <c r="M247" s="496"/>
      <c r="N247" s="269"/>
      <c r="O247" s="495"/>
      <c r="P247" s="321"/>
      <c r="Q247" s="323"/>
      <c r="R247" s="323"/>
      <c r="S247" s="495"/>
      <c r="T247" s="321"/>
      <c r="U247" s="321"/>
      <c r="V247" s="321"/>
      <c r="W247" s="495"/>
      <c r="X247" s="324"/>
      <c r="Y247" s="28"/>
      <c r="Z247" s="28"/>
      <c r="AA247" s="28"/>
      <c r="AB247" s="221"/>
      <c r="AC247" s="221"/>
      <c r="AD247" s="221"/>
      <c r="AE247" s="221"/>
      <c r="AF247" s="253"/>
      <c r="AG247" s="222"/>
      <c r="AH247" s="222"/>
      <c r="AI247" s="475"/>
      <c r="AJ247" s="475"/>
      <c r="AK247" s="475"/>
      <c r="AL247" s="475"/>
      <c r="AM247" s="221"/>
      <c r="AN247" s="221"/>
      <c r="AO247" s="479"/>
      <c r="AP247" s="479"/>
      <c r="AQ247" s="221"/>
      <c r="AR247" s="221"/>
      <c r="AS247" s="221"/>
      <c r="AT247" s="221"/>
      <c r="AU247" s="221"/>
      <c r="AV247" s="221"/>
      <c r="AW247" s="30"/>
      <c r="AX247" s="30"/>
    </row>
    <row r="248" spans="1:50" ht="18" customHeight="1">
      <c r="A248" s="261"/>
      <c r="B248" s="207"/>
      <c r="C248" s="563"/>
      <c r="D248" s="563"/>
      <c r="E248" s="563"/>
      <c r="F248" s="563"/>
      <c r="G248" s="984" t="s">
        <v>114</v>
      </c>
      <c r="H248" s="984"/>
      <c r="I248" s="984"/>
      <c r="J248" s="984"/>
      <c r="K248" s="984"/>
      <c r="L248" s="984"/>
      <c r="M248" s="984"/>
      <c r="N248" s="984"/>
      <c r="O248" s="984"/>
      <c r="P248" s="984"/>
      <c r="Q248" s="984"/>
      <c r="R248" s="984"/>
      <c r="S248" s="984"/>
      <c r="T248" s="563"/>
      <c r="U248" s="229"/>
      <c r="V248" s="229"/>
      <c r="W248" s="229"/>
      <c r="X248" s="208"/>
      <c r="Y248" s="30"/>
      <c r="Z248" s="30"/>
    </row>
    <row r="249" spans="1:50" ht="18" customHeight="1">
      <c r="A249" s="338" t="s">
        <v>1064</v>
      </c>
      <c r="B249" s="339"/>
      <c r="C249" s="339"/>
      <c r="D249" s="339"/>
      <c r="E249" s="339"/>
      <c r="F249" s="339"/>
      <c r="G249" s="339"/>
      <c r="H249" s="339"/>
      <c r="I249" s="339"/>
      <c r="J249" s="339"/>
      <c r="K249" s="339"/>
      <c r="L249" s="339"/>
      <c r="M249" s="339"/>
      <c r="N249" s="339"/>
      <c r="O249" s="339"/>
      <c r="P249" s="339"/>
      <c r="Q249" s="339"/>
      <c r="R249" s="339"/>
      <c r="S249" s="339"/>
      <c r="T249" s="339"/>
      <c r="U249" s="339"/>
      <c r="V249" s="339"/>
      <c r="W249" s="340"/>
      <c r="X249" s="341"/>
      <c r="Y249" s="30"/>
      <c r="Z249" s="30"/>
    </row>
    <row r="250" spans="1:50" ht="28.8" customHeight="1">
      <c r="A250" s="853" t="s">
        <v>115</v>
      </c>
      <c r="B250" s="853"/>
      <c r="C250" s="853"/>
      <c r="D250" s="853"/>
      <c r="E250" s="853" t="s">
        <v>116</v>
      </c>
      <c r="F250" s="853"/>
      <c r="G250" s="853"/>
      <c r="H250" s="853"/>
      <c r="I250" s="853"/>
      <c r="J250" s="868" t="s">
        <v>117</v>
      </c>
      <c r="K250" s="868"/>
      <c r="L250" s="868" t="s">
        <v>88</v>
      </c>
      <c r="M250" s="868"/>
      <c r="N250" s="868" t="s">
        <v>100</v>
      </c>
      <c r="O250" s="868"/>
      <c r="P250" s="868"/>
      <c r="Q250" s="855" t="s">
        <v>118</v>
      </c>
      <c r="R250" s="985"/>
      <c r="S250" s="985"/>
      <c r="T250" s="985"/>
      <c r="U250" s="985"/>
      <c r="V250" s="986"/>
      <c r="W250" s="319" t="s">
        <v>119</v>
      </c>
      <c r="X250" s="256"/>
      <c r="Y250" s="30"/>
      <c r="Z250" s="30"/>
    </row>
    <row r="251" spans="1:50" ht="18" customHeight="1">
      <c r="A251" s="987" t="str">
        <f>'132KV CABLE FEEDER VT '!A134</f>
        <v>T1</v>
      </c>
      <c r="B251" s="990" t="s">
        <v>385</v>
      </c>
      <c r="C251" s="991"/>
      <c r="D251" s="992"/>
      <c r="E251" s="342">
        <f>'132KV CABLE FEEDER VT '!E134</f>
        <v>132</v>
      </c>
      <c r="F251" s="246" t="str">
        <f>'132KV CABLE FEEDER VT '!F134</f>
        <v>/ √3</v>
      </c>
      <c r="G251" s="343" t="str">
        <f>'132KV CABLE FEEDER VT '!G134</f>
        <v>/</v>
      </c>
      <c r="H251" s="243">
        <f>'132KV CABLE FEEDER VT '!H134</f>
        <v>0.11</v>
      </c>
      <c r="I251" s="246" t="str">
        <f>'132KV CABLE FEEDER VT '!I134</f>
        <v>/ √3</v>
      </c>
      <c r="J251" s="870">
        <f>'132KV CABLE FEEDER VT '!J134</f>
        <v>120</v>
      </c>
      <c r="K251" s="1038">
        <f>'132KV CABLE FEEDER VT '!K134</f>
        <v>2.5</v>
      </c>
      <c r="L251" s="958" t="str">
        <f>'132KV CABLE FEEDER VT '!L134</f>
        <v>0.5/3P</v>
      </c>
      <c r="M251" s="958"/>
      <c r="N251" s="958">
        <f>'132KV CABLE FEEDER VT '!N134</f>
        <v>100</v>
      </c>
      <c r="O251" s="958"/>
      <c r="P251" s="958"/>
      <c r="Q251" s="819" t="str">
        <f>'132KV CABLE FEEDER VT '!Q134</f>
        <v>Suitably Dimensioned</v>
      </c>
      <c r="R251" s="1037"/>
      <c r="S251" s="1037"/>
      <c r="T251" s="1037"/>
      <c r="U251" s="1037"/>
      <c r="V251" s="820"/>
      <c r="W251" s="344">
        <f>'132KV CABLE FEEDER VT '!G39</f>
        <v>6.0408602799999995</v>
      </c>
      <c r="X251" s="209"/>
      <c r="Y251" s="30"/>
      <c r="Z251" s="30"/>
    </row>
    <row r="252" spans="1:50" ht="18" customHeight="1">
      <c r="A252" s="988"/>
      <c r="B252" s="990" t="s">
        <v>506</v>
      </c>
      <c r="C252" s="991"/>
      <c r="D252" s="992"/>
      <c r="E252" s="342">
        <f>'132KV CABLE FEEDER VT '!E135</f>
        <v>132</v>
      </c>
      <c r="F252" s="246" t="str">
        <f>'132KV CABLE FEEDER VT '!F135</f>
        <v>/ √3</v>
      </c>
      <c r="G252" s="343" t="str">
        <f>'132KV CABLE FEEDER VT '!G135</f>
        <v>/</v>
      </c>
      <c r="H252" s="243">
        <f>'132KV CABLE FEEDER VT '!H135</f>
        <v>0.11</v>
      </c>
      <c r="I252" s="246" t="str">
        <f>'132KV CABLE FEEDER VT '!I135</f>
        <v>/ √3</v>
      </c>
      <c r="J252" s="870"/>
      <c r="K252" s="958"/>
      <c r="L252" s="958" t="str">
        <f>'132KV CABLE FEEDER VT '!L135</f>
        <v>0.5/3P</v>
      </c>
      <c r="M252" s="958"/>
      <c r="N252" s="958">
        <f>'132KV CABLE FEEDER VT '!N135</f>
        <v>100</v>
      </c>
      <c r="O252" s="958"/>
      <c r="P252" s="958"/>
      <c r="Q252" s="819" t="str">
        <f>'132KV CABLE FEEDER VT '!Q135</f>
        <v>Suitably Dimensioned</v>
      </c>
      <c r="R252" s="1037"/>
      <c r="S252" s="1037"/>
      <c r="T252" s="1037"/>
      <c r="U252" s="1037"/>
      <c r="V252" s="820"/>
      <c r="W252" s="344">
        <f>'132KV CABLE FEEDER VT '!G81</f>
        <v>6.0408602799999995</v>
      </c>
      <c r="X252" s="209"/>
      <c r="Y252" s="30"/>
      <c r="Z252" s="30"/>
    </row>
    <row r="253" spans="1:50" ht="18" customHeight="1">
      <c r="A253" s="989"/>
      <c r="B253" s="990" t="s">
        <v>6</v>
      </c>
      <c r="C253" s="991"/>
      <c r="D253" s="992"/>
      <c r="E253" s="342" t="str">
        <f>'132KV CABLE FEEDER VT '!E136</f>
        <v>-</v>
      </c>
      <c r="F253" s="246" t="str">
        <f>'132KV CABLE FEEDER VT '!F136</f>
        <v>-</v>
      </c>
      <c r="G253" s="343" t="str">
        <f>'132KV CABLE FEEDER VT '!G136</f>
        <v>-</v>
      </c>
      <c r="H253" s="243" t="str">
        <f>'132KV CABLE FEEDER VT '!H136</f>
        <v>-</v>
      </c>
      <c r="I253" s="246" t="str">
        <f>'132KV CABLE FEEDER VT '!I136</f>
        <v>-</v>
      </c>
      <c r="J253" s="870"/>
      <c r="K253" s="958"/>
      <c r="L253" s="958" t="str">
        <f>'132KV CABLE FEEDER VT '!L136</f>
        <v>-</v>
      </c>
      <c r="M253" s="958"/>
      <c r="N253" s="958" t="str">
        <f>'132KV CABLE FEEDER VT '!N136</f>
        <v>-</v>
      </c>
      <c r="O253" s="958"/>
      <c r="P253" s="958"/>
      <c r="Q253" s="819" t="str">
        <f>'132KV CABLE FEEDER VT '!Q136</f>
        <v>-</v>
      </c>
      <c r="R253" s="1037"/>
      <c r="S253" s="1037"/>
      <c r="T253" s="1037"/>
      <c r="U253" s="1037"/>
      <c r="V253" s="820"/>
      <c r="W253" s="344" t="s">
        <v>6</v>
      </c>
      <c r="X253" s="209"/>
      <c r="Y253" s="30"/>
      <c r="Z253" s="30"/>
    </row>
    <row r="254" spans="1:50" ht="18" hidden="1" customHeight="1">
      <c r="A254" s="539"/>
      <c r="B254" s="27"/>
      <c r="C254" s="245"/>
      <c r="D254" s="245"/>
      <c r="E254" s="27"/>
      <c r="F254" s="27"/>
      <c r="G254" s="191"/>
      <c r="H254" s="211"/>
      <c r="I254" s="27"/>
      <c r="J254" s="221"/>
      <c r="K254" s="27"/>
      <c r="L254" s="27"/>
      <c r="M254" s="27"/>
      <c r="N254" s="27"/>
      <c r="O254" s="27"/>
      <c r="P254" s="27"/>
      <c r="Q254" s="27"/>
      <c r="R254" s="27"/>
      <c r="S254" s="27"/>
      <c r="T254" s="27"/>
      <c r="U254" s="27"/>
      <c r="V254" s="27"/>
      <c r="W254" s="211"/>
      <c r="X254" s="177"/>
      <c r="Y254" s="30"/>
      <c r="Z254" s="30"/>
    </row>
    <row r="255" spans="1:50" ht="18" hidden="1" customHeight="1">
      <c r="A255" s="313" t="s">
        <v>914</v>
      </c>
      <c r="B255" s="481"/>
      <c r="C255" s="481"/>
      <c r="D255" s="481"/>
      <c r="E255" s="481"/>
      <c r="F255" s="481"/>
      <c r="G255" s="481"/>
      <c r="H255" s="481"/>
      <c r="I255" s="481"/>
      <c r="J255" s="481"/>
      <c r="K255" s="481"/>
      <c r="L255" s="481"/>
      <c r="M255" s="481"/>
      <c r="N255" s="481"/>
      <c r="O255" s="481"/>
      <c r="P255" s="481"/>
      <c r="Q255" s="481"/>
      <c r="R255" s="481"/>
      <c r="S255" s="481"/>
      <c r="T255" s="481"/>
      <c r="U255" s="481"/>
      <c r="V255" s="481"/>
      <c r="W255" s="482"/>
      <c r="X255" s="314"/>
      <c r="Y255" s="30"/>
      <c r="Z255" s="30"/>
    </row>
    <row r="256" spans="1:50" ht="30" hidden="1" customHeight="1">
      <c r="A256" s="1039" t="s">
        <v>115</v>
      </c>
      <c r="B256" s="982"/>
      <c r="C256" s="982"/>
      <c r="D256" s="982"/>
      <c r="E256" s="982" t="s">
        <v>116</v>
      </c>
      <c r="F256" s="982"/>
      <c r="G256" s="982"/>
      <c r="H256" s="982"/>
      <c r="I256" s="982"/>
      <c r="J256" s="983" t="s">
        <v>117</v>
      </c>
      <c r="K256" s="983"/>
      <c r="L256" s="983" t="s">
        <v>88</v>
      </c>
      <c r="M256" s="983"/>
      <c r="N256" s="983" t="s">
        <v>100</v>
      </c>
      <c r="O256" s="983"/>
      <c r="P256" s="983"/>
      <c r="Q256" s="982" t="s">
        <v>118</v>
      </c>
      <c r="R256" s="982"/>
      <c r="S256" s="982"/>
      <c r="T256" s="982"/>
      <c r="U256" s="982"/>
      <c r="V256" s="982"/>
      <c r="W256" s="635" t="s">
        <v>119</v>
      </c>
      <c r="X256" s="641"/>
      <c r="Y256" s="30"/>
      <c r="Z256" s="30"/>
    </row>
    <row r="257" spans="1:26" ht="18" hidden="1" customHeight="1">
      <c r="A257" s="685" t="str">
        <f>FEEDER!A132</f>
        <v>T1</v>
      </c>
      <c r="B257" s="993" t="str">
        <f>FEEDER!C132</f>
        <v>Core1</v>
      </c>
      <c r="C257" s="993"/>
      <c r="D257" s="993"/>
      <c r="E257" s="27">
        <f>FEEDER!E132</f>
        <v>400</v>
      </c>
      <c r="F257" s="27" t="str">
        <f>FEEDER!F132</f>
        <v>/ √3</v>
      </c>
      <c r="G257" s="191" t="str">
        <f>FEEDER!G132</f>
        <v>/</v>
      </c>
      <c r="H257" s="211">
        <f>FEEDER!H132</f>
        <v>0.11</v>
      </c>
      <c r="I257" s="27" t="str">
        <f>FEEDER!I132</f>
        <v>/ √3</v>
      </c>
      <c r="J257" s="713">
        <f>'CT-VT Burdens'!S21</f>
        <v>120</v>
      </c>
      <c r="K257" s="795">
        <f>'CT-VT Burdens'!S10</f>
        <v>6</v>
      </c>
      <c r="L257" s="684" t="str">
        <f>FEEDER!L132</f>
        <v>0.5/3P</v>
      </c>
      <c r="M257" s="684"/>
      <c r="N257" s="684">
        <f>FEEDER!N132</f>
        <v>50</v>
      </c>
      <c r="O257" s="684"/>
      <c r="P257" s="684"/>
      <c r="Q257" s="684" t="str">
        <f>FEEDER!Q132</f>
        <v>Suitably Dimensioned</v>
      </c>
      <c r="R257" s="684"/>
      <c r="S257" s="684"/>
      <c r="T257" s="684"/>
      <c r="U257" s="684"/>
      <c r="V257" s="684"/>
      <c r="W257" s="211">
        <f>FEEDER!G39</f>
        <v>2.85694012</v>
      </c>
      <c r="X257" s="177"/>
      <c r="Y257" s="30"/>
      <c r="Z257" s="30"/>
    </row>
    <row r="258" spans="1:26" ht="18" hidden="1" customHeight="1">
      <c r="A258" s="685"/>
      <c r="B258" s="993" t="str">
        <f>FEEDER!C133</f>
        <v>Core2</v>
      </c>
      <c r="C258" s="993"/>
      <c r="D258" s="993"/>
      <c r="E258" s="27">
        <f>FEEDER!E133</f>
        <v>400</v>
      </c>
      <c r="F258" s="27" t="str">
        <f>FEEDER!F133</f>
        <v>/ √3</v>
      </c>
      <c r="G258" s="191" t="str">
        <f>FEEDER!G133</f>
        <v>/</v>
      </c>
      <c r="H258" s="211">
        <f>FEEDER!H133</f>
        <v>0.11</v>
      </c>
      <c r="I258" s="27" t="str">
        <f>FEEDER!I133</f>
        <v>/ √3</v>
      </c>
      <c r="J258" s="713"/>
      <c r="K258" s="795"/>
      <c r="L258" s="684" t="str">
        <f>FEEDER!L133</f>
        <v>0.2S</v>
      </c>
      <c r="M258" s="684"/>
      <c r="N258" s="684">
        <f>FEEDER!N133</f>
        <v>50</v>
      </c>
      <c r="O258" s="684"/>
      <c r="P258" s="684"/>
      <c r="Q258" s="684" t="str">
        <f>FEEDER!Q133</f>
        <v>Suitably Dimensioned</v>
      </c>
      <c r="R258" s="684"/>
      <c r="S258" s="684"/>
      <c r="T258" s="684"/>
      <c r="U258" s="684"/>
      <c r="V258" s="684"/>
      <c r="W258" s="211">
        <f>FEEDER!G80</f>
        <v>2.5969401199999997</v>
      </c>
      <c r="X258" s="177"/>
      <c r="Y258" s="30"/>
      <c r="Z258" s="30"/>
    </row>
    <row r="259" spans="1:26" ht="18" hidden="1" customHeight="1">
      <c r="A259" s="685"/>
      <c r="B259" s="30"/>
      <c r="C259" s="242" t="str">
        <f>FEEDER!C134</f>
        <v>Core3</v>
      </c>
      <c r="D259" s="242"/>
      <c r="E259" s="27">
        <f>FEEDER!E134</f>
        <v>400</v>
      </c>
      <c r="F259" s="27" t="str">
        <f>FEEDER!F134</f>
        <v>/ √3</v>
      </c>
      <c r="G259" s="191" t="str">
        <f>'[2]Line VT (2)'!G137</f>
        <v>/</v>
      </c>
      <c r="H259" s="211">
        <f>FEEDER!H134</f>
        <v>0.11</v>
      </c>
      <c r="I259" s="27" t="str">
        <f>FEEDER!I134</f>
        <v>/ √3</v>
      </c>
      <c r="J259" s="713"/>
      <c r="K259" s="795"/>
      <c r="L259" s="684" t="str">
        <f>FEEDER!L134</f>
        <v>0.2S</v>
      </c>
      <c r="M259" s="684"/>
      <c r="N259" s="684">
        <f>FEEDER!N134</f>
        <v>50</v>
      </c>
      <c r="O259" s="684"/>
      <c r="P259" s="684"/>
      <c r="Q259" s="684" t="str">
        <f>FEEDER!Q134</f>
        <v>Suitably Dimensioned</v>
      </c>
      <c r="R259" s="684"/>
      <c r="S259" s="684"/>
      <c r="T259" s="684"/>
      <c r="U259" s="684"/>
      <c r="V259" s="684"/>
      <c r="W259" s="211">
        <f>FEEDER!G117</f>
        <v>2.5969401199999997</v>
      </c>
      <c r="X259" s="177"/>
      <c r="Y259" s="30"/>
      <c r="Z259" s="30"/>
    </row>
    <row r="260" spans="1:26" ht="18" hidden="1" customHeight="1">
      <c r="A260" s="685"/>
      <c r="B260" s="481"/>
      <c r="C260" s="481"/>
      <c r="D260" s="481"/>
      <c r="E260" s="481"/>
      <c r="F260" s="481"/>
      <c r="G260" s="481"/>
      <c r="H260" s="481"/>
      <c r="I260" s="481"/>
      <c r="J260" s="713"/>
      <c r="K260" s="795"/>
      <c r="L260" s="481"/>
      <c r="M260" s="481"/>
      <c r="N260" s="481"/>
      <c r="O260" s="481"/>
      <c r="P260" s="481"/>
      <c r="Q260" s="481"/>
      <c r="R260" s="481"/>
      <c r="S260" s="481"/>
      <c r="T260" s="481"/>
      <c r="U260" s="481"/>
      <c r="V260" s="481"/>
      <c r="W260" s="482"/>
      <c r="X260" s="314"/>
      <c r="Y260" s="30"/>
      <c r="Z260" s="30"/>
    </row>
    <row r="261" spans="1:26" ht="18" hidden="1" customHeight="1">
      <c r="A261" s="685"/>
      <c r="B261" s="18"/>
      <c r="C261" s="18"/>
      <c r="D261" s="18"/>
      <c r="E261" s="982" t="s">
        <v>116</v>
      </c>
      <c r="F261" s="982"/>
      <c r="G261" s="982"/>
      <c r="H261" s="982"/>
      <c r="I261" s="982"/>
      <c r="J261" s="713"/>
      <c r="K261" s="795"/>
      <c r="L261" s="983" t="s">
        <v>88</v>
      </c>
      <c r="M261" s="983"/>
      <c r="N261" s="983" t="s">
        <v>100</v>
      </c>
      <c r="O261" s="983"/>
      <c r="P261" s="983"/>
      <c r="Q261" s="982" t="s">
        <v>118</v>
      </c>
      <c r="R261" s="982"/>
      <c r="S261" s="982"/>
      <c r="T261" s="982"/>
      <c r="U261" s="982"/>
      <c r="V261" s="982"/>
      <c r="W261" s="635" t="s">
        <v>119</v>
      </c>
      <c r="X261" s="641"/>
      <c r="Y261" s="30"/>
      <c r="Z261" s="30"/>
    </row>
    <row r="262" spans="1:26" ht="18" hidden="1" customHeight="1">
      <c r="A262" s="685"/>
      <c r="B262" s="232"/>
      <c r="C262" s="242" t="str">
        <f>SGT!C144</f>
        <v>Core1</v>
      </c>
      <c r="D262" s="242"/>
      <c r="E262" s="27">
        <f>SGT!E144</f>
        <v>400</v>
      </c>
      <c r="F262" s="27" t="str">
        <f>SGT!F144</f>
        <v>/ √3</v>
      </c>
      <c r="G262" s="191" t="str">
        <f>SGT!G144</f>
        <v>/</v>
      </c>
      <c r="H262" s="211">
        <f>SGT!H144</f>
        <v>0.11</v>
      </c>
      <c r="I262" s="27" t="str">
        <f>SGT!I144</f>
        <v>/ √3</v>
      </c>
      <c r="J262" s="713"/>
      <c r="K262" s="795"/>
      <c r="L262" s="684" t="str">
        <f>SGT!L144</f>
        <v>3P</v>
      </c>
      <c r="M262" s="684"/>
      <c r="N262" s="684">
        <f>SGT!N144</f>
        <v>50</v>
      </c>
      <c r="O262" s="684"/>
      <c r="P262" s="684"/>
      <c r="Q262" s="684" t="str">
        <f>SGT!Q144</f>
        <v>Suitably Dimensioned</v>
      </c>
      <c r="R262" s="684"/>
      <c r="S262" s="684"/>
      <c r="T262" s="684"/>
      <c r="U262" s="684"/>
      <c r="V262" s="684"/>
      <c r="W262" s="211">
        <f>SGT!G40</f>
        <v>2.85694012</v>
      </c>
      <c r="X262" s="177"/>
      <c r="Y262" s="30"/>
      <c r="Z262" s="30"/>
    </row>
    <row r="263" spans="1:26" ht="18" hidden="1" customHeight="1">
      <c r="A263" s="685"/>
      <c r="B263" s="232"/>
      <c r="C263" s="242" t="str">
        <f>SGT!C145</f>
        <v>-</v>
      </c>
      <c r="D263" s="242"/>
      <c r="E263" s="27" t="str">
        <f>SGT!E145</f>
        <v>-</v>
      </c>
      <c r="F263" s="27">
        <f>SGT!F145</f>
        <v>0</v>
      </c>
      <c r="G263" s="191" t="str">
        <f>SGT!G145</f>
        <v>-</v>
      </c>
      <c r="H263" s="211" t="str">
        <f>SGT!H145</f>
        <v>-</v>
      </c>
      <c r="I263" s="27">
        <f>SGT!I145</f>
        <v>0</v>
      </c>
      <c r="J263" s="713"/>
      <c r="K263" s="795"/>
      <c r="L263" s="684" t="str">
        <f>SGT!L145</f>
        <v>-</v>
      </c>
      <c r="M263" s="684"/>
      <c r="N263" s="684" t="str">
        <f>SGT!N145</f>
        <v>-</v>
      </c>
      <c r="O263" s="684"/>
      <c r="P263" s="684"/>
      <c r="Q263" s="684" t="str">
        <f>SGT!Q145</f>
        <v>-</v>
      </c>
      <c r="R263" s="684"/>
      <c r="S263" s="684"/>
      <c r="T263" s="684"/>
      <c r="U263" s="684"/>
      <c r="V263" s="684"/>
      <c r="W263" s="211">
        <f>SGT!G83</f>
        <v>6.3469401199999993</v>
      </c>
      <c r="X263" s="177"/>
    </row>
    <row r="264" spans="1:26" ht="18" hidden="1" customHeight="1">
      <c r="A264" s="685"/>
      <c r="B264" s="993" t="str">
        <f>FEEDER!C134</f>
        <v>Core3</v>
      </c>
      <c r="C264" s="993"/>
      <c r="D264" s="993"/>
      <c r="E264" s="27">
        <f>FEEDER!E134</f>
        <v>400</v>
      </c>
      <c r="F264" s="27" t="str">
        <f>FEEDER!F134</f>
        <v>/ √3</v>
      </c>
      <c r="G264" s="191" t="str">
        <f>FEEDER!G134</f>
        <v>/</v>
      </c>
      <c r="H264" s="211">
        <f>FEEDER!H134</f>
        <v>0.11</v>
      </c>
      <c r="I264" s="27" t="str">
        <f>FEEDER!I134</f>
        <v>/ √3</v>
      </c>
      <c r="J264" s="713"/>
      <c r="K264" s="795"/>
      <c r="L264" s="684" t="str">
        <f>FEEDER!L134</f>
        <v>0.2S</v>
      </c>
      <c r="M264" s="684"/>
      <c r="N264" s="684">
        <f>FEEDER!N134</f>
        <v>50</v>
      </c>
      <c r="O264" s="684"/>
      <c r="P264" s="684"/>
      <c r="Q264" s="684" t="str">
        <f>FEEDER!Q134</f>
        <v>Suitably Dimensioned</v>
      </c>
      <c r="R264" s="684"/>
      <c r="S264" s="684"/>
      <c r="T264" s="684"/>
      <c r="U264" s="684"/>
      <c r="V264" s="684"/>
      <c r="W264" s="211">
        <f>FEEDER!G117</f>
        <v>2.5969401199999997</v>
      </c>
      <c r="X264" s="177"/>
    </row>
    <row r="265" spans="1:26" hidden="1">
      <c r="A265" s="487"/>
      <c r="B265" s="480"/>
      <c r="C265" s="245"/>
      <c r="D265" s="245"/>
      <c r="E265" s="27"/>
      <c r="F265" s="27"/>
      <c r="G265" s="191"/>
      <c r="H265" s="211"/>
      <c r="I265" s="27"/>
      <c r="J265" s="27"/>
      <c r="K265" s="27"/>
      <c r="L265" s="27"/>
      <c r="M265" s="27"/>
      <c r="N265" s="27"/>
      <c r="O265" s="27"/>
      <c r="P265" s="27"/>
      <c r="Q265" s="27"/>
      <c r="R265" s="27"/>
      <c r="S265" s="27"/>
      <c r="T265" s="27"/>
      <c r="U265" s="27"/>
      <c r="V265" s="27"/>
      <c r="W265" s="27"/>
      <c r="X265" s="177"/>
    </row>
    <row r="266" spans="1:26" ht="22.8" hidden="1" customHeight="1">
      <c r="A266" s="313" t="s">
        <v>910</v>
      </c>
      <c r="B266" s="481"/>
      <c r="C266" s="481"/>
      <c r="D266" s="481"/>
      <c r="E266" s="481"/>
      <c r="F266" s="481"/>
      <c r="G266" s="481"/>
      <c r="H266" s="481"/>
      <c r="I266" s="481"/>
      <c r="J266" s="481"/>
      <c r="K266" s="481"/>
      <c r="L266" s="481"/>
      <c r="M266" s="481"/>
      <c r="N266" s="481"/>
      <c r="O266" s="481"/>
      <c r="P266" s="481"/>
      <c r="Q266" s="481"/>
      <c r="R266" s="481"/>
      <c r="S266" s="481"/>
      <c r="T266" s="481"/>
      <c r="U266" s="481"/>
      <c r="V266" s="481"/>
      <c r="W266" s="482"/>
      <c r="X266" s="314"/>
      <c r="Y266" s="30"/>
      <c r="Z266" s="30" t="s">
        <v>121</v>
      </c>
    </row>
    <row r="267" spans="1:26" ht="30" hidden="1" customHeight="1">
      <c r="A267" s="1039" t="s">
        <v>115</v>
      </c>
      <c r="B267" s="982"/>
      <c r="C267" s="982"/>
      <c r="D267" s="982"/>
      <c r="E267" s="982" t="s">
        <v>116</v>
      </c>
      <c r="F267" s="982"/>
      <c r="G267" s="982"/>
      <c r="H267" s="982"/>
      <c r="I267" s="982"/>
      <c r="J267" s="983" t="s">
        <v>117</v>
      </c>
      <c r="K267" s="983"/>
      <c r="L267" s="983" t="s">
        <v>88</v>
      </c>
      <c r="M267" s="983"/>
      <c r="N267" s="983" t="s">
        <v>100</v>
      </c>
      <c r="O267" s="983"/>
      <c r="P267" s="983"/>
      <c r="Q267" s="982" t="s">
        <v>118</v>
      </c>
      <c r="R267" s="982"/>
      <c r="S267" s="982"/>
      <c r="T267" s="982"/>
      <c r="U267" s="982"/>
      <c r="V267" s="982"/>
      <c r="W267" s="635" t="s">
        <v>119</v>
      </c>
      <c r="X267" s="641"/>
      <c r="Y267" s="30"/>
      <c r="Z267" s="30"/>
    </row>
    <row r="268" spans="1:26" ht="18" hidden="1" customHeight="1">
      <c r="A268" s="698" t="str">
        <f>SGT!A144</f>
        <v>T1</v>
      </c>
      <c r="B268" s="993" t="str">
        <f>SGT!C144</f>
        <v>Core1</v>
      </c>
      <c r="C268" s="993"/>
      <c r="D268" s="993"/>
      <c r="E268" s="27">
        <f>SGT!E144</f>
        <v>400</v>
      </c>
      <c r="F268" s="27" t="str">
        <f>SGT!F144</f>
        <v>/ √3</v>
      </c>
      <c r="G268" s="191" t="str">
        <f>SGT!G144</f>
        <v>/</v>
      </c>
      <c r="H268" s="211">
        <f>SGT!H144</f>
        <v>0.11</v>
      </c>
      <c r="I268" s="27" t="str">
        <f>SGT!I144</f>
        <v>/ √3</v>
      </c>
      <c r="J268" s="713">
        <f>'CT-VT Burdens'!S21</f>
        <v>120</v>
      </c>
      <c r="K268" s="795">
        <f>'CT-VT Burdens'!S10</f>
        <v>6</v>
      </c>
      <c r="L268" s="684" t="str">
        <f>SGT!L144</f>
        <v>3P</v>
      </c>
      <c r="M268" s="684"/>
      <c r="N268" s="684">
        <f>SGT!N144</f>
        <v>50</v>
      </c>
      <c r="O268" s="684"/>
      <c r="P268" s="684"/>
      <c r="Q268" s="684" t="str">
        <f>SGT!Q144</f>
        <v>Suitably Dimensioned</v>
      </c>
      <c r="R268" s="684"/>
      <c r="S268" s="684"/>
      <c r="T268" s="684"/>
      <c r="U268" s="684"/>
      <c r="V268" s="684"/>
      <c r="W268" s="211">
        <f>SGT!G40</f>
        <v>2.85694012</v>
      </c>
      <c r="X268" s="177"/>
      <c r="Y268" s="30"/>
      <c r="Z268" s="30"/>
    </row>
    <row r="269" spans="1:26" ht="18" hidden="1" customHeight="1">
      <c r="A269" s="698"/>
      <c r="B269" s="993" t="str">
        <f>SGT!C145</f>
        <v>-</v>
      </c>
      <c r="C269" s="993"/>
      <c r="D269" s="993"/>
      <c r="E269" s="684" t="str">
        <f>SGT!E145</f>
        <v>-</v>
      </c>
      <c r="F269" s="684"/>
      <c r="G269" s="191" t="s">
        <v>6</v>
      </c>
      <c r="H269" s="795" t="s">
        <v>6</v>
      </c>
      <c r="I269" s="795"/>
      <c r="J269" s="684"/>
      <c r="K269" s="684"/>
      <c r="L269" s="684" t="s">
        <v>6</v>
      </c>
      <c r="M269" s="684"/>
      <c r="N269" s="684" t="s">
        <v>6</v>
      </c>
      <c r="O269" s="684"/>
      <c r="P269" s="684"/>
      <c r="Q269" s="684" t="s">
        <v>6</v>
      </c>
      <c r="R269" s="684"/>
      <c r="S269" s="684"/>
      <c r="T269" s="684"/>
      <c r="U269" s="684"/>
      <c r="V269" s="684"/>
      <c r="W269" s="211" t="s">
        <v>6</v>
      </c>
      <c r="X269" s="177"/>
      <c r="Y269" s="30"/>
      <c r="Z269" s="30"/>
    </row>
    <row r="270" spans="1:26" ht="18" hidden="1" customHeight="1">
      <c r="A270" s="698"/>
      <c r="B270" s="993" t="str">
        <f>SGT!C146</f>
        <v>-</v>
      </c>
      <c r="C270" s="993"/>
      <c r="D270" s="993"/>
      <c r="E270" s="684" t="s">
        <v>6</v>
      </c>
      <c r="F270" s="684"/>
      <c r="G270" s="191" t="s">
        <v>6</v>
      </c>
      <c r="H270" s="795" t="s">
        <v>6</v>
      </c>
      <c r="I270" s="795"/>
      <c r="J270" s="684"/>
      <c r="K270" s="684"/>
      <c r="L270" s="684" t="s">
        <v>6</v>
      </c>
      <c r="M270" s="684"/>
      <c r="N270" s="684" t="s">
        <v>6</v>
      </c>
      <c r="O270" s="684"/>
      <c r="P270" s="684"/>
      <c r="Q270" s="684" t="s">
        <v>6</v>
      </c>
      <c r="R270" s="684"/>
      <c r="S270" s="684"/>
      <c r="T270" s="684"/>
      <c r="U270" s="684"/>
      <c r="V270" s="684"/>
      <c r="W270" s="27" t="s">
        <v>6</v>
      </c>
      <c r="X270" s="177"/>
      <c r="Y270" s="30"/>
      <c r="Z270" s="30"/>
    </row>
    <row r="271" spans="1:26" ht="18" customHeight="1">
      <c r="A271" s="338" t="s">
        <v>1065</v>
      </c>
      <c r="B271" s="339"/>
      <c r="C271" s="339"/>
      <c r="D271" s="339"/>
      <c r="E271" s="339"/>
      <c r="F271" s="339"/>
      <c r="G271" s="339"/>
      <c r="H271" s="339"/>
      <c r="I271" s="339"/>
      <c r="J271" s="339"/>
      <c r="K271" s="339"/>
      <c r="L271" s="339"/>
      <c r="M271" s="339"/>
      <c r="N271" s="339"/>
      <c r="O271" s="339"/>
      <c r="P271" s="339"/>
      <c r="Q271" s="339"/>
      <c r="R271" s="339"/>
      <c r="S271" s="339"/>
      <c r="T271" s="339"/>
      <c r="U271" s="339"/>
      <c r="V271" s="339"/>
      <c r="W271" s="340"/>
      <c r="X271" s="341"/>
    </row>
    <row r="272" spans="1:26" ht="32.4" customHeight="1">
      <c r="A272" s="853" t="s">
        <v>115</v>
      </c>
      <c r="B272" s="853"/>
      <c r="C272" s="853"/>
      <c r="D272" s="853"/>
      <c r="E272" s="853" t="s">
        <v>116</v>
      </c>
      <c r="F272" s="853"/>
      <c r="G272" s="853"/>
      <c r="H272" s="853"/>
      <c r="I272" s="853"/>
      <c r="J272" s="868" t="s">
        <v>117</v>
      </c>
      <c r="K272" s="868"/>
      <c r="L272" s="868" t="s">
        <v>88</v>
      </c>
      <c r="M272" s="868"/>
      <c r="N272" s="868" t="s">
        <v>100</v>
      </c>
      <c r="O272" s="868"/>
      <c r="P272" s="868"/>
      <c r="Q272" s="855" t="s">
        <v>118</v>
      </c>
      <c r="R272" s="985"/>
      <c r="S272" s="985"/>
      <c r="T272" s="985"/>
      <c r="U272" s="985"/>
      <c r="V272" s="986"/>
      <c r="W272" s="319" t="s">
        <v>119</v>
      </c>
      <c r="X272" s="256"/>
    </row>
    <row r="273" spans="1:24" ht="18" customHeight="1">
      <c r="A273" s="987" t="str">
        <f>'132KV BUS VT '!A135</f>
        <v>T15</v>
      </c>
      <c r="B273" s="990" t="s">
        <v>385</v>
      </c>
      <c r="C273" s="991"/>
      <c r="D273" s="992"/>
      <c r="E273" s="342">
        <f>'132KV BUS VT '!E135</f>
        <v>132</v>
      </c>
      <c r="F273" s="246" t="str">
        <f>'132KV BUS VT '!F135</f>
        <v>/ √3</v>
      </c>
      <c r="G273" s="343" t="str">
        <f>'132KV BUS VT '!G135</f>
        <v>/</v>
      </c>
      <c r="H273" s="243">
        <f>'132KV BUS VT '!H135</f>
        <v>0.11</v>
      </c>
      <c r="I273" s="246" t="str">
        <f>'132KV BUS VT '!I135</f>
        <v>/ √3</v>
      </c>
      <c r="J273" s="870">
        <f>'132KV BUS VT '!J135</f>
        <v>160</v>
      </c>
      <c r="K273" s="1038">
        <f>'132KV BUS VT '!K135</f>
        <v>2.5</v>
      </c>
      <c r="L273" s="958" t="str">
        <f>'132KV BUS VT '!L135</f>
        <v>0.5/3P</v>
      </c>
      <c r="M273" s="958"/>
      <c r="N273" s="958">
        <f>'132KV BUS VT '!N135</f>
        <v>100</v>
      </c>
      <c r="O273" s="958"/>
      <c r="P273" s="958"/>
      <c r="Q273" s="819" t="str">
        <f>'132KV BUS VT '!Q135</f>
        <v>Suitably Dimensioned</v>
      </c>
      <c r="R273" s="1037"/>
      <c r="S273" s="1037"/>
      <c r="T273" s="1037"/>
      <c r="U273" s="1037"/>
      <c r="V273" s="820"/>
      <c r="W273" s="344">
        <f>'132KV BUS VT '!G39</f>
        <v>6.0408602799999995</v>
      </c>
      <c r="X273" s="209"/>
    </row>
    <row r="274" spans="1:24" ht="18" customHeight="1">
      <c r="A274" s="988"/>
      <c r="B274" s="990" t="s">
        <v>506</v>
      </c>
      <c r="C274" s="991"/>
      <c r="D274" s="992"/>
      <c r="E274" s="342">
        <f>'132KV BUS VT '!E136</f>
        <v>132</v>
      </c>
      <c r="F274" s="246" t="str">
        <f>'132KV BUS VT '!F136</f>
        <v>/ √3</v>
      </c>
      <c r="G274" s="343" t="str">
        <f>'132KV BUS VT '!G136</f>
        <v>/</v>
      </c>
      <c r="H274" s="243">
        <f>'132KV BUS VT '!H136</f>
        <v>0.11</v>
      </c>
      <c r="I274" s="246" t="str">
        <f>'132KV BUS VT '!I136</f>
        <v>/ √3</v>
      </c>
      <c r="J274" s="870"/>
      <c r="K274" s="958"/>
      <c r="L274" s="958" t="str">
        <f>'132KV BUS VT '!L136</f>
        <v>0.5/3P</v>
      </c>
      <c r="M274" s="958"/>
      <c r="N274" s="958">
        <f>'132KV BUS VT '!N136</f>
        <v>100</v>
      </c>
      <c r="O274" s="958"/>
      <c r="P274" s="958"/>
      <c r="Q274" s="819" t="str">
        <f>'132KV BUS VT '!Q136</f>
        <v>Suitably Dimensioned</v>
      </c>
      <c r="R274" s="1037"/>
      <c r="S274" s="1037"/>
      <c r="T274" s="1037"/>
      <c r="U274" s="1037"/>
      <c r="V274" s="820"/>
      <c r="W274" s="344">
        <f>'132KV BUS VT '!G81</f>
        <v>6.0408602799999995</v>
      </c>
      <c r="X274" s="209"/>
    </row>
    <row r="275" spans="1:24" ht="18" customHeight="1">
      <c r="A275" s="989"/>
      <c r="B275" s="990" t="s">
        <v>6</v>
      </c>
      <c r="C275" s="991"/>
      <c r="D275" s="992"/>
      <c r="E275" s="342" t="str">
        <f>'132KV BUS VT '!E137</f>
        <v>-</v>
      </c>
      <c r="F275" s="246" t="str">
        <f>'132KV BUS VT '!F137</f>
        <v>-</v>
      </c>
      <c r="G275" s="343" t="str">
        <f>'132KV BUS VT '!G137</f>
        <v>-</v>
      </c>
      <c r="H275" s="243" t="str">
        <f>'132KV BUS VT '!H137</f>
        <v>-</v>
      </c>
      <c r="I275" s="246" t="str">
        <f>'132KV BUS VT '!I137</f>
        <v>-</v>
      </c>
      <c r="J275" s="870"/>
      <c r="K275" s="958"/>
      <c r="L275" s="958" t="str">
        <f>'132KV BUS VT '!L137</f>
        <v>-</v>
      </c>
      <c r="M275" s="958"/>
      <c r="N275" s="958" t="str">
        <f>'132KV BUS VT '!N137</f>
        <v>-</v>
      </c>
      <c r="O275" s="958"/>
      <c r="P275" s="958"/>
      <c r="Q275" s="819" t="str">
        <f>'132KV BUS VT '!Q137</f>
        <v>-</v>
      </c>
      <c r="R275" s="1037"/>
      <c r="S275" s="1037"/>
      <c r="T275" s="1037"/>
      <c r="U275" s="1037"/>
      <c r="V275" s="820"/>
      <c r="W275" s="344" t="s">
        <v>6</v>
      </c>
      <c r="X275" s="209"/>
    </row>
    <row r="276" spans="1:24">
      <c r="A276" s="480"/>
      <c r="B276" s="480"/>
      <c r="C276" s="245"/>
      <c r="D276" s="245"/>
      <c r="E276" s="27"/>
      <c r="F276" s="27"/>
      <c r="G276" s="191"/>
      <c r="H276" s="211"/>
      <c r="I276" s="27"/>
      <c r="J276" s="27"/>
      <c r="K276" s="27"/>
      <c r="L276" s="27"/>
      <c r="M276" s="27"/>
      <c r="N276" s="27"/>
      <c r="O276" s="27"/>
      <c r="P276" s="27"/>
      <c r="Q276" s="27"/>
      <c r="R276" s="27"/>
      <c r="S276" s="27"/>
      <c r="T276" s="27"/>
      <c r="U276" s="27"/>
      <c r="V276" s="27"/>
      <c r="W276" s="27"/>
      <c r="X276" s="27"/>
    </row>
    <row r="277" spans="1:24">
      <c r="A277" s="480"/>
      <c r="B277" s="480"/>
      <c r="C277" s="245"/>
      <c r="D277" s="245"/>
      <c r="E277" s="27"/>
      <c r="F277" s="27"/>
      <c r="G277" s="191"/>
      <c r="H277" s="211"/>
      <c r="I277" s="27"/>
      <c r="J277" s="27"/>
      <c r="K277" s="27"/>
      <c r="L277" s="27"/>
      <c r="M277" s="27"/>
      <c r="N277" s="27"/>
      <c r="O277" s="27"/>
      <c r="P277" s="27"/>
      <c r="Q277" s="27"/>
      <c r="R277" s="27"/>
      <c r="S277" s="27"/>
      <c r="T277" s="27"/>
      <c r="U277" s="27"/>
      <c r="V277" s="27"/>
      <c r="W277" s="27"/>
      <c r="X277" s="27"/>
    </row>
    <row r="278" spans="1:24">
      <c r="A278" s="480"/>
      <c r="B278" s="480"/>
      <c r="C278" s="245"/>
      <c r="D278" s="245"/>
      <c r="E278" s="27"/>
      <c r="F278" s="27"/>
      <c r="G278" s="191"/>
      <c r="H278" s="211"/>
      <c r="I278" s="27"/>
      <c r="J278" s="27"/>
      <c r="K278" s="27"/>
      <c r="L278" s="27"/>
      <c r="M278" s="27"/>
      <c r="N278" s="27"/>
      <c r="O278" s="27"/>
      <c r="P278" s="27"/>
      <c r="Q278" s="27"/>
      <c r="R278" s="27"/>
      <c r="S278" s="27"/>
      <c r="T278" s="27"/>
      <c r="U278" s="27"/>
      <c r="V278" s="27"/>
      <c r="W278" s="27"/>
      <c r="X278" s="27"/>
    </row>
    <row r="279" spans="1:24">
      <c r="A279" s="480"/>
      <c r="B279" s="480"/>
      <c r="C279" s="245"/>
      <c r="D279" s="245"/>
      <c r="E279" s="27"/>
      <c r="F279" s="27"/>
      <c r="G279" s="191"/>
      <c r="H279" s="211"/>
      <c r="I279" s="27"/>
      <c r="J279" s="27"/>
      <c r="K279" s="27"/>
      <c r="L279" s="27"/>
      <c r="M279" s="27"/>
      <c r="N279" s="27"/>
      <c r="O279" s="27"/>
      <c r="P279" s="27"/>
      <c r="Q279" s="27"/>
      <c r="R279" s="27"/>
      <c r="S279" s="27"/>
      <c r="T279" s="27"/>
      <c r="U279" s="27"/>
      <c r="V279" s="27"/>
      <c r="W279" s="27"/>
      <c r="X279" s="27"/>
    </row>
    <row r="280" spans="1:24">
      <c r="A280" s="480"/>
      <c r="B280" s="480"/>
      <c r="C280" s="245"/>
      <c r="D280" s="245"/>
      <c r="E280" s="27"/>
      <c r="F280" s="27"/>
      <c r="G280" s="191"/>
      <c r="H280" s="211"/>
      <c r="I280" s="27"/>
      <c r="J280" s="27"/>
      <c r="K280" s="27"/>
      <c r="L280" s="27"/>
      <c r="M280" s="27"/>
      <c r="N280" s="27"/>
      <c r="O280" s="27"/>
      <c r="P280" s="27"/>
      <c r="Q280" s="27"/>
      <c r="R280" s="27"/>
      <c r="S280" s="27"/>
      <c r="T280" s="27"/>
      <c r="U280" s="27"/>
      <c r="V280" s="27"/>
      <c r="W280" s="27"/>
      <c r="X280" s="27"/>
    </row>
    <row r="281" spans="1:24">
      <c r="A281" s="480"/>
      <c r="B281" s="480"/>
      <c r="C281" s="245"/>
      <c r="D281" s="245"/>
      <c r="E281" s="27"/>
      <c r="F281" s="27"/>
      <c r="G281" s="191"/>
      <c r="H281" s="211"/>
      <c r="I281" s="27"/>
      <c r="J281" s="27"/>
      <c r="K281" s="27"/>
      <c r="L281" s="27"/>
      <c r="M281" s="27"/>
      <c r="N281" s="27"/>
      <c r="O281" s="27"/>
      <c r="P281" s="27"/>
      <c r="Q281" s="27"/>
      <c r="R281" s="27"/>
      <c r="S281" s="27"/>
      <c r="T281" s="27"/>
      <c r="U281" s="27"/>
      <c r="V281" s="27"/>
      <c r="W281" s="27"/>
      <c r="X281" s="27"/>
    </row>
    <row r="282" spans="1:24" ht="26.4" customHeight="1">
      <c r="A282" s="480"/>
      <c r="B282" s="480"/>
      <c r="C282" s="245"/>
      <c r="D282" s="245"/>
      <c r="E282" s="27"/>
      <c r="F282" s="27"/>
      <c r="G282" s="191"/>
      <c r="H282" s="211"/>
      <c r="I282" s="27"/>
      <c r="J282" s="27"/>
      <c r="K282" s="27"/>
      <c r="L282" s="27"/>
      <c r="M282" s="27"/>
      <c r="N282" s="27"/>
      <c r="O282" s="27"/>
      <c r="P282" s="27"/>
      <c r="Q282" s="27"/>
      <c r="R282" s="27"/>
      <c r="S282" s="27"/>
      <c r="T282" s="27"/>
      <c r="U282" s="27"/>
      <c r="V282" s="27"/>
      <c r="W282" s="27"/>
      <c r="X282" s="27"/>
    </row>
    <row r="283" spans="1:24">
      <c r="A283" s="480"/>
      <c r="B283" s="480"/>
      <c r="C283" s="245"/>
      <c r="D283" s="245"/>
      <c r="E283" s="27"/>
      <c r="F283" s="27"/>
      <c r="G283" s="191"/>
      <c r="H283" s="211"/>
      <c r="I283" s="27"/>
      <c r="J283" s="27"/>
      <c r="K283" s="27"/>
      <c r="L283" s="27"/>
      <c r="M283" s="27"/>
      <c r="N283" s="27"/>
      <c r="O283" s="27"/>
      <c r="P283" s="27"/>
      <c r="Q283" s="27"/>
      <c r="R283" s="27"/>
      <c r="S283" s="27"/>
      <c r="T283" s="27"/>
      <c r="U283" s="27"/>
      <c r="V283" s="27"/>
      <c r="W283" s="27"/>
      <c r="X283" s="27"/>
    </row>
    <row r="284" spans="1:24">
      <c r="A284" s="480"/>
      <c r="B284" s="480"/>
      <c r="C284" s="245"/>
      <c r="D284" s="245"/>
      <c r="E284" s="27"/>
      <c r="F284" s="27"/>
      <c r="G284" s="191"/>
      <c r="H284" s="211"/>
      <c r="I284" s="27"/>
      <c r="J284" s="27"/>
      <c r="K284" s="27"/>
      <c r="L284" s="27"/>
      <c r="M284" s="27"/>
      <c r="N284" s="27"/>
      <c r="O284" s="27"/>
      <c r="P284" s="27"/>
      <c r="Q284" s="27"/>
      <c r="R284" s="27"/>
      <c r="S284" s="27"/>
      <c r="T284" s="27"/>
      <c r="U284" s="27"/>
      <c r="V284" s="27"/>
      <c r="W284" s="27"/>
      <c r="X284" s="27"/>
    </row>
    <row r="285" spans="1:24">
      <c r="A285" s="480"/>
      <c r="B285" s="480"/>
      <c r="C285" s="245"/>
      <c r="D285" s="245"/>
      <c r="E285" s="27"/>
      <c r="F285" s="27"/>
      <c r="G285" s="191"/>
      <c r="H285" s="211"/>
      <c r="I285" s="27"/>
      <c r="J285" s="27"/>
      <c r="K285" s="27"/>
      <c r="L285" s="27"/>
      <c r="M285" s="27"/>
      <c r="N285" s="27"/>
      <c r="O285" s="27"/>
      <c r="P285" s="27"/>
      <c r="Q285" s="27"/>
      <c r="R285" s="27"/>
      <c r="S285" s="27"/>
      <c r="T285" s="27"/>
      <c r="U285" s="27"/>
      <c r="V285" s="27"/>
      <c r="W285" s="27"/>
      <c r="X285" s="27"/>
    </row>
    <row r="286" spans="1:24">
      <c r="A286" s="480"/>
      <c r="B286" s="480"/>
      <c r="C286" s="245"/>
      <c r="D286" s="245"/>
      <c r="E286" s="27"/>
      <c r="F286" s="27"/>
      <c r="G286" s="191"/>
      <c r="H286" s="211"/>
      <c r="I286" s="27"/>
      <c r="J286" s="27"/>
      <c r="K286" s="27"/>
      <c r="L286" s="27"/>
      <c r="M286" s="27"/>
      <c r="N286" s="27"/>
      <c r="O286" s="27"/>
      <c r="P286" s="27"/>
      <c r="Q286" s="27"/>
      <c r="R286" s="27"/>
      <c r="S286" s="27"/>
      <c r="T286" s="27"/>
      <c r="U286" s="27"/>
      <c r="V286" s="27"/>
      <c r="W286" s="27"/>
      <c r="X286" s="27"/>
    </row>
    <row r="287" spans="1:24" ht="26.4" customHeight="1">
      <c r="A287" s="480"/>
      <c r="B287" s="480"/>
      <c r="C287" s="245"/>
      <c r="D287" s="245"/>
      <c r="E287" s="27"/>
      <c r="F287" s="27"/>
      <c r="G287" s="191"/>
      <c r="H287" s="211"/>
      <c r="I287" s="27"/>
      <c r="J287" s="27"/>
      <c r="K287" s="27"/>
      <c r="L287" s="27"/>
      <c r="M287" s="27"/>
      <c r="N287" s="27"/>
      <c r="O287" s="27"/>
      <c r="P287" s="27"/>
      <c r="Q287" s="27"/>
      <c r="R287" s="27"/>
      <c r="S287" s="27"/>
      <c r="T287" s="27"/>
      <c r="U287" s="27"/>
      <c r="V287" s="27"/>
      <c r="W287" s="27"/>
      <c r="X287" s="27"/>
    </row>
    <row r="288" spans="1:24" s="423" customFormat="1">
      <c r="A288" s="480"/>
      <c r="B288" s="480"/>
      <c r="C288" s="245"/>
      <c r="D288" s="245"/>
      <c r="E288" s="27"/>
      <c r="F288" s="27"/>
      <c r="G288" s="191"/>
      <c r="H288" s="211"/>
      <c r="I288" s="27"/>
      <c r="J288" s="27"/>
      <c r="K288" s="27"/>
      <c r="L288" s="27"/>
      <c r="M288" s="27"/>
      <c r="N288" s="27"/>
      <c r="O288" s="27"/>
      <c r="P288" s="27"/>
      <c r="Q288" s="27"/>
      <c r="R288" s="27"/>
      <c r="S288" s="27"/>
      <c r="T288" s="27"/>
      <c r="U288" s="27"/>
      <c r="V288" s="27"/>
      <c r="W288" s="27"/>
      <c r="X288" s="27"/>
    </row>
    <row r="289" spans="1:24">
      <c r="A289" s="507"/>
      <c r="B289" s="484"/>
      <c r="C289" s="637"/>
      <c r="D289" s="637"/>
      <c r="E289" s="190"/>
      <c r="F289" s="190"/>
      <c r="G289" s="638"/>
      <c r="H289" s="633"/>
      <c r="I289" s="190"/>
      <c r="J289" s="190"/>
      <c r="K289" s="190"/>
      <c r="L289" s="190"/>
      <c r="M289" s="190"/>
      <c r="N289" s="190"/>
      <c r="O289" s="190"/>
      <c r="P289" s="190"/>
      <c r="Q289" s="190"/>
      <c r="R289" s="190"/>
      <c r="S289" s="190"/>
      <c r="T289" s="190"/>
      <c r="U289" s="190"/>
      <c r="V289" s="190"/>
      <c r="W289" s="190"/>
      <c r="X289" s="634"/>
    </row>
    <row r="290" spans="1:24">
      <c r="A290" s="487"/>
      <c r="B290" s="480"/>
      <c r="C290" s="245"/>
      <c r="D290" s="245"/>
      <c r="E290" s="27"/>
      <c r="F290" s="27"/>
      <c r="G290" s="191"/>
      <c r="H290" s="211"/>
      <c r="I290" s="27"/>
      <c r="J290" s="27"/>
      <c r="K290" s="27"/>
      <c r="L290" s="27"/>
      <c r="M290" s="27"/>
      <c r="N290" s="27"/>
      <c r="O290" s="27"/>
      <c r="P290" s="27"/>
      <c r="Q290" s="27"/>
      <c r="R290" s="27"/>
      <c r="S290" s="27"/>
      <c r="T290" s="27"/>
      <c r="U290" s="27"/>
      <c r="V290" s="27"/>
      <c r="W290" s="27"/>
      <c r="X290" s="177"/>
    </row>
    <row r="291" spans="1:24">
      <c r="A291" s="487"/>
      <c r="B291" s="480"/>
      <c r="C291" s="245"/>
      <c r="D291" s="245"/>
      <c r="E291" s="27"/>
      <c r="F291" s="27"/>
      <c r="G291" s="191"/>
      <c r="H291" s="211"/>
      <c r="I291" s="27"/>
      <c r="J291" s="27"/>
      <c r="K291" s="27"/>
      <c r="L291" s="27"/>
      <c r="M291" s="27"/>
      <c r="N291" s="27"/>
      <c r="O291" s="27"/>
      <c r="P291" s="27"/>
      <c r="Q291" s="27"/>
      <c r="R291" s="27"/>
      <c r="S291" s="27"/>
      <c r="T291" s="27"/>
      <c r="U291" s="27"/>
      <c r="V291" s="27"/>
      <c r="W291" s="27"/>
      <c r="X291" s="177"/>
    </row>
    <row r="292" spans="1:24" ht="20.399999999999999" customHeight="1">
      <c r="A292" s="487"/>
      <c r="B292" s="480"/>
      <c r="C292" s="245"/>
      <c r="D292" s="245"/>
      <c r="E292" s="27"/>
      <c r="F292" s="27"/>
      <c r="G292" s="191"/>
      <c r="H292" s="211"/>
      <c r="I292" s="27"/>
      <c r="J292" s="27"/>
      <c r="K292" s="27"/>
      <c r="L292" s="27"/>
      <c r="M292" s="27"/>
      <c r="N292" s="27"/>
      <c r="O292" s="27"/>
      <c r="P292" s="27"/>
      <c r="Q292" s="27"/>
      <c r="R292" s="27"/>
      <c r="S292" s="27"/>
      <c r="T292" s="27"/>
      <c r="U292" s="27"/>
      <c r="V292" s="27"/>
      <c r="W292" s="27"/>
      <c r="X292" s="177"/>
    </row>
    <row r="293" spans="1:24">
      <c r="A293" s="345"/>
      <c r="B293" s="346"/>
      <c r="C293" s="346"/>
      <c r="D293" s="346"/>
      <c r="E293" s="346"/>
      <c r="F293" s="346"/>
      <c r="G293" s="346"/>
      <c r="H293" s="346"/>
      <c r="I293" s="346"/>
      <c r="J293" s="346"/>
      <c r="K293" s="346"/>
      <c r="L293" s="346"/>
      <c r="M293" s="346"/>
      <c r="N293" s="346"/>
      <c r="O293" s="346"/>
      <c r="P293" s="346"/>
      <c r="Q293" s="346"/>
      <c r="R293" s="346"/>
      <c r="S293" s="346"/>
      <c r="T293" s="346"/>
      <c r="U293" s="346"/>
      <c r="V293" s="346"/>
      <c r="W293" s="346"/>
      <c r="X293" s="347"/>
    </row>
    <row r="295" spans="1:24">
      <c r="A295" s="315" t="s">
        <v>120</v>
      </c>
      <c r="B295" s="316"/>
      <c r="C295" s="316"/>
      <c r="D295" s="316"/>
      <c r="E295" s="316"/>
      <c r="F295" s="316"/>
      <c r="G295" s="316"/>
      <c r="H295" s="316"/>
      <c r="I295" s="316"/>
      <c r="J295" s="316"/>
      <c r="K295" s="316"/>
      <c r="L295" s="316"/>
      <c r="M295" s="316"/>
      <c r="N295" s="316"/>
      <c r="O295" s="316"/>
      <c r="P295" s="316"/>
      <c r="Q295" s="316"/>
      <c r="R295" s="316"/>
      <c r="S295" s="316"/>
      <c r="T295" s="316"/>
      <c r="U295" s="316"/>
      <c r="V295" s="316"/>
      <c r="W295" s="317"/>
      <c r="X295" s="318"/>
    </row>
    <row r="296" spans="1:24" ht="26.4">
      <c r="A296" s="868" t="s">
        <v>85</v>
      </c>
      <c r="B296" s="868"/>
      <c r="C296" s="869"/>
      <c r="D296" s="868" t="s">
        <v>86</v>
      </c>
      <c r="E296" s="868"/>
      <c r="F296" s="868"/>
      <c r="G296" s="868" t="s">
        <v>87</v>
      </c>
      <c r="H296" s="868"/>
      <c r="I296" s="868" t="s">
        <v>88</v>
      </c>
      <c r="J296" s="868"/>
      <c r="K296" s="955" t="s">
        <v>89</v>
      </c>
      <c r="L296" s="957"/>
      <c r="M296" s="868" t="s">
        <v>100</v>
      </c>
      <c r="N296" s="868"/>
      <c r="O296" s="868"/>
      <c r="P296" s="868"/>
      <c r="Q296" s="955" t="s">
        <v>92</v>
      </c>
      <c r="R296" s="957"/>
      <c r="S296" s="955" t="s">
        <v>93</v>
      </c>
      <c r="T296" s="956"/>
      <c r="U296" s="956"/>
      <c r="V296" s="956"/>
      <c r="W296" s="319" t="s">
        <v>122</v>
      </c>
      <c r="X296" s="319" t="s">
        <v>94</v>
      </c>
    </row>
    <row r="297" spans="1:24" ht="26.4" customHeight="1">
      <c r="A297" s="765"/>
      <c r="B297" s="765"/>
      <c r="C297" s="765"/>
      <c r="D297" s="870"/>
      <c r="E297" s="870"/>
      <c r="F297" s="871"/>
      <c r="G297" s="870"/>
      <c r="H297" s="874"/>
      <c r="I297" s="1006"/>
      <c r="J297" s="1007"/>
      <c r="K297" s="869"/>
      <c r="L297" s="869"/>
      <c r="M297" s="869"/>
      <c r="N297" s="869"/>
      <c r="O297" s="870"/>
      <c r="P297" s="870"/>
      <c r="Q297" s="879"/>
      <c r="R297" s="879"/>
      <c r="S297" s="971"/>
      <c r="T297" s="972"/>
      <c r="U297" s="972"/>
      <c r="V297" s="973"/>
      <c r="W297" s="263"/>
      <c r="X297" s="264"/>
    </row>
    <row r="298" spans="1:24">
      <c r="A298" s="765"/>
      <c r="B298" s="765"/>
      <c r="C298" s="765"/>
      <c r="D298" s="870"/>
      <c r="E298" s="870"/>
      <c r="F298" s="872"/>
      <c r="G298" s="870"/>
      <c r="H298" s="870"/>
      <c r="I298" s="1006"/>
      <c r="J298" s="1007"/>
      <c r="K298" s="869"/>
      <c r="L298" s="869"/>
      <c r="M298" s="869"/>
      <c r="N298" s="869"/>
      <c r="O298" s="870"/>
      <c r="P298" s="870"/>
      <c r="Q298" s="879"/>
      <c r="R298" s="879"/>
      <c r="S298" s="971"/>
      <c r="T298" s="972"/>
      <c r="U298" s="972"/>
      <c r="V298" s="973"/>
      <c r="W298" s="263"/>
      <c r="X298" s="264"/>
    </row>
    <row r="299" spans="1:24">
      <c r="A299" s="765"/>
      <c r="B299" s="765"/>
      <c r="C299" s="765"/>
      <c r="D299" s="870"/>
      <c r="E299" s="870"/>
      <c r="F299" s="873"/>
      <c r="G299" s="870"/>
      <c r="H299" s="870"/>
      <c r="I299" s="1006"/>
      <c r="J299" s="1007"/>
      <c r="K299" s="869"/>
      <c r="L299" s="869"/>
      <c r="M299" s="869"/>
      <c r="N299" s="869"/>
      <c r="O299" s="870"/>
      <c r="P299" s="870"/>
      <c r="Q299" s="879"/>
      <c r="R299" s="879"/>
      <c r="S299" s="971"/>
      <c r="T299" s="972"/>
      <c r="U299" s="972"/>
      <c r="V299" s="973"/>
      <c r="W299" s="263"/>
      <c r="X299" s="263"/>
    </row>
  </sheetData>
  <mergeCells count="1490">
    <mergeCell ref="A272:D272"/>
    <mergeCell ref="E272:I272"/>
    <mergeCell ref="J272:K272"/>
    <mergeCell ref="L272:M272"/>
    <mergeCell ref="N272:P272"/>
    <mergeCell ref="Q272:V272"/>
    <mergeCell ref="A273:A275"/>
    <mergeCell ref="B273:D273"/>
    <mergeCell ref="J273:J275"/>
    <mergeCell ref="K273:K275"/>
    <mergeCell ref="L273:M273"/>
    <mergeCell ref="N273:P273"/>
    <mergeCell ref="Q273:V273"/>
    <mergeCell ref="B274:D274"/>
    <mergeCell ref="L274:M274"/>
    <mergeCell ref="N274:P274"/>
    <mergeCell ref="Q274:V274"/>
    <mergeCell ref="B275:D275"/>
    <mergeCell ref="L275:M275"/>
    <mergeCell ref="N275:P275"/>
    <mergeCell ref="Q275:V275"/>
    <mergeCell ref="D115:E115"/>
    <mergeCell ref="D116:E116"/>
    <mergeCell ref="D117:E117"/>
    <mergeCell ref="D118:E118"/>
    <mergeCell ref="D119:E119"/>
    <mergeCell ref="D120:E120"/>
    <mergeCell ref="D121:E121"/>
    <mergeCell ref="D122:E122"/>
    <mergeCell ref="A109:X109"/>
    <mergeCell ref="A144:X144"/>
    <mergeCell ref="A76:C76"/>
    <mergeCell ref="D76:F76"/>
    <mergeCell ref="G76:H76"/>
    <mergeCell ref="I76:J76"/>
    <mergeCell ref="K76:L76"/>
    <mergeCell ref="M76:N76"/>
    <mergeCell ref="O76:P76"/>
    <mergeCell ref="Q76:R76"/>
    <mergeCell ref="S76:V76"/>
    <mergeCell ref="A77:A79"/>
    <mergeCell ref="B77:C79"/>
    <mergeCell ref="D77:E77"/>
    <mergeCell ref="F77:F79"/>
    <mergeCell ref="G77:G79"/>
    <mergeCell ref="H77:H79"/>
    <mergeCell ref="I77:J79"/>
    <mergeCell ref="K77:L77"/>
    <mergeCell ref="M77:N77"/>
    <mergeCell ref="O77:P77"/>
    <mergeCell ref="Q77:R79"/>
    <mergeCell ref="S77:V77"/>
    <mergeCell ref="D78:E78"/>
    <mergeCell ref="K78:L78"/>
    <mergeCell ref="M78:N78"/>
    <mergeCell ref="O78:P78"/>
    <mergeCell ref="S78:V78"/>
    <mergeCell ref="D79:E79"/>
    <mergeCell ref="K79:L79"/>
    <mergeCell ref="M79:N79"/>
    <mergeCell ref="O79:P79"/>
    <mergeCell ref="S79:V79"/>
    <mergeCell ref="Q71:R71"/>
    <mergeCell ref="S71:V71"/>
    <mergeCell ref="A72:A74"/>
    <mergeCell ref="B72:C74"/>
    <mergeCell ref="D72:E72"/>
    <mergeCell ref="F72:F74"/>
    <mergeCell ref="G72:G74"/>
    <mergeCell ref="H72:H74"/>
    <mergeCell ref="I72:J74"/>
    <mergeCell ref="K72:L72"/>
    <mergeCell ref="M72:N72"/>
    <mergeCell ref="O72:P72"/>
    <mergeCell ref="Q72:R74"/>
    <mergeCell ref="S72:V72"/>
    <mergeCell ref="D73:E73"/>
    <mergeCell ref="K73:L73"/>
    <mergeCell ref="M73:N73"/>
    <mergeCell ref="O73:P73"/>
    <mergeCell ref="S73:V73"/>
    <mergeCell ref="D74:E74"/>
    <mergeCell ref="K74:L74"/>
    <mergeCell ref="M74:N74"/>
    <mergeCell ref="O74:P74"/>
    <mergeCell ref="S74:V74"/>
    <mergeCell ref="A164:C164"/>
    <mergeCell ref="D164:F164"/>
    <mergeCell ref="G164:H164"/>
    <mergeCell ref="I164:J164"/>
    <mergeCell ref="K164:L164"/>
    <mergeCell ref="M164:N164"/>
    <mergeCell ref="O164:P164"/>
    <mergeCell ref="Q164:R164"/>
    <mergeCell ref="S164:V164"/>
    <mergeCell ref="A165:A167"/>
    <mergeCell ref="B165:C167"/>
    <mergeCell ref="D165:E165"/>
    <mergeCell ref="F165:F167"/>
    <mergeCell ref="G165:G167"/>
    <mergeCell ref="H165:H167"/>
    <mergeCell ref="I165:J167"/>
    <mergeCell ref="K165:L165"/>
    <mergeCell ref="M165:N165"/>
    <mergeCell ref="O165:P165"/>
    <mergeCell ref="Q165:R167"/>
    <mergeCell ref="S165:V165"/>
    <mergeCell ref="D166:E166"/>
    <mergeCell ref="K166:L166"/>
    <mergeCell ref="M166:N166"/>
    <mergeCell ref="O166:P166"/>
    <mergeCell ref="S166:V166"/>
    <mergeCell ref="D167:E167"/>
    <mergeCell ref="K167:L167"/>
    <mergeCell ref="M167:N167"/>
    <mergeCell ref="O167:P167"/>
    <mergeCell ref="S167:V167"/>
    <mergeCell ref="K257:K264"/>
    <mergeCell ref="A268:A270"/>
    <mergeCell ref="B268:D268"/>
    <mergeCell ref="B269:D269"/>
    <mergeCell ref="B270:D270"/>
    <mergeCell ref="E269:F269"/>
    <mergeCell ref="E270:F270"/>
    <mergeCell ref="H269:I269"/>
    <mergeCell ref="H270:I270"/>
    <mergeCell ref="L262:M262"/>
    <mergeCell ref="N262:P262"/>
    <mergeCell ref="Q262:V262"/>
    <mergeCell ref="L263:M263"/>
    <mergeCell ref="N263:P263"/>
    <mergeCell ref="Q263:V263"/>
    <mergeCell ref="L264:M264"/>
    <mergeCell ref="N264:P264"/>
    <mergeCell ref="Q264:V264"/>
    <mergeCell ref="A267:D267"/>
    <mergeCell ref="E267:I267"/>
    <mergeCell ref="J267:K267"/>
    <mergeCell ref="L267:M267"/>
    <mergeCell ref="N267:P267"/>
    <mergeCell ref="Q267:V267"/>
    <mergeCell ref="J268:J270"/>
    <mergeCell ref="K268:K270"/>
    <mergeCell ref="L268:M268"/>
    <mergeCell ref="N268:P268"/>
    <mergeCell ref="Q268:V268"/>
    <mergeCell ref="L269:M269"/>
    <mergeCell ref="N269:P269"/>
    <mergeCell ref="Q269:V269"/>
    <mergeCell ref="A154:C154"/>
    <mergeCell ref="D154:F154"/>
    <mergeCell ref="G154:H154"/>
    <mergeCell ref="I154:J154"/>
    <mergeCell ref="K154:L154"/>
    <mergeCell ref="M154:N154"/>
    <mergeCell ref="O154:P154"/>
    <mergeCell ref="Q154:R154"/>
    <mergeCell ref="S154:V154"/>
    <mergeCell ref="A155:A157"/>
    <mergeCell ref="B155:C157"/>
    <mergeCell ref="D155:E155"/>
    <mergeCell ref="F155:F157"/>
    <mergeCell ref="G155:G157"/>
    <mergeCell ref="H155:H157"/>
    <mergeCell ref="I155:J157"/>
    <mergeCell ref="K155:L155"/>
    <mergeCell ref="M155:N155"/>
    <mergeCell ref="O155:P155"/>
    <mergeCell ref="Q155:R157"/>
    <mergeCell ref="S155:V155"/>
    <mergeCell ref="D156:E156"/>
    <mergeCell ref="K156:L156"/>
    <mergeCell ref="M156:N156"/>
    <mergeCell ref="O156:P156"/>
    <mergeCell ref="S156:V156"/>
    <mergeCell ref="D157:E157"/>
    <mergeCell ref="K157:L157"/>
    <mergeCell ref="M157:N157"/>
    <mergeCell ref="O157:P157"/>
    <mergeCell ref="S157:V157"/>
    <mergeCell ref="A145:C145"/>
    <mergeCell ref="D145:F145"/>
    <mergeCell ref="G145:H145"/>
    <mergeCell ref="I145:J145"/>
    <mergeCell ref="K145:L145"/>
    <mergeCell ref="M145:N145"/>
    <mergeCell ref="O145:P145"/>
    <mergeCell ref="Q145:R145"/>
    <mergeCell ref="S145:V145"/>
    <mergeCell ref="A146:A148"/>
    <mergeCell ref="B146:C148"/>
    <mergeCell ref="D146:E146"/>
    <mergeCell ref="F146:F148"/>
    <mergeCell ref="G146:G148"/>
    <mergeCell ref="H146:H148"/>
    <mergeCell ref="I146:J148"/>
    <mergeCell ref="K146:L146"/>
    <mergeCell ref="M146:N146"/>
    <mergeCell ref="O146:P146"/>
    <mergeCell ref="Q146:R148"/>
    <mergeCell ref="S146:V146"/>
    <mergeCell ref="D147:E147"/>
    <mergeCell ref="K147:L147"/>
    <mergeCell ref="M147:N147"/>
    <mergeCell ref="O147:P147"/>
    <mergeCell ref="S147:V147"/>
    <mergeCell ref="D148:E148"/>
    <mergeCell ref="K148:L148"/>
    <mergeCell ref="M148:N148"/>
    <mergeCell ref="O148:P148"/>
    <mergeCell ref="S148:V148"/>
    <mergeCell ref="A140:C140"/>
    <mergeCell ref="D140:F140"/>
    <mergeCell ref="G140:H140"/>
    <mergeCell ref="I140:J140"/>
    <mergeCell ref="K140:L140"/>
    <mergeCell ref="M140:N140"/>
    <mergeCell ref="O140:P140"/>
    <mergeCell ref="Q140:R140"/>
    <mergeCell ref="S140:V140"/>
    <mergeCell ref="A141:A143"/>
    <mergeCell ref="B141:C143"/>
    <mergeCell ref="D141:E141"/>
    <mergeCell ref="F141:F143"/>
    <mergeCell ref="G141:G143"/>
    <mergeCell ref="H141:H143"/>
    <mergeCell ref="I141:J143"/>
    <mergeCell ref="K141:L141"/>
    <mergeCell ref="M141:N141"/>
    <mergeCell ref="O141:P141"/>
    <mergeCell ref="Q141:R143"/>
    <mergeCell ref="S141:V141"/>
    <mergeCell ref="D142:E142"/>
    <mergeCell ref="K142:L142"/>
    <mergeCell ref="M142:N142"/>
    <mergeCell ref="O142:P142"/>
    <mergeCell ref="S142:V142"/>
    <mergeCell ref="D143:E143"/>
    <mergeCell ref="K143:L143"/>
    <mergeCell ref="M143:N143"/>
    <mergeCell ref="O143:P143"/>
    <mergeCell ref="B136:C138"/>
    <mergeCell ref="D136:E136"/>
    <mergeCell ref="F136:F138"/>
    <mergeCell ref="G136:G138"/>
    <mergeCell ref="H136:H138"/>
    <mergeCell ref="I136:J138"/>
    <mergeCell ref="K136:L136"/>
    <mergeCell ref="M136:N136"/>
    <mergeCell ref="O136:P136"/>
    <mergeCell ref="Q136:R138"/>
    <mergeCell ref="S136:V136"/>
    <mergeCell ref="D137:E137"/>
    <mergeCell ref="K137:L137"/>
    <mergeCell ref="M137:N137"/>
    <mergeCell ref="O137:P137"/>
    <mergeCell ref="S137:V137"/>
    <mergeCell ref="D138:E138"/>
    <mergeCell ref="K138:L138"/>
    <mergeCell ref="M138:N138"/>
    <mergeCell ref="O138:P138"/>
    <mergeCell ref="S138:V138"/>
    <mergeCell ref="Q131:R133"/>
    <mergeCell ref="S131:V131"/>
    <mergeCell ref="A256:D256"/>
    <mergeCell ref="E256:I256"/>
    <mergeCell ref="A106:A108"/>
    <mergeCell ref="B106:C108"/>
    <mergeCell ref="D106:E106"/>
    <mergeCell ref="F106:F108"/>
    <mergeCell ref="G106:G108"/>
    <mergeCell ref="H106:H108"/>
    <mergeCell ref="I106:J108"/>
    <mergeCell ref="K106:L106"/>
    <mergeCell ref="M106:N106"/>
    <mergeCell ref="O106:P106"/>
    <mergeCell ref="Q106:R108"/>
    <mergeCell ref="S106:V106"/>
    <mergeCell ref="D107:E107"/>
    <mergeCell ref="K107:L107"/>
    <mergeCell ref="M107:N107"/>
    <mergeCell ref="O107:P107"/>
    <mergeCell ref="S107:V107"/>
    <mergeCell ref="D108:E108"/>
    <mergeCell ref="K108:L108"/>
    <mergeCell ref="M108:N108"/>
    <mergeCell ref="O108:P108"/>
    <mergeCell ref="S108:V108"/>
    <mergeCell ref="K135:L135"/>
    <mergeCell ref="M135:N135"/>
    <mergeCell ref="O135:P135"/>
    <mergeCell ref="Q135:R135"/>
    <mergeCell ref="S135:V135"/>
    <mergeCell ref="A136:A138"/>
    <mergeCell ref="L270:M270"/>
    <mergeCell ref="N270:P270"/>
    <mergeCell ref="Q270:V270"/>
    <mergeCell ref="O131:P131"/>
    <mergeCell ref="A100:C100"/>
    <mergeCell ref="D100:F100"/>
    <mergeCell ref="D103:E103"/>
    <mergeCell ref="F101:F103"/>
    <mergeCell ref="G101:G103"/>
    <mergeCell ref="A204:A206"/>
    <mergeCell ref="B204:C206"/>
    <mergeCell ref="D204:E204"/>
    <mergeCell ref="M205:N205"/>
    <mergeCell ref="O205:P205"/>
    <mergeCell ref="D206:E206"/>
    <mergeCell ref="K206:L206"/>
    <mergeCell ref="M206:N206"/>
    <mergeCell ref="O206:P206"/>
    <mergeCell ref="G100:H100"/>
    <mergeCell ref="I100:J100"/>
    <mergeCell ref="K100:L100"/>
    <mergeCell ref="M100:N100"/>
    <mergeCell ref="O100:P100"/>
    <mergeCell ref="D132:E132"/>
    <mergeCell ref="K132:L132"/>
    <mergeCell ref="M132:N132"/>
    <mergeCell ref="O132:P132"/>
    <mergeCell ref="I101:J103"/>
    <mergeCell ref="K105:L105"/>
    <mergeCell ref="M105:N105"/>
    <mergeCell ref="O105:P105"/>
    <mergeCell ref="A105:C105"/>
    <mergeCell ref="D105:F105"/>
    <mergeCell ref="G105:H105"/>
    <mergeCell ref="I105:J105"/>
    <mergeCell ref="S132:V132"/>
    <mergeCell ref="D133:E133"/>
    <mergeCell ref="K133:L133"/>
    <mergeCell ref="M133:N133"/>
    <mergeCell ref="O133:P133"/>
    <mergeCell ref="S133:V133"/>
    <mergeCell ref="O296:P296"/>
    <mergeCell ref="Q296:R296"/>
    <mergeCell ref="S296:V296"/>
    <mergeCell ref="A297:A299"/>
    <mergeCell ref="B297:C299"/>
    <mergeCell ref="D297:E297"/>
    <mergeCell ref="F297:F299"/>
    <mergeCell ref="G297:G299"/>
    <mergeCell ref="H297:H299"/>
    <mergeCell ref="I297:I299"/>
    <mergeCell ref="A296:C296"/>
    <mergeCell ref="D296:F296"/>
    <mergeCell ref="G296:H296"/>
    <mergeCell ref="I296:J296"/>
    <mergeCell ref="K296:L296"/>
    <mergeCell ref="M296:N296"/>
    <mergeCell ref="D298:E298"/>
    <mergeCell ref="K298:L298"/>
    <mergeCell ref="M298:N298"/>
    <mergeCell ref="O298:P298"/>
    <mergeCell ref="F131:F133"/>
    <mergeCell ref="G131:G133"/>
    <mergeCell ref="H131:H133"/>
    <mergeCell ref="I131:J133"/>
    <mergeCell ref="K131:L131"/>
    <mergeCell ref="M131:N131"/>
    <mergeCell ref="S298:V298"/>
    <mergeCell ref="D299:E299"/>
    <mergeCell ref="K299:L299"/>
    <mergeCell ref="M299:N299"/>
    <mergeCell ref="O299:P299"/>
    <mergeCell ref="S299:V299"/>
    <mergeCell ref="J297:J299"/>
    <mergeCell ref="K297:L297"/>
    <mergeCell ref="M297:N297"/>
    <mergeCell ref="O297:P297"/>
    <mergeCell ref="Q297:R299"/>
    <mergeCell ref="S297:V297"/>
    <mergeCell ref="L257:M257"/>
    <mergeCell ref="N257:P257"/>
    <mergeCell ref="Q251:V251"/>
    <mergeCell ref="L252:M252"/>
    <mergeCell ref="N252:P252"/>
    <mergeCell ref="Q252:V252"/>
    <mergeCell ref="L253:M253"/>
    <mergeCell ref="N253:P253"/>
    <mergeCell ref="Q253:V253"/>
    <mergeCell ref="J251:J253"/>
    <mergeCell ref="K251:K253"/>
    <mergeCell ref="L251:M251"/>
    <mergeCell ref="N251:P251"/>
    <mergeCell ref="Q257:V257"/>
    <mergeCell ref="L258:M258"/>
    <mergeCell ref="N258:P258"/>
    <mergeCell ref="Q258:V258"/>
    <mergeCell ref="L259:M259"/>
    <mergeCell ref="N259:P259"/>
    <mergeCell ref="Q259:V259"/>
    <mergeCell ref="K101:L101"/>
    <mergeCell ref="M101:N101"/>
    <mergeCell ref="O101:P101"/>
    <mergeCell ref="S101:V101"/>
    <mergeCell ref="D102:E102"/>
    <mergeCell ref="K102:L102"/>
    <mergeCell ref="M102:N102"/>
    <mergeCell ref="O102:P102"/>
    <mergeCell ref="S102:V102"/>
    <mergeCell ref="A126:A128"/>
    <mergeCell ref="B126:C128"/>
    <mergeCell ref="D128:E128"/>
    <mergeCell ref="F126:F128"/>
    <mergeCell ref="G126:G128"/>
    <mergeCell ref="H126:H128"/>
    <mergeCell ref="I126:J128"/>
    <mergeCell ref="K128:L128"/>
    <mergeCell ref="M128:N128"/>
    <mergeCell ref="O128:P128"/>
    <mergeCell ref="S128:V128"/>
    <mergeCell ref="Q126:R128"/>
    <mergeCell ref="K103:L103"/>
    <mergeCell ref="M103:N103"/>
    <mergeCell ref="O103:P103"/>
    <mergeCell ref="Q101:R103"/>
    <mergeCell ref="S103:V103"/>
    <mergeCell ref="H101:H103"/>
    <mergeCell ref="S105:V105"/>
    <mergeCell ref="Q105:R105"/>
    <mergeCell ref="Q100:R100"/>
    <mergeCell ref="S100:V100"/>
    <mergeCell ref="D101:E101"/>
    <mergeCell ref="M93:N93"/>
    <mergeCell ref="O93:P93"/>
    <mergeCell ref="S93:V93"/>
    <mergeCell ref="A95:C95"/>
    <mergeCell ref="D95:F95"/>
    <mergeCell ref="G95:H95"/>
    <mergeCell ref="I95:J95"/>
    <mergeCell ref="K95:L95"/>
    <mergeCell ref="M95:N95"/>
    <mergeCell ref="O95:P95"/>
    <mergeCell ref="Q95:R95"/>
    <mergeCell ref="S95:V95"/>
    <mergeCell ref="A96:A98"/>
    <mergeCell ref="B96:C98"/>
    <mergeCell ref="D96:E96"/>
    <mergeCell ref="F96:F98"/>
    <mergeCell ref="G96:G98"/>
    <mergeCell ref="H96:H98"/>
    <mergeCell ref="I96:J98"/>
    <mergeCell ref="K96:L96"/>
    <mergeCell ref="A101:A103"/>
    <mergeCell ref="B101:C103"/>
    <mergeCell ref="M96:N96"/>
    <mergeCell ref="O96:P96"/>
    <mergeCell ref="Q96:R98"/>
    <mergeCell ref="S96:V96"/>
    <mergeCell ref="D97:E97"/>
    <mergeCell ref="K97:L97"/>
    <mergeCell ref="M97:N97"/>
    <mergeCell ref="O97:P97"/>
    <mergeCell ref="S97:V97"/>
    <mergeCell ref="D98:E98"/>
    <mergeCell ref="K98:L98"/>
    <mergeCell ref="M98:N98"/>
    <mergeCell ref="W89:X89"/>
    <mergeCell ref="A90:C90"/>
    <mergeCell ref="D90:F90"/>
    <mergeCell ref="G90:H90"/>
    <mergeCell ref="I90:J90"/>
    <mergeCell ref="K90:L90"/>
    <mergeCell ref="M90:N90"/>
    <mergeCell ref="O90:P90"/>
    <mergeCell ref="Q90:R90"/>
    <mergeCell ref="O98:P98"/>
    <mergeCell ref="S98:V98"/>
    <mergeCell ref="S90:V90"/>
    <mergeCell ref="A91:A93"/>
    <mergeCell ref="B91:C93"/>
    <mergeCell ref="D91:E91"/>
    <mergeCell ref="F91:F93"/>
    <mergeCell ref="G91:G93"/>
    <mergeCell ref="H91:H93"/>
    <mergeCell ref="K91:L91"/>
    <mergeCell ref="M91:N91"/>
    <mergeCell ref="O91:P91"/>
    <mergeCell ref="Q91:R93"/>
    <mergeCell ref="S91:V91"/>
    <mergeCell ref="D92:E92"/>
    <mergeCell ref="K92:L92"/>
    <mergeCell ref="M92:N92"/>
    <mergeCell ref="O92:P92"/>
    <mergeCell ref="S92:V92"/>
    <mergeCell ref="D93:E93"/>
    <mergeCell ref="K93:L93"/>
    <mergeCell ref="W84:X84"/>
    <mergeCell ref="A85:C85"/>
    <mergeCell ref="D85:F85"/>
    <mergeCell ref="G85:H85"/>
    <mergeCell ref="I85:J85"/>
    <mergeCell ref="K85:L85"/>
    <mergeCell ref="M85:N85"/>
    <mergeCell ref="O85:P85"/>
    <mergeCell ref="Q85:R85"/>
    <mergeCell ref="S85:V85"/>
    <mergeCell ref="S86:V86"/>
    <mergeCell ref="D87:E87"/>
    <mergeCell ref="K87:L87"/>
    <mergeCell ref="M87:N87"/>
    <mergeCell ref="O87:P87"/>
    <mergeCell ref="S87:V87"/>
    <mergeCell ref="K86:L86"/>
    <mergeCell ref="M86:N86"/>
    <mergeCell ref="O86:P86"/>
    <mergeCell ref="Q86:R88"/>
    <mergeCell ref="K88:L88"/>
    <mergeCell ref="M88:N88"/>
    <mergeCell ref="O88:P88"/>
    <mergeCell ref="D86:E86"/>
    <mergeCell ref="F86:F88"/>
    <mergeCell ref="G86:G88"/>
    <mergeCell ref="H86:H88"/>
    <mergeCell ref="D88:E88"/>
    <mergeCell ref="S88:V88"/>
    <mergeCell ref="A86:A88"/>
    <mergeCell ref="B86:C88"/>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86:J88"/>
    <mergeCell ref="A71:C71"/>
    <mergeCell ref="D71:F71"/>
    <mergeCell ref="G71:H71"/>
    <mergeCell ref="I71:J71"/>
    <mergeCell ref="K71:L71"/>
    <mergeCell ref="M71:N71"/>
    <mergeCell ref="O71:P71"/>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A110:C110"/>
    <mergeCell ref="D110:F110"/>
    <mergeCell ref="G110:H110"/>
    <mergeCell ref="I110:J110"/>
    <mergeCell ref="K110:L110"/>
    <mergeCell ref="M110:N110"/>
    <mergeCell ref="O110:P110"/>
    <mergeCell ref="Q110:R110"/>
    <mergeCell ref="S110:V110"/>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K111:L111"/>
    <mergeCell ref="M111:N111"/>
    <mergeCell ref="O111:P111"/>
    <mergeCell ref="S111:V111"/>
    <mergeCell ref="K112:L112"/>
    <mergeCell ref="M112:N112"/>
    <mergeCell ref="O112:P112"/>
    <mergeCell ref="S112:V112"/>
    <mergeCell ref="K113:L113"/>
    <mergeCell ref="M113:N113"/>
    <mergeCell ref="O113:P113"/>
    <mergeCell ref="S113:V113"/>
    <mergeCell ref="G111:G123"/>
    <mergeCell ref="F111:F123"/>
    <mergeCell ref="H111:H123"/>
    <mergeCell ref="M116:N116"/>
    <mergeCell ref="O116:P116"/>
    <mergeCell ref="S116:V116"/>
    <mergeCell ref="K117:L117"/>
    <mergeCell ref="M117:N117"/>
    <mergeCell ref="O117:P117"/>
    <mergeCell ref="S117:V117"/>
    <mergeCell ref="K118:L118"/>
    <mergeCell ref="M118:N118"/>
    <mergeCell ref="O118:P118"/>
    <mergeCell ref="S118:V118"/>
    <mergeCell ref="M121:N121"/>
    <mergeCell ref="D111:E111"/>
    <mergeCell ref="D112:E112"/>
    <mergeCell ref="D123:E123"/>
    <mergeCell ref="D113:E113"/>
    <mergeCell ref="D114:E114"/>
    <mergeCell ref="W114:X114"/>
    <mergeCell ref="K115:L115"/>
    <mergeCell ref="M115:N115"/>
    <mergeCell ref="O115:P115"/>
    <mergeCell ref="S115:V115"/>
    <mergeCell ref="K116:L116"/>
    <mergeCell ref="I125:J125"/>
    <mergeCell ref="K125:L125"/>
    <mergeCell ref="M125:N125"/>
    <mergeCell ref="O125:P125"/>
    <mergeCell ref="Q125:R125"/>
    <mergeCell ref="K120:L120"/>
    <mergeCell ref="M120:N120"/>
    <mergeCell ref="O120:P120"/>
    <mergeCell ref="S125:V125"/>
    <mergeCell ref="O121:P121"/>
    <mergeCell ref="S121:V121"/>
    <mergeCell ref="K122:L122"/>
    <mergeCell ref="M122:N122"/>
    <mergeCell ref="O122:P122"/>
    <mergeCell ref="S122:V122"/>
    <mergeCell ref="K123:L123"/>
    <mergeCell ref="M123:N123"/>
    <mergeCell ref="O123:P123"/>
    <mergeCell ref="S123:V123"/>
    <mergeCell ref="S120:V120"/>
    <mergeCell ref="K121:L121"/>
    <mergeCell ref="S126:V126"/>
    <mergeCell ref="D127:E127"/>
    <mergeCell ref="K127:L127"/>
    <mergeCell ref="M127:N127"/>
    <mergeCell ref="O127:P127"/>
    <mergeCell ref="S127:V127"/>
    <mergeCell ref="W182:X182"/>
    <mergeCell ref="A183:C183"/>
    <mergeCell ref="D183:F183"/>
    <mergeCell ref="G183:H183"/>
    <mergeCell ref="I183:J183"/>
    <mergeCell ref="K183:L183"/>
    <mergeCell ref="M183:N183"/>
    <mergeCell ref="O183:P183"/>
    <mergeCell ref="Q183:R183"/>
    <mergeCell ref="S183:V183"/>
    <mergeCell ref="D126:E126"/>
    <mergeCell ref="K126:L126"/>
    <mergeCell ref="M126:N126"/>
    <mergeCell ref="O126:P126"/>
    <mergeCell ref="A130:C130"/>
    <mergeCell ref="D130:F130"/>
    <mergeCell ref="G130:H130"/>
    <mergeCell ref="I130:J130"/>
    <mergeCell ref="K130:L130"/>
    <mergeCell ref="M130:N130"/>
    <mergeCell ref="O130:P130"/>
    <mergeCell ref="S143:V143"/>
    <mergeCell ref="A135:C135"/>
    <mergeCell ref="D135:F135"/>
    <mergeCell ref="G135:H135"/>
    <mergeCell ref="I135:J135"/>
    <mergeCell ref="A125:C125"/>
    <mergeCell ref="D125:F125"/>
    <mergeCell ref="G125:H125"/>
    <mergeCell ref="Q130:R130"/>
    <mergeCell ref="S130:V130"/>
    <mergeCell ref="A131:A133"/>
    <mergeCell ref="B131:C133"/>
    <mergeCell ref="D131:E131"/>
    <mergeCell ref="W187:X187"/>
    <mergeCell ref="A188:C188"/>
    <mergeCell ref="D188:F188"/>
    <mergeCell ref="G188:H188"/>
    <mergeCell ref="I188:J188"/>
    <mergeCell ref="K188:L188"/>
    <mergeCell ref="M188:N188"/>
    <mergeCell ref="O188:P188"/>
    <mergeCell ref="Q188:R188"/>
    <mergeCell ref="S188:V188"/>
    <mergeCell ref="M184:N184"/>
    <mergeCell ref="O184:P184"/>
    <mergeCell ref="Q184:R186"/>
    <mergeCell ref="S184:V184"/>
    <mergeCell ref="D185:E185"/>
    <mergeCell ref="K185:L185"/>
    <mergeCell ref="M185:N185"/>
    <mergeCell ref="O185:P185"/>
    <mergeCell ref="S185:V185"/>
    <mergeCell ref="D186:E186"/>
    <mergeCell ref="K186:L186"/>
    <mergeCell ref="M186:N186"/>
    <mergeCell ref="O186:P186"/>
    <mergeCell ref="S186:V186"/>
    <mergeCell ref="Q193:R193"/>
    <mergeCell ref="S193:V193"/>
    <mergeCell ref="M189:N189"/>
    <mergeCell ref="O189:P189"/>
    <mergeCell ref="Q189:R191"/>
    <mergeCell ref="S189:V189"/>
    <mergeCell ref="D190:E190"/>
    <mergeCell ref="K190:L190"/>
    <mergeCell ref="M190:N190"/>
    <mergeCell ref="O190:P190"/>
    <mergeCell ref="S190:V190"/>
    <mergeCell ref="D191:E191"/>
    <mergeCell ref="K191:L191"/>
    <mergeCell ref="M191:N191"/>
    <mergeCell ref="O191:P191"/>
    <mergeCell ref="S191:V191"/>
    <mergeCell ref="D189:E189"/>
    <mergeCell ref="F189:F191"/>
    <mergeCell ref="I189:J191"/>
    <mergeCell ref="F184:F186"/>
    <mergeCell ref="G184:G186"/>
    <mergeCell ref="H184:H186"/>
    <mergeCell ref="K184:L184"/>
    <mergeCell ref="I184:J186"/>
    <mergeCell ref="A193:C193"/>
    <mergeCell ref="D193:F193"/>
    <mergeCell ref="G193:H193"/>
    <mergeCell ref="I193:J193"/>
    <mergeCell ref="K193:L193"/>
    <mergeCell ref="M193:N193"/>
    <mergeCell ref="A189:A191"/>
    <mergeCell ref="B189:C191"/>
    <mergeCell ref="A184:A186"/>
    <mergeCell ref="B184:C186"/>
    <mergeCell ref="D184:E184"/>
    <mergeCell ref="O194:P194"/>
    <mergeCell ref="O193:P193"/>
    <mergeCell ref="S194:V194"/>
    <mergeCell ref="D195:E195"/>
    <mergeCell ref="K195:L195"/>
    <mergeCell ref="M195:N195"/>
    <mergeCell ref="O195:P195"/>
    <mergeCell ref="S195:V195"/>
    <mergeCell ref="D196:E196"/>
    <mergeCell ref="K196:L196"/>
    <mergeCell ref="M196:N196"/>
    <mergeCell ref="O196:P196"/>
    <mergeCell ref="S196:V196"/>
    <mergeCell ref="A194:A196"/>
    <mergeCell ref="B194:C196"/>
    <mergeCell ref="D194:E194"/>
    <mergeCell ref="F194:F196"/>
    <mergeCell ref="G194:G196"/>
    <mergeCell ref="H194:H196"/>
    <mergeCell ref="I194:J196"/>
    <mergeCell ref="K194:L194"/>
    <mergeCell ref="M194:N194"/>
    <mergeCell ref="A242:C242"/>
    <mergeCell ref="D242:F242"/>
    <mergeCell ref="G242:H242"/>
    <mergeCell ref="H199:H201"/>
    <mergeCell ref="I199:J201"/>
    <mergeCell ref="A198:C198"/>
    <mergeCell ref="D198:F198"/>
    <mergeCell ref="G198:H198"/>
    <mergeCell ref="I198:J198"/>
    <mergeCell ref="K198:L198"/>
    <mergeCell ref="M198:N198"/>
    <mergeCell ref="O198:P198"/>
    <mergeCell ref="Q198:R198"/>
    <mergeCell ref="S198:V198"/>
    <mergeCell ref="K201:L201"/>
    <mergeCell ref="M201:N201"/>
    <mergeCell ref="O201:P201"/>
    <mergeCell ref="Q199:R201"/>
    <mergeCell ref="S201:V201"/>
    <mergeCell ref="A199:A201"/>
    <mergeCell ref="A203:C203"/>
    <mergeCell ref="D203:F203"/>
    <mergeCell ref="G203:H203"/>
    <mergeCell ref="I203:J203"/>
    <mergeCell ref="K203:L203"/>
    <mergeCell ref="M203:N203"/>
    <mergeCell ref="O203:P203"/>
    <mergeCell ref="Q203:R203"/>
    <mergeCell ref="S203:V203"/>
    <mergeCell ref="S205:V205"/>
    <mergeCell ref="S206:V206"/>
    <mergeCell ref="S199:V199"/>
    <mergeCell ref="E261:I261"/>
    <mergeCell ref="L261:M261"/>
    <mergeCell ref="N261:P261"/>
    <mergeCell ref="Q261:V261"/>
    <mergeCell ref="G248:S248"/>
    <mergeCell ref="A250:D250"/>
    <mergeCell ref="E250:I250"/>
    <mergeCell ref="J250:K250"/>
    <mergeCell ref="L250:M250"/>
    <mergeCell ref="N250:P250"/>
    <mergeCell ref="S243:V243"/>
    <mergeCell ref="D244:E244"/>
    <mergeCell ref="K244:L244"/>
    <mergeCell ref="M244:N244"/>
    <mergeCell ref="O244:P244"/>
    <mergeCell ref="S244:V244"/>
    <mergeCell ref="D245:E245"/>
    <mergeCell ref="K245:L245"/>
    <mergeCell ref="Q250:V250"/>
    <mergeCell ref="J256:K256"/>
    <mergeCell ref="L256:M256"/>
    <mergeCell ref="N256:P256"/>
    <mergeCell ref="Q256:V256"/>
    <mergeCell ref="A257:A264"/>
    <mergeCell ref="A251:A253"/>
    <mergeCell ref="B251:D251"/>
    <mergeCell ref="B252:D252"/>
    <mergeCell ref="B253:D253"/>
    <mergeCell ref="B257:D257"/>
    <mergeCell ref="B258:D258"/>
    <mergeCell ref="B264:D264"/>
    <mergeCell ref="J257:J264"/>
    <mergeCell ref="D200:E200"/>
    <mergeCell ref="K200:L200"/>
    <mergeCell ref="M200:N200"/>
    <mergeCell ref="O200:P200"/>
    <mergeCell ref="S200:V200"/>
    <mergeCell ref="D199:E199"/>
    <mergeCell ref="K199:L199"/>
    <mergeCell ref="I91:J93"/>
    <mergeCell ref="S208:V208"/>
    <mergeCell ref="A209:A211"/>
    <mergeCell ref="B209:C211"/>
    <mergeCell ref="D209:E209"/>
    <mergeCell ref="F209:F211"/>
    <mergeCell ref="G209:G211"/>
    <mergeCell ref="H209:H211"/>
    <mergeCell ref="I209:J211"/>
    <mergeCell ref="G199:G201"/>
    <mergeCell ref="G204:G206"/>
    <mergeCell ref="H204:H206"/>
    <mergeCell ref="I204:J206"/>
    <mergeCell ref="K204:L204"/>
    <mergeCell ref="M204:N204"/>
    <mergeCell ref="O204:P204"/>
    <mergeCell ref="Q204:R206"/>
    <mergeCell ref="S204:V204"/>
    <mergeCell ref="D205:E205"/>
    <mergeCell ref="K205:L205"/>
    <mergeCell ref="F204:F206"/>
    <mergeCell ref="G189:G191"/>
    <mergeCell ref="H189:H191"/>
    <mergeCell ref="K189:L189"/>
    <mergeCell ref="Q194:R196"/>
    <mergeCell ref="I242:J242"/>
    <mergeCell ref="Q242:R242"/>
    <mergeCell ref="M245:N245"/>
    <mergeCell ref="O245:P245"/>
    <mergeCell ref="S245:V245"/>
    <mergeCell ref="K209:L209"/>
    <mergeCell ref="M209:N209"/>
    <mergeCell ref="O209:P209"/>
    <mergeCell ref="S209:V209"/>
    <mergeCell ref="D210:E210"/>
    <mergeCell ref="K210:L210"/>
    <mergeCell ref="M210:N210"/>
    <mergeCell ref="O210:P210"/>
    <mergeCell ref="S210:V210"/>
    <mergeCell ref="D211:E211"/>
    <mergeCell ref="S211:V211"/>
    <mergeCell ref="K242:L242"/>
    <mergeCell ref="M242:N242"/>
    <mergeCell ref="O242:P242"/>
    <mergeCell ref="S242:V242"/>
    <mergeCell ref="A243:A245"/>
    <mergeCell ref="A111:A123"/>
    <mergeCell ref="B111:C123"/>
    <mergeCell ref="I111:J123"/>
    <mergeCell ref="Q111:R123"/>
    <mergeCell ref="B243:C245"/>
    <mergeCell ref="D243:E243"/>
    <mergeCell ref="F243:F245"/>
    <mergeCell ref="G243:G245"/>
    <mergeCell ref="H243:H245"/>
    <mergeCell ref="I243:J245"/>
    <mergeCell ref="Q243:R245"/>
    <mergeCell ref="Q209:R211"/>
    <mergeCell ref="K211:L211"/>
    <mergeCell ref="M211:N211"/>
    <mergeCell ref="O211:P211"/>
    <mergeCell ref="K243:L243"/>
    <mergeCell ref="M243:N243"/>
    <mergeCell ref="O243:P243"/>
    <mergeCell ref="A208:C208"/>
    <mergeCell ref="D208:F208"/>
    <mergeCell ref="G208:H208"/>
    <mergeCell ref="I208:J208"/>
    <mergeCell ref="K208:L208"/>
    <mergeCell ref="M208:N208"/>
    <mergeCell ref="O208:P208"/>
    <mergeCell ref="Q208:R208"/>
    <mergeCell ref="M199:N199"/>
    <mergeCell ref="O199:P199"/>
    <mergeCell ref="B199:C201"/>
    <mergeCell ref="D201:E201"/>
    <mergeCell ref="F199:F201"/>
    <mergeCell ref="A159:C159"/>
    <mergeCell ref="D159:F159"/>
    <mergeCell ref="G159:H159"/>
    <mergeCell ref="I159:J159"/>
    <mergeCell ref="K159:L159"/>
    <mergeCell ref="M159:N159"/>
    <mergeCell ref="O159:P159"/>
    <mergeCell ref="Q159:R159"/>
    <mergeCell ref="S159:V159"/>
    <mergeCell ref="A160:A162"/>
    <mergeCell ref="B160:C162"/>
    <mergeCell ref="D160:E160"/>
    <mergeCell ref="F160:F162"/>
    <mergeCell ref="G160:G162"/>
    <mergeCell ref="H160:H162"/>
    <mergeCell ref="I160:J162"/>
    <mergeCell ref="K160:L160"/>
    <mergeCell ref="M160:N160"/>
    <mergeCell ref="O160:P160"/>
    <mergeCell ref="Q160:R162"/>
    <mergeCell ref="S160:V160"/>
    <mergeCell ref="D161:E161"/>
    <mergeCell ref="K161:L161"/>
    <mergeCell ref="M161:N161"/>
    <mergeCell ref="O161:P161"/>
    <mergeCell ref="S161:V161"/>
    <mergeCell ref="D162:E162"/>
    <mergeCell ref="K162:L162"/>
    <mergeCell ref="M162:N162"/>
    <mergeCell ref="O162:P162"/>
    <mergeCell ref="S162:V162"/>
    <mergeCell ref="A169:C169"/>
    <mergeCell ref="D169:F169"/>
    <mergeCell ref="G169:H169"/>
    <mergeCell ref="I169:J169"/>
    <mergeCell ref="K169:L169"/>
    <mergeCell ref="M169:N169"/>
    <mergeCell ref="O169:P169"/>
    <mergeCell ref="Q169:R169"/>
    <mergeCell ref="S169:V169"/>
    <mergeCell ref="A170:A172"/>
    <mergeCell ref="B170:C172"/>
    <mergeCell ref="D170:E170"/>
    <mergeCell ref="F170:F172"/>
    <mergeCell ref="G170:G172"/>
    <mergeCell ref="H170:H172"/>
    <mergeCell ref="I170:J172"/>
    <mergeCell ref="K170:L170"/>
    <mergeCell ref="M170:N170"/>
    <mergeCell ref="O170:P170"/>
    <mergeCell ref="Q170:R172"/>
    <mergeCell ref="S170:V170"/>
    <mergeCell ref="D171:E171"/>
    <mergeCell ref="K171:L171"/>
    <mergeCell ref="M171:N171"/>
    <mergeCell ref="O171:P171"/>
    <mergeCell ref="S171:V171"/>
    <mergeCell ref="D172:E172"/>
    <mergeCell ref="K172:L172"/>
    <mergeCell ref="M172:N172"/>
    <mergeCell ref="O172:P172"/>
    <mergeCell ref="S172:V172"/>
    <mergeCell ref="A174:C174"/>
    <mergeCell ref="D174:F174"/>
    <mergeCell ref="G174:H174"/>
    <mergeCell ref="I174:J174"/>
    <mergeCell ref="K174:L174"/>
    <mergeCell ref="M174:N174"/>
    <mergeCell ref="O174:P174"/>
    <mergeCell ref="Q174:R174"/>
    <mergeCell ref="S174:V174"/>
    <mergeCell ref="A175:A177"/>
    <mergeCell ref="B175:C177"/>
    <mergeCell ref="D175:E175"/>
    <mergeCell ref="F175:F177"/>
    <mergeCell ref="G175:G177"/>
    <mergeCell ref="H175:H177"/>
    <mergeCell ref="I175:J177"/>
    <mergeCell ref="K175:L175"/>
    <mergeCell ref="M175:N175"/>
    <mergeCell ref="O175:P175"/>
    <mergeCell ref="Q175:R177"/>
    <mergeCell ref="S175:V175"/>
    <mergeCell ref="D176:E176"/>
    <mergeCell ref="K176:L176"/>
    <mergeCell ref="M176:N176"/>
    <mergeCell ref="O176:P176"/>
    <mergeCell ref="S176:V176"/>
    <mergeCell ref="D177:E177"/>
    <mergeCell ref="K177:L177"/>
    <mergeCell ref="M177:N177"/>
    <mergeCell ref="O177:P177"/>
    <mergeCell ref="S177:V177"/>
    <mergeCell ref="W216:X216"/>
    <mergeCell ref="A217:C217"/>
    <mergeCell ref="D217:F217"/>
    <mergeCell ref="G217:H217"/>
    <mergeCell ref="I217:J217"/>
    <mergeCell ref="K217:L217"/>
    <mergeCell ref="M217:N217"/>
    <mergeCell ref="O217:P217"/>
    <mergeCell ref="Q217:R217"/>
    <mergeCell ref="S217:V217"/>
    <mergeCell ref="A218:A220"/>
    <mergeCell ref="B218:C220"/>
    <mergeCell ref="D218:E218"/>
    <mergeCell ref="F218:F220"/>
    <mergeCell ref="G218:G220"/>
    <mergeCell ref="H218:H220"/>
    <mergeCell ref="I218:J220"/>
    <mergeCell ref="K218:L218"/>
    <mergeCell ref="M218:N218"/>
    <mergeCell ref="O218:P218"/>
    <mergeCell ref="Q218:R220"/>
    <mergeCell ref="S218:V218"/>
    <mergeCell ref="D219:E219"/>
    <mergeCell ref="K219:L219"/>
    <mergeCell ref="M219:N219"/>
    <mergeCell ref="O219:P219"/>
    <mergeCell ref="S219:V219"/>
    <mergeCell ref="D220:E220"/>
    <mergeCell ref="K220:L220"/>
    <mergeCell ref="M220:N220"/>
    <mergeCell ref="O220:P220"/>
    <mergeCell ref="S220:V220"/>
    <mergeCell ref="W221:X221"/>
    <mergeCell ref="A222:C222"/>
    <mergeCell ref="D222:F222"/>
    <mergeCell ref="G222:H222"/>
    <mergeCell ref="I222:J222"/>
    <mergeCell ref="K222:L222"/>
    <mergeCell ref="M222:N222"/>
    <mergeCell ref="O222:P222"/>
    <mergeCell ref="Q222:R222"/>
    <mergeCell ref="S222:V222"/>
    <mergeCell ref="A223:A225"/>
    <mergeCell ref="B223:C225"/>
    <mergeCell ref="D223:E223"/>
    <mergeCell ref="F223:F225"/>
    <mergeCell ref="G223:G225"/>
    <mergeCell ref="H223:H225"/>
    <mergeCell ref="I223:J225"/>
    <mergeCell ref="K223:L223"/>
    <mergeCell ref="M223:N223"/>
    <mergeCell ref="O223:P223"/>
    <mergeCell ref="Q223:R225"/>
    <mergeCell ref="S223:V223"/>
    <mergeCell ref="D224:E224"/>
    <mergeCell ref="K224:L224"/>
    <mergeCell ref="M224:N224"/>
    <mergeCell ref="O224:P224"/>
    <mergeCell ref="S224:V224"/>
    <mergeCell ref="D225:E225"/>
    <mergeCell ref="K225:L225"/>
    <mergeCell ref="M225:N225"/>
    <mergeCell ref="O225:P225"/>
    <mergeCell ref="S225:V225"/>
    <mergeCell ref="A227:C227"/>
    <mergeCell ref="D227:F227"/>
    <mergeCell ref="G227:H227"/>
    <mergeCell ref="I227:J227"/>
    <mergeCell ref="K227:L227"/>
    <mergeCell ref="M227:N227"/>
    <mergeCell ref="O227:P227"/>
    <mergeCell ref="Q227:R227"/>
    <mergeCell ref="S227:V227"/>
    <mergeCell ref="A228:A230"/>
    <mergeCell ref="B228:C230"/>
    <mergeCell ref="D228:E228"/>
    <mergeCell ref="F228:F230"/>
    <mergeCell ref="G228:G230"/>
    <mergeCell ref="H228:H230"/>
    <mergeCell ref="I228:J230"/>
    <mergeCell ref="K228:L228"/>
    <mergeCell ref="M228:N228"/>
    <mergeCell ref="O228:P228"/>
    <mergeCell ref="Q228:R230"/>
    <mergeCell ref="S228:V228"/>
    <mergeCell ref="D229:E229"/>
    <mergeCell ref="K229:L229"/>
    <mergeCell ref="M229:N229"/>
    <mergeCell ref="O229:P229"/>
    <mergeCell ref="S229:V229"/>
    <mergeCell ref="D230:E230"/>
    <mergeCell ref="K230:L230"/>
    <mergeCell ref="M230:N230"/>
    <mergeCell ref="O230:P230"/>
    <mergeCell ref="S230:V230"/>
    <mergeCell ref="A232:C232"/>
    <mergeCell ref="D232:F232"/>
    <mergeCell ref="G232:H232"/>
    <mergeCell ref="I232:J232"/>
    <mergeCell ref="K232:L232"/>
    <mergeCell ref="M232:N232"/>
    <mergeCell ref="O232:P232"/>
    <mergeCell ref="Q232:R232"/>
    <mergeCell ref="S232:V232"/>
    <mergeCell ref="A233:A235"/>
    <mergeCell ref="B233:C235"/>
    <mergeCell ref="D233:E233"/>
    <mergeCell ref="F233:F235"/>
    <mergeCell ref="G233:G235"/>
    <mergeCell ref="H233:H235"/>
    <mergeCell ref="I233:J235"/>
    <mergeCell ref="K233:L233"/>
    <mergeCell ref="M233:N233"/>
    <mergeCell ref="O233:P233"/>
    <mergeCell ref="Q233:R235"/>
    <mergeCell ref="S233:V233"/>
    <mergeCell ref="D234:E234"/>
    <mergeCell ref="K234:L234"/>
    <mergeCell ref="M234:N234"/>
    <mergeCell ref="O234:P234"/>
    <mergeCell ref="S234:V234"/>
    <mergeCell ref="D235:E235"/>
    <mergeCell ref="K235:L235"/>
    <mergeCell ref="M235:N235"/>
    <mergeCell ref="O235:P235"/>
    <mergeCell ref="S235:V235"/>
    <mergeCell ref="A237:C237"/>
    <mergeCell ref="D237:F237"/>
    <mergeCell ref="G237:H237"/>
    <mergeCell ref="I237:J237"/>
    <mergeCell ref="K237:L237"/>
    <mergeCell ref="M237:N237"/>
    <mergeCell ref="O237:P237"/>
    <mergeCell ref="Q237:R237"/>
    <mergeCell ref="S237:V237"/>
    <mergeCell ref="A238:A240"/>
    <mergeCell ref="B238:C240"/>
    <mergeCell ref="D238:E238"/>
    <mergeCell ref="F238:F240"/>
    <mergeCell ref="G238:G240"/>
    <mergeCell ref="H238:H240"/>
    <mergeCell ref="I238:J240"/>
    <mergeCell ref="K238:L238"/>
    <mergeCell ref="M238:N238"/>
    <mergeCell ref="O238:P238"/>
    <mergeCell ref="Q238:R240"/>
    <mergeCell ref="S238:V238"/>
    <mergeCell ref="D239:E239"/>
    <mergeCell ref="K239:L239"/>
    <mergeCell ref="M239:N239"/>
    <mergeCell ref="O239:P239"/>
    <mergeCell ref="S239:V239"/>
    <mergeCell ref="D240:E240"/>
    <mergeCell ref="K240:L240"/>
    <mergeCell ref="M240:N240"/>
    <mergeCell ref="O240:P240"/>
    <mergeCell ref="S240:V240"/>
  </mergeCells>
  <printOptions horizontalCentered="1"/>
  <pageMargins left="0.511811023622047" right="0.511811023622047" top="0.511811023622047" bottom="0.511811023622047" header="0" footer="0"/>
  <pageSetup paperSize="9" scale="79" fitToHeight="0" orientation="landscape" r:id="rId1"/>
  <headerFooter alignWithMargins="0"/>
  <rowBreaks count="5" manualBreakCount="5">
    <brk id="80" max="23" man="1"/>
    <brk id="108" max="23" man="1"/>
    <brk id="178" max="23" man="1"/>
    <brk id="212" max="23" man="1"/>
    <brk id="246"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221"/>
  <sheetViews>
    <sheetView view="pageBreakPreview" topLeftCell="A8" zoomScale="145" zoomScaleNormal="100" zoomScaleSheetLayoutView="145" workbookViewId="0">
      <selection activeCell="X21" sqref="X21"/>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7"/>
      <c r="X1" s="7"/>
    </row>
    <row r="2" spans="1:26"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7"/>
      <c r="X2" s="7"/>
    </row>
    <row r="3" spans="1:26" ht="20.399999999999999"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7"/>
      <c r="X3" s="7"/>
    </row>
    <row r="4" spans="1:26"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7"/>
      <c r="X4" s="7"/>
    </row>
    <row r="5" spans="1:26" ht="18" customHeight="1">
      <c r="A5" s="880" t="str">
        <f>Title!A5</f>
        <v>Prep. By</v>
      </c>
      <c r="B5" s="943"/>
      <c r="C5" s="25" t="str">
        <f>Title!C5</f>
        <v>AP</v>
      </c>
      <c r="D5" s="880" t="str">
        <f>Title!D5</f>
        <v>Checked By</v>
      </c>
      <c r="E5" s="881"/>
      <c r="F5" s="943"/>
      <c r="G5" s="25" t="str">
        <f>Title!G5</f>
        <v>RB</v>
      </c>
      <c r="H5" s="944" t="s">
        <v>123</v>
      </c>
      <c r="I5" s="945"/>
      <c r="J5" s="945"/>
      <c r="K5" s="945"/>
      <c r="L5" s="945"/>
      <c r="M5" s="945"/>
      <c r="N5" s="946"/>
      <c r="O5" s="947" t="str">
        <f>Title!O5</f>
        <v>Contractor</v>
      </c>
      <c r="P5" s="948"/>
      <c r="Q5" s="949"/>
      <c r="R5" s="931" t="str">
        <f>Title!R5</f>
        <v>HITACHI</v>
      </c>
      <c r="S5" s="932"/>
      <c r="T5" s="932"/>
      <c r="U5" s="932"/>
      <c r="V5" s="933"/>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124</v>
      </c>
      <c r="J8" s="118"/>
      <c r="V8" s="112"/>
      <c r="W8" s="113"/>
    </row>
    <row r="9" spans="1:26" s="7" customFormat="1" ht="18" customHeight="1">
      <c r="A9" s="119"/>
      <c r="B9" s="18" t="s">
        <v>125</v>
      </c>
      <c r="V9" s="112"/>
    </row>
    <row r="10" spans="1:26" s="7" customFormat="1" ht="18" customHeight="1">
      <c r="A10" s="114"/>
      <c r="C10" s="14" t="s">
        <v>126</v>
      </c>
      <c r="Q10" s="120" t="s">
        <v>8</v>
      </c>
      <c r="R10" s="121" t="s">
        <v>127</v>
      </c>
      <c r="S10" s="778">
        <v>6</v>
      </c>
      <c r="T10" s="779"/>
      <c r="U10" s="47" t="s">
        <v>128</v>
      </c>
      <c r="V10" s="112" t="s">
        <v>129</v>
      </c>
    </row>
    <row r="11" spans="1:26" s="7" customFormat="1" ht="18" customHeight="1">
      <c r="A11" s="114"/>
      <c r="C11" s="14" t="s">
        <v>130</v>
      </c>
      <c r="Q11" s="120" t="s">
        <v>131</v>
      </c>
      <c r="R11" s="123" t="s">
        <v>127</v>
      </c>
      <c r="S11" s="780">
        <v>3.69</v>
      </c>
      <c r="T11" s="741"/>
      <c r="U11" s="47" t="s">
        <v>132</v>
      </c>
      <c r="V11" s="112"/>
      <c r="X11" s="7">
        <v>7.41</v>
      </c>
    </row>
    <row r="12" spans="1:26" s="7" customFormat="1" ht="18" customHeight="1">
      <c r="A12" s="114"/>
      <c r="C12" s="14" t="s">
        <v>133</v>
      </c>
      <c r="G12" s="124"/>
      <c r="H12" s="124"/>
      <c r="I12" s="7" t="s">
        <v>134</v>
      </c>
      <c r="Q12" s="120" t="s">
        <v>135</v>
      </c>
      <c r="R12" s="121" t="s">
        <v>127</v>
      </c>
      <c r="S12" s="743">
        <v>3.9300000000000003E-3</v>
      </c>
      <c r="T12" s="743"/>
      <c r="U12" s="47" t="s">
        <v>136</v>
      </c>
      <c r="V12" s="112"/>
    </row>
    <row r="13" spans="1:26" s="7" customFormat="1" ht="18" customHeight="1">
      <c r="A13" s="96"/>
      <c r="Q13" s="120"/>
      <c r="R13" s="121"/>
      <c r="S13" s="28"/>
      <c r="T13" s="28"/>
      <c r="U13" s="47"/>
      <c r="V13" s="112"/>
    </row>
    <row r="14" spans="1:26" s="7" customFormat="1" ht="18" customHeight="1">
      <c r="A14" s="119"/>
      <c r="B14" s="18" t="s">
        <v>137</v>
      </c>
      <c r="H14" s="18" t="s">
        <v>138</v>
      </c>
      <c r="Q14" s="120"/>
      <c r="R14" s="121"/>
      <c r="S14" s="28"/>
      <c r="T14" s="28"/>
      <c r="U14" s="47"/>
      <c r="V14" s="112"/>
    </row>
    <row r="15" spans="1:26" s="7" customFormat="1" ht="18" customHeight="1">
      <c r="A15" s="114"/>
      <c r="C15" s="14" t="s">
        <v>139</v>
      </c>
      <c r="Q15" s="120"/>
      <c r="R15" s="121" t="s">
        <v>127</v>
      </c>
      <c r="S15" s="765">
        <f>S11*(1+S12*(75-20))</f>
        <v>4.4875935</v>
      </c>
      <c r="T15" s="765"/>
      <c r="U15" s="47" t="s">
        <v>132</v>
      </c>
      <c r="V15" s="112"/>
      <c r="X15" s="7">
        <f>S11*(1+S12*(75-20))</f>
        <v>4.4875935</v>
      </c>
      <c r="Z15" s="7">
        <v>5.61</v>
      </c>
    </row>
    <row r="16" spans="1:26" s="7" customFormat="1" ht="18" customHeight="1">
      <c r="A16" s="114"/>
      <c r="C16" s="14" t="s">
        <v>140</v>
      </c>
      <c r="Q16" s="120" t="s">
        <v>141</v>
      </c>
      <c r="R16" s="121" t="s">
        <v>127</v>
      </c>
      <c r="S16" s="765">
        <f>S15/1000</f>
        <v>4.4875935000000004E-3</v>
      </c>
      <c r="T16" s="765"/>
      <c r="U16" s="47" t="s">
        <v>142</v>
      </c>
      <c r="V16" s="112"/>
    </row>
    <row r="17" spans="1:26" s="7" customFormat="1" ht="18" customHeight="1">
      <c r="A17" s="114"/>
      <c r="C17" s="14" t="s">
        <v>143</v>
      </c>
      <c r="Q17" s="120" t="s">
        <v>144</v>
      </c>
      <c r="R17" s="121" t="s">
        <v>127</v>
      </c>
      <c r="S17" s="743">
        <v>1</v>
      </c>
      <c r="T17" s="739"/>
      <c r="U17" s="47" t="s">
        <v>8</v>
      </c>
      <c r="V17" s="112"/>
    </row>
    <row r="18" spans="1:26" s="7" customFormat="1" ht="18" customHeight="1">
      <c r="A18" s="114"/>
      <c r="C18" s="14" t="s">
        <v>145</v>
      </c>
      <c r="Q18" s="120" t="s">
        <v>146</v>
      </c>
      <c r="R18" s="121" t="s">
        <v>127</v>
      </c>
      <c r="S18" s="743">
        <v>1</v>
      </c>
      <c r="T18" s="739"/>
      <c r="U18" s="47" t="s">
        <v>8</v>
      </c>
      <c r="V18" s="112"/>
    </row>
    <row r="19" spans="1:26" s="7" customFormat="1" ht="18" customHeight="1">
      <c r="A19" s="114"/>
      <c r="C19" s="14"/>
      <c r="Q19" s="120"/>
      <c r="R19" s="121"/>
      <c r="S19" s="455"/>
      <c r="T19" s="569"/>
      <c r="U19" s="47"/>
      <c r="V19" s="112"/>
    </row>
    <row r="20" spans="1:26" s="7" customFormat="1" ht="18" hidden="1" customHeight="1">
      <c r="A20" s="114"/>
      <c r="C20" s="18"/>
      <c r="D20" s="115"/>
      <c r="E20" s="115"/>
      <c r="F20" s="115"/>
      <c r="G20" s="115"/>
      <c r="H20" s="115"/>
      <c r="Q20" s="120"/>
      <c r="R20" s="121"/>
      <c r="S20" s="455"/>
      <c r="T20" s="569"/>
      <c r="U20" s="47"/>
      <c r="V20" s="112"/>
    </row>
    <row r="21" spans="1:26" s="7" customFormat="1" ht="18" customHeight="1">
      <c r="A21" s="114"/>
      <c r="C21" s="14" t="s">
        <v>147</v>
      </c>
      <c r="J21" s="126"/>
      <c r="K21" s="126"/>
      <c r="Q21" s="120" t="s">
        <v>148</v>
      </c>
      <c r="R21" s="121" t="s">
        <v>127</v>
      </c>
      <c r="S21" s="743">
        <v>120</v>
      </c>
      <c r="T21" s="739"/>
      <c r="U21" s="47" t="s">
        <v>149</v>
      </c>
      <c r="V21" s="112" t="s">
        <v>129</v>
      </c>
    </row>
    <row r="22" spans="1:26" s="7" customFormat="1" ht="18" customHeight="1">
      <c r="A22" s="114"/>
      <c r="C22" s="14" t="s">
        <v>150</v>
      </c>
      <c r="Q22" s="120" t="s">
        <v>151</v>
      </c>
      <c r="R22" s="121" t="s">
        <v>127</v>
      </c>
      <c r="S22" s="766">
        <f>S16*S21</f>
        <v>0.53851122000000007</v>
      </c>
      <c r="T22" s="766"/>
      <c r="U22" s="47" t="s">
        <v>152</v>
      </c>
      <c r="V22" s="112"/>
    </row>
    <row r="23" spans="1:26" s="7" customFormat="1" ht="18" customHeight="1">
      <c r="A23" s="114"/>
      <c r="C23" s="14" t="s">
        <v>153</v>
      </c>
      <c r="Q23" s="120" t="s">
        <v>154</v>
      </c>
      <c r="R23" s="121" t="s">
        <v>127</v>
      </c>
      <c r="S23" s="766">
        <f>2*S16*S21</f>
        <v>1.0770224400000001</v>
      </c>
      <c r="T23" s="766"/>
      <c r="U23" s="47" t="s">
        <v>152</v>
      </c>
      <c r="V23" s="112"/>
      <c r="X23" s="7">
        <f>2*S16*S21</f>
        <v>1.0770224400000001</v>
      </c>
      <c r="Z23" s="7">
        <f>2*S16*S21</f>
        <v>1.0770224400000001</v>
      </c>
    </row>
    <row r="24" spans="1:26" s="7" customFormat="1" ht="18" customHeight="1">
      <c r="A24" s="114"/>
      <c r="C24" s="14" t="s">
        <v>155</v>
      </c>
      <c r="Q24" s="120" t="s">
        <v>156</v>
      </c>
      <c r="R24" s="121" t="s">
        <v>127</v>
      </c>
      <c r="S24" s="766">
        <f>S17*S17*S23</f>
        <v>1.0770224400000001</v>
      </c>
      <c r="T24" s="766"/>
      <c r="U24" s="47" t="s">
        <v>157</v>
      </c>
      <c r="V24" s="112"/>
      <c r="X24" s="7">
        <f>S17*S17*S23</f>
        <v>1.0770224400000001</v>
      </c>
    </row>
    <row r="25" spans="1:26" s="7" customFormat="1" ht="18" customHeight="1">
      <c r="A25" s="114"/>
      <c r="C25" s="14"/>
      <c r="Q25" s="120"/>
      <c r="R25" s="121"/>
      <c r="S25" s="218"/>
      <c r="T25" s="218"/>
      <c r="U25" s="47"/>
      <c r="V25" s="112"/>
    </row>
    <row r="26" spans="1:26" s="7" customFormat="1" ht="18" hidden="1" customHeight="1">
      <c r="A26" s="114"/>
      <c r="C26" s="18" t="s">
        <v>946</v>
      </c>
      <c r="D26" s="115"/>
      <c r="E26" s="115"/>
      <c r="F26" s="115"/>
      <c r="G26" s="115"/>
      <c r="H26" s="115"/>
      <c r="Q26" s="120"/>
      <c r="R26" s="121"/>
      <c r="S26" s="455"/>
      <c r="T26" s="569"/>
      <c r="U26" s="47"/>
      <c r="V26" s="112"/>
    </row>
    <row r="27" spans="1:26" s="7" customFormat="1" ht="18" hidden="1" customHeight="1">
      <c r="A27" s="114"/>
      <c r="C27" s="14" t="s">
        <v>147</v>
      </c>
      <c r="J27" s="126"/>
      <c r="K27" s="126"/>
      <c r="Q27" s="120" t="s">
        <v>148</v>
      </c>
      <c r="R27" s="121" t="s">
        <v>127</v>
      </c>
      <c r="S27" s="743">
        <v>130</v>
      </c>
      <c r="T27" s="739"/>
      <c r="U27" s="47" t="s">
        <v>149</v>
      </c>
      <c r="V27" s="112" t="s">
        <v>129</v>
      </c>
    </row>
    <row r="28" spans="1:26" s="7" customFormat="1" ht="18" hidden="1" customHeight="1">
      <c r="A28" s="114"/>
      <c r="C28" s="14" t="s">
        <v>150</v>
      </c>
      <c r="Q28" s="120" t="s">
        <v>151</v>
      </c>
      <c r="R28" s="121" t="s">
        <v>127</v>
      </c>
      <c r="S28" s="766">
        <f>S16*S27</f>
        <v>0.58338715500000005</v>
      </c>
      <c r="T28" s="766"/>
      <c r="U28" s="47" t="s">
        <v>152</v>
      </c>
      <c r="V28" s="112"/>
    </row>
    <row r="29" spans="1:26" s="7" customFormat="1" ht="18" hidden="1" customHeight="1">
      <c r="A29" s="114"/>
      <c r="C29" s="14" t="s">
        <v>153</v>
      </c>
      <c r="Q29" s="120" t="s">
        <v>154</v>
      </c>
      <c r="R29" s="121" t="s">
        <v>127</v>
      </c>
      <c r="S29" s="766">
        <f>2*S28</f>
        <v>1.1667743100000001</v>
      </c>
      <c r="T29" s="766"/>
      <c r="U29" s="47" t="s">
        <v>152</v>
      </c>
      <c r="V29" s="112"/>
    </row>
    <row r="30" spans="1:26" s="7" customFormat="1" ht="18" hidden="1" customHeight="1">
      <c r="A30" s="114"/>
      <c r="C30" s="14" t="s">
        <v>155</v>
      </c>
      <c r="Q30" s="120" t="s">
        <v>156</v>
      </c>
      <c r="R30" s="121" t="s">
        <v>127</v>
      </c>
      <c r="S30" s="766">
        <f>S17*S17*S29</f>
        <v>1.1667743100000001</v>
      </c>
      <c r="T30" s="766"/>
      <c r="U30" s="47" t="s">
        <v>157</v>
      </c>
      <c r="V30" s="112"/>
    </row>
    <row r="31" spans="1:26" s="7" customFormat="1" ht="18" hidden="1" customHeight="1">
      <c r="A31" s="114"/>
      <c r="C31" s="14"/>
      <c r="Q31" s="120"/>
      <c r="R31" s="121"/>
      <c r="S31" s="218"/>
      <c r="T31" s="218"/>
      <c r="U31" s="47"/>
      <c r="V31" s="112"/>
    </row>
    <row r="32" spans="1:26" s="7" customFormat="1" ht="18" hidden="1" customHeight="1">
      <c r="A32" s="114"/>
      <c r="C32" s="18" t="s">
        <v>947</v>
      </c>
      <c r="D32" s="115"/>
      <c r="E32" s="115"/>
      <c r="F32" s="115"/>
      <c r="G32" s="115"/>
      <c r="H32" s="115"/>
      <c r="Q32" s="120"/>
      <c r="R32" s="121"/>
      <c r="S32" s="455"/>
      <c r="T32" s="569"/>
      <c r="U32" s="47"/>
      <c r="V32" s="112"/>
    </row>
    <row r="33" spans="1:22" s="7" customFormat="1" ht="18" hidden="1" customHeight="1">
      <c r="A33" s="114"/>
      <c r="C33" s="14" t="s">
        <v>147</v>
      </c>
      <c r="J33" s="126"/>
      <c r="K33" s="126"/>
      <c r="Q33" s="120" t="s">
        <v>148</v>
      </c>
      <c r="R33" s="121" t="s">
        <v>127</v>
      </c>
      <c r="S33" s="743">
        <v>140</v>
      </c>
      <c r="T33" s="739"/>
      <c r="U33" s="47" t="s">
        <v>149</v>
      </c>
      <c r="V33" s="112" t="s">
        <v>129</v>
      </c>
    </row>
    <row r="34" spans="1:22" s="7" customFormat="1" ht="18" hidden="1" customHeight="1">
      <c r="A34" s="114"/>
      <c r="C34" s="14" t="s">
        <v>150</v>
      </c>
      <c r="Q34" s="120" t="s">
        <v>151</v>
      </c>
      <c r="R34" s="121" t="s">
        <v>127</v>
      </c>
      <c r="S34" s="766">
        <f>S16*S33</f>
        <v>0.62826309000000002</v>
      </c>
      <c r="T34" s="766"/>
      <c r="U34" s="47" t="s">
        <v>152</v>
      </c>
      <c r="V34" s="112"/>
    </row>
    <row r="35" spans="1:22" s="7" customFormat="1" ht="18" hidden="1" customHeight="1">
      <c r="A35" s="114"/>
      <c r="C35" s="14" t="s">
        <v>153</v>
      </c>
      <c r="Q35" s="120" t="s">
        <v>154</v>
      </c>
      <c r="R35" s="121" t="s">
        <v>127</v>
      </c>
      <c r="S35" s="766">
        <f>2*S34</f>
        <v>1.25652618</v>
      </c>
      <c r="T35" s="766"/>
      <c r="U35" s="47" t="s">
        <v>152</v>
      </c>
      <c r="V35" s="112"/>
    </row>
    <row r="36" spans="1:22" s="7" customFormat="1" ht="18" hidden="1" customHeight="1">
      <c r="A36" s="114"/>
      <c r="C36" s="14" t="s">
        <v>155</v>
      </c>
      <c r="Q36" s="120" t="s">
        <v>156</v>
      </c>
      <c r="R36" s="121" t="s">
        <v>127</v>
      </c>
      <c r="S36" s="766">
        <f>S17*S17*S35</f>
        <v>1.25652618</v>
      </c>
      <c r="T36" s="766"/>
      <c r="U36" s="47" t="s">
        <v>157</v>
      </c>
      <c r="V36" s="112"/>
    </row>
    <row r="37" spans="1:22" s="7" customFormat="1" ht="18" hidden="1" customHeight="1">
      <c r="A37" s="114"/>
      <c r="C37" s="14"/>
      <c r="Q37" s="120"/>
      <c r="R37" s="121"/>
      <c r="S37" s="218"/>
      <c r="T37" s="218"/>
      <c r="U37" s="47"/>
      <c r="V37" s="112"/>
    </row>
    <row r="38" spans="1:22" s="7" customFormat="1" ht="18" hidden="1" customHeight="1">
      <c r="A38" s="114"/>
      <c r="C38" s="18" t="s">
        <v>948</v>
      </c>
      <c r="D38" s="115"/>
      <c r="E38" s="115"/>
      <c r="F38" s="115"/>
      <c r="G38" s="115"/>
      <c r="H38" s="115"/>
      <c r="Q38" s="120"/>
      <c r="R38" s="121"/>
      <c r="S38" s="455"/>
      <c r="T38" s="569"/>
      <c r="U38" s="47"/>
      <c r="V38" s="112"/>
    </row>
    <row r="39" spans="1:22" s="7" customFormat="1" ht="18" hidden="1" customHeight="1">
      <c r="A39" s="114"/>
      <c r="C39" s="14" t="s">
        <v>147</v>
      </c>
      <c r="J39" s="126"/>
      <c r="K39" s="126"/>
      <c r="Q39" s="120" t="s">
        <v>148</v>
      </c>
      <c r="R39" s="121" t="s">
        <v>127</v>
      </c>
      <c r="S39" s="743">
        <v>160</v>
      </c>
      <c r="T39" s="739"/>
      <c r="U39" s="47" t="s">
        <v>149</v>
      </c>
      <c r="V39" s="112" t="s">
        <v>129</v>
      </c>
    </row>
    <row r="40" spans="1:22" s="7" customFormat="1" ht="18" hidden="1" customHeight="1">
      <c r="A40" s="114"/>
      <c r="C40" s="14" t="s">
        <v>150</v>
      </c>
      <c r="Q40" s="120" t="s">
        <v>151</v>
      </c>
      <c r="R40" s="121" t="s">
        <v>127</v>
      </c>
      <c r="S40" s="766">
        <f>S16*S39</f>
        <v>0.71801496000000009</v>
      </c>
      <c r="T40" s="766"/>
      <c r="U40" s="47" t="s">
        <v>152</v>
      </c>
      <c r="V40" s="112"/>
    </row>
    <row r="41" spans="1:22" s="7" customFormat="1" ht="18" hidden="1" customHeight="1">
      <c r="A41" s="114"/>
      <c r="C41" s="14" t="s">
        <v>153</v>
      </c>
      <c r="Q41" s="120" t="s">
        <v>154</v>
      </c>
      <c r="R41" s="121" t="s">
        <v>127</v>
      </c>
      <c r="S41" s="766">
        <f>2*S40</f>
        <v>1.4360299200000002</v>
      </c>
      <c r="T41" s="766"/>
      <c r="U41" s="47" t="s">
        <v>152</v>
      </c>
      <c r="V41" s="112"/>
    </row>
    <row r="42" spans="1:22" s="128" customFormat="1" ht="18" hidden="1" customHeight="1">
      <c r="A42" s="127"/>
      <c r="B42" s="7"/>
      <c r="C42" s="14" t="s">
        <v>155</v>
      </c>
      <c r="D42" s="7"/>
      <c r="E42" s="7"/>
      <c r="F42" s="7"/>
      <c r="G42" s="7"/>
      <c r="H42" s="7"/>
      <c r="I42" s="7"/>
      <c r="J42" s="7"/>
      <c r="K42" s="7"/>
      <c r="L42" s="7"/>
      <c r="M42" s="7"/>
      <c r="N42" s="7"/>
      <c r="O42" s="7"/>
      <c r="P42" s="7"/>
      <c r="Q42" s="120" t="s">
        <v>156</v>
      </c>
      <c r="R42" s="121" t="s">
        <v>127</v>
      </c>
      <c r="S42" s="766">
        <f>S17*S17*S41</f>
        <v>1.4360299200000002</v>
      </c>
      <c r="T42" s="766"/>
      <c r="U42" s="47" t="s">
        <v>157</v>
      </c>
      <c r="V42" s="112"/>
    </row>
    <row r="43" spans="1:22" s="128" customFormat="1" ht="18" hidden="1" customHeight="1">
      <c r="A43" s="127"/>
      <c r="B43" s="7"/>
      <c r="C43" s="1050" t="s">
        <v>66</v>
      </c>
      <c r="D43" s="1050"/>
      <c r="E43" s="1050"/>
      <c r="F43" s="1050"/>
      <c r="G43" s="1050"/>
      <c r="H43" s="1050"/>
      <c r="I43" s="1050"/>
      <c r="J43" s="1050"/>
      <c r="K43" s="1050"/>
      <c r="L43" s="1050"/>
      <c r="M43" s="1050"/>
      <c r="N43" s="1050"/>
      <c r="O43" s="1050"/>
      <c r="Q43" s="573"/>
      <c r="R43" s="574"/>
      <c r="S43" s="812">
        <f>S16*165</f>
        <v>0.74045292750000002</v>
      </c>
      <c r="T43" s="813"/>
      <c r="U43" s="296" t="s">
        <v>157</v>
      </c>
      <c r="V43" s="129"/>
    </row>
    <row r="44" spans="1:22" s="7" customFormat="1" ht="18" hidden="1" customHeight="1">
      <c r="A44" s="96"/>
      <c r="C44" s="1050"/>
      <c r="D44" s="1050"/>
      <c r="E44" s="1050"/>
      <c r="F44" s="1050"/>
      <c r="G44" s="1050"/>
      <c r="H44" s="1050"/>
      <c r="I44" s="1050"/>
      <c r="J44" s="1050"/>
      <c r="K44" s="1050"/>
      <c r="L44" s="1050"/>
      <c r="M44" s="1050"/>
      <c r="N44" s="1050"/>
      <c r="O44" s="1050"/>
      <c r="Q44" s="130"/>
      <c r="S44" s="28"/>
      <c r="T44" s="28"/>
      <c r="U44" s="47"/>
      <c r="V44" s="112"/>
    </row>
    <row r="45" spans="1:22" s="7" customFormat="1" ht="18" hidden="1" customHeight="1">
      <c r="A45" s="96"/>
      <c r="C45" s="568"/>
      <c r="D45" s="568"/>
      <c r="E45" s="568"/>
      <c r="F45" s="568"/>
      <c r="G45" s="568"/>
      <c r="H45" s="568"/>
      <c r="I45" s="568"/>
      <c r="J45" s="568"/>
      <c r="K45" s="568"/>
      <c r="L45" s="568"/>
      <c r="M45" s="568"/>
      <c r="N45" s="568"/>
      <c r="O45" s="568"/>
      <c r="Q45" s="130"/>
      <c r="S45" s="28"/>
      <c r="T45" s="28"/>
      <c r="U45" s="47"/>
      <c r="V45" s="112"/>
    </row>
    <row r="46" spans="1:22" s="7" customFormat="1" ht="18" hidden="1" customHeight="1">
      <c r="A46" s="194"/>
      <c r="C46" s="588"/>
      <c r="D46" s="588"/>
      <c r="E46" s="588"/>
      <c r="F46" s="588"/>
      <c r="G46" s="588"/>
      <c r="H46" s="588"/>
      <c r="I46" s="588"/>
      <c r="J46" s="588"/>
      <c r="K46" s="588"/>
      <c r="L46" s="588"/>
      <c r="M46" s="588"/>
      <c r="N46" s="588"/>
      <c r="O46" s="588"/>
      <c r="P46" s="20"/>
      <c r="Q46" s="576"/>
      <c r="R46" s="20"/>
      <c r="S46" s="182"/>
      <c r="T46" s="182"/>
      <c r="U46" s="2"/>
      <c r="V46" s="570"/>
    </row>
    <row r="47" spans="1:22" s="7" customFormat="1" ht="18" hidden="1" customHeight="1">
      <c r="A47" s="96"/>
      <c r="C47" s="568"/>
      <c r="D47" s="568"/>
      <c r="E47" s="568"/>
      <c r="F47" s="568"/>
      <c r="G47" s="568"/>
      <c r="H47" s="568"/>
      <c r="I47" s="568"/>
      <c r="J47" s="568"/>
      <c r="K47" s="568"/>
      <c r="L47" s="568"/>
      <c r="M47" s="568"/>
      <c r="N47" s="568"/>
      <c r="O47" s="568"/>
      <c r="Q47" s="130"/>
      <c r="S47" s="28"/>
      <c r="T47" s="28"/>
      <c r="U47" s="47"/>
      <c r="V47" s="112"/>
    </row>
    <row r="48" spans="1:22" s="7" customFormat="1" ht="18" hidden="1" customHeight="1">
      <c r="A48" s="96"/>
      <c r="C48" s="18" t="s">
        <v>949</v>
      </c>
      <c r="D48" s="115"/>
      <c r="E48" s="115"/>
      <c r="F48" s="115"/>
      <c r="G48" s="115"/>
      <c r="H48" s="115"/>
      <c r="Q48" s="120"/>
      <c r="R48" s="121"/>
      <c r="S48" s="455"/>
      <c r="T48" s="569"/>
      <c r="U48" s="47"/>
      <c r="V48" s="112"/>
    </row>
    <row r="49" spans="1:22" s="7" customFormat="1" ht="18" hidden="1" customHeight="1">
      <c r="A49" s="96"/>
      <c r="C49" s="14" t="s">
        <v>147</v>
      </c>
      <c r="J49" s="126"/>
      <c r="K49" s="126"/>
      <c r="Q49" s="120" t="s">
        <v>148</v>
      </c>
      <c r="R49" s="121" t="s">
        <v>127</v>
      </c>
      <c r="S49" s="743">
        <v>140</v>
      </c>
      <c r="T49" s="739"/>
      <c r="U49" s="47" t="s">
        <v>149</v>
      </c>
      <c r="V49" s="112" t="s">
        <v>129</v>
      </c>
    </row>
    <row r="50" spans="1:22" s="7" customFormat="1" ht="18" hidden="1" customHeight="1">
      <c r="A50" s="96"/>
      <c r="C50" s="14" t="s">
        <v>150</v>
      </c>
      <c r="Q50" s="120" t="s">
        <v>151</v>
      </c>
      <c r="R50" s="121" t="s">
        <v>127</v>
      </c>
      <c r="S50" s="766">
        <f>S16*S49</f>
        <v>0.62826309000000002</v>
      </c>
      <c r="T50" s="766"/>
      <c r="U50" s="47" t="s">
        <v>152</v>
      </c>
      <c r="V50" s="112"/>
    </row>
    <row r="51" spans="1:22" s="7" customFormat="1" ht="18" hidden="1" customHeight="1">
      <c r="A51" s="96"/>
      <c r="C51" s="14" t="s">
        <v>153</v>
      </c>
      <c r="Q51" s="120" t="s">
        <v>154</v>
      </c>
      <c r="R51" s="121" t="s">
        <v>127</v>
      </c>
      <c r="S51" s="766">
        <f>2*S50</f>
        <v>1.25652618</v>
      </c>
      <c r="T51" s="766"/>
      <c r="U51" s="47" t="s">
        <v>152</v>
      </c>
      <c r="V51" s="112"/>
    </row>
    <row r="52" spans="1:22" s="7" customFormat="1" ht="18" hidden="1" customHeight="1">
      <c r="A52" s="96"/>
      <c r="C52" s="14" t="s">
        <v>155</v>
      </c>
      <c r="Q52" s="120" t="s">
        <v>156</v>
      </c>
      <c r="R52" s="121" t="s">
        <v>127</v>
      </c>
      <c r="S52" s="766">
        <f>S17*S17*S51</f>
        <v>1.25652618</v>
      </c>
      <c r="T52" s="766"/>
      <c r="U52" s="47" t="s">
        <v>157</v>
      </c>
      <c r="V52" s="112"/>
    </row>
    <row r="53" spans="1:22" s="7" customFormat="1" ht="18" customHeight="1">
      <c r="A53" s="96"/>
      <c r="C53" s="14"/>
      <c r="Q53" s="120"/>
      <c r="R53" s="121"/>
      <c r="S53" s="218"/>
      <c r="T53" s="218"/>
      <c r="U53" s="47"/>
      <c r="V53" s="112"/>
    </row>
    <row r="54" spans="1:22" s="7" customFormat="1" ht="18" customHeight="1">
      <c r="A54" s="116"/>
      <c r="B54" s="117" t="s">
        <v>158</v>
      </c>
      <c r="M54" s="124"/>
      <c r="N54" s="121"/>
      <c r="Q54" s="130"/>
      <c r="S54" s="28"/>
      <c r="T54" s="28"/>
      <c r="U54" s="47"/>
      <c r="V54" s="112"/>
    </row>
    <row r="55" spans="1:22" s="7" customFormat="1" ht="18" customHeight="1">
      <c r="A55" s="119"/>
      <c r="B55" s="18" t="s">
        <v>125</v>
      </c>
      <c r="C55" s="14"/>
      <c r="D55" s="14"/>
      <c r="E55" s="14"/>
      <c r="F55" s="14"/>
      <c r="G55" s="14"/>
      <c r="H55" s="14"/>
      <c r="I55" s="14"/>
      <c r="J55" s="14"/>
      <c r="K55" s="14"/>
      <c r="L55" s="14"/>
      <c r="M55" s="14"/>
      <c r="N55" s="14"/>
      <c r="O55" s="14"/>
      <c r="P55" s="14"/>
      <c r="Q55" s="14"/>
      <c r="R55" s="14"/>
      <c r="S55" s="14"/>
      <c r="T55" s="14"/>
      <c r="U55" s="14"/>
      <c r="V55" s="112"/>
    </row>
    <row r="56" spans="1:22" s="7" customFormat="1" ht="18" customHeight="1">
      <c r="A56" s="114"/>
      <c r="C56" s="14" t="s">
        <v>126</v>
      </c>
      <c r="D56" s="14"/>
      <c r="E56" s="14"/>
      <c r="F56" s="14"/>
      <c r="G56" s="14"/>
      <c r="H56" s="14"/>
      <c r="I56" s="14"/>
      <c r="J56" s="14"/>
      <c r="K56" s="14"/>
      <c r="L56" s="14"/>
      <c r="N56" s="14"/>
      <c r="O56" s="14"/>
      <c r="P56" s="14"/>
      <c r="Q56" s="120" t="s">
        <v>8</v>
      </c>
      <c r="R56" s="28" t="s">
        <v>127</v>
      </c>
      <c r="S56" s="778">
        <v>2.5</v>
      </c>
      <c r="T56" s="779"/>
      <c r="U56" s="47" t="s">
        <v>128</v>
      </c>
      <c r="V56" s="112" t="s">
        <v>129</v>
      </c>
    </row>
    <row r="57" spans="1:22" s="7" customFormat="1" ht="18" customHeight="1">
      <c r="A57" s="114"/>
      <c r="C57" s="14" t="s">
        <v>130</v>
      </c>
      <c r="D57" s="14"/>
      <c r="E57" s="14"/>
      <c r="F57" s="14"/>
      <c r="G57" s="14"/>
      <c r="H57" s="14"/>
      <c r="I57" s="14"/>
      <c r="J57" s="14"/>
      <c r="K57" s="14"/>
      <c r="L57" s="14"/>
      <c r="M57" s="14"/>
      <c r="N57" s="14"/>
      <c r="O57" s="14"/>
      <c r="P57" s="14"/>
      <c r="Q57" s="120" t="s">
        <v>131</v>
      </c>
      <c r="R57" s="102" t="s">
        <v>127</v>
      </c>
      <c r="S57" s="780">
        <v>8.8699999999999992</v>
      </c>
      <c r="T57" s="741"/>
      <c r="U57" s="47" t="s">
        <v>132</v>
      </c>
      <c r="V57" s="112"/>
    </row>
    <row r="58" spans="1:22" s="7" customFormat="1" ht="18" customHeight="1">
      <c r="A58" s="114"/>
      <c r="C58" s="14" t="s">
        <v>133</v>
      </c>
      <c r="D58" s="14"/>
      <c r="E58" s="14"/>
      <c r="F58" s="14"/>
      <c r="G58" s="120"/>
      <c r="H58" s="120"/>
      <c r="I58" s="14" t="s">
        <v>134</v>
      </c>
      <c r="J58" s="14"/>
      <c r="K58" s="14"/>
      <c r="L58" s="14"/>
      <c r="M58" s="14"/>
      <c r="N58" s="14"/>
      <c r="O58" s="14"/>
      <c r="P58" s="14"/>
      <c r="Q58" s="120" t="s">
        <v>135</v>
      </c>
      <c r="R58" s="28" t="s">
        <v>127</v>
      </c>
      <c r="S58" s="743">
        <v>3.9300000000000003E-3</v>
      </c>
      <c r="T58" s="743"/>
      <c r="U58" s="47" t="s">
        <v>136</v>
      </c>
      <c r="V58" s="112"/>
    </row>
    <row r="59" spans="1:22" s="7" customFormat="1" ht="18" customHeight="1">
      <c r="A59" s="96"/>
      <c r="B59" s="14"/>
      <c r="C59" s="14"/>
      <c r="D59" s="14"/>
      <c r="E59" s="14"/>
      <c r="F59" s="14"/>
      <c r="G59" s="14"/>
      <c r="H59" s="14"/>
      <c r="I59" s="14"/>
      <c r="J59" s="14"/>
      <c r="K59" s="14"/>
      <c r="L59" s="14"/>
      <c r="M59" s="14"/>
      <c r="N59" s="14"/>
      <c r="O59" s="14"/>
      <c r="P59" s="14"/>
      <c r="Q59" s="120"/>
      <c r="R59" s="28"/>
      <c r="S59" s="28"/>
      <c r="T59" s="28"/>
      <c r="U59" s="47"/>
      <c r="V59" s="112"/>
    </row>
    <row r="60" spans="1:22" s="7" customFormat="1" ht="18" customHeight="1">
      <c r="A60" s="119"/>
      <c r="B60" s="18" t="s">
        <v>137</v>
      </c>
      <c r="C60" s="14"/>
      <c r="D60" s="14"/>
      <c r="E60" s="14"/>
      <c r="F60" s="14"/>
      <c r="G60" s="14"/>
      <c r="I60" s="18" t="s">
        <v>138</v>
      </c>
      <c r="J60" s="14"/>
      <c r="K60" s="14"/>
      <c r="L60" s="14"/>
      <c r="M60" s="14"/>
      <c r="N60" s="14"/>
      <c r="O60" s="14"/>
      <c r="P60" s="14"/>
      <c r="Q60" s="120"/>
      <c r="R60" s="28"/>
      <c r="S60" s="28"/>
      <c r="T60" s="28"/>
      <c r="U60" s="47"/>
      <c r="V60" s="112"/>
    </row>
    <row r="61" spans="1:22" s="7" customFormat="1" ht="18" customHeight="1">
      <c r="A61" s="114"/>
      <c r="C61" s="14" t="s">
        <v>159</v>
      </c>
      <c r="D61" s="14"/>
      <c r="E61" s="14"/>
      <c r="F61" s="14"/>
      <c r="G61" s="14"/>
      <c r="H61" s="14"/>
      <c r="I61" s="14"/>
      <c r="J61" s="14"/>
      <c r="K61" s="14"/>
      <c r="L61" s="14"/>
      <c r="M61" s="14"/>
      <c r="N61" s="14"/>
      <c r="O61" s="14"/>
      <c r="P61" s="14"/>
      <c r="Q61" s="120"/>
      <c r="R61" s="28" t="s">
        <v>127</v>
      </c>
      <c r="S61" s="765">
        <f>S57*(1+S58*(75-20))</f>
        <v>10.787250499999999</v>
      </c>
      <c r="T61" s="765"/>
      <c r="U61" s="47" t="s">
        <v>132</v>
      </c>
      <c r="V61" s="112"/>
    </row>
    <row r="62" spans="1:22" s="7" customFormat="1" ht="18" customHeight="1">
      <c r="A62" s="114"/>
      <c r="C62" s="14" t="s">
        <v>160</v>
      </c>
      <c r="D62" s="14"/>
      <c r="E62" s="14"/>
      <c r="F62" s="14"/>
      <c r="G62" s="14"/>
      <c r="H62" s="14"/>
      <c r="I62" s="14"/>
      <c r="J62" s="14"/>
      <c r="K62" s="14"/>
      <c r="L62" s="14"/>
      <c r="M62" s="14"/>
      <c r="N62" s="14"/>
      <c r="O62" s="14"/>
      <c r="P62" s="14"/>
      <c r="Q62" s="120" t="s">
        <v>141</v>
      </c>
      <c r="R62" s="28" t="s">
        <v>127</v>
      </c>
      <c r="S62" s="765">
        <f>S61/1000</f>
        <v>1.07872505E-2</v>
      </c>
      <c r="T62" s="765"/>
      <c r="U62" s="47" t="s">
        <v>142</v>
      </c>
      <c r="V62" s="112"/>
    </row>
    <row r="63" spans="1:22" s="7" customFormat="1" ht="18" customHeight="1">
      <c r="A63" s="114"/>
      <c r="C63" s="14" t="s">
        <v>161</v>
      </c>
      <c r="D63" s="14"/>
      <c r="E63" s="14"/>
      <c r="F63" s="14"/>
      <c r="G63" s="14"/>
      <c r="H63" s="14"/>
      <c r="I63" s="14"/>
      <c r="J63" s="14"/>
      <c r="K63" s="14"/>
      <c r="L63" s="14"/>
      <c r="M63" s="14"/>
      <c r="N63" s="14"/>
      <c r="O63" s="14"/>
      <c r="P63" s="14"/>
      <c r="Q63" s="120" t="s">
        <v>162</v>
      </c>
      <c r="R63" s="28" t="s">
        <v>127</v>
      </c>
      <c r="S63" s="743" t="s">
        <v>951</v>
      </c>
      <c r="T63" s="739"/>
      <c r="U63" s="47" t="s">
        <v>163</v>
      </c>
      <c r="V63" s="112"/>
    </row>
    <row r="64" spans="1:22" s="7" customFormat="1" ht="18" customHeight="1">
      <c r="A64" s="114"/>
      <c r="C64" s="14" t="s">
        <v>164</v>
      </c>
      <c r="D64" s="14"/>
      <c r="E64" s="14"/>
      <c r="F64" s="14"/>
      <c r="G64" s="14"/>
      <c r="H64" s="14"/>
      <c r="I64" s="14"/>
      <c r="J64" s="14"/>
      <c r="K64" s="14"/>
      <c r="L64" s="14"/>
      <c r="M64" s="14"/>
      <c r="N64" s="14"/>
      <c r="O64" s="14"/>
      <c r="P64" s="14"/>
      <c r="Q64" s="120" t="s">
        <v>165</v>
      </c>
      <c r="R64" s="28" t="s">
        <v>127</v>
      </c>
      <c r="S64" s="743" t="s">
        <v>166</v>
      </c>
      <c r="T64" s="739"/>
      <c r="U64" s="47" t="s">
        <v>163</v>
      </c>
      <c r="V64" s="112"/>
    </row>
    <row r="65" spans="1:22" s="7" customFormat="1" ht="18" customHeight="1">
      <c r="A65" s="114"/>
      <c r="C65" s="14"/>
      <c r="D65" s="14"/>
      <c r="E65" s="14"/>
      <c r="F65" s="14"/>
      <c r="G65" s="14"/>
      <c r="H65" s="14"/>
      <c r="I65" s="14"/>
      <c r="J65" s="14"/>
      <c r="K65" s="14"/>
      <c r="L65" s="14"/>
      <c r="M65" s="14"/>
      <c r="N65" s="14"/>
      <c r="O65" s="14"/>
      <c r="P65" s="14"/>
      <c r="Q65" s="120"/>
      <c r="R65" s="28"/>
      <c r="S65" s="455"/>
      <c r="T65" s="569"/>
      <c r="U65" s="47"/>
      <c r="V65" s="112"/>
    </row>
    <row r="66" spans="1:22" s="7" customFormat="1" ht="18" customHeight="1">
      <c r="A66" s="114"/>
      <c r="C66" s="18"/>
      <c r="D66" s="14"/>
      <c r="E66" s="14"/>
      <c r="F66" s="14"/>
      <c r="G66" s="14"/>
      <c r="H66" s="14"/>
      <c r="I66" s="14"/>
      <c r="J66" s="14"/>
      <c r="K66" s="14"/>
      <c r="L66" s="14"/>
      <c r="M66" s="14"/>
      <c r="N66" s="14"/>
      <c r="O66" s="14"/>
      <c r="P66" s="14"/>
      <c r="Q66" s="120"/>
      <c r="R66" s="28"/>
      <c r="S66" s="455"/>
      <c r="T66" s="569"/>
      <c r="U66" s="47"/>
      <c r="V66" s="112"/>
    </row>
    <row r="67" spans="1:22" s="7" customFormat="1" ht="18" customHeight="1">
      <c r="A67" s="114"/>
      <c r="C67" s="14" t="s">
        <v>167</v>
      </c>
      <c r="D67" s="14"/>
      <c r="E67" s="14"/>
      <c r="F67" s="14"/>
      <c r="G67" s="14"/>
      <c r="H67" s="14"/>
      <c r="I67" s="14"/>
      <c r="J67" s="14"/>
      <c r="K67" s="575"/>
      <c r="L67" s="575"/>
      <c r="M67" s="14"/>
      <c r="N67" s="14"/>
      <c r="O67" s="14"/>
      <c r="P67" s="14"/>
      <c r="Q67" s="120" t="s">
        <v>148</v>
      </c>
      <c r="R67" s="28" t="s">
        <v>127</v>
      </c>
      <c r="S67" s="743">
        <v>120</v>
      </c>
      <c r="T67" s="739"/>
      <c r="U67" s="47" t="s">
        <v>149</v>
      </c>
      <c r="V67" s="112" t="s">
        <v>129</v>
      </c>
    </row>
    <row r="68" spans="1:22" s="7" customFormat="1" ht="18" customHeight="1">
      <c r="A68" s="114"/>
      <c r="C68" s="14" t="s">
        <v>168</v>
      </c>
      <c r="D68" s="14"/>
      <c r="E68" s="14"/>
      <c r="F68" s="14"/>
      <c r="G68" s="14"/>
      <c r="H68" s="14"/>
      <c r="I68" s="14"/>
      <c r="J68" s="14"/>
      <c r="K68" s="14"/>
      <c r="L68" s="14"/>
      <c r="M68" s="14"/>
      <c r="N68" s="14"/>
      <c r="O68" s="14"/>
      <c r="P68" s="14"/>
      <c r="Q68" s="120" t="s">
        <v>151</v>
      </c>
      <c r="R68" s="28" t="s">
        <v>127</v>
      </c>
      <c r="S68" s="766">
        <f>S62*S67</f>
        <v>1.2944700599999999</v>
      </c>
      <c r="T68" s="766"/>
      <c r="U68" s="47" t="s">
        <v>152</v>
      </c>
      <c r="V68" s="112"/>
    </row>
    <row r="69" spans="1:22" s="7" customFormat="1" ht="18" customHeight="1">
      <c r="A69" s="114"/>
      <c r="C69" s="14" t="s">
        <v>169</v>
      </c>
      <c r="D69" s="14"/>
      <c r="E69" s="14"/>
      <c r="F69" s="14"/>
      <c r="G69" s="14"/>
      <c r="H69" s="14"/>
      <c r="I69" s="14"/>
      <c r="J69" s="14"/>
      <c r="K69" s="14"/>
      <c r="L69" s="14"/>
      <c r="M69" s="14"/>
      <c r="N69" s="14"/>
      <c r="O69" s="14"/>
      <c r="P69" s="14"/>
      <c r="Q69" s="120" t="s">
        <v>154</v>
      </c>
      <c r="R69" s="28" t="s">
        <v>127</v>
      </c>
      <c r="S69" s="766">
        <f>2*S62*S67</f>
        <v>2.5889401199999997</v>
      </c>
      <c r="T69" s="766"/>
      <c r="U69" s="47" t="s">
        <v>152</v>
      </c>
      <c r="V69" s="112"/>
    </row>
    <row r="70" spans="1:22" s="7" customFormat="1" ht="18" customHeight="1">
      <c r="A70" s="96"/>
      <c r="M70" s="124"/>
      <c r="N70" s="121"/>
      <c r="Q70" s="130"/>
      <c r="S70" s="28"/>
      <c r="T70" s="28"/>
      <c r="U70" s="47"/>
      <c r="V70" s="112"/>
    </row>
    <row r="71" spans="1:22" s="7" customFormat="1" ht="18" hidden="1" customHeight="1">
      <c r="A71" s="96"/>
      <c r="C71" s="18" t="s">
        <v>946</v>
      </c>
      <c r="D71" s="14"/>
      <c r="E71" s="14"/>
      <c r="F71" s="14"/>
      <c r="G71" s="14"/>
      <c r="H71" s="14"/>
      <c r="I71" s="14"/>
      <c r="J71" s="14"/>
      <c r="K71" s="14"/>
      <c r="L71" s="14"/>
      <c r="M71" s="14"/>
      <c r="N71" s="14"/>
      <c r="O71" s="14"/>
      <c r="P71" s="14"/>
      <c r="Q71" s="120"/>
      <c r="R71" s="28"/>
      <c r="S71" s="455"/>
      <c r="T71" s="569"/>
      <c r="U71" s="47"/>
      <c r="V71" s="112"/>
    </row>
    <row r="72" spans="1:22" s="7" customFormat="1" ht="18" hidden="1" customHeight="1">
      <c r="A72" s="96"/>
      <c r="C72" s="14" t="s">
        <v>167</v>
      </c>
      <c r="D72" s="14"/>
      <c r="E72" s="14"/>
      <c r="F72" s="14"/>
      <c r="G72" s="14"/>
      <c r="H72" s="14"/>
      <c r="I72" s="14"/>
      <c r="J72" s="14"/>
      <c r="K72" s="575"/>
      <c r="L72" s="575"/>
      <c r="M72" s="14"/>
      <c r="N72" s="14"/>
      <c r="O72" s="14"/>
      <c r="P72" s="14"/>
      <c r="Q72" s="120" t="s">
        <v>148</v>
      </c>
      <c r="R72" s="28" t="s">
        <v>127</v>
      </c>
      <c r="S72" s="743">
        <v>130</v>
      </c>
      <c r="T72" s="739"/>
      <c r="U72" s="47" t="s">
        <v>149</v>
      </c>
      <c r="V72" s="112" t="s">
        <v>129</v>
      </c>
    </row>
    <row r="73" spans="1:22" s="7" customFormat="1" ht="18" hidden="1" customHeight="1">
      <c r="A73" s="96"/>
      <c r="C73" s="14" t="s">
        <v>168</v>
      </c>
      <c r="D73" s="14"/>
      <c r="E73" s="14"/>
      <c r="F73" s="14"/>
      <c r="G73" s="14"/>
      <c r="H73" s="14"/>
      <c r="I73" s="14"/>
      <c r="J73" s="14"/>
      <c r="K73" s="14"/>
      <c r="L73" s="14"/>
      <c r="M73" s="14"/>
      <c r="N73" s="14"/>
      <c r="O73" s="14"/>
      <c r="P73" s="14"/>
      <c r="Q73" s="120" t="s">
        <v>151</v>
      </c>
      <c r="R73" s="28" t="s">
        <v>127</v>
      </c>
      <c r="S73" s="766">
        <f>S62*S72</f>
        <v>1.4023425649999999</v>
      </c>
      <c r="T73" s="766"/>
      <c r="U73" s="47" t="s">
        <v>152</v>
      </c>
      <c r="V73" s="112"/>
    </row>
    <row r="74" spans="1:22" s="7" customFormat="1" ht="18" hidden="1" customHeight="1">
      <c r="A74" s="96"/>
      <c r="C74" s="14" t="s">
        <v>169</v>
      </c>
      <c r="D74" s="14"/>
      <c r="E74" s="14"/>
      <c r="F74" s="14"/>
      <c r="G74" s="14"/>
      <c r="H74" s="14"/>
      <c r="I74" s="14"/>
      <c r="J74" s="14"/>
      <c r="K74" s="14"/>
      <c r="L74" s="14"/>
      <c r="M74" s="14"/>
      <c r="N74" s="14"/>
      <c r="O74" s="14"/>
      <c r="P74" s="14"/>
      <c r="Q74" s="120" t="s">
        <v>154</v>
      </c>
      <c r="R74" s="28" t="s">
        <v>127</v>
      </c>
      <c r="S74" s="766">
        <f>2*S73</f>
        <v>2.8046851299999997</v>
      </c>
      <c r="T74" s="766"/>
      <c r="U74" s="47" t="s">
        <v>152</v>
      </c>
      <c r="V74" s="112"/>
    </row>
    <row r="75" spans="1:22" s="7" customFormat="1" ht="18" hidden="1" customHeight="1">
      <c r="A75" s="96"/>
      <c r="M75" s="124"/>
      <c r="N75" s="121"/>
      <c r="Q75" s="130"/>
      <c r="S75" s="28"/>
      <c r="T75" s="28"/>
      <c r="U75" s="47"/>
      <c r="V75" s="112"/>
    </row>
    <row r="76" spans="1:22" s="7" customFormat="1" ht="18" hidden="1" customHeight="1">
      <c r="A76" s="96"/>
      <c r="C76" s="18" t="s">
        <v>947</v>
      </c>
      <c r="D76" s="14"/>
      <c r="E76" s="14"/>
      <c r="F76" s="14"/>
      <c r="G76" s="14"/>
      <c r="H76" s="14"/>
      <c r="I76" s="14"/>
      <c r="J76" s="14"/>
      <c r="K76" s="14"/>
      <c r="L76" s="14"/>
      <c r="M76" s="14"/>
      <c r="N76" s="14"/>
      <c r="O76" s="14"/>
      <c r="P76" s="14"/>
      <c r="Q76" s="120"/>
      <c r="R76" s="28"/>
      <c r="S76" s="455"/>
      <c r="T76" s="569"/>
      <c r="U76" s="47"/>
      <c r="V76" s="112"/>
    </row>
    <row r="77" spans="1:22" s="7" customFormat="1" ht="18" hidden="1" customHeight="1">
      <c r="A77" s="96"/>
      <c r="C77" s="14" t="s">
        <v>167</v>
      </c>
      <c r="D77" s="14"/>
      <c r="E77" s="14"/>
      <c r="F77" s="14"/>
      <c r="G77" s="14"/>
      <c r="H77" s="14"/>
      <c r="I77" s="14"/>
      <c r="J77" s="14"/>
      <c r="K77" s="575"/>
      <c r="L77" s="575"/>
      <c r="M77" s="14"/>
      <c r="N77" s="14"/>
      <c r="O77" s="14"/>
      <c r="P77" s="14"/>
      <c r="Q77" s="120" t="s">
        <v>148</v>
      </c>
      <c r="R77" s="28" t="s">
        <v>127</v>
      </c>
      <c r="S77" s="743">
        <v>140</v>
      </c>
      <c r="T77" s="739"/>
      <c r="U77" s="47" t="s">
        <v>149</v>
      </c>
      <c r="V77" s="112" t="s">
        <v>129</v>
      </c>
    </row>
    <row r="78" spans="1:22" s="7" customFormat="1" ht="18" hidden="1" customHeight="1">
      <c r="A78" s="96"/>
      <c r="C78" s="14" t="s">
        <v>168</v>
      </c>
      <c r="D78" s="14"/>
      <c r="E78" s="14"/>
      <c r="F78" s="14"/>
      <c r="G78" s="14"/>
      <c r="H78" s="14"/>
      <c r="I78" s="14"/>
      <c r="J78" s="14"/>
      <c r="K78" s="14"/>
      <c r="L78" s="14"/>
      <c r="M78" s="14"/>
      <c r="N78" s="14"/>
      <c r="O78" s="14"/>
      <c r="P78" s="14"/>
      <c r="Q78" s="120" t="s">
        <v>151</v>
      </c>
      <c r="R78" s="28" t="s">
        <v>127</v>
      </c>
      <c r="S78" s="766">
        <f>S62*S77</f>
        <v>1.5102150699999999</v>
      </c>
      <c r="T78" s="766"/>
      <c r="U78" s="47" t="s">
        <v>152</v>
      </c>
      <c r="V78" s="112"/>
    </row>
    <row r="79" spans="1:22" s="7" customFormat="1" ht="18" hidden="1" customHeight="1">
      <c r="A79" s="96"/>
      <c r="C79" s="14" t="s">
        <v>169</v>
      </c>
      <c r="D79" s="14"/>
      <c r="E79" s="14"/>
      <c r="F79" s="14"/>
      <c r="G79" s="14"/>
      <c r="H79" s="14"/>
      <c r="I79" s="14"/>
      <c r="J79" s="14"/>
      <c r="K79" s="14"/>
      <c r="L79" s="14"/>
      <c r="M79" s="14"/>
      <c r="N79" s="14"/>
      <c r="O79" s="14"/>
      <c r="P79" s="14"/>
      <c r="Q79" s="120" t="s">
        <v>154</v>
      </c>
      <c r="R79" s="28" t="s">
        <v>127</v>
      </c>
      <c r="S79" s="766">
        <f>2*S78</f>
        <v>3.0204301399999998</v>
      </c>
      <c r="T79" s="766"/>
      <c r="U79" s="47" t="s">
        <v>152</v>
      </c>
      <c r="V79" s="112"/>
    </row>
    <row r="80" spans="1:22" s="7" customFormat="1" ht="18" hidden="1" customHeight="1">
      <c r="A80" s="96"/>
      <c r="C80" s="14"/>
      <c r="D80" s="14"/>
      <c r="E80" s="14"/>
      <c r="F80" s="14"/>
      <c r="G80" s="14"/>
      <c r="H80" s="14"/>
      <c r="I80" s="14"/>
      <c r="J80" s="14"/>
      <c r="K80" s="14"/>
      <c r="L80" s="14"/>
      <c r="M80" s="14"/>
      <c r="N80" s="14"/>
      <c r="O80" s="14"/>
      <c r="P80" s="14"/>
      <c r="Q80" s="120"/>
      <c r="R80" s="28"/>
      <c r="S80" s="218"/>
      <c r="T80" s="218"/>
      <c r="U80" s="47"/>
      <c r="V80" s="112"/>
    </row>
    <row r="81" spans="1:22" s="7" customFormat="1" ht="18" hidden="1" customHeight="1">
      <c r="A81" s="96"/>
      <c r="C81" s="14"/>
      <c r="D81" s="14"/>
      <c r="E81" s="14"/>
      <c r="F81" s="14"/>
      <c r="G81" s="14"/>
      <c r="H81" s="14"/>
      <c r="I81" s="14"/>
      <c r="J81" s="14"/>
      <c r="K81" s="14"/>
      <c r="L81" s="14"/>
      <c r="M81" s="14"/>
      <c r="N81" s="14"/>
      <c r="O81" s="14"/>
      <c r="P81" s="14"/>
      <c r="Q81" s="120"/>
      <c r="R81" s="28"/>
      <c r="S81" s="218"/>
      <c r="T81" s="218"/>
      <c r="U81" s="47"/>
      <c r="V81" s="112"/>
    </row>
    <row r="82" spans="1:22" s="7" customFormat="1" ht="18" hidden="1" customHeight="1">
      <c r="A82" s="96"/>
      <c r="C82" s="14"/>
      <c r="D82" s="14"/>
      <c r="E82" s="14"/>
      <c r="F82" s="14"/>
      <c r="G82" s="14"/>
      <c r="H82" s="14"/>
      <c r="I82" s="14"/>
      <c r="J82" s="14"/>
      <c r="K82" s="14"/>
      <c r="L82" s="14"/>
      <c r="M82" s="14"/>
      <c r="N82" s="14"/>
      <c r="O82" s="14"/>
      <c r="P82" s="14"/>
      <c r="Q82" s="120"/>
      <c r="R82" s="28"/>
      <c r="S82" s="218"/>
      <c r="T82" s="218"/>
      <c r="U82" s="47"/>
      <c r="V82" s="112"/>
    </row>
    <row r="83" spans="1:22" s="7" customFormat="1" ht="18" hidden="1" customHeight="1">
      <c r="A83" s="96"/>
      <c r="C83" s="14"/>
      <c r="D83" s="14"/>
      <c r="E83" s="14"/>
      <c r="F83" s="14"/>
      <c r="G83" s="14"/>
      <c r="H83" s="14"/>
      <c r="I83" s="14"/>
      <c r="J83" s="14"/>
      <c r="K83" s="14"/>
      <c r="L83" s="14"/>
      <c r="M83" s="14"/>
      <c r="N83" s="14"/>
      <c r="O83" s="14"/>
      <c r="P83" s="14"/>
      <c r="Q83" s="120"/>
      <c r="R83" s="28"/>
      <c r="S83" s="218"/>
      <c r="T83" s="218"/>
      <c r="U83" s="47"/>
      <c r="V83" s="112"/>
    </row>
    <row r="84" spans="1:22" s="7" customFormat="1" ht="18" hidden="1" customHeight="1">
      <c r="A84" s="96"/>
      <c r="C84" s="14"/>
      <c r="D84" s="14"/>
      <c r="E84" s="14"/>
      <c r="F84" s="14"/>
      <c r="G84" s="14"/>
      <c r="H84" s="14"/>
      <c r="I84" s="14"/>
      <c r="J84" s="14"/>
      <c r="K84" s="14"/>
      <c r="L84" s="14"/>
      <c r="M84" s="14"/>
      <c r="N84" s="14"/>
      <c r="O84" s="14"/>
      <c r="P84" s="14"/>
      <c r="Q84" s="120"/>
      <c r="R84" s="28"/>
      <c r="S84" s="218"/>
      <c r="T84" s="218"/>
      <c r="U84" s="47"/>
      <c r="V84" s="112"/>
    </row>
    <row r="85" spans="1:22" s="7" customFormat="1" ht="18" hidden="1" customHeight="1">
      <c r="A85" s="194"/>
      <c r="B85" s="20"/>
      <c r="C85" s="20"/>
      <c r="D85" s="20"/>
      <c r="E85" s="20"/>
      <c r="F85" s="20"/>
      <c r="G85" s="20"/>
      <c r="H85" s="20"/>
      <c r="I85" s="20"/>
      <c r="J85" s="20"/>
      <c r="K85" s="20"/>
      <c r="L85" s="20"/>
      <c r="M85" s="21"/>
      <c r="N85" s="22"/>
      <c r="O85" s="20"/>
      <c r="P85" s="20"/>
      <c r="Q85" s="576"/>
      <c r="R85" s="20"/>
      <c r="S85" s="182"/>
      <c r="T85" s="182"/>
      <c r="U85" s="2"/>
      <c r="V85" s="570"/>
    </row>
    <row r="86" spans="1:22" s="7" customFormat="1" ht="18" hidden="1" customHeight="1">
      <c r="A86" s="135"/>
      <c r="B86" s="111"/>
      <c r="C86" s="111"/>
      <c r="D86" s="111"/>
      <c r="E86" s="111"/>
      <c r="F86" s="111"/>
      <c r="G86" s="111"/>
      <c r="H86" s="111"/>
      <c r="I86" s="111"/>
      <c r="J86" s="111"/>
      <c r="K86" s="111"/>
      <c r="L86" s="111"/>
      <c r="M86" s="273"/>
      <c r="N86" s="136"/>
      <c r="O86" s="111"/>
      <c r="P86" s="111"/>
      <c r="Q86" s="137"/>
      <c r="R86" s="111"/>
      <c r="S86" s="138"/>
      <c r="T86" s="138"/>
      <c r="U86" s="139"/>
      <c r="V86" s="140"/>
    </row>
    <row r="87" spans="1:22" s="7" customFormat="1" ht="18" hidden="1" customHeight="1">
      <c r="A87" s="96"/>
      <c r="C87" s="18" t="s">
        <v>950</v>
      </c>
      <c r="D87" s="14"/>
      <c r="E87" s="14"/>
      <c r="F87" s="14"/>
      <c r="G87" s="14"/>
      <c r="H87" s="14"/>
      <c r="I87" s="14"/>
      <c r="J87" s="14"/>
      <c r="K87" s="14"/>
      <c r="L87" s="14"/>
      <c r="N87" s="14"/>
      <c r="O87" s="14"/>
      <c r="P87" s="14"/>
      <c r="Q87" s="120"/>
      <c r="R87" s="28"/>
      <c r="S87" s="455"/>
      <c r="T87" s="569"/>
      <c r="U87" s="47"/>
      <c r="V87" s="112"/>
    </row>
    <row r="88" spans="1:22" s="7" customFormat="1" ht="18" hidden="1" customHeight="1">
      <c r="A88" s="96"/>
      <c r="C88" s="14" t="s">
        <v>167</v>
      </c>
      <c r="D88" s="14"/>
      <c r="E88" s="14"/>
      <c r="F88" s="14"/>
      <c r="G88" s="14"/>
      <c r="H88" s="14"/>
      <c r="I88" s="14"/>
      <c r="J88" s="14"/>
      <c r="K88" s="575"/>
      <c r="L88" s="575"/>
      <c r="M88" s="14"/>
      <c r="N88" s="14"/>
      <c r="O88" s="14"/>
      <c r="P88" s="14"/>
      <c r="Q88" s="120" t="s">
        <v>148</v>
      </c>
      <c r="R88" s="28" t="s">
        <v>127</v>
      </c>
      <c r="S88" s="743">
        <v>160</v>
      </c>
      <c r="T88" s="739"/>
      <c r="U88" s="47" t="s">
        <v>149</v>
      </c>
      <c r="V88" s="112" t="s">
        <v>129</v>
      </c>
    </row>
    <row r="89" spans="1:22" s="7" customFormat="1" ht="18" hidden="1" customHeight="1">
      <c r="A89" s="96"/>
      <c r="C89" s="14" t="s">
        <v>168</v>
      </c>
      <c r="D89" s="14"/>
      <c r="E89" s="14"/>
      <c r="F89" s="14"/>
      <c r="G89" s="14"/>
      <c r="H89" s="14"/>
      <c r="I89" s="14"/>
      <c r="J89" s="14"/>
      <c r="K89" s="14"/>
      <c r="L89" s="14"/>
      <c r="M89" s="14"/>
      <c r="N89" s="14"/>
      <c r="O89" s="14"/>
      <c r="P89" s="14"/>
      <c r="Q89" s="120" t="s">
        <v>151</v>
      </c>
      <c r="R89" s="28" t="s">
        <v>127</v>
      </c>
      <c r="S89" s="766">
        <f>S62*S88</f>
        <v>1.7259600799999999</v>
      </c>
      <c r="T89" s="766"/>
      <c r="U89" s="47" t="s">
        <v>152</v>
      </c>
      <c r="V89" s="112"/>
    </row>
    <row r="90" spans="1:22" s="7" customFormat="1" ht="18" hidden="1" customHeight="1">
      <c r="A90" s="96"/>
      <c r="C90" s="14" t="s">
        <v>169</v>
      </c>
      <c r="D90" s="14"/>
      <c r="E90" s="14"/>
      <c r="F90" s="14"/>
      <c r="G90" s="14"/>
      <c r="H90" s="14"/>
      <c r="I90" s="14"/>
      <c r="J90" s="14"/>
      <c r="K90" s="14"/>
      <c r="L90" s="14"/>
      <c r="M90" s="14"/>
      <c r="N90" s="14"/>
      <c r="O90" s="14"/>
      <c r="P90" s="14"/>
      <c r="Q90" s="120" t="s">
        <v>154</v>
      </c>
      <c r="R90" s="28" t="s">
        <v>127</v>
      </c>
      <c r="S90" s="766">
        <f>2*S89</f>
        <v>3.4519201599999998</v>
      </c>
      <c r="T90" s="766"/>
      <c r="U90" s="47" t="s">
        <v>152</v>
      </c>
      <c r="V90" s="112"/>
    </row>
    <row r="91" spans="1:22" s="7" customFormat="1" ht="18" hidden="1" customHeight="1">
      <c r="A91" s="96"/>
      <c r="C91" s="14"/>
      <c r="D91" s="14"/>
      <c r="E91" s="14"/>
      <c r="F91" s="14"/>
      <c r="G91" s="14"/>
      <c r="H91" s="14"/>
      <c r="I91" s="14"/>
      <c r="J91" s="14"/>
      <c r="K91" s="14"/>
      <c r="L91" s="14"/>
      <c r="M91" s="14"/>
      <c r="N91" s="14"/>
      <c r="O91" s="14"/>
      <c r="P91" s="14"/>
      <c r="Q91" s="120"/>
      <c r="R91" s="28"/>
      <c r="S91" s="218"/>
      <c r="T91" s="218"/>
      <c r="U91" s="47"/>
      <c r="V91" s="112"/>
    </row>
    <row r="92" spans="1:22" s="7" customFormat="1" ht="18" hidden="1" customHeight="1">
      <c r="A92" s="96"/>
      <c r="C92" s="18" t="s">
        <v>949</v>
      </c>
      <c r="D92" s="14"/>
      <c r="E92" s="14"/>
      <c r="F92" s="14"/>
      <c r="G92" s="14"/>
      <c r="H92" s="14"/>
      <c r="I92" s="14"/>
      <c r="J92" s="14"/>
      <c r="K92" s="14"/>
      <c r="L92" s="14"/>
      <c r="M92" s="14"/>
      <c r="N92" s="14"/>
      <c r="O92" s="14"/>
      <c r="P92" s="14"/>
      <c r="Q92" s="120"/>
      <c r="R92" s="28"/>
      <c r="S92" s="455"/>
      <c r="T92" s="569"/>
      <c r="U92" s="47"/>
      <c r="V92" s="112"/>
    </row>
    <row r="93" spans="1:22" s="7" customFormat="1" ht="18" hidden="1" customHeight="1">
      <c r="A93" s="96"/>
      <c r="C93" s="14" t="s">
        <v>167</v>
      </c>
      <c r="D93" s="14"/>
      <c r="E93" s="14"/>
      <c r="F93" s="14"/>
      <c r="G93" s="14"/>
      <c r="H93" s="14"/>
      <c r="I93" s="14"/>
      <c r="J93" s="14"/>
      <c r="K93" s="575"/>
      <c r="L93" s="575"/>
      <c r="M93" s="14"/>
      <c r="N93" s="14"/>
      <c r="O93" s="14"/>
      <c r="P93" s="14"/>
      <c r="Q93" s="120" t="s">
        <v>148</v>
      </c>
      <c r="R93" s="28" t="s">
        <v>127</v>
      </c>
      <c r="S93" s="743">
        <v>140</v>
      </c>
      <c r="T93" s="739"/>
      <c r="U93" s="47" t="s">
        <v>149</v>
      </c>
      <c r="V93" s="112" t="s">
        <v>129</v>
      </c>
    </row>
    <row r="94" spans="1:22" s="7" customFormat="1" ht="18" hidden="1" customHeight="1">
      <c r="A94" s="96"/>
      <c r="C94" s="14" t="s">
        <v>168</v>
      </c>
      <c r="D94" s="14"/>
      <c r="E94" s="14"/>
      <c r="F94" s="14"/>
      <c r="G94" s="14"/>
      <c r="H94" s="14"/>
      <c r="I94" s="14"/>
      <c r="J94" s="14"/>
      <c r="K94" s="14"/>
      <c r="L94" s="14"/>
      <c r="M94" s="14"/>
      <c r="N94" s="14"/>
      <c r="O94" s="14"/>
      <c r="P94" s="14"/>
      <c r="Q94" s="120" t="s">
        <v>151</v>
      </c>
      <c r="R94" s="28" t="s">
        <v>127</v>
      </c>
      <c r="S94" s="766">
        <f>S62*S93</f>
        <v>1.5102150699999999</v>
      </c>
      <c r="T94" s="766"/>
      <c r="U94" s="47" t="s">
        <v>152</v>
      </c>
      <c r="V94" s="112"/>
    </row>
    <row r="95" spans="1:22" s="7" customFormat="1" ht="18" hidden="1" customHeight="1">
      <c r="A95" s="96"/>
      <c r="C95" s="14" t="s">
        <v>169</v>
      </c>
      <c r="D95" s="14"/>
      <c r="E95" s="14"/>
      <c r="F95" s="14"/>
      <c r="G95" s="14"/>
      <c r="H95" s="14"/>
      <c r="I95" s="14"/>
      <c r="J95" s="14"/>
      <c r="K95" s="14"/>
      <c r="L95" s="14"/>
      <c r="M95" s="14"/>
      <c r="N95" s="14"/>
      <c r="O95" s="14"/>
      <c r="P95" s="14"/>
      <c r="Q95" s="120" t="s">
        <v>154</v>
      </c>
      <c r="R95" s="28" t="s">
        <v>127</v>
      </c>
      <c r="S95" s="766">
        <f>2*S94</f>
        <v>3.0204301399999998</v>
      </c>
      <c r="T95" s="766"/>
      <c r="U95" s="47" t="s">
        <v>152</v>
      </c>
      <c r="V95" s="112"/>
    </row>
    <row r="96" spans="1:22" s="7" customFormat="1" ht="18" hidden="1" customHeight="1">
      <c r="A96" s="96"/>
      <c r="I96" s="7" t="s">
        <v>129</v>
      </c>
      <c r="J96" s="14" t="s">
        <v>170</v>
      </c>
      <c r="M96" s="124"/>
      <c r="N96" s="121"/>
      <c r="Q96" s="130"/>
      <c r="S96" s="28"/>
      <c r="T96" s="28"/>
      <c r="U96" s="47"/>
      <c r="V96" s="112"/>
    </row>
    <row r="97" spans="1:28" s="7" customFormat="1" ht="18" customHeight="1">
      <c r="A97" s="96"/>
      <c r="J97" s="14"/>
      <c r="M97" s="124"/>
      <c r="N97" s="121"/>
      <c r="Q97" s="130"/>
      <c r="S97" s="28"/>
      <c r="T97" s="28"/>
      <c r="U97" s="47"/>
      <c r="V97" s="112"/>
    </row>
    <row r="98" spans="1:28" s="7" customFormat="1" ht="18" hidden="1" customHeight="1">
      <c r="A98" s="96"/>
      <c r="J98" s="14"/>
      <c r="M98" s="124"/>
      <c r="N98" s="121"/>
      <c r="Q98" s="130"/>
      <c r="S98" s="28"/>
      <c r="T98" s="28"/>
      <c r="U98" s="47"/>
      <c r="V98" s="112"/>
    </row>
    <row r="99" spans="1:28" s="7" customFormat="1" ht="18" customHeight="1">
      <c r="A99" s="96"/>
      <c r="J99" s="14"/>
      <c r="M99" s="124"/>
      <c r="N99" s="121"/>
      <c r="Q99" s="130"/>
      <c r="S99" s="28"/>
      <c r="T99" s="28"/>
      <c r="U99" s="47"/>
      <c r="V99" s="112"/>
    </row>
    <row r="100" spans="1:28" s="7" customFormat="1" ht="18" customHeight="1">
      <c r="A100" s="194"/>
      <c r="B100" s="20"/>
      <c r="C100" s="20"/>
      <c r="D100" s="20"/>
      <c r="E100" s="20"/>
      <c r="F100" s="20"/>
      <c r="G100" s="20"/>
      <c r="H100" s="20"/>
      <c r="I100" s="20"/>
      <c r="J100" s="195"/>
      <c r="K100" s="20"/>
      <c r="L100" s="20"/>
      <c r="M100" s="21"/>
      <c r="N100" s="22"/>
      <c r="O100" s="20"/>
      <c r="P100" s="20"/>
      <c r="Q100" s="576"/>
      <c r="R100" s="20"/>
      <c r="S100" s="182"/>
      <c r="T100" s="182"/>
      <c r="U100" s="2"/>
      <c r="V100" s="570"/>
    </row>
    <row r="101" spans="1:28" s="7" customFormat="1" ht="0.6" customHeight="1">
      <c r="A101" s="577"/>
      <c r="C101" s="572"/>
      <c r="F101" s="571"/>
      <c r="H101" s="572"/>
      <c r="K101" s="571"/>
      <c r="M101" s="572"/>
      <c r="S101" s="124"/>
      <c r="T101" s="121"/>
      <c r="V101" s="381"/>
    </row>
    <row r="102" spans="1:28" s="7" customFormat="1" ht="18" customHeight="1">
      <c r="A102" s="96"/>
      <c r="M102" s="124"/>
      <c r="N102" s="121"/>
      <c r="Q102" s="130"/>
      <c r="S102" s="28"/>
      <c r="T102" s="28"/>
      <c r="U102" s="47"/>
      <c r="V102" s="112"/>
    </row>
    <row r="103" spans="1:28" s="7" customFormat="1" ht="18" customHeight="1">
      <c r="A103" s="116"/>
      <c r="B103" s="117" t="s">
        <v>171</v>
      </c>
      <c r="N103" s="121"/>
      <c r="Q103" s="771" t="s">
        <v>172</v>
      </c>
      <c r="R103" s="771"/>
      <c r="S103" s="772" t="s">
        <v>173</v>
      </c>
      <c r="T103" s="772"/>
      <c r="U103" s="47"/>
      <c r="V103" s="112"/>
      <c r="W103" s="7" t="s">
        <v>174</v>
      </c>
    </row>
    <row r="104" spans="1:28" s="7" customFormat="1" ht="18" customHeight="1">
      <c r="A104" s="141"/>
      <c r="B104" s="142"/>
      <c r="C104" s="578" t="s">
        <v>175</v>
      </c>
      <c r="D104" s="142"/>
      <c r="E104" s="142"/>
      <c r="F104" s="142"/>
      <c r="G104" s="142"/>
      <c r="H104" s="142"/>
      <c r="I104" s="142"/>
      <c r="J104" s="142"/>
      <c r="K104" s="142"/>
      <c r="L104" s="142"/>
      <c r="M104" s="142"/>
      <c r="N104" s="579"/>
      <c r="O104" s="580" t="s">
        <v>176</v>
      </c>
      <c r="P104" s="142"/>
      <c r="Q104" s="750">
        <v>0.02</v>
      </c>
      <c r="R104" s="750"/>
      <c r="S104" s="751">
        <v>0.02</v>
      </c>
      <c r="T104" s="751"/>
      <c r="U104" s="581" t="s">
        <v>157</v>
      </c>
      <c r="V104" s="143"/>
      <c r="X104" s="7" t="s">
        <v>177</v>
      </c>
      <c r="AB104" s="7">
        <f>0.15/5^2</f>
        <v>6.0000000000000001E-3</v>
      </c>
    </row>
    <row r="105" spans="1:28" s="7" customFormat="1" ht="18" customHeight="1">
      <c r="A105" s="114"/>
      <c r="B105" s="142"/>
      <c r="C105" s="581" t="s">
        <v>178</v>
      </c>
      <c r="D105" s="142"/>
      <c r="E105" s="142"/>
      <c r="F105" s="142"/>
      <c r="G105" s="142"/>
      <c r="H105" s="142"/>
      <c r="I105" s="142"/>
      <c r="J105" s="142"/>
      <c r="K105" s="142"/>
      <c r="L105" s="582"/>
      <c r="M105" s="582"/>
      <c r="N105" s="142"/>
      <c r="O105" s="583" t="s">
        <v>179</v>
      </c>
      <c r="P105" s="142"/>
      <c r="Q105" s="750">
        <v>0.01</v>
      </c>
      <c r="R105" s="750"/>
      <c r="S105" s="751">
        <v>0.15</v>
      </c>
      <c r="T105" s="751"/>
      <c r="U105" s="581" t="s">
        <v>157</v>
      </c>
      <c r="V105" s="143"/>
    </row>
    <row r="106" spans="1:28" s="7" customFormat="1" ht="18" hidden="1" customHeight="1">
      <c r="A106" s="141"/>
      <c r="B106" s="142"/>
      <c r="C106" s="578" t="s">
        <v>180</v>
      </c>
      <c r="D106" s="142"/>
      <c r="E106" s="142"/>
      <c r="F106" s="142"/>
      <c r="G106" s="142"/>
      <c r="H106" s="142"/>
      <c r="I106" s="142"/>
      <c r="J106" s="142"/>
      <c r="K106" s="142"/>
      <c r="L106" s="142"/>
      <c r="M106" s="142"/>
      <c r="N106" s="142"/>
      <c r="O106" s="583" t="s">
        <v>181</v>
      </c>
      <c r="P106" s="142"/>
      <c r="Q106" s="750">
        <v>0.1</v>
      </c>
      <c r="R106" s="750"/>
      <c r="S106" s="751">
        <v>0.5</v>
      </c>
      <c r="T106" s="751"/>
      <c r="U106" s="581" t="s">
        <v>157</v>
      </c>
      <c r="V106" s="143"/>
    </row>
    <row r="107" spans="1:28" s="7" customFormat="1" ht="18" hidden="1" customHeight="1">
      <c r="A107" s="141"/>
      <c r="B107" s="142"/>
      <c r="C107" s="581" t="s">
        <v>182</v>
      </c>
      <c r="D107" s="142"/>
      <c r="E107" s="142"/>
      <c r="F107" s="142"/>
      <c r="G107" s="142"/>
      <c r="H107" s="142"/>
      <c r="I107" s="142"/>
      <c r="J107" s="142"/>
      <c r="K107" s="142"/>
      <c r="L107" s="142"/>
      <c r="M107" s="142"/>
      <c r="N107" s="142"/>
      <c r="O107" s="583" t="s">
        <v>183</v>
      </c>
      <c r="P107" s="142"/>
      <c r="Q107" s="750">
        <v>0.02</v>
      </c>
      <c r="R107" s="750"/>
      <c r="S107" s="751">
        <v>0.02</v>
      </c>
      <c r="T107" s="751"/>
      <c r="U107" s="581" t="s">
        <v>157</v>
      </c>
      <c r="V107" s="143"/>
    </row>
    <row r="108" spans="1:28" s="7" customFormat="1" ht="18" hidden="1" customHeight="1">
      <c r="A108" s="141"/>
      <c r="B108" s="142"/>
      <c r="C108" s="578" t="s">
        <v>184</v>
      </c>
      <c r="D108" s="142"/>
      <c r="E108" s="142"/>
      <c r="F108" s="142"/>
      <c r="G108" s="142"/>
      <c r="H108" s="142"/>
      <c r="I108" s="142"/>
      <c r="J108" s="142"/>
      <c r="K108" s="142"/>
      <c r="L108" s="142"/>
      <c r="M108" s="142"/>
      <c r="N108" s="142"/>
      <c r="O108" s="583" t="s">
        <v>185</v>
      </c>
      <c r="P108" s="142"/>
      <c r="Q108" s="750">
        <v>0.1</v>
      </c>
      <c r="R108" s="750"/>
      <c r="S108" s="751">
        <v>0.5</v>
      </c>
      <c r="T108" s="751"/>
      <c r="U108" s="581" t="s">
        <v>157</v>
      </c>
      <c r="V108" s="143"/>
    </row>
    <row r="109" spans="1:28" s="7" customFormat="1" ht="18" hidden="1" customHeight="1">
      <c r="A109" s="141"/>
      <c r="B109" s="142"/>
      <c r="C109" s="581" t="s">
        <v>186</v>
      </c>
      <c r="D109" s="142"/>
      <c r="E109" s="142"/>
      <c r="F109" s="142"/>
      <c r="G109" s="142"/>
      <c r="H109" s="142"/>
      <c r="I109" s="142"/>
      <c r="J109" s="142"/>
      <c r="K109" s="142"/>
      <c r="L109" s="142"/>
      <c r="M109" s="142"/>
      <c r="N109" s="142"/>
      <c r="O109" s="583" t="s">
        <v>187</v>
      </c>
      <c r="P109" s="142"/>
      <c r="Q109" s="750">
        <v>0.02</v>
      </c>
      <c r="R109" s="750"/>
      <c r="S109" s="751">
        <v>0.5</v>
      </c>
      <c r="T109" s="751"/>
      <c r="U109" s="581" t="s">
        <v>157</v>
      </c>
      <c r="V109" s="143"/>
    </row>
    <row r="110" spans="1:28" s="7" customFormat="1" ht="18" hidden="1" customHeight="1">
      <c r="A110" s="141"/>
      <c r="B110" s="142"/>
      <c r="C110" s="581" t="s">
        <v>188</v>
      </c>
      <c r="D110" s="142"/>
      <c r="E110" s="142"/>
      <c r="F110" s="142"/>
      <c r="G110" s="142"/>
      <c r="H110" s="142"/>
      <c r="I110" s="142"/>
      <c r="J110" s="142"/>
      <c r="K110" s="142"/>
      <c r="L110" s="142"/>
      <c r="M110" s="142"/>
      <c r="N110" s="142"/>
      <c r="O110" s="583" t="s">
        <v>189</v>
      </c>
      <c r="P110" s="142"/>
      <c r="Q110" s="1045">
        <v>0.02</v>
      </c>
      <c r="R110" s="1046"/>
      <c r="S110" s="1051">
        <v>0.05</v>
      </c>
      <c r="T110" s="1052"/>
      <c r="U110" s="581" t="s">
        <v>157</v>
      </c>
      <c r="V110" s="143"/>
    </row>
    <row r="111" spans="1:28" s="7" customFormat="1" ht="18" customHeight="1">
      <c r="A111" s="141"/>
      <c r="B111" s="142"/>
      <c r="C111" s="581" t="s">
        <v>190</v>
      </c>
      <c r="D111" s="142"/>
      <c r="E111" s="142"/>
      <c r="F111" s="142"/>
      <c r="G111" s="142"/>
      <c r="H111" s="142"/>
      <c r="I111" s="142"/>
      <c r="J111" s="142"/>
      <c r="K111" s="142"/>
      <c r="L111" s="142"/>
      <c r="M111" s="142"/>
      <c r="N111" s="142"/>
      <c r="O111" s="583" t="s">
        <v>191</v>
      </c>
      <c r="P111" s="142"/>
      <c r="Q111" s="1045">
        <v>0.02</v>
      </c>
      <c r="R111" s="1046"/>
      <c r="S111" s="1051">
        <v>0.05</v>
      </c>
      <c r="T111" s="1052"/>
      <c r="U111" s="581" t="s">
        <v>157</v>
      </c>
      <c r="V111" s="143"/>
    </row>
    <row r="112" spans="1:28" s="7" customFormat="1" ht="18" hidden="1" customHeight="1">
      <c r="A112" s="141"/>
      <c r="B112" s="142"/>
      <c r="C112" s="581" t="s">
        <v>192</v>
      </c>
      <c r="D112" s="142"/>
      <c r="E112" s="142"/>
      <c r="F112" s="142"/>
      <c r="G112" s="142"/>
      <c r="H112" s="142"/>
      <c r="I112" s="142"/>
      <c r="J112" s="142"/>
      <c r="K112" s="142"/>
      <c r="L112" s="142"/>
      <c r="M112" s="142"/>
      <c r="N112" s="142"/>
      <c r="O112" s="583" t="s">
        <v>193</v>
      </c>
      <c r="P112" s="142"/>
      <c r="Q112" s="1045" t="s">
        <v>6</v>
      </c>
      <c r="R112" s="1046"/>
      <c r="S112" s="1051">
        <v>0.1</v>
      </c>
      <c r="T112" s="1052"/>
      <c r="U112" s="581" t="s">
        <v>157</v>
      </c>
      <c r="V112" s="143"/>
    </row>
    <row r="113" spans="1:25" s="7" customFormat="1" ht="18" hidden="1" customHeight="1">
      <c r="A113" s="141"/>
      <c r="B113" s="142"/>
      <c r="C113" s="581" t="s">
        <v>194</v>
      </c>
      <c r="D113" s="578"/>
      <c r="E113" s="578"/>
      <c r="F113" s="578"/>
      <c r="G113" s="578"/>
      <c r="H113" s="578"/>
      <c r="I113" s="578"/>
      <c r="J113" s="578"/>
      <c r="K113" s="578"/>
      <c r="L113" s="578"/>
      <c r="O113" s="583" t="s">
        <v>195</v>
      </c>
      <c r="P113" s="578"/>
      <c r="Q113" s="1045">
        <v>0.2</v>
      </c>
      <c r="R113" s="1046"/>
      <c r="S113" s="1051"/>
      <c r="T113" s="1052"/>
      <c r="U113" s="581" t="s">
        <v>157</v>
      </c>
      <c r="V113" s="143"/>
    </row>
    <row r="114" spans="1:25" s="7" customFormat="1" ht="18" hidden="1" customHeight="1">
      <c r="A114" s="141"/>
      <c r="B114" s="142"/>
      <c r="C114" s="581" t="s">
        <v>196</v>
      </c>
      <c r="D114" s="142"/>
      <c r="E114" s="142"/>
      <c r="F114" s="142"/>
      <c r="G114" s="142"/>
      <c r="H114" s="142"/>
      <c r="I114" s="142"/>
      <c r="J114" s="142"/>
      <c r="K114" s="142"/>
      <c r="L114" s="142"/>
      <c r="M114" s="142"/>
      <c r="N114" s="142"/>
      <c r="O114" s="583" t="s">
        <v>197</v>
      </c>
      <c r="P114" s="142"/>
      <c r="Q114" s="750">
        <v>0.1</v>
      </c>
      <c r="R114" s="750"/>
      <c r="S114" s="751">
        <v>0.1</v>
      </c>
      <c r="T114" s="751"/>
      <c r="U114" s="581" t="s">
        <v>157</v>
      </c>
      <c r="V114" s="143"/>
    </row>
    <row r="115" spans="1:25" s="7" customFormat="1" ht="18" hidden="1" customHeight="1">
      <c r="A115" s="141"/>
      <c r="B115" s="142"/>
      <c r="C115" s="581" t="s">
        <v>198</v>
      </c>
      <c r="D115" s="142"/>
      <c r="E115" s="142"/>
      <c r="F115" s="142"/>
      <c r="G115" s="142"/>
      <c r="H115" s="142"/>
      <c r="I115" s="142"/>
      <c r="J115" s="142"/>
      <c r="K115" s="142"/>
      <c r="L115" s="142"/>
      <c r="M115" s="142"/>
      <c r="N115" s="142"/>
      <c r="O115" s="583" t="s">
        <v>199</v>
      </c>
      <c r="P115" s="142"/>
      <c r="Q115" s="750">
        <v>0.1</v>
      </c>
      <c r="R115" s="750"/>
      <c r="S115" s="751">
        <v>0.1</v>
      </c>
      <c r="T115" s="751"/>
      <c r="U115" s="581" t="s">
        <v>157</v>
      </c>
      <c r="V115" s="143"/>
    </row>
    <row r="116" spans="1:25" s="7" customFormat="1" ht="18" hidden="1" customHeight="1">
      <c r="A116" s="141"/>
      <c r="B116" s="142"/>
      <c r="C116" s="581"/>
      <c r="D116" s="142"/>
      <c r="E116" s="142"/>
      <c r="F116" s="142"/>
      <c r="G116" s="142"/>
      <c r="H116" s="142"/>
      <c r="I116" s="142"/>
      <c r="J116" s="142"/>
      <c r="K116" s="142"/>
      <c r="L116" s="142"/>
      <c r="M116" s="142"/>
      <c r="N116" s="142"/>
      <c r="O116" s="583"/>
      <c r="P116" s="142"/>
      <c r="Q116" s="1045"/>
      <c r="R116" s="1046"/>
      <c r="S116" s="1051"/>
      <c r="T116" s="1052"/>
      <c r="U116" s="581"/>
      <c r="V116" s="143"/>
    </row>
    <row r="117" spans="1:25" s="7" customFormat="1" ht="18" hidden="1" customHeight="1">
      <c r="A117" s="141"/>
      <c r="B117" s="142"/>
      <c r="C117" s="581" t="s">
        <v>200</v>
      </c>
      <c r="D117" s="142"/>
      <c r="E117" s="142"/>
      <c r="F117" s="142"/>
      <c r="G117" s="142"/>
      <c r="H117" s="142"/>
      <c r="I117" s="142"/>
      <c r="J117" s="142"/>
      <c r="K117" s="142"/>
      <c r="L117" s="142"/>
      <c r="M117" s="142"/>
      <c r="N117" s="142"/>
      <c r="O117" s="583" t="s">
        <v>201</v>
      </c>
      <c r="P117" s="142"/>
      <c r="Q117" s="1045">
        <v>0.1</v>
      </c>
      <c r="R117" s="1046"/>
      <c r="S117" s="1051">
        <v>0.1</v>
      </c>
      <c r="T117" s="1052"/>
      <c r="U117" s="581" t="s">
        <v>157</v>
      </c>
      <c r="V117" s="143"/>
    </row>
    <row r="118" spans="1:25" s="32" customFormat="1" ht="18" customHeight="1">
      <c r="A118" s="144"/>
      <c r="B118" s="142"/>
      <c r="C118" s="581" t="s">
        <v>202</v>
      </c>
      <c r="D118" s="142"/>
      <c r="E118" s="142"/>
      <c r="F118" s="142"/>
      <c r="G118" s="142"/>
      <c r="H118" s="142"/>
      <c r="I118" s="142"/>
      <c r="J118" s="142"/>
      <c r="K118" s="142"/>
      <c r="L118" s="142"/>
      <c r="M118" s="142"/>
      <c r="N118" s="142"/>
      <c r="O118" s="583" t="s">
        <v>203</v>
      </c>
      <c r="P118" s="142"/>
      <c r="Q118" s="750">
        <v>0.1</v>
      </c>
      <c r="R118" s="750"/>
      <c r="S118" s="751">
        <v>0.1</v>
      </c>
      <c r="T118" s="751"/>
      <c r="U118" s="581" t="s">
        <v>157</v>
      </c>
      <c r="V118" s="143"/>
    </row>
    <row r="119" spans="1:25" s="7" customFormat="1" ht="18" customHeight="1">
      <c r="A119" s="141"/>
      <c r="B119" s="142"/>
      <c r="C119" s="581" t="s">
        <v>204</v>
      </c>
      <c r="D119" s="142"/>
      <c r="E119" s="142"/>
      <c r="F119" s="142"/>
      <c r="G119" s="142"/>
      <c r="H119" s="142"/>
      <c r="I119" s="142"/>
      <c r="J119" s="142"/>
      <c r="K119" s="142"/>
      <c r="L119" s="142"/>
      <c r="M119" s="142"/>
      <c r="N119" s="142"/>
      <c r="O119" s="583" t="s">
        <v>205</v>
      </c>
      <c r="P119" s="142"/>
      <c r="Q119" s="750">
        <v>0.1</v>
      </c>
      <c r="R119" s="750"/>
      <c r="S119" s="751">
        <v>0.1</v>
      </c>
      <c r="T119" s="751"/>
      <c r="U119" s="581" t="s">
        <v>157</v>
      </c>
      <c r="V119" s="143"/>
      <c r="Y119" t="s">
        <v>206</v>
      </c>
    </row>
    <row r="120" spans="1:25" s="7" customFormat="1" ht="18" hidden="1" customHeight="1">
      <c r="A120" s="141"/>
      <c r="B120" s="142"/>
      <c r="C120" s="581" t="s">
        <v>207</v>
      </c>
      <c r="D120" s="142"/>
      <c r="E120" s="142"/>
      <c r="F120" s="142"/>
      <c r="G120" s="142"/>
      <c r="H120" s="142"/>
      <c r="I120" s="142"/>
      <c r="J120" s="142"/>
      <c r="K120" s="142"/>
      <c r="L120" s="582"/>
      <c r="M120" s="582"/>
      <c r="N120" s="142"/>
      <c r="O120" s="583" t="s">
        <v>208</v>
      </c>
      <c r="P120" s="142"/>
      <c r="Q120" s="750" t="s">
        <v>6</v>
      </c>
      <c r="R120" s="750"/>
      <c r="S120" s="751">
        <v>1</v>
      </c>
      <c r="T120" s="751"/>
      <c r="U120" s="581" t="s">
        <v>157</v>
      </c>
      <c r="V120" s="143"/>
    </row>
    <row r="121" spans="1:25" s="7" customFormat="1" ht="18" hidden="1" customHeight="1">
      <c r="A121" s="141"/>
      <c r="B121" s="142"/>
      <c r="C121" s="578" t="s">
        <v>209</v>
      </c>
      <c r="D121" s="142"/>
      <c r="E121" s="142"/>
      <c r="F121" s="142"/>
      <c r="G121" s="142"/>
      <c r="H121" s="142"/>
      <c r="I121" s="142"/>
      <c r="J121" s="142"/>
      <c r="K121" s="142"/>
      <c r="L121" s="142"/>
      <c r="M121" s="142"/>
      <c r="N121" s="142"/>
      <c r="O121" s="583" t="s">
        <v>210</v>
      </c>
      <c r="P121" s="142"/>
      <c r="Q121" s="750">
        <v>0.05</v>
      </c>
      <c r="R121" s="750"/>
      <c r="S121" s="751" t="s">
        <v>6</v>
      </c>
      <c r="T121" s="751"/>
      <c r="U121" s="581" t="s">
        <v>157</v>
      </c>
      <c r="V121" s="143"/>
    </row>
    <row r="122" spans="1:25" s="7" customFormat="1" ht="18" hidden="1" customHeight="1">
      <c r="A122" s="141"/>
      <c r="B122" s="142"/>
      <c r="C122" s="578" t="s">
        <v>211</v>
      </c>
      <c r="D122" s="142"/>
      <c r="E122" s="142"/>
      <c r="F122" s="142"/>
      <c r="G122" s="142"/>
      <c r="H122" s="142"/>
      <c r="I122" s="142"/>
      <c r="J122" s="142"/>
      <c r="K122" s="142"/>
      <c r="L122" s="142"/>
      <c r="M122" s="142"/>
      <c r="N122" s="142"/>
      <c r="O122" s="583" t="s">
        <v>212</v>
      </c>
      <c r="P122" s="142"/>
      <c r="Q122" s="1045">
        <v>0.05</v>
      </c>
      <c r="R122" s="1046"/>
      <c r="S122" s="1051" t="s">
        <v>6</v>
      </c>
      <c r="T122" s="1052"/>
      <c r="U122" s="581" t="s">
        <v>157</v>
      </c>
      <c r="V122" s="143"/>
    </row>
    <row r="123" spans="1:25" s="7" customFormat="1" ht="18" hidden="1" customHeight="1">
      <c r="A123" s="141"/>
      <c r="B123" s="142"/>
      <c r="C123" s="578" t="s">
        <v>213</v>
      </c>
      <c r="D123" s="142"/>
      <c r="E123" s="142"/>
      <c r="F123" s="142"/>
      <c r="G123" s="142"/>
      <c r="H123" s="142"/>
      <c r="I123" s="142"/>
      <c r="J123" s="142"/>
      <c r="K123" s="142"/>
      <c r="L123" s="142"/>
      <c r="M123" s="142"/>
      <c r="N123" s="142"/>
      <c r="O123" s="583" t="s">
        <v>214</v>
      </c>
      <c r="P123" s="142"/>
      <c r="Q123" s="1045">
        <v>0.1</v>
      </c>
      <c r="R123" s="1046"/>
      <c r="S123" s="1051" t="s">
        <v>6</v>
      </c>
      <c r="T123" s="1052"/>
      <c r="U123" s="581" t="s">
        <v>157</v>
      </c>
      <c r="V123" s="143"/>
    </row>
    <row r="124" spans="1:25" s="7" customFormat="1" ht="18" hidden="1" customHeight="1">
      <c r="A124" s="141"/>
      <c r="B124" s="142"/>
      <c r="C124" s="578"/>
      <c r="D124" s="142"/>
      <c r="E124" s="142"/>
      <c r="F124" s="142"/>
      <c r="G124" s="142"/>
      <c r="H124" s="142"/>
      <c r="I124" s="142"/>
      <c r="J124" s="142"/>
      <c r="K124" s="142"/>
      <c r="L124" s="142"/>
      <c r="M124" s="142"/>
      <c r="N124" s="142"/>
      <c r="O124" s="142"/>
      <c r="P124" s="142"/>
      <c r="Q124" s="1053"/>
      <c r="R124" s="1053"/>
      <c r="S124" s="1054"/>
      <c r="T124" s="1054"/>
      <c r="U124" s="581"/>
      <c r="V124" s="143"/>
    </row>
    <row r="125" spans="1:25" s="7" customFormat="1" ht="18" hidden="1" customHeight="1">
      <c r="A125" s="141"/>
      <c r="B125" s="142"/>
      <c r="C125" s="581" t="s">
        <v>215</v>
      </c>
      <c r="D125" s="142"/>
      <c r="E125" s="142"/>
      <c r="F125" s="142"/>
      <c r="G125" s="142"/>
      <c r="H125" s="142"/>
      <c r="I125" s="142"/>
      <c r="J125" s="142"/>
      <c r="K125" s="142"/>
      <c r="L125" s="142"/>
      <c r="M125" s="142"/>
      <c r="N125" s="142"/>
      <c r="O125" s="583" t="s">
        <v>216</v>
      </c>
      <c r="P125" s="142"/>
      <c r="Q125" s="1045">
        <v>0.04</v>
      </c>
      <c r="R125" s="1046"/>
      <c r="S125" s="1051" t="s">
        <v>6</v>
      </c>
      <c r="T125" s="1052"/>
      <c r="U125" s="581" t="s">
        <v>157</v>
      </c>
      <c r="V125" s="143"/>
    </row>
    <row r="126" spans="1:25" s="7" customFormat="1" ht="18" hidden="1" customHeight="1">
      <c r="A126" s="141"/>
      <c r="B126" s="142"/>
      <c r="C126" s="581" t="s">
        <v>217</v>
      </c>
      <c r="D126" s="142"/>
      <c r="E126" s="142"/>
      <c r="F126" s="142"/>
      <c r="G126" s="142"/>
      <c r="H126" s="142"/>
      <c r="I126" s="142"/>
      <c r="J126" s="142"/>
      <c r="K126" s="142"/>
      <c r="L126" s="142"/>
      <c r="M126" s="142"/>
      <c r="N126" s="142"/>
      <c r="O126" s="583" t="s">
        <v>218</v>
      </c>
      <c r="P126" s="142"/>
      <c r="Q126" s="750">
        <v>0.1</v>
      </c>
      <c r="R126" s="750"/>
      <c r="S126" s="751">
        <v>0.3</v>
      </c>
      <c r="T126" s="751"/>
      <c r="U126" s="581" t="s">
        <v>157</v>
      </c>
      <c r="V126" s="143"/>
    </row>
    <row r="127" spans="1:25" s="7" customFormat="1" ht="18" hidden="1" customHeight="1">
      <c r="A127" s="141"/>
      <c r="B127" s="142"/>
      <c r="C127" s="581" t="s">
        <v>219</v>
      </c>
      <c r="D127" s="142"/>
      <c r="E127" s="142"/>
      <c r="F127" s="142"/>
      <c r="G127" s="142"/>
      <c r="H127" s="142"/>
      <c r="I127" s="142"/>
      <c r="J127" s="142"/>
      <c r="K127" s="142"/>
      <c r="L127" s="582"/>
      <c r="M127" s="582"/>
      <c r="N127" s="142"/>
      <c r="O127" s="583" t="s">
        <v>220</v>
      </c>
      <c r="P127" s="142"/>
      <c r="Q127" s="750">
        <v>1</v>
      </c>
      <c r="R127" s="750"/>
      <c r="S127" s="751" t="s">
        <v>6</v>
      </c>
      <c r="T127" s="751"/>
      <c r="U127" s="581" t="s">
        <v>157</v>
      </c>
      <c r="V127" s="143"/>
    </row>
    <row r="128" spans="1:25" s="7" customFormat="1" ht="18" hidden="1" customHeight="1">
      <c r="A128" s="141"/>
      <c r="B128" s="142"/>
      <c r="C128" s="581" t="s">
        <v>221</v>
      </c>
      <c r="D128" s="142"/>
      <c r="E128" s="142"/>
      <c r="F128" s="142"/>
      <c r="G128" s="142"/>
      <c r="H128" s="142"/>
      <c r="I128" s="142"/>
      <c r="J128" s="142"/>
      <c r="K128" s="142"/>
      <c r="L128" s="142"/>
      <c r="M128" s="142"/>
      <c r="N128" s="142"/>
      <c r="O128" s="583" t="s">
        <v>222</v>
      </c>
      <c r="P128" s="142"/>
      <c r="Q128" s="750">
        <v>2E-3</v>
      </c>
      <c r="R128" s="750"/>
      <c r="S128" s="751" t="s">
        <v>6</v>
      </c>
      <c r="T128" s="751"/>
      <c r="U128" s="581" t="s">
        <v>157</v>
      </c>
      <c r="V128" s="143"/>
    </row>
    <row r="129" spans="1:27" s="7" customFormat="1" ht="18" hidden="1" customHeight="1">
      <c r="A129" s="141"/>
      <c r="B129" s="142"/>
      <c r="C129" s="581" t="s">
        <v>223</v>
      </c>
      <c r="D129" s="142"/>
      <c r="E129" s="142"/>
      <c r="F129" s="142"/>
      <c r="G129" s="142"/>
      <c r="H129" s="142"/>
      <c r="I129" s="142"/>
      <c r="J129" s="142"/>
      <c r="K129" s="142"/>
      <c r="L129" s="142"/>
      <c r="M129" s="142"/>
      <c r="N129" s="142"/>
      <c r="O129" s="583" t="s">
        <v>224</v>
      </c>
      <c r="P129" s="142"/>
      <c r="Q129" s="750">
        <v>0.15</v>
      </c>
      <c r="R129" s="750"/>
      <c r="S129" s="751">
        <v>0.02</v>
      </c>
      <c r="T129" s="751"/>
      <c r="U129" s="581" t="s">
        <v>157</v>
      </c>
      <c r="V129" s="143"/>
    </row>
    <row r="130" spans="1:27" s="7" customFormat="1" ht="18" hidden="1" customHeight="1">
      <c r="A130" s="141"/>
      <c r="B130" s="142"/>
      <c r="C130" s="581" t="s">
        <v>225</v>
      </c>
      <c r="D130" s="142"/>
      <c r="E130" s="142"/>
      <c r="F130" s="142"/>
      <c r="G130" s="142"/>
      <c r="H130" s="142"/>
      <c r="I130" s="142"/>
      <c r="J130" s="142"/>
      <c r="K130" s="142"/>
      <c r="L130" s="142"/>
      <c r="M130" s="142"/>
      <c r="N130" s="142"/>
      <c r="O130" s="583" t="s">
        <v>226</v>
      </c>
      <c r="P130" s="142"/>
      <c r="Q130" s="1045">
        <v>0.1</v>
      </c>
      <c r="R130" s="1046"/>
      <c r="S130" s="1051" t="s">
        <v>6</v>
      </c>
      <c r="T130" s="1052"/>
      <c r="U130" s="581" t="s">
        <v>157</v>
      </c>
      <c r="V130" s="143"/>
    </row>
    <row r="131" spans="1:27" s="7" customFormat="1" ht="18" customHeight="1">
      <c r="A131" s="141"/>
      <c r="B131" s="142"/>
      <c r="C131" s="581" t="s">
        <v>227</v>
      </c>
      <c r="D131" s="142"/>
      <c r="E131" s="142"/>
      <c r="F131" s="142"/>
      <c r="G131" s="142"/>
      <c r="H131" s="142"/>
      <c r="I131" s="142"/>
      <c r="J131" s="142"/>
      <c r="K131" s="142"/>
      <c r="L131" s="142"/>
      <c r="M131" s="142"/>
      <c r="N131" s="142"/>
      <c r="O131" s="583" t="s">
        <v>228</v>
      </c>
      <c r="P131" s="142"/>
      <c r="Q131" s="1045">
        <v>0.1</v>
      </c>
      <c r="R131" s="1046"/>
      <c r="S131" s="1051">
        <v>0.1</v>
      </c>
      <c r="T131" s="1052"/>
      <c r="U131" s="581"/>
      <c r="V131" s="143"/>
    </row>
    <row r="132" spans="1:27" s="7" customFormat="1" ht="18" customHeight="1">
      <c r="A132" s="141"/>
      <c r="B132" s="142"/>
      <c r="C132" s="581" t="s">
        <v>229</v>
      </c>
      <c r="D132" s="142"/>
      <c r="E132" s="142"/>
      <c r="F132" s="142"/>
      <c r="G132" s="142"/>
      <c r="H132" s="142"/>
      <c r="I132" s="142"/>
      <c r="J132" s="142"/>
      <c r="K132" s="142"/>
      <c r="L132" s="142"/>
      <c r="M132" s="142"/>
      <c r="N132" s="142"/>
      <c r="O132" s="583" t="s">
        <v>230</v>
      </c>
      <c r="P132" s="142"/>
      <c r="Q132" s="1045">
        <v>0.1</v>
      </c>
      <c r="R132" s="1046"/>
      <c r="S132" s="1051">
        <v>0.1</v>
      </c>
      <c r="T132" s="1052"/>
      <c r="U132" s="581" t="s">
        <v>157</v>
      </c>
      <c r="V132" s="143"/>
    </row>
    <row r="133" spans="1:27" s="7" customFormat="1" ht="18" hidden="1" customHeight="1">
      <c r="A133" s="141"/>
      <c r="B133" s="142"/>
      <c r="C133" s="581" t="s">
        <v>231</v>
      </c>
      <c r="D133" s="142"/>
      <c r="E133" s="142"/>
      <c r="F133" s="142"/>
      <c r="G133" s="142"/>
      <c r="H133" s="142"/>
      <c r="I133" s="142"/>
      <c r="J133" s="142"/>
      <c r="K133" s="142"/>
      <c r="L133" s="142"/>
      <c r="M133" s="142"/>
      <c r="N133" s="142"/>
      <c r="O133" s="583" t="s">
        <v>232</v>
      </c>
      <c r="P133" s="142"/>
      <c r="Q133" s="1045">
        <v>0.01</v>
      </c>
      <c r="R133" s="1046"/>
      <c r="S133" s="1051">
        <v>0.1</v>
      </c>
      <c r="T133" s="1052"/>
      <c r="U133" s="581" t="s">
        <v>157</v>
      </c>
      <c r="V133" s="143"/>
    </row>
    <row r="134" spans="1:27" s="7" customFormat="1" ht="18" hidden="1" customHeight="1">
      <c r="A134" s="141"/>
      <c r="B134" s="142"/>
      <c r="C134" s="581" t="s">
        <v>233</v>
      </c>
      <c r="D134" s="142"/>
      <c r="E134" s="142"/>
      <c r="F134" s="142"/>
      <c r="G134" s="142"/>
      <c r="H134" s="142"/>
      <c r="I134" s="142"/>
      <c r="J134" s="142"/>
      <c r="K134" s="142"/>
      <c r="L134" s="582"/>
      <c r="M134" s="582"/>
      <c r="N134" s="142"/>
      <c r="O134" s="517" t="s">
        <v>234</v>
      </c>
      <c r="P134" s="142"/>
      <c r="Q134" s="750">
        <v>0.1</v>
      </c>
      <c r="R134" s="750"/>
      <c r="S134" s="751">
        <v>0.1</v>
      </c>
      <c r="T134" s="751"/>
      <c r="U134" s="581" t="s">
        <v>157</v>
      </c>
      <c r="V134" s="143"/>
      <c r="Z134" s="1055"/>
      <c r="AA134" s="804"/>
    </row>
    <row r="135" spans="1:27" s="7" customFormat="1" ht="18" customHeight="1">
      <c r="A135" s="141"/>
      <c r="B135" s="142"/>
      <c r="C135" s="581" t="s">
        <v>1057</v>
      </c>
      <c r="D135" s="142"/>
      <c r="E135" s="142"/>
      <c r="F135" s="142"/>
      <c r="G135" s="142"/>
      <c r="H135" s="142"/>
      <c r="I135" s="142"/>
      <c r="J135" s="142"/>
      <c r="K135" s="142"/>
      <c r="L135" s="582"/>
      <c r="M135" s="582"/>
      <c r="N135" s="142" t="s">
        <v>1058</v>
      </c>
      <c r="O135" s="583"/>
      <c r="P135" s="142"/>
      <c r="Q135" s="750">
        <v>0.1</v>
      </c>
      <c r="R135" s="750"/>
      <c r="S135" s="1051">
        <v>0.1</v>
      </c>
      <c r="T135" s="1052"/>
      <c r="U135" s="581"/>
      <c r="V135" s="143"/>
      <c r="Z135" s="145"/>
      <c r="AA135"/>
    </row>
    <row r="136" spans="1:27" s="7" customFormat="1" ht="18" hidden="1" customHeight="1">
      <c r="A136" s="141"/>
      <c r="B136" s="142"/>
      <c r="C136" s="581" t="s">
        <v>235</v>
      </c>
      <c r="D136" s="142"/>
      <c r="E136" s="142"/>
      <c r="F136" s="142"/>
      <c r="G136" s="142"/>
      <c r="H136" s="142"/>
      <c r="I136" s="142"/>
      <c r="J136" s="142"/>
      <c r="K136" s="142"/>
      <c r="L136" s="142"/>
      <c r="M136" s="142"/>
      <c r="N136" s="142"/>
      <c r="O136" s="583" t="s">
        <v>236</v>
      </c>
      <c r="P136" s="142"/>
      <c r="Q136" s="750">
        <v>0.01</v>
      </c>
      <c r="R136" s="750"/>
      <c r="S136" s="751">
        <v>0.1</v>
      </c>
      <c r="T136" s="751"/>
      <c r="U136" s="581" t="s">
        <v>157</v>
      </c>
      <c r="V136" s="143"/>
    </row>
    <row r="137" spans="1:27" s="32" customFormat="1" ht="18" hidden="1" customHeight="1">
      <c r="A137" s="144"/>
      <c r="B137" s="142"/>
      <c r="C137" s="581" t="s">
        <v>237</v>
      </c>
      <c r="D137" s="142"/>
      <c r="E137" s="142"/>
      <c r="F137" s="142"/>
      <c r="G137" s="142"/>
      <c r="H137" s="142"/>
      <c r="I137" s="142"/>
      <c r="J137" s="142"/>
      <c r="K137" s="142"/>
      <c r="L137" s="142"/>
      <c r="M137" s="142"/>
      <c r="N137" s="578"/>
      <c r="O137" s="142"/>
      <c r="P137" s="142"/>
      <c r="Q137" s="1045"/>
      <c r="R137" s="1046"/>
      <c r="S137" s="1051">
        <v>4</v>
      </c>
      <c r="T137" s="1052"/>
      <c r="U137" s="581" t="s">
        <v>157</v>
      </c>
      <c r="V137" s="143"/>
    </row>
    <row r="138" spans="1:27" s="32" customFormat="1" ht="18" hidden="1" customHeight="1">
      <c r="A138" s="144"/>
      <c r="B138" s="142"/>
      <c r="C138" s="581" t="s">
        <v>238</v>
      </c>
      <c r="D138" s="142"/>
      <c r="E138" s="142"/>
      <c r="F138" s="142"/>
      <c r="G138" s="142"/>
      <c r="H138" s="142"/>
      <c r="I138" s="142"/>
      <c r="J138" s="142"/>
      <c r="K138" s="142"/>
      <c r="L138" s="142"/>
      <c r="M138" s="142"/>
      <c r="N138" s="142"/>
      <c r="O138" s="583"/>
      <c r="P138" s="142"/>
      <c r="Q138" s="1056"/>
      <c r="R138" s="1056"/>
      <c r="S138" s="1057">
        <v>0.3</v>
      </c>
      <c r="T138" s="1057"/>
      <c r="U138" s="581" t="s">
        <v>157</v>
      </c>
      <c r="V138" s="143"/>
    </row>
    <row r="139" spans="1:27" s="32" customFormat="1" ht="18" hidden="1" customHeight="1">
      <c r="A139" s="144"/>
      <c r="B139" s="142"/>
      <c r="C139" s="581" t="s">
        <v>239</v>
      </c>
      <c r="D139" s="142"/>
      <c r="E139" s="142"/>
      <c r="F139" s="142"/>
      <c r="G139" s="142"/>
      <c r="H139" s="142"/>
      <c r="I139" s="142"/>
      <c r="J139" s="142"/>
      <c r="K139" s="142"/>
      <c r="L139" s="142"/>
      <c r="M139" s="142"/>
      <c r="N139" s="142"/>
      <c r="O139" s="583"/>
      <c r="P139" s="142"/>
      <c r="Q139" s="750"/>
      <c r="R139" s="750"/>
      <c r="S139" s="751">
        <v>0.3</v>
      </c>
      <c r="T139" s="751"/>
      <c r="U139" s="581" t="s">
        <v>157</v>
      </c>
      <c r="V139" s="143"/>
    </row>
    <row r="140" spans="1:27" s="32" customFormat="1" ht="17.399999999999999" hidden="1" customHeight="1">
      <c r="A140" s="144"/>
      <c r="B140" s="142"/>
      <c r="C140" s="578" t="s">
        <v>240</v>
      </c>
      <c r="D140" s="142"/>
      <c r="E140" s="142"/>
      <c r="F140" s="142"/>
      <c r="G140" s="142"/>
      <c r="H140" s="142"/>
      <c r="I140" s="142"/>
      <c r="J140" s="142"/>
      <c r="K140" s="142"/>
      <c r="L140" s="142"/>
      <c r="M140" s="142"/>
      <c r="N140" s="142"/>
      <c r="O140" s="583"/>
      <c r="P140" s="142"/>
      <c r="Q140" s="750">
        <v>0.1</v>
      </c>
      <c r="R140" s="750"/>
      <c r="S140" s="751">
        <v>0.1</v>
      </c>
      <c r="T140" s="751"/>
      <c r="U140" s="581" t="s">
        <v>157</v>
      </c>
      <c r="V140" s="143"/>
    </row>
    <row r="141" spans="1:27" s="32" customFormat="1" ht="17.399999999999999" hidden="1" customHeight="1">
      <c r="A141" s="144"/>
      <c r="B141" s="142"/>
      <c r="C141" s="581" t="s">
        <v>241</v>
      </c>
      <c r="D141" s="142"/>
      <c r="E141" s="142"/>
      <c r="F141" s="142"/>
      <c r="G141" s="142"/>
      <c r="H141" s="142"/>
      <c r="I141" s="142"/>
      <c r="J141" s="142"/>
      <c r="K141" s="142"/>
      <c r="L141" s="142"/>
      <c r="M141" s="142"/>
      <c r="N141" s="142" t="s">
        <v>242</v>
      </c>
      <c r="O141" s="583"/>
      <c r="P141" s="142"/>
      <c r="Q141" s="1045">
        <v>0.13</v>
      </c>
      <c r="R141" s="1046"/>
      <c r="S141" s="1051">
        <v>0.13</v>
      </c>
      <c r="T141" s="1052"/>
      <c r="U141" s="581" t="s">
        <v>157</v>
      </c>
      <c r="V141" s="143"/>
    </row>
    <row r="142" spans="1:27" s="32" customFormat="1" ht="18" hidden="1" customHeight="1">
      <c r="A142" s="144"/>
      <c r="B142" s="142"/>
      <c r="C142" s="578" t="s">
        <v>243</v>
      </c>
      <c r="D142" s="142"/>
      <c r="E142" s="142"/>
      <c r="F142" s="142"/>
      <c r="G142" s="142"/>
      <c r="H142" s="142"/>
      <c r="I142" s="142"/>
      <c r="J142" s="142"/>
      <c r="K142" s="142"/>
      <c r="L142" s="142"/>
      <c r="M142" s="142"/>
      <c r="N142" s="142"/>
      <c r="O142" s="583" t="s">
        <v>244</v>
      </c>
      <c r="P142" s="142"/>
      <c r="Q142" s="1045">
        <v>8.0000000000000002E-3</v>
      </c>
      <c r="R142" s="1046"/>
      <c r="S142" s="1051">
        <v>2.7</v>
      </c>
      <c r="T142" s="1052"/>
      <c r="U142" s="581" t="s">
        <v>157</v>
      </c>
      <c r="V142" s="143"/>
    </row>
    <row r="143" spans="1:27" s="32" customFormat="1" ht="18" hidden="1" customHeight="1">
      <c r="A143" s="144"/>
      <c r="B143" s="142"/>
      <c r="C143" s="578" t="s">
        <v>245</v>
      </c>
      <c r="D143" s="142"/>
      <c r="E143" s="142"/>
      <c r="F143" s="142"/>
      <c r="G143" s="142"/>
      <c r="H143" s="142"/>
      <c r="I143" s="142"/>
      <c r="J143" s="142"/>
      <c r="K143" s="142"/>
      <c r="L143" s="142"/>
      <c r="M143" s="142"/>
      <c r="N143" s="142"/>
      <c r="O143" s="583" t="s">
        <v>246</v>
      </c>
      <c r="P143" s="142"/>
      <c r="Q143" s="1045">
        <v>0.25</v>
      </c>
      <c r="R143" s="1046"/>
      <c r="S143" s="1051"/>
      <c r="T143" s="1052"/>
      <c r="U143" s="581" t="s">
        <v>157</v>
      </c>
      <c r="V143" s="143"/>
    </row>
    <row r="144" spans="1:27" s="32" customFormat="1" ht="18" hidden="1" customHeight="1">
      <c r="A144" s="144"/>
      <c r="B144" s="142"/>
      <c r="C144" s="578"/>
      <c r="D144" s="142"/>
      <c r="E144" s="142"/>
      <c r="F144" s="142"/>
      <c r="G144" s="142"/>
      <c r="H144" s="142"/>
      <c r="I144" s="142"/>
      <c r="J144" s="142"/>
      <c r="K144" s="142"/>
      <c r="L144" s="142"/>
      <c r="M144" s="142"/>
      <c r="N144" s="142"/>
      <c r="O144" s="583"/>
      <c r="P144" s="142"/>
      <c r="Q144" s="1058"/>
      <c r="R144" s="1059"/>
      <c r="S144" s="1060"/>
      <c r="T144" s="1061"/>
      <c r="U144" s="581"/>
      <c r="V144" s="143"/>
    </row>
    <row r="145" spans="1:29" s="32" customFormat="1" ht="18" hidden="1" customHeight="1">
      <c r="A145" s="144"/>
      <c r="B145" s="142"/>
      <c r="C145" s="578" t="s">
        <v>247</v>
      </c>
      <c r="D145" s="142"/>
      <c r="E145" s="142"/>
      <c r="F145" s="142"/>
      <c r="G145" s="142"/>
      <c r="H145" s="142"/>
      <c r="I145" s="142"/>
      <c r="J145" s="142"/>
      <c r="K145" s="142"/>
      <c r="L145" s="142"/>
      <c r="M145" s="142"/>
      <c r="N145" s="142"/>
      <c r="O145" s="583" t="s">
        <v>248</v>
      </c>
      <c r="P145" s="142"/>
      <c r="Q145" s="1045">
        <v>0.2</v>
      </c>
      <c r="R145" s="1046"/>
      <c r="S145" s="1051">
        <v>0.1</v>
      </c>
      <c r="T145" s="1052"/>
      <c r="U145" s="581" t="s">
        <v>157</v>
      </c>
      <c r="V145" s="143"/>
    </row>
    <row r="146" spans="1:29" s="32" customFormat="1" ht="18" hidden="1" customHeight="1">
      <c r="A146" s="144"/>
      <c r="B146" s="142"/>
      <c r="C146" s="578" t="s">
        <v>249</v>
      </c>
      <c r="D146" s="142"/>
      <c r="E146" s="142"/>
      <c r="F146" s="142"/>
      <c r="G146" s="142"/>
      <c r="H146" s="142"/>
      <c r="I146" s="142"/>
      <c r="J146" s="142"/>
      <c r="K146" s="142"/>
      <c r="L146" s="142"/>
      <c r="M146" s="142"/>
      <c r="N146" s="142"/>
      <c r="O146" s="583"/>
      <c r="P146" s="142"/>
      <c r="Q146" s="750">
        <v>0.1</v>
      </c>
      <c r="R146" s="750"/>
      <c r="S146" s="751">
        <v>0.1</v>
      </c>
      <c r="T146" s="751"/>
      <c r="U146" s="581" t="s">
        <v>157</v>
      </c>
      <c r="V146" s="143" t="s">
        <v>129</v>
      </c>
    </row>
    <row r="147" spans="1:29" s="32" customFormat="1" ht="18" hidden="1" customHeight="1">
      <c r="A147" s="146"/>
      <c r="B147" s="142"/>
      <c r="C147" s="142" t="s">
        <v>250</v>
      </c>
      <c r="D147" s="142"/>
      <c r="E147" s="142"/>
      <c r="F147" s="142"/>
      <c r="G147" s="142"/>
      <c r="H147" s="142"/>
      <c r="I147" s="142"/>
      <c r="J147" s="142"/>
      <c r="K147" s="142"/>
      <c r="L147" s="142"/>
      <c r="M147" s="142"/>
      <c r="N147" s="142"/>
      <c r="O147" s="583"/>
      <c r="P147" s="142"/>
      <c r="Q147" s="750"/>
      <c r="R147" s="750"/>
      <c r="S147" s="751">
        <v>2.2999999999999998</v>
      </c>
      <c r="T147" s="751"/>
      <c r="U147" s="581" t="s">
        <v>157</v>
      </c>
      <c r="V147" s="143"/>
    </row>
    <row r="148" spans="1:29" s="32" customFormat="1" ht="18" hidden="1" customHeight="1">
      <c r="A148" s="146"/>
      <c r="B148" s="142"/>
      <c r="C148" s="578" t="s">
        <v>251</v>
      </c>
      <c r="D148" s="142"/>
      <c r="E148" s="142"/>
      <c r="F148" s="142"/>
      <c r="G148" s="142"/>
      <c r="H148" s="142"/>
      <c r="I148" s="142"/>
      <c r="J148" s="142"/>
      <c r="K148" s="142"/>
      <c r="L148" s="142"/>
      <c r="M148" s="142"/>
      <c r="N148" s="142"/>
      <c r="O148" s="583" t="s">
        <v>252</v>
      </c>
      <c r="P148" s="142"/>
      <c r="Q148" s="750">
        <v>0.1</v>
      </c>
      <c r="R148" s="750"/>
      <c r="S148" s="1051">
        <v>0.1</v>
      </c>
      <c r="T148" s="1052"/>
      <c r="U148" s="581" t="s">
        <v>157</v>
      </c>
      <c r="V148" s="143"/>
    </row>
    <row r="149" spans="1:29" s="32" customFormat="1" ht="18" hidden="1" customHeight="1">
      <c r="A149" s="146"/>
      <c r="B149" s="142"/>
      <c r="C149" s="142" t="s">
        <v>194</v>
      </c>
      <c r="D149" s="142"/>
      <c r="E149" s="142"/>
      <c r="F149" s="142"/>
      <c r="G149" s="142"/>
      <c r="H149" s="142"/>
      <c r="I149" s="142"/>
      <c r="J149" s="142"/>
      <c r="K149" s="142"/>
      <c r="L149" s="142"/>
      <c r="M149" s="142"/>
      <c r="N149" s="142"/>
      <c r="O149" s="582" t="s">
        <v>896</v>
      </c>
      <c r="P149" s="142"/>
      <c r="Q149" s="1045">
        <v>5.8000000000000003E-2</v>
      </c>
      <c r="R149" s="1046"/>
      <c r="S149" s="751">
        <v>0.378</v>
      </c>
      <c r="T149" s="751"/>
      <c r="U149" s="581" t="s">
        <v>157</v>
      </c>
      <c r="V149" s="143"/>
      <c r="AB149" s="32" t="s">
        <v>253</v>
      </c>
      <c r="AC149" s="32" t="s">
        <v>254</v>
      </c>
    </row>
    <row r="150" spans="1:29" s="7" customFormat="1" ht="18" hidden="1" customHeight="1">
      <c r="A150" s="147"/>
      <c r="B150" s="142"/>
      <c r="C150" s="578" t="s">
        <v>255</v>
      </c>
      <c r="D150" s="578"/>
      <c r="E150" s="578"/>
      <c r="F150" s="578"/>
      <c r="G150" s="578"/>
      <c r="H150" s="578"/>
      <c r="I150" s="578"/>
      <c r="J150" s="578"/>
      <c r="K150" s="578"/>
      <c r="L150" s="578"/>
      <c r="M150" s="578"/>
      <c r="N150" s="578"/>
      <c r="O150" s="578" t="s">
        <v>256</v>
      </c>
      <c r="P150" s="578"/>
      <c r="Q150" s="1045">
        <v>1.0580000000000001</v>
      </c>
      <c r="R150" s="1046"/>
      <c r="S150" s="751">
        <v>1.3779999999999999</v>
      </c>
      <c r="T150" s="751"/>
      <c r="U150" s="581" t="s">
        <v>157</v>
      </c>
      <c r="V150" s="143"/>
      <c r="X150" s="7" t="s">
        <v>257</v>
      </c>
      <c r="AB150" s="7">
        <f>0.2/1^2</f>
        <v>0.2</v>
      </c>
      <c r="AC150" s="7">
        <f>0.2/5^2</f>
        <v>8.0000000000000002E-3</v>
      </c>
    </row>
    <row r="151" spans="1:29" s="7" customFormat="1" ht="18" hidden="1" customHeight="1">
      <c r="A151" s="147"/>
      <c r="B151" s="142"/>
      <c r="C151" s="142" t="s">
        <v>258</v>
      </c>
      <c r="D151" s="142"/>
      <c r="E151" s="142"/>
      <c r="F151" s="142"/>
      <c r="G151" s="142"/>
      <c r="H151" s="142"/>
      <c r="I151" s="142"/>
      <c r="J151" s="142"/>
      <c r="K151" s="142"/>
      <c r="L151" s="142"/>
      <c r="M151" s="142"/>
      <c r="N151" s="142"/>
      <c r="O151" s="142"/>
      <c r="P151" s="142"/>
      <c r="Q151" s="1045">
        <v>2.0579999999999998</v>
      </c>
      <c r="R151" s="1046"/>
      <c r="S151" s="751">
        <v>2.3780000000000001</v>
      </c>
      <c r="T151" s="751"/>
      <c r="U151" s="581" t="s">
        <v>157</v>
      </c>
      <c r="V151" s="143"/>
    </row>
    <row r="152" spans="1:29" s="7" customFormat="1" ht="18" customHeight="1">
      <c r="A152" s="147"/>
      <c r="B152" s="142"/>
      <c r="C152" s="142" t="s">
        <v>1011</v>
      </c>
      <c r="D152" s="142"/>
      <c r="E152" s="142"/>
      <c r="F152" s="142"/>
      <c r="G152" s="142"/>
      <c r="H152" s="142"/>
      <c r="I152" s="142"/>
      <c r="J152" s="142"/>
      <c r="K152" s="142"/>
      <c r="L152" s="142"/>
      <c r="M152" s="142"/>
      <c r="N152" s="1064" t="s">
        <v>956</v>
      </c>
      <c r="O152" s="1064"/>
      <c r="P152" s="142"/>
      <c r="Q152" s="1045">
        <v>1</v>
      </c>
      <c r="R152" s="1046"/>
      <c r="S152" s="751">
        <v>1</v>
      </c>
      <c r="T152" s="751"/>
      <c r="U152" s="581" t="s">
        <v>157</v>
      </c>
      <c r="V152" s="143"/>
    </row>
    <row r="153" spans="1:29" s="7" customFormat="1" ht="18" hidden="1" customHeight="1">
      <c r="A153" s="147"/>
      <c r="B153" s="142"/>
      <c r="C153" s="142" t="s">
        <v>1021</v>
      </c>
      <c r="D153" s="142"/>
      <c r="E153" s="142"/>
      <c r="F153" s="142"/>
      <c r="G153" s="142"/>
      <c r="H153" s="142"/>
      <c r="I153" s="142"/>
      <c r="J153" s="142"/>
      <c r="K153" s="142"/>
      <c r="L153" s="142"/>
      <c r="M153" s="142"/>
      <c r="N153" s="142"/>
      <c r="O153" s="582" t="s">
        <v>1012</v>
      </c>
      <c r="P153" s="582"/>
      <c r="Q153" s="1045">
        <v>0.1</v>
      </c>
      <c r="R153" s="1046"/>
      <c r="S153" s="751">
        <v>0.1</v>
      </c>
      <c r="T153" s="751"/>
      <c r="U153" s="581" t="s">
        <v>157</v>
      </c>
      <c r="V153" s="143"/>
    </row>
    <row r="154" spans="1:29" s="7" customFormat="1" ht="18" hidden="1" customHeight="1">
      <c r="A154" s="147"/>
      <c r="B154" s="142"/>
      <c r="C154" s="142" t="s">
        <v>1021</v>
      </c>
      <c r="D154" s="142"/>
      <c r="E154" s="142"/>
      <c r="F154" s="142"/>
      <c r="G154" s="142"/>
      <c r="H154" s="142"/>
      <c r="I154" s="142"/>
      <c r="J154" s="142"/>
      <c r="K154" s="142"/>
      <c r="L154" s="142"/>
      <c r="M154" s="142"/>
      <c r="N154" s="142"/>
      <c r="O154" s="582" t="s">
        <v>1020</v>
      </c>
      <c r="P154" s="582"/>
      <c r="Q154" s="1045">
        <v>0.1</v>
      </c>
      <c r="R154" s="1046"/>
      <c r="S154" s="751">
        <v>0.1</v>
      </c>
      <c r="T154" s="751"/>
      <c r="U154" s="581" t="s">
        <v>157</v>
      </c>
      <c r="V154" s="143"/>
    </row>
    <row r="155" spans="1:29" s="7" customFormat="1" ht="18" customHeight="1">
      <c r="A155" s="147"/>
      <c r="B155" s="142"/>
      <c r="C155" s="142" t="s">
        <v>1021</v>
      </c>
      <c r="D155" s="142"/>
      <c r="E155" s="142"/>
      <c r="F155" s="142"/>
      <c r="G155" s="142"/>
      <c r="H155" s="142"/>
      <c r="I155" s="142"/>
      <c r="J155" s="142"/>
      <c r="K155" s="142"/>
      <c r="L155" s="142"/>
      <c r="M155" s="142"/>
      <c r="N155" s="1064" t="s">
        <v>1059</v>
      </c>
      <c r="O155" s="1064"/>
      <c r="P155" s="582"/>
      <c r="Q155" s="1045">
        <v>0.1</v>
      </c>
      <c r="R155" s="1046"/>
      <c r="S155" s="751">
        <v>0.1</v>
      </c>
      <c r="T155" s="751"/>
      <c r="U155" s="581"/>
      <c r="V155" s="143"/>
    </row>
    <row r="156" spans="1:29" s="7" customFormat="1" ht="18" customHeight="1">
      <c r="A156" s="147"/>
      <c r="B156" s="142"/>
      <c r="C156" s="142" t="s">
        <v>259</v>
      </c>
      <c r="D156" s="142"/>
      <c r="E156" s="142"/>
      <c r="F156" s="142"/>
      <c r="G156" s="142"/>
      <c r="H156" s="142"/>
      <c r="I156" s="142"/>
      <c r="J156" s="142"/>
      <c r="K156" s="142"/>
      <c r="L156" s="142"/>
      <c r="M156" s="142"/>
      <c r="N156" s="142"/>
      <c r="O156" s="142"/>
      <c r="P156" s="142"/>
      <c r="Q156" s="148"/>
      <c r="R156" s="148"/>
      <c r="S156" s="148"/>
      <c r="T156" s="148"/>
      <c r="U156" s="581"/>
      <c r="V156" s="143"/>
    </row>
    <row r="157" spans="1:29" s="7" customFormat="1" ht="18" hidden="1" customHeight="1">
      <c r="A157" s="147"/>
      <c r="B157" s="142"/>
      <c r="C157" s="584" t="s">
        <v>260</v>
      </c>
      <c r="D157" s="142"/>
      <c r="E157" s="142"/>
      <c r="F157" s="142"/>
      <c r="G157" s="142"/>
      <c r="H157" s="142"/>
      <c r="I157" s="142"/>
      <c r="J157" s="142"/>
      <c r="K157" s="142"/>
      <c r="L157" s="142"/>
      <c r="M157" s="142"/>
      <c r="N157" s="142"/>
      <c r="O157" s="583" t="s">
        <v>261</v>
      </c>
      <c r="P157" s="142"/>
      <c r="Q157" s="1051"/>
      <c r="R157" s="1052"/>
      <c r="S157" s="1051">
        <v>3.75</v>
      </c>
      <c r="T157" s="1052"/>
      <c r="U157" s="581" t="s">
        <v>157</v>
      </c>
      <c r="V157" s="143"/>
    </row>
    <row r="158" spans="1:29" s="32" customFormat="1" ht="18" hidden="1" customHeight="1">
      <c r="A158" s="144"/>
      <c r="B158" s="142"/>
      <c r="C158" s="578" t="s">
        <v>245</v>
      </c>
      <c r="D158" s="142"/>
      <c r="E158" s="142"/>
      <c r="F158" s="142"/>
      <c r="G158" s="142"/>
      <c r="H158" s="142"/>
      <c r="I158" s="142"/>
      <c r="J158" s="142"/>
      <c r="K158" s="142"/>
      <c r="L158" s="142"/>
      <c r="M158" s="142"/>
      <c r="N158" s="142"/>
      <c r="O158" s="583" t="s">
        <v>261</v>
      </c>
      <c r="P158" s="142"/>
      <c r="Q158" s="1051">
        <v>1.25</v>
      </c>
      <c r="R158" s="1052"/>
      <c r="S158" s="1051"/>
      <c r="T158" s="1052"/>
      <c r="U158" s="581" t="s">
        <v>157</v>
      </c>
      <c r="V158" s="143"/>
    </row>
    <row r="159" spans="1:29" s="7" customFormat="1" ht="18.600000000000001" hidden="1" customHeight="1">
      <c r="A159" s="147"/>
      <c r="B159" s="142"/>
      <c r="C159" s="1062" t="s">
        <v>883</v>
      </c>
      <c r="D159" s="1062"/>
      <c r="E159" s="142"/>
      <c r="F159" s="142"/>
      <c r="G159" s="142"/>
      <c r="H159" s="142"/>
      <c r="I159" s="142"/>
      <c r="J159" s="142"/>
      <c r="K159" s="142"/>
      <c r="L159" s="142"/>
      <c r="M159" s="142"/>
      <c r="N159" s="1062" t="s">
        <v>816</v>
      </c>
      <c r="O159" s="1062"/>
      <c r="P159" s="142"/>
      <c r="Q159" s="1051">
        <v>0.1</v>
      </c>
      <c r="R159" s="1052"/>
      <c r="S159" s="1063"/>
      <c r="T159" s="1052"/>
      <c r="U159" s="581"/>
      <c r="V159" s="143"/>
    </row>
    <row r="160" spans="1:29" s="7" customFormat="1" ht="18" hidden="1" customHeight="1">
      <c r="A160" s="147"/>
      <c r="C160" s="682" t="s">
        <v>886</v>
      </c>
      <c r="D160" s="695"/>
      <c r="N160" s="682" t="s">
        <v>885</v>
      </c>
      <c r="O160" s="695"/>
      <c r="Q160" s="775">
        <v>0.02</v>
      </c>
      <c r="R160" s="776"/>
      <c r="S160" s="775"/>
      <c r="T160" s="776"/>
      <c r="U160" s="47"/>
      <c r="V160" s="112"/>
    </row>
    <row r="161" spans="1:22" s="7" customFormat="1" ht="18" hidden="1" customHeight="1">
      <c r="A161" s="147"/>
      <c r="C161" s="682" t="s">
        <v>899</v>
      </c>
      <c r="D161" s="695"/>
      <c r="N161" s="682" t="s">
        <v>898</v>
      </c>
      <c r="O161" s="695"/>
      <c r="Q161" s="775">
        <v>0.04</v>
      </c>
      <c r="R161" s="776"/>
      <c r="S161" s="775"/>
      <c r="T161" s="776"/>
      <c r="U161" s="47"/>
      <c r="V161" s="112"/>
    </row>
    <row r="162" spans="1:22" s="7" customFormat="1" ht="18" customHeight="1">
      <c r="A162" s="147"/>
      <c r="Q162" s="28"/>
      <c r="R162" s="28"/>
      <c r="S162" s="28"/>
      <c r="T162" s="28"/>
      <c r="U162" s="47"/>
      <c r="V162" s="112"/>
    </row>
    <row r="163" spans="1:22" s="7" customFormat="1" ht="18" customHeight="1">
      <c r="A163" s="147"/>
      <c r="Q163" s="28"/>
      <c r="R163" s="28"/>
      <c r="S163" s="28"/>
      <c r="T163" s="28"/>
      <c r="U163" s="47"/>
      <c r="V163" s="112"/>
    </row>
    <row r="164" spans="1:22" s="7" customFormat="1" ht="18" customHeight="1">
      <c r="A164" s="147"/>
      <c r="Q164" s="28"/>
      <c r="R164" s="28"/>
      <c r="S164" s="28"/>
      <c r="T164" s="28"/>
      <c r="U164" s="47"/>
      <c r="V164" s="112"/>
    </row>
    <row r="165" spans="1:22" s="7" customFormat="1" ht="18" customHeight="1">
      <c r="A165" s="147"/>
      <c r="Q165" s="28"/>
      <c r="R165" s="28"/>
      <c r="S165" s="28"/>
      <c r="T165" s="28"/>
      <c r="U165" s="47"/>
      <c r="V165" s="112"/>
    </row>
    <row r="166" spans="1:22" s="7" customFormat="1" ht="18" customHeight="1">
      <c r="A166" s="147"/>
      <c r="Q166" s="28"/>
      <c r="R166" s="28"/>
      <c r="S166" s="28"/>
      <c r="T166" s="28"/>
      <c r="U166" s="47"/>
      <c r="V166" s="112"/>
    </row>
    <row r="167" spans="1:22" s="7" customFormat="1" ht="18" customHeight="1">
      <c r="A167" s="147"/>
      <c r="Q167" s="28"/>
      <c r="R167" s="28"/>
      <c r="S167" s="28"/>
      <c r="T167" s="28"/>
      <c r="U167" s="47"/>
      <c r="V167" s="112"/>
    </row>
    <row r="168" spans="1:22" s="7" customFormat="1" ht="18" customHeight="1">
      <c r="A168" s="147"/>
      <c r="Q168" s="28"/>
      <c r="R168" s="28"/>
      <c r="S168" s="28"/>
      <c r="T168" s="28"/>
      <c r="U168" s="47"/>
      <c r="V168" s="112"/>
    </row>
    <row r="169" spans="1:22" s="7" customFormat="1" ht="18" customHeight="1">
      <c r="A169" s="147"/>
      <c r="Q169" s="28"/>
      <c r="R169" s="28"/>
      <c r="S169" s="28"/>
      <c r="T169" s="28"/>
      <c r="U169" s="47"/>
      <c r="V169" s="112"/>
    </row>
    <row r="170" spans="1:22" s="7" customFormat="1" ht="18" customHeight="1">
      <c r="A170" s="147"/>
      <c r="Q170" s="28"/>
      <c r="R170" s="28"/>
      <c r="S170" s="28"/>
      <c r="T170" s="28"/>
      <c r="U170" s="47"/>
      <c r="V170" s="112"/>
    </row>
    <row r="171" spans="1:22" s="7" customFormat="1" ht="18" customHeight="1">
      <c r="A171" s="147"/>
      <c r="Q171" s="28"/>
      <c r="R171" s="28"/>
      <c r="S171" s="28"/>
      <c r="T171" s="28"/>
      <c r="U171" s="47"/>
      <c r="V171" s="112"/>
    </row>
    <row r="172" spans="1:22" s="7" customFormat="1" ht="18" customHeight="1">
      <c r="A172" s="147"/>
      <c r="Q172" s="28"/>
      <c r="R172" s="28"/>
      <c r="S172" s="28"/>
      <c r="T172" s="28"/>
      <c r="U172" s="47"/>
      <c r="V172" s="112"/>
    </row>
    <row r="173" spans="1:22" s="7" customFormat="1" ht="18" customHeight="1">
      <c r="A173" s="147"/>
      <c r="Q173" s="28"/>
      <c r="R173" s="28"/>
      <c r="S173" s="28"/>
      <c r="T173" s="28"/>
      <c r="U173" s="47"/>
      <c r="V173" s="112"/>
    </row>
    <row r="174" spans="1:22" s="7" customFormat="1" ht="18" customHeight="1">
      <c r="A174" s="147"/>
      <c r="Q174" s="28"/>
      <c r="R174" s="28"/>
      <c r="S174" s="28"/>
      <c r="T174" s="28"/>
      <c r="U174" s="47"/>
      <c r="V174" s="112"/>
    </row>
    <row r="175" spans="1:22" s="7" customFormat="1" ht="18" customHeight="1">
      <c r="A175" s="147"/>
      <c r="Q175" s="28"/>
      <c r="R175" s="28"/>
      <c r="S175" s="28"/>
      <c r="T175" s="28"/>
      <c r="U175" s="47"/>
      <c r="V175" s="112"/>
    </row>
    <row r="176" spans="1:22" s="7" customFormat="1" ht="18" customHeight="1">
      <c r="A176" s="147"/>
      <c r="Q176" s="28"/>
      <c r="R176" s="28"/>
      <c r="S176" s="28"/>
      <c r="T176" s="28"/>
      <c r="U176" s="47"/>
      <c r="V176" s="112"/>
    </row>
    <row r="177" spans="1:22" s="7" customFormat="1" ht="18" customHeight="1">
      <c r="A177" s="147"/>
      <c r="Q177" s="28"/>
      <c r="R177" s="28"/>
      <c r="S177" s="28"/>
      <c r="T177" s="28"/>
      <c r="U177" s="47"/>
      <c r="V177" s="112"/>
    </row>
    <row r="178" spans="1:22" s="7" customFormat="1" ht="18" customHeight="1">
      <c r="A178" s="147"/>
      <c r="Q178" s="28"/>
      <c r="R178" s="28"/>
      <c r="S178" s="28"/>
      <c r="T178" s="28"/>
      <c r="U178" s="47"/>
      <c r="V178" s="112"/>
    </row>
    <row r="179" spans="1:22" s="7" customFormat="1" ht="18" customHeight="1">
      <c r="A179" s="147"/>
      <c r="Q179" s="28"/>
      <c r="R179" s="28"/>
      <c r="S179" s="28"/>
      <c r="T179" s="28"/>
      <c r="U179" s="47"/>
      <c r="V179" s="112"/>
    </row>
    <row r="180" spans="1:22" s="7" customFormat="1" ht="18" customHeight="1">
      <c r="A180" s="147"/>
      <c r="Q180" s="28"/>
      <c r="R180" s="28"/>
      <c r="S180" s="28"/>
      <c r="T180" s="28"/>
      <c r="U180" s="47"/>
      <c r="V180" s="112"/>
    </row>
    <row r="181" spans="1:22" s="7" customFormat="1" ht="18" customHeight="1">
      <c r="A181" s="147"/>
      <c r="Q181" s="28"/>
      <c r="R181" s="28"/>
      <c r="S181" s="28"/>
      <c r="T181" s="28"/>
      <c r="U181" s="47"/>
      <c r="V181" s="112"/>
    </row>
    <row r="182" spans="1:22" s="7" customFormat="1" ht="18" customHeight="1">
      <c r="A182" s="147"/>
      <c r="Q182" s="28"/>
      <c r="R182" s="28"/>
      <c r="S182" s="28"/>
      <c r="T182" s="28"/>
      <c r="U182" s="47"/>
      <c r="V182" s="112"/>
    </row>
    <row r="183" spans="1:22" s="7" customFormat="1" ht="18" customHeight="1">
      <c r="A183" s="147"/>
      <c r="Q183" s="28"/>
      <c r="R183" s="28"/>
      <c r="S183" s="28"/>
      <c r="T183" s="28"/>
      <c r="U183" s="47"/>
      <c r="V183" s="112"/>
    </row>
    <row r="184" spans="1:22" s="7" customFormat="1" ht="18" customHeight="1">
      <c r="A184" s="147"/>
      <c r="Q184" s="28"/>
      <c r="R184" s="28"/>
      <c r="S184" s="28"/>
      <c r="T184" s="28"/>
      <c r="U184" s="47"/>
      <c r="V184" s="112"/>
    </row>
    <row r="185" spans="1:22" s="7" customFormat="1" ht="18" customHeight="1">
      <c r="A185" s="147"/>
      <c r="Q185" s="28"/>
      <c r="R185" s="28"/>
      <c r="S185" s="28"/>
      <c r="T185" s="28"/>
      <c r="U185" s="47"/>
      <c r="V185" s="112"/>
    </row>
    <row r="186" spans="1:22" s="7" customFormat="1" ht="18" hidden="1" customHeight="1">
      <c r="A186" s="147"/>
      <c r="Q186" s="28"/>
      <c r="R186" s="28"/>
      <c r="S186" s="28"/>
      <c r="T186" s="28"/>
      <c r="U186" s="47"/>
      <c r="V186" s="112"/>
    </row>
    <row r="187" spans="1:22" s="7" customFormat="1" ht="18" customHeight="1">
      <c r="A187" s="147"/>
      <c r="Q187" s="28"/>
      <c r="R187" s="28"/>
      <c r="S187" s="28"/>
      <c r="T187" s="28"/>
      <c r="U187" s="47"/>
      <c r="V187" s="112"/>
    </row>
    <row r="188" spans="1:22" s="7" customFormat="1" ht="18" customHeight="1">
      <c r="A188" s="147"/>
      <c r="Q188" s="28"/>
      <c r="R188" s="28"/>
      <c r="S188" s="28"/>
      <c r="T188" s="28"/>
      <c r="U188" s="47"/>
      <c r="V188" s="112"/>
    </row>
    <row r="189" spans="1:22" s="7" customFormat="1" ht="18" customHeight="1">
      <c r="A189" s="131"/>
      <c r="B189" s="20"/>
      <c r="C189" s="132"/>
      <c r="D189" s="20"/>
      <c r="E189" s="20"/>
      <c r="F189" s="133"/>
      <c r="G189" s="20"/>
      <c r="H189" s="132"/>
      <c r="I189" s="20"/>
      <c r="J189" s="20"/>
      <c r="K189" s="133"/>
      <c r="L189" s="20"/>
      <c r="M189" s="132"/>
      <c r="N189" s="20"/>
      <c r="O189" s="20"/>
      <c r="P189" s="20"/>
      <c r="Q189" s="21"/>
      <c r="R189" s="22"/>
      <c r="S189" s="149"/>
      <c r="T189" s="20"/>
      <c r="U189" s="20"/>
      <c r="V189" s="134"/>
    </row>
    <row r="190" spans="1:22" ht="18" customHeight="1">
      <c r="A190" s="114"/>
      <c r="B190" s="7"/>
      <c r="C190" s="7"/>
      <c r="D190" s="7"/>
      <c r="E190" s="7"/>
      <c r="F190" s="7"/>
      <c r="G190" s="7"/>
      <c r="H190" s="7"/>
      <c r="I190" s="7"/>
      <c r="J190" s="7"/>
      <c r="K190" s="7"/>
      <c r="L190" s="7"/>
      <c r="M190" s="7"/>
      <c r="N190" s="121"/>
      <c r="O190" s="150"/>
      <c r="P190" s="7"/>
      <c r="Q190" s="7"/>
      <c r="R190" s="7"/>
      <c r="S190" s="7"/>
      <c r="T190" s="7"/>
      <c r="U190" s="7"/>
    </row>
    <row r="191" spans="1:22" ht="18" customHeight="1">
      <c r="A191" s="114"/>
      <c r="B191" s="7"/>
      <c r="C191" s="7"/>
      <c r="D191" s="7"/>
      <c r="E191" s="7"/>
      <c r="F191" s="7"/>
      <c r="G191" s="7"/>
      <c r="H191" s="7"/>
      <c r="I191" s="7"/>
      <c r="J191" s="7"/>
      <c r="K191" s="7"/>
      <c r="L191" s="7"/>
      <c r="M191" s="7"/>
      <c r="N191" s="121"/>
      <c r="O191" s="150"/>
      <c r="P191" s="7"/>
      <c r="Q191" s="7"/>
      <c r="R191" s="7"/>
      <c r="S191" s="7"/>
      <c r="T191" s="7"/>
      <c r="U191" s="7"/>
    </row>
    <row r="192" spans="1:22" ht="18" customHeight="1">
      <c r="A192" s="7"/>
      <c r="B192" s="151"/>
      <c r="C192" s="151"/>
      <c r="D192" s="151"/>
      <c r="E192" s="151"/>
      <c r="F192" s="7"/>
      <c r="G192" s="7"/>
      <c r="H192" s="152"/>
      <c r="I192" s="152"/>
      <c r="J192" s="152"/>
      <c r="K192" s="152"/>
      <c r="L192" s="152"/>
      <c r="M192" s="152"/>
      <c r="N192" s="153"/>
      <c r="O192" s="145"/>
      <c r="P192" s="152"/>
      <c r="Q192" s="7"/>
      <c r="R192" s="7"/>
      <c r="S192" s="7"/>
      <c r="T192" s="7"/>
      <c r="U192" s="7"/>
    </row>
    <row r="193" spans="1:19" ht="18" customHeight="1">
      <c r="A193" s="154"/>
      <c r="B193" s="154"/>
      <c r="C193" s="154"/>
      <c r="D193" s="154"/>
      <c r="E193" s="154"/>
      <c r="F193" s="155"/>
      <c r="G193" s="155"/>
      <c r="H193" s="156"/>
      <c r="I193" s="156"/>
      <c r="J193" s="156"/>
      <c r="K193" s="156"/>
      <c r="L193" s="156"/>
      <c r="M193" s="156"/>
      <c r="N193" s="157"/>
      <c r="O193" s="158"/>
      <c r="P193" s="156"/>
      <c r="Q193" s="155"/>
      <c r="R193" s="155"/>
      <c r="S193" s="155"/>
    </row>
    <row r="194" spans="1:19" ht="18" customHeight="1">
      <c r="A194" s="159"/>
      <c r="B194" s="156"/>
      <c r="C194" s="156"/>
      <c r="D194" s="156"/>
      <c r="E194" s="156"/>
      <c r="F194" s="156"/>
      <c r="G194" s="156"/>
      <c r="H194" s="156"/>
      <c r="I194" s="156"/>
      <c r="J194" s="156"/>
      <c r="K194" s="156"/>
      <c r="L194" s="156"/>
      <c r="M194" s="156"/>
      <c r="N194" s="157"/>
      <c r="O194" s="158"/>
      <c r="P194" s="156"/>
      <c r="Q194" s="155"/>
      <c r="R194" s="155"/>
      <c r="S194" s="155"/>
    </row>
    <row r="195" spans="1:19" ht="18" customHeight="1">
      <c r="A195" s="159"/>
      <c r="B195" s="156"/>
      <c r="C195" s="156"/>
      <c r="D195" s="156"/>
      <c r="E195" s="156"/>
      <c r="F195" s="156"/>
      <c r="G195" s="156"/>
      <c r="H195" s="156"/>
      <c r="I195" s="156"/>
      <c r="J195" s="156"/>
      <c r="K195" s="156"/>
      <c r="L195" s="156"/>
      <c r="M195" s="156"/>
      <c r="N195" s="157"/>
      <c r="O195" s="158"/>
      <c r="P195" s="156"/>
      <c r="Q195" s="155"/>
      <c r="R195" s="155"/>
      <c r="S195" s="155"/>
    </row>
    <row r="196" spans="1:19" ht="18" customHeight="1">
      <c r="A196" s="159"/>
      <c r="B196" s="156"/>
      <c r="C196" s="156"/>
      <c r="D196" s="156"/>
      <c r="E196" s="156"/>
      <c r="F196" s="156"/>
      <c r="G196" s="156"/>
      <c r="H196" s="156"/>
      <c r="I196" s="156"/>
      <c r="J196" s="156"/>
      <c r="K196" s="156"/>
      <c r="L196" s="156"/>
      <c r="M196" s="156"/>
      <c r="N196" s="157"/>
      <c r="O196" s="158"/>
      <c r="P196" s="156"/>
      <c r="Q196" s="155"/>
      <c r="R196" s="155"/>
      <c r="S196" s="155"/>
    </row>
    <row r="197" spans="1:19" ht="18" customHeight="1">
      <c r="A197" s="159"/>
      <c r="B197" s="156"/>
      <c r="C197" s="156"/>
      <c r="D197" s="156"/>
      <c r="E197" s="156"/>
      <c r="F197" s="156"/>
      <c r="G197" s="156"/>
      <c r="H197" s="156"/>
      <c r="I197" s="156"/>
      <c r="J197" s="156"/>
      <c r="K197" s="156"/>
      <c r="L197" s="156"/>
      <c r="M197" s="156"/>
      <c r="N197" s="157"/>
      <c r="O197" s="158"/>
      <c r="P197" s="156"/>
      <c r="Q197" s="155"/>
      <c r="R197" s="155"/>
      <c r="S197" s="155"/>
    </row>
    <row r="198" spans="1:19" ht="18" customHeight="1">
      <c r="A198" s="159"/>
      <c r="B198" s="156"/>
      <c r="C198" s="156"/>
      <c r="D198" s="156"/>
      <c r="E198" s="156"/>
      <c r="F198" s="156"/>
      <c r="G198" s="156"/>
      <c r="H198" s="156"/>
      <c r="I198" s="156"/>
      <c r="J198" s="156"/>
      <c r="K198" s="156"/>
      <c r="L198" s="156"/>
      <c r="M198" s="156"/>
      <c r="N198" s="157"/>
      <c r="O198" s="160"/>
      <c r="P198" s="156"/>
      <c r="Q198" s="155"/>
      <c r="R198" s="155"/>
      <c r="S198" s="155"/>
    </row>
    <row r="199" spans="1:19" ht="18" customHeight="1">
      <c r="A199" s="159"/>
      <c r="B199" s="156"/>
      <c r="C199" s="156"/>
      <c r="D199" s="156"/>
      <c r="E199" s="156"/>
      <c r="F199" s="156"/>
      <c r="G199" s="156"/>
      <c r="H199" s="156"/>
      <c r="I199" s="156"/>
      <c r="J199" s="156"/>
      <c r="K199" s="156"/>
      <c r="L199" s="156"/>
      <c r="M199" s="156"/>
      <c r="N199" s="157"/>
      <c r="O199" s="160"/>
      <c r="P199" s="156"/>
      <c r="Q199" s="155"/>
      <c r="R199" s="155"/>
      <c r="S199" s="155"/>
    </row>
    <row r="200" spans="1:19" ht="18" customHeight="1">
      <c r="A200" s="159"/>
      <c r="B200" s="156"/>
      <c r="C200" s="156"/>
      <c r="D200" s="156"/>
      <c r="E200" s="156"/>
      <c r="F200" s="156"/>
      <c r="G200" s="156"/>
      <c r="H200" s="156"/>
      <c r="I200" s="156"/>
      <c r="J200" s="156"/>
      <c r="K200" s="156"/>
      <c r="L200" s="156"/>
      <c r="M200" s="156"/>
      <c r="N200" s="157"/>
      <c r="O200" s="160"/>
      <c r="P200" s="156"/>
      <c r="Q200" s="155"/>
      <c r="R200" s="155"/>
      <c r="S200" s="155"/>
    </row>
    <row r="201" spans="1:19" ht="18" customHeight="1">
      <c r="A201" s="159"/>
      <c r="B201" s="156"/>
      <c r="C201" s="156"/>
      <c r="D201" s="156"/>
      <c r="E201" s="156"/>
      <c r="F201" s="156"/>
      <c r="G201" s="156"/>
      <c r="H201" s="156"/>
      <c r="I201" s="156"/>
      <c r="J201" s="156"/>
      <c r="K201" s="156"/>
      <c r="L201" s="156"/>
      <c r="M201" s="156"/>
      <c r="N201" s="157"/>
      <c r="O201" s="160"/>
      <c r="P201" s="156"/>
      <c r="Q201" s="155"/>
      <c r="R201" s="155"/>
      <c r="S201" s="155"/>
    </row>
    <row r="202" spans="1:19" ht="18" customHeight="1">
      <c r="A202" s="159"/>
      <c r="B202" s="156"/>
      <c r="C202" s="156"/>
      <c r="D202" s="156"/>
      <c r="E202" s="156"/>
      <c r="F202" s="156"/>
      <c r="G202" s="156"/>
      <c r="H202" s="156"/>
      <c r="I202" s="156"/>
      <c r="J202" s="156"/>
      <c r="K202" s="156"/>
      <c r="L202" s="156"/>
      <c r="M202" s="156"/>
      <c r="N202" s="157"/>
      <c r="O202" s="160"/>
      <c r="P202" s="156"/>
      <c r="Q202" s="155"/>
      <c r="R202" s="155"/>
      <c r="S202" s="155"/>
    </row>
    <row r="203" spans="1:19" ht="18" customHeight="1">
      <c r="A203" s="159"/>
      <c r="B203" s="156"/>
      <c r="C203" s="156"/>
      <c r="D203" s="156"/>
      <c r="E203" s="156"/>
      <c r="F203" s="156"/>
      <c r="G203" s="156"/>
      <c r="H203" s="156"/>
      <c r="I203" s="156"/>
      <c r="J203" s="156"/>
      <c r="K203" s="156"/>
      <c r="L203" s="156"/>
      <c r="M203" s="156"/>
      <c r="N203" s="157"/>
      <c r="O203" s="160"/>
      <c r="P203" s="156"/>
      <c r="Q203" s="155"/>
      <c r="R203" s="155"/>
      <c r="S203" s="155"/>
    </row>
    <row r="204" spans="1:19" ht="18" customHeight="1">
      <c r="A204" s="159"/>
      <c r="B204" s="156"/>
      <c r="C204" s="156"/>
      <c r="D204" s="156"/>
      <c r="E204" s="156"/>
      <c r="F204" s="156"/>
      <c r="G204" s="156"/>
      <c r="H204" s="156"/>
      <c r="I204" s="156"/>
      <c r="J204" s="156"/>
      <c r="K204" s="156"/>
      <c r="L204" s="156"/>
      <c r="M204" s="156"/>
      <c r="N204" s="157"/>
      <c r="O204" s="160"/>
      <c r="P204" s="156"/>
      <c r="Q204" s="155"/>
      <c r="R204" s="155"/>
      <c r="S204" s="155"/>
    </row>
    <row r="205" spans="1:19" ht="18" customHeight="1">
      <c r="A205" s="159"/>
      <c r="B205" s="156"/>
      <c r="C205" s="156"/>
      <c r="D205" s="156"/>
      <c r="E205" s="156"/>
      <c r="F205" s="156"/>
      <c r="G205" s="156"/>
      <c r="H205" s="156"/>
      <c r="I205" s="156"/>
      <c r="J205" s="156"/>
      <c r="K205" s="156"/>
      <c r="L205" s="156"/>
      <c r="M205" s="156"/>
      <c r="N205" s="157"/>
      <c r="O205" s="160"/>
      <c r="P205" s="156"/>
      <c r="Q205" s="155"/>
      <c r="R205" s="155"/>
      <c r="S205" s="155"/>
    </row>
    <row r="206" spans="1:19" ht="18" customHeight="1">
      <c r="A206" s="159"/>
      <c r="B206" s="156"/>
      <c r="C206" s="156"/>
      <c r="D206" s="156"/>
      <c r="E206" s="156"/>
      <c r="F206" s="156"/>
      <c r="G206" s="156"/>
      <c r="H206" s="156"/>
      <c r="I206" s="156"/>
      <c r="J206" s="156"/>
      <c r="K206" s="156"/>
      <c r="L206" s="156"/>
      <c r="M206" s="156"/>
      <c r="N206" s="157"/>
      <c r="O206" s="160"/>
      <c r="P206" s="156"/>
      <c r="Q206" s="155"/>
      <c r="R206" s="155"/>
      <c r="S206" s="155"/>
    </row>
    <row r="207" spans="1:19" ht="18" customHeight="1">
      <c r="A207" s="156"/>
      <c r="B207" s="156"/>
      <c r="C207" s="156"/>
      <c r="D207" s="156"/>
      <c r="E207" s="156"/>
      <c r="F207" s="156"/>
      <c r="G207" s="156"/>
      <c r="H207" s="156"/>
      <c r="I207" s="156"/>
      <c r="J207" s="156"/>
      <c r="K207" s="156"/>
      <c r="L207" s="156"/>
      <c r="M207" s="156"/>
      <c r="N207" s="157"/>
      <c r="O207" s="160"/>
      <c r="P207" s="156"/>
      <c r="Q207" s="155"/>
      <c r="R207" s="155"/>
      <c r="S207" s="155"/>
    </row>
    <row r="208" spans="1:19" ht="18" customHeight="1">
      <c r="A208" s="152"/>
      <c r="B208" s="152"/>
      <c r="C208" s="152"/>
      <c r="D208" s="152"/>
      <c r="E208" s="152"/>
      <c r="F208" s="152"/>
      <c r="G208" s="152"/>
      <c r="H208" s="152"/>
      <c r="I208" s="152"/>
      <c r="J208" s="152"/>
      <c r="K208" s="152"/>
      <c r="L208" s="152"/>
      <c r="M208" s="152"/>
      <c r="N208" s="153"/>
      <c r="O208" s="161"/>
      <c r="P208" s="152"/>
      <c r="Q208" s="7"/>
    </row>
    <row r="209" spans="1:19" ht="18" customHeight="1">
      <c r="A209" s="152"/>
      <c r="B209" s="152"/>
      <c r="C209" s="152"/>
      <c r="D209" s="152"/>
      <c r="E209" s="152"/>
      <c r="F209" s="152"/>
      <c r="G209" s="152"/>
      <c r="H209" s="152"/>
      <c r="I209" s="152"/>
      <c r="J209" s="152"/>
      <c r="K209" s="152"/>
      <c r="L209" s="152"/>
      <c r="M209" s="152"/>
      <c r="N209" s="153"/>
      <c r="O209" s="161"/>
      <c r="P209" s="152"/>
      <c r="Q209" s="7"/>
    </row>
    <row r="210" spans="1:19" ht="18" customHeight="1">
      <c r="A210" s="152"/>
      <c r="B210" s="152"/>
      <c r="C210" s="152"/>
      <c r="D210" s="152"/>
      <c r="E210" s="152"/>
      <c r="F210" s="152"/>
      <c r="G210" s="152"/>
      <c r="H210" s="152"/>
      <c r="I210" s="152"/>
      <c r="J210" s="152"/>
      <c r="K210" s="152"/>
      <c r="L210" s="152"/>
      <c r="M210" s="152"/>
      <c r="N210" s="153"/>
      <c r="O210" s="161"/>
      <c r="P210" s="152"/>
      <c r="Q210" s="7"/>
    </row>
    <row r="211" spans="1:19" ht="18" customHeight="1">
      <c r="A211" s="152"/>
      <c r="B211" s="152"/>
      <c r="C211" s="152"/>
      <c r="D211" s="152"/>
      <c r="E211" s="152"/>
      <c r="F211" s="152"/>
      <c r="G211" s="152"/>
      <c r="H211" s="152"/>
      <c r="I211" s="152"/>
      <c r="J211" s="152"/>
      <c r="K211" s="152"/>
      <c r="L211" s="152"/>
      <c r="M211" s="152"/>
      <c r="N211" s="153"/>
      <c r="O211" s="161"/>
      <c r="P211" s="152"/>
      <c r="Q211" s="7"/>
    </row>
    <row r="212" spans="1:19" ht="18" customHeight="1">
      <c r="A212" s="152"/>
      <c r="B212" s="152"/>
      <c r="C212" s="152"/>
      <c r="D212" s="152"/>
      <c r="E212" s="152"/>
      <c r="F212" s="152"/>
      <c r="G212" s="152"/>
      <c r="H212" s="152"/>
      <c r="I212" s="152"/>
      <c r="J212" s="152"/>
      <c r="K212" s="152"/>
      <c r="L212" s="152"/>
      <c r="M212" s="152"/>
      <c r="N212" s="153"/>
      <c r="O212" s="161"/>
      <c r="P212" s="152"/>
      <c r="Q212" s="7"/>
    </row>
    <row r="213" spans="1:19" ht="18" customHeight="1">
      <c r="A213" s="162"/>
      <c r="B213" s="162"/>
      <c r="C213" s="152"/>
      <c r="D213" s="152"/>
      <c r="E213" s="152"/>
      <c r="F213" s="152"/>
      <c r="G213" s="152"/>
      <c r="H213" s="152"/>
      <c r="I213" s="152"/>
      <c r="J213" s="152"/>
      <c r="K213" s="152"/>
      <c r="L213" s="152"/>
      <c r="M213" s="152"/>
      <c r="N213" s="153"/>
      <c r="O213" s="145"/>
      <c r="P213" s="152"/>
      <c r="Q213" s="49"/>
    </row>
    <row r="214" spans="1:19" ht="18" customHeight="1">
      <c r="A214" s="162"/>
      <c r="B214" s="162"/>
      <c r="C214" s="152"/>
      <c r="D214" s="152"/>
      <c r="E214" s="152"/>
      <c r="F214" s="152"/>
      <c r="G214" s="152"/>
      <c r="H214" s="152"/>
      <c r="I214" s="152"/>
      <c r="J214" s="152"/>
      <c r="K214" s="152"/>
      <c r="L214" s="152"/>
      <c r="M214" s="152"/>
      <c r="N214" s="163"/>
      <c r="O214" s="145"/>
      <c r="P214" s="152"/>
      <c r="Q214" s="49"/>
    </row>
    <row r="215" spans="1:19" ht="18" customHeight="1">
      <c r="A215" s="162"/>
      <c r="B215" s="162"/>
      <c r="C215" s="152"/>
      <c r="D215" s="152"/>
      <c r="E215" s="152"/>
      <c r="F215" s="152"/>
      <c r="G215" s="152"/>
      <c r="H215" s="152"/>
      <c r="I215" s="152"/>
      <c r="J215" s="152"/>
      <c r="K215" s="152"/>
      <c r="L215" s="152"/>
      <c r="M215" s="152"/>
      <c r="N215" s="163"/>
      <c r="O215" s="152"/>
      <c r="Q215" s="145"/>
      <c r="R215" s="152"/>
      <c r="S215" s="49"/>
    </row>
    <row r="216" spans="1:19" ht="18" customHeight="1">
      <c r="A216" s="162"/>
      <c r="B216" s="162"/>
      <c r="C216" s="152"/>
      <c r="D216" s="152"/>
      <c r="E216" s="152"/>
      <c r="F216" s="152"/>
      <c r="G216" s="152"/>
      <c r="H216" s="152"/>
      <c r="I216" s="152"/>
      <c r="J216" s="152"/>
      <c r="K216" s="152"/>
      <c r="L216" s="152"/>
      <c r="M216" s="152"/>
      <c r="N216" s="152"/>
      <c r="O216" s="152"/>
      <c r="P216" s="153"/>
      <c r="Q216" s="145"/>
      <c r="R216" s="152"/>
      <c r="S216" s="49"/>
    </row>
    <row r="217" spans="1:19" ht="18" customHeight="1">
      <c r="A217" s="162"/>
      <c r="B217" s="162"/>
      <c r="C217" s="152"/>
      <c r="D217" s="152"/>
      <c r="E217" s="152"/>
      <c r="F217" s="152"/>
      <c r="G217" s="152"/>
      <c r="H217" s="152"/>
      <c r="I217" s="152"/>
      <c r="J217" s="152"/>
      <c r="K217" s="152"/>
      <c r="L217" s="152"/>
      <c r="M217" s="152"/>
      <c r="N217" s="152"/>
      <c r="O217" s="152"/>
      <c r="P217" s="153"/>
      <c r="Q217" s="145"/>
      <c r="R217" s="152"/>
      <c r="S217" s="49"/>
    </row>
    <row r="218" spans="1:19">
      <c r="A218" s="162"/>
      <c r="B218" s="162"/>
      <c r="C218" s="152"/>
      <c r="D218" s="152"/>
      <c r="E218" s="152"/>
      <c r="F218" s="152"/>
      <c r="G218" s="152"/>
      <c r="H218" s="152"/>
      <c r="I218" s="152"/>
      <c r="J218" s="152"/>
      <c r="K218" s="152"/>
      <c r="L218" s="152"/>
      <c r="M218" s="152"/>
      <c r="N218" s="152"/>
      <c r="O218" s="152"/>
      <c r="P218" s="153"/>
      <c r="Q218" s="145"/>
      <c r="R218" s="152"/>
      <c r="S218" s="49"/>
    </row>
    <row r="219" spans="1:19">
      <c r="A219" s="162"/>
      <c r="B219" s="162"/>
      <c r="C219" s="152"/>
      <c r="D219" s="152"/>
      <c r="E219" s="152"/>
      <c r="F219" s="152"/>
      <c r="G219" s="152"/>
      <c r="H219" s="152"/>
      <c r="I219" s="152"/>
      <c r="J219" s="152"/>
      <c r="K219" s="152"/>
      <c r="L219" s="152"/>
      <c r="M219" s="152"/>
      <c r="N219" s="152"/>
      <c r="O219" s="152"/>
      <c r="P219" s="153"/>
      <c r="Q219" s="145"/>
      <c r="R219" s="152"/>
      <c r="S219" s="49"/>
    </row>
    <row r="220" spans="1:19">
      <c r="A220" s="162"/>
      <c r="B220" s="162"/>
      <c r="C220" s="152"/>
      <c r="D220" s="152"/>
      <c r="E220" s="152"/>
      <c r="F220" s="152"/>
      <c r="G220" s="152"/>
      <c r="H220" s="152"/>
      <c r="I220" s="152"/>
      <c r="J220" s="152"/>
      <c r="K220" s="152"/>
      <c r="L220" s="152"/>
      <c r="M220" s="152"/>
      <c r="N220" s="152"/>
      <c r="O220" s="152"/>
      <c r="P220" s="153"/>
      <c r="Q220" s="145"/>
      <c r="R220" s="152"/>
      <c r="S220" s="49"/>
    </row>
    <row r="221" spans="1:19">
      <c r="A221" s="152"/>
      <c r="B221" s="152"/>
      <c r="C221" s="152"/>
      <c r="D221" s="152"/>
      <c r="E221" s="152"/>
      <c r="F221" s="152"/>
      <c r="G221" s="152"/>
      <c r="H221" s="152"/>
      <c r="I221" s="152"/>
      <c r="J221" s="152"/>
      <c r="K221" s="152"/>
      <c r="L221" s="152"/>
      <c r="M221" s="152"/>
      <c r="N221" s="152"/>
      <c r="O221" s="152"/>
      <c r="P221" s="153"/>
      <c r="Q221" s="161"/>
      <c r="R221" s="152"/>
    </row>
  </sheetData>
  <mergeCells count="193">
    <mergeCell ref="Q144:R144"/>
    <mergeCell ref="S144:T144"/>
    <mergeCell ref="Q154:R154"/>
    <mergeCell ref="S154:T154"/>
    <mergeCell ref="C161:D161"/>
    <mergeCell ref="N161:O161"/>
    <mergeCell ref="Q161:R161"/>
    <mergeCell ref="S161:T161"/>
    <mergeCell ref="Q157:R157"/>
    <mergeCell ref="S157:T157"/>
    <mergeCell ref="C159:D159"/>
    <mergeCell ref="N159:O159"/>
    <mergeCell ref="Q159:R159"/>
    <mergeCell ref="S159:T159"/>
    <mergeCell ref="C160:D160"/>
    <mergeCell ref="N160:O160"/>
    <mergeCell ref="Q160:R160"/>
    <mergeCell ref="S160:T160"/>
    <mergeCell ref="Q158:R158"/>
    <mergeCell ref="S158:T158"/>
    <mergeCell ref="N155:O155"/>
    <mergeCell ref="Q155:R155"/>
    <mergeCell ref="S155:T155"/>
    <mergeCell ref="N152:O152"/>
    <mergeCell ref="Q139:R139"/>
    <mergeCell ref="S139:T139"/>
    <mergeCell ref="Q140:R140"/>
    <mergeCell ref="S140:T140"/>
    <mergeCell ref="Q142:R142"/>
    <mergeCell ref="S142:T142"/>
    <mergeCell ref="Q136:R136"/>
    <mergeCell ref="Q153:R153"/>
    <mergeCell ref="S153:T153"/>
    <mergeCell ref="Q151:R151"/>
    <mergeCell ref="S151:T151"/>
    <mergeCell ref="Q148:R148"/>
    <mergeCell ref="S148:T148"/>
    <mergeCell ref="Q149:R149"/>
    <mergeCell ref="S149:T149"/>
    <mergeCell ref="Q150:R150"/>
    <mergeCell ref="S150:T150"/>
    <mergeCell ref="Q143:R143"/>
    <mergeCell ref="Q145:R145"/>
    <mergeCell ref="S145:T145"/>
    <mergeCell ref="Q146:R146"/>
    <mergeCell ref="S146:T146"/>
    <mergeCell ref="Q147:R147"/>
    <mergeCell ref="S147:T147"/>
    <mergeCell ref="S136:T136"/>
    <mergeCell ref="Q137:R137"/>
    <mergeCell ref="S137:T137"/>
    <mergeCell ref="Q138:R138"/>
    <mergeCell ref="S138:T138"/>
    <mergeCell ref="Q131:R131"/>
    <mergeCell ref="S131:T131"/>
    <mergeCell ref="Q132:R132"/>
    <mergeCell ref="Q134:R134"/>
    <mergeCell ref="S134:T134"/>
    <mergeCell ref="Q133:R133"/>
    <mergeCell ref="S133:T133"/>
    <mergeCell ref="S135:T135"/>
    <mergeCell ref="Q135:R135"/>
    <mergeCell ref="Q124:R124"/>
    <mergeCell ref="S124:T124"/>
    <mergeCell ref="Q119:R119"/>
    <mergeCell ref="S119:T119"/>
    <mergeCell ref="Q120:R120"/>
    <mergeCell ref="S120:T120"/>
    <mergeCell ref="Q121:R121"/>
    <mergeCell ref="S121:T121"/>
    <mergeCell ref="Z134:AA134"/>
    <mergeCell ref="Q128:R128"/>
    <mergeCell ref="S128:T128"/>
    <mergeCell ref="Q129:R129"/>
    <mergeCell ref="S129:T129"/>
    <mergeCell ref="Q130:R130"/>
    <mergeCell ref="S130:T130"/>
    <mergeCell ref="Q125:R125"/>
    <mergeCell ref="S125:T125"/>
    <mergeCell ref="Q126:R126"/>
    <mergeCell ref="S126:T126"/>
    <mergeCell ref="Q127:R127"/>
    <mergeCell ref="S127:T127"/>
    <mergeCell ref="Q113:R113"/>
    <mergeCell ref="S113:T113"/>
    <mergeCell ref="Q114:R114"/>
    <mergeCell ref="S114:T114"/>
    <mergeCell ref="Q115:R115"/>
    <mergeCell ref="S115:T115"/>
    <mergeCell ref="Q122:R122"/>
    <mergeCell ref="S122:T122"/>
    <mergeCell ref="Q123:R123"/>
    <mergeCell ref="S123:T123"/>
    <mergeCell ref="S10:T10"/>
    <mergeCell ref="S11:T11"/>
    <mergeCell ref="S12:T12"/>
    <mergeCell ref="S15:T15"/>
    <mergeCell ref="S16:T16"/>
    <mergeCell ref="S17:T17"/>
    <mergeCell ref="Q107:R107"/>
    <mergeCell ref="S107:T107"/>
    <mergeCell ref="Q108:R108"/>
    <mergeCell ref="S108:T108"/>
    <mergeCell ref="S27:T27"/>
    <mergeCell ref="S28:T28"/>
    <mergeCell ref="S29:T29"/>
    <mergeCell ref="S30:T30"/>
    <mergeCell ref="S33:T33"/>
    <mergeCell ref="S34:T34"/>
    <mergeCell ref="S35:T35"/>
    <mergeCell ref="S36:T36"/>
    <mergeCell ref="S18:T18"/>
    <mergeCell ref="S21:T21"/>
    <mergeCell ref="S56:T56"/>
    <mergeCell ref="S57:T57"/>
    <mergeCell ref="S58:T58"/>
    <mergeCell ref="S61:T61"/>
    <mergeCell ref="C43:O44"/>
    <mergeCell ref="S143:T143"/>
    <mergeCell ref="S132:T132"/>
    <mergeCell ref="Q141:R141"/>
    <mergeCell ref="S141:T141"/>
    <mergeCell ref="Q104:R104"/>
    <mergeCell ref="S64:T64"/>
    <mergeCell ref="S67:T67"/>
    <mergeCell ref="S68:T68"/>
    <mergeCell ref="S69:T69"/>
    <mergeCell ref="Q103:R103"/>
    <mergeCell ref="S103:T103"/>
    <mergeCell ref="Q110:R110"/>
    <mergeCell ref="S110:T110"/>
    <mergeCell ref="Q111:R111"/>
    <mergeCell ref="S111:T111"/>
    <mergeCell ref="Q112:R112"/>
    <mergeCell ref="S112:T112"/>
    <mergeCell ref="Q116:R116"/>
    <mergeCell ref="S116:T116"/>
    <mergeCell ref="Q117:R117"/>
    <mergeCell ref="S117:T117"/>
    <mergeCell ref="Q118:R118"/>
    <mergeCell ref="S118:T118"/>
    <mergeCell ref="S63:T63"/>
    <mergeCell ref="S22:T22"/>
    <mergeCell ref="S23:T23"/>
    <mergeCell ref="S24:T24"/>
    <mergeCell ref="S43:T43"/>
    <mergeCell ref="S39:T39"/>
    <mergeCell ref="S40:T40"/>
    <mergeCell ref="S41:T41"/>
    <mergeCell ref="S42:T42"/>
    <mergeCell ref="S49:T49"/>
    <mergeCell ref="S50:T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Q152:R152"/>
    <mergeCell ref="S152:T152"/>
    <mergeCell ref="S89:T89"/>
    <mergeCell ref="S90:T90"/>
    <mergeCell ref="S93:T93"/>
    <mergeCell ref="S94:T94"/>
    <mergeCell ref="S95:T95"/>
    <mergeCell ref="S51:T51"/>
    <mergeCell ref="S52:T52"/>
    <mergeCell ref="S72:T72"/>
    <mergeCell ref="S73:T73"/>
    <mergeCell ref="S74:T74"/>
    <mergeCell ref="S77:T77"/>
    <mergeCell ref="S78:T78"/>
    <mergeCell ref="S79:T79"/>
    <mergeCell ref="S88:T88"/>
    <mergeCell ref="Q109:R109"/>
    <mergeCell ref="S109:T109"/>
    <mergeCell ref="S104:T104"/>
    <mergeCell ref="Q105:R105"/>
    <mergeCell ref="S105:T105"/>
    <mergeCell ref="Q106:R106"/>
    <mergeCell ref="S106:T106"/>
    <mergeCell ref="S62:T62"/>
  </mergeCells>
  <printOptions horizontalCentered="1" verticalCentered="1"/>
  <pageMargins left="0.5" right="0.5" top="0.5" bottom="0.5" header="0" footer="0"/>
  <pageSetup paperSize="9" scale="90" orientation="portrait" r:id="rId1"/>
  <headerFooter alignWithMargins="0"/>
  <rowBreaks count="1" manualBreakCount="1">
    <brk id="101"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codeName="Sheet1">
    <tabColor theme="3" tint="0.59999389629810485"/>
  </sheetPr>
  <dimension ref="A1:Y44"/>
  <sheetViews>
    <sheetView view="pageBreakPreview" topLeftCell="A7"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465"/>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D22" s="27"/>
      <c r="E22" s="1065" t="s">
        <v>902</v>
      </c>
      <c r="F22" s="1065"/>
      <c r="G22" s="1065"/>
      <c r="H22" s="1065"/>
      <c r="I22" s="1065"/>
      <c r="J22" s="1065"/>
      <c r="K22" s="1065"/>
      <c r="L22" s="1065"/>
      <c r="M22" s="1065"/>
      <c r="N22" s="1065"/>
      <c r="O22" s="1065"/>
      <c r="P22" s="1065"/>
      <c r="Q22" s="1065"/>
      <c r="R22" s="1065"/>
      <c r="S22" s="27"/>
      <c r="T22" s="27"/>
      <c r="U22" s="27"/>
      <c r="V22" s="177"/>
      <c r="W22" s="27"/>
      <c r="X22" s="27"/>
    </row>
    <row r="23" spans="1:24" ht="18" customHeight="1">
      <c r="A23" s="69"/>
      <c r="B23" s="27"/>
      <c r="C23" s="27"/>
      <c r="D23" s="27"/>
      <c r="E23" s="1065"/>
      <c r="F23" s="1065"/>
      <c r="G23" s="1065"/>
      <c r="H23" s="1065"/>
      <c r="I23" s="1065"/>
      <c r="J23" s="1065"/>
      <c r="K23" s="1065"/>
      <c r="L23" s="1065"/>
      <c r="M23" s="1065"/>
      <c r="N23" s="1065"/>
      <c r="O23" s="1065"/>
      <c r="P23" s="1065"/>
      <c r="Q23" s="1065"/>
      <c r="R23" s="1065"/>
      <c r="S23" s="27"/>
      <c r="T23" s="27"/>
      <c r="U23" s="27"/>
      <c r="V23" s="177"/>
      <c r="W23" s="27"/>
      <c r="X23" s="27"/>
    </row>
    <row r="24" spans="1:24" ht="18" customHeight="1">
      <c r="A24" s="69"/>
      <c r="C24" s="178"/>
      <c r="D24" s="178"/>
      <c r="E24" s="1065"/>
      <c r="F24" s="1065"/>
      <c r="G24" s="1065"/>
      <c r="H24" s="1065"/>
      <c r="I24" s="1065"/>
      <c r="J24" s="1065"/>
      <c r="K24" s="1065"/>
      <c r="L24" s="1065"/>
      <c r="M24" s="1065"/>
      <c r="N24" s="1065"/>
      <c r="O24" s="1065"/>
      <c r="P24" s="1065"/>
      <c r="Q24" s="1065"/>
      <c r="R24" s="1065"/>
      <c r="S24" s="4"/>
      <c r="T24" s="4"/>
      <c r="U24" s="4"/>
      <c r="V24" s="71"/>
      <c r="W24" s="4"/>
      <c r="X24" s="4"/>
    </row>
    <row r="25" spans="1:24" ht="18" customHeight="1">
      <c r="A25" s="69"/>
      <c r="B25" s="26"/>
      <c r="C25" s="4"/>
      <c r="D25" s="73"/>
      <c r="E25" s="1065"/>
      <c r="F25" s="1065"/>
      <c r="G25" s="1065"/>
      <c r="H25" s="1065"/>
      <c r="I25" s="1065"/>
      <c r="J25" s="1065"/>
      <c r="K25" s="1065"/>
      <c r="L25" s="1065"/>
      <c r="M25" s="1065"/>
      <c r="N25" s="1065"/>
      <c r="O25" s="1065"/>
      <c r="P25" s="1065"/>
      <c r="Q25" s="1065"/>
      <c r="R25" s="1065"/>
      <c r="S25" s="4"/>
      <c r="T25" s="4"/>
      <c r="U25" s="4"/>
      <c r="V25" s="71"/>
      <c r="W25" s="4"/>
      <c r="X25" s="4"/>
    </row>
    <row r="26" spans="1:24" ht="18" customHeight="1">
      <c r="A26" s="69"/>
      <c r="O26" s="4"/>
      <c r="P26" s="4"/>
      <c r="Q26" s="4"/>
      <c r="R26" s="4"/>
      <c r="S26" s="4"/>
      <c r="T26" s="4"/>
      <c r="U26" s="4"/>
      <c r="V26" s="71"/>
      <c r="W26" s="4"/>
      <c r="X26" s="4"/>
    </row>
    <row r="27" spans="1:24" ht="18" customHeight="1">
      <c r="A27" s="69"/>
      <c r="B27" s="179"/>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8"/>
  <sheetViews>
    <sheetView showZeros="0" view="pageBreakPreview" topLeftCell="A79" zoomScale="115" zoomScaleNormal="100" zoomScaleSheetLayoutView="115" workbookViewId="0">
      <selection activeCell="X21" sqref="X21"/>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7"/>
      <c r="X1" s="7"/>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7"/>
      <c r="X2" s="7"/>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775" t="str">
        <f>Title!R3</f>
        <v>-</v>
      </c>
      <c r="S3" s="1068"/>
      <c r="T3" s="1068"/>
      <c r="U3" s="1068"/>
      <c r="V3" s="776"/>
      <c r="W3" s="7"/>
      <c r="X3" s="7"/>
    </row>
    <row r="4" spans="1:24" ht="18" customHeight="1">
      <c r="A4" s="926"/>
      <c r="B4" s="927"/>
      <c r="C4" s="927"/>
      <c r="D4" s="927"/>
      <c r="E4" s="927"/>
      <c r="F4" s="927"/>
      <c r="G4" s="928"/>
      <c r="H4" s="940"/>
      <c r="I4" s="941"/>
      <c r="J4" s="941"/>
      <c r="K4" s="941"/>
      <c r="L4" s="941"/>
      <c r="M4" s="941"/>
      <c r="N4" s="942"/>
      <c r="O4" s="885" t="str">
        <f>Title!O4</f>
        <v>Revision No.</v>
      </c>
      <c r="P4" s="886"/>
      <c r="Q4" s="887"/>
      <c r="R4" s="775" t="str">
        <f>Title!R4</f>
        <v>A</v>
      </c>
      <c r="S4" s="1068"/>
      <c r="T4" s="1068"/>
      <c r="U4" s="1068"/>
      <c r="V4" s="776"/>
      <c r="W4" s="7"/>
      <c r="X4" s="7"/>
    </row>
    <row r="5" spans="1:24" ht="22.95" customHeight="1">
      <c r="A5" s="880" t="str">
        <f>Title!A5</f>
        <v>Prep. By</v>
      </c>
      <c r="B5" s="943"/>
      <c r="C5" s="25" t="str">
        <f>Title!C5</f>
        <v>AP</v>
      </c>
      <c r="D5" s="880" t="str">
        <f>Title!D5</f>
        <v>Checked By</v>
      </c>
      <c r="E5" s="881"/>
      <c r="F5" s="943"/>
      <c r="G5" s="25" t="str">
        <f>Title!G5</f>
        <v>RB</v>
      </c>
      <c r="H5" s="944" t="s">
        <v>952</v>
      </c>
      <c r="I5" s="945"/>
      <c r="J5" s="945"/>
      <c r="K5" s="945"/>
      <c r="L5" s="945"/>
      <c r="M5" s="945"/>
      <c r="N5" s="946"/>
      <c r="O5" s="947" t="str">
        <f>Title!O5</f>
        <v>Contractor</v>
      </c>
      <c r="P5" s="948"/>
      <c r="Q5" s="949"/>
      <c r="R5" s="775" t="str">
        <f>Title!R5</f>
        <v>HITACHI</v>
      </c>
      <c r="S5" s="1068"/>
      <c r="T5" s="1068"/>
      <c r="U5" s="1068"/>
      <c r="V5" s="776"/>
      <c r="W5" s="7"/>
      <c r="X5" s="7"/>
    </row>
    <row r="6" spans="1:24" s="7" customFormat="1" ht="17.399999999999999" customHeight="1">
      <c r="A6" s="348"/>
      <c r="B6" s="349"/>
      <c r="C6" s="349"/>
      <c r="D6" s="349"/>
      <c r="E6" s="349"/>
      <c r="F6" s="349"/>
      <c r="G6" s="349"/>
      <c r="H6" s="349"/>
      <c r="I6" s="111"/>
      <c r="J6" s="111"/>
      <c r="K6" s="349"/>
      <c r="L6" s="349"/>
      <c r="M6" s="349"/>
      <c r="N6" s="349"/>
      <c r="O6" s="349"/>
      <c r="P6" s="349"/>
      <c r="Q6" s="349"/>
      <c r="R6" s="349"/>
      <c r="S6" s="349"/>
      <c r="T6" s="111"/>
      <c r="U6" s="349"/>
      <c r="V6" s="470"/>
      <c r="W6" s="113"/>
    </row>
    <row r="7" spans="1:24" s="7" customFormat="1" ht="18" customHeight="1">
      <c r="A7" s="351"/>
      <c r="B7" s="352" t="s">
        <v>262</v>
      </c>
      <c r="C7" s="155"/>
      <c r="D7" s="155"/>
      <c r="E7" s="155"/>
      <c r="F7" s="155"/>
      <c r="G7" s="155"/>
      <c r="H7" s="155"/>
      <c r="I7" s="155"/>
      <c r="J7" s="155"/>
      <c r="K7" s="155"/>
      <c r="L7" s="155"/>
      <c r="M7" s="155"/>
      <c r="N7" s="155"/>
      <c r="O7" s="155"/>
      <c r="P7" s="155"/>
      <c r="Q7" s="353"/>
      <c r="R7" s="354"/>
      <c r="S7" s="355"/>
      <c r="T7" s="356"/>
      <c r="U7" s="357"/>
      <c r="V7" s="350"/>
    </row>
    <row r="8" spans="1:24" s="7" customFormat="1" ht="18" customHeight="1">
      <c r="A8" s="96"/>
      <c r="C8" s="14" t="s">
        <v>263</v>
      </c>
      <c r="E8" s="124"/>
      <c r="O8" s="155"/>
      <c r="P8" s="155"/>
      <c r="Q8" s="743">
        <v>50</v>
      </c>
      <c r="R8" s="744"/>
      <c r="S8" s="14" t="s">
        <v>264</v>
      </c>
      <c r="T8" s="356"/>
      <c r="U8" s="357"/>
      <c r="V8" s="350"/>
    </row>
    <row r="9" spans="1:24" s="7" customFormat="1" ht="18" customHeight="1">
      <c r="A9" s="96"/>
      <c r="B9" s="358"/>
      <c r="C9" s="30" t="s">
        <v>265</v>
      </c>
      <c r="O9" s="155"/>
      <c r="P9" s="155"/>
      <c r="Q9" s="743">
        <v>132</v>
      </c>
      <c r="R9" s="744"/>
      <c r="S9" s="14" t="s">
        <v>163</v>
      </c>
      <c r="T9" s="155"/>
      <c r="U9" s="357"/>
      <c r="V9" s="350"/>
    </row>
    <row r="10" spans="1:24" s="7" customFormat="1" ht="18" customHeight="1">
      <c r="A10" s="96"/>
      <c r="C10" s="30" t="s">
        <v>266</v>
      </c>
      <c r="O10" s="155"/>
      <c r="P10" s="155"/>
      <c r="Q10" s="743">
        <v>50</v>
      </c>
      <c r="R10" s="744"/>
      <c r="S10" s="14" t="s">
        <v>267</v>
      </c>
      <c r="T10" s="155"/>
      <c r="U10" s="357"/>
      <c r="V10" s="350"/>
    </row>
    <row r="11" spans="1:24" s="7" customFormat="1" ht="18" customHeight="1">
      <c r="A11" s="96"/>
      <c r="C11" s="30" t="s">
        <v>268</v>
      </c>
      <c r="D11" s="14"/>
      <c r="N11" s="155"/>
      <c r="O11" s="155"/>
      <c r="P11" s="155"/>
      <c r="Q11" s="743">
        <v>15</v>
      </c>
      <c r="R11" s="744"/>
      <c r="S11" s="359"/>
      <c r="T11" s="356"/>
      <c r="U11" s="357"/>
      <c r="V11" s="350"/>
      <c r="X11" s="7" t="s">
        <v>269</v>
      </c>
    </row>
    <row r="12" spans="1:24" s="7" customFormat="1" ht="18" hidden="1" customHeight="1">
      <c r="A12" s="96"/>
      <c r="C12" s="14" t="s">
        <v>270</v>
      </c>
      <c r="E12" s="124"/>
      <c r="F12" s="360"/>
      <c r="G12" s="155"/>
      <c r="H12" s="155"/>
      <c r="I12" s="155"/>
      <c r="J12" s="155"/>
      <c r="K12" s="155"/>
      <c r="L12" s="155"/>
      <c r="M12" s="155"/>
      <c r="N12" s="155"/>
      <c r="O12" s="155"/>
      <c r="P12" s="155"/>
      <c r="Q12" s="743">
        <v>132</v>
      </c>
      <c r="R12" s="744"/>
      <c r="S12" s="14" t="s">
        <v>163</v>
      </c>
      <c r="T12" s="356"/>
      <c r="U12" s="357"/>
      <c r="V12" s="350"/>
    </row>
    <row r="13" spans="1:24" s="7" customFormat="1" ht="18" hidden="1" customHeight="1">
      <c r="A13" s="96"/>
      <c r="C13" s="14" t="s">
        <v>271</v>
      </c>
      <c r="E13" s="124"/>
      <c r="F13" s="360"/>
      <c r="G13" s="155"/>
      <c r="H13" s="155"/>
      <c r="I13" s="155"/>
      <c r="J13" s="155"/>
      <c r="K13" s="155"/>
      <c r="L13" s="155"/>
      <c r="M13" s="155"/>
      <c r="N13" s="155"/>
      <c r="O13" s="155"/>
      <c r="P13" s="155"/>
      <c r="Q13" s="743">
        <v>40</v>
      </c>
      <c r="R13" s="744"/>
      <c r="S13" s="14" t="s">
        <v>267</v>
      </c>
      <c r="T13" s="356"/>
      <c r="U13" s="357"/>
      <c r="V13" s="350"/>
      <c r="X13" s="7" t="s">
        <v>272</v>
      </c>
    </row>
    <row r="14" spans="1:24" s="32" customFormat="1" ht="18" customHeight="1">
      <c r="A14" s="146"/>
      <c r="C14" s="38" t="s">
        <v>273</v>
      </c>
      <c r="E14" s="361"/>
      <c r="F14" s="362"/>
      <c r="G14" s="363"/>
      <c r="H14" s="363"/>
      <c r="I14" s="363"/>
      <c r="J14" s="363"/>
      <c r="K14" s="363"/>
      <c r="L14" s="363"/>
      <c r="M14" s="363"/>
      <c r="N14" s="363"/>
      <c r="O14" s="363"/>
      <c r="P14" s="363"/>
      <c r="Q14" s="1066"/>
      <c r="R14" s="1067"/>
      <c r="S14" s="38"/>
      <c r="T14" s="366"/>
      <c r="U14" s="367"/>
      <c r="V14" s="368"/>
    </row>
    <row r="15" spans="1:24" s="7" customFormat="1" ht="18" customHeight="1">
      <c r="A15" s="96"/>
      <c r="B15" s="32"/>
      <c r="C15" s="38"/>
      <c r="D15" s="32"/>
      <c r="E15" s="361"/>
      <c r="F15" s="362"/>
      <c r="G15" s="363"/>
      <c r="H15" s="363"/>
      <c r="I15" s="363"/>
      <c r="J15" s="363"/>
      <c r="K15" s="363"/>
      <c r="L15" s="363"/>
      <c r="M15" s="363"/>
      <c r="N15" s="363"/>
      <c r="O15" s="363"/>
      <c r="P15" s="363"/>
      <c r="Q15" s="364"/>
      <c r="R15" s="365"/>
      <c r="S15" s="38"/>
      <c r="T15" s="366"/>
      <c r="U15" s="357"/>
      <c r="V15" s="350"/>
    </row>
    <row r="16" spans="1:24" s="7" customFormat="1" ht="18" customHeight="1">
      <c r="A16" s="96"/>
      <c r="B16" s="352" t="s">
        <v>274</v>
      </c>
      <c r="C16" s="155"/>
      <c r="D16" s="155"/>
      <c r="E16" s="155"/>
      <c r="F16" s="155"/>
      <c r="G16" s="360"/>
      <c r="H16" s="353"/>
      <c r="I16" s="155"/>
      <c r="J16" s="155"/>
      <c r="K16" s="369"/>
      <c r="L16" s="155"/>
      <c r="M16" s="155"/>
      <c r="N16" s="155"/>
      <c r="O16" s="155"/>
      <c r="P16" s="155"/>
      <c r="Q16" s="353"/>
      <c r="R16" s="360"/>
      <c r="S16" s="355"/>
      <c r="T16" s="356"/>
      <c r="U16" s="357"/>
      <c r="V16" s="350"/>
    </row>
    <row r="17" spans="1:22" s="7" customFormat="1" ht="18" hidden="1" customHeight="1">
      <c r="A17" s="272" t="s">
        <v>275</v>
      </c>
      <c r="E17" s="125">
        <v>3</v>
      </c>
      <c r="F17" s="14" t="s">
        <v>276</v>
      </c>
      <c r="G17" s="125" t="s">
        <v>277</v>
      </c>
      <c r="H17" s="47" t="s">
        <v>278</v>
      </c>
      <c r="J17" s="745">
        <v>240</v>
      </c>
      <c r="K17" s="746"/>
      <c r="L17" s="14" t="s">
        <v>279</v>
      </c>
      <c r="N17" s="125">
        <v>1</v>
      </c>
      <c r="O17" s="14" t="s">
        <v>280</v>
      </c>
      <c r="P17" s="155"/>
      <c r="Q17" s="353"/>
      <c r="R17" s="360"/>
      <c r="S17" s="355"/>
      <c r="T17" s="356"/>
      <c r="U17" s="357"/>
      <c r="V17" s="350"/>
    </row>
    <row r="18" spans="1:22" s="7" customFormat="1" ht="18" customHeight="1">
      <c r="A18" s="370"/>
      <c r="B18" s="352" t="s">
        <v>281</v>
      </c>
      <c r="C18" s="155"/>
      <c r="D18" s="155"/>
      <c r="E18" s="155"/>
      <c r="F18" s="155"/>
      <c r="G18" s="360"/>
      <c r="H18" s="353"/>
      <c r="I18" s="155"/>
      <c r="J18" s="155"/>
      <c r="K18" s="155"/>
      <c r="L18" s="155"/>
      <c r="M18" s="155"/>
      <c r="N18" s="155"/>
      <c r="O18" s="155"/>
      <c r="P18" s="155"/>
      <c r="Q18" s="353"/>
      <c r="R18" s="360"/>
      <c r="S18" s="355"/>
      <c r="T18" s="356"/>
      <c r="U18" s="357"/>
      <c r="V18" s="350"/>
    </row>
    <row r="19" spans="1:22" s="7" customFormat="1" ht="18" customHeight="1">
      <c r="A19" s="370"/>
      <c r="B19" s="371"/>
      <c r="C19" s="155"/>
      <c r="D19" s="155"/>
      <c r="E19" s="155"/>
      <c r="F19" s="155"/>
      <c r="G19" s="360"/>
      <c r="H19" s="353"/>
      <c r="I19" s="155"/>
      <c r="K19" s="155"/>
      <c r="L19" s="155"/>
      <c r="M19" s="155"/>
      <c r="N19" s="155"/>
      <c r="P19" s="155"/>
      <c r="Q19" s="186"/>
      <c r="R19" s="360"/>
      <c r="S19" s="355"/>
      <c r="T19" s="356"/>
      <c r="U19" s="357"/>
      <c r="V19" s="350"/>
    </row>
    <row r="20" spans="1:22" s="7" customFormat="1" ht="18" customHeight="1">
      <c r="A20" s="272"/>
      <c r="B20" s="155"/>
      <c r="C20" s="47" t="s">
        <v>282</v>
      </c>
      <c r="D20" s="357"/>
      <c r="O20" s="28" t="s">
        <v>283</v>
      </c>
      <c r="P20" s="102" t="s">
        <v>127</v>
      </c>
      <c r="Q20" s="738">
        <v>2.2100000000000002E-2</v>
      </c>
      <c r="R20" s="747"/>
      <c r="S20" s="47" t="s">
        <v>284</v>
      </c>
      <c r="T20" s="356"/>
      <c r="U20" s="357"/>
      <c r="V20" s="350"/>
    </row>
    <row r="21" spans="1:22" s="7" customFormat="1" ht="18" customHeight="1">
      <c r="A21" s="272"/>
      <c r="B21" s="155"/>
      <c r="C21" s="47" t="s">
        <v>285</v>
      </c>
      <c r="D21" s="155"/>
      <c r="O21" s="28" t="s">
        <v>286</v>
      </c>
      <c r="P21" s="102" t="s">
        <v>127</v>
      </c>
      <c r="Q21" s="738">
        <v>0.16</v>
      </c>
      <c r="R21" s="739"/>
      <c r="S21" s="47" t="s">
        <v>284</v>
      </c>
      <c r="T21" s="356"/>
      <c r="U21" s="357"/>
      <c r="V21" s="350"/>
    </row>
    <row r="22" spans="1:22" s="7" customFormat="1" ht="18" customHeight="1">
      <c r="A22" s="272"/>
      <c r="B22" s="155"/>
      <c r="C22" s="47" t="s">
        <v>287</v>
      </c>
      <c r="D22" s="155"/>
      <c r="O22" s="28" t="s">
        <v>288</v>
      </c>
      <c r="P22" s="102" t="s">
        <v>127</v>
      </c>
      <c r="Q22" s="738">
        <v>0.13</v>
      </c>
      <c r="R22" s="739"/>
      <c r="S22" s="47" t="s">
        <v>284</v>
      </c>
      <c r="T22" s="155"/>
      <c r="U22" s="357"/>
      <c r="V22" s="350"/>
    </row>
    <row r="23" spans="1:22" s="7" customFormat="1" ht="18" customHeight="1">
      <c r="A23" s="272"/>
      <c r="B23" s="155"/>
      <c r="C23" s="47" t="s">
        <v>289</v>
      </c>
      <c r="D23" s="357"/>
      <c r="O23" s="28" t="s">
        <v>290</v>
      </c>
      <c r="P23" s="102" t="s">
        <v>127</v>
      </c>
      <c r="Q23" s="738">
        <v>0.06</v>
      </c>
      <c r="R23" s="739"/>
      <c r="S23" s="47" t="s">
        <v>284</v>
      </c>
      <c r="T23" s="356"/>
      <c r="U23" s="357"/>
      <c r="V23" s="350"/>
    </row>
    <row r="24" spans="1:22" s="7" customFormat="1" ht="18" customHeight="1">
      <c r="A24" s="272"/>
      <c r="B24" s="357"/>
      <c r="C24" s="47" t="s">
        <v>291</v>
      </c>
      <c r="D24" s="155"/>
      <c r="E24" s="155"/>
      <c r="F24" s="155"/>
      <c r="G24" s="155"/>
      <c r="O24" s="121"/>
      <c r="P24" s="102" t="s">
        <v>127</v>
      </c>
      <c r="Q24" s="740">
        <v>1.74</v>
      </c>
      <c r="R24" s="741"/>
      <c r="S24" s="372" t="s">
        <v>292</v>
      </c>
      <c r="T24" s="356"/>
      <c r="U24" s="357"/>
      <c r="V24" s="350"/>
    </row>
    <row r="25" spans="1:22" s="7" customFormat="1" ht="18" customHeight="1">
      <c r="A25" s="373"/>
      <c r="B25" s="357"/>
      <c r="C25" s="155"/>
      <c r="D25" s="155"/>
      <c r="E25" s="155"/>
      <c r="F25" s="155"/>
      <c r="G25" s="155"/>
      <c r="H25" s="155"/>
      <c r="I25" s="155"/>
      <c r="J25" s="155"/>
      <c r="K25" s="155"/>
      <c r="L25" s="353"/>
      <c r="M25" s="353"/>
      <c r="N25" s="155"/>
      <c r="O25" s="155"/>
      <c r="P25" s="155"/>
      <c r="Q25" s="353"/>
      <c r="R25" s="360"/>
      <c r="S25" s="355"/>
      <c r="T25" s="356"/>
      <c r="U25" s="155"/>
      <c r="V25" s="350"/>
    </row>
    <row r="26" spans="1:22" s="7" customFormat="1" ht="18" customHeight="1">
      <c r="A26" s="272"/>
      <c r="B26" s="357"/>
      <c r="C26" s="47" t="s">
        <v>293</v>
      </c>
      <c r="D26" s="155"/>
      <c r="E26" s="155"/>
      <c r="F26" s="155"/>
      <c r="G26" s="155"/>
      <c r="J26" s="28" t="s">
        <v>294</v>
      </c>
      <c r="K26" s="102" t="s">
        <v>127</v>
      </c>
      <c r="L26" s="737">
        <f>Q20/N17</f>
        <v>2.2100000000000002E-2</v>
      </c>
      <c r="M26" s="689"/>
      <c r="N26" s="102" t="s">
        <v>295</v>
      </c>
      <c r="O26" s="737">
        <f>Q21/N17</f>
        <v>0.16</v>
      </c>
      <c r="P26" s="689"/>
      <c r="Q26" s="47" t="s">
        <v>284</v>
      </c>
      <c r="R26" s="360"/>
      <c r="S26" s="355"/>
      <c r="T26" s="356"/>
      <c r="U26" s="155"/>
      <c r="V26" s="350"/>
    </row>
    <row r="27" spans="1:22" s="7" customFormat="1" ht="18" customHeight="1">
      <c r="A27" s="272"/>
      <c r="B27" s="357"/>
      <c r="C27" s="47" t="s">
        <v>296</v>
      </c>
      <c r="D27" s="155"/>
      <c r="E27" s="155"/>
      <c r="F27" s="155"/>
      <c r="G27" s="155"/>
      <c r="J27" s="28" t="s">
        <v>297</v>
      </c>
      <c r="K27" s="102" t="s">
        <v>127</v>
      </c>
      <c r="L27" s="737">
        <f>Q22/N17</f>
        <v>0.13</v>
      </c>
      <c r="M27" s="689"/>
      <c r="N27" s="102" t="s">
        <v>295</v>
      </c>
      <c r="O27" s="737">
        <f>Q23/N17</f>
        <v>0.06</v>
      </c>
      <c r="P27" s="689"/>
      <c r="Q27" s="47" t="s">
        <v>284</v>
      </c>
      <c r="R27" s="360"/>
      <c r="S27" s="355"/>
      <c r="T27" s="356"/>
      <c r="U27" s="155"/>
      <c r="V27" s="350"/>
    </row>
    <row r="28" spans="1:22" s="7" customFormat="1" ht="18" customHeight="1">
      <c r="A28" s="272"/>
      <c r="B28" s="155"/>
      <c r="C28" s="47" t="s">
        <v>298</v>
      </c>
      <c r="D28" s="155"/>
      <c r="E28" s="155"/>
      <c r="F28" s="155"/>
      <c r="G28" s="155"/>
      <c r="J28" s="28" t="s">
        <v>299</v>
      </c>
      <c r="K28" s="102" t="s">
        <v>127</v>
      </c>
      <c r="L28" s="711">
        <f>L26*Q24</f>
        <v>3.8454000000000002E-2</v>
      </c>
      <c r="M28" s="711"/>
      <c r="N28" s="102" t="s">
        <v>295</v>
      </c>
      <c r="O28" s="711">
        <f>O26*Q24</f>
        <v>0.27839999999999998</v>
      </c>
      <c r="P28" s="711"/>
      <c r="Q28" s="14" t="s">
        <v>152</v>
      </c>
      <c r="R28" s="360"/>
      <c r="S28" s="355"/>
      <c r="T28" s="356"/>
      <c r="U28" s="155"/>
      <c r="V28" s="350"/>
    </row>
    <row r="29" spans="1:22" s="7" customFormat="1" ht="18" customHeight="1">
      <c r="A29" s="272"/>
      <c r="B29" s="155"/>
      <c r="C29" s="47" t="s">
        <v>300</v>
      </c>
      <c r="D29" s="155"/>
      <c r="E29" s="155"/>
      <c r="F29" s="155"/>
      <c r="G29" s="155"/>
      <c r="J29" s="28" t="s">
        <v>301</v>
      </c>
      <c r="K29" s="102" t="s">
        <v>127</v>
      </c>
      <c r="L29" s="711">
        <f>L27*Q24</f>
        <v>0.22620000000000001</v>
      </c>
      <c r="M29" s="711"/>
      <c r="N29" s="102" t="s">
        <v>295</v>
      </c>
      <c r="O29" s="711">
        <f>O27*Q24</f>
        <v>0.10439999999999999</v>
      </c>
      <c r="P29" s="711"/>
      <c r="Q29" s="14" t="s">
        <v>152</v>
      </c>
      <c r="R29" s="360"/>
      <c r="S29" s="355"/>
      <c r="T29" s="356"/>
      <c r="U29" s="155"/>
      <c r="V29" s="350"/>
    </row>
    <row r="30" spans="1:22" s="7" customFormat="1" ht="18" customHeight="1">
      <c r="A30" s="370"/>
      <c r="B30" s="155"/>
      <c r="C30" s="155"/>
      <c r="D30" s="155"/>
      <c r="E30" s="155"/>
      <c r="F30" s="155"/>
      <c r="G30" s="155"/>
      <c r="H30" s="155"/>
      <c r="I30" s="155"/>
      <c r="K30" s="155"/>
      <c r="L30" s="155"/>
      <c r="M30" s="155"/>
      <c r="N30" s="155"/>
      <c r="O30" s="155"/>
      <c r="P30" s="155"/>
      <c r="Q30" s="353"/>
      <c r="R30" s="360"/>
      <c r="S30" s="355"/>
      <c r="T30" s="356"/>
      <c r="U30" s="155"/>
      <c r="V30" s="350"/>
    </row>
    <row r="31" spans="1:22" s="7" customFormat="1" ht="18" customHeight="1">
      <c r="A31" s="116"/>
      <c r="B31" s="117" t="s">
        <v>302</v>
      </c>
      <c r="C31" s="155"/>
      <c r="D31" s="155"/>
      <c r="E31" s="155"/>
      <c r="F31" s="155"/>
      <c r="G31" s="155"/>
      <c r="H31" s="155"/>
      <c r="I31" s="155"/>
      <c r="J31" s="155"/>
      <c r="K31" s="155"/>
      <c r="L31" s="155"/>
      <c r="M31" s="155"/>
      <c r="N31" s="155"/>
      <c r="O31" s="155"/>
      <c r="P31" s="155"/>
      <c r="Q31" s="353"/>
      <c r="R31" s="360"/>
      <c r="S31" s="355"/>
      <c r="T31" s="356"/>
      <c r="U31" s="155"/>
      <c r="V31" s="350"/>
    </row>
    <row r="32" spans="1:22" s="7" customFormat="1" ht="18" customHeight="1">
      <c r="A32" s="272"/>
      <c r="B32" s="357"/>
      <c r="C32" s="47" t="s">
        <v>303</v>
      </c>
      <c r="D32" s="155"/>
      <c r="E32" s="155"/>
      <c r="F32" s="155"/>
      <c r="G32" s="155"/>
      <c r="H32" s="155"/>
      <c r="I32" s="155"/>
      <c r="J32" s="155"/>
      <c r="K32" s="155"/>
      <c r="L32" s="353"/>
      <c r="M32" s="353"/>
      <c r="N32" s="155"/>
      <c r="O32" s="155"/>
      <c r="P32" s="102" t="s">
        <v>127</v>
      </c>
      <c r="Q32" s="689">
        <f>Q10*1000</f>
        <v>50000</v>
      </c>
      <c r="R32" s="689"/>
      <c r="S32" s="47" t="s">
        <v>8</v>
      </c>
      <c r="T32" s="356"/>
      <c r="U32" s="155"/>
      <c r="V32" s="350"/>
    </row>
    <row r="33" spans="1:27" s="7" customFormat="1" ht="18" customHeight="1">
      <c r="A33" s="272"/>
      <c r="B33" s="357"/>
      <c r="C33" s="47" t="s">
        <v>304</v>
      </c>
      <c r="D33" s="155"/>
      <c r="E33" s="155"/>
      <c r="F33" s="155"/>
      <c r="G33" s="155"/>
      <c r="H33" s="155"/>
      <c r="I33" s="155"/>
      <c r="J33" s="155"/>
      <c r="K33" s="155"/>
      <c r="L33" s="155"/>
      <c r="M33" s="155"/>
      <c r="N33" s="155"/>
      <c r="O33" s="155"/>
      <c r="P33" s="102" t="s">
        <v>127</v>
      </c>
      <c r="Q33" s="689">
        <f>Q9*1000</f>
        <v>132000</v>
      </c>
      <c r="R33" s="689"/>
      <c r="S33" s="47" t="s">
        <v>305</v>
      </c>
      <c r="T33" s="356"/>
      <c r="U33" s="155"/>
      <c r="V33" s="350"/>
    </row>
    <row r="34" spans="1:27" s="7" customFormat="1" ht="18" hidden="1" customHeight="1">
      <c r="A34" s="272"/>
      <c r="B34" s="357"/>
      <c r="C34" s="47" t="s">
        <v>306</v>
      </c>
      <c r="D34" s="155"/>
      <c r="E34" s="155"/>
      <c r="F34" s="155"/>
      <c r="G34" s="155"/>
      <c r="H34" s="155"/>
      <c r="I34" s="155"/>
      <c r="J34" s="155"/>
      <c r="K34" s="155"/>
      <c r="L34" s="155"/>
      <c r="M34" s="155"/>
      <c r="N34" s="155"/>
      <c r="O34" s="155"/>
      <c r="P34" s="102" t="s">
        <v>127</v>
      </c>
      <c r="Q34" s="689">
        <f>Q13*1000</f>
        <v>40000</v>
      </c>
      <c r="R34" s="689"/>
      <c r="S34" s="47" t="s">
        <v>8</v>
      </c>
      <c r="T34" s="356"/>
      <c r="U34" s="155"/>
      <c r="V34" s="350"/>
    </row>
    <row r="35" spans="1:27" s="7" customFormat="1" ht="18" hidden="1" customHeight="1">
      <c r="A35" s="272"/>
      <c r="B35" s="357"/>
      <c r="C35" s="47" t="s">
        <v>307</v>
      </c>
      <c r="D35" s="155"/>
      <c r="E35" s="155"/>
      <c r="F35" s="155"/>
      <c r="G35" s="155"/>
      <c r="H35" s="155"/>
      <c r="I35" s="155"/>
      <c r="J35" s="155"/>
      <c r="K35" s="155"/>
      <c r="L35" s="155"/>
      <c r="M35" s="155"/>
      <c r="N35" s="155"/>
      <c r="O35" s="155"/>
      <c r="P35" s="102" t="s">
        <v>127</v>
      </c>
      <c r="Q35" s="689">
        <f>Q12*1000</f>
        <v>132000</v>
      </c>
      <c r="R35" s="689"/>
      <c r="S35" s="47" t="s">
        <v>305</v>
      </c>
      <c r="T35" s="356"/>
      <c r="U35" s="155"/>
      <c r="V35" s="350"/>
    </row>
    <row r="36" spans="1:27" s="7" customFormat="1" ht="18" customHeight="1">
      <c r="A36" s="374"/>
      <c r="B36" s="375"/>
      <c r="C36" s="155"/>
      <c r="D36" s="155"/>
      <c r="E36" s="156"/>
      <c r="F36" s="156"/>
      <c r="G36" s="156"/>
      <c r="H36" s="156"/>
      <c r="I36" s="155"/>
      <c r="J36" s="155"/>
      <c r="K36" s="155"/>
      <c r="L36" s="155"/>
      <c r="M36" s="155"/>
      <c r="N36" s="155"/>
      <c r="O36" s="155"/>
      <c r="Q36" s="353"/>
      <c r="R36" s="360"/>
      <c r="T36" s="356"/>
      <c r="U36" s="155"/>
      <c r="V36" s="350"/>
    </row>
    <row r="37" spans="1:27" s="7" customFormat="1" ht="18" customHeight="1">
      <c r="A37" s="272" t="s">
        <v>308</v>
      </c>
      <c r="B37" s="375"/>
      <c r="C37" s="155"/>
      <c r="D37" s="155"/>
      <c r="E37" s="156"/>
      <c r="F37" s="156"/>
      <c r="G37" s="156"/>
      <c r="I37" s="155"/>
      <c r="J37" s="155"/>
      <c r="K37" s="155"/>
      <c r="L37" s="155"/>
      <c r="M37" s="376"/>
      <c r="N37" s="155"/>
      <c r="O37" s="155"/>
      <c r="P37" s="102" t="s">
        <v>127</v>
      </c>
      <c r="Q37" s="733">
        <v>1</v>
      </c>
      <c r="R37" s="734"/>
      <c r="S37" s="47" t="s">
        <v>309</v>
      </c>
      <c r="T37" s="356"/>
      <c r="U37" s="155"/>
      <c r="V37" s="350"/>
    </row>
    <row r="38" spans="1:27" s="7" customFormat="1" ht="18" customHeight="1">
      <c r="A38" s="114"/>
      <c r="B38" s="353"/>
      <c r="C38" s="357"/>
      <c r="D38" s="357"/>
      <c r="E38" s="28" t="s">
        <v>310</v>
      </c>
      <c r="F38" s="102" t="s">
        <v>127</v>
      </c>
      <c r="G38" s="28" t="s">
        <v>311</v>
      </c>
      <c r="H38" s="28" t="s">
        <v>312</v>
      </c>
      <c r="I38" s="28">
        <f>Q37</f>
        <v>1</v>
      </c>
      <c r="J38" s="28" t="s">
        <v>313</v>
      </c>
      <c r="K38" s="28" t="s">
        <v>314</v>
      </c>
      <c r="L38" s="28" t="s">
        <v>315</v>
      </c>
      <c r="M38" s="28" t="s">
        <v>316</v>
      </c>
      <c r="N38" s="155"/>
      <c r="O38" s="155"/>
      <c r="P38" s="102" t="s">
        <v>127</v>
      </c>
      <c r="Q38" s="688">
        <f>(Q33*Q37)/(SQRT(3)*Q32)</f>
        <v>1.5242047106606122</v>
      </c>
      <c r="R38" s="688"/>
      <c r="S38" s="14" t="s">
        <v>152</v>
      </c>
      <c r="T38" s="356"/>
      <c r="U38" s="155"/>
      <c r="V38" s="350"/>
      <c r="Z38" s="1055"/>
      <c r="AA38" s="804"/>
    </row>
    <row r="39" spans="1:27" s="7" customFormat="1" ht="18" customHeight="1">
      <c r="A39" s="114"/>
      <c r="B39" s="372"/>
      <c r="C39" s="357"/>
      <c r="D39" s="357"/>
      <c r="E39" s="120" t="s">
        <v>317</v>
      </c>
      <c r="F39" s="102" t="s">
        <v>127</v>
      </c>
      <c r="G39" s="28">
        <v>2</v>
      </c>
      <c r="H39" s="28" t="s">
        <v>315</v>
      </c>
      <c r="I39" s="278" t="s">
        <v>318</v>
      </c>
      <c r="J39" s="28" t="s">
        <v>315</v>
      </c>
      <c r="K39" s="28" t="s">
        <v>319</v>
      </c>
      <c r="L39" s="28" t="s">
        <v>315</v>
      </c>
      <c r="M39" s="28" t="s">
        <v>320</v>
      </c>
      <c r="N39" s="155"/>
      <c r="O39" s="155"/>
      <c r="P39" s="377"/>
      <c r="Q39" s="764"/>
      <c r="R39" s="689"/>
      <c r="S39" s="355"/>
      <c r="T39" s="356"/>
      <c r="U39" s="155"/>
      <c r="V39" s="350"/>
    </row>
    <row r="40" spans="1:27" s="7" customFormat="1" ht="18" customHeight="1">
      <c r="A40" s="373"/>
      <c r="B40" s="357"/>
      <c r="C40" s="155"/>
      <c r="D40" s="155"/>
      <c r="E40" s="47" t="s">
        <v>321</v>
      </c>
      <c r="F40" s="155"/>
      <c r="G40" s="155"/>
      <c r="H40" s="155"/>
      <c r="I40" s="155"/>
      <c r="J40" s="155"/>
      <c r="K40" s="155"/>
      <c r="L40" s="47" t="s">
        <v>322</v>
      </c>
      <c r="M40" s="155"/>
      <c r="N40" s="155"/>
      <c r="O40" s="155"/>
      <c r="P40" s="102" t="s">
        <v>127</v>
      </c>
      <c r="Q40" s="689">
        <f>Q11</f>
        <v>15</v>
      </c>
      <c r="R40" s="689"/>
      <c r="S40" s="378"/>
      <c r="T40" s="356"/>
      <c r="U40" s="155"/>
      <c r="V40" s="350"/>
    </row>
    <row r="41" spans="1:27" s="7" customFormat="1" ht="18" customHeight="1">
      <c r="A41" s="373"/>
      <c r="B41" s="357"/>
      <c r="C41" s="155"/>
      <c r="D41" s="155"/>
      <c r="E41" s="47" t="s">
        <v>263</v>
      </c>
      <c r="F41" s="155"/>
      <c r="G41" s="155"/>
      <c r="H41" s="155"/>
      <c r="I41" s="155"/>
      <c r="J41" s="155"/>
      <c r="K41" s="155"/>
      <c r="L41" s="47" t="s">
        <v>319</v>
      </c>
      <c r="M41" s="155"/>
      <c r="N41" s="155"/>
      <c r="O41" s="155"/>
      <c r="P41" s="102" t="s">
        <v>127</v>
      </c>
      <c r="Q41" s="689">
        <f>Q8</f>
        <v>50</v>
      </c>
      <c r="R41" s="689"/>
      <c r="S41" s="378"/>
      <c r="T41" s="356"/>
      <c r="U41" s="155"/>
      <c r="V41" s="350"/>
    </row>
    <row r="42" spans="1:27" s="7" customFormat="1" ht="18" customHeight="1">
      <c r="A42" s="373"/>
      <c r="B42" s="357"/>
      <c r="C42" s="14" t="s">
        <v>323</v>
      </c>
      <c r="D42" s="155"/>
      <c r="E42" s="47" t="s">
        <v>324</v>
      </c>
      <c r="F42" s="155"/>
      <c r="G42" s="155"/>
      <c r="H42" s="155"/>
      <c r="I42" s="155"/>
      <c r="J42" s="155"/>
      <c r="K42" s="155"/>
      <c r="L42" s="14" t="s">
        <v>325</v>
      </c>
      <c r="M42" s="379" t="s">
        <v>326</v>
      </c>
      <c r="N42" s="155"/>
      <c r="O42" s="155"/>
      <c r="P42" s="102"/>
      <c r="Q42" s="689"/>
      <c r="R42" s="689"/>
      <c r="S42" s="378"/>
      <c r="V42" s="112"/>
    </row>
    <row r="43" spans="1:27" s="7" customFormat="1" ht="18" customHeight="1">
      <c r="A43" s="373"/>
      <c r="B43" s="357"/>
      <c r="D43" s="155"/>
      <c r="E43" s="47" t="s">
        <v>327</v>
      </c>
      <c r="F43" s="155"/>
      <c r="G43" s="155"/>
      <c r="H43" s="155"/>
      <c r="I43" s="155"/>
      <c r="J43" s="155"/>
      <c r="K43" s="155"/>
      <c r="L43" s="14" t="s">
        <v>328</v>
      </c>
      <c r="M43" s="155"/>
      <c r="N43" s="155"/>
      <c r="O43" s="155"/>
      <c r="P43" s="102" t="s">
        <v>127</v>
      </c>
      <c r="Q43" s="688">
        <f>ATAN(Q40)</f>
        <v>1.5042281630190728</v>
      </c>
      <c r="R43" s="688"/>
      <c r="S43" s="378"/>
      <c r="V43" s="112"/>
    </row>
    <row r="44" spans="1:27" s="7" customFormat="1" ht="18" customHeight="1">
      <c r="A44" s="373"/>
      <c r="B44" s="357"/>
      <c r="C44" s="155"/>
      <c r="D44" s="155"/>
      <c r="E44" s="47" t="s">
        <v>329</v>
      </c>
      <c r="F44" s="155"/>
      <c r="G44" s="155"/>
      <c r="H44" s="155"/>
      <c r="I44" s="155"/>
      <c r="J44" s="155"/>
      <c r="K44" s="155"/>
      <c r="L44" s="14" t="s">
        <v>328</v>
      </c>
      <c r="M44" s="155"/>
      <c r="N44" s="155"/>
      <c r="O44" s="155"/>
      <c r="P44" s="102" t="s">
        <v>127</v>
      </c>
      <c r="Q44" s="688">
        <f>DEGREES(Q43)</f>
        <v>86.185925165709648</v>
      </c>
      <c r="R44" s="688"/>
      <c r="S44" s="378"/>
      <c r="V44" s="112"/>
    </row>
    <row r="45" spans="1:27" s="7" customFormat="1" ht="18" customHeight="1">
      <c r="A45" s="373"/>
      <c r="B45" s="357"/>
      <c r="C45" s="155"/>
      <c r="D45" s="155"/>
      <c r="E45" s="372"/>
      <c r="F45" s="155"/>
      <c r="G45" s="155"/>
      <c r="H45" s="155"/>
      <c r="I45" s="155"/>
      <c r="J45" s="155"/>
      <c r="K45" s="155"/>
      <c r="M45" s="155"/>
      <c r="N45" s="155"/>
      <c r="O45" s="155"/>
      <c r="P45" s="123"/>
      <c r="Q45" s="380"/>
      <c r="R45" s="380"/>
      <c r="S45" s="378"/>
      <c r="T45" s="356"/>
      <c r="U45" s="155"/>
      <c r="V45" s="350"/>
    </row>
    <row r="46" spans="1:27" s="7" customFormat="1" ht="18" customHeight="1">
      <c r="A46" s="370"/>
      <c r="B46" s="155"/>
      <c r="C46" s="155"/>
      <c r="D46" s="155"/>
      <c r="E46" s="47" t="s">
        <v>330</v>
      </c>
      <c r="F46" s="155"/>
      <c r="G46" s="155"/>
      <c r="H46" s="155"/>
      <c r="I46" s="155"/>
      <c r="J46" s="155"/>
      <c r="K46" s="28" t="s">
        <v>331</v>
      </c>
      <c r="L46" s="268" t="s">
        <v>332</v>
      </c>
      <c r="M46" s="155"/>
      <c r="N46" s="155"/>
      <c r="O46" s="155"/>
      <c r="P46" s="102" t="s">
        <v>127</v>
      </c>
      <c r="Q46" s="688">
        <f>Q38*COS(Q43)</f>
        <v>0.10138858918881909</v>
      </c>
      <c r="R46" s="688"/>
      <c r="S46" s="192" t="s">
        <v>333</v>
      </c>
      <c r="T46" s="356"/>
      <c r="U46" s="155"/>
      <c r="V46" s="350"/>
    </row>
    <row r="47" spans="1:27" s="7" customFormat="1" ht="18" customHeight="1">
      <c r="A47" s="370"/>
      <c r="B47" s="155"/>
      <c r="C47" s="155"/>
      <c r="D47" s="155"/>
      <c r="E47" s="14" t="s">
        <v>334</v>
      </c>
      <c r="F47" s="155"/>
      <c r="G47" s="155"/>
      <c r="H47" s="155"/>
      <c r="I47" s="155"/>
      <c r="J47" s="155"/>
      <c r="K47" s="28" t="s">
        <v>335</v>
      </c>
      <c r="L47" s="268" t="s">
        <v>336</v>
      </c>
      <c r="M47" s="155"/>
      <c r="N47" s="155"/>
      <c r="O47" s="155"/>
      <c r="P47" s="102" t="s">
        <v>127</v>
      </c>
      <c r="Q47" s="688">
        <f>Q38*SIN(Q43)</f>
        <v>1.5208288378322858</v>
      </c>
      <c r="R47" s="688"/>
      <c r="S47" s="192" t="s">
        <v>333</v>
      </c>
      <c r="T47" s="356"/>
      <c r="U47" s="155"/>
      <c r="V47" s="350"/>
    </row>
    <row r="48" spans="1:27" s="7" customFormat="1" ht="18" customHeight="1">
      <c r="A48" s="114"/>
      <c r="C48" s="14" t="s">
        <v>337</v>
      </c>
      <c r="D48" s="155"/>
      <c r="E48" s="47" t="s">
        <v>338</v>
      </c>
      <c r="K48" s="28" t="s">
        <v>310</v>
      </c>
      <c r="L48" s="235" t="s">
        <v>127</v>
      </c>
      <c r="N48" s="688">
        <f>Q46</f>
        <v>0.10138858918881909</v>
      </c>
      <c r="O48" s="689"/>
      <c r="P48" s="102" t="s">
        <v>295</v>
      </c>
      <c r="Q48" s="688">
        <f>Q47</f>
        <v>1.5208288378322858</v>
      </c>
      <c r="R48" s="689"/>
      <c r="S48" s="192" t="s">
        <v>333</v>
      </c>
      <c r="V48" s="381"/>
    </row>
    <row r="49" spans="1:22" s="14" customFormat="1" ht="18" hidden="1" customHeight="1">
      <c r="A49" s="193" t="s">
        <v>887</v>
      </c>
      <c r="Q49" s="120"/>
      <c r="R49" s="28"/>
      <c r="S49" s="525"/>
      <c r="V49" s="381"/>
    </row>
    <row r="50" spans="1:22" s="30" customFormat="1" ht="18" hidden="1" customHeight="1">
      <c r="A50" s="193"/>
      <c r="B50" s="14"/>
      <c r="C50" s="28" t="s">
        <v>867</v>
      </c>
      <c r="D50" s="218" t="s">
        <v>127</v>
      </c>
      <c r="E50" s="218" t="s">
        <v>310</v>
      </c>
      <c r="F50" s="28" t="s">
        <v>342</v>
      </c>
      <c r="G50" s="14" t="s">
        <v>888</v>
      </c>
      <c r="H50" s="14"/>
      <c r="I50" s="14"/>
      <c r="J50" s="120"/>
      <c r="K50" s="120"/>
      <c r="L50" s="47" t="s">
        <v>889</v>
      </c>
      <c r="M50" s="14"/>
      <c r="N50" s="257" t="s">
        <v>299</v>
      </c>
      <c r="O50" s="14" t="s">
        <v>127</v>
      </c>
      <c r="P50" s="688">
        <f>SQRT(L28^2+O28^2)</f>
        <v>0.28104318194185035</v>
      </c>
      <c r="Q50" s="688"/>
      <c r="R50" s="120" t="s">
        <v>520</v>
      </c>
      <c r="S50" s="28"/>
      <c r="T50" s="47"/>
      <c r="U50" s="14"/>
      <c r="V50" s="185"/>
    </row>
    <row r="51" spans="1:22" s="14" customFormat="1" ht="18" hidden="1" customHeight="1">
      <c r="A51" s="96"/>
      <c r="D51" s="218" t="s">
        <v>127</v>
      </c>
      <c r="E51" s="724">
        <f>Q38</f>
        <v>1.5242047106606122</v>
      </c>
      <c r="F51" s="724"/>
      <c r="G51" s="28" t="s">
        <v>342</v>
      </c>
      <c r="H51" s="689" t="s">
        <v>890</v>
      </c>
      <c r="I51" s="689"/>
      <c r="J51" s="688">
        <f>P50</f>
        <v>0.28104318194185035</v>
      </c>
      <c r="K51" s="688"/>
      <c r="L51" s="14" t="s">
        <v>350</v>
      </c>
      <c r="Q51" s="120"/>
      <c r="R51" s="28"/>
      <c r="S51" s="525"/>
      <c r="V51" s="381"/>
    </row>
    <row r="52" spans="1:22" s="14" customFormat="1" ht="18" hidden="1" customHeight="1">
      <c r="A52" s="96"/>
      <c r="D52" s="218" t="s">
        <v>127</v>
      </c>
      <c r="E52" s="689">
        <f>E51/(0.8*J51)</f>
        <v>6.7792282849970542</v>
      </c>
      <c r="F52" s="689"/>
      <c r="Q52" s="120"/>
      <c r="R52" s="28"/>
      <c r="S52" s="525"/>
      <c r="V52" s="381"/>
    </row>
    <row r="53" spans="1:22" s="14" customFormat="1" ht="18" hidden="1" customHeight="1">
      <c r="A53" s="96"/>
      <c r="D53" s="218"/>
      <c r="E53" s="28"/>
      <c r="F53" s="28"/>
      <c r="Q53" s="120"/>
      <c r="R53" s="28"/>
      <c r="S53" s="525"/>
      <c r="V53" s="381"/>
    </row>
    <row r="54" spans="1:22" s="7" customFormat="1" ht="18" customHeight="1">
      <c r="A54" s="560"/>
      <c r="C54" s="14"/>
      <c r="D54" s="155"/>
      <c r="E54" s="47"/>
      <c r="K54" s="28"/>
      <c r="L54" s="235"/>
      <c r="N54" s="541"/>
      <c r="O54" s="28"/>
      <c r="P54" s="102"/>
      <c r="Q54" s="541"/>
      <c r="R54" s="28"/>
      <c r="S54" s="192"/>
      <c r="V54" s="558"/>
    </row>
    <row r="55" spans="1:22" ht="18" customHeight="1">
      <c r="A55" s="382"/>
      <c r="B55" s="20"/>
      <c r="C55" s="20"/>
      <c r="D55" s="20"/>
      <c r="E55" s="20"/>
      <c r="F55" s="20"/>
      <c r="G55" s="20"/>
      <c r="H55" s="20"/>
      <c r="I55" s="20"/>
      <c r="J55" s="20"/>
      <c r="K55" s="20"/>
      <c r="L55" s="20"/>
      <c r="M55" s="20"/>
      <c r="N55" s="20"/>
      <c r="O55" s="20"/>
      <c r="P55" s="20"/>
      <c r="Q55" s="21"/>
      <c r="R55" s="22"/>
      <c r="S55" s="23"/>
      <c r="T55" s="20"/>
      <c r="U55" s="20"/>
      <c r="V55" s="134"/>
    </row>
    <row r="56" spans="1:22" ht="19.8" customHeight="1">
      <c r="A56" s="383" t="s">
        <v>339</v>
      </c>
      <c r="B56" s="384"/>
      <c r="C56" s="349"/>
      <c r="D56" s="385"/>
      <c r="E56" s="385"/>
      <c r="F56" s="385"/>
      <c r="G56" s="386"/>
      <c r="H56" s="386"/>
      <c r="I56" s="387"/>
      <c r="J56" s="387"/>
      <c r="K56" s="387"/>
      <c r="L56" s="387"/>
      <c r="M56" s="388"/>
      <c r="N56" s="389"/>
      <c r="O56" s="390"/>
      <c r="P56" s="391"/>
      <c r="Q56" s="392"/>
      <c r="R56" s="393"/>
      <c r="S56" s="394"/>
      <c r="T56" s="384"/>
      <c r="U56" s="384"/>
      <c r="V56" s="395"/>
    </row>
    <row r="57" spans="1:22" ht="18" customHeight="1">
      <c r="A57" s="396"/>
      <c r="B57" s="47" t="s">
        <v>317</v>
      </c>
      <c r="C57" s="156"/>
      <c r="D57" s="397"/>
      <c r="F57" s="376"/>
      <c r="G57" s="102" t="s">
        <v>127</v>
      </c>
      <c r="H57" s="28">
        <v>2</v>
      </c>
      <c r="I57" s="28" t="s">
        <v>315</v>
      </c>
      <c r="J57" s="278" t="s">
        <v>318</v>
      </c>
      <c r="K57" s="28" t="s">
        <v>315</v>
      </c>
      <c r="L57" s="28" t="s">
        <v>319</v>
      </c>
      <c r="M57" s="28" t="s">
        <v>315</v>
      </c>
      <c r="N57" s="47" t="s">
        <v>320</v>
      </c>
      <c r="O57" s="376"/>
      <c r="P57" s="163"/>
      <c r="Q57" s="398"/>
      <c r="S57" s="376"/>
      <c r="V57" s="10"/>
    </row>
    <row r="58" spans="1:22" ht="18" customHeight="1">
      <c r="A58" s="396"/>
      <c r="B58" s="47" t="s">
        <v>321</v>
      </c>
      <c r="C58" s="156"/>
      <c r="D58" s="375"/>
      <c r="E58" s="376"/>
      <c r="F58" s="376"/>
      <c r="H58" s="376"/>
      <c r="I58" s="152"/>
      <c r="J58" s="152"/>
      <c r="K58" s="152"/>
      <c r="L58" s="152"/>
      <c r="N58" s="376"/>
      <c r="O58" s="28" t="s">
        <v>322</v>
      </c>
      <c r="P58" s="102" t="s">
        <v>127</v>
      </c>
      <c r="Q58" s="694">
        <f>Q11</f>
        <v>15</v>
      </c>
      <c r="R58" s="689"/>
      <c r="S58" s="372"/>
      <c r="V58" s="10"/>
    </row>
    <row r="59" spans="1:22" ht="18" customHeight="1">
      <c r="A59" s="396"/>
      <c r="B59" s="47" t="s">
        <v>263</v>
      </c>
      <c r="C59" s="156"/>
      <c r="D59" s="397"/>
      <c r="E59" s="7"/>
      <c r="F59" s="7"/>
      <c r="H59" s="376"/>
      <c r="I59" s="152"/>
      <c r="J59" s="152"/>
      <c r="K59" s="152"/>
      <c r="L59" s="152"/>
      <c r="N59" s="376"/>
      <c r="O59" s="28" t="s">
        <v>319</v>
      </c>
      <c r="P59" s="102" t="s">
        <v>127</v>
      </c>
      <c r="Q59" s="718">
        <f>Q8</f>
        <v>50</v>
      </c>
      <c r="R59" s="718"/>
      <c r="S59" s="47" t="s">
        <v>264</v>
      </c>
      <c r="V59" s="10"/>
    </row>
    <row r="60" spans="1:22" ht="18" customHeight="1">
      <c r="A60" s="396"/>
      <c r="B60" s="249" t="s">
        <v>340</v>
      </c>
      <c r="C60" s="156"/>
      <c r="D60" s="397"/>
      <c r="F60" s="123"/>
      <c r="G60" s="28" t="s">
        <v>127</v>
      </c>
      <c r="H60" s="28" t="s">
        <v>341</v>
      </c>
      <c r="I60" s="399" t="s">
        <v>342</v>
      </c>
      <c r="J60" s="28">
        <v>2</v>
      </c>
      <c r="K60" s="28" t="s">
        <v>315</v>
      </c>
      <c r="L60" s="278" t="s">
        <v>318</v>
      </c>
      <c r="M60" s="400" t="s">
        <v>315</v>
      </c>
      <c r="N60" s="218" t="s">
        <v>319</v>
      </c>
      <c r="O60" s="376"/>
      <c r="P60" s="102" t="s">
        <v>127</v>
      </c>
      <c r="Q60" s="696">
        <f>(Q58*1000)/(J60*(22/7)*Q59)</f>
        <v>47.727272727272727</v>
      </c>
      <c r="R60" s="722"/>
      <c r="S60" s="47" t="s">
        <v>343</v>
      </c>
      <c r="V60" s="10"/>
    </row>
    <row r="61" spans="1:22" ht="18" customHeight="1">
      <c r="A61" s="401"/>
      <c r="B61" s="156"/>
      <c r="C61" s="156"/>
      <c r="D61" s="397"/>
      <c r="E61" s="155"/>
      <c r="F61" s="155"/>
      <c r="G61" s="155"/>
      <c r="H61" s="155"/>
      <c r="I61" s="155"/>
      <c r="J61" s="155"/>
      <c r="K61" s="155"/>
      <c r="L61" s="155"/>
      <c r="M61" s="155"/>
      <c r="N61" s="155"/>
      <c r="O61" s="155"/>
      <c r="P61" s="155"/>
      <c r="Q61" s="155"/>
      <c r="R61" s="155"/>
      <c r="S61" s="155"/>
      <c r="V61" s="10"/>
    </row>
    <row r="62" spans="1:22" ht="18" customHeight="1">
      <c r="A62" s="193" t="s">
        <v>344</v>
      </c>
      <c r="B62" s="162"/>
      <c r="C62" s="152"/>
      <c r="D62" s="152"/>
      <c r="E62" s="152"/>
      <c r="F62" s="152"/>
      <c r="G62" s="152"/>
      <c r="H62" s="152"/>
      <c r="I62" s="152"/>
      <c r="J62" s="152"/>
      <c r="K62" s="152"/>
      <c r="L62" s="152"/>
      <c r="M62" s="152"/>
      <c r="N62" s="163"/>
      <c r="O62" s="145"/>
      <c r="P62" s="152"/>
      <c r="Q62" s="49"/>
      <c r="V62" s="10"/>
    </row>
    <row r="63" spans="1:22" s="155" customFormat="1" ht="18" customHeight="1">
      <c r="A63" s="96" t="s">
        <v>345</v>
      </c>
      <c r="B63" s="156"/>
      <c r="E63" s="28" t="s">
        <v>346</v>
      </c>
      <c r="F63" s="28" t="s">
        <v>127</v>
      </c>
      <c r="H63" s="28" t="s">
        <v>310</v>
      </c>
      <c r="I63" s="102" t="s">
        <v>347</v>
      </c>
      <c r="J63" s="14" t="s">
        <v>299</v>
      </c>
      <c r="Q63" s="402"/>
      <c r="S63" s="156"/>
      <c r="T63"/>
      <c r="U63"/>
      <c r="V63" s="10"/>
    </row>
    <row r="64" spans="1:22" s="155" customFormat="1" ht="18" customHeight="1">
      <c r="A64" s="370"/>
      <c r="F64" s="403" t="s">
        <v>348</v>
      </c>
      <c r="G64" s="688">
        <f>N48</f>
        <v>0.10138858918881909</v>
      </c>
      <c r="H64" s="689"/>
      <c r="I64" s="102" t="s">
        <v>295</v>
      </c>
      <c r="J64" s="688">
        <f>Q48</f>
        <v>1.5208288378322858</v>
      </c>
      <c r="K64" s="689"/>
      <c r="L64" s="28" t="s">
        <v>349</v>
      </c>
      <c r="M64" s="711">
        <f>L28</f>
        <v>3.8454000000000002E-2</v>
      </c>
      <c r="N64" s="689"/>
      <c r="O64" s="102" t="s">
        <v>295</v>
      </c>
      <c r="P64" s="711">
        <f>O28</f>
        <v>0.27839999999999998</v>
      </c>
      <c r="Q64" s="689"/>
      <c r="R64" s="14" t="s">
        <v>350</v>
      </c>
      <c r="S64" s="156"/>
      <c r="T64"/>
      <c r="U64"/>
      <c r="V64" s="10"/>
    </row>
    <row r="65" spans="1:22" s="155" customFormat="1" ht="18" customHeight="1">
      <c r="A65" s="159"/>
      <c r="F65" s="28" t="s">
        <v>127</v>
      </c>
      <c r="G65" s="688">
        <f>G64+M64</f>
        <v>0.13984258918881909</v>
      </c>
      <c r="H65" s="689"/>
      <c r="I65" s="102" t="s">
        <v>351</v>
      </c>
      <c r="J65" s="688">
        <f>J64+P64</f>
        <v>1.7992288378322858</v>
      </c>
      <c r="K65" s="689"/>
      <c r="L65" s="404" t="s">
        <v>333</v>
      </c>
      <c r="S65" s="156"/>
      <c r="T65"/>
      <c r="U65"/>
      <c r="V65" s="10"/>
    </row>
    <row r="66" spans="1:22" ht="18" customHeight="1">
      <c r="A66" s="114"/>
      <c r="B66" s="7"/>
      <c r="C66" s="7"/>
      <c r="D66" s="7"/>
      <c r="E66" s="7"/>
      <c r="F66" s="7"/>
      <c r="G66" s="7"/>
      <c r="H66" s="7"/>
      <c r="I66" s="7"/>
      <c r="J66" s="7"/>
      <c r="K66" s="7"/>
      <c r="L66" s="7"/>
      <c r="M66" s="7"/>
      <c r="N66" s="7"/>
      <c r="O66" s="7"/>
      <c r="P66" s="7"/>
      <c r="Q66" s="124"/>
      <c r="R66" s="121"/>
      <c r="S66" s="405"/>
      <c r="T66" s="7"/>
      <c r="U66" s="7"/>
      <c r="V66" s="381"/>
    </row>
    <row r="67" spans="1:22" s="155" customFormat="1" ht="18" customHeight="1">
      <c r="A67" s="159"/>
      <c r="F67" s="28" t="s">
        <v>127</v>
      </c>
      <c r="G67" s="703">
        <f>SQRT(G65^2+J65^2)</f>
        <v>1.8046551916192608</v>
      </c>
      <c r="H67" s="689"/>
      <c r="I67" s="278" t="s">
        <v>352</v>
      </c>
      <c r="J67" s="704">
        <f>DEGREES(ATAN(J65/G65))</f>
        <v>85.555699177658028</v>
      </c>
      <c r="K67" s="689"/>
      <c r="L67" s="404" t="s">
        <v>333</v>
      </c>
      <c r="S67" s="156"/>
      <c r="T67"/>
      <c r="U67"/>
      <c r="V67" s="10"/>
    </row>
    <row r="68" spans="1:22" s="155" customFormat="1" ht="18" customHeight="1">
      <c r="A68" s="159"/>
      <c r="E68" s="120" t="s">
        <v>353</v>
      </c>
      <c r="F68" s="28" t="s">
        <v>127</v>
      </c>
      <c r="G68" s="705">
        <f>J65/G65</f>
        <v>12.866100722741342</v>
      </c>
      <c r="H68" s="689"/>
      <c r="K68" s="124"/>
      <c r="L68" s="121"/>
      <c r="M68" s="406"/>
      <c r="N68" s="372"/>
      <c r="O68" s="376"/>
      <c r="P68" s="153"/>
      <c r="Q68" s="407"/>
      <c r="R68" s="375"/>
      <c r="S68" s="156"/>
      <c r="T68"/>
      <c r="U68"/>
      <c r="V68" s="10"/>
    </row>
    <row r="69" spans="1:22" s="155" customFormat="1" ht="18" customHeight="1">
      <c r="A69" s="159"/>
      <c r="B69" s="47" t="s">
        <v>354</v>
      </c>
      <c r="C69" s="397"/>
      <c r="E69" s="397"/>
      <c r="F69" s="375"/>
      <c r="G69" s="375"/>
      <c r="H69" s="156"/>
      <c r="I69" s="156"/>
      <c r="J69" s="156"/>
      <c r="K69" s="156"/>
      <c r="L69" s="236" t="s">
        <v>127</v>
      </c>
      <c r="M69" s="706">
        <f>Q33</f>
        <v>132000</v>
      </c>
      <c r="N69" s="706"/>
      <c r="O69" s="229" t="s">
        <v>315</v>
      </c>
      <c r="P69" s="707">
        <f>Q37</f>
        <v>1</v>
      </c>
      <c r="Q69" s="708"/>
      <c r="S69" s="156"/>
      <c r="T69"/>
      <c r="U69"/>
      <c r="V69" s="10"/>
    </row>
    <row r="70" spans="1:22" s="155" customFormat="1" ht="18" customHeight="1">
      <c r="A70" s="159"/>
      <c r="B70" s="156"/>
      <c r="C70" s="397"/>
      <c r="D70" s="375"/>
      <c r="E70" s="397"/>
      <c r="F70" s="375"/>
      <c r="G70" s="375"/>
      <c r="H70" s="156"/>
      <c r="I70" s="156"/>
      <c r="J70" s="156"/>
      <c r="K70" s="156"/>
      <c r="L70" s="157"/>
      <c r="M70" s="688">
        <f>+G67</f>
        <v>1.8046551916192608</v>
      </c>
      <c r="N70" s="688"/>
      <c r="O70" s="28" t="s">
        <v>315</v>
      </c>
      <c r="P70" s="689" t="s">
        <v>355</v>
      </c>
      <c r="Q70" s="689">
        <f>SQRT(3)</f>
        <v>1.7320508075688772</v>
      </c>
      <c r="R70" s="375"/>
      <c r="S70" s="156"/>
      <c r="T70"/>
      <c r="U70"/>
      <c r="V70" s="10"/>
    </row>
    <row r="71" spans="1:22" ht="18" customHeight="1">
      <c r="A71" s="9"/>
      <c r="L71" s="102" t="s">
        <v>127</v>
      </c>
      <c r="M71" s="709">
        <f>M69*P69/(M70*SQRT(3))</f>
        <v>42229.804278926844</v>
      </c>
      <c r="N71" s="710"/>
      <c r="O71" s="30" t="s">
        <v>8</v>
      </c>
      <c r="V71" s="10"/>
    </row>
    <row r="72" spans="1:22" ht="18" customHeight="1">
      <c r="A72" s="9"/>
      <c r="L72" s="354"/>
      <c r="M72" s="409"/>
      <c r="N72" s="409"/>
      <c r="V72" s="10"/>
    </row>
    <row r="73" spans="1:22" ht="18" customHeight="1">
      <c r="A73" s="193" t="s">
        <v>356</v>
      </c>
      <c r="C73" s="155"/>
      <c r="D73" s="397"/>
      <c r="E73" s="397"/>
      <c r="F73" s="397"/>
      <c r="G73" s="375"/>
      <c r="H73" s="375"/>
      <c r="I73" s="156"/>
      <c r="J73" s="156"/>
      <c r="K73" s="156"/>
      <c r="L73" s="156"/>
      <c r="M73" s="410"/>
      <c r="N73" s="411"/>
      <c r="O73" s="412"/>
      <c r="P73" s="413"/>
      <c r="Q73" s="157"/>
      <c r="R73" s="402"/>
      <c r="S73" s="414"/>
      <c r="V73" s="10"/>
    </row>
    <row r="74" spans="1:22" ht="18" customHeight="1">
      <c r="A74" s="396"/>
      <c r="B74" s="47" t="s">
        <v>357</v>
      </c>
      <c r="C74" s="156"/>
      <c r="D74" s="397"/>
      <c r="F74" s="376"/>
      <c r="G74" s="102" t="s">
        <v>127</v>
      </c>
      <c r="H74" s="28">
        <v>2</v>
      </c>
      <c r="I74" s="28" t="s">
        <v>315</v>
      </c>
      <c r="J74" s="278" t="s">
        <v>318</v>
      </c>
      <c r="K74" s="28" t="s">
        <v>315</v>
      </c>
      <c r="L74" s="28" t="s">
        <v>319</v>
      </c>
      <c r="M74" s="28" t="s">
        <v>315</v>
      </c>
      <c r="N74" s="47" t="s">
        <v>320</v>
      </c>
      <c r="O74" s="376"/>
      <c r="P74" s="163"/>
      <c r="Q74" s="398"/>
      <c r="S74" s="376"/>
      <c r="V74" s="10"/>
    </row>
    <row r="75" spans="1:22" ht="18" customHeight="1">
      <c r="A75" s="396"/>
      <c r="B75" s="47" t="s">
        <v>358</v>
      </c>
      <c r="C75" s="156"/>
      <c r="D75" s="375"/>
      <c r="E75" s="376"/>
      <c r="F75" s="376"/>
      <c r="H75" s="376"/>
      <c r="I75" s="152"/>
      <c r="J75" s="152"/>
      <c r="K75" s="152"/>
      <c r="L75" s="152"/>
      <c r="N75" s="376"/>
      <c r="O75" s="28" t="s">
        <v>322</v>
      </c>
      <c r="P75" s="102" t="s">
        <v>127</v>
      </c>
      <c r="Q75" s="692">
        <f>G68</f>
        <v>12.866100722741342</v>
      </c>
      <c r="R75" s="692"/>
      <c r="S75" s="372"/>
      <c r="V75" s="10"/>
    </row>
    <row r="76" spans="1:22" ht="18" customHeight="1">
      <c r="A76" s="396"/>
      <c r="B76" s="47" t="s">
        <v>263</v>
      </c>
      <c r="C76" s="156"/>
      <c r="D76" s="397"/>
      <c r="E76" s="7"/>
      <c r="F76" s="7"/>
      <c r="H76" s="376"/>
      <c r="I76" s="152"/>
      <c r="J76" s="152"/>
      <c r="K76" s="152"/>
      <c r="L76" s="152"/>
      <c r="N76" s="376"/>
      <c r="O76" s="28" t="s">
        <v>319</v>
      </c>
      <c r="P76" s="102" t="s">
        <v>127</v>
      </c>
      <c r="Q76" s="718">
        <f>Q8</f>
        <v>50</v>
      </c>
      <c r="R76" s="708"/>
      <c r="S76" s="47" t="s">
        <v>264</v>
      </c>
      <c r="V76" s="10"/>
    </row>
    <row r="77" spans="1:22" ht="18" customHeight="1">
      <c r="A77" s="396"/>
      <c r="B77" s="249" t="s">
        <v>340</v>
      </c>
      <c r="C77" s="156"/>
      <c r="D77" s="397"/>
      <c r="F77" s="123"/>
      <c r="G77" s="28" t="s">
        <v>127</v>
      </c>
      <c r="H77" s="28" t="s">
        <v>341</v>
      </c>
      <c r="I77" s="399" t="s">
        <v>342</v>
      </c>
      <c r="J77" s="28">
        <v>2</v>
      </c>
      <c r="K77" s="28" t="s">
        <v>315</v>
      </c>
      <c r="L77" s="278" t="s">
        <v>318</v>
      </c>
      <c r="M77" s="400" t="s">
        <v>315</v>
      </c>
      <c r="N77" s="218" t="s">
        <v>319</v>
      </c>
      <c r="O77" s="376"/>
      <c r="P77" s="123" t="s">
        <v>127</v>
      </c>
      <c r="Q77" s="696">
        <f>(Q75*1000)/(J77*(22/7)*Q76)</f>
        <v>40.937593208722447</v>
      </c>
      <c r="R77" s="697"/>
      <c r="S77" s="47" t="s">
        <v>343</v>
      </c>
      <c r="V77" s="10"/>
    </row>
    <row r="78" spans="1:22" ht="18" customHeight="1">
      <c r="A78" s="9"/>
      <c r="V78" s="10"/>
    </row>
    <row r="79" spans="1:22" ht="18" customHeight="1">
      <c r="A79" s="193" t="s">
        <v>359</v>
      </c>
      <c r="V79" s="10"/>
    </row>
    <row r="80" spans="1:22" ht="18" customHeight="1">
      <c r="A80" s="184" t="s">
        <v>360</v>
      </c>
      <c r="E80" s="28" t="s">
        <v>361</v>
      </c>
      <c r="F80" s="28" t="s">
        <v>127</v>
      </c>
      <c r="G80" s="279"/>
      <c r="H80" s="28" t="s">
        <v>310</v>
      </c>
      <c r="I80" s="102" t="s">
        <v>347</v>
      </c>
      <c r="J80" s="14" t="s">
        <v>301</v>
      </c>
      <c r="K80" s="7"/>
      <c r="V80" s="10"/>
    </row>
    <row r="81" spans="1:22" ht="18" customHeight="1">
      <c r="A81" s="9"/>
      <c r="F81" s="250" t="s">
        <v>348</v>
      </c>
      <c r="G81" s="688">
        <f>N48</f>
        <v>0.10138858918881909</v>
      </c>
      <c r="H81" s="689"/>
      <c r="I81" s="102" t="s">
        <v>295</v>
      </c>
      <c r="J81" s="688">
        <f>Q48</f>
        <v>1.5208288378322858</v>
      </c>
      <c r="K81" s="689"/>
      <c r="L81" s="28" t="s">
        <v>349</v>
      </c>
      <c r="M81" s="711">
        <f>L29</f>
        <v>0.22620000000000001</v>
      </c>
      <c r="N81" s="689"/>
      <c r="O81" s="102" t="s">
        <v>295</v>
      </c>
      <c r="P81" s="711">
        <f>O29</f>
        <v>0.10439999999999999</v>
      </c>
      <c r="Q81" s="689"/>
      <c r="R81" s="14" t="s">
        <v>350</v>
      </c>
      <c r="V81" s="10"/>
    </row>
    <row r="82" spans="1:22" ht="18" customHeight="1">
      <c r="A82" s="159"/>
      <c r="F82" s="28" t="s">
        <v>127</v>
      </c>
      <c r="G82" s="688">
        <f>G81+M81</f>
        <v>0.32758858918881911</v>
      </c>
      <c r="H82" s="689"/>
      <c r="I82" s="102" t="s">
        <v>351</v>
      </c>
      <c r="J82" s="688">
        <f>J81+P81</f>
        <v>1.6252288378322859</v>
      </c>
      <c r="K82" s="689"/>
      <c r="L82" s="192" t="s">
        <v>333</v>
      </c>
      <c r="O82" s="155"/>
      <c r="P82" s="415"/>
      <c r="Q82" s="121"/>
      <c r="R82" s="414"/>
      <c r="V82" s="10"/>
    </row>
    <row r="83" spans="1:22" ht="18" customHeight="1">
      <c r="A83" s="159"/>
      <c r="F83" s="28" t="s">
        <v>127</v>
      </c>
      <c r="G83" s="703">
        <f>SQRT(G82^2+J82^2)</f>
        <v>1.6579152750030395</v>
      </c>
      <c r="H83" s="689"/>
      <c r="I83" s="278" t="s">
        <v>352</v>
      </c>
      <c r="J83" s="704">
        <f>DEGREES(ATAN(J82/G82))</f>
        <v>78.603896812409772</v>
      </c>
      <c r="K83" s="689"/>
      <c r="L83" s="192" t="s">
        <v>333</v>
      </c>
      <c r="M83" s="155"/>
      <c r="N83" s="155"/>
      <c r="O83" s="155"/>
      <c r="P83" s="415"/>
      <c r="Q83" s="121"/>
      <c r="R83" s="414"/>
      <c r="V83" s="10"/>
    </row>
    <row r="84" spans="1:22" ht="18" customHeight="1">
      <c r="A84" s="9"/>
      <c r="M84" s="416"/>
      <c r="N84" s="7"/>
      <c r="O84" s="417"/>
      <c r="P84" s="415"/>
      <c r="Q84" s="121"/>
      <c r="R84" s="414"/>
      <c r="V84" s="10"/>
    </row>
    <row r="85" spans="1:22" ht="18" customHeight="1">
      <c r="A85" s="184" t="s">
        <v>345</v>
      </c>
      <c r="E85" s="28" t="s">
        <v>362</v>
      </c>
      <c r="F85" s="28" t="s">
        <v>127</v>
      </c>
      <c r="G85" s="279"/>
      <c r="H85" s="28" t="s">
        <v>346</v>
      </c>
      <c r="I85" s="102" t="s">
        <v>347</v>
      </c>
      <c r="J85" s="28" t="s">
        <v>363</v>
      </c>
      <c r="K85" s="28" t="s">
        <v>347</v>
      </c>
      <c r="L85" s="28" t="s">
        <v>361</v>
      </c>
      <c r="V85" s="10"/>
    </row>
    <row r="86" spans="1:22" ht="18" customHeight="1">
      <c r="A86" s="9"/>
      <c r="B86" s="250" t="s">
        <v>348</v>
      </c>
      <c r="C86" s="702">
        <f>G65</f>
        <v>0.13984258918881909</v>
      </c>
      <c r="D86" s="684"/>
      <c r="E86" s="191" t="s">
        <v>351</v>
      </c>
      <c r="F86" s="702">
        <f>J65</f>
        <v>1.7992288378322858</v>
      </c>
      <c r="G86" s="684"/>
      <c r="H86" s="27" t="s">
        <v>349</v>
      </c>
      <c r="I86" s="702">
        <f>G65</f>
        <v>0.13984258918881909</v>
      </c>
      <c r="J86" s="684"/>
      <c r="K86" s="191" t="s">
        <v>351</v>
      </c>
      <c r="L86" s="702">
        <f>J65</f>
        <v>1.7992288378322858</v>
      </c>
      <c r="M86" s="684"/>
      <c r="N86" s="27" t="s">
        <v>349</v>
      </c>
      <c r="O86" s="701">
        <f>G82</f>
        <v>0.32758858918881911</v>
      </c>
      <c r="P86" s="684"/>
      <c r="Q86" s="191" t="s">
        <v>351</v>
      </c>
      <c r="R86" s="701">
        <f>J82</f>
        <v>1.6252288378322859</v>
      </c>
      <c r="S86" s="684"/>
      <c r="T86" s="30" t="s">
        <v>350</v>
      </c>
      <c r="V86" s="10"/>
    </row>
    <row r="87" spans="1:22" ht="18" customHeight="1">
      <c r="A87" s="9"/>
      <c r="B87" s="27" t="s">
        <v>127</v>
      </c>
      <c r="C87" s="702">
        <f>C86+I86+O86</f>
        <v>0.60727376756645723</v>
      </c>
      <c r="D87" s="684"/>
      <c r="E87" s="191" t="s">
        <v>351</v>
      </c>
      <c r="F87" s="702">
        <f>F86+L86+R86</f>
        <v>5.2236865134968573</v>
      </c>
      <c r="G87" s="684"/>
      <c r="V87" s="10"/>
    </row>
    <row r="88" spans="1:22" ht="18" customHeight="1">
      <c r="A88" s="9"/>
      <c r="B88" s="28" t="s">
        <v>127</v>
      </c>
      <c r="C88" s="703">
        <f>SQRT(C87^2+F87^2)</f>
        <v>5.2588670091630298</v>
      </c>
      <c r="D88" s="689"/>
      <c r="E88" s="278" t="s">
        <v>352</v>
      </c>
      <c r="F88" s="704">
        <f>DEGREES(ATAN(F87/C87))</f>
        <v>83.368910025118566</v>
      </c>
      <c r="G88" s="689"/>
      <c r="H88" s="43" t="s">
        <v>333</v>
      </c>
      <c r="N88" s="120" t="s">
        <v>353</v>
      </c>
      <c r="O88" s="28" t="s">
        <v>127</v>
      </c>
      <c r="P88" s="705">
        <f>F87/C87</f>
        <v>8.6018642537942345</v>
      </c>
      <c r="Q88" s="705"/>
      <c r="V88" s="10"/>
    </row>
    <row r="89" spans="1:22" ht="18" customHeight="1">
      <c r="A89" s="9"/>
      <c r="V89" s="10"/>
    </row>
    <row r="90" spans="1:22" ht="18" customHeight="1">
      <c r="A90" s="9"/>
      <c r="B90" s="47" t="s">
        <v>364</v>
      </c>
      <c r="C90" s="397"/>
      <c r="D90" s="155"/>
      <c r="E90" s="397"/>
      <c r="F90" s="375"/>
      <c r="G90" s="375"/>
      <c r="H90" s="156"/>
      <c r="I90" s="156"/>
      <c r="J90" s="156"/>
      <c r="K90" s="156"/>
      <c r="L90" s="236" t="s">
        <v>127</v>
      </c>
      <c r="M90" s="706">
        <f>Q33</f>
        <v>132000</v>
      </c>
      <c r="N90" s="706"/>
      <c r="O90" s="229" t="s">
        <v>315</v>
      </c>
      <c r="P90" s="707">
        <f>Q37</f>
        <v>1</v>
      </c>
      <c r="Q90" s="708"/>
      <c r="R90" s="229" t="s">
        <v>315</v>
      </c>
      <c r="S90" s="229">
        <v>3</v>
      </c>
      <c r="V90" s="10"/>
    </row>
    <row r="91" spans="1:22" ht="18" customHeight="1">
      <c r="A91" s="9"/>
      <c r="B91" s="156"/>
      <c r="C91" s="397"/>
      <c r="D91" s="375"/>
      <c r="E91" s="397"/>
      <c r="F91" s="375"/>
      <c r="G91" s="375"/>
      <c r="H91" s="156"/>
      <c r="I91" s="156"/>
      <c r="J91" s="156"/>
      <c r="K91" s="156"/>
      <c r="L91" s="157"/>
      <c r="M91" s="688">
        <f>+C88</f>
        <v>5.2588670091630298</v>
      </c>
      <c r="N91" s="688"/>
      <c r="O91" s="28" t="s">
        <v>315</v>
      </c>
      <c r="P91" s="689" t="s">
        <v>355</v>
      </c>
      <c r="Q91" s="689">
        <f>SQRT(3)</f>
        <v>1.7320508075688772</v>
      </c>
      <c r="R91" s="375"/>
      <c r="S91" s="156"/>
      <c r="V91" s="10"/>
    </row>
    <row r="92" spans="1:22" ht="18" customHeight="1">
      <c r="A92" s="9"/>
      <c r="L92" s="102" t="s">
        <v>127</v>
      </c>
      <c r="M92" s="709">
        <f>(M90*P90*S90)/(M91*SQRT(3))</f>
        <v>43475.278268251794</v>
      </c>
      <c r="N92" s="710"/>
      <c r="O92" s="30" t="s">
        <v>8</v>
      </c>
      <c r="V92" s="10"/>
    </row>
    <row r="93" spans="1:22" ht="18" customHeight="1">
      <c r="A93" s="9"/>
      <c r="L93" s="102"/>
      <c r="M93" s="418"/>
      <c r="N93" s="418"/>
      <c r="O93" s="30"/>
      <c r="V93" s="10"/>
    </row>
    <row r="94" spans="1:22" ht="18" hidden="1" customHeight="1">
      <c r="A94" s="9"/>
      <c r="L94" s="102"/>
      <c r="M94" s="418"/>
      <c r="N94" s="418"/>
      <c r="O94" s="30"/>
      <c r="V94" s="10"/>
    </row>
    <row r="95" spans="1:22" ht="18" customHeight="1">
      <c r="A95" s="345"/>
      <c r="B95" s="346"/>
      <c r="C95" s="346"/>
      <c r="D95" s="346"/>
      <c r="E95" s="346"/>
      <c r="F95" s="346"/>
      <c r="G95" s="346"/>
      <c r="H95" s="346"/>
      <c r="I95" s="346"/>
      <c r="J95" s="346"/>
      <c r="K95" s="346"/>
      <c r="L95" s="471"/>
      <c r="M95" s="408"/>
      <c r="N95" s="408"/>
      <c r="O95" s="207"/>
      <c r="P95" s="346"/>
      <c r="Q95" s="346"/>
      <c r="R95" s="346"/>
      <c r="S95" s="346"/>
      <c r="T95" s="346"/>
      <c r="U95" s="346"/>
      <c r="V95" s="347"/>
    </row>
    <row r="96" spans="1:22" ht="18" customHeight="1">
      <c r="A96" s="382"/>
      <c r="B96" s="20"/>
      <c r="C96" s="20"/>
      <c r="D96" s="20"/>
      <c r="E96" s="20"/>
      <c r="F96" s="20"/>
      <c r="G96" s="20"/>
      <c r="H96" s="20"/>
      <c r="I96" s="20"/>
      <c r="J96" s="20"/>
      <c r="K96" s="20"/>
      <c r="L96" s="20"/>
      <c r="M96" s="20"/>
      <c r="N96" s="20"/>
      <c r="O96" s="20"/>
      <c r="P96" s="20"/>
      <c r="Q96" s="21"/>
      <c r="R96" s="22"/>
      <c r="S96" s="23"/>
      <c r="T96" s="20"/>
      <c r="U96" s="20"/>
      <c r="V96" s="134"/>
    </row>
    <row r="97" spans="1:22" ht="18" customHeight="1">
      <c r="A97" s="442"/>
      <c r="B97" s="384"/>
      <c r="C97" s="384"/>
      <c r="D97" s="384"/>
      <c r="E97" s="384"/>
      <c r="F97" s="384"/>
      <c r="G97" s="384"/>
      <c r="H97" s="384"/>
      <c r="I97" s="384"/>
      <c r="J97" s="384"/>
      <c r="K97" s="384"/>
      <c r="L97" s="457"/>
      <c r="M97" s="472"/>
      <c r="N97" s="472"/>
      <c r="O97" s="227"/>
      <c r="P97" s="384"/>
      <c r="Q97" s="384"/>
      <c r="R97" s="384"/>
      <c r="S97" s="384"/>
      <c r="T97" s="384"/>
      <c r="U97" s="384"/>
      <c r="V97" s="395"/>
    </row>
    <row r="98" spans="1:22" ht="18" customHeight="1">
      <c r="A98" s="248" t="s">
        <v>365</v>
      </c>
      <c r="C98" s="155"/>
      <c r="D98" s="397"/>
      <c r="E98" s="397"/>
      <c r="F98" s="397"/>
      <c r="G98" s="375"/>
      <c r="H98" s="375"/>
      <c r="I98" s="156"/>
      <c r="J98" s="156"/>
      <c r="K98" s="156"/>
      <c r="L98" s="156"/>
      <c r="M98" s="410"/>
      <c r="N98" s="411"/>
      <c r="O98" s="412"/>
      <c r="P98" s="413"/>
      <c r="Q98" s="157"/>
      <c r="R98" s="402"/>
      <c r="S98" s="414"/>
      <c r="V98" s="10"/>
    </row>
    <row r="99" spans="1:22" ht="18" customHeight="1">
      <c r="A99" s="396"/>
      <c r="B99" s="47" t="s">
        <v>357</v>
      </c>
      <c r="C99" s="156"/>
      <c r="D99" s="397"/>
      <c r="F99" s="376"/>
      <c r="G99" s="102" t="s">
        <v>127</v>
      </c>
      <c r="H99" s="28">
        <v>2</v>
      </c>
      <c r="I99" s="28" t="s">
        <v>315</v>
      </c>
      <c r="J99" s="278" t="s">
        <v>318</v>
      </c>
      <c r="K99" s="28" t="s">
        <v>315</v>
      </c>
      <c r="L99" s="28" t="s">
        <v>319</v>
      </c>
      <c r="M99" s="28" t="s">
        <v>315</v>
      </c>
      <c r="N99" s="47" t="s">
        <v>320</v>
      </c>
      <c r="O99" s="376"/>
      <c r="P99" s="163"/>
      <c r="Q99" s="398"/>
      <c r="S99" s="376"/>
      <c r="V99" s="10"/>
    </row>
    <row r="100" spans="1:22" ht="18" customHeight="1">
      <c r="A100" s="396"/>
      <c r="B100" s="47" t="s">
        <v>366</v>
      </c>
      <c r="C100" s="156"/>
      <c r="D100" s="375"/>
      <c r="E100" s="376"/>
      <c r="F100" s="376"/>
      <c r="H100" s="376"/>
      <c r="I100" s="152"/>
      <c r="J100" s="152"/>
      <c r="K100" s="152"/>
      <c r="L100" s="152"/>
      <c r="N100" s="376"/>
      <c r="O100" s="28" t="s">
        <v>322</v>
      </c>
      <c r="P100" s="102" t="s">
        <v>127</v>
      </c>
      <c r="Q100" s="692">
        <f>P88</f>
        <v>8.6018642537942345</v>
      </c>
      <c r="R100" s="692"/>
      <c r="S100" s="372"/>
      <c r="V100" s="10"/>
    </row>
    <row r="101" spans="1:22" ht="18" customHeight="1">
      <c r="A101" s="396"/>
      <c r="B101" s="47" t="s">
        <v>263</v>
      </c>
      <c r="C101" s="156"/>
      <c r="D101" s="397"/>
      <c r="E101" s="7"/>
      <c r="F101" s="7"/>
      <c r="H101" s="376"/>
      <c r="I101" s="152"/>
      <c r="J101" s="152"/>
      <c r="K101" s="152"/>
      <c r="L101" s="152"/>
      <c r="N101" s="376"/>
      <c r="O101" s="28" t="s">
        <v>319</v>
      </c>
      <c r="P101" s="102" t="s">
        <v>127</v>
      </c>
      <c r="Q101" s="715">
        <f>Q8</f>
        <v>50</v>
      </c>
      <c r="R101" s="716"/>
      <c r="S101" s="47" t="s">
        <v>264</v>
      </c>
      <c r="V101" s="10"/>
    </row>
    <row r="102" spans="1:22" ht="18" customHeight="1">
      <c r="A102" s="396"/>
      <c r="B102" s="249" t="s">
        <v>340</v>
      </c>
      <c r="C102" s="156"/>
      <c r="D102" s="397"/>
      <c r="F102" s="123"/>
      <c r="G102" s="28" t="s">
        <v>127</v>
      </c>
      <c r="H102" s="28" t="s">
        <v>341</v>
      </c>
      <c r="I102" s="399" t="s">
        <v>342</v>
      </c>
      <c r="J102" s="28">
        <v>2</v>
      </c>
      <c r="K102" s="28" t="s">
        <v>315</v>
      </c>
      <c r="L102" s="278" t="s">
        <v>318</v>
      </c>
      <c r="M102" s="400" t="s">
        <v>315</v>
      </c>
      <c r="N102" s="218" t="s">
        <v>319</v>
      </c>
      <c r="O102" s="376"/>
      <c r="P102" s="102" t="s">
        <v>127</v>
      </c>
      <c r="Q102" s="696">
        <f>(Q100*1000)/(J102*(22/7)*Q101)</f>
        <v>27.369568080254382</v>
      </c>
      <c r="R102" s="697"/>
      <c r="S102" s="47" t="s">
        <v>343</v>
      </c>
      <c r="V102" s="10"/>
    </row>
    <row r="103" spans="1:22" ht="18" customHeight="1">
      <c r="A103" s="396"/>
      <c r="B103" s="249"/>
      <c r="C103" s="156"/>
      <c r="D103" s="397"/>
      <c r="F103" s="123"/>
      <c r="G103" s="28"/>
      <c r="H103" s="28"/>
      <c r="I103" s="399"/>
      <c r="J103" s="28"/>
      <c r="K103" s="28"/>
      <c r="L103" s="278"/>
      <c r="M103" s="400"/>
      <c r="N103" s="218"/>
      <c r="O103" s="376"/>
      <c r="P103" s="102"/>
      <c r="Q103" s="218"/>
      <c r="R103" s="469"/>
      <c r="S103" s="47"/>
      <c r="V103" s="10"/>
    </row>
    <row r="104" spans="1:22" ht="18" customHeight="1">
      <c r="A104" s="248" t="s">
        <v>367</v>
      </c>
      <c r="V104" s="10"/>
    </row>
    <row r="105" spans="1:22" ht="18" customHeight="1">
      <c r="A105" s="96" t="s">
        <v>345</v>
      </c>
      <c r="B105" s="156"/>
      <c r="C105" s="155"/>
      <c r="D105" s="155"/>
      <c r="E105" s="419" t="s">
        <v>368</v>
      </c>
      <c r="F105" s="28" t="s">
        <v>127</v>
      </c>
      <c r="G105" s="155"/>
      <c r="H105" s="28" t="s">
        <v>310</v>
      </c>
      <c r="I105" s="102" t="s">
        <v>347</v>
      </c>
      <c r="J105" s="30" t="s">
        <v>369</v>
      </c>
      <c r="K105" s="27" t="s">
        <v>315</v>
      </c>
      <c r="L105" s="14" t="s">
        <v>370</v>
      </c>
      <c r="M105" s="155"/>
      <c r="N105" s="155"/>
      <c r="O105" s="155"/>
      <c r="P105" s="155"/>
      <c r="Q105" s="402"/>
      <c r="R105" s="155"/>
      <c r="S105" s="156"/>
      <c r="V105" s="10"/>
    </row>
    <row r="106" spans="1:22" ht="18" customHeight="1">
      <c r="A106" s="370"/>
      <c r="B106" s="155"/>
      <c r="C106" s="155"/>
      <c r="D106" s="155"/>
      <c r="E106" s="155"/>
      <c r="F106" s="250" t="s">
        <v>348</v>
      </c>
      <c r="G106" s="688">
        <f>N48</f>
        <v>0.10138858918881909</v>
      </c>
      <c r="H106" s="689"/>
      <c r="I106" s="102" t="s">
        <v>295</v>
      </c>
      <c r="J106" s="688">
        <f>Q48</f>
        <v>1.5208288378322858</v>
      </c>
      <c r="K106" s="689"/>
      <c r="L106" s="28" t="s">
        <v>371</v>
      </c>
      <c r="M106" s="27">
        <v>0.8</v>
      </c>
      <c r="N106" s="27" t="s">
        <v>372</v>
      </c>
      <c r="O106" s="711">
        <f>L28</f>
        <v>3.8454000000000002E-2</v>
      </c>
      <c r="P106" s="689"/>
      <c r="Q106" s="102" t="s">
        <v>295</v>
      </c>
      <c r="R106" s="711">
        <f>O28</f>
        <v>0.27839999999999998</v>
      </c>
      <c r="S106" s="689"/>
      <c r="T106" s="14" t="s">
        <v>350</v>
      </c>
      <c r="V106" s="10"/>
    </row>
    <row r="107" spans="1:22" ht="18" customHeight="1">
      <c r="A107" s="159"/>
      <c r="B107" s="155"/>
      <c r="C107" s="155"/>
      <c r="D107" s="155"/>
      <c r="E107" s="155"/>
      <c r="F107" s="28" t="s">
        <v>127</v>
      </c>
      <c r="G107" s="688">
        <f>G106+(0.8*O106)</f>
        <v>0.13215178918881909</v>
      </c>
      <c r="H107" s="689"/>
      <c r="I107" s="102" t="s">
        <v>351</v>
      </c>
      <c r="J107" s="688">
        <f>J106+(0.8*R106)</f>
        <v>1.7435488378322859</v>
      </c>
      <c r="K107" s="689"/>
      <c r="L107" s="43" t="s">
        <v>333</v>
      </c>
      <c r="M107" s="155"/>
      <c r="N107" s="155"/>
      <c r="O107" s="155"/>
      <c r="P107" s="155"/>
      <c r="Q107" s="155"/>
      <c r="R107" s="155"/>
      <c r="S107" s="156"/>
      <c r="V107" s="10"/>
    </row>
    <row r="108" spans="1:22" ht="18" customHeight="1">
      <c r="A108" s="159"/>
      <c r="B108" s="155"/>
      <c r="C108" s="155"/>
      <c r="D108" s="155"/>
      <c r="E108" s="155"/>
      <c r="F108" s="28" t="s">
        <v>127</v>
      </c>
      <c r="G108" s="703">
        <f>SQRT(G107^2+J107^2)</f>
        <v>1.7485498692608459</v>
      </c>
      <c r="H108" s="689"/>
      <c r="I108" s="278" t="s">
        <v>352</v>
      </c>
      <c r="J108" s="704">
        <f>DEGREES(ATAN(J107/G107))</f>
        <v>85.665570180505625</v>
      </c>
      <c r="K108" s="689"/>
      <c r="L108" s="43" t="s">
        <v>333</v>
      </c>
      <c r="M108" s="155"/>
      <c r="N108" s="155"/>
      <c r="O108" s="155"/>
      <c r="P108" s="155"/>
      <c r="Q108" s="155"/>
      <c r="R108" s="155"/>
      <c r="S108" s="156"/>
      <c r="V108" s="10"/>
    </row>
    <row r="109" spans="1:22" ht="18" customHeight="1">
      <c r="A109" s="159"/>
      <c r="B109" s="155"/>
      <c r="C109" s="155"/>
      <c r="D109" s="155"/>
      <c r="E109" s="120" t="s">
        <v>353</v>
      </c>
      <c r="F109" s="28" t="s">
        <v>127</v>
      </c>
      <c r="G109" s="705">
        <f>J107/G107</f>
        <v>13.193531835888315</v>
      </c>
      <c r="H109" s="689"/>
      <c r="I109" s="155"/>
      <c r="J109" s="155"/>
      <c r="K109" s="124"/>
      <c r="L109" s="121"/>
      <c r="M109" s="406"/>
      <c r="N109" s="372"/>
      <c r="O109" s="376"/>
      <c r="P109" s="153"/>
      <c r="Q109" s="407"/>
      <c r="R109" s="375"/>
      <c r="S109" s="156"/>
      <c r="V109" s="10"/>
    </row>
    <row r="110" spans="1:22" ht="18" customHeight="1">
      <c r="A110" s="159"/>
      <c r="B110" s="47" t="s">
        <v>373</v>
      </c>
      <c r="C110" s="397"/>
      <c r="D110" s="155"/>
      <c r="E110" s="397"/>
      <c r="F110" s="375"/>
      <c r="G110" s="375"/>
      <c r="H110" s="156"/>
      <c r="I110" s="156"/>
      <c r="J110" s="156"/>
      <c r="K110" s="156"/>
      <c r="L110" s="236" t="s">
        <v>127</v>
      </c>
      <c r="M110" s="706">
        <f>Q33</f>
        <v>132000</v>
      </c>
      <c r="N110" s="706"/>
      <c r="O110" s="229" t="s">
        <v>315</v>
      </c>
      <c r="P110" s="707">
        <f>Q37</f>
        <v>1</v>
      </c>
      <c r="Q110" s="708"/>
      <c r="R110" s="155"/>
      <c r="S110" s="156"/>
      <c r="V110" s="10"/>
    </row>
    <row r="111" spans="1:22" ht="18" customHeight="1">
      <c r="A111" s="159"/>
      <c r="B111" s="156"/>
      <c r="C111" s="397"/>
      <c r="D111" s="375"/>
      <c r="E111" s="397"/>
      <c r="F111" s="375"/>
      <c r="G111" s="375"/>
      <c r="H111" s="156"/>
      <c r="I111" s="156"/>
      <c r="J111" s="156"/>
      <c r="K111" s="156"/>
      <c r="L111" s="236"/>
      <c r="M111" s="688">
        <f>+G108</f>
        <v>1.7485498692608459</v>
      </c>
      <c r="N111" s="688"/>
      <c r="O111" s="28" t="s">
        <v>315</v>
      </c>
      <c r="P111" s="689" t="s">
        <v>355</v>
      </c>
      <c r="Q111" s="689">
        <f>SQRT(3)</f>
        <v>1.7320508075688772</v>
      </c>
      <c r="R111" s="375"/>
      <c r="S111" s="156"/>
      <c r="V111" s="10"/>
    </row>
    <row r="112" spans="1:22" ht="18" customHeight="1">
      <c r="A112" s="159"/>
      <c r="B112" s="156"/>
      <c r="C112" s="397"/>
      <c r="D112" s="375"/>
      <c r="E112" s="397"/>
      <c r="F112" s="375"/>
      <c r="G112" s="375"/>
      <c r="H112" s="156"/>
      <c r="I112" s="156"/>
      <c r="J112" s="156"/>
      <c r="K112" s="156"/>
      <c r="L112" s="102" t="s">
        <v>127</v>
      </c>
      <c r="M112" s="709">
        <f>M110*P110/(M111*SQRT(3))</f>
        <v>43584.822413584639</v>
      </c>
      <c r="N112" s="710"/>
      <c r="O112" s="30" t="s">
        <v>8</v>
      </c>
      <c r="P112" s="121"/>
      <c r="Q112" s="121"/>
      <c r="R112" s="375"/>
      <c r="S112" s="156"/>
      <c r="V112" s="10"/>
    </row>
    <row r="113" spans="1:22" ht="18" customHeight="1">
      <c r="A113" s="159"/>
      <c r="B113" s="156"/>
      <c r="C113" s="397"/>
      <c r="D113" s="375"/>
      <c r="E113" s="397"/>
      <c r="F113" s="375"/>
      <c r="G113" s="375"/>
      <c r="H113" s="156"/>
      <c r="I113" s="156"/>
      <c r="J113" s="156"/>
      <c r="K113" s="156"/>
      <c r="L113" s="157"/>
      <c r="M113" s="420"/>
      <c r="N113" s="420"/>
      <c r="O113" s="121"/>
      <c r="P113" s="121"/>
      <c r="Q113" s="121"/>
      <c r="R113" s="375"/>
      <c r="S113" s="156"/>
      <c r="V113" s="10"/>
    </row>
    <row r="114" spans="1:22" ht="18" customHeight="1">
      <c r="A114" s="193" t="s">
        <v>374</v>
      </c>
      <c r="C114" s="155"/>
      <c r="D114" s="397"/>
      <c r="E114" s="397"/>
      <c r="F114" s="397"/>
      <c r="G114" s="375"/>
      <c r="H114" s="375"/>
      <c r="I114" s="156"/>
      <c r="J114" s="156"/>
      <c r="K114" s="156"/>
      <c r="L114" s="156"/>
      <c r="M114" s="410"/>
      <c r="N114" s="411"/>
      <c r="O114" s="412"/>
      <c r="P114" s="413"/>
      <c r="Q114" s="157"/>
      <c r="R114" s="402"/>
      <c r="S114" s="414"/>
      <c r="V114" s="10"/>
    </row>
    <row r="115" spans="1:22" ht="18" customHeight="1">
      <c r="A115" s="396"/>
      <c r="B115" s="47" t="s">
        <v>357</v>
      </c>
      <c r="C115" s="156"/>
      <c r="D115" s="397"/>
      <c r="F115" s="376"/>
      <c r="G115" s="102" t="s">
        <v>127</v>
      </c>
      <c r="H115" s="28">
        <v>2</v>
      </c>
      <c r="I115" s="28" t="s">
        <v>315</v>
      </c>
      <c r="J115" s="278" t="s">
        <v>318</v>
      </c>
      <c r="K115" s="28" t="s">
        <v>315</v>
      </c>
      <c r="L115" s="28" t="s">
        <v>319</v>
      </c>
      <c r="M115" s="28" t="s">
        <v>315</v>
      </c>
      <c r="N115" s="47" t="s">
        <v>320</v>
      </c>
      <c r="O115" s="376"/>
      <c r="P115" s="163"/>
      <c r="Q115" s="398"/>
      <c r="S115" s="376"/>
      <c r="V115" s="10"/>
    </row>
    <row r="116" spans="1:22" ht="18" customHeight="1">
      <c r="A116" s="396"/>
      <c r="B116" s="47" t="s">
        <v>375</v>
      </c>
      <c r="C116" s="156"/>
      <c r="D116" s="375"/>
      <c r="E116" s="376"/>
      <c r="F116" s="376"/>
      <c r="H116" s="376"/>
      <c r="I116" s="152"/>
      <c r="J116" s="152"/>
      <c r="K116" s="152"/>
      <c r="L116" s="152"/>
      <c r="N116" s="376"/>
      <c r="O116" s="28" t="s">
        <v>322</v>
      </c>
      <c r="P116" s="102" t="s">
        <v>127</v>
      </c>
      <c r="Q116" s="692">
        <f>G109</f>
        <v>13.193531835888315</v>
      </c>
      <c r="R116" s="692"/>
      <c r="S116" s="372"/>
      <c r="V116" s="10"/>
    </row>
    <row r="117" spans="1:22" ht="18" customHeight="1">
      <c r="A117" s="396"/>
      <c r="B117" s="47" t="s">
        <v>263</v>
      </c>
      <c r="C117" s="156"/>
      <c r="D117" s="397"/>
      <c r="E117" s="7"/>
      <c r="F117" s="7"/>
      <c r="H117" s="376"/>
      <c r="I117" s="152"/>
      <c r="J117" s="152"/>
      <c r="K117" s="152"/>
      <c r="L117" s="152"/>
      <c r="N117" s="376"/>
      <c r="O117" s="28" t="s">
        <v>319</v>
      </c>
      <c r="P117" s="102" t="s">
        <v>127</v>
      </c>
      <c r="Q117" s="694">
        <f>Q8</f>
        <v>50</v>
      </c>
      <c r="R117" s="689"/>
      <c r="S117" s="47" t="s">
        <v>264</v>
      </c>
      <c r="V117" s="10"/>
    </row>
    <row r="118" spans="1:22" ht="18" customHeight="1">
      <c r="A118" s="396"/>
      <c r="B118" s="249" t="s">
        <v>340</v>
      </c>
      <c r="C118" s="156"/>
      <c r="D118" s="397"/>
      <c r="F118" s="123"/>
      <c r="G118" s="28" t="s">
        <v>127</v>
      </c>
      <c r="H118" s="28" t="s">
        <v>341</v>
      </c>
      <c r="I118" s="399" t="s">
        <v>342</v>
      </c>
      <c r="J118" s="28">
        <v>2</v>
      </c>
      <c r="K118" s="28" t="s">
        <v>315</v>
      </c>
      <c r="L118" s="278" t="s">
        <v>318</v>
      </c>
      <c r="M118" s="400" t="s">
        <v>315</v>
      </c>
      <c r="N118" s="218" t="s">
        <v>319</v>
      </c>
      <c r="O118" s="376"/>
      <c r="P118" s="102" t="s">
        <v>127</v>
      </c>
      <c r="Q118" s="696">
        <f>(Q116*1000)/(J118*(22/7)*Q117)</f>
        <v>41.979419477826461</v>
      </c>
      <c r="R118" s="697"/>
      <c r="S118" s="47" t="s">
        <v>343</v>
      </c>
      <c r="V118" s="10"/>
    </row>
    <row r="119" spans="1:22" ht="18" customHeight="1">
      <c r="A119" s="9"/>
      <c r="V119" s="10"/>
    </row>
    <row r="120" spans="1:22" ht="18" customHeight="1">
      <c r="A120" s="193" t="s">
        <v>376</v>
      </c>
      <c r="V120" s="10"/>
    </row>
    <row r="121" spans="1:22" ht="18" customHeight="1">
      <c r="A121" s="184" t="s">
        <v>360</v>
      </c>
      <c r="E121" s="421" t="s">
        <v>377</v>
      </c>
      <c r="F121" s="28" t="s">
        <v>127</v>
      </c>
      <c r="G121" s="155"/>
      <c r="H121" s="28" t="s">
        <v>310</v>
      </c>
      <c r="I121" s="102" t="s">
        <v>347</v>
      </c>
      <c r="J121" s="30" t="s">
        <v>369</v>
      </c>
      <c r="K121" s="27" t="s">
        <v>378</v>
      </c>
      <c r="L121" s="14" t="s">
        <v>379</v>
      </c>
      <c r="V121" s="10"/>
    </row>
    <row r="122" spans="1:22" ht="18" customHeight="1">
      <c r="A122" s="9"/>
      <c r="F122" s="250" t="s">
        <v>348</v>
      </c>
      <c r="G122" s="688">
        <f>N48</f>
        <v>0.10138858918881909</v>
      </c>
      <c r="H122" s="689"/>
      <c r="I122" s="102" t="s">
        <v>295</v>
      </c>
      <c r="J122" s="688">
        <f>Q48</f>
        <v>1.5208288378322858</v>
      </c>
      <c r="K122" s="689"/>
      <c r="L122" s="28" t="s">
        <v>371</v>
      </c>
      <c r="M122" s="27">
        <v>0.8</v>
      </c>
      <c r="N122" s="27" t="s">
        <v>372</v>
      </c>
      <c r="O122" s="711">
        <f>L29</f>
        <v>0.22620000000000001</v>
      </c>
      <c r="P122" s="684"/>
      <c r="Q122" s="102" t="s">
        <v>295</v>
      </c>
      <c r="R122" s="711">
        <f>O29</f>
        <v>0.10439999999999999</v>
      </c>
      <c r="S122" s="684"/>
      <c r="T122" s="14" t="s">
        <v>350</v>
      </c>
      <c r="V122" s="10"/>
    </row>
    <row r="123" spans="1:22" ht="18" customHeight="1">
      <c r="A123" s="159"/>
      <c r="F123" s="28" t="s">
        <v>127</v>
      </c>
      <c r="G123" s="688">
        <f>G122+(0.8*O122)</f>
        <v>0.28234858918881911</v>
      </c>
      <c r="H123" s="689"/>
      <c r="I123" s="102" t="s">
        <v>351</v>
      </c>
      <c r="J123" s="688">
        <f>J122+(0.8*R122)</f>
        <v>1.6043488378322859</v>
      </c>
      <c r="K123" s="689"/>
      <c r="L123" s="43" t="s">
        <v>333</v>
      </c>
      <c r="O123" s="155"/>
      <c r="P123" s="415"/>
      <c r="Q123" s="121"/>
      <c r="R123" s="414"/>
      <c r="V123" s="10"/>
    </row>
    <row r="124" spans="1:22" ht="18" customHeight="1">
      <c r="A124" s="159"/>
      <c r="F124" s="28" t="s">
        <v>127</v>
      </c>
      <c r="G124" s="703">
        <f>SQRT(G123^2+J123^2)</f>
        <v>1.6290045792663452</v>
      </c>
      <c r="H124" s="689"/>
      <c r="I124" s="278" t="s">
        <v>352</v>
      </c>
      <c r="J124" s="704">
        <f>DEGREES(ATAN(J123/G123))</f>
        <v>80.018752878989744</v>
      </c>
      <c r="K124" s="689"/>
      <c r="L124" s="43" t="s">
        <v>333</v>
      </c>
      <c r="M124" s="155"/>
      <c r="N124" s="155"/>
      <c r="O124" s="155"/>
      <c r="P124" s="415"/>
      <c r="Q124" s="121"/>
      <c r="R124" s="414"/>
      <c r="V124" s="10"/>
    </row>
    <row r="125" spans="1:22" ht="18" customHeight="1">
      <c r="A125" s="184" t="s">
        <v>345</v>
      </c>
      <c r="E125" s="421" t="s">
        <v>380</v>
      </c>
      <c r="F125" s="121" t="s">
        <v>127</v>
      </c>
      <c r="G125" s="689" t="s">
        <v>368</v>
      </c>
      <c r="H125" s="689"/>
      <c r="I125" s="102" t="s">
        <v>347</v>
      </c>
      <c r="J125" s="689" t="s">
        <v>381</v>
      </c>
      <c r="K125" s="689"/>
      <c r="L125" s="28" t="s">
        <v>347</v>
      </c>
      <c r="M125" s="689" t="s">
        <v>377</v>
      </c>
      <c r="N125" s="689"/>
      <c r="V125" s="10"/>
    </row>
    <row r="126" spans="1:22" ht="18" customHeight="1">
      <c r="A126" s="9"/>
      <c r="B126" s="250" t="s">
        <v>348</v>
      </c>
      <c r="C126" s="702">
        <f>G107</f>
        <v>0.13215178918881909</v>
      </c>
      <c r="D126" s="684"/>
      <c r="E126" s="191" t="s">
        <v>351</v>
      </c>
      <c r="F126" s="702">
        <f>J107</f>
        <v>1.7435488378322859</v>
      </c>
      <c r="G126" s="684"/>
      <c r="H126" s="27" t="s">
        <v>349</v>
      </c>
      <c r="I126" s="702">
        <f>G107</f>
        <v>0.13215178918881909</v>
      </c>
      <c r="J126" s="684"/>
      <c r="K126" s="191" t="s">
        <v>351</v>
      </c>
      <c r="L126" s="702">
        <f>J107</f>
        <v>1.7435488378322859</v>
      </c>
      <c r="M126" s="684"/>
      <c r="N126" s="27" t="s">
        <v>349</v>
      </c>
      <c r="O126" s="701">
        <f>G123</f>
        <v>0.28234858918881911</v>
      </c>
      <c r="P126" s="684"/>
      <c r="Q126" s="191" t="s">
        <v>351</v>
      </c>
      <c r="R126" s="701">
        <f>J123</f>
        <v>1.6043488378322859</v>
      </c>
      <c r="S126" s="684"/>
      <c r="T126" s="30" t="s">
        <v>350</v>
      </c>
      <c r="V126" s="10"/>
    </row>
    <row r="127" spans="1:22" ht="18" customHeight="1">
      <c r="A127" s="9"/>
      <c r="B127" s="27" t="s">
        <v>127</v>
      </c>
      <c r="C127" s="702">
        <f>C126+I126+O126</f>
        <v>0.54665216756645729</v>
      </c>
      <c r="D127" s="684"/>
      <c r="E127" s="191" t="s">
        <v>351</v>
      </c>
      <c r="F127" s="702">
        <f>F126+L126+R126</f>
        <v>5.0914465134968578</v>
      </c>
      <c r="G127" s="684"/>
      <c r="V127" s="10"/>
    </row>
    <row r="128" spans="1:22" ht="18" customHeight="1">
      <c r="A128" s="9"/>
      <c r="B128" s="28" t="s">
        <v>127</v>
      </c>
      <c r="C128" s="703">
        <f>SQRT(C127^2+F127^2)</f>
        <v>5.1207085634806848</v>
      </c>
      <c r="D128" s="689"/>
      <c r="E128" s="278" t="s">
        <v>352</v>
      </c>
      <c r="F128" s="704">
        <f>DEGREES(ATAN(F127/C127))</f>
        <v>83.871813067551713</v>
      </c>
      <c r="G128" s="689"/>
      <c r="H128" s="422" t="s">
        <v>333</v>
      </c>
      <c r="V128" s="10"/>
    </row>
    <row r="129" spans="1:22" ht="18" customHeight="1">
      <c r="A129" s="9"/>
      <c r="K129" s="120" t="s">
        <v>353</v>
      </c>
      <c r="L129" s="28" t="s">
        <v>127</v>
      </c>
      <c r="M129" s="705">
        <f>F127/C127</f>
        <v>9.3138687003886869</v>
      </c>
      <c r="N129" s="705"/>
      <c r="V129" s="10"/>
    </row>
    <row r="130" spans="1:22" ht="18" customHeight="1">
      <c r="A130" s="9"/>
      <c r="V130" s="10"/>
    </row>
    <row r="131" spans="1:22" ht="18" customHeight="1">
      <c r="A131" s="9"/>
      <c r="B131" s="47" t="s">
        <v>382</v>
      </c>
      <c r="C131" s="397"/>
      <c r="D131" s="155"/>
      <c r="E131" s="397"/>
      <c r="F131" s="375"/>
      <c r="G131" s="375"/>
      <c r="H131" s="156"/>
      <c r="I131" s="156"/>
      <c r="J131" s="156"/>
      <c r="K131" s="156"/>
      <c r="L131" s="157" t="s">
        <v>127</v>
      </c>
      <c r="M131" s="706">
        <f>Q33</f>
        <v>132000</v>
      </c>
      <c r="N131" s="706"/>
      <c r="O131" s="229" t="s">
        <v>315</v>
      </c>
      <c r="P131" s="707">
        <f>Q37</f>
        <v>1</v>
      </c>
      <c r="Q131" s="708"/>
      <c r="R131" s="229" t="s">
        <v>315</v>
      </c>
      <c r="S131" s="229">
        <v>3</v>
      </c>
      <c r="V131" s="10"/>
    </row>
    <row r="132" spans="1:22" ht="18" customHeight="1">
      <c r="A132" s="9"/>
      <c r="B132" s="156"/>
      <c r="C132" s="397"/>
      <c r="D132" s="375"/>
      <c r="E132" s="397"/>
      <c r="F132" s="375"/>
      <c r="G132" s="375"/>
      <c r="H132" s="156"/>
      <c r="I132" s="156"/>
      <c r="J132" s="156"/>
      <c r="K132" s="156"/>
      <c r="L132" s="157"/>
      <c r="M132" s="688">
        <f>+C128</f>
        <v>5.1207085634806848</v>
      </c>
      <c r="N132" s="688"/>
      <c r="O132" s="28" t="s">
        <v>315</v>
      </c>
      <c r="P132" s="689" t="s">
        <v>355</v>
      </c>
      <c r="Q132" s="689">
        <f>SQRT(3)</f>
        <v>1.7320508075688772</v>
      </c>
      <c r="R132" s="375"/>
      <c r="S132" s="156"/>
      <c r="V132" s="10"/>
    </row>
    <row r="133" spans="1:22" ht="18" customHeight="1">
      <c r="A133" s="9"/>
      <c r="L133" s="102" t="s">
        <v>127</v>
      </c>
      <c r="M133" s="709">
        <f>(M131*P131*S131)/(M132*SQRT(3))</f>
        <v>44648.255952235893</v>
      </c>
      <c r="N133" s="710"/>
      <c r="O133" s="30" t="s">
        <v>8</v>
      </c>
      <c r="V133" s="10"/>
    </row>
    <row r="134" spans="1:22" ht="18" hidden="1" customHeight="1">
      <c r="A134" s="9"/>
      <c r="V134" s="10"/>
    </row>
    <row r="135" spans="1:22" ht="18" customHeight="1">
      <c r="A135" s="9"/>
      <c r="V135" s="10"/>
    </row>
    <row r="136" spans="1:22" ht="18" customHeight="1">
      <c r="A136" s="345"/>
      <c r="B136" s="346"/>
      <c r="C136" s="346"/>
      <c r="D136" s="346"/>
      <c r="E136" s="346"/>
      <c r="F136" s="346"/>
      <c r="G136" s="346"/>
      <c r="H136" s="346"/>
      <c r="I136" s="346"/>
      <c r="J136" s="346"/>
      <c r="K136" s="346"/>
      <c r="L136" s="346"/>
      <c r="M136" s="346"/>
      <c r="N136" s="346"/>
      <c r="O136" s="346"/>
      <c r="P136" s="346"/>
      <c r="Q136" s="346"/>
      <c r="R136" s="346"/>
      <c r="S136" s="346"/>
      <c r="T136" s="346"/>
      <c r="U136" s="346"/>
      <c r="V136" s="347"/>
    </row>
    <row r="137" spans="1:22" ht="18" customHeight="1">
      <c r="A137" s="382"/>
      <c r="B137" s="20"/>
      <c r="C137" s="20"/>
      <c r="D137" s="20"/>
      <c r="E137" s="20"/>
      <c r="F137" s="20"/>
      <c r="G137" s="20"/>
      <c r="H137" s="20"/>
      <c r="I137" s="20"/>
      <c r="J137" s="20"/>
      <c r="K137" s="20"/>
      <c r="L137" s="20"/>
      <c r="M137" s="20"/>
      <c r="N137" s="20"/>
      <c r="O137" s="20"/>
      <c r="P137" s="20"/>
      <c r="Q137" s="21"/>
      <c r="R137" s="22"/>
      <c r="S137" s="23"/>
      <c r="T137" s="20"/>
      <c r="U137" s="20"/>
      <c r="V137" s="134"/>
    </row>
    <row r="138" spans="1:22" ht="18" customHeight="1">
      <c r="A138" s="383" t="s">
        <v>383</v>
      </c>
      <c r="B138" s="384"/>
      <c r="C138" s="349"/>
      <c r="D138" s="385"/>
      <c r="E138" s="385"/>
      <c r="F138" s="385"/>
      <c r="G138" s="386"/>
      <c r="H138" s="386"/>
      <c r="I138" s="387"/>
      <c r="J138" s="387"/>
      <c r="K138" s="387"/>
      <c r="L138" s="387"/>
      <c r="M138" s="388"/>
      <c r="N138" s="389"/>
      <c r="O138" s="390"/>
      <c r="P138" s="391"/>
      <c r="Q138" s="392"/>
      <c r="R138" s="393"/>
      <c r="S138" s="394"/>
      <c r="T138" s="384"/>
      <c r="U138" s="384"/>
      <c r="V138" s="395"/>
    </row>
    <row r="139" spans="1:22" ht="18" customHeight="1">
      <c r="A139" s="396"/>
      <c r="B139" s="47" t="s">
        <v>357</v>
      </c>
      <c r="C139" s="156"/>
      <c r="D139" s="397"/>
      <c r="F139" s="376"/>
      <c r="G139" s="102" t="s">
        <v>127</v>
      </c>
      <c r="H139" s="28">
        <v>2</v>
      </c>
      <c r="I139" s="28" t="s">
        <v>315</v>
      </c>
      <c r="J139" s="278" t="s">
        <v>318</v>
      </c>
      <c r="K139" s="28" t="s">
        <v>315</v>
      </c>
      <c r="L139" s="28" t="s">
        <v>319</v>
      </c>
      <c r="M139" s="28" t="s">
        <v>315</v>
      </c>
      <c r="N139" s="47" t="s">
        <v>320</v>
      </c>
      <c r="O139" s="376"/>
      <c r="P139" s="163"/>
      <c r="Q139" s="398"/>
      <c r="S139" s="376"/>
      <c r="V139" s="10"/>
    </row>
    <row r="140" spans="1:22" ht="18" customHeight="1">
      <c r="A140" s="396"/>
      <c r="B140" s="47" t="s">
        <v>358</v>
      </c>
      <c r="C140" s="156"/>
      <c r="D140" s="375"/>
      <c r="E140" s="376"/>
      <c r="F140" s="376"/>
      <c r="G140" s="30"/>
      <c r="H140" s="376"/>
      <c r="I140" s="152"/>
      <c r="J140" s="152"/>
      <c r="K140" s="152"/>
      <c r="L140" s="152"/>
      <c r="N140" s="376"/>
      <c r="O140" s="28" t="s">
        <v>322</v>
      </c>
      <c r="P140" s="102" t="s">
        <v>127</v>
      </c>
      <c r="Q140" s="692">
        <f>M129</f>
        <v>9.3138687003886869</v>
      </c>
      <c r="R140" s="693"/>
      <c r="S140" s="372"/>
      <c r="V140" s="10"/>
    </row>
    <row r="141" spans="1:22" ht="18" customHeight="1">
      <c r="A141" s="396"/>
      <c r="B141" s="47" t="s">
        <v>263</v>
      </c>
      <c r="C141" s="156"/>
      <c r="D141" s="397"/>
      <c r="E141" s="7"/>
      <c r="F141" s="7"/>
      <c r="G141" s="30"/>
      <c r="H141" s="376"/>
      <c r="I141" s="152"/>
      <c r="J141" s="152"/>
      <c r="K141" s="152"/>
      <c r="L141" s="152"/>
      <c r="N141" s="376"/>
      <c r="O141" s="28" t="s">
        <v>319</v>
      </c>
      <c r="P141" s="102" t="s">
        <v>127</v>
      </c>
      <c r="Q141" s="694">
        <f>Q8</f>
        <v>50</v>
      </c>
      <c r="R141" s="695"/>
      <c r="S141" s="47" t="s">
        <v>264</v>
      </c>
      <c r="V141" s="10"/>
    </row>
    <row r="142" spans="1:22" ht="18" customHeight="1">
      <c r="A142" s="396"/>
      <c r="B142" s="249" t="s">
        <v>340</v>
      </c>
      <c r="C142" s="156"/>
      <c r="D142" s="397"/>
      <c r="F142" s="123"/>
      <c r="G142" s="28" t="s">
        <v>127</v>
      </c>
      <c r="H142" s="28" t="s">
        <v>341</v>
      </c>
      <c r="I142" s="399" t="s">
        <v>342</v>
      </c>
      <c r="J142" s="28">
        <v>2</v>
      </c>
      <c r="K142" s="28" t="s">
        <v>315</v>
      </c>
      <c r="L142" s="278" t="s">
        <v>318</v>
      </c>
      <c r="M142" s="400" t="s">
        <v>315</v>
      </c>
      <c r="N142" s="218" t="s">
        <v>319</v>
      </c>
      <c r="O142" s="103"/>
      <c r="P142" s="102" t="s">
        <v>127</v>
      </c>
      <c r="Q142" s="696">
        <f>(Q140*1000)/(J142*(22/7)*Q141)</f>
        <v>29.635036773964003</v>
      </c>
      <c r="R142" s="697"/>
      <c r="S142" s="47" t="s">
        <v>343</v>
      </c>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hidden="1"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9"/>
      <c r="V173" s="10"/>
    </row>
    <row r="174" spans="1:22" ht="18" customHeight="1">
      <c r="A174" s="9"/>
      <c r="V174" s="10"/>
    </row>
    <row r="175" spans="1:22" ht="18" customHeight="1">
      <c r="A175" s="9"/>
      <c r="V175" s="10"/>
    </row>
    <row r="176" spans="1:22" ht="18" customHeight="1">
      <c r="A176" s="9"/>
      <c r="V176" s="10"/>
    </row>
    <row r="177" spans="1:22" ht="18" customHeight="1">
      <c r="A177" s="345"/>
      <c r="B177" s="346"/>
      <c r="C177" s="346"/>
      <c r="D177" s="346"/>
      <c r="E177" s="346"/>
      <c r="F177" s="346"/>
      <c r="G177" s="346"/>
      <c r="H177" s="346"/>
      <c r="I177" s="346"/>
      <c r="J177" s="346"/>
      <c r="K177" s="346"/>
      <c r="L177" s="346"/>
      <c r="M177" s="346"/>
      <c r="N177" s="346"/>
      <c r="O177" s="346"/>
      <c r="P177" s="346"/>
      <c r="Q177" s="346"/>
      <c r="R177" s="346"/>
      <c r="S177" s="346"/>
      <c r="T177" s="346"/>
      <c r="U177" s="346"/>
      <c r="V177" s="347"/>
    </row>
    <row r="178" spans="1:22" ht="18" customHeight="1">
      <c r="A178" s="382"/>
      <c r="B178" s="20"/>
      <c r="C178" s="20"/>
      <c r="D178" s="20"/>
      <c r="E178" s="20"/>
      <c r="F178" s="20"/>
      <c r="G178" s="20"/>
      <c r="H178" s="20"/>
      <c r="I178" s="20"/>
      <c r="J178" s="20"/>
      <c r="K178" s="20"/>
      <c r="L178" s="20"/>
      <c r="M178" s="20"/>
      <c r="N178" s="20"/>
      <c r="O178" s="20"/>
      <c r="P178" s="20"/>
      <c r="Q178" s="21"/>
      <c r="R178" s="22"/>
      <c r="S178" s="23"/>
      <c r="T178" s="20"/>
      <c r="U178" s="20"/>
      <c r="V178" s="134"/>
    </row>
  </sheetData>
  <mergeCells count="154">
    <mergeCell ref="Q140:R140"/>
    <mergeCell ref="Q141:R141"/>
    <mergeCell ref="Q142:R142"/>
    <mergeCell ref="M129:N129"/>
    <mergeCell ref="M131:N131"/>
    <mergeCell ref="P131:Q131"/>
    <mergeCell ref="M132:N132"/>
    <mergeCell ref="P132:Q132"/>
    <mergeCell ref="M133:N133"/>
    <mergeCell ref="O126:P126"/>
    <mergeCell ref="R126:S126"/>
    <mergeCell ref="C127:D127"/>
    <mergeCell ref="F127:G127"/>
    <mergeCell ref="C128:D128"/>
    <mergeCell ref="F128:G128"/>
    <mergeCell ref="G124:H124"/>
    <mergeCell ref="J124:K124"/>
    <mergeCell ref="G125:H125"/>
    <mergeCell ref="J125:K125"/>
    <mergeCell ref="M125:N125"/>
    <mergeCell ref="C126:D126"/>
    <mergeCell ref="F126:G126"/>
    <mergeCell ref="I126:J126"/>
    <mergeCell ref="L126:M126"/>
    <mergeCell ref="Q118:R118"/>
    <mergeCell ref="G122:H122"/>
    <mergeCell ref="J122:K122"/>
    <mergeCell ref="O122:P122"/>
    <mergeCell ref="R122:S122"/>
    <mergeCell ref="G123:H123"/>
    <mergeCell ref="J123:K123"/>
    <mergeCell ref="P110:Q110"/>
    <mergeCell ref="M111:N111"/>
    <mergeCell ref="P111:Q111"/>
    <mergeCell ref="M112:N112"/>
    <mergeCell ref="Q116:R116"/>
    <mergeCell ref="Q117:R117"/>
    <mergeCell ref="G107:H107"/>
    <mergeCell ref="J107:K107"/>
    <mergeCell ref="G108:H108"/>
    <mergeCell ref="J108:K108"/>
    <mergeCell ref="G109:H109"/>
    <mergeCell ref="M110:N110"/>
    <mergeCell ref="Q101:R101"/>
    <mergeCell ref="Q102:R102"/>
    <mergeCell ref="G106:H106"/>
    <mergeCell ref="J106:K106"/>
    <mergeCell ref="O106:P106"/>
    <mergeCell ref="R106:S106"/>
    <mergeCell ref="M90:N90"/>
    <mergeCell ref="P90:Q90"/>
    <mergeCell ref="M91:N91"/>
    <mergeCell ref="P91:Q91"/>
    <mergeCell ref="M92:N92"/>
    <mergeCell ref="Q100:R100"/>
    <mergeCell ref="O86:P86"/>
    <mergeCell ref="R86:S86"/>
    <mergeCell ref="C87:D87"/>
    <mergeCell ref="F87:G87"/>
    <mergeCell ref="C88:D88"/>
    <mergeCell ref="F88:G88"/>
    <mergeCell ref="P88:Q88"/>
    <mergeCell ref="G83:H83"/>
    <mergeCell ref="J83:K83"/>
    <mergeCell ref="C86:D86"/>
    <mergeCell ref="F86:G86"/>
    <mergeCell ref="I86:J86"/>
    <mergeCell ref="L86:M86"/>
    <mergeCell ref="Q77:R77"/>
    <mergeCell ref="G81:H81"/>
    <mergeCell ref="J81:K81"/>
    <mergeCell ref="M81:N81"/>
    <mergeCell ref="P81:Q81"/>
    <mergeCell ref="G82:H82"/>
    <mergeCell ref="J82:K82"/>
    <mergeCell ref="P69:Q69"/>
    <mergeCell ref="M70:N70"/>
    <mergeCell ref="P70:Q70"/>
    <mergeCell ref="M71:N71"/>
    <mergeCell ref="Q75:R75"/>
    <mergeCell ref="Q76:R76"/>
    <mergeCell ref="G65:H65"/>
    <mergeCell ref="J65:K65"/>
    <mergeCell ref="G67:H67"/>
    <mergeCell ref="J67:K67"/>
    <mergeCell ref="G68:H68"/>
    <mergeCell ref="M69:N69"/>
    <mergeCell ref="Q58:R58"/>
    <mergeCell ref="Q59:R59"/>
    <mergeCell ref="Q60:R60"/>
    <mergeCell ref="G64:H64"/>
    <mergeCell ref="J64:K64"/>
    <mergeCell ref="M64:N64"/>
    <mergeCell ref="P64:Q64"/>
    <mergeCell ref="Q42:R42"/>
    <mergeCell ref="Q43:R43"/>
    <mergeCell ref="Q44:R44"/>
    <mergeCell ref="Q46:R46"/>
    <mergeCell ref="Q47:R47"/>
    <mergeCell ref="N48:O48"/>
    <mergeCell ref="Q48:R48"/>
    <mergeCell ref="P50:Q50"/>
    <mergeCell ref="Q38:R38"/>
    <mergeCell ref="Z38:AA38"/>
    <mergeCell ref="Q39:R39"/>
    <mergeCell ref="Q40:R40"/>
    <mergeCell ref="Q41:R41"/>
    <mergeCell ref="L29:M29"/>
    <mergeCell ref="O29:P29"/>
    <mergeCell ref="Q32:R32"/>
    <mergeCell ref="Q33:R33"/>
    <mergeCell ref="Q34:R34"/>
    <mergeCell ref="Q35:R3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91 JC65591 SY65591 ACU65591 AMQ65591 AWM65591 BGI65591 BQE65591 CAA65591 CJW65591 CTS65591 DDO65591 DNK65591 DXG65591 EHC65591 EQY65591 FAU65591 FKQ65591 FUM65591 GEI65591 GOE65591 GYA65591 HHW65591 HRS65591 IBO65591 ILK65591 IVG65591 JFC65591 JOY65591 JYU65591 KIQ65591 KSM65591 LCI65591 LME65591 LWA65591 MFW65591 MPS65591 MZO65591 NJK65591 NTG65591 ODC65591 OMY65591 OWU65591 PGQ65591 PQM65591 QAI65591 QKE65591 QUA65591 RDW65591 RNS65591 RXO65591 SHK65591 SRG65591 TBC65591 TKY65591 TUU65591 UEQ65591 UOM65591 UYI65591 VIE65591 VSA65591 WBW65591 WLS65591 WVO65591 G131127 JC131127 SY131127 ACU131127 AMQ131127 AWM131127 BGI131127 BQE131127 CAA131127 CJW131127 CTS131127 DDO131127 DNK131127 DXG131127 EHC131127 EQY131127 FAU131127 FKQ131127 FUM131127 GEI131127 GOE131127 GYA131127 HHW131127 HRS131127 IBO131127 ILK131127 IVG131127 JFC131127 JOY131127 JYU131127 KIQ131127 KSM131127 LCI131127 LME131127 LWA131127 MFW131127 MPS131127 MZO131127 NJK131127 NTG131127 ODC131127 OMY131127 OWU131127 PGQ131127 PQM131127 QAI131127 QKE131127 QUA131127 RDW131127 RNS131127 RXO131127 SHK131127 SRG131127 TBC131127 TKY131127 TUU131127 UEQ131127 UOM131127 UYI131127 VIE131127 VSA131127 WBW131127 WLS131127 WVO131127 G196663 JC196663 SY196663 ACU196663 AMQ196663 AWM196663 BGI196663 BQE196663 CAA196663 CJW196663 CTS196663 DDO196663 DNK196663 DXG196663 EHC196663 EQY196663 FAU196663 FKQ196663 FUM196663 GEI196663 GOE196663 GYA196663 HHW196663 HRS196663 IBO196663 ILK196663 IVG196663 JFC196663 JOY196663 JYU196663 KIQ196663 KSM196663 LCI196663 LME196663 LWA196663 MFW196663 MPS196663 MZO196663 NJK196663 NTG196663 ODC196663 OMY196663 OWU196663 PGQ196663 PQM196663 QAI196663 QKE196663 QUA196663 RDW196663 RNS196663 RXO196663 SHK196663 SRG196663 TBC196663 TKY196663 TUU196663 UEQ196663 UOM196663 UYI196663 VIE196663 VSA196663 WBW196663 WLS196663 WVO196663 G262199 JC262199 SY262199 ACU262199 AMQ262199 AWM262199 BGI262199 BQE262199 CAA262199 CJW262199 CTS262199 DDO262199 DNK262199 DXG262199 EHC262199 EQY262199 FAU262199 FKQ262199 FUM262199 GEI262199 GOE262199 GYA262199 HHW262199 HRS262199 IBO262199 ILK262199 IVG262199 JFC262199 JOY262199 JYU262199 KIQ262199 KSM262199 LCI262199 LME262199 LWA262199 MFW262199 MPS262199 MZO262199 NJK262199 NTG262199 ODC262199 OMY262199 OWU262199 PGQ262199 PQM262199 QAI262199 QKE262199 QUA262199 RDW262199 RNS262199 RXO262199 SHK262199 SRG262199 TBC262199 TKY262199 TUU262199 UEQ262199 UOM262199 UYI262199 VIE262199 VSA262199 WBW262199 WLS262199 WVO262199 G327735 JC327735 SY327735 ACU327735 AMQ327735 AWM327735 BGI327735 BQE327735 CAA327735 CJW327735 CTS327735 DDO327735 DNK327735 DXG327735 EHC327735 EQY327735 FAU327735 FKQ327735 FUM327735 GEI327735 GOE327735 GYA327735 HHW327735 HRS327735 IBO327735 ILK327735 IVG327735 JFC327735 JOY327735 JYU327735 KIQ327735 KSM327735 LCI327735 LME327735 LWA327735 MFW327735 MPS327735 MZO327735 NJK327735 NTG327735 ODC327735 OMY327735 OWU327735 PGQ327735 PQM327735 QAI327735 QKE327735 QUA327735 RDW327735 RNS327735 RXO327735 SHK327735 SRG327735 TBC327735 TKY327735 TUU327735 UEQ327735 UOM327735 UYI327735 VIE327735 VSA327735 WBW327735 WLS327735 WVO327735 G393271 JC393271 SY393271 ACU393271 AMQ393271 AWM393271 BGI393271 BQE393271 CAA393271 CJW393271 CTS393271 DDO393271 DNK393271 DXG393271 EHC393271 EQY393271 FAU393271 FKQ393271 FUM393271 GEI393271 GOE393271 GYA393271 HHW393271 HRS393271 IBO393271 ILK393271 IVG393271 JFC393271 JOY393271 JYU393271 KIQ393271 KSM393271 LCI393271 LME393271 LWA393271 MFW393271 MPS393271 MZO393271 NJK393271 NTG393271 ODC393271 OMY393271 OWU393271 PGQ393271 PQM393271 QAI393271 QKE393271 QUA393271 RDW393271 RNS393271 RXO393271 SHK393271 SRG393271 TBC393271 TKY393271 TUU393271 UEQ393271 UOM393271 UYI393271 VIE393271 VSA393271 WBW393271 WLS393271 WVO393271 G458807 JC458807 SY458807 ACU458807 AMQ458807 AWM458807 BGI458807 BQE458807 CAA458807 CJW458807 CTS458807 DDO458807 DNK458807 DXG458807 EHC458807 EQY458807 FAU458807 FKQ458807 FUM458807 GEI458807 GOE458807 GYA458807 HHW458807 HRS458807 IBO458807 ILK458807 IVG458807 JFC458807 JOY458807 JYU458807 KIQ458807 KSM458807 LCI458807 LME458807 LWA458807 MFW458807 MPS458807 MZO458807 NJK458807 NTG458807 ODC458807 OMY458807 OWU458807 PGQ458807 PQM458807 QAI458807 QKE458807 QUA458807 RDW458807 RNS458807 RXO458807 SHK458807 SRG458807 TBC458807 TKY458807 TUU458807 UEQ458807 UOM458807 UYI458807 VIE458807 VSA458807 WBW458807 WLS458807 WVO458807 G524343 JC524343 SY524343 ACU524343 AMQ524343 AWM524343 BGI524343 BQE524343 CAA524343 CJW524343 CTS524343 DDO524343 DNK524343 DXG524343 EHC524343 EQY524343 FAU524343 FKQ524343 FUM524343 GEI524343 GOE524343 GYA524343 HHW524343 HRS524343 IBO524343 ILK524343 IVG524343 JFC524343 JOY524343 JYU524343 KIQ524343 KSM524343 LCI524343 LME524343 LWA524343 MFW524343 MPS524343 MZO524343 NJK524343 NTG524343 ODC524343 OMY524343 OWU524343 PGQ524343 PQM524343 QAI524343 QKE524343 QUA524343 RDW524343 RNS524343 RXO524343 SHK524343 SRG524343 TBC524343 TKY524343 TUU524343 UEQ524343 UOM524343 UYI524343 VIE524343 VSA524343 WBW524343 WLS524343 WVO524343 G589879 JC589879 SY589879 ACU589879 AMQ589879 AWM589879 BGI589879 BQE589879 CAA589879 CJW589879 CTS589879 DDO589879 DNK589879 DXG589879 EHC589879 EQY589879 FAU589879 FKQ589879 FUM589879 GEI589879 GOE589879 GYA589879 HHW589879 HRS589879 IBO589879 ILK589879 IVG589879 JFC589879 JOY589879 JYU589879 KIQ589879 KSM589879 LCI589879 LME589879 LWA589879 MFW589879 MPS589879 MZO589879 NJK589879 NTG589879 ODC589879 OMY589879 OWU589879 PGQ589879 PQM589879 QAI589879 QKE589879 QUA589879 RDW589879 RNS589879 RXO589879 SHK589879 SRG589879 TBC589879 TKY589879 TUU589879 UEQ589879 UOM589879 UYI589879 VIE589879 VSA589879 WBW589879 WLS589879 WVO589879 G655415 JC655415 SY655415 ACU655415 AMQ655415 AWM655415 BGI655415 BQE655415 CAA655415 CJW655415 CTS655415 DDO655415 DNK655415 DXG655415 EHC655415 EQY655415 FAU655415 FKQ655415 FUM655415 GEI655415 GOE655415 GYA655415 HHW655415 HRS655415 IBO655415 ILK655415 IVG655415 JFC655415 JOY655415 JYU655415 KIQ655415 KSM655415 LCI655415 LME655415 LWA655415 MFW655415 MPS655415 MZO655415 NJK655415 NTG655415 ODC655415 OMY655415 OWU655415 PGQ655415 PQM655415 QAI655415 QKE655415 QUA655415 RDW655415 RNS655415 RXO655415 SHK655415 SRG655415 TBC655415 TKY655415 TUU655415 UEQ655415 UOM655415 UYI655415 VIE655415 VSA655415 WBW655415 WLS655415 WVO655415 G720951 JC720951 SY720951 ACU720951 AMQ720951 AWM720951 BGI720951 BQE720951 CAA720951 CJW720951 CTS720951 DDO720951 DNK720951 DXG720951 EHC720951 EQY720951 FAU720951 FKQ720951 FUM720951 GEI720951 GOE720951 GYA720951 HHW720951 HRS720951 IBO720951 ILK720951 IVG720951 JFC720951 JOY720951 JYU720951 KIQ720951 KSM720951 LCI720951 LME720951 LWA720951 MFW720951 MPS720951 MZO720951 NJK720951 NTG720951 ODC720951 OMY720951 OWU720951 PGQ720951 PQM720951 QAI720951 QKE720951 QUA720951 RDW720951 RNS720951 RXO720951 SHK720951 SRG720951 TBC720951 TKY720951 TUU720951 UEQ720951 UOM720951 UYI720951 VIE720951 VSA720951 WBW720951 WLS720951 WVO720951 G786487 JC786487 SY786487 ACU786487 AMQ786487 AWM786487 BGI786487 BQE786487 CAA786487 CJW786487 CTS786487 DDO786487 DNK786487 DXG786487 EHC786487 EQY786487 FAU786487 FKQ786487 FUM786487 GEI786487 GOE786487 GYA786487 HHW786487 HRS786487 IBO786487 ILK786487 IVG786487 JFC786487 JOY786487 JYU786487 KIQ786487 KSM786487 LCI786487 LME786487 LWA786487 MFW786487 MPS786487 MZO786487 NJK786487 NTG786487 ODC786487 OMY786487 OWU786487 PGQ786487 PQM786487 QAI786487 QKE786487 QUA786487 RDW786487 RNS786487 RXO786487 SHK786487 SRG786487 TBC786487 TKY786487 TUU786487 UEQ786487 UOM786487 UYI786487 VIE786487 VSA786487 WBW786487 WLS786487 WVO786487 G852023 JC852023 SY852023 ACU852023 AMQ852023 AWM852023 BGI852023 BQE852023 CAA852023 CJW852023 CTS852023 DDO852023 DNK852023 DXG852023 EHC852023 EQY852023 FAU852023 FKQ852023 FUM852023 GEI852023 GOE852023 GYA852023 HHW852023 HRS852023 IBO852023 ILK852023 IVG852023 JFC852023 JOY852023 JYU852023 KIQ852023 KSM852023 LCI852023 LME852023 LWA852023 MFW852023 MPS852023 MZO852023 NJK852023 NTG852023 ODC852023 OMY852023 OWU852023 PGQ852023 PQM852023 QAI852023 QKE852023 QUA852023 RDW852023 RNS852023 RXO852023 SHK852023 SRG852023 TBC852023 TKY852023 TUU852023 UEQ852023 UOM852023 UYI852023 VIE852023 VSA852023 WBW852023 WLS852023 WVO852023 G917559 JC917559 SY917559 ACU917559 AMQ917559 AWM917559 BGI917559 BQE917559 CAA917559 CJW917559 CTS917559 DDO917559 DNK917559 DXG917559 EHC917559 EQY917559 FAU917559 FKQ917559 FUM917559 GEI917559 GOE917559 GYA917559 HHW917559 HRS917559 IBO917559 ILK917559 IVG917559 JFC917559 JOY917559 JYU917559 KIQ917559 KSM917559 LCI917559 LME917559 LWA917559 MFW917559 MPS917559 MZO917559 NJK917559 NTG917559 ODC917559 OMY917559 OWU917559 PGQ917559 PQM917559 QAI917559 QKE917559 QUA917559 RDW917559 RNS917559 RXO917559 SHK917559 SRG917559 TBC917559 TKY917559 TUU917559 UEQ917559 UOM917559 UYI917559 VIE917559 VSA917559 WBW917559 WLS917559 WVO917559 G983095 JC983095 SY983095 ACU983095 AMQ983095 AWM983095 BGI983095 BQE983095 CAA983095 CJW983095 CTS983095 DDO983095 DNK983095 DXG983095 EHC983095 EQY983095 FAU983095 FKQ983095 FUM983095 GEI983095 GOE983095 GYA983095 HHW983095 HRS983095 IBO983095 ILK983095 IVG983095 JFC983095 JOY983095 JYU983095 KIQ983095 KSM983095 LCI983095 LME983095 LWA983095 MFW983095 MPS983095 MZO983095 NJK983095 NTG983095 ODC983095 OMY983095 OWU983095 PGQ983095 PQM983095 QAI983095 QKE983095 QUA983095 RDW983095 RNS983095 RXO983095 SHK983095 SRG983095 TBC983095 TKY983095 TUU983095 UEQ983095 UOM983095 UYI983095 VIE983095 VSA983095 WBW983095 WLS983095 WVO983095"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5" max="21" man="1"/>
    <brk id="96" max="21" man="1"/>
    <brk id="13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5"/>
  <sheetViews>
    <sheetView view="pageBreakPreview" zoomScale="115" zoomScaleNormal="100" zoomScaleSheetLayoutView="115"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070" t="s">
        <v>1034</v>
      </c>
      <c r="F22" s="1070"/>
      <c r="G22" s="1070"/>
      <c r="H22" s="1070"/>
      <c r="I22" s="1070"/>
      <c r="J22" s="1070"/>
      <c r="K22" s="1070"/>
      <c r="L22" s="1070"/>
      <c r="M22" s="1070"/>
      <c r="N22" s="1070"/>
      <c r="O22" s="1070"/>
      <c r="P22" s="1070"/>
      <c r="Q22" s="1070"/>
      <c r="R22" s="1070"/>
      <c r="S22" s="27"/>
      <c r="T22" s="27"/>
      <c r="U22" s="27"/>
      <c r="V22" s="177"/>
      <c r="W22" s="27"/>
      <c r="X22" s="27"/>
    </row>
    <row r="23" spans="1:24" ht="18" customHeight="1">
      <c r="A23" s="69"/>
      <c r="B23" s="27"/>
      <c r="C23" s="27"/>
      <c r="D23" s="27"/>
      <c r="E23" s="1070"/>
      <c r="F23" s="1070"/>
      <c r="G23" s="1070"/>
      <c r="H23" s="1070"/>
      <c r="I23" s="1070"/>
      <c r="J23" s="1070"/>
      <c r="K23" s="1070"/>
      <c r="L23" s="1070"/>
      <c r="M23" s="1070"/>
      <c r="N23" s="1070"/>
      <c r="O23" s="1070"/>
      <c r="P23" s="1070"/>
      <c r="Q23" s="1070"/>
      <c r="R23" s="1070"/>
      <c r="S23" s="27"/>
      <c r="T23" s="27"/>
      <c r="U23" s="27"/>
      <c r="V23" s="177"/>
      <c r="W23" s="27"/>
      <c r="X23" s="27"/>
    </row>
    <row r="24" spans="1:24" ht="18" customHeight="1">
      <c r="A24" s="69"/>
      <c r="C24" s="178"/>
      <c r="D24" s="178"/>
      <c r="E24" s="1070"/>
      <c r="F24" s="1070"/>
      <c r="G24" s="1070"/>
      <c r="H24" s="1070"/>
      <c r="I24" s="1070"/>
      <c r="J24" s="1070"/>
      <c r="K24" s="1070"/>
      <c r="L24" s="1070"/>
      <c r="M24" s="1070"/>
      <c r="N24" s="1070"/>
      <c r="O24" s="1070"/>
      <c r="P24" s="1070"/>
      <c r="Q24" s="1070"/>
      <c r="R24" s="1070"/>
      <c r="S24" s="4"/>
      <c r="T24" s="4"/>
      <c r="U24" s="4"/>
      <c r="V24" s="71"/>
      <c r="W24" s="4"/>
      <c r="X24" s="4"/>
    </row>
    <row r="25" spans="1:24" ht="18" customHeight="1">
      <c r="A25" s="69"/>
      <c r="B25" s="26"/>
      <c r="C25" s="4"/>
      <c r="D25" s="73"/>
      <c r="E25" s="1070"/>
      <c r="F25" s="1070"/>
      <c r="G25" s="1070"/>
      <c r="H25" s="1070"/>
      <c r="I25" s="1070"/>
      <c r="J25" s="1070"/>
      <c r="K25" s="1070"/>
      <c r="L25" s="1070"/>
      <c r="M25" s="1070"/>
      <c r="N25" s="1070"/>
      <c r="O25" s="1070"/>
      <c r="P25" s="1070"/>
      <c r="Q25" s="1070"/>
      <c r="R25" s="1070"/>
      <c r="S25" s="4"/>
      <c r="T25" s="4"/>
      <c r="U25" s="4"/>
      <c r="V25" s="71"/>
      <c r="W25" s="4"/>
      <c r="X25" s="4"/>
    </row>
    <row r="26" spans="1:24" ht="18" customHeight="1">
      <c r="A26" s="69"/>
      <c r="E26" s="1070"/>
      <c r="F26" s="1070"/>
      <c r="G26" s="1070"/>
      <c r="H26" s="1070"/>
      <c r="I26" s="1070"/>
      <c r="J26" s="1070"/>
      <c r="K26" s="1070"/>
      <c r="L26" s="1070"/>
      <c r="M26" s="1070"/>
      <c r="N26" s="1070"/>
      <c r="O26" s="1070"/>
      <c r="P26" s="1070"/>
      <c r="Q26" s="1070"/>
      <c r="R26" s="107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81"/>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codeName="Sheet6">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881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1092" t="s">
        <v>385</v>
      </c>
      <c r="E7" s="1093"/>
      <c r="F7" s="455"/>
      <c r="H7" s="684" t="s">
        <v>507</v>
      </c>
      <c r="I7" s="684"/>
      <c r="J7" s="684"/>
      <c r="K7" s="684"/>
      <c r="L7" s="684"/>
      <c r="M7" s="684"/>
      <c r="P7" s="186"/>
      <c r="S7" s="187" t="s">
        <v>387</v>
      </c>
      <c r="T7" s="1075" t="s">
        <v>508</v>
      </c>
      <c r="U7" s="1076"/>
      <c r="V7" s="185"/>
    </row>
    <row r="8" spans="1:24" ht="18" customHeight="1">
      <c r="A8" s="456"/>
      <c r="F8" s="455"/>
      <c r="T8" s="1075" t="s">
        <v>893</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813</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v>750</v>
      </c>
      <c r="I13" s="1076"/>
      <c r="J13" s="14" t="s">
        <v>305</v>
      </c>
      <c r="T13" s="295"/>
      <c r="U13" s="18"/>
      <c r="V13" s="185"/>
      <c r="W13" s="30" t="e">
        <f>#REF!</f>
        <v>#REF!</v>
      </c>
    </row>
    <row r="14" spans="1:24" ht="18" customHeight="1">
      <c r="A14" s="184"/>
      <c r="B14" s="14" t="s">
        <v>401</v>
      </c>
      <c r="G14" s="120" t="s">
        <v>402</v>
      </c>
      <c r="H14" s="1075">
        <v>50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REC670</v>
      </c>
      <c r="E18" s="227"/>
      <c r="F18" s="227"/>
      <c r="G18" s="227"/>
      <c r="H18" s="138"/>
      <c r="I18" s="260" t="s">
        <v>127</v>
      </c>
      <c r="J18" s="1077">
        <f>'CT-VT Burdens'!Q104</f>
        <v>0.02</v>
      </c>
      <c r="K18" s="1078"/>
      <c r="L18" s="3" t="s">
        <v>157</v>
      </c>
      <c r="N18" s="197" t="s">
        <v>510</v>
      </c>
      <c r="V18" s="185"/>
    </row>
    <row r="19" spans="1:25" ht="18" customHeight="1">
      <c r="A19" s="184"/>
      <c r="B19" s="96" t="s">
        <v>405</v>
      </c>
      <c r="C19" s="14"/>
      <c r="D19" s="47" t="str">
        <f>T8</f>
        <v>REF650</v>
      </c>
      <c r="H19" s="28"/>
      <c r="I19" s="101" t="s">
        <v>127</v>
      </c>
      <c r="J19" s="1077">
        <f>'CT-VT Burdens'!Q104</f>
        <v>0.02</v>
      </c>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079"/>
      <c r="K20" s="1080"/>
      <c r="L20" s="3" t="s">
        <v>157</v>
      </c>
      <c r="N20" s="27"/>
      <c r="O20" s="27" t="s">
        <v>127</v>
      </c>
      <c r="P20" s="27">
        <f>O10</f>
        <v>1</v>
      </c>
      <c r="Q20" s="27" t="s">
        <v>315</v>
      </c>
      <c r="R20" s="27">
        <f>O10</f>
        <v>1</v>
      </c>
      <c r="S20" s="27" t="s">
        <v>315</v>
      </c>
      <c r="T20" s="27">
        <f>H12</f>
        <v>5</v>
      </c>
      <c r="V20" s="185"/>
    </row>
    <row r="21" spans="1:25" ht="18" customHeight="1">
      <c r="A21" s="184"/>
      <c r="B21" s="452" t="s">
        <v>412</v>
      </c>
      <c r="C21" s="259"/>
      <c r="D21" s="259"/>
      <c r="E21" s="259"/>
      <c r="F21" s="207"/>
      <c r="G21" s="207"/>
      <c r="H21" s="190"/>
      <c r="I21" s="208" t="s">
        <v>127</v>
      </c>
      <c r="J21" s="1081">
        <f>'CT-VT Burdens'!S24</f>
        <v>1.0770224400000001</v>
      </c>
      <c r="K21" s="1082"/>
      <c r="L21" s="297" t="s">
        <v>157</v>
      </c>
      <c r="O21" s="27" t="s">
        <v>127</v>
      </c>
      <c r="P21" s="795">
        <f>P20*R20*T20</f>
        <v>5</v>
      </c>
      <c r="Q21" s="684"/>
      <c r="R21" s="27" t="s">
        <v>157</v>
      </c>
      <c r="V21" s="185"/>
    </row>
    <row r="22" spans="1:25" ht="18" customHeight="1">
      <c r="A22" s="184"/>
      <c r="B22" s="1" t="s">
        <v>413</v>
      </c>
      <c r="C22" s="2"/>
      <c r="D22" s="2"/>
      <c r="E22" s="2"/>
      <c r="F22" s="196"/>
      <c r="G22" s="196"/>
      <c r="H22" s="224" t="s">
        <v>512</v>
      </c>
      <c r="I22" s="183" t="s">
        <v>127</v>
      </c>
      <c r="J22" s="722">
        <f>SUM(J18:J21)</f>
        <v>1.1170224400000002</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6*S30</f>
        <v>15000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2500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5</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1.1170224400000002</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15000</v>
      </c>
      <c r="G37" s="689"/>
      <c r="H37" s="684" t="s">
        <v>315</v>
      </c>
      <c r="I37" s="790">
        <f>S31</f>
        <v>1</v>
      </c>
      <c r="J37" s="790"/>
      <c r="K37" s="684" t="s">
        <v>315</v>
      </c>
      <c r="L37" s="684" t="s">
        <v>419</v>
      </c>
      <c r="M37" s="795">
        <f>S33</f>
        <v>5</v>
      </c>
      <c r="N37" s="684" t="s">
        <v>347</v>
      </c>
      <c r="O37" s="795">
        <f>S34</f>
        <v>1.1170224400000002</v>
      </c>
      <c r="P37" s="684" t="s">
        <v>347</v>
      </c>
      <c r="Q37" s="1071">
        <f>S35</f>
        <v>0.02</v>
      </c>
      <c r="R37" s="790"/>
      <c r="S37" s="790"/>
      <c r="T37" s="684" t="s">
        <v>350</v>
      </c>
      <c r="V37" s="185"/>
    </row>
    <row r="38" spans="1:25" ht="18" customHeight="1">
      <c r="A38" s="184"/>
      <c r="B38" s="684"/>
      <c r="C38" s="684"/>
      <c r="D38" s="689"/>
      <c r="E38" s="684"/>
      <c r="F38" s="689"/>
      <c r="G38" s="689"/>
      <c r="H38" s="684"/>
      <c r="I38" s="684">
        <f>S30</f>
        <v>2500</v>
      </c>
      <c r="J38" s="684"/>
      <c r="K38" s="684"/>
      <c r="L38" s="684"/>
      <c r="M38" s="684"/>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55.239999999999995</v>
      </c>
      <c r="E40" s="1072"/>
      <c r="F40" s="286" t="s">
        <v>305</v>
      </c>
      <c r="G40" s="27"/>
      <c r="V40" s="185"/>
    </row>
    <row r="41" spans="1:25" ht="18" customHeight="1">
      <c r="A41" s="184"/>
      <c r="C41" s="27"/>
      <c r="D41" s="476"/>
      <c r="E41" s="476"/>
      <c r="F41" s="286"/>
      <c r="G41" s="27"/>
      <c r="V41" s="185"/>
    </row>
    <row r="42" spans="1:25" ht="18" customHeight="1">
      <c r="A42" s="184"/>
      <c r="C42" s="27"/>
      <c r="D42" s="476"/>
      <c r="E42" s="476"/>
      <c r="F42" s="286"/>
      <c r="G42" s="27"/>
      <c r="V42" s="185"/>
    </row>
    <row r="43" spans="1:25" ht="18" customHeight="1">
      <c r="A43" s="184"/>
      <c r="C43" s="27"/>
      <c r="D43" s="476"/>
      <c r="E43" s="476"/>
      <c r="F43" s="286"/>
      <c r="G43" s="27"/>
      <c r="V43" s="185"/>
    </row>
    <row r="44" spans="1:25" ht="18" customHeight="1">
      <c r="A44" s="184"/>
      <c r="C44" s="27"/>
      <c r="D44" s="476"/>
      <c r="E44" s="476"/>
      <c r="F44" s="286"/>
      <c r="G44" s="27"/>
      <c r="V44" s="185"/>
    </row>
    <row r="45" spans="1:25" ht="18" customHeight="1">
      <c r="A45" s="184"/>
      <c r="C45" s="27"/>
      <c r="D45" s="476"/>
      <c r="E45" s="476"/>
      <c r="F45" s="286"/>
      <c r="G45" s="27"/>
      <c r="V45" s="185"/>
    </row>
    <row r="46" spans="1:25" ht="18" customHeight="1">
      <c r="A46" s="184"/>
      <c r="V46" s="185"/>
    </row>
    <row r="47" spans="1:25" ht="18" customHeight="1">
      <c r="A47" s="184"/>
      <c r="V47" s="185"/>
    </row>
    <row r="48" spans="1:25" ht="18" customHeight="1">
      <c r="A48" s="290"/>
      <c r="B48" s="196"/>
      <c r="C48" s="196"/>
      <c r="D48" s="196"/>
      <c r="E48" s="196"/>
      <c r="F48" s="196"/>
      <c r="G48" s="196"/>
      <c r="H48" s="196"/>
      <c r="I48" s="196"/>
      <c r="J48" s="196"/>
      <c r="K48" s="196"/>
      <c r="L48" s="196"/>
      <c r="M48" s="196"/>
      <c r="N48" s="196"/>
      <c r="O48" s="196"/>
      <c r="P48" s="196"/>
      <c r="Q48" s="196"/>
      <c r="R48" s="196"/>
      <c r="S48" s="196"/>
      <c r="T48" s="196"/>
      <c r="U48" s="196"/>
      <c r="V48" s="291"/>
    </row>
    <row r="49" spans="1:25" ht="18" customHeight="1">
      <c r="A49" s="184"/>
      <c r="B49" s="117" t="s">
        <v>525</v>
      </c>
      <c r="U49" s="227"/>
      <c r="V49" s="228"/>
    </row>
    <row r="50" spans="1:25" ht="18" customHeight="1">
      <c r="A50" s="184"/>
      <c r="V50" s="185"/>
    </row>
    <row r="51" spans="1:25" ht="18" customHeight="1">
      <c r="A51" s="184"/>
      <c r="B51" s="1074" t="s">
        <v>417</v>
      </c>
      <c r="C51" s="800"/>
      <c r="D51" s="800"/>
      <c r="E51" s="689">
        <v>20</v>
      </c>
      <c r="F51" s="689" t="s">
        <v>315</v>
      </c>
      <c r="G51" s="790" t="s">
        <v>481</v>
      </c>
      <c r="H51" s="790" t="s">
        <v>482</v>
      </c>
      <c r="I51" s="803"/>
      <c r="J51" s="689" t="s">
        <v>315</v>
      </c>
      <c r="K51" s="689" t="s">
        <v>419</v>
      </c>
      <c r="L51" s="689" t="s">
        <v>440</v>
      </c>
      <c r="M51" s="729" t="s">
        <v>347</v>
      </c>
      <c r="N51" s="689" t="s">
        <v>447</v>
      </c>
      <c r="O51" s="689" t="s">
        <v>347</v>
      </c>
      <c r="P51" s="759" t="s">
        <v>448</v>
      </c>
      <c r="Q51" s="759"/>
      <c r="R51" s="759"/>
      <c r="S51" s="798" t="s">
        <v>350</v>
      </c>
      <c r="T51" s="1073" t="s">
        <v>422</v>
      </c>
      <c r="V51" s="185"/>
    </row>
    <row r="52" spans="1:25" ht="18" customHeight="1">
      <c r="A52" s="184"/>
      <c r="B52" s="800"/>
      <c r="C52" s="800"/>
      <c r="D52" s="800"/>
      <c r="E52" s="689"/>
      <c r="F52" s="689"/>
      <c r="G52" s="689"/>
      <c r="H52" s="684" t="s">
        <v>483</v>
      </c>
      <c r="I52" s="804"/>
      <c r="J52" s="689"/>
      <c r="K52" s="689"/>
      <c r="L52" s="689"/>
      <c r="M52" s="729"/>
      <c r="N52" s="689"/>
      <c r="O52" s="689"/>
      <c r="P52" s="28" t="s">
        <v>438</v>
      </c>
      <c r="Q52" s="28" t="s">
        <v>315</v>
      </c>
      <c r="R52" s="28" t="s">
        <v>438</v>
      </c>
      <c r="S52" s="798"/>
      <c r="T52" s="1073"/>
      <c r="V52" s="112"/>
    </row>
    <row r="53" spans="1:25" ht="18" customHeight="1">
      <c r="A53" s="184"/>
      <c r="C53" s="28"/>
      <c r="D53" s="28"/>
      <c r="E53" s="28"/>
      <c r="F53" s="28"/>
      <c r="G53" s="28"/>
      <c r="H53" s="689"/>
      <c r="I53" s="716"/>
      <c r="J53" s="28"/>
      <c r="K53" s="28"/>
      <c r="L53" s="28"/>
      <c r="M53" s="28"/>
      <c r="N53" s="47"/>
      <c r="O53" s="28"/>
      <c r="V53" s="185"/>
    </row>
    <row r="54" spans="1:25" ht="18" customHeight="1">
      <c r="A54" s="184"/>
      <c r="C54" s="30" t="s">
        <v>526</v>
      </c>
      <c r="V54" s="185"/>
    </row>
    <row r="55" spans="1:25" ht="18" customHeight="1">
      <c r="A55" s="168"/>
      <c r="B55" s="5"/>
      <c r="C55" s="296" t="s">
        <v>515</v>
      </c>
      <c r="D55" s="14"/>
      <c r="E55" s="14"/>
      <c r="F55" s="14"/>
      <c r="G55" s="14"/>
      <c r="H55" s="279"/>
      <c r="I55" s="120"/>
      <c r="J55" s="279"/>
      <c r="K55" s="279"/>
      <c r="L55" s="14"/>
      <c r="M55" s="14"/>
      <c r="N55" s="14"/>
      <c r="O55" s="14"/>
      <c r="P55" s="14"/>
      <c r="Q55" s="244" t="s">
        <v>481</v>
      </c>
      <c r="R55" s="102" t="s">
        <v>127</v>
      </c>
      <c r="S55" s="689">
        <f>1.2*S56</f>
        <v>3000</v>
      </c>
      <c r="T55" s="689"/>
      <c r="U55" s="47" t="s">
        <v>8</v>
      </c>
      <c r="V55" s="185"/>
    </row>
    <row r="56" spans="1:25" ht="18" customHeight="1">
      <c r="A56" s="168"/>
      <c r="B56" s="5"/>
      <c r="C56" s="47" t="s">
        <v>516</v>
      </c>
      <c r="D56" s="14"/>
      <c r="E56" s="14"/>
      <c r="F56" s="18"/>
      <c r="G56" s="18"/>
      <c r="H56" s="279"/>
      <c r="I56" s="120"/>
      <c r="J56" s="279"/>
      <c r="K56" s="279"/>
      <c r="L56" s="14"/>
      <c r="M56" s="14"/>
      <c r="N56" s="14"/>
      <c r="O56" s="14"/>
      <c r="P56" s="14"/>
      <c r="Q56" s="244" t="s">
        <v>483</v>
      </c>
      <c r="R56" s="102" t="s">
        <v>127</v>
      </c>
      <c r="S56" s="689">
        <f>H10</f>
        <v>2500</v>
      </c>
      <c r="T56" s="689"/>
      <c r="U56" s="14" t="s">
        <v>8</v>
      </c>
      <c r="V56" s="185"/>
    </row>
    <row r="57" spans="1:25" ht="18" customHeight="1">
      <c r="A57" s="168"/>
      <c r="B57" s="5"/>
      <c r="C57" s="47" t="s">
        <v>517</v>
      </c>
      <c r="D57" s="14"/>
      <c r="E57" s="14"/>
      <c r="F57" s="18"/>
      <c r="G57" s="18"/>
      <c r="H57" s="279"/>
      <c r="I57" s="120"/>
      <c r="J57" s="279"/>
      <c r="K57" s="279"/>
      <c r="L57" s="14"/>
      <c r="M57" s="14"/>
      <c r="N57" s="14"/>
      <c r="O57" s="14"/>
      <c r="P57" s="14"/>
      <c r="Q57" s="244" t="s">
        <v>482</v>
      </c>
      <c r="R57" s="102" t="s">
        <v>127</v>
      </c>
      <c r="S57" s="689">
        <f>O10</f>
        <v>1</v>
      </c>
      <c r="T57" s="689"/>
      <c r="U57" s="30" t="s">
        <v>8</v>
      </c>
      <c r="V57" s="185"/>
    </row>
    <row r="58" spans="1:25" ht="18" customHeight="1">
      <c r="A58" s="168"/>
      <c r="B58" s="5"/>
      <c r="C58" s="47" t="s">
        <v>518</v>
      </c>
      <c r="D58" s="14"/>
      <c r="E58" s="14"/>
      <c r="F58" s="18"/>
      <c r="G58" s="18"/>
      <c r="H58" s="279"/>
      <c r="I58" s="120"/>
      <c r="J58" s="279"/>
      <c r="K58" s="279"/>
      <c r="L58" s="14"/>
      <c r="M58" s="14"/>
      <c r="N58" s="14"/>
      <c r="O58" s="14"/>
      <c r="P58" s="14"/>
      <c r="Q58" s="244" t="s">
        <v>146</v>
      </c>
      <c r="R58" s="102" t="s">
        <v>127</v>
      </c>
      <c r="S58" s="834">
        <f>S32</f>
        <v>1</v>
      </c>
      <c r="T58" s="834"/>
      <c r="U58" s="30" t="s">
        <v>8</v>
      </c>
      <c r="V58" s="185"/>
      <c r="W58" s="279"/>
      <c r="X58" s="279"/>
      <c r="Y58" s="279"/>
    </row>
    <row r="59" spans="1:25" ht="18" customHeight="1">
      <c r="A59" s="168"/>
      <c r="B59" s="5"/>
      <c r="C59" s="296" t="s">
        <v>519</v>
      </c>
      <c r="D59" s="14"/>
      <c r="E59" s="14"/>
      <c r="F59" s="18"/>
      <c r="G59" s="18"/>
      <c r="H59" s="279"/>
      <c r="I59" s="120"/>
      <c r="J59" s="279"/>
      <c r="K59" s="279"/>
      <c r="L59" s="14"/>
      <c r="M59" s="14"/>
      <c r="N59" s="14"/>
      <c r="O59" s="14"/>
      <c r="P59" s="14"/>
      <c r="Q59" s="244" t="s">
        <v>420</v>
      </c>
      <c r="R59" s="102" t="s">
        <v>127</v>
      </c>
      <c r="S59" s="692">
        <f>H12</f>
        <v>5</v>
      </c>
      <c r="T59" s="689"/>
      <c r="U59" s="30" t="s">
        <v>520</v>
      </c>
      <c r="V59" s="185"/>
      <c r="X59" s="279"/>
      <c r="Y59" s="279"/>
    </row>
    <row r="60" spans="1:25" ht="18" customHeight="1">
      <c r="A60" s="168"/>
      <c r="B60" s="5"/>
      <c r="C60" s="296" t="s">
        <v>521</v>
      </c>
      <c r="D60" s="14"/>
      <c r="E60" s="14"/>
      <c r="F60" s="14"/>
      <c r="G60" s="14"/>
      <c r="H60" s="279"/>
      <c r="I60" s="120"/>
      <c r="J60" s="279"/>
      <c r="K60" s="279"/>
      <c r="L60" s="14"/>
      <c r="M60" s="14"/>
      <c r="N60" s="14"/>
      <c r="O60" s="14"/>
      <c r="P60" s="14"/>
      <c r="Q60" s="244" t="s">
        <v>522</v>
      </c>
      <c r="R60" s="102" t="s">
        <v>127</v>
      </c>
      <c r="S60" s="692">
        <f>J22</f>
        <v>1.1170224400000002</v>
      </c>
      <c r="T60" s="689"/>
      <c r="U60" s="30" t="s">
        <v>520</v>
      </c>
      <c r="V60" s="185"/>
      <c r="X60" s="279"/>
      <c r="Y60" s="279"/>
    </row>
    <row r="61" spans="1:25" ht="18" customHeight="1">
      <c r="A61" s="168"/>
      <c r="B61" s="5"/>
      <c r="C61" s="296" t="s">
        <v>523</v>
      </c>
      <c r="D61" s="14"/>
      <c r="E61" s="14"/>
      <c r="F61" s="14"/>
      <c r="G61" s="14"/>
      <c r="H61" s="279"/>
      <c r="I61" s="120"/>
      <c r="J61" s="279"/>
      <c r="K61" s="279"/>
      <c r="L61" s="14"/>
      <c r="M61" s="14"/>
      <c r="N61" s="14"/>
      <c r="O61" s="14"/>
      <c r="P61" s="14"/>
      <c r="Q61" s="244" t="s">
        <v>524</v>
      </c>
      <c r="R61" s="102" t="s">
        <v>127</v>
      </c>
      <c r="S61" s="795">
        <f>J18</f>
        <v>0.02</v>
      </c>
      <c r="T61" s="689"/>
      <c r="U61" s="296" t="s">
        <v>157</v>
      </c>
      <c r="V61" s="185"/>
    </row>
    <row r="62" spans="1:25" ht="18" customHeight="1">
      <c r="A62" s="299"/>
      <c r="B62" s="279"/>
      <c r="C62" s="47"/>
      <c r="D62" s="14"/>
      <c r="E62" s="14"/>
      <c r="F62" s="14"/>
      <c r="G62" s="14"/>
      <c r="H62" s="279"/>
      <c r="I62" s="120"/>
      <c r="J62" s="279"/>
      <c r="K62" s="279"/>
      <c r="L62" s="14"/>
      <c r="M62" s="14"/>
      <c r="N62" s="279"/>
      <c r="O62" s="279"/>
      <c r="P62" s="14"/>
      <c r="Q62" s="120"/>
      <c r="R62" s="14"/>
      <c r="S62" s="279"/>
      <c r="T62" s="279"/>
      <c r="U62" s="279"/>
      <c r="V62" s="300"/>
      <c r="W62" s="279"/>
      <c r="X62" s="279"/>
      <c r="Y62" s="279"/>
    </row>
    <row r="63" spans="1:25" ht="18" customHeight="1">
      <c r="A63" s="184"/>
      <c r="B63" s="684" t="s">
        <v>417</v>
      </c>
      <c r="C63" s="684"/>
      <c r="D63" s="689">
        <f>E51</f>
        <v>20</v>
      </c>
      <c r="E63" s="684" t="s">
        <v>315</v>
      </c>
      <c r="F63" s="689">
        <f>S55</f>
        <v>3000</v>
      </c>
      <c r="G63" s="689"/>
      <c r="H63" s="684" t="s">
        <v>315</v>
      </c>
      <c r="I63" s="790">
        <f>S57</f>
        <v>1</v>
      </c>
      <c r="J63" s="790"/>
      <c r="K63" s="684" t="s">
        <v>315</v>
      </c>
      <c r="L63" s="684" t="s">
        <v>419</v>
      </c>
      <c r="M63" s="795">
        <f>S59</f>
        <v>5</v>
      </c>
      <c r="N63" s="684" t="s">
        <v>347</v>
      </c>
      <c r="O63" s="795">
        <f>S60</f>
        <v>1.1170224400000002</v>
      </c>
      <c r="P63" s="684" t="s">
        <v>347</v>
      </c>
      <c r="Q63" s="1071">
        <f>S61</f>
        <v>0.02</v>
      </c>
      <c r="R63" s="790"/>
      <c r="S63" s="790"/>
      <c r="T63" s="684" t="s">
        <v>350</v>
      </c>
      <c r="V63" s="185"/>
    </row>
    <row r="64" spans="1:25" ht="18" customHeight="1">
      <c r="A64" s="184"/>
      <c r="B64" s="684"/>
      <c r="C64" s="684"/>
      <c r="D64" s="689"/>
      <c r="E64" s="684"/>
      <c r="F64" s="689"/>
      <c r="G64" s="689"/>
      <c r="H64" s="684"/>
      <c r="I64" s="684">
        <f>S56</f>
        <v>2500</v>
      </c>
      <c r="J64" s="684"/>
      <c r="K64" s="684"/>
      <c r="L64" s="684"/>
      <c r="M64" s="684"/>
      <c r="N64" s="684"/>
      <c r="O64" s="684"/>
      <c r="P64" s="684"/>
      <c r="Q64" s="503">
        <f>S58</f>
        <v>1</v>
      </c>
      <c r="R64" s="27" t="s">
        <v>315</v>
      </c>
      <c r="S64" s="503">
        <f>S58</f>
        <v>1</v>
      </c>
      <c r="T64" s="684"/>
      <c r="V64" s="185"/>
    </row>
    <row r="65" spans="1:27" ht="18" customHeight="1">
      <c r="A65" s="184"/>
      <c r="C65" s="120"/>
      <c r="D65" s="28"/>
      <c r="E65" s="28"/>
      <c r="F65" s="28"/>
      <c r="G65" s="28"/>
      <c r="H65" s="14"/>
      <c r="I65" s="14"/>
      <c r="J65" s="28"/>
      <c r="K65" s="28"/>
      <c r="L65" s="28"/>
      <c r="M65" s="28"/>
      <c r="N65" s="47"/>
      <c r="O65" s="502"/>
      <c r="V65" s="185"/>
    </row>
    <row r="66" spans="1:27" ht="18" customHeight="1">
      <c r="A66" s="184"/>
      <c r="C66" s="27" t="s">
        <v>127</v>
      </c>
      <c r="D66" s="1072">
        <f>ROUNDUP(D63*F63*(I63/I64)*(M63+O63+(Q63/(Q64*S64))),2)</f>
        <v>147.29</v>
      </c>
      <c r="E66" s="1072"/>
      <c r="F66" s="286" t="s">
        <v>305</v>
      </c>
      <c r="G66" s="27"/>
      <c r="V66" s="185"/>
    </row>
    <row r="67" spans="1:27" ht="18" customHeight="1">
      <c r="A67" s="184"/>
      <c r="V67" s="185"/>
    </row>
    <row r="68" spans="1:27" ht="18" customHeight="1">
      <c r="A68" s="184"/>
      <c r="D68" s="30" t="s">
        <v>527</v>
      </c>
      <c r="L68" s="30" t="s">
        <v>528</v>
      </c>
      <c r="M68" s="505" t="s">
        <v>529</v>
      </c>
      <c r="N68" s="30" t="str">
        <f>CONCATENATE(Y68,X68,D40,Z68,D66,AA68)</f>
        <v>max(55.24,147.29)</v>
      </c>
      <c r="V68" s="185"/>
      <c r="X68" s="30" t="s">
        <v>419</v>
      </c>
      <c r="Y68" s="30" t="s">
        <v>530</v>
      </c>
      <c r="Z68" s="30" t="s">
        <v>531</v>
      </c>
      <c r="AA68" s="30" t="s">
        <v>350</v>
      </c>
    </row>
    <row r="69" spans="1:27" ht="18" customHeight="1">
      <c r="A69" s="184"/>
      <c r="D69" s="14"/>
      <c r="E69"/>
      <c r="F69"/>
      <c r="G69" s="27"/>
      <c r="H69" s="14"/>
      <c r="I69"/>
      <c r="J69"/>
      <c r="K69"/>
      <c r="L69" s="30" t="s">
        <v>528</v>
      </c>
      <c r="M69" s="505" t="s">
        <v>529</v>
      </c>
      <c r="N69" s="476">
        <f>MAX(D66,D40)</f>
        <v>147.29</v>
      </c>
      <c r="V69" s="185"/>
    </row>
    <row r="70" spans="1:27" ht="18" customHeight="1">
      <c r="A70" s="184"/>
      <c r="D70"/>
      <c r="E70" s="1089"/>
      <c r="F70" s="684"/>
      <c r="G70" s="27"/>
      <c r="H70" s="795"/>
      <c r="I70" s="684"/>
      <c r="J70"/>
      <c r="K70"/>
      <c r="L70" s="296">
        <f>H13</f>
        <v>750</v>
      </c>
      <c r="M70" s="505" t="s">
        <v>529</v>
      </c>
      <c r="N70" s="476">
        <f>N69</f>
        <v>147.29</v>
      </c>
      <c r="V70" s="185"/>
    </row>
    <row r="71" spans="1:27" ht="18" customHeight="1">
      <c r="A71" s="184"/>
      <c r="D71"/>
      <c r="E71" s="504"/>
      <c r="F71" s="27"/>
      <c r="G71" s="27"/>
      <c r="H71" s="211"/>
      <c r="I71" s="27"/>
      <c r="J71"/>
      <c r="K71"/>
      <c r="L71" s="296"/>
      <c r="M71" s="505"/>
      <c r="N71" s="476"/>
      <c r="V71" s="185"/>
    </row>
    <row r="72" spans="1:27" ht="18" customHeight="1">
      <c r="A72" s="184"/>
      <c r="D72"/>
      <c r="E72"/>
      <c r="F72" s="244" t="s">
        <v>478</v>
      </c>
      <c r="G72"/>
      <c r="H72" s="18" t="str">
        <f>IF(L70&gt;N70,"Suitably Dimensioned","Under Dimensioned")</f>
        <v>Suitably Dimensioned</v>
      </c>
      <c r="I72"/>
      <c r="J72"/>
      <c r="K72"/>
      <c r="L72"/>
      <c r="V72" s="185"/>
    </row>
    <row r="73" spans="1:27" ht="18" customHeight="1">
      <c r="A73" s="184"/>
      <c r="D73"/>
      <c r="E73"/>
      <c r="F73" s="244"/>
      <c r="G73"/>
      <c r="H73" s="18"/>
      <c r="I73"/>
      <c r="J73"/>
      <c r="K73"/>
      <c r="L73"/>
      <c r="V73" s="185"/>
    </row>
    <row r="74" spans="1:27" ht="18" customHeight="1">
      <c r="A74" s="184"/>
      <c r="D74"/>
      <c r="E74"/>
      <c r="F74" s="244"/>
      <c r="G74"/>
      <c r="H74" s="18"/>
      <c r="I74"/>
      <c r="J74"/>
      <c r="K74"/>
      <c r="L74"/>
      <c r="V74" s="185"/>
    </row>
    <row r="75" spans="1:27" ht="18" customHeight="1">
      <c r="A75" s="184"/>
      <c r="D75"/>
      <c r="E75"/>
      <c r="F75" s="244"/>
      <c r="G75"/>
      <c r="H75" s="18"/>
      <c r="I75"/>
      <c r="J75"/>
      <c r="K75"/>
      <c r="L75"/>
      <c r="V75" s="185"/>
    </row>
    <row r="76" spans="1:27" ht="18" customHeight="1">
      <c r="A76" s="184"/>
      <c r="D76"/>
      <c r="E76"/>
      <c r="F76" s="244"/>
      <c r="G76"/>
      <c r="H76" s="18"/>
      <c r="I76"/>
      <c r="J76"/>
      <c r="K76"/>
      <c r="L76"/>
      <c r="V76" s="185"/>
    </row>
    <row r="77" spans="1:27" ht="18" customHeight="1">
      <c r="A77" s="184"/>
      <c r="D77"/>
      <c r="E77"/>
      <c r="F77" s="244"/>
      <c r="G77"/>
      <c r="H77" s="18"/>
      <c r="I77"/>
      <c r="J77"/>
      <c r="K77"/>
      <c r="L77"/>
      <c r="V77" s="185"/>
    </row>
    <row r="78" spans="1:27" ht="18" customHeight="1">
      <c r="A78" s="184"/>
      <c r="D78"/>
      <c r="E78"/>
      <c r="F78" s="244"/>
      <c r="G78"/>
      <c r="H78" s="18"/>
      <c r="I78"/>
      <c r="J78"/>
      <c r="K78"/>
      <c r="L78"/>
      <c r="V78" s="185"/>
    </row>
    <row r="79" spans="1:27" ht="18" customHeight="1">
      <c r="A79" s="184"/>
      <c r="D79"/>
      <c r="E79"/>
      <c r="F79" s="244"/>
      <c r="G79"/>
      <c r="H79" s="18"/>
      <c r="I79"/>
      <c r="J79"/>
      <c r="K79"/>
      <c r="L79"/>
      <c r="V79" s="185"/>
    </row>
    <row r="80" spans="1:27" ht="18" customHeight="1">
      <c r="A80" s="184"/>
      <c r="D80"/>
      <c r="E80"/>
      <c r="F80" s="244"/>
      <c r="G80"/>
      <c r="H80" s="18"/>
      <c r="I80"/>
      <c r="J80"/>
      <c r="K80"/>
      <c r="L80"/>
      <c r="V80" s="185"/>
    </row>
    <row r="81" spans="1:22" ht="18" customHeight="1">
      <c r="A81" s="184"/>
      <c r="D81"/>
      <c r="E81"/>
      <c r="F81" s="244"/>
      <c r="G81"/>
      <c r="H81" s="18"/>
      <c r="I81"/>
      <c r="J81"/>
      <c r="K81"/>
      <c r="L81"/>
      <c r="V81" s="185"/>
    </row>
    <row r="82" spans="1:22" ht="18" customHeight="1">
      <c r="A82" s="184"/>
      <c r="D82"/>
      <c r="E82"/>
      <c r="F82" s="244"/>
      <c r="G82"/>
      <c r="H82" s="18"/>
      <c r="I82"/>
      <c r="J82"/>
      <c r="K82"/>
      <c r="L82"/>
      <c r="V82" s="185"/>
    </row>
    <row r="83" spans="1:22" ht="18" customHeight="1">
      <c r="A83" s="184"/>
      <c r="D83"/>
      <c r="E83"/>
      <c r="F83" s="244"/>
      <c r="G83"/>
      <c r="H83" s="18"/>
      <c r="I83"/>
      <c r="J83"/>
      <c r="K83"/>
      <c r="L83"/>
      <c r="V83" s="185"/>
    </row>
    <row r="84" spans="1:22" ht="18" customHeight="1">
      <c r="A84" s="184"/>
      <c r="D84"/>
      <c r="E84"/>
      <c r="F84" s="244"/>
      <c r="G84"/>
      <c r="H84" s="18"/>
      <c r="I84"/>
      <c r="J84"/>
      <c r="K84"/>
      <c r="L84"/>
      <c r="V84" s="185"/>
    </row>
    <row r="85" spans="1:22" ht="18" customHeight="1">
      <c r="A85" s="184"/>
      <c r="D85"/>
      <c r="E85"/>
      <c r="F85" s="244"/>
      <c r="G85"/>
      <c r="H85" s="18"/>
      <c r="I85"/>
      <c r="J85"/>
      <c r="K85"/>
      <c r="L85"/>
      <c r="V85" s="185"/>
    </row>
    <row r="86" spans="1:22" ht="18" customHeight="1">
      <c r="A86" s="184"/>
      <c r="D86"/>
      <c r="E86"/>
      <c r="F86" s="244"/>
      <c r="G86"/>
      <c r="H86" s="18"/>
      <c r="I86"/>
      <c r="J86"/>
      <c r="K86"/>
      <c r="L86"/>
      <c r="V86" s="185"/>
    </row>
    <row r="87" spans="1:22" ht="18" customHeight="1">
      <c r="A87" s="184"/>
      <c r="D87"/>
      <c r="E87"/>
      <c r="F87" s="244"/>
      <c r="G87"/>
      <c r="H87" s="18"/>
      <c r="I87"/>
      <c r="J87"/>
      <c r="K87"/>
      <c r="L87"/>
      <c r="V87" s="185"/>
    </row>
    <row r="88" spans="1:22" ht="18" customHeight="1">
      <c r="A88" s="184"/>
      <c r="D88"/>
      <c r="E88"/>
      <c r="F88" s="244"/>
      <c r="G88"/>
      <c r="H88" s="18"/>
      <c r="I88"/>
      <c r="J88"/>
      <c r="K88"/>
      <c r="L88"/>
      <c r="V88" s="185"/>
    </row>
    <row r="89" spans="1:22" ht="18" customHeight="1">
      <c r="A89" s="184"/>
      <c r="D89"/>
      <c r="E89"/>
      <c r="F89" s="244"/>
      <c r="G89"/>
      <c r="H89" s="18"/>
      <c r="I89"/>
      <c r="J89"/>
      <c r="K89"/>
      <c r="L89"/>
      <c r="V89" s="185"/>
    </row>
    <row r="90" spans="1:22" ht="18" customHeight="1">
      <c r="A90" s="184"/>
      <c r="D90"/>
      <c r="E90"/>
      <c r="F90" s="244"/>
      <c r="G90"/>
      <c r="H90" s="18"/>
      <c r="I90"/>
      <c r="J90"/>
      <c r="K90"/>
      <c r="L90"/>
      <c r="V90" s="185"/>
    </row>
    <row r="91" spans="1:22" ht="18" customHeight="1">
      <c r="A91" s="290"/>
      <c r="B91" s="196"/>
      <c r="C91" s="196"/>
      <c r="D91" s="423"/>
      <c r="E91" s="423"/>
      <c r="F91" s="306"/>
      <c r="G91" s="423"/>
      <c r="H91" s="510"/>
      <c r="I91" s="423"/>
      <c r="J91" s="423"/>
      <c r="K91" s="423"/>
      <c r="L91" s="423"/>
      <c r="M91" s="196"/>
      <c r="N91" s="196"/>
      <c r="O91" s="196"/>
      <c r="P91" s="196"/>
      <c r="Q91" s="196"/>
      <c r="R91" s="196"/>
      <c r="S91" s="196"/>
      <c r="T91" s="196"/>
      <c r="U91" s="196"/>
      <c r="V91" s="291"/>
    </row>
    <row r="92" spans="1:22" ht="18" customHeight="1">
      <c r="A92" s="226"/>
      <c r="B92" s="227"/>
      <c r="C92" s="227"/>
      <c r="D92" s="227"/>
      <c r="E92" s="227"/>
      <c r="F92" s="227"/>
      <c r="G92" s="227"/>
      <c r="H92" s="227"/>
      <c r="I92" s="227"/>
      <c r="J92" s="227"/>
      <c r="K92" s="227"/>
      <c r="L92" s="227"/>
      <c r="M92" s="227"/>
      <c r="N92" s="227"/>
      <c r="O92" s="227"/>
      <c r="P92" s="227"/>
      <c r="Q92" s="227"/>
      <c r="R92" s="227"/>
      <c r="S92" s="227"/>
      <c r="T92" s="227"/>
      <c r="U92" s="227"/>
      <c r="V92" s="228"/>
    </row>
    <row r="93" spans="1:22" ht="18" customHeight="1">
      <c r="A93" s="262" t="s">
        <v>532</v>
      </c>
      <c r="B93" s="14"/>
      <c r="C93" s="14"/>
      <c r="D93" s="120"/>
      <c r="E93" s="120"/>
      <c r="F93" s="18"/>
      <c r="G93" s="18"/>
      <c r="H93" s="14"/>
      <c r="I93" s="14"/>
      <c r="J93" s="14"/>
      <c r="K93" s="14"/>
      <c r="L93" s="14"/>
      <c r="M93" s="14"/>
      <c r="N93" s="14"/>
      <c r="O93" s="14"/>
      <c r="P93" s="28"/>
      <c r="Q93" s="120"/>
      <c r="R93" s="47"/>
      <c r="S93" s="206"/>
      <c r="T93" s="259"/>
      <c r="U93" s="14"/>
      <c r="V93" s="97"/>
    </row>
    <row r="94" spans="1:22" customFormat="1" ht="18" customHeight="1">
      <c r="A94" s="868" t="s">
        <v>85</v>
      </c>
      <c r="B94" s="868"/>
      <c r="C94" s="869"/>
      <c r="D94" s="868" t="s">
        <v>86</v>
      </c>
      <c r="E94" s="868"/>
      <c r="F94" s="868"/>
      <c r="G94" s="868" t="s">
        <v>87</v>
      </c>
      <c r="H94" s="868"/>
      <c r="I94" s="868" t="s">
        <v>88</v>
      </c>
      <c r="J94" s="868"/>
      <c r="K94" s="868" t="s">
        <v>502</v>
      </c>
      <c r="L94" s="868"/>
      <c r="M94" s="868" t="s">
        <v>503</v>
      </c>
      <c r="N94" s="868"/>
      <c r="O94" s="868" t="s">
        <v>504</v>
      </c>
      <c r="P94" s="868"/>
      <c r="Q94" s="868" t="s">
        <v>505</v>
      </c>
      <c r="R94" s="868"/>
      <c r="S94" s="868" t="s">
        <v>93</v>
      </c>
      <c r="T94" s="868"/>
      <c r="U94" s="868"/>
      <c r="V94" s="868"/>
    </row>
    <row r="95" spans="1:22" customFormat="1" ht="18" customHeight="1">
      <c r="A95" s="868"/>
      <c r="B95" s="868"/>
      <c r="C95" s="869"/>
      <c r="D95" s="868"/>
      <c r="E95" s="868"/>
      <c r="F95" s="868"/>
      <c r="G95" s="868"/>
      <c r="H95" s="868"/>
      <c r="I95" s="868"/>
      <c r="J95" s="868"/>
      <c r="K95" s="868"/>
      <c r="L95" s="868"/>
      <c r="M95" s="868"/>
      <c r="N95" s="868"/>
      <c r="O95" s="868"/>
      <c r="P95" s="868"/>
      <c r="Q95" s="868"/>
      <c r="R95" s="868"/>
      <c r="S95" s="868"/>
      <c r="T95" s="868"/>
      <c r="U95" s="868"/>
      <c r="V95" s="868"/>
    </row>
    <row r="96" spans="1:22" customFormat="1" ht="18" customHeight="1">
      <c r="A96" s="868"/>
      <c r="B96" s="868"/>
      <c r="C96" s="869"/>
      <c r="D96" s="868"/>
      <c r="E96" s="868"/>
      <c r="F96" s="868"/>
      <c r="G96" s="868"/>
      <c r="H96" s="868"/>
      <c r="I96" s="868"/>
      <c r="J96" s="868"/>
      <c r="K96" s="868"/>
      <c r="L96" s="868"/>
      <c r="M96" s="868"/>
      <c r="N96" s="868"/>
      <c r="O96" s="868"/>
      <c r="P96" s="868"/>
      <c r="Q96" s="868"/>
      <c r="R96" s="868"/>
      <c r="S96" s="868"/>
      <c r="T96" s="868"/>
      <c r="U96" s="868"/>
      <c r="V96" s="868"/>
    </row>
    <row r="97" spans="1:22" customFormat="1" ht="18" customHeight="1">
      <c r="A97" s="868"/>
      <c r="B97" s="868"/>
      <c r="C97" s="869"/>
      <c r="D97" s="868"/>
      <c r="E97" s="868"/>
      <c r="F97" s="868"/>
      <c r="G97" s="868"/>
      <c r="H97" s="868"/>
      <c r="I97" s="868"/>
      <c r="J97" s="868"/>
      <c r="K97" s="868"/>
      <c r="L97" s="868"/>
      <c r="M97" s="868"/>
      <c r="N97" s="868"/>
      <c r="O97" s="868"/>
      <c r="P97" s="868"/>
      <c r="Q97" s="868"/>
      <c r="R97" s="868"/>
      <c r="S97" s="868"/>
      <c r="T97" s="868"/>
      <c r="U97" s="868"/>
      <c r="V97" s="868"/>
    </row>
    <row r="98" spans="1:22" customFormat="1" ht="18" customHeight="1">
      <c r="A98" s="765" t="str">
        <f>B7</f>
        <v>T1</v>
      </c>
      <c r="B98" s="765" t="str">
        <f>D7</f>
        <v>Core1</v>
      </c>
      <c r="C98" s="765"/>
      <c r="D98" s="870">
        <f>H10</f>
        <v>2500</v>
      </c>
      <c r="E98" s="870"/>
      <c r="F98" s="871">
        <f>O10</f>
        <v>1</v>
      </c>
      <c r="G98" s="870">
        <f>'CT-VT Burdens'!S21</f>
        <v>120</v>
      </c>
      <c r="H98" s="874">
        <f>'CT-VT Burdens'!S10</f>
        <v>6</v>
      </c>
      <c r="I98" s="874" t="str">
        <f>H11</f>
        <v>5P20</v>
      </c>
      <c r="J98" s="874"/>
      <c r="K98" s="869">
        <f>H12</f>
        <v>5</v>
      </c>
      <c r="L98" s="869"/>
      <c r="M98" s="869">
        <f>H13</f>
        <v>750</v>
      </c>
      <c r="N98" s="869"/>
      <c r="O98" s="870">
        <f>H14</f>
        <v>50</v>
      </c>
      <c r="P98" s="870"/>
      <c r="Q98" s="879" t="str">
        <f>CONCATENATE(T7,"+",T8,"+",T9)</f>
        <v>REC670+REF650+</v>
      </c>
      <c r="R98" s="879"/>
      <c r="S98" s="876" t="s">
        <v>533</v>
      </c>
      <c r="T98" s="870"/>
      <c r="U98" s="870"/>
      <c r="V98" s="870"/>
    </row>
    <row r="99" spans="1:22" customFormat="1" ht="18" customHeight="1">
      <c r="A99" s="765"/>
      <c r="B99" s="765"/>
      <c r="C99" s="765"/>
      <c r="D99" s="876" t="s">
        <v>6</v>
      </c>
      <c r="E99" s="870"/>
      <c r="F99" s="872"/>
      <c r="G99" s="870"/>
      <c r="H99" s="870"/>
      <c r="I99" s="874"/>
      <c r="J99" s="874"/>
      <c r="K99" s="875" t="s">
        <v>6</v>
      </c>
      <c r="L99" s="869"/>
      <c r="M99" s="875" t="s">
        <v>6</v>
      </c>
      <c r="N99" s="869"/>
      <c r="O99" s="876" t="s">
        <v>6</v>
      </c>
      <c r="P99" s="870"/>
      <c r="Q99" s="879"/>
      <c r="R99" s="879"/>
      <c r="S99" s="876" t="s">
        <v>6</v>
      </c>
      <c r="T99" s="870"/>
      <c r="U99" s="870"/>
      <c r="V99" s="870"/>
    </row>
    <row r="100" spans="1:22" customFormat="1" ht="18" customHeight="1">
      <c r="A100" s="765"/>
      <c r="B100" s="765"/>
      <c r="C100" s="765"/>
      <c r="D100" s="876" t="s">
        <v>6</v>
      </c>
      <c r="E100" s="870"/>
      <c r="F100" s="873"/>
      <c r="G100" s="870"/>
      <c r="H100" s="870"/>
      <c r="I100" s="874"/>
      <c r="J100" s="874"/>
      <c r="K100" s="875" t="s">
        <v>6</v>
      </c>
      <c r="L100" s="869"/>
      <c r="M100" s="875" t="s">
        <v>6</v>
      </c>
      <c r="N100" s="869"/>
      <c r="O100" s="876" t="s">
        <v>6</v>
      </c>
      <c r="P100" s="870"/>
      <c r="Q100" s="879"/>
      <c r="R100" s="879"/>
      <c r="S100" s="870" t="s">
        <v>6</v>
      </c>
      <c r="T100" s="870"/>
      <c r="U100" s="870"/>
      <c r="V100" s="870"/>
    </row>
    <row r="101" spans="1:22" ht="18" customHeight="1">
      <c r="A101" s="184"/>
      <c r="V101" s="185"/>
    </row>
    <row r="102" spans="1:22" ht="18" customHeight="1">
      <c r="A102" s="184"/>
      <c r="V102" s="185"/>
    </row>
    <row r="103" spans="1:22" ht="18" customHeight="1">
      <c r="A103" s="184"/>
      <c r="V103" s="185"/>
    </row>
    <row r="104" spans="1:22" ht="18" customHeight="1">
      <c r="A104" s="184"/>
      <c r="V104" s="185"/>
    </row>
    <row r="105" spans="1:22" ht="18" customHeight="1">
      <c r="A105" s="184"/>
      <c r="V105" s="185"/>
    </row>
    <row r="106" spans="1:22" ht="18" customHeight="1">
      <c r="A106" s="184"/>
      <c r="V106" s="185"/>
    </row>
    <row r="107" spans="1:22" ht="18" customHeight="1">
      <c r="A107" s="184"/>
      <c r="V107" s="185"/>
    </row>
    <row r="108" spans="1:22" ht="18" customHeight="1">
      <c r="A108" s="184"/>
      <c r="V108" s="185"/>
    </row>
    <row r="109" spans="1:22" ht="18" customHeight="1">
      <c r="A109" s="184"/>
      <c r="V109" s="185"/>
    </row>
    <row r="110" spans="1:22" ht="18" customHeight="1">
      <c r="A110" s="184"/>
      <c r="V110" s="185"/>
    </row>
    <row r="111" spans="1:22" ht="18" customHeight="1">
      <c r="A111" s="184"/>
      <c r="V111" s="185"/>
    </row>
    <row r="112" spans="1:22" ht="18" customHeight="1">
      <c r="A112" s="184"/>
      <c r="V112" s="185"/>
    </row>
    <row r="113" spans="1:22" ht="18" customHeight="1">
      <c r="A113" s="184"/>
      <c r="V113" s="185"/>
    </row>
    <row r="114" spans="1:22" ht="18" customHeight="1">
      <c r="A114" s="184"/>
      <c r="V114" s="185"/>
    </row>
    <row r="115" spans="1:22" ht="18" customHeight="1">
      <c r="A115" s="184"/>
      <c r="V115" s="185"/>
    </row>
    <row r="116" spans="1:22" ht="18" customHeight="1">
      <c r="A116" s="184"/>
      <c r="V116" s="185"/>
    </row>
    <row r="117" spans="1:22" ht="18" customHeight="1">
      <c r="A117" s="184"/>
      <c r="V117" s="185"/>
    </row>
    <row r="118" spans="1:22" ht="18" customHeight="1">
      <c r="A118" s="184"/>
      <c r="V118" s="185"/>
    </row>
    <row r="119" spans="1:22" ht="18" customHeight="1">
      <c r="A119" s="184"/>
      <c r="V119" s="185"/>
    </row>
    <row r="120" spans="1:22" ht="18" customHeight="1">
      <c r="A120" s="184"/>
      <c r="V120" s="185"/>
    </row>
    <row r="121" spans="1:22" ht="18" customHeight="1">
      <c r="A121" s="184"/>
      <c r="V121" s="185"/>
    </row>
    <row r="122" spans="1:22" ht="18" customHeight="1">
      <c r="A122" s="184"/>
      <c r="V122" s="185"/>
    </row>
    <row r="123" spans="1:22" ht="18" customHeight="1">
      <c r="A123" s="184"/>
      <c r="V123" s="185"/>
    </row>
    <row r="124" spans="1:22" ht="18" customHeight="1">
      <c r="A124" s="184"/>
      <c r="V124" s="185"/>
    </row>
    <row r="125" spans="1:22" ht="18" customHeight="1">
      <c r="A125" s="184"/>
      <c r="V125" s="185"/>
    </row>
    <row r="126" spans="1:22" ht="18" customHeight="1">
      <c r="A126" s="184"/>
      <c r="V126" s="185"/>
    </row>
    <row r="127" spans="1:22" ht="18" customHeight="1">
      <c r="A127" s="184"/>
      <c r="V127" s="185"/>
    </row>
    <row r="128" spans="1:22" ht="18" customHeight="1">
      <c r="A128" s="184"/>
      <c r="V128" s="185"/>
    </row>
    <row r="129" spans="1:22" ht="18" customHeight="1">
      <c r="A129" s="184"/>
      <c r="V129" s="185"/>
    </row>
    <row r="130" spans="1:22" ht="18" customHeight="1">
      <c r="A130" s="184"/>
      <c r="V130" s="185"/>
    </row>
    <row r="131" spans="1:22" ht="18" customHeight="1">
      <c r="A131" s="184"/>
      <c r="V131" s="185"/>
    </row>
    <row r="132" spans="1:22" ht="18" customHeight="1">
      <c r="A132" s="184"/>
      <c r="V132" s="185"/>
    </row>
    <row r="133" spans="1:22" ht="18" customHeight="1">
      <c r="A133" s="184"/>
      <c r="V133" s="185"/>
    </row>
    <row r="134" spans="1:22" s="14" customFormat="1" ht="18" customHeight="1">
      <c r="A134" s="194"/>
      <c r="B134" s="195"/>
      <c r="C134" s="195"/>
      <c r="D134" s="195"/>
      <c r="E134" s="195"/>
      <c r="F134" s="195"/>
      <c r="G134" s="195"/>
      <c r="H134" s="195"/>
      <c r="I134" s="195"/>
      <c r="J134" s="195"/>
      <c r="K134" s="195"/>
      <c r="L134" s="195"/>
      <c r="M134" s="195"/>
      <c r="N134" s="195"/>
      <c r="O134" s="195"/>
      <c r="P134" s="195"/>
      <c r="Q134" s="224"/>
      <c r="R134" s="182"/>
      <c r="S134" s="225"/>
      <c r="T134" s="195"/>
      <c r="U134" s="195"/>
      <c r="V134" s="134"/>
    </row>
  </sheetData>
  <mergeCells count="150">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27:I27"/>
    <mergeCell ref="S29:T29"/>
    <mergeCell ref="S30:T30"/>
    <mergeCell ref="S31:T31"/>
    <mergeCell ref="H14:I14"/>
    <mergeCell ref="J18:K18"/>
    <mergeCell ref="J19:K19"/>
    <mergeCell ref="J20:K20"/>
    <mergeCell ref="J21:K21"/>
    <mergeCell ref="P21:Q21"/>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M37:M38"/>
    <mergeCell ref="N37:N38"/>
    <mergeCell ref="O37:O38"/>
    <mergeCell ref="P37:P38"/>
    <mergeCell ref="Q37:S37"/>
    <mergeCell ref="I37:J37"/>
    <mergeCell ref="I38:J38"/>
    <mergeCell ref="K37:K38"/>
    <mergeCell ref="H37:H38"/>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s>
  <conditionalFormatting sqref="H72:H91">
    <cfRule type="cellIs" dxfId="222"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tabColor rgb="FF00B050"/>
  </sheetPr>
  <dimension ref="A1:AO662"/>
  <sheetViews>
    <sheetView showZeros="0" tabSelected="1" view="pageBreakPreview" zoomScale="86" zoomScaleNormal="100" zoomScaleSheetLayoutView="100" workbookViewId="0">
      <selection activeCell="X21" sqref="X21"/>
    </sheetView>
  </sheetViews>
  <sheetFormatPr defaultColWidth="4.33203125" defaultRowHeight="18" customHeight="1"/>
  <cols>
    <col min="4" max="4" width="6.33203125" bestFit="1" customWidth="1"/>
    <col min="5" max="5" width="8.5546875" bestFit="1" customWidth="1"/>
    <col min="7" max="7" width="8.88671875" bestFit="1" customWidth="1"/>
    <col min="8" max="8" width="9" bestFit="1" customWidth="1"/>
    <col min="13" max="13" width="4.44140625" bestFit="1" customWidth="1"/>
    <col min="15" max="15" width="4.21875" customWidth="1"/>
    <col min="16" max="16" width="4.6640625" bestFit="1" customWidth="1"/>
    <col min="17" max="17" width="4" bestFit="1" customWidth="1"/>
    <col min="18" max="20" width="4.4414062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700" t="s">
        <v>1133</v>
      </c>
      <c r="B1" s="700"/>
      <c r="C1" s="700"/>
      <c r="D1" s="700"/>
      <c r="E1" s="700"/>
      <c r="F1" s="700"/>
      <c r="G1" s="700"/>
      <c r="H1" s="700"/>
      <c r="I1" s="700"/>
      <c r="J1" s="700"/>
      <c r="K1" s="700"/>
      <c r="L1" s="700"/>
      <c r="M1" s="700"/>
      <c r="N1" s="700"/>
      <c r="O1" s="700"/>
      <c r="P1" s="700"/>
      <c r="Q1" s="700"/>
      <c r="R1" s="700"/>
      <c r="S1" s="700"/>
      <c r="T1" s="700"/>
      <c r="U1" s="700"/>
      <c r="V1" s="700"/>
      <c r="W1" s="7"/>
      <c r="X1" s="7"/>
    </row>
    <row r="2" spans="1:29" ht="18" customHeight="1">
      <c r="A2" s="700"/>
      <c r="B2" s="700"/>
      <c r="C2" s="700"/>
      <c r="D2" s="700"/>
      <c r="E2" s="700"/>
      <c r="F2" s="700"/>
      <c r="G2" s="700"/>
      <c r="H2" s="700"/>
      <c r="I2" s="700"/>
      <c r="J2" s="700"/>
      <c r="K2" s="700"/>
      <c r="L2" s="700"/>
      <c r="M2" s="700"/>
      <c r="N2" s="700"/>
      <c r="O2" s="700"/>
      <c r="P2" s="700"/>
      <c r="Q2" s="700"/>
      <c r="R2" s="700"/>
      <c r="S2" s="700"/>
      <c r="T2" s="700"/>
      <c r="U2" s="700"/>
      <c r="V2" s="700"/>
      <c r="W2" s="7"/>
      <c r="X2" s="7"/>
    </row>
    <row r="3" spans="1:29" ht="18" customHeight="1">
      <c r="A3" s="700"/>
      <c r="B3" s="700"/>
      <c r="C3" s="700"/>
      <c r="D3" s="700"/>
      <c r="E3" s="700"/>
      <c r="F3" s="700"/>
      <c r="G3" s="700"/>
      <c r="H3" s="700"/>
      <c r="I3" s="700"/>
      <c r="J3" s="700"/>
      <c r="K3" s="700"/>
      <c r="L3" s="700"/>
      <c r="M3" s="700"/>
      <c r="N3" s="700"/>
      <c r="O3" s="700"/>
      <c r="P3" s="700"/>
      <c r="Q3" s="700"/>
      <c r="R3" s="700"/>
      <c r="S3" s="700"/>
      <c r="T3" s="700"/>
      <c r="U3" s="700"/>
      <c r="V3" s="700"/>
      <c r="W3" s="7"/>
      <c r="X3" s="7"/>
    </row>
    <row r="4" spans="1:29" ht="18" customHeight="1">
      <c r="A4" s="700"/>
      <c r="B4" s="700"/>
      <c r="C4" s="700"/>
      <c r="D4" s="700"/>
      <c r="E4" s="700"/>
      <c r="F4" s="700"/>
      <c r="G4" s="700"/>
      <c r="H4" s="700"/>
      <c r="I4" s="700"/>
      <c r="J4" s="700"/>
      <c r="K4" s="700"/>
      <c r="L4" s="700"/>
      <c r="M4" s="700"/>
      <c r="N4" s="700"/>
      <c r="O4" s="700"/>
      <c r="P4" s="700"/>
      <c r="Q4" s="700"/>
      <c r="R4" s="700"/>
      <c r="S4" s="700"/>
      <c r="T4" s="700"/>
      <c r="U4" s="700"/>
      <c r="V4" s="700"/>
      <c r="W4" s="7"/>
      <c r="X4" s="7"/>
    </row>
    <row r="5" spans="1:29" ht="18" customHeight="1">
      <c r="A5" s="700"/>
      <c r="B5" s="700"/>
      <c r="C5" s="700"/>
      <c r="D5" s="700"/>
      <c r="E5" s="700"/>
      <c r="F5" s="700"/>
      <c r="G5" s="700"/>
      <c r="H5" s="700"/>
      <c r="I5" s="700"/>
      <c r="J5" s="700"/>
      <c r="K5" s="700"/>
      <c r="L5" s="700"/>
      <c r="M5" s="700"/>
      <c r="N5" s="700"/>
      <c r="O5" s="700"/>
      <c r="P5" s="700"/>
      <c r="Q5" s="700"/>
      <c r="R5" s="700"/>
      <c r="S5" s="700"/>
      <c r="T5" s="700"/>
      <c r="U5" s="700"/>
      <c r="V5" s="700"/>
      <c r="W5" s="7"/>
      <c r="X5" s="7"/>
    </row>
    <row r="6" spans="1:29" ht="18" customHeight="1">
      <c r="A6" s="116"/>
      <c r="B6" s="117" t="s">
        <v>124</v>
      </c>
      <c r="C6" s="7"/>
      <c r="D6" s="7"/>
      <c r="E6" s="7"/>
      <c r="F6" s="7"/>
      <c r="G6" s="7"/>
      <c r="H6" s="7"/>
      <c r="I6" s="7"/>
      <c r="J6" s="118"/>
      <c r="K6" s="7"/>
      <c r="L6" s="7"/>
      <c r="M6" s="7"/>
      <c r="N6" s="7"/>
      <c r="O6" s="7"/>
      <c r="P6" s="7"/>
      <c r="Q6" s="777" t="s">
        <v>1081</v>
      </c>
      <c r="R6" s="777"/>
      <c r="S6" s="777"/>
      <c r="T6" s="777"/>
      <c r="U6" s="727" t="s">
        <v>1088</v>
      </c>
      <c r="V6" s="767"/>
    </row>
    <row r="7" spans="1:29" ht="18" customHeight="1">
      <c r="A7" s="119"/>
      <c r="B7" s="18" t="s">
        <v>1078</v>
      </c>
      <c r="C7" s="7"/>
      <c r="D7" s="7"/>
      <c r="E7" s="7"/>
      <c r="F7" s="7"/>
      <c r="G7" s="7"/>
      <c r="H7" s="7"/>
      <c r="I7" s="7"/>
      <c r="J7" s="7"/>
      <c r="K7" s="7"/>
      <c r="L7" s="7"/>
      <c r="M7" s="7"/>
      <c r="N7" s="7"/>
      <c r="O7" s="7"/>
      <c r="P7" s="7"/>
      <c r="Q7" s="777"/>
      <c r="R7" s="777"/>
      <c r="S7" s="777"/>
      <c r="T7" s="777"/>
      <c r="U7" s="727"/>
      <c r="V7" s="767"/>
      <c r="W7" s="30" t="s">
        <v>389</v>
      </c>
    </row>
    <row r="8" spans="1:29" ht="18" customHeight="1">
      <c r="A8" s="114"/>
      <c r="B8" s="7"/>
      <c r="C8" s="14" t="s">
        <v>126</v>
      </c>
      <c r="D8" s="7"/>
      <c r="E8" s="7"/>
      <c r="F8" s="7"/>
      <c r="G8" s="7"/>
      <c r="H8" s="7"/>
      <c r="I8" s="7"/>
      <c r="J8" s="7"/>
      <c r="K8" s="7"/>
      <c r="L8" s="7"/>
      <c r="M8" s="7"/>
      <c r="N8" s="7"/>
      <c r="O8" s="7"/>
      <c r="P8" s="7"/>
      <c r="Q8" s="120" t="s">
        <v>8</v>
      </c>
      <c r="R8" s="121" t="s">
        <v>127</v>
      </c>
      <c r="S8" s="778">
        <v>6</v>
      </c>
      <c r="T8" s="779"/>
      <c r="U8" s="47" t="s">
        <v>128</v>
      </c>
      <c r="V8" s="112" t="s">
        <v>129</v>
      </c>
    </row>
    <row r="9" spans="1:29" ht="18" customHeight="1">
      <c r="A9" s="114"/>
      <c r="B9" s="7"/>
      <c r="C9" s="30" t="s">
        <v>1089</v>
      </c>
      <c r="D9" s="7"/>
      <c r="E9" s="7"/>
      <c r="F9" s="7"/>
      <c r="G9" s="7"/>
      <c r="H9" s="7"/>
      <c r="I9" s="7"/>
      <c r="J9" s="7"/>
      <c r="K9" s="7"/>
      <c r="L9" s="7"/>
      <c r="M9" s="7"/>
      <c r="N9" s="7"/>
      <c r="O9" s="7"/>
      <c r="P9" s="7"/>
      <c r="Q9" s="120" t="s">
        <v>131</v>
      </c>
      <c r="R9" s="123" t="s">
        <v>127</v>
      </c>
      <c r="S9" s="780">
        <v>3.69</v>
      </c>
      <c r="T9" s="741"/>
      <c r="U9" s="47" t="s">
        <v>132</v>
      </c>
      <c r="V9" s="112"/>
    </row>
    <row r="10" spans="1:29" ht="18" customHeight="1">
      <c r="A10" s="114"/>
      <c r="B10" s="7"/>
      <c r="C10" s="30" t="s">
        <v>133</v>
      </c>
      <c r="D10" s="7"/>
      <c r="E10" s="7"/>
      <c r="F10" s="7"/>
      <c r="G10" s="124"/>
      <c r="H10" s="124"/>
      <c r="I10" s="115" t="s">
        <v>1082</v>
      </c>
      <c r="J10" s="7"/>
      <c r="K10" s="7"/>
      <c r="M10" s="7"/>
      <c r="N10" s="7"/>
      <c r="O10" s="7"/>
      <c r="P10" s="7"/>
      <c r="Q10" s="120" t="s">
        <v>135</v>
      </c>
      <c r="R10" s="121" t="s">
        <v>127</v>
      </c>
      <c r="S10" s="743">
        <v>3.9300000000000003E-3</v>
      </c>
      <c r="T10" s="743"/>
      <c r="U10" s="47" t="s">
        <v>136</v>
      </c>
      <c r="V10" s="112"/>
    </row>
    <row r="11" spans="1:29" ht="18" customHeight="1">
      <c r="A11" s="114"/>
      <c r="B11" s="7"/>
      <c r="C11" s="14" t="s">
        <v>143</v>
      </c>
      <c r="D11" s="7"/>
      <c r="E11" s="7"/>
      <c r="F11" s="7"/>
      <c r="G11" s="7"/>
      <c r="H11" s="7"/>
      <c r="I11" s="7"/>
      <c r="J11" s="7"/>
      <c r="K11" s="7"/>
      <c r="L11" s="7"/>
      <c r="M11" s="7"/>
      <c r="N11" s="7"/>
      <c r="O11" s="7"/>
      <c r="P11" s="7"/>
      <c r="Q11" s="120" t="s">
        <v>144</v>
      </c>
      <c r="R11" s="121" t="s">
        <v>127</v>
      </c>
      <c r="S11" s="743">
        <v>1</v>
      </c>
      <c r="T11" s="739"/>
      <c r="U11" s="47" t="s">
        <v>8</v>
      </c>
      <c r="V11" s="112"/>
    </row>
    <row r="12" spans="1:29" ht="18" customHeight="1">
      <c r="A12" s="114"/>
      <c r="B12" s="7"/>
      <c r="C12" s="14" t="s">
        <v>145</v>
      </c>
      <c r="D12" s="7"/>
      <c r="E12" s="7"/>
      <c r="F12" s="7"/>
      <c r="G12" s="7"/>
      <c r="H12" s="7"/>
      <c r="I12" s="7"/>
      <c r="J12" s="7"/>
      <c r="K12" s="7"/>
      <c r="L12" s="7"/>
      <c r="M12" s="7"/>
      <c r="N12" s="7"/>
      <c r="O12" s="7"/>
      <c r="P12" s="7"/>
      <c r="Q12" s="120" t="s">
        <v>146</v>
      </c>
      <c r="R12" s="121" t="s">
        <v>127</v>
      </c>
      <c r="S12" s="743">
        <v>1</v>
      </c>
      <c r="T12" s="739"/>
      <c r="U12" s="47" t="s">
        <v>8</v>
      </c>
      <c r="V12" s="112"/>
    </row>
    <row r="13" spans="1:29" ht="18" customHeight="1">
      <c r="A13" s="114"/>
      <c r="B13" s="7"/>
      <c r="C13" s="14" t="s">
        <v>147</v>
      </c>
      <c r="D13" s="7"/>
      <c r="E13" s="7"/>
      <c r="F13" s="7"/>
      <c r="G13" s="7"/>
      <c r="H13" s="7"/>
      <c r="I13" s="7"/>
      <c r="J13" s="126"/>
      <c r="K13" s="126"/>
      <c r="L13" s="7"/>
      <c r="M13" s="7"/>
      <c r="N13" s="7"/>
      <c r="O13" s="7"/>
      <c r="P13" s="7"/>
      <c r="Q13" s="244" t="s">
        <v>1090</v>
      </c>
      <c r="R13" s="121" t="s">
        <v>127</v>
      </c>
      <c r="S13" s="743">
        <v>120</v>
      </c>
      <c r="T13" s="739"/>
      <c r="U13" s="47" t="s">
        <v>149</v>
      </c>
      <c r="V13" s="112" t="s">
        <v>129</v>
      </c>
      <c r="W13" s="30" t="s">
        <v>400</v>
      </c>
      <c r="AA13" s="30"/>
      <c r="AB13" s="785">
        <f>Q318</f>
        <v>1508.5411565603663</v>
      </c>
      <c r="AC13" s="786"/>
    </row>
    <row r="14" spans="1:29" ht="18" customHeight="1">
      <c r="A14" s="114"/>
      <c r="B14" s="7"/>
      <c r="C14" s="30" t="s">
        <v>1084</v>
      </c>
      <c r="D14" s="7"/>
      <c r="E14" s="7"/>
      <c r="F14" s="7"/>
      <c r="G14" s="7"/>
      <c r="H14" s="7"/>
      <c r="I14" s="115" t="s">
        <v>1086</v>
      </c>
      <c r="J14" s="115"/>
      <c r="K14" s="115"/>
      <c r="L14" s="115"/>
      <c r="M14" s="115"/>
      <c r="N14" s="115"/>
      <c r="O14" s="7"/>
      <c r="P14" s="7"/>
      <c r="Q14" s="244" t="s">
        <v>1085</v>
      </c>
      <c r="R14" s="425" t="s">
        <v>127</v>
      </c>
      <c r="S14" s="781">
        <v>75</v>
      </c>
      <c r="T14" s="782"/>
      <c r="U14" s="47"/>
      <c r="V14" s="112"/>
    </row>
    <row r="15" spans="1:29" ht="18" customHeight="1">
      <c r="A15" s="114"/>
      <c r="B15" s="673" t="s">
        <v>1079</v>
      </c>
      <c r="C15" s="117"/>
      <c r="D15" s="673"/>
      <c r="E15" s="673"/>
      <c r="F15" s="673"/>
      <c r="G15" s="673"/>
      <c r="H15" s="673"/>
      <c r="I15" s="7"/>
      <c r="J15" s="126"/>
      <c r="K15" s="126"/>
      <c r="L15" s="7"/>
      <c r="M15" s="7"/>
      <c r="N15" s="7"/>
      <c r="O15" s="7"/>
      <c r="P15" s="7"/>
      <c r="Q15" s="120"/>
      <c r="R15" s="121"/>
      <c r="S15" s="125"/>
      <c r="T15" s="646"/>
      <c r="U15" s="47"/>
      <c r="V15" s="112"/>
    </row>
    <row r="16" spans="1:29" ht="18" customHeight="1">
      <c r="A16" s="119"/>
      <c r="B16" s="18" t="s">
        <v>137</v>
      </c>
      <c r="C16" s="7"/>
      <c r="D16" s="7"/>
      <c r="E16" s="7"/>
      <c r="F16" s="7"/>
      <c r="G16" s="7"/>
      <c r="H16" s="18" t="s">
        <v>1087</v>
      </c>
      <c r="I16" s="7"/>
      <c r="J16" s="7"/>
      <c r="K16" s="7"/>
      <c r="L16" s="7"/>
      <c r="M16" s="7"/>
      <c r="N16" s="7"/>
      <c r="O16" s="7"/>
      <c r="P16" s="7"/>
      <c r="Q16" s="120"/>
      <c r="R16" s="121"/>
      <c r="S16" s="28"/>
      <c r="T16" s="28"/>
      <c r="U16" s="47"/>
      <c r="V16" s="112"/>
    </row>
    <row r="17" spans="1:22" ht="18" customHeight="1">
      <c r="A17" s="114"/>
      <c r="B17" t="s">
        <v>1083</v>
      </c>
      <c r="C17" s="14"/>
      <c r="D17" s="7"/>
      <c r="E17" s="7"/>
      <c r="F17" s="7"/>
      <c r="G17" s="7"/>
      <c r="H17" s="7"/>
      <c r="I17" s="7"/>
      <c r="J17" s="674"/>
      <c r="K17" s="674"/>
      <c r="L17" s="674"/>
      <c r="M17" s="674"/>
      <c r="N17" s="674"/>
      <c r="O17" s="674"/>
      <c r="P17" s="674"/>
      <c r="Q17" s="674"/>
      <c r="R17" s="674"/>
      <c r="S17" s="674"/>
      <c r="T17" s="674"/>
      <c r="U17" s="674"/>
      <c r="V17" s="657"/>
    </row>
    <row r="18" spans="1:22" ht="18" customHeight="1">
      <c r="A18" s="114"/>
      <c r="B18" s="7"/>
      <c r="C18" s="14" t="s">
        <v>140</v>
      </c>
      <c r="D18" s="7"/>
      <c r="E18" s="7"/>
      <c r="F18" s="7"/>
      <c r="G18" s="7"/>
      <c r="H18" s="7"/>
      <c r="I18" s="7"/>
      <c r="J18" s="7"/>
      <c r="K18" s="7"/>
      <c r="L18" s="7"/>
      <c r="M18" s="7"/>
      <c r="N18" s="7"/>
      <c r="O18" s="7"/>
      <c r="P18" s="7"/>
      <c r="Q18" s="244" t="s">
        <v>1080</v>
      </c>
      <c r="R18" s="121" t="s">
        <v>127</v>
      </c>
      <c r="S18" s="775">
        <f>S9*(1+S10*(75-20))/1000</f>
        <v>4.4875935000000004E-3</v>
      </c>
      <c r="T18" s="776"/>
      <c r="U18" s="47" t="s">
        <v>142</v>
      </c>
      <c r="V18" s="112"/>
    </row>
    <row r="19" spans="1:22" ht="18" customHeight="1">
      <c r="A19" s="114"/>
      <c r="B19" s="7"/>
      <c r="C19" s="30" t="s">
        <v>1093</v>
      </c>
      <c r="D19" s="7"/>
      <c r="E19" s="7"/>
      <c r="F19" s="7"/>
      <c r="G19" s="7"/>
      <c r="H19" s="7"/>
      <c r="I19" s="7"/>
      <c r="J19" s="7"/>
      <c r="K19" s="7"/>
      <c r="L19" s="7"/>
      <c r="M19" s="7"/>
      <c r="N19" s="7"/>
      <c r="O19" t="s">
        <v>1095</v>
      </c>
      <c r="P19" s="7"/>
      <c r="Q19" s="244" t="s">
        <v>1097</v>
      </c>
      <c r="R19" s="121" t="s">
        <v>127</v>
      </c>
      <c r="S19" s="766">
        <v>1.08</v>
      </c>
      <c r="T19" s="766"/>
      <c r="U19" s="47" t="s">
        <v>152</v>
      </c>
      <c r="V19" s="112"/>
    </row>
    <row r="20" spans="1:22" ht="18" customHeight="1">
      <c r="A20" s="114"/>
      <c r="B20" s="7"/>
      <c r="C20" s="30" t="s">
        <v>155</v>
      </c>
      <c r="D20" s="7"/>
      <c r="E20" s="7"/>
      <c r="F20" s="7"/>
      <c r="G20" s="7"/>
      <c r="H20" s="7"/>
      <c r="I20" s="7"/>
      <c r="J20" s="7"/>
      <c r="K20" s="7"/>
      <c r="L20" s="7"/>
      <c r="M20" s="7"/>
      <c r="N20" s="7"/>
      <c r="O20" s="7" t="s">
        <v>1091</v>
      </c>
      <c r="P20" s="7"/>
      <c r="Q20" s="244" t="s">
        <v>1096</v>
      </c>
      <c r="R20" s="121" t="s">
        <v>127</v>
      </c>
      <c r="S20" s="766">
        <f>S11*S11*S19</f>
        <v>1.08</v>
      </c>
      <c r="T20" s="766"/>
      <c r="U20" s="47" t="s">
        <v>157</v>
      </c>
      <c r="V20" s="112"/>
    </row>
    <row r="21" spans="1:22" ht="18" customHeight="1">
      <c r="A21" s="114"/>
      <c r="B21" s="7"/>
      <c r="C21" s="14"/>
      <c r="D21" s="7"/>
      <c r="E21" s="7"/>
      <c r="F21" s="7"/>
      <c r="G21" s="7"/>
      <c r="H21" s="7"/>
      <c r="I21" s="7"/>
      <c r="J21" s="7"/>
      <c r="K21" s="7"/>
      <c r="L21" s="7"/>
      <c r="M21" s="7"/>
      <c r="N21" s="7"/>
      <c r="O21" s="7"/>
      <c r="P21" s="7"/>
      <c r="Q21" s="120"/>
      <c r="R21" s="121"/>
      <c r="S21" s="218"/>
      <c r="T21" s="218"/>
      <c r="U21" s="47"/>
      <c r="V21" s="112"/>
    </row>
    <row r="22" spans="1:22" ht="18" customHeight="1">
      <c r="A22" s="96"/>
      <c r="B22" s="7"/>
      <c r="C22" s="14"/>
      <c r="D22" s="7"/>
      <c r="E22" s="7"/>
      <c r="F22" s="7"/>
      <c r="G22" s="7"/>
      <c r="H22" s="7"/>
      <c r="I22" s="7"/>
      <c r="J22" s="7"/>
      <c r="K22" s="7"/>
      <c r="L22" s="7"/>
      <c r="M22" s="7"/>
      <c r="N22" s="7"/>
      <c r="O22" s="7"/>
      <c r="P22" s="7"/>
      <c r="Q22" s="777" t="s">
        <v>1081</v>
      </c>
      <c r="R22" s="777"/>
      <c r="S22" s="777"/>
      <c r="T22" s="777"/>
      <c r="U22" s="727" t="s">
        <v>1088</v>
      </c>
      <c r="V22" s="767"/>
    </row>
    <row r="23" spans="1:22" ht="18" customHeight="1">
      <c r="A23" s="116"/>
      <c r="B23" s="117" t="s">
        <v>158</v>
      </c>
      <c r="C23" s="7"/>
      <c r="D23" s="7"/>
      <c r="E23" s="7"/>
      <c r="F23" s="7"/>
      <c r="G23" s="7"/>
      <c r="H23" s="7"/>
      <c r="I23" s="7"/>
      <c r="J23" s="7"/>
      <c r="K23" s="7"/>
      <c r="L23" s="7"/>
      <c r="M23" s="124"/>
      <c r="N23" s="121"/>
      <c r="O23" s="7"/>
      <c r="P23" s="7"/>
      <c r="Q23" s="777"/>
      <c r="R23" s="777"/>
      <c r="S23" s="777"/>
      <c r="T23" s="777"/>
      <c r="U23" s="727"/>
      <c r="V23" s="767"/>
    </row>
    <row r="24" spans="1:22" ht="18" customHeight="1">
      <c r="A24" s="116"/>
      <c r="B24" s="117" t="s">
        <v>1102</v>
      </c>
      <c r="C24" s="7"/>
      <c r="D24" s="7"/>
      <c r="E24" s="7"/>
      <c r="F24" s="7"/>
      <c r="G24" s="7"/>
      <c r="H24" s="7"/>
      <c r="I24" s="7"/>
      <c r="J24" s="7"/>
      <c r="K24" s="7"/>
      <c r="L24" s="7"/>
      <c r="M24" s="124"/>
      <c r="N24" s="121"/>
      <c r="O24" s="7"/>
      <c r="P24" s="7"/>
      <c r="Q24" s="672"/>
      <c r="R24" s="672"/>
      <c r="S24" s="672"/>
      <c r="T24" s="672"/>
      <c r="U24" s="480"/>
      <c r="V24" s="650"/>
    </row>
    <row r="25" spans="1:22" ht="18" customHeight="1">
      <c r="A25" s="119"/>
      <c r="B25" s="18" t="s">
        <v>125</v>
      </c>
      <c r="C25" s="14"/>
      <c r="D25" s="14"/>
      <c r="E25" s="14"/>
      <c r="F25" s="14"/>
      <c r="G25" s="14"/>
      <c r="H25" s="14"/>
      <c r="I25" s="14"/>
      <c r="J25" s="14"/>
      <c r="K25" s="14"/>
      <c r="L25" s="14"/>
      <c r="M25" s="14"/>
      <c r="N25" s="14"/>
      <c r="O25" s="14"/>
      <c r="P25" s="14"/>
      <c r="Q25" s="14"/>
      <c r="R25" s="14"/>
      <c r="S25" s="14"/>
      <c r="T25" s="14"/>
      <c r="U25" s="14"/>
      <c r="V25" s="112"/>
    </row>
    <row r="26" spans="1:22" ht="18" customHeight="1">
      <c r="A26" s="114"/>
      <c r="B26" s="7"/>
      <c r="C26" s="14" t="s">
        <v>126</v>
      </c>
      <c r="D26" s="14"/>
      <c r="E26" s="14"/>
      <c r="F26" s="14"/>
      <c r="G26" s="14"/>
      <c r="H26" s="14"/>
      <c r="I26" s="14"/>
      <c r="J26" s="14"/>
      <c r="K26" s="14"/>
      <c r="L26" s="14"/>
      <c r="M26" s="7"/>
      <c r="N26" s="14"/>
      <c r="O26" s="14"/>
      <c r="P26" s="14"/>
      <c r="Q26" s="120" t="s">
        <v>8</v>
      </c>
      <c r="R26" s="28" t="s">
        <v>127</v>
      </c>
      <c r="S26" s="778">
        <v>2.5</v>
      </c>
      <c r="T26" s="779"/>
      <c r="U26" s="47" t="s">
        <v>128</v>
      </c>
      <c r="V26" s="112" t="s">
        <v>129</v>
      </c>
    </row>
    <row r="27" spans="1:22" ht="18" customHeight="1">
      <c r="A27" s="114"/>
      <c r="B27" s="7"/>
      <c r="C27" s="14" t="s">
        <v>130</v>
      </c>
      <c r="D27" s="14"/>
      <c r="E27" s="14"/>
      <c r="F27" s="14"/>
      <c r="G27" s="14"/>
      <c r="H27" s="14"/>
      <c r="I27" s="14"/>
      <c r="J27" s="14"/>
      <c r="K27" s="14"/>
      <c r="L27" s="14"/>
      <c r="M27" s="14"/>
      <c r="N27" s="14"/>
      <c r="O27" s="14"/>
      <c r="P27" s="14"/>
      <c r="Q27" s="120" t="s">
        <v>131</v>
      </c>
      <c r="R27" s="102" t="s">
        <v>127</v>
      </c>
      <c r="S27" s="780">
        <v>8.8699999999999992</v>
      </c>
      <c r="T27" s="741"/>
      <c r="U27" s="47" t="s">
        <v>132</v>
      </c>
      <c r="V27" s="112"/>
    </row>
    <row r="28" spans="1:22" ht="18" customHeight="1">
      <c r="A28" s="114"/>
      <c r="B28" s="7"/>
      <c r="C28" s="14" t="s">
        <v>133</v>
      </c>
      <c r="D28" s="14"/>
      <c r="E28" s="14"/>
      <c r="F28" s="14"/>
      <c r="G28" s="120"/>
      <c r="H28" s="120"/>
      <c r="I28" s="14" t="s">
        <v>134</v>
      </c>
      <c r="J28" s="14"/>
      <c r="K28" s="14"/>
      <c r="L28" s="14"/>
      <c r="M28" s="14"/>
      <c r="N28" s="14"/>
      <c r="O28" s="14"/>
      <c r="P28" s="14"/>
      <c r="Q28" s="120" t="s">
        <v>135</v>
      </c>
      <c r="R28" s="28" t="s">
        <v>127</v>
      </c>
      <c r="S28" s="743">
        <v>3.9300000000000003E-3</v>
      </c>
      <c r="T28" s="743"/>
      <c r="U28" s="47" t="s">
        <v>136</v>
      </c>
      <c r="V28" s="112"/>
    </row>
    <row r="29" spans="1:22" ht="18" customHeight="1">
      <c r="A29" s="114"/>
      <c r="B29" s="7"/>
      <c r="C29" s="14" t="s">
        <v>161</v>
      </c>
      <c r="D29" s="14"/>
      <c r="E29" s="14"/>
      <c r="F29" s="14"/>
      <c r="G29" s="14"/>
      <c r="H29" s="14"/>
      <c r="I29" s="14"/>
      <c r="J29" s="14"/>
      <c r="K29" s="14"/>
      <c r="L29" s="14"/>
      <c r="M29" s="14"/>
      <c r="N29" s="14"/>
      <c r="O29" s="14"/>
      <c r="P29" s="14"/>
      <c r="Q29" s="120" t="s">
        <v>162</v>
      </c>
      <c r="R29" s="28" t="s">
        <v>127</v>
      </c>
      <c r="S29" s="743" t="s">
        <v>951</v>
      </c>
      <c r="T29" s="739"/>
      <c r="U29" s="47" t="s">
        <v>163</v>
      </c>
      <c r="V29" s="112"/>
    </row>
    <row r="30" spans="1:22" ht="18" customHeight="1">
      <c r="A30" s="114"/>
      <c r="B30" s="7"/>
      <c r="C30" s="14" t="s">
        <v>164</v>
      </c>
      <c r="D30" s="14"/>
      <c r="E30" s="14"/>
      <c r="F30" s="14"/>
      <c r="G30" s="14"/>
      <c r="H30" s="14"/>
      <c r="I30" s="14"/>
      <c r="J30" s="14"/>
      <c r="K30" s="14"/>
      <c r="L30" s="14"/>
      <c r="M30" s="14"/>
      <c r="N30" s="14"/>
      <c r="O30" s="14"/>
      <c r="P30" s="14"/>
      <c r="Q30" s="120" t="s">
        <v>165</v>
      </c>
      <c r="R30" s="28" t="s">
        <v>127</v>
      </c>
      <c r="S30" s="743" t="s">
        <v>166</v>
      </c>
      <c r="T30" s="739"/>
      <c r="U30" s="47" t="s">
        <v>163</v>
      </c>
      <c r="V30" s="112"/>
    </row>
    <row r="31" spans="1:22" ht="18" customHeight="1">
      <c r="A31" s="114"/>
      <c r="B31" s="7"/>
      <c r="C31" s="30" t="s">
        <v>1094</v>
      </c>
      <c r="D31" s="14"/>
      <c r="E31" s="14"/>
      <c r="F31" s="14"/>
      <c r="G31" s="14"/>
      <c r="H31" s="14"/>
      <c r="I31" s="14"/>
      <c r="J31" s="14"/>
      <c r="K31" s="575"/>
      <c r="L31" s="575"/>
      <c r="M31" s="14"/>
      <c r="N31" s="14"/>
      <c r="O31" s="14"/>
      <c r="P31" s="14"/>
      <c r="Q31" s="120" t="s">
        <v>148</v>
      </c>
      <c r="R31" s="28" t="s">
        <v>127</v>
      </c>
      <c r="S31" s="743">
        <v>120</v>
      </c>
      <c r="T31" s="739"/>
      <c r="U31" s="47" t="s">
        <v>149</v>
      </c>
      <c r="V31" s="112" t="s">
        <v>129</v>
      </c>
    </row>
    <row r="32" spans="1:22" ht="18" customHeight="1">
      <c r="A32" s="114"/>
      <c r="B32" s="673" t="s">
        <v>1079</v>
      </c>
      <c r="C32" s="117"/>
      <c r="D32" s="673"/>
      <c r="E32" s="673"/>
      <c r="F32" s="673"/>
      <c r="G32" s="673"/>
      <c r="H32" s="673"/>
      <c r="I32" s="7"/>
      <c r="J32" s="126"/>
      <c r="K32" s="126"/>
      <c r="L32" s="7"/>
      <c r="M32" s="7"/>
      <c r="N32" s="7"/>
      <c r="O32" s="7"/>
      <c r="P32" s="7"/>
      <c r="Q32" s="120"/>
      <c r="R32" s="121"/>
      <c r="S32" s="125"/>
      <c r="T32" s="646"/>
      <c r="U32" s="47"/>
      <c r="V32" s="112"/>
    </row>
    <row r="33" spans="1:22" ht="18" customHeight="1">
      <c r="A33" s="119"/>
      <c r="B33" s="18" t="s">
        <v>1107</v>
      </c>
      <c r="C33" s="14"/>
      <c r="D33" s="14"/>
      <c r="E33" s="14"/>
      <c r="F33" s="14"/>
      <c r="G33" s="14"/>
      <c r="H33" s="7"/>
      <c r="I33" s="18" t="s">
        <v>1092</v>
      </c>
      <c r="J33" s="14"/>
      <c r="K33" s="14"/>
      <c r="L33" s="14"/>
      <c r="M33" s="14"/>
      <c r="N33" s="14"/>
      <c r="O33" s="14"/>
      <c r="P33" s="14"/>
      <c r="Q33" s="120"/>
      <c r="R33" s="28"/>
      <c r="S33" s="28"/>
      <c r="T33" s="28"/>
      <c r="U33" s="47"/>
      <c r="V33" s="112"/>
    </row>
    <row r="34" spans="1:22" ht="18" customHeight="1">
      <c r="A34" s="114"/>
      <c r="B34" s="7"/>
      <c r="C34" s="14" t="s">
        <v>159</v>
      </c>
      <c r="D34" s="14"/>
      <c r="E34" s="14"/>
      <c r="F34" s="14"/>
      <c r="G34" s="14"/>
      <c r="H34" s="14"/>
      <c r="I34" s="14"/>
      <c r="J34" s="14"/>
      <c r="K34" s="14"/>
      <c r="L34" s="14"/>
      <c r="M34" s="14"/>
      <c r="N34" s="14"/>
      <c r="O34" s="14"/>
      <c r="P34" s="14"/>
      <c r="Q34" s="120"/>
      <c r="R34" s="28" t="s">
        <v>127</v>
      </c>
      <c r="S34" s="765">
        <f>S27*(1+S28*(75-20))</f>
        <v>10.787250499999999</v>
      </c>
      <c r="T34" s="765"/>
      <c r="U34" s="47" t="s">
        <v>132</v>
      </c>
      <c r="V34" s="112"/>
    </row>
    <row r="35" spans="1:22" ht="18" customHeight="1">
      <c r="A35" s="114"/>
      <c r="B35" s="7"/>
      <c r="C35" s="14" t="s">
        <v>160</v>
      </c>
      <c r="D35" s="14"/>
      <c r="E35" s="14"/>
      <c r="F35" s="14"/>
      <c r="G35" s="14"/>
      <c r="H35" s="14"/>
      <c r="I35" s="14"/>
      <c r="J35" s="14"/>
      <c r="K35" s="14"/>
      <c r="L35" s="14"/>
      <c r="M35" s="14"/>
      <c r="N35" s="14"/>
      <c r="O35" s="14"/>
      <c r="P35" s="14"/>
      <c r="Q35" s="244" t="s">
        <v>1080</v>
      </c>
      <c r="R35" s="28" t="s">
        <v>127</v>
      </c>
      <c r="S35" s="765">
        <f>S34/1000</f>
        <v>1.07872505E-2</v>
      </c>
      <c r="T35" s="765"/>
      <c r="U35" s="47" t="s">
        <v>142</v>
      </c>
      <c r="V35" s="112"/>
    </row>
    <row r="36" spans="1:22" ht="18" customHeight="1">
      <c r="A36" s="114"/>
      <c r="B36" s="7"/>
      <c r="C36" s="30" t="s">
        <v>169</v>
      </c>
      <c r="D36" s="14"/>
      <c r="E36" s="14"/>
      <c r="F36" s="14"/>
      <c r="G36" s="14"/>
      <c r="H36" s="14"/>
      <c r="I36" s="14"/>
      <c r="J36" s="14"/>
      <c r="K36" s="14"/>
      <c r="L36" s="14"/>
      <c r="M36" s="14"/>
      <c r="N36" s="14"/>
      <c r="O36" s="30" t="s">
        <v>1095</v>
      </c>
      <c r="P36" s="14"/>
      <c r="Q36" s="120" t="s">
        <v>154</v>
      </c>
      <c r="R36" s="28" t="s">
        <v>127</v>
      </c>
      <c r="S36" s="766">
        <f>2*S35*S31</f>
        <v>2.5889401199999997</v>
      </c>
      <c r="T36" s="766"/>
      <c r="U36" s="47" t="s">
        <v>152</v>
      </c>
      <c r="V36" s="112"/>
    </row>
    <row r="37" spans="1:22" ht="18" customHeight="1">
      <c r="A37" s="114"/>
      <c r="B37" s="7"/>
      <c r="C37" s="14"/>
      <c r="D37" s="14"/>
      <c r="E37" s="14"/>
      <c r="F37" s="14"/>
      <c r="G37" s="14"/>
      <c r="H37" s="14"/>
      <c r="I37" s="14"/>
      <c r="J37" s="14"/>
      <c r="K37" s="14"/>
      <c r="L37" s="14"/>
      <c r="M37" s="14"/>
      <c r="N37" s="14"/>
      <c r="O37" s="14"/>
      <c r="P37" s="14"/>
      <c r="Q37" s="120"/>
      <c r="R37" s="28"/>
      <c r="S37" s="218"/>
      <c r="T37" s="218"/>
      <c r="U37" s="47"/>
      <c r="V37" s="112"/>
    </row>
    <row r="38" spans="1:22" ht="18" customHeight="1">
      <c r="A38" s="698" t="s">
        <v>1134</v>
      </c>
      <c r="B38" s="727"/>
      <c r="C38" s="727"/>
      <c r="D38" s="727"/>
      <c r="E38" s="727"/>
      <c r="F38" s="727"/>
      <c r="G38" s="727"/>
      <c r="H38" s="727"/>
      <c r="I38" s="727"/>
      <c r="J38" s="727"/>
      <c r="K38" s="727"/>
      <c r="L38" s="727"/>
      <c r="M38" s="727"/>
      <c r="N38" s="727"/>
      <c r="O38" s="727"/>
      <c r="P38" s="727"/>
      <c r="Q38" s="727"/>
      <c r="R38" s="727"/>
      <c r="S38" s="727"/>
      <c r="T38" s="727"/>
      <c r="U38" s="727"/>
      <c r="V38" s="767"/>
    </row>
    <row r="39" spans="1:22" ht="18" customHeight="1">
      <c r="A39" s="768"/>
      <c r="B39" s="769"/>
      <c r="C39" s="769"/>
      <c r="D39" s="769"/>
      <c r="E39" s="769"/>
      <c r="F39" s="769"/>
      <c r="G39" s="769"/>
      <c r="H39" s="769"/>
      <c r="I39" s="769"/>
      <c r="J39" s="769"/>
      <c r="K39" s="769"/>
      <c r="L39" s="769"/>
      <c r="M39" s="769"/>
      <c r="N39" s="769"/>
      <c r="O39" s="769"/>
      <c r="P39" s="769"/>
      <c r="Q39" s="769"/>
      <c r="R39" s="769"/>
      <c r="S39" s="769"/>
      <c r="T39" s="769"/>
      <c r="U39" s="769"/>
      <c r="V39" s="770"/>
    </row>
    <row r="40" spans="1:22" ht="18" customHeight="1">
      <c r="A40" s="644"/>
      <c r="B40" s="190"/>
      <c r="C40" s="190"/>
      <c r="D40" s="190"/>
      <c r="E40" s="190"/>
      <c r="F40" s="190"/>
      <c r="G40" s="190"/>
      <c r="H40" s="190"/>
      <c r="I40" s="190"/>
      <c r="J40" s="190"/>
      <c r="K40" s="190"/>
      <c r="L40" s="190"/>
      <c r="M40" s="190"/>
      <c r="N40" s="190"/>
      <c r="O40" s="190"/>
      <c r="P40" s="190"/>
      <c r="Q40" s="190"/>
      <c r="R40" s="190"/>
      <c r="S40" s="190"/>
      <c r="T40" s="190"/>
      <c r="U40" s="190"/>
      <c r="V40" s="645"/>
    </row>
    <row r="41" spans="1:22" ht="18" customHeight="1">
      <c r="A41" s="194"/>
      <c r="B41" s="20"/>
      <c r="C41" s="20"/>
      <c r="D41" s="20"/>
      <c r="E41" s="20"/>
      <c r="F41" s="20"/>
      <c r="G41" s="20"/>
      <c r="H41" s="20"/>
      <c r="I41" s="20"/>
      <c r="J41" s="195"/>
      <c r="K41" s="20"/>
      <c r="L41" s="20"/>
      <c r="M41" s="21"/>
      <c r="N41" s="22"/>
      <c r="O41" s="20"/>
      <c r="P41" s="20"/>
      <c r="Q41" s="576"/>
      <c r="R41" s="20"/>
      <c r="S41" s="182"/>
      <c r="T41" s="182"/>
      <c r="U41" s="2"/>
      <c r="V41" s="570"/>
    </row>
    <row r="42" spans="1:22" ht="18" customHeight="1">
      <c r="A42" s="96"/>
      <c r="B42" s="7"/>
      <c r="C42" s="7"/>
      <c r="D42" s="7"/>
      <c r="E42" s="7"/>
      <c r="F42" s="7"/>
      <c r="G42" s="7"/>
      <c r="H42" s="7"/>
      <c r="I42" s="7"/>
      <c r="J42" s="14"/>
      <c r="K42" s="7"/>
      <c r="L42" s="7"/>
      <c r="M42" s="124"/>
      <c r="N42" s="121"/>
      <c r="O42" s="7"/>
      <c r="P42" s="7"/>
      <c r="Q42" s="665"/>
      <c r="R42" s="450"/>
      <c r="S42" s="229"/>
      <c r="T42" s="229"/>
      <c r="U42" s="47"/>
      <c r="V42" s="112"/>
    </row>
    <row r="43" spans="1:22" ht="18" customHeight="1">
      <c r="A43" s="116"/>
      <c r="B43" s="117" t="s">
        <v>1098</v>
      </c>
      <c r="C43" s="7"/>
      <c r="D43" s="7"/>
      <c r="E43" s="7"/>
      <c r="F43" s="7"/>
      <c r="G43" s="7"/>
      <c r="H43" s="7"/>
      <c r="I43" s="7"/>
      <c r="J43" s="7"/>
      <c r="K43" s="7"/>
      <c r="L43" s="7"/>
      <c r="M43" s="7"/>
      <c r="N43" s="121"/>
      <c r="O43" s="7"/>
      <c r="P43" s="7"/>
      <c r="Q43" s="771" t="s">
        <v>172</v>
      </c>
      <c r="R43" s="771"/>
      <c r="S43" s="772" t="s">
        <v>173</v>
      </c>
      <c r="T43" s="772"/>
      <c r="U43" s="47"/>
      <c r="V43" s="112"/>
    </row>
    <row r="44" spans="1:22" ht="18" customHeight="1">
      <c r="A44" s="773" t="s">
        <v>1073</v>
      </c>
      <c r="B44" s="774"/>
      <c r="C44" s="774"/>
      <c r="D44" s="774"/>
      <c r="E44" s="774"/>
      <c r="F44" s="774"/>
      <c r="G44" s="774"/>
      <c r="H44" s="774"/>
      <c r="I44" s="774"/>
      <c r="J44" s="774"/>
      <c r="K44" s="774"/>
      <c r="L44" s="774"/>
      <c r="M44" s="142"/>
      <c r="N44" s="579"/>
      <c r="O44" s="580" t="s">
        <v>176</v>
      </c>
      <c r="P44" s="142"/>
      <c r="Q44" s="750">
        <v>0.02</v>
      </c>
      <c r="R44" s="750"/>
      <c r="S44" s="751">
        <v>0.02</v>
      </c>
      <c r="T44" s="751"/>
      <c r="U44" s="581" t="s">
        <v>157</v>
      </c>
      <c r="V44" s="143"/>
    </row>
    <row r="45" spans="1:22" ht="18" customHeight="1">
      <c r="A45" s="773"/>
      <c r="B45" s="774"/>
      <c r="C45" s="774"/>
      <c r="D45" s="774"/>
      <c r="E45" s="774"/>
      <c r="F45" s="774"/>
      <c r="G45" s="774"/>
      <c r="H45" s="774"/>
      <c r="I45" s="774"/>
      <c r="J45" s="774"/>
      <c r="K45" s="774"/>
      <c r="L45" s="774"/>
      <c r="M45" s="142"/>
      <c r="N45" s="579"/>
      <c r="O45" s="580"/>
      <c r="P45" s="142"/>
      <c r="Q45" s="662"/>
      <c r="R45" s="662"/>
      <c r="S45" s="663"/>
      <c r="T45" s="663"/>
      <c r="U45" s="581"/>
      <c r="V45" s="143"/>
    </row>
    <row r="46" spans="1:22" ht="18" customHeight="1">
      <c r="A46" s="748" t="s">
        <v>202</v>
      </c>
      <c r="B46" s="749"/>
      <c r="C46" s="749"/>
      <c r="D46" s="749"/>
      <c r="E46" s="749"/>
      <c r="F46" s="749"/>
      <c r="G46" s="749"/>
      <c r="H46" s="749"/>
      <c r="I46" s="749"/>
      <c r="J46" s="749"/>
      <c r="K46" s="749"/>
      <c r="L46" s="749"/>
      <c r="M46" s="142" t="s">
        <v>1099</v>
      </c>
      <c r="N46" s="579"/>
      <c r="O46" s="580"/>
      <c r="P46" s="142"/>
      <c r="Q46" s="750">
        <v>0.01</v>
      </c>
      <c r="R46" s="750"/>
      <c r="S46" s="751">
        <v>0.01</v>
      </c>
      <c r="T46" s="751"/>
      <c r="U46" s="581"/>
      <c r="V46" s="143"/>
    </row>
    <row r="47" spans="1:22" ht="18" customHeight="1">
      <c r="A47" s="752" t="s">
        <v>1074</v>
      </c>
      <c r="B47" s="753"/>
      <c r="C47" s="753"/>
      <c r="D47" s="753"/>
      <c r="E47" s="753"/>
      <c r="F47" s="753"/>
      <c r="G47" s="753"/>
      <c r="H47" s="753"/>
      <c r="I47" s="753"/>
      <c r="J47" s="753"/>
      <c r="K47" s="753"/>
      <c r="L47" s="753"/>
      <c r="M47" s="753"/>
      <c r="N47" s="753"/>
      <c r="O47" s="753"/>
      <c r="P47" s="753"/>
      <c r="Q47" s="753"/>
      <c r="R47" s="753"/>
      <c r="S47" s="753"/>
      <c r="T47" s="753"/>
      <c r="U47" s="753"/>
      <c r="V47" s="754"/>
    </row>
    <row r="48" spans="1:22" ht="18" customHeight="1">
      <c r="A48" s="755" t="s">
        <v>1100</v>
      </c>
      <c r="B48" s="756"/>
      <c r="C48" s="756"/>
      <c r="D48" s="756"/>
      <c r="E48" s="756"/>
      <c r="F48" s="756"/>
      <c r="G48" s="756"/>
      <c r="H48" s="756"/>
      <c r="I48" s="756"/>
      <c r="J48" s="756"/>
      <c r="K48" s="756"/>
      <c r="L48" s="756"/>
      <c r="M48" s="756"/>
      <c r="N48" s="756"/>
      <c r="O48" s="756"/>
      <c r="P48" s="756"/>
      <c r="Q48" s="756"/>
      <c r="R48" s="756"/>
      <c r="S48" s="756"/>
      <c r="T48" s="756"/>
      <c r="U48" s="756"/>
      <c r="V48" s="757"/>
    </row>
    <row r="49" spans="1:22" ht="18" customHeight="1">
      <c r="A49" s="758"/>
      <c r="B49" s="759"/>
      <c r="C49" s="759"/>
      <c r="D49" s="759"/>
      <c r="E49" s="759"/>
      <c r="F49" s="759"/>
      <c r="G49" s="759"/>
      <c r="H49" s="759"/>
      <c r="I49" s="759"/>
      <c r="J49" s="759"/>
      <c r="K49" s="759"/>
      <c r="L49" s="759"/>
      <c r="M49" s="759"/>
      <c r="N49" s="759"/>
      <c r="O49" s="759"/>
      <c r="P49" s="759"/>
      <c r="Q49" s="759"/>
      <c r="R49" s="759"/>
      <c r="S49" s="759"/>
      <c r="T49" s="759"/>
      <c r="U49" s="759"/>
      <c r="V49" s="760"/>
    </row>
    <row r="50" spans="1:22" ht="18" customHeight="1">
      <c r="A50" s="761" t="s">
        <v>1103</v>
      </c>
      <c r="B50" s="762"/>
      <c r="C50" s="762"/>
      <c r="D50" s="762"/>
      <c r="E50" s="762"/>
      <c r="F50" s="762"/>
      <c r="G50" s="762"/>
      <c r="H50" s="762"/>
      <c r="I50" s="762"/>
      <c r="J50" s="762"/>
      <c r="K50" s="349"/>
      <c r="L50" s="349"/>
      <c r="M50" s="349"/>
      <c r="N50" s="349"/>
      <c r="O50" s="763" t="s">
        <v>1101</v>
      </c>
      <c r="P50" s="763"/>
      <c r="Q50" s="763"/>
      <c r="R50" s="763"/>
      <c r="S50" s="763"/>
      <c r="T50" s="763"/>
      <c r="U50" s="349"/>
      <c r="V50" s="470"/>
    </row>
    <row r="51" spans="1:22" ht="18" customHeight="1">
      <c r="A51" s="351"/>
      <c r="B51" s="352" t="s">
        <v>262</v>
      </c>
      <c r="C51" s="155"/>
      <c r="D51" s="155"/>
      <c r="E51" s="155"/>
      <c r="F51" s="155"/>
      <c r="G51" s="155"/>
      <c r="H51" s="155"/>
      <c r="I51" s="155"/>
      <c r="J51" s="155"/>
      <c r="K51" s="155"/>
      <c r="L51" s="155"/>
      <c r="M51" s="155"/>
      <c r="N51" s="155"/>
      <c r="O51" s="764"/>
      <c r="P51" s="764"/>
      <c r="Q51" s="764"/>
      <c r="R51" s="764"/>
      <c r="S51" s="764"/>
      <c r="T51" s="764"/>
      <c r="U51" s="357"/>
      <c r="V51" s="350"/>
    </row>
    <row r="52" spans="1:22" ht="18" customHeight="1">
      <c r="A52" s="96"/>
      <c r="B52" s="7"/>
      <c r="C52" s="14" t="s">
        <v>263</v>
      </c>
      <c r="D52" s="7"/>
      <c r="E52" s="124"/>
      <c r="F52" s="7"/>
      <c r="G52" s="7"/>
      <c r="H52" s="7"/>
      <c r="I52" s="7"/>
      <c r="J52" s="7"/>
      <c r="K52" s="7"/>
      <c r="L52" s="7"/>
      <c r="M52" s="7"/>
      <c r="N52" s="7"/>
      <c r="O52" s="155"/>
      <c r="P52" s="155"/>
      <c r="Q52" s="743">
        <v>50</v>
      </c>
      <c r="R52" s="744"/>
      <c r="S52" s="14" t="s">
        <v>264</v>
      </c>
      <c r="T52" s="356"/>
      <c r="U52" s="357"/>
      <c r="V52" s="350"/>
    </row>
    <row r="53" spans="1:22" ht="18" customHeight="1">
      <c r="A53" s="96"/>
      <c r="B53" s="358"/>
      <c r="C53" s="30" t="s">
        <v>265</v>
      </c>
      <c r="D53" s="7"/>
      <c r="E53" s="7"/>
      <c r="F53" s="7"/>
      <c r="G53" s="7"/>
      <c r="H53" s="7"/>
      <c r="I53" s="7"/>
      <c r="J53" s="7"/>
      <c r="K53" s="7"/>
      <c r="L53" s="7"/>
      <c r="M53" s="7"/>
      <c r="N53" s="7"/>
      <c r="O53" s="155"/>
      <c r="P53" s="155"/>
      <c r="Q53" s="743">
        <v>132</v>
      </c>
      <c r="R53" s="744"/>
      <c r="S53" s="14" t="s">
        <v>163</v>
      </c>
      <c r="T53" s="155"/>
      <c r="U53" s="357"/>
      <c r="V53" s="350"/>
    </row>
    <row r="54" spans="1:22" ht="18" customHeight="1">
      <c r="A54" s="96"/>
      <c r="B54" s="7"/>
      <c r="C54" s="30" t="s">
        <v>266</v>
      </c>
      <c r="D54" s="7"/>
      <c r="E54" s="7"/>
      <c r="F54" s="7"/>
      <c r="G54" s="7"/>
      <c r="H54" s="7"/>
      <c r="I54" s="7"/>
      <c r="J54" s="7"/>
      <c r="K54" s="7"/>
      <c r="L54" s="7"/>
      <c r="M54" s="7"/>
      <c r="N54" s="7"/>
      <c r="O54" s="155"/>
      <c r="P54" s="155"/>
      <c r="Q54" s="743">
        <v>50</v>
      </c>
      <c r="R54" s="744"/>
      <c r="S54" s="14" t="s">
        <v>267</v>
      </c>
      <c r="T54" s="155"/>
      <c r="U54" s="357"/>
      <c r="V54" s="350"/>
    </row>
    <row r="55" spans="1:22" ht="18" customHeight="1">
      <c r="A55" s="96"/>
      <c r="B55" s="7"/>
      <c r="C55" s="30" t="s">
        <v>268</v>
      </c>
      <c r="D55" s="14"/>
      <c r="E55" s="7"/>
      <c r="F55" s="7"/>
      <c r="G55" s="7"/>
      <c r="H55" s="7"/>
      <c r="I55" s="7"/>
      <c r="J55" s="7"/>
      <c r="K55" s="7"/>
      <c r="L55" s="7"/>
      <c r="M55" s="7"/>
      <c r="N55" s="155"/>
      <c r="O55" s="155"/>
      <c r="P55" s="155"/>
      <c r="Q55" s="743">
        <v>15</v>
      </c>
      <c r="R55" s="744"/>
      <c r="S55" s="359"/>
      <c r="T55" s="356"/>
      <c r="U55" s="357"/>
      <c r="V55" s="350"/>
    </row>
    <row r="56" spans="1:22" ht="18" customHeight="1">
      <c r="A56" s="96"/>
      <c r="B56" s="352" t="s">
        <v>1104</v>
      </c>
      <c r="C56" s="155"/>
      <c r="D56" s="155"/>
      <c r="E56" s="155"/>
      <c r="F56" s="155"/>
      <c r="G56" s="360"/>
      <c r="H56" s="353"/>
      <c r="I56" s="155"/>
      <c r="J56" s="155"/>
      <c r="K56" s="369"/>
      <c r="L56" s="155"/>
      <c r="M56" s="155"/>
      <c r="N56" s="155"/>
      <c r="O56" s="155"/>
      <c r="P56" s="155"/>
      <c r="Q56" s="353"/>
      <c r="R56" s="360"/>
      <c r="S56" s="355"/>
      <c r="T56" s="356"/>
      <c r="U56" s="357"/>
      <c r="V56" s="350"/>
    </row>
    <row r="57" spans="1:22" ht="18" customHeight="1">
      <c r="A57" s="272" t="s">
        <v>275</v>
      </c>
      <c r="B57" s="7"/>
      <c r="C57" s="7"/>
      <c r="D57" s="7"/>
      <c r="E57" s="125">
        <v>3</v>
      </c>
      <c r="F57" s="14" t="s">
        <v>276</v>
      </c>
      <c r="G57" s="125" t="s">
        <v>277</v>
      </c>
      <c r="H57" s="47" t="s">
        <v>278</v>
      </c>
      <c r="I57" s="7"/>
      <c r="J57" s="745">
        <v>240</v>
      </c>
      <c r="K57" s="746"/>
      <c r="L57" s="14" t="s">
        <v>279</v>
      </c>
      <c r="M57" s="7"/>
      <c r="N57" s="125">
        <v>1</v>
      </c>
      <c r="O57" s="14" t="s">
        <v>280</v>
      </c>
      <c r="P57" s="155"/>
      <c r="Q57" s="353"/>
      <c r="R57" s="360"/>
      <c r="S57" s="355"/>
      <c r="T57" s="356"/>
      <c r="U57" s="357"/>
      <c r="V57" s="350"/>
    </row>
    <row r="58" spans="1:22" ht="18" customHeight="1">
      <c r="A58" s="370"/>
      <c r="B58" s="352" t="s">
        <v>1105</v>
      </c>
      <c r="C58" s="155"/>
      <c r="D58" s="155"/>
      <c r="E58" s="155"/>
      <c r="F58" s="155"/>
      <c r="G58" s="360"/>
      <c r="H58" s="353"/>
      <c r="I58" s="155"/>
      <c r="J58" s="155"/>
      <c r="K58" s="155"/>
      <c r="L58" s="155"/>
      <c r="M58" s="155"/>
      <c r="N58" s="155"/>
      <c r="O58" s="155"/>
      <c r="P58" s="155"/>
      <c r="Q58" s="353"/>
      <c r="R58" s="360"/>
      <c r="S58" s="355"/>
      <c r="T58" s="356"/>
      <c r="U58" s="357"/>
      <c r="V58" s="350"/>
    </row>
    <row r="59" spans="1:22" ht="18" customHeight="1">
      <c r="A59" s="370"/>
      <c r="B59" s="371"/>
      <c r="C59" s="155"/>
      <c r="D59" s="155"/>
      <c r="E59" s="155"/>
      <c r="F59" s="155"/>
      <c r="G59" s="360"/>
      <c r="H59" s="353"/>
      <c r="I59" s="155"/>
      <c r="J59" s="7"/>
      <c r="K59" s="155"/>
      <c r="L59" s="155"/>
      <c r="M59" s="155"/>
      <c r="N59" s="155"/>
      <c r="O59" s="7"/>
      <c r="P59" s="155"/>
      <c r="Q59" s="186"/>
      <c r="R59" s="360"/>
      <c r="S59" s="355"/>
      <c r="T59" s="356"/>
      <c r="U59" s="357"/>
      <c r="V59" s="350"/>
    </row>
    <row r="60" spans="1:22" ht="18" customHeight="1">
      <c r="A60" s="272"/>
      <c r="B60" s="155"/>
      <c r="C60" s="47" t="s">
        <v>282</v>
      </c>
      <c r="D60" s="357"/>
      <c r="E60" s="7"/>
      <c r="F60" s="7"/>
      <c r="G60" s="7"/>
      <c r="H60" s="7"/>
      <c r="I60" s="7"/>
      <c r="J60" s="7"/>
      <c r="K60" s="7"/>
      <c r="L60" s="7"/>
      <c r="M60" s="7"/>
      <c r="N60" s="7"/>
      <c r="O60" s="28" t="s">
        <v>283</v>
      </c>
      <c r="P60" s="102" t="s">
        <v>127</v>
      </c>
      <c r="Q60" s="738">
        <v>2.2100000000000002E-2</v>
      </c>
      <c r="R60" s="747"/>
      <c r="S60" s="47" t="s">
        <v>284</v>
      </c>
      <c r="T60" s="356"/>
      <c r="U60" s="357"/>
      <c r="V60" s="350"/>
    </row>
    <row r="61" spans="1:22" ht="18" customHeight="1">
      <c r="A61" s="272"/>
      <c r="B61" s="155"/>
      <c r="C61" s="47" t="s">
        <v>285</v>
      </c>
      <c r="D61" s="155"/>
      <c r="E61" s="7"/>
      <c r="F61" s="7"/>
      <c r="G61" s="7"/>
      <c r="H61" s="7"/>
      <c r="I61" s="7"/>
      <c r="J61" s="7"/>
      <c r="K61" s="7"/>
      <c r="L61" s="7"/>
      <c r="M61" s="7"/>
      <c r="N61" s="7"/>
      <c r="O61" s="28" t="s">
        <v>286</v>
      </c>
      <c r="P61" s="102" t="s">
        <v>127</v>
      </c>
      <c r="Q61" s="738">
        <v>0.16</v>
      </c>
      <c r="R61" s="739"/>
      <c r="S61" s="47" t="s">
        <v>284</v>
      </c>
      <c r="T61" s="356"/>
      <c r="U61" s="357"/>
      <c r="V61" s="350"/>
    </row>
    <row r="62" spans="1:22" ht="18" customHeight="1">
      <c r="A62" s="272"/>
      <c r="B62" s="155"/>
      <c r="C62" s="47" t="s">
        <v>287</v>
      </c>
      <c r="D62" s="155"/>
      <c r="E62" s="7"/>
      <c r="F62" s="7"/>
      <c r="G62" s="7"/>
      <c r="H62" s="7"/>
      <c r="I62" s="7"/>
      <c r="J62" s="7"/>
      <c r="K62" s="7"/>
      <c r="L62" s="7"/>
      <c r="M62" s="7"/>
      <c r="N62" s="7"/>
      <c r="O62" s="28" t="s">
        <v>288</v>
      </c>
      <c r="P62" s="102" t="s">
        <v>127</v>
      </c>
      <c r="Q62" s="738">
        <v>0.13</v>
      </c>
      <c r="R62" s="739"/>
      <c r="S62" s="47" t="s">
        <v>284</v>
      </c>
      <c r="T62" s="155"/>
      <c r="U62" s="357"/>
      <c r="V62" s="350"/>
    </row>
    <row r="63" spans="1:22" ht="18" customHeight="1">
      <c r="A63" s="272"/>
      <c r="B63" s="155"/>
      <c r="C63" s="47" t="s">
        <v>289</v>
      </c>
      <c r="D63" s="357"/>
      <c r="E63" s="7"/>
      <c r="F63" s="7"/>
      <c r="G63" s="7"/>
      <c r="H63" s="7"/>
      <c r="I63" s="7"/>
      <c r="J63" s="7"/>
      <c r="K63" s="7"/>
      <c r="L63" s="7"/>
      <c r="M63" s="7"/>
      <c r="N63" s="7"/>
      <c r="O63" s="28" t="s">
        <v>290</v>
      </c>
      <c r="P63" s="102" t="s">
        <v>127</v>
      </c>
      <c r="Q63" s="738">
        <v>0.06</v>
      </c>
      <c r="R63" s="739"/>
      <c r="S63" s="47" t="s">
        <v>284</v>
      </c>
      <c r="T63" s="356"/>
      <c r="U63" s="357"/>
      <c r="V63" s="350"/>
    </row>
    <row r="64" spans="1:22" ht="18" customHeight="1">
      <c r="A64" s="272"/>
      <c r="B64" s="357"/>
      <c r="C64" s="47" t="s">
        <v>291</v>
      </c>
      <c r="D64" s="155"/>
      <c r="E64" s="155"/>
      <c r="F64" s="155"/>
      <c r="G64" s="155"/>
      <c r="H64" s="7"/>
      <c r="I64" s="7"/>
      <c r="J64" s="7"/>
      <c r="K64" s="7"/>
      <c r="L64" s="7"/>
      <c r="M64" s="7"/>
      <c r="N64" s="7"/>
      <c r="O64" s="425" t="s">
        <v>522</v>
      </c>
      <c r="P64" s="102" t="s">
        <v>127</v>
      </c>
      <c r="Q64" s="740">
        <v>1.74</v>
      </c>
      <c r="R64" s="741"/>
      <c r="S64" s="372" t="s">
        <v>292</v>
      </c>
      <c r="T64" s="356"/>
      <c r="U64" s="357"/>
      <c r="V64" s="350"/>
    </row>
    <row r="65" spans="1:26" ht="18" customHeight="1">
      <c r="A65" s="668" t="s">
        <v>1106</v>
      </c>
      <c r="B65" s="357"/>
      <c r="C65" s="47"/>
      <c r="D65" s="155"/>
      <c r="E65" s="155"/>
      <c r="F65" s="155"/>
      <c r="G65" s="155"/>
      <c r="H65" s="7"/>
      <c r="I65" s="7"/>
      <c r="J65" s="7"/>
      <c r="K65" s="7"/>
      <c r="L65" s="7"/>
      <c r="M65" s="7"/>
      <c r="N65" s="7"/>
      <c r="O65" s="121"/>
      <c r="P65" s="102"/>
      <c r="Q65" s="666"/>
      <c r="R65" s="667"/>
      <c r="S65" s="372"/>
      <c r="T65" s="356"/>
      <c r="U65" s="357"/>
      <c r="V65" s="350"/>
    </row>
    <row r="66" spans="1:26" ht="18" customHeight="1">
      <c r="A66" s="272"/>
      <c r="B66" s="357"/>
      <c r="C66" s="47" t="s">
        <v>293</v>
      </c>
      <c r="D66" s="155"/>
      <c r="E66" s="155"/>
      <c r="F66" s="155"/>
      <c r="G66" s="155"/>
      <c r="H66" s="7"/>
      <c r="I66" s="7"/>
      <c r="J66" s="28" t="s">
        <v>294</v>
      </c>
      <c r="K66" s="102" t="s">
        <v>127</v>
      </c>
      <c r="L66" s="742" t="s">
        <v>1108</v>
      </c>
      <c r="M66" s="689"/>
      <c r="N66" s="102" t="s">
        <v>295</v>
      </c>
      <c r="O66" s="702" t="s">
        <v>1110</v>
      </c>
      <c r="P66" s="711"/>
      <c r="Q66" s="47" t="s">
        <v>284</v>
      </c>
      <c r="R66" s="360"/>
      <c r="S66" s="355"/>
      <c r="T66" s="356"/>
      <c r="U66" s="155"/>
      <c r="V66" s="350"/>
    </row>
    <row r="67" spans="1:26" ht="18" customHeight="1">
      <c r="A67" s="272"/>
      <c r="B67" s="357"/>
      <c r="C67" s="47" t="s">
        <v>296</v>
      </c>
      <c r="D67" s="155"/>
      <c r="E67" s="155"/>
      <c r="F67" s="155"/>
      <c r="G67" s="155"/>
      <c r="H67" s="7"/>
      <c r="I67" s="7"/>
      <c r="J67" s="28" t="s">
        <v>297</v>
      </c>
      <c r="K67" s="102" t="s">
        <v>127</v>
      </c>
      <c r="L67" s="742" t="s">
        <v>1109</v>
      </c>
      <c r="M67" s="689"/>
      <c r="N67" s="102" t="s">
        <v>295</v>
      </c>
      <c r="O67" s="702" t="s">
        <v>1111</v>
      </c>
      <c r="P67" s="711"/>
      <c r="Q67" s="47" t="s">
        <v>284</v>
      </c>
      <c r="R67" s="360"/>
      <c r="S67" s="355"/>
      <c r="T67" s="356"/>
      <c r="U67" s="155"/>
      <c r="V67" s="350"/>
      <c r="Z67" t="str">
        <f>IF(E320&gt;H320,"&gt;","&lt;")</f>
        <v>&gt;</v>
      </c>
    </row>
    <row r="68" spans="1:26" ht="18" customHeight="1">
      <c r="A68" s="272"/>
      <c r="B68" s="155"/>
      <c r="C68" s="47" t="s">
        <v>298</v>
      </c>
      <c r="D68" s="155"/>
      <c r="E68" s="155"/>
      <c r="F68" s="155"/>
      <c r="G68" s="155"/>
      <c r="H68" s="7"/>
      <c r="I68" s="7"/>
      <c r="J68" s="28" t="s">
        <v>299</v>
      </c>
      <c r="K68" s="102" t="s">
        <v>127</v>
      </c>
      <c r="L68" s="702" t="s">
        <v>1112</v>
      </c>
      <c r="M68" s="711"/>
      <c r="N68" s="102" t="s">
        <v>295</v>
      </c>
      <c r="O68" s="702" t="s">
        <v>1113</v>
      </c>
      <c r="P68" s="711"/>
      <c r="Q68" s="14" t="s">
        <v>152</v>
      </c>
      <c r="R68" s="360"/>
      <c r="S68" s="355"/>
      <c r="T68" s="356"/>
      <c r="U68" s="155"/>
      <c r="V68" s="350"/>
    </row>
    <row r="69" spans="1:26" ht="18" hidden="1" customHeight="1">
      <c r="A69" s="272"/>
      <c r="B69" s="155"/>
      <c r="C69" s="47" t="s">
        <v>300</v>
      </c>
      <c r="D69" s="155"/>
      <c r="E69" s="155"/>
      <c r="F69" s="155"/>
      <c r="G69" s="155"/>
      <c r="H69" s="7"/>
      <c r="I69" s="7"/>
      <c r="J69" s="28" t="s">
        <v>301</v>
      </c>
      <c r="K69" s="102" t="s">
        <v>127</v>
      </c>
      <c r="L69" s="702" t="s">
        <v>1112</v>
      </c>
      <c r="M69" s="711"/>
      <c r="N69" s="102" t="s">
        <v>295</v>
      </c>
      <c r="O69" s="702" t="s">
        <v>1114</v>
      </c>
      <c r="P69" s="711"/>
      <c r="Q69" s="14" t="s">
        <v>152</v>
      </c>
      <c r="R69" s="360"/>
      <c r="S69" s="355"/>
      <c r="T69" s="356"/>
      <c r="U69" s="155"/>
      <c r="V69" s="350"/>
      <c r="Z69" t="str">
        <f>IF(G319="&gt;","Suitably Dimensioned","Under Dimensioned")</f>
        <v>Suitably Dimensioned</v>
      </c>
    </row>
    <row r="70" spans="1:26" ht="18" customHeight="1">
      <c r="A70" s="272"/>
      <c r="B70" s="155"/>
      <c r="C70" s="47"/>
      <c r="D70" s="155"/>
      <c r="E70" s="155"/>
      <c r="F70" s="155"/>
      <c r="G70" s="155"/>
      <c r="H70" s="7"/>
      <c r="I70" s="7"/>
      <c r="J70" s="28"/>
      <c r="K70" s="102"/>
      <c r="L70" s="658"/>
      <c r="M70" s="660"/>
      <c r="N70" s="102"/>
      <c r="O70" s="658"/>
      <c r="P70" s="660"/>
      <c r="Q70" s="14"/>
      <c r="R70" s="360"/>
      <c r="S70" s="355"/>
      <c r="T70" s="356"/>
      <c r="U70" s="155"/>
      <c r="V70" s="350"/>
    </row>
    <row r="71" spans="1:26" ht="18" customHeight="1">
      <c r="A71" s="735" t="s">
        <v>1115</v>
      </c>
      <c r="B71" s="736"/>
      <c r="C71" s="736"/>
      <c r="D71" s="736"/>
      <c r="E71" s="736"/>
      <c r="F71" s="736"/>
      <c r="G71" s="736"/>
      <c r="H71" s="736"/>
      <c r="I71" s="736"/>
      <c r="J71" s="736"/>
      <c r="K71" s="736"/>
      <c r="L71" s="736"/>
      <c r="M71" s="736"/>
      <c r="N71" s="736"/>
      <c r="O71" s="736"/>
      <c r="P71" s="736"/>
      <c r="Q71" s="353"/>
      <c r="R71" s="360"/>
      <c r="S71" s="355"/>
      <c r="T71" s="356"/>
      <c r="U71" s="155"/>
      <c r="V71" s="350"/>
    </row>
    <row r="72" spans="1:26" s="7" customFormat="1" ht="18" customHeight="1">
      <c r="A72" s="272"/>
      <c r="B72" s="357"/>
      <c r="C72" s="47" t="s">
        <v>293</v>
      </c>
      <c r="D72" s="155"/>
      <c r="E72" s="155"/>
      <c r="F72" s="155"/>
      <c r="G72" s="155"/>
      <c r="J72" s="28" t="s">
        <v>294</v>
      </c>
      <c r="K72" s="102" t="s">
        <v>127</v>
      </c>
      <c r="L72" s="737">
        <f>Q60/N57</f>
        <v>2.2100000000000002E-2</v>
      </c>
      <c r="M72" s="689"/>
      <c r="N72" s="102" t="s">
        <v>295</v>
      </c>
      <c r="O72" s="737">
        <f>Q61/N57</f>
        <v>0.16</v>
      </c>
      <c r="P72" s="689"/>
      <c r="Q72" s="47" t="s">
        <v>284</v>
      </c>
      <c r="R72" s="360"/>
      <c r="S72" s="355"/>
      <c r="T72" s="356"/>
      <c r="U72" s="155"/>
      <c r="V72" s="350"/>
    </row>
    <row r="73" spans="1:26" ht="18" customHeight="1">
      <c r="A73" s="272"/>
      <c r="B73" s="357"/>
      <c r="C73" s="47" t="s">
        <v>296</v>
      </c>
      <c r="D73" s="155"/>
      <c r="E73" s="155"/>
      <c r="F73" s="155"/>
      <c r="G73" s="155"/>
      <c r="H73" s="7"/>
      <c r="I73" s="7"/>
      <c r="J73" s="28" t="s">
        <v>297</v>
      </c>
      <c r="K73" s="102" t="s">
        <v>127</v>
      </c>
      <c r="L73" s="737">
        <f>Q62/N57</f>
        <v>0.13</v>
      </c>
      <c r="M73" s="689"/>
      <c r="N73" s="102" t="s">
        <v>295</v>
      </c>
      <c r="O73" s="737">
        <f>Q63/N57</f>
        <v>0.06</v>
      </c>
      <c r="P73" s="689"/>
      <c r="Q73" s="47" t="s">
        <v>284</v>
      </c>
      <c r="R73" s="360"/>
      <c r="S73" s="355"/>
      <c r="T73" s="356"/>
      <c r="U73" s="155"/>
      <c r="V73" s="350"/>
    </row>
    <row r="74" spans="1:26" ht="18" customHeight="1">
      <c r="A74" s="272"/>
      <c r="B74" s="155"/>
      <c r="C74" s="47" t="s">
        <v>298</v>
      </c>
      <c r="D74" s="155"/>
      <c r="E74" s="155"/>
      <c r="F74" s="155"/>
      <c r="G74" s="155"/>
      <c r="H74" s="7"/>
      <c r="I74" s="7"/>
      <c r="J74" s="28" t="s">
        <v>299</v>
      </c>
      <c r="K74" s="102" t="s">
        <v>127</v>
      </c>
      <c r="L74" s="711">
        <f>L72*Q64</f>
        <v>3.8454000000000002E-2</v>
      </c>
      <c r="M74" s="711"/>
      <c r="N74" s="102" t="s">
        <v>295</v>
      </c>
      <c r="O74" s="711">
        <f>O72*Q64</f>
        <v>0.27839999999999998</v>
      </c>
      <c r="P74" s="711"/>
      <c r="Q74" s="14" t="s">
        <v>152</v>
      </c>
      <c r="R74" s="360"/>
      <c r="S74" s="355"/>
      <c r="T74" s="356"/>
      <c r="U74" s="155"/>
      <c r="V74" s="350"/>
    </row>
    <row r="75" spans="1:26" ht="18" customHeight="1">
      <c r="A75" s="272"/>
      <c r="B75" s="155"/>
      <c r="C75" s="47" t="s">
        <v>300</v>
      </c>
      <c r="D75" s="155"/>
      <c r="E75" s="155"/>
      <c r="F75" s="155"/>
      <c r="G75" s="155"/>
      <c r="H75" s="7"/>
      <c r="I75" s="7"/>
      <c r="J75" s="28" t="s">
        <v>301</v>
      </c>
      <c r="K75" s="102" t="s">
        <v>127</v>
      </c>
      <c r="L75" s="711">
        <f>L73*Q64</f>
        <v>0.22620000000000001</v>
      </c>
      <c r="M75" s="711"/>
      <c r="N75" s="102" t="s">
        <v>295</v>
      </c>
      <c r="O75" s="711">
        <f>O73*Q64</f>
        <v>0.10439999999999999</v>
      </c>
      <c r="P75" s="711"/>
      <c r="Q75" s="14" t="s">
        <v>152</v>
      </c>
      <c r="R75" s="360"/>
      <c r="S75" s="355"/>
      <c r="T75" s="356"/>
      <c r="U75" s="155"/>
      <c r="V75" s="350"/>
    </row>
    <row r="76" spans="1:26" ht="18" customHeight="1">
      <c r="A76" s="370"/>
      <c r="B76" s="155"/>
      <c r="C76" s="155"/>
      <c r="D76" s="155"/>
      <c r="E76" s="155"/>
      <c r="F76" s="155"/>
      <c r="G76" s="155"/>
      <c r="H76" s="155"/>
      <c r="I76" s="155"/>
      <c r="J76" s="7"/>
      <c r="K76" s="155"/>
      <c r="L76" s="155"/>
      <c r="M76" s="155"/>
      <c r="N76" s="155"/>
      <c r="O76" s="155"/>
      <c r="P76" s="155"/>
      <c r="Q76" s="353"/>
      <c r="R76" s="360"/>
      <c r="S76" s="355"/>
      <c r="T76" s="356"/>
      <c r="U76" s="155"/>
      <c r="V76" s="350"/>
    </row>
    <row r="77" spans="1:26" ht="18" customHeight="1">
      <c r="A77" s="116"/>
      <c r="B77" s="117" t="s">
        <v>302</v>
      </c>
      <c r="C77" s="155"/>
      <c r="D77" s="155"/>
      <c r="E77" s="155"/>
      <c r="F77" s="155"/>
      <c r="G77" s="155"/>
      <c r="H77" s="155"/>
      <c r="I77" s="155"/>
      <c r="J77" s="155"/>
      <c r="K77" s="155"/>
      <c r="L77" s="155"/>
      <c r="M77" s="155"/>
      <c r="N77" s="155"/>
      <c r="O77" s="155"/>
      <c r="P77" s="155"/>
      <c r="Q77" s="353"/>
      <c r="R77" s="360"/>
      <c r="S77" s="355"/>
      <c r="T77" s="356"/>
      <c r="U77" s="155"/>
      <c r="V77" s="350"/>
    </row>
    <row r="78" spans="1:26" ht="18" customHeight="1">
      <c r="A78" s="272"/>
      <c r="B78" s="357"/>
      <c r="C78" s="47" t="s">
        <v>303</v>
      </c>
      <c r="D78" s="155"/>
      <c r="E78" s="155"/>
      <c r="F78" s="155"/>
      <c r="G78" s="155"/>
      <c r="H78" s="155"/>
      <c r="I78" s="155"/>
      <c r="J78" s="726" t="s">
        <v>1116</v>
      </c>
      <c r="K78" s="729"/>
      <c r="L78" s="729"/>
      <c r="M78" s="729"/>
      <c r="N78" s="729"/>
      <c r="O78" s="729"/>
      <c r="P78" s="729"/>
      <c r="Q78" s="729"/>
      <c r="R78" s="729"/>
      <c r="S78" s="729"/>
      <c r="T78" s="356"/>
      <c r="U78" s="155"/>
      <c r="V78" s="350"/>
    </row>
    <row r="79" spans="1:26" ht="18" customHeight="1">
      <c r="A79" s="272"/>
      <c r="B79" s="357"/>
      <c r="C79" s="47"/>
      <c r="D79" s="155"/>
      <c r="E79" s="155"/>
      <c r="F79" s="155"/>
      <c r="G79" s="155"/>
      <c r="H79" s="155"/>
      <c r="I79" s="155"/>
      <c r="J79" s="155"/>
      <c r="K79" s="155"/>
      <c r="L79" s="353"/>
      <c r="M79" s="353"/>
      <c r="N79" s="155"/>
      <c r="O79" s="155" t="s">
        <v>895</v>
      </c>
      <c r="P79" s="102" t="s">
        <v>127</v>
      </c>
      <c r="Q79" s="689">
        <f>Q54*1000</f>
        <v>50000</v>
      </c>
      <c r="R79" s="689"/>
      <c r="S79" s="47" t="s">
        <v>8</v>
      </c>
      <c r="T79" s="356"/>
      <c r="U79" s="155"/>
      <c r="V79" s="350"/>
    </row>
    <row r="80" spans="1:26" ht="18" customHeight="1">
      <c r="A80" s="730" t="s">
        <v>1117</v>
      </c>
      <c r="B80" s="731"/>
      <c r="C80" s="731"/>
      <c r="D80" s="731"/>
      <c r="E80" s="731"/>
      <c r="F80" s="731"/>
      <c r="G80" s="731"/>
      <c r="H80" s="731"/>
      <c r="I80" s="731"/>
      <c r="J80" s="731"/>
      <c r="K80" s="731"/>
      <c r="L80" s="731"/>
      <c r="M80" s="731"/>
      <c r="N80" s="731"/>
      <c r="O80" s="731"/>
      <c r="P80" s="731"/>
      <c r="Q80" s="731"/>
      <c r="R80" s="731"/>
      <c r="S80" s="731"/>
      <c r="T80" s="731"/>
      <c r="U80" s="731"/>
      <c r="V80" s="732"/>
    </row>
    <row r="81" spans="1:22" ht="18" customHeight="1">
      <c r="A81" s="272"/>
      <c r="B81" s="357"/>
      <c r="C81" s="47"/>
      <c r="D81" s="155"/>
      <c r="E81" s="155"/>
      <c r="F81" s="155"/>
      <c r="G81" s="155"/>
      <c r="H81" s="155"/>
      <c r="I81" s="155"/>
      <c r="J81" s="155"/>
      <c r="K81" s="155"/>
      <c r="L81" s="155"/>
      <c r="M81" s="155"/>
      <c r="N81" s="155"/>
      <c r="O81" s="155" t="s">
        <v>305</v>
      </c>
      <c r="P81" s="102" t="s">
        <v>127</v>
      </c>
      <c r="Q81" s="689">
        <f>Q53*1000</f>
        <v>132000</v>
      </c>
      <c r="R81" s="689"/>
      <c r="S81" s="47" t="s">
        <v>305</v>
      </c>
      <c r="T81" s="356"/>
      <c r="U81" s="155"/>
      <c r="V81" s="350"/>
    </row>
    <row r="82" spans="1:22" ht="18" customHeight="1">
      <c r="A82" s="272" t="s">
        <v>308</v>
      </c>
      <c r="B82" s="375"/>
      <c r="C82" s="155"/>
      <c r="D82" s="155"/>
      <c r="E82" s="156"/>
      <c r="F82" s="156"/>
      <c r="G82" s="156"/>
      <c r="H82" s="7"/>
      <c r="I82" s="155"/>
      <c r="J82" s="155"/>
      <c r="K82" s="155"/>
      <c r="L82" s="155"/>
      <c r="M82" s="376"/>
      <c r="N82" s="155"/>
      <c r="O82" s="155"/>
      <c r="P82" s="102"/>
      <c r="Q82" s="733">
        <v>1</v>
      </c>
      <c r="R82" s="734"/>
      <c r="S82" s="47"/>
      <c r="T82" s="356"/>
      <c r="U82" s="155"/>
      <c r="V82" s="350"/>
    </row>
    <row r="83" spans="1:22" ht="18" customHeight="1">
      <c r="A83" s="114"/>
      <c r="B83" s="353"/>
      <c r="C83" s="357"/>
      <c r="D83" s="357"/>
      <c r="E83" s="28" t="s">
        <v>310</v>
      </c>
      <c r="F83" s="102" t="s">
        <v>127</v>
      </c>
      <c r="G83" s="28" t="s">
        <v>311</v>
      </c>
      <c r="H83" s="28" t="s">
        <v>312</v>
      </c>
      <c r="I83" s="28">
        <v>1</v>
      </c>
      <c r="J83" s="28" t="s">
        <v>313</v>
      </c>
      <c r="K83" s="27" t="s">
        <v>314</v>
      </c>
      <c r="L83" s="28" t="s">
        <v>315</v>
      </c>
      <c r="M83" s="28" t="s">
        <v>316</v>
      </c>
      <c r="N83" s="155"/>
      <c r="O83" s="155"/>
      <c r="P83" s="102"/>
      <c r="Q83" s="688"/>
      <c r="R83" s="688"/>
      <c r="S83" s="14" t="s">
        <v>152</v>
      </c>
      <c r="T83" s="356"/>
      <c r="U83" s="155"/>
      <c r="V83" s="350"/>
    </row>
    <row r="84" spans="1:22" ht="18" customHeight="1">
      <c r="A84" s="725" t="s">
        <v>1120</v>
      </c>
      <c r="B84" s="726"/>
      <c r="C84" s="726"/>
      <c r="D84" s="726"/>
      <c r="E84" s="726"/>
      <c r="F84" s="726"/>
      <c r="G84" s="726"/>
      <c r="H84" s="726"/>
      <c r="I84" s="726"/>
      <c r="J84" s="726"/>
      <c r="K84" s="726"/>
      <c r="L84" s="726"/>
      <c r="M84" s="726"/>
      <c r="N84" s="726"/>
      <c r="O84" s="726"/>
      <c r="P84" s="726"/>
      <c r="Q84" s="726"/>
      <c r="R84" s="726"/>
      <c r="S84" s="726"/>
      <c r="T84" s="356"/>
      <c r="U84" s="155"/>
      <c r="V84" s="350"/>
    </row>
    <row r="85" spans="1:22" ht="18" customHeight="1">
      <c r="A85" s="669"/>
      <c r="B85" s="191"/>
      <c r="C85" s="191" t="s">
        <v>310</v>
      </c>
      <c r="D85" s="670" t="s">
        <v>127</v>
      </c>
      <c r="E85" s="671">
        <f>(Q81*Q82)/(SQRT(3)*Q79)</f>
        <v>1.5242047106606122</v>
      </c>
      <c r="F85" s="191"/>
      <c r="G85" s="191"/>
      <c r="H85" s="191"/>
      <c r="I85" s="191"/>
      <c r="J85" s="191"/>
      <c r="K85" s="191"/>
      <c r="L85" s="191"/>
      <c r="M85" s="191"/>
      <c r="N85" s="191"/>
      <c r="O85" s="191"/>
      <c r="P85" s="191"/>
      <c r="Q85" s="191"/>
      <c r="R85" s="191"/>
      <c r="S85" s="191"/>
      <c r="T85" s="356"/>
      <c r="U85" s="155"/>
      <c r="V85" s="350"/>
    </row>
    <row r="86" spans="1:22" ht="18" customHeight="1">
      <c r="A86" s="698" t="s">
        <v>1118</v>
      </c>
      <c r="B86" s="727"/>
      <c r="C86" s="727"/>
      <c r="D86" s="727"/>
      <c r="E86" s="727"/>
      <c r="F86" s="102"/>
      <c r="G86" s="102"/>
      <c r="H86" s="102"/>
      <c r="I86" s="102"/>
      <c r="J86" s="102"/>
      <c r="K86" s="102"/>
      <c r="L86" s="102"/>
      <c r="M86" s="102"/>
      <c r="N86" s="102"/>
      <c r="O86" s="102"/>
      <c r="P86" s="102"/>
      <c r="Q86" s="102"/>
      <c r="R86" s="102"/>
      <c r="S86" s="102"/>
      <c r="T86" s="356"/>
      <c r="U86" s="155"/>
      <c r="V86" s="350"/>
    </row>
    <row r="87" spans="1:22" ht="18" customHeight="1">
      <c r="A87" s="698"/>
      <c r="B87" s="727"/>
      <c r="C87" s="727"/>
      <c r="D87" s="727"/>
      <c r="E87" s="727"/>
      <c r="F87" s="102" t="s">
        <v>127</v>
      </c>
      <c r="G87" s="28">
        <v>2</v>
      </c>
      <c r="H87" s="28" t="s">
        <v>315</v>
      </c>
      <c r="I87" s="278" t="s">
        <v>318</v>
      </c>
      <c r="J87" s="28" t="s">
        <v>315</v>
      </c>
      <c r="K87" s="28" t="s">
        <v>319</v>
      </c>
      <c r="L87" s="28" t="s">
        <v>315</v>
      </c>
      <c r="M87" s="28" t="s">
        <v>320</v>
      </c>
      <c r="N87" s="155"/>
      <c r="O87" s="155"/>
      <c r="P87" s="377"/>
      <c r="Q87" s="279"/>
      <c r="R87" s="14"/>
      <c r="S87" s="355"/>
      <c r="T87" s="356"/>
      <c r="U87" s="155"/>
      <c r="V87" s="350"/>
    </row>
    <row r="88" spans="1:22" ht="18" customHeight="1">
      <c r="A88" s="728" t="s">
        <v>1119</v>
      </c>
      <c r="B88" s="727"/>
      <c r="C88" s="727"/>
      <c r="D88" s="727"/>
      <c r="E88" s="727"/>
      <c r="F88" s="727"/>
      <c r="G88" s="727"/>
      <c r="H88" s="727"/>
      <c r="I88" s="278"/>
      <c r="J88" s="28"/>
      <c r="K88" s="28"/>
      <c r="L88" s="28"/>
      <c r="M88" s="28"/>
      <c r="N88" s="155"/>
      <c r="O88" s="155"/>
      <c r="P88" s="377"/>
      <c r="Q88" s="279"/>
      <c r="R88" s="14"/>
      <c r="S88" s="355"/>
      <c r="T88" s="356"/>
      <c r="U88" s="155"/>
      <c r="V88" s="350"/>
    </row>
    <row r="89" spans="1:22" ht="18" customHeight="1">
      <c r="A89" s="373"/>
      <c r="B89" s="357"/>
      <c r="C89" s="155"/>
      <c r="D89" s="155"/>
      <c r="E89" s="47" t="s">
        <v>321</v>
      </c>
      <c r="F89" s="155"/>
      <c r="G89" s="155"/>
      <c r="H89" s="155"/>
      <c r="I89" s="155"/>
      <c r="J89" s="155"/>
      <c r="K89" s="155"/>
      <c r="L89" s="47" t="s">
        <v>322</v>
      </c>
      <c r="M89" s="155"/>
      <c r="N89" s="155"/>
      <c r="O89" s="155"/>
      <c r="P89" s="102" t="s">
        <v>127</v>
      </c>
      <c r="Q89" s="689">
        <f>Q55</f>
        <v>15</v>
      </c>
      <c r="R89" s="689"/>
      <c r="S89" s="378"/>
      <c r="T89" s="356"/>
      <c r="U89" s="155"/>
      <c r="V89" s="350"/>
    </row>
    <row r="90" spans="1:22" ht="18" customHeight="1">
      <c r="A90" s="373"/>
      <c r="B90" s="357"/>
      <c r="C90" s="155"/>
      <c r="D90" s="155"/>
      <c r="E90" s="47" t="s">
        <v>263</v>
      </c>
      <c r="F90" s="155"/>
      <c r="G90" s="155"/>
      <c r="H90" s="155"/>
      <c r="I90" s="155"/>
      <c r="J90" s="155"/>
      <c r="K90" s="155"/>
      <c r="L90" s="47" t="s">
        <v>319</v>
      </c>
      <c r="M90" s="155"/>
      <c r="N90" s="155"/>
      <c r="O90" s="155"/>
      <c r="P90" s="102" t="s">
        <v>127</v>
      </c>
      <c r="Q90" s="689">
        <f>Q52</f>
        <v>50</v>
      </c>
      <c r="R90" s="689"/>
      <c r="S90" s="378"/>
      <c r="T90" s="356"/>
      <c r="U90" s="155"/>
      <c r="V90" s="350"/>
    </row>
    <row r="91" spans="1:22" ht="18" customHeight="1">
      <c r="A91" s="373"/>
      <c r="B91" s="357"/>
      <c r="C91" s="14" t="s">
        <v>323</v>
      </c>
      <c r="D91" s="155"/>
      <c r="E91" s="296" t="s">
        <v>1121</v>
      </c>
      <c r="F91" s="155"/>
      <c r="G91" s="155"/>
      <c r="H91" s="155"/>
      <c r="I91" s="155"/>
      <c r="J91" s="155"/>
      <c r="K91" s="155"/>
      <c r="L91" s="14" t="s">
        <v>325</v>
      </c>
      <c r="M91" s="379" t="s">
        <v>326</v>
      </c>
      <c r="N91" s="155"/>
      <c r="O91" s="155"/>
      <c r="P91" s="1364" t="s">
        <v>127</v>
      </c>
      <c r="Q91" s="688">
        <f>ATAN(Q89)</f>
        <v>1.5042281630190728</v>
      </c>
      <c r="R91" s="688"/>
      <c r="S91" s="378"/>
      <c r="T91" s="7"/>
      <c r="U91" s="7"/>
      <c r="V91" s="112"/>
    </row>
    <row r="92" spans="1:22" ht="18" customHeight="1">
      <c r="A92" s="373"/>
      <c r="B92" s="357"/>
      <c r="C92" s="7"/>
      <c r="D92" s="155"/>
      <c r="E92" s="47"/>
      <c r="F92" s="155"/>
      <c r="G92" s="155"/>
      <c r="H92" s="155"/>
      <c r="I92" s="155"/>
      <c r="J92" s="155"/>
      <c r="K92" s="155"/>
      <c r="L92" s="14"/>
      <c r="M92" s="155"/>
      <c r="N92" s="155"/>
      <c r="O92" s="155"/>
      <c r="P92" s="102" t="s">
        <v>127</v>
      </c>
      <c r="Q92" s="688"/>
      <c r="R92" s="688"/>
      <c r="S92" s="378"/>
      <c r="T92" s="7"/>
      <c r="U92" s="7"/>
      <c r="V92" s="112"/>
    </row>
    <row r="93" spans="1:22" ht="18" customHeight="1">
      <c r="A93" s="373"/>
      <c r="B93" s="357"/>
      <c r="C93" s="155"/>
      <c r="D93" s="155"/>
      <c r="E93" s="47"/>
      <c r="F93" s="155"/>
      <c r="G93" s="155"/>
      <c r="H93" s="155"/>
      <c r="I93" s="155"/>
      <c r="J93" s="155"/>
      <c r="K93" s="155"/>
      <c r="L93" s="14"/>
      <c r="M93" s="155"/>
      <c r="N93" s="155"/>
      <c r="O93" s="155"/>
      <c r="P93" s="102"/>
      <c r="Q93" s="688"/>
      <c r="R93" s="688"/>
      <c r="S93" s="378"/>
      <c r="T93" s="7"/>
      <c r="U93" s="7"/>
      <c r="V93" s="112"/>
    </row>
    <row r="94" spans="1:22" ht="18" customHeight="1">
      <c r="A94" s="373"/>
      <c r="B94" s="357"/>
      <c r="C94" s="155"/>
      <c r="D94" s="155"/>
      <c r="E94" s="372"/>
      <c r="F94" s="155"/>
      <c r="G94" s="155"/>
      <c r="H94" s="155"/>
      <c r="I94" s="155"/>
      <c r="J94" s="155"/>
      <c r="K94" s="155"/>
      <c r="L94" s="7"/>
      <c r="M94" s="155"/>
      <c r="N94" s="155"/>
      <c r="O94" s="155"/>
      <c r="P94" s="123"/>
      <c r="Q94" s="380"/>
      <c r="R94" s="380"/>
      <c r="S94" s="378"/>
      <c r="T94" s="356"/>
      <c r="U94" s="155"/>
      <c r="V94" s="350"/>
    </row>
    <row r="95" spans="1:22" ht="18" customHeight="1">
      <c r="A95" s="370"/>
      <c r="B95" s="155"/>
      <c r="C95" s="155"/>
      <c r="D95" s="155"/>
      <c r="E95" s="47" t="s">
        <v>330</v>
      </c>
      <c r="F95" s="155"/>
      <c r="G95" s="155"/>
      <c r="H95" s="155"/>
      <c r="I95" s="155"/>
      <c r="J95" s="155"/>
      <c r="K95" s="28" t="s">
        <v>331</v>
      </c>
      <c r="L95" s="268" t="s">
        <v>332</v>
      </c>
      <c r="M95" s="155"/>
      <c r="N95" s="155"/>
      <c r="O95" s="155"/>
      <c r="P95" s="102" t="s">
        <v>127</v>
      </c>
      <c r="Q95" s="688">
        <f>E85*COS(Q91)</f>
        <v>0.10138858918881909</v>
      </c>
      <c r="R95" s="688"/>
      <c r="S95" s="192" t="s">
        <v>333</v>
      </c>
      <c r="T95" s="356"/>
      <c r="U95" s="155"/>
      <c r="V95" s="350"/>
    </row>
    <row r="96" spans="1:22" ht="18" customHeight="1">
      <c r="A96" s="370"/>
      <c r="B96" s="155"/>
      <c r="C96" s="155"/>
      <c r="D96" s="155"/>
      <c r="E96" s="14" t="s">
        <v>334</v>
      </c>
      <c r="F96" s="155"/>
      <c r="G96" s="155"/>
      <c r="H96" s="155"/>
      <c r="I96" s="155"/>
      <c r="J96" s="155"/>
      <c r="K96" s="28" t="s">
        <v>335</v>
      </c>
      <c r="L96" s="268" t="s">
        <v>336</v>
      </c>
      <c r="M96" s="155"/>
      <c r="N96" s="155"/>
      <c r="O96" s="155"/>
      <c r="P96" s="102" t="s">
        <v>127</v>
      </c>
      <c r="Q96" s="688">
        <f>E85*SIN(Q91)</f>
        <v>1.5208288378322858</v>
      </c>
      <c r="R96" s="688"/>
      <c r="S96" s="192" t="s">
        <v>333</v>
      </c>
      <c r="T96" s="356"/>
      <c r="U96" s="155"/>
      <c r="V96" s="350"/>
    </row>
    <row r="97" spans="1:22" ht="18" customHeight="1">
      <c r="A97" s="370"/>
      <c r="B97" s="155"/>
      <c r="C97" s="155"/>
      <c r="D97" s="155"/>
      <c r="E97" s="723" t="s">
        <v>1122</v>
      </c>
      <c r="F97" s="723"/>
      <c r="G97" s="723"/>
      <c r="H97" s="723"/>
      <c r="I97" s="723"/>
      <c r="J97" s="155"/>
      <c r="K97" s="27" t="s">
        <v>310</v>
      </c>
      <c r="L97" s="675" t="s">
        <v>127</v>
      </c>
      <c r="M97" s="155"/>
      <c r="N97" s="155" t="s">
        <v>331</v>
      </c>
      <c r="O97" s="155"/>
      <c r="P97" s="191" t="s">
        <v>351</v>
      </c>
      <c r="Q97" s="661" t="s">
        <v>335</v>
      </c>
      <c r="R97" s="541"/>
      <c r="S97" s="192"/>
      <c r="T97" s="356"/>
      <c r="U97" s="155"/>
      <c r="V97" s="350"/>
    </row>
    <row r="98" spans="1:22" ht="18" customHeight="1">
      <c r="A98" s="114"/>
      <c r="B98" s="7"/>
      <c r="C98" s="14" t="s">
        <v>337</v>
      </c>
      <c r="D98" s="155"/>
      <c r="E98" s="296" t="s">
        <v>338</v>
      </c>
      <c r="F98" s="7"/>
      <c r="G98" s="7"/>
      <c r="H98" s="7"/>
      <c r="I98" s="7"/>
      <c r="J98" s="7"/>
      <c r="K98" s="28" t="s">
        <v>310</v>
      </c>
      <c r="L98" s="235" t="s">
        <v>127</v>
      </c>
      <c r="M98" s="7"/>
      <c r="N98" s="688">
        <f>Q95</f>
        <v>0.10138858918881909</v>
      </c>
      <c r="O98" s="689"/>
      <c r="P98" s="191" t="s">
        <v>295</v>
      </c>
      <c r="Q98" s="688">
        <f>Q96</f>
        <v>1.5208288378322858</v>
      </c>
      <c r="R98" s="689"/>
      <c r="S98" s="192" t="s">
        <v>333</v>
      </c>
      <c r="T98" s="7"/>
      <c r="U98" s="7"/>
      <c r="V98" s="381"/>
    </row>
    <row r="99" spans="1:22" ht="18" customHeight="1">
      <c r="A99" s="193" t="s">
        <v>887</v>
      </c>
      <c r="B99" s="14"/>
      <c r="C99" s="14"/>
      <c r="D99" s="14"/>
      <c r="E99" s="14"/>
      <c r="F99" s="14"/>
      <c r="G99" s="14"/>
      <c r="H99" s="14"/>
      <c r="I99" s="14"/>
      <c r="J99" s="14"/>
      <c r="K99" s="14"/>
      <c r="L99" s="14"/>
      <c r="M99" s="14"/>
      <c r="N99" s="14"/>
      <c r="O99" s="14"/>
      <c r="P99" s="14"/>
      <c r="Q99" s="120"/>
      <c r="R99" s="28"/>
      <c r="S99" s="525"/>
      <c r="T99" s="14"/>
      <c r="U99" s="14"/>
      <c r="V99" s="381"/>
    </row>
    <row r="100" spans="1:22" ht="18" customHeight="1">
      <c r="A100" s="193"/>
      <c r="B100" s="14"/>
      <c r="C100" s="28" t="s">
        <v>867</v>
      </c>
      <c r="D100" s="218" t="s">
        <v>127</v>
      </c>
      <c r="E100" s="218" t="s">
        <v>310</v>
      </c>
      <c r="F100" s="28" t="s">
        <v>342</v>
      </c>
      <c r="G100" s="14" t="s">
        <v>888</v>
      </c>
      <c r="H100" s="14"/>
      <c r="I100" s="14"/>
      <c r="J100" s="120"/>
      <c r="K100" s="120"/>
      <c r="L100" s="47" t="s">
        <v>889</v>
      </c>
      <c r="M100" s="14"/>
      <c r="N100" s="257" t="s">
        <v>299</v>
      </c>
      <c r="O100" s="14" t="s">
        <v>127</v>
      </c>
      <c r="P100" s="688">
        <f>SQRT(L74^2+O74^2)</f>
        <v>0.28104318194185035</v>
      </c>
      <c r="Q100" s="688"/>
      <c r="R100" s="120" t="s">
        <v>520</v>
      </c>
      <c r="S100" s="28"/>
      <c r="T100" s="47"/>
      <c r="U100" s="14"/>
      <c r="V100" s="185"/>
    </row>
    <row r="101" spans="1:22" ht="18" customHeight="1">
      <c r="A101" s="96"/>
      <c r="B101" s="14"/>
      <c r="C101" s="14"/>
      <c r="D101" s="218" t="s">
        <v>127</v>
      </c>
      <c r="E101" s="724">
        <f>E85</f>
        <v>1.5242047106606122</v>
      </c>
      <c r="F101" s="724"/>
      <c r="G101" s="28" t="s">
        <v>342</v>
      </c>
      <c r="H101" s="689" t="s">
        <v>890</v>
      </c>
      <c r="I101" s="689"/>
      <c r="J101" s="688">
        <f>P100</f>
        <v>0.28104318194185035</v>
      </c>
      <c r="K101" s="688"/>
      <c r="L101" s="14" t="s">
        <v>350</v>
      </c>
      <c r="M101" s="14"/>
      <c r="N101" s="14"/>
      <c r="O101" s="14"/>
      <c r="P101" s="14"/>
      <c r="Q101" s="120"/>
      <c r="R101" s="28"/>
      <c r="S101" s="525"/>
      <c r="T101" s="14"/>
      <c r="U101" s="14"/>
      <c r="V101" s="381"/>
    </row>
    <row r="102" spans="1:22" ht="18" customHeight="1">
      <c r="A102" s="96"/>
      <c r="B102" s="14"/>
      <c r="C102" s="14"/>
      <c r="D102" s="218" t="s">
        <v>127</v>
      </c>
      <c r="E102" s="689">
        <f>E101/(0.8*J101)</f>
        <v>6.7792282849970542</v>
      </c>
      <c r="F102" s="689"/>
      <c r="G102" s="14"/>
      <c r="H102" s="14"/>
      <c r="I102" s="14"/>
      <c r="J102" s="14"/>
      <c r="K102" s="14"/>
      <c r="L102" s="14"/>
      <c r="M102" s="14"/>
      <c r="N102" s="14"/>
      <c r="O102" s="14"/>
      <c r="P102" s="14"/>
      <c r="Q102" s="120"/>
      <c r="R102" s="28"/>
      <c r="S102" s="525"/>
      <c r="T102" s="14"/>
      <c r="U102" s="14"/>
      <c r="V102" s="381"/>
    </row>
    <row r="103" spans="1:22" ht="18" customHeight="1">
      <c r="A103" s="96"/>
      <c r="B103" s="14"/>
      <c r="C103" s="14"/>
      <c r="D103" s="218"/>
      <c r="E103" s="28"/>
      <c r="F103" s="28"/>
      <c r="G103" s="14"/>
      <c r="H103" s="14"/>
      <c r="I103" s="14"/>
      <c r="J103" s="14"/>
      <c r="K103" s="14"/>
      <c r="L103" s="14"/>
      <c r="M103" s="14"/>
      <c r="N103" s="14"/>
      <c r="O103" s="14"/>
      <c r="P103" s="14"/>
      <c r="Q103" s="120"/>
      <c r="R103" s="28"/>
      <c r="S103" s="525"/>
      <c r="T103" s="14"/>
      <c r="U103" s="14"/>
      <c r="V103" s="381"/>
    </row>
    <row r="104" spans="1:22" ht="18" customHeight="1">
      <c r="A104" s="114"/>
      <c r="B104" s="7"/>
      <c r="C104" s="14"/>
      <c r="D104" s="155"/>
      <c r="E104" s="47"/>
      <c r="F104" s="7"/>
      <c r="G104" s="7"/>
      <c r="H104" s="7"/>
      <c r="I104" s="7"/>
      <c r="J104" s="7"/>
      <c r="K104" s="28"/>
      <c r="L104" s="235"/>
      <c r="M104" s="7"/>
      <c r="N104" s="541"/>
      <c r="O104" s="28"/>
      <c r="P104" s="102"/>
      <c r="Q104" s="541"/>
      <c r="R104" s="28"/>
      <c r="S104" s="192"/>
      <c r="T104" s="7"/>
      <c r="U104" s="7"/>
      <c r="V104" s="381"/>
    </row>
    <row r="105" spans="1:22" ht="18" customHeight="1">
      <c r="A105" s="114"/>
      <c r="B105" s="7"/>
      <c r="C105" s="7"/>
      <c r="D105" s="7"/>
      <c r="E105" s="7"/>
      <c r="F105" s="7"/>
      <c r="G105" s="7"/>
      <c r="H105" s="7"/>
      <c r="I105" s="7"/>
      <c r="J105" s="7"/>
      <c r="K105" s="7"/>
      <c r="L105" s="7"/>
      <c r="M105" s="7"/>
      <c r="N105" s="7"/>
      <c r="O105" s="7"/>
      <c r="P105" s="7"/>
      <c r="Q105" s="124"/>
      <c r="R105" s="121"/>
      <c r="S105" s="405"/>
      <c r="T105" s="7"/>
      <c r="U105" s="7"/>
      <c r="V105" s="381"/>
    </row>
    <row r="106" spans="1:22" ht="18" customHeight="1">
      <c r="A106" s="193" t="s">
        <v>339</v>
      </c>
      <c r="C106" s="155"/>
      <c r="D106" s="397"/>
      <c r="E106" s="397"/>
      <c r="F106" s="397"/>
      <c r="G106" s="375"/>
      <c r="H106" s="375"/>
      <c r="I106" s="156"/>
      <c r="J106" s="156"/>
      <c r="K106" s="156"/>
      <c r="L106" s="156"/>
      <c r="M106" s="410"/>
      <c r="N106" s="411"/>
      <c r="O106" s="412"/>
      <c r="P106" s="413"/>
      <c r="Q106" s="157"/>
      <c r="R106" s="402"/>
      <c r="S106" s="414"/>
      <c r="V106" s="10"/>
    </row>
    <row r="107" spans="1:22" ht="18" customHeight="1">
      <c r="A107" s="396"/>
      <c r="B107" s="47"/>
      <c r="C107" s="156"/>
      <c r="D107" s="397"/>
      <c r="F107" s="376"/>
      <c r="G107" s="102"/>
      <c r="H107" s="28"/>
      <c r="I107" s="28"/>
      <c r="J107" s="278"/>
      <c r="K107" s="28"/>
      <c r="L107" s="28"/>
      <c r="M107" s="28"/>
      <c r="N107" s="47"/>
      <c r="O107" s="376"/>
      <c r="P107" s="163"/>
      <c r="Q107" s="398"/>
      <c r="S107" s="376"/>
      <c r="V107" s="10"/>
    </row>
    <row r="108" spans="1:22" ht="18" customHeight="1">
      <c r="A108" s="396"/>
      <c r="B108" s="47" t="s">
        <v>321</v>
      </c>
      <c r="C108" s="156"/>
      <c r="D108" s="375"/>
      <c r="E108" s="376"/>
      <c r="F108" s="376"/>
      <c r="H108" s="376"/>
      <c r="I108" s="152"/>
      <c r="J108" s="152"/>
      <c r="K108" s="152"/>
      <c r="L108" s="152"/>
      <c r="N108" s="376"/>
      <c r="O108" s="28" t="s">
        <v>322</v>
      </c>
      <c r="P108" s="102" t="s">
        <v>127</v>
      </c>
      <c r="Q108" s="694">
        <f>Q55</f>
        <v>15</v>
      </c>
      <c r="R108" s="689"/>
      <c r="S108" s="372"/>
      <c r="V108" s="10"/>
    </row>
    <row r="109" spans="1:22" ht="18" customHeight="1">
      <c r="A109" s="396"/>
      <c r="B109" s="47" t="s">
        <v>263</v>
      </c>
      <c r="C109" s="156"/>
      <c r="D109" s="397"/>
      <c r="E109" s="7"/>
      <c r="F109" s="7"/>
      <c r="H109" s="376"/>
      <c r="I109" s="152"/>
      <c r="J109" s="152"/>
      <c r="K109" s="152"/>
      <c r="L109" s="152"/>
      <c r="N109" s="376"/>
      <c r="O109" s="28" t="s">
        <v>319</v>
      </c>
      <c r="P109" s="102" t="s">
        <v>127</v>
      </c>
      <c r="Q109" s="718">
        <f>Q52</f>
        <v>50</v>
      </c>
      <c r="R109" s="718"/>
      <c r="S109" s="47" t="s">
        <v>264</v>
      </c>
      <c r="V109" s="10"/>
    </row>
    <row r="110" spans="1:22" ht="18" customHeight="1">
      <c r="A110" s="396"/>
      <c r="B110" s="47"/>
      <c r="C110" s="156"/>
      <c r="D110" s="397"/>
      <c r="E110" s="7"/>
      <c r="F110" s="7"/>
      <c r="H110" s="376"/>
      <c r="I110" s="152"/>
      <c r="J110" s="152"/>
      <c r="K110" s="152"/>
      <c r="L110" s="152"/>
      <c r="N110" s="376"/>
      <c r="O110" s="278" t="s">
        <v>318</v>
      </c>
      <c r="P110" s="191" t="s">
        <v>127</v>
      </c>
      <c r="Q110" s="721">
        <v>3.1428571428571401</v>
      </c>
      <c r="R110" s="721"/>
      <c r="S110" s="47"/>
      <c r="V110" s="10"/>
    </row>
    <row r="111" spans="1:22" ht="18" customHeight="1">
      <c r="A111" s="396"/>
      <c r="B111" s="249" t="s">
        <v>340</v>
      </c>
      <c r="C111" s="156"/>
      <c r="D111" s="397"/>
      <c r="F111" s="123"/>
      <c r="G111" s="28" t="s">
        <v>127</v>
      </c>
      <c r="H111" s="28" t="s">
        <v>341</v>
      </c>
      <c r="I111" s="399" t="s">
        <v>342</v>
      </c>
      <c r="J111" s="28">
        <v>2</v>
      </c>
      <c r="K111" s="28" t="s">
        <v>315</v>
      </c>
      <c r="L111" s="278" t="s">
        <v>318</v>
      </c>
      <c r="M111" s="400" t="s">
        <v>315</v>
      </c>
      <c r="N111" s="218" t="s">
        <v>319</v>
      </c>
      <c r="O111" s="376"/>
      <c r="P111" s="102" t="s">
        <v>127</v>
      </c>
      <c r="Q111" s="696">
        <f>(Q108*1000)/(J111*(22/7)*Q109)</f>
        <v>47.727272727272727</v>
      </c>
      <c r="R111" s="722"/>
      <c r="S111" s="47" t="s">
        <v>343</v>
      </c>
      <c r="V111" s="10"/>
    </row>
    <row r="112" spans="1:22" ht="18" customHeight="1">
      <c r="A112" s="401"/>
      <c r="B112" s="156"/>
      <c r="C112" s="156"/>
      <c r="D112" s="397"/>
      <c r="E112" s="155"/>
      <c r="F112" s="155"/>
      <c r="G112" s="155"/>
      <c r="H112" s="155"/>
      <c r="I112" s="155"/>
      <c r="J112" s="155"/>
      <c r="K112" s="155"/>
      <c r="L112" s="155"/>
      <c r="M112" s="155"/>
      <c r="N112" s="155"/>
      <c r="O112" s="155"/>
      <c r="P112" s="155"/>
      <c r="Q112" s="155"/>
      <c r="R112" s="155"/>
      <c r="S112" s="155"/>
      <c r="V112" s="10"/>
    </row>
    <row r="113" spans="1:29" ht="18" customHeight="1">
      <c r="A113" s="193" t="s">
        <v>344</v>
      </c>
      <c r="B113" s="162"/>
      <c r="C113" s="152"/>
      <c r="D113" s="152"/>
      <c r="E113" s="152"/>
      <c r="F113" s="152"/>
      <c r="G113" s="152"/>
      <c r="H113" s="152"/>
      <c r="I113" s="152"/>
      <c r="J113" s="152"/>
      <c r="K113" s="152"/>
      <c r="L113" s="152"/>
      <c r="M113" s="152"/>
      <c r="N113" s="163"/>
      <c r="O113" s="145"/>
      <c r="P113" s="152"/>
      <c r="Q113" s="49"/>
      <c r="V113" s="10"/>
    </row>
    <row r="114" spans="1:29" ht="18" customHeight="1">
      <c r="A114" s="96" t="s">
        <v>345</v>
      </c>
      <c r="B114" s="156"/>
      <c r="C114" s="155"/>
      <c r="D114" s="155"/>
      <c r="E114" s="28" t="s">
        <v>346</v>
      </c>
      <c r="F114" s="28" t="s">
        <v>127</v>
      </c>
      <c r="G114" s="155"/>
      <c r="H114" s="28" t="s">
        <v>310</v>
      </c>
      <c r="I114" s="102" t="s">
        <v>347</v>
      </c>
      <c r="J114" s="14" t="s">
        <v>299</v>
      </c>
      <c r="K114" s="155"/>
      <c r="L114" s="155"/>
      <c r="M114" s="155"/>
      <c r="N114" s="155"/>
      <c r="O114" s="155"/>
      <c r="P114" s="155"/>
      <c r="Q114" s="402"/>
      <c r="R114" s="155"/>
      <c r="S114" s="156"/>
      <c r="V114" s="10"/>
    </row>
    <row r="115" spans="1:29" ht="18" customHeight="1">
      <c r="A115" s="370"/>
      <c r="B115" s="155"/>
      <c r="C115" s="155"/>
      <c r="D115" s="155"/>
      <c r="E115" s="155"/>
      <c r="F115" s="403" t="s">
        <v>348</v>
      </c>
      <c r="G115" s="688">
        <f>N98</f>
        <v>0.10138858918881909</v>
      </c>
      <c r="H115" s="689"/>
      <c r="I115" s="102" t="s">
        <v>295</v>
      </c>
      <c r="J115" s="688">
        <f>Q98</f>
        <v>1.5208288378322858</v>
      </c>
      <c r="K115" s="689"/>
      <c r="L115" s="28" t="s">
        <v>349</v>
      </c>
      <c r="M115" s="711">
        <f>L74</f>
        <v>3.8454000000000002E-2</v>
      </c>
      <c r="N115" s="689"/>
      <c r="O115" s="102" t="s">
        <v>295</v>
      </c>
      <c r="P115" s="711">
        <f>O74</f>
        <v>0.27839999999999998</v>
      </c>
      <c r="Q115" s="689"/>
      <c r="R115" s="14" t="s">
        <v>350</v>
      </c>
      <c r="S115" s="156"/>
      <c r="V115" s="10"/>
    </row>
    <row r="116" spans="1:29" ht="18" hidden="1" customHeight="1">
      <c r="A116" s="159"/>
      <c r="B116" s="155"/>
      <c r="C116" s="155"/>
      <c r="D116" s="155"/>
      <c r="E116" s="155"/>
      <c r="F116" s="28" t="s">
        <v>127</v>
      </c>
      <c r="G116" s="688">
        <f>G115+M115</f>
        <v>0.13984258918881909</v>
      </c>
      <c r="H116" s="689"/>
      <c r="I116" s="102" t="s">
        <v>351</v>
      </c>
      <c r="J116" s="688">
        <f>J115+P115</f>
        <v>1.7992288378322858</v>
      </c>
      <c r="K116" s="689"/>
      <c r="L116" s="404" t="s">
        <v>333</v>
      </c>
      <c r="M116" s="155"/>
      <c r="N116" s="155"/>
      <c r="O116" s="155"/>
      <c r="P116" s="155"/>
      <c r="Q116" s="155"/>
      <c r="R116" s="155"/>
      <c r="S116" s="156"/>
      <c r="V116" s="10"/>
    </row>
    <row r="117" spans="1:29" ht="18" customHeight="1">
      <c r="A117" s="159"/>
      <c r="B117" s="155"/>
      <c r="C117" s="155"/>
      <c r="D117" s="155"/>
      <c r="E117" s="155"/>
      <c r="F117" s="28"/>
      <c r="G117" s="541"/>
      <c r="H117" s="28"/>
      <c r="I117" s="102"/>
      <c r="J117" s="541"/>
      <c r="K117" s="28"/>
      <c r="L117" s="404"/>
      <c r="M117" s="155"/>
      <c r="N117" s="155"/>
      <c r="O117" s="155"/>
      <c r="P117" s="155"/>
      <c r="Q117" s="155"/>
      <c r="R117" s="155"/>
      <c r="S117" s="156"/>
      <c r="V117" s="10"/>
    </row>
    <row r="118" spans="1:29" ht="18" customHeight="1">
      <c r="A118" s="114"/>
      <c r="B118" s="7"/>
      <c r="C118" s="7"/>
      <c r="D118" s="7"/>
      <c r="E118" s="7"/>
      <c r="F118" s="676" t="s">
        <v>127</v>
      </c>
      <c r="G118" s="719" t="s">
        <v>1123</v>
      </c>
      <c r="H118" s="720"/>
      <c r="I118" s="720"/>
      <c r="J118" s="720"/>
      <c r="K118" s="720"/>
      <c r="L118" s="720"/>
      <c r="M118" s="720"/>
      <c r="N118" s="677"/>
      <c r="O118" s="7"/>
      <c r="P118" s="7"/>
      <c r="Q118" s="124"/>
      <c r="R118" s="121"/>
      <c r="S118" s="405"/>
      <c r="T118" s="7"/>
      <c r="U118" s="7"/>
      <c r="V118" s="381"/>
    </row>
    <row r="119" spans="1:29" ht="18" customHeight="1">
      <c r="A119" s="159"/>
      <c r="B119" s="155"/>
      <c r="C119" s="155"/>
      <c r="D119" s="155"/>
      <c r="E119" s="155"/>
      <c r="F119" s="27" t="s">
        <v>127</v>
      </c>
      <c r="G119" s="703">
        <f>SQRT(G116^2+J116^2)</f>
        <v>1.8046551916192608</v>
      </c>
      <c r="H119" s="689"/>
      <c r="I119" s="278" t="s">
        <v>352</v>
      </c>
      <c r="J119" s="704">
        <f>DEGREES(ATAN(J116/G116))</f>
        <v>85.555699177658028</v>
      </c>
      <c r="K119" s="689"/>
      <c r="L119" s="404" t="s">
        <v>333</v>
      </c>
      <c r="M119" s="155" t="s">
        <v>1124</v>
      </c>
      <c r="N119" s="155"/>
      <c r="O119" s="155"/>
      <c r="P119" s="155"/>
      <c r="Q119" s="155"/>
      <c r="R119" s="155"/>
      <c r="S119" s="156"/>
      <c r="V119" s="10"/>
    </row>
    <row r="120" spans="1:29" ht="18" customHeight="1">
      <c r="A120" s="159"/>
      <c r="B120" s="155"/>
      <c r="C120" s="155"/>
      <c r="D120" s="155"/>
      <c r="E120" s="120" t="s">
        <v>353</v>
      </c>
      <c r="F120" s="28" t="s">
        <v>127</v>
      </c>
      <c r="G120" s="705">
        <f>J116/G116</f>
        <v>12.866100722741342</v>
      </c>
      <c r="H120" s="689"/>
      <c r="I120" s="155"/>
      <c r="J120" s="155"/>
      <c r="K120" s="124"/>
      <c r="L120" s="121"/>
      <c r="M120" s="406"/>
      <c r="N120" s="372"/>
      <c r="O120" s="376"/>
      <c r="P120" s="153"/>
      <c r="Q120" s="407"/>
      <c r="R120" s="375"/>
      <c r="S120" s="156"/>
      <c r="V120" s="10"/>
    </row>
    <row r="121" spans="1:29" ht="18" customHeight="1">
      <c r="A121" s="159"/>
      <c r="B121" s="47" t="s">
        <v>354</v>
      </c>
      <c r="C121" s="397"/>
      <c r="D121" s="155"/>
      <c r="E121" s="397"/>
      <c r="F121" s="375"/>
      <c r="G121" s="375"/>
      <c r="H121" s="156"/>
      <c r="I121" s="156"/>
      <c r="J121" s="712" t="s">
        <v>1125</v>
      </c>
      <c r="K121" s="713"/>
      <c r="L121" s="713"/>
      <c r="M121" s="713"/>
      <c r="N121" s="713"/>
      <c r="O121" s="713"/>
      <c r="P121" s="713"/>
      <c r="Q121" s="713"/>
      <c r="R121" s="713"/>
      <c r="S121" s="713"/>
      <c r="T121" s="713"/>
      <c r="U121" s="713"/>
      <c r="V121" s="714"/>
    </row>
    <row r="122" spans="1:29" ht="18" customHeight="1">
      <c r="A122" s="159"/>
      <c r="B122" s="47"/>
      <c r="C122" s="397"/>
      <c r="D122" s="155"/>
      <c r="E122" s="397"/>
      <c r="F122" s="375"/>
      <c r="G122" s="375"/>
      <c r="H122" s="156"/>
      <c r="I122" s="156"/>
      <c r="J122" s="713"/>
      <c r="K122" s="713"/>
      <c r="L122" s="713"/>
      <c r="M122" s="713"/>
      <c r="N122" s="713"/>
      <c r="O122" s="713"/>
      <c r="P122" s="713"/>
      <c r="Q122" s="713"/>
      <c r="R122" s="713"/>
      <c r="S122" s="713"/>
      <c r="T122" s="713"/>
      <c r="U122" s="713"/>
      <c r="V122" s="714"/>
    </row>
    <row r="123" spans="1:29" ht="18" customHeight="1">
      <c r="A123" s="159"/>
      <c r="B123" s="47"/>
      <c r="C123" s="397"/>
      <c r="D123" s="155"/>
      <c r="E123" s="397"/>
      <c r="F123" s="375"/>
      <c r="G123" s="375"/>
      <c r="H123" s="156"/>
      <c r="I123" s="156"/>
      <c r="J123" s="156"/>
      <c r="K123" s="156"/>
      <c r="L123" s="236"/>
      <c r="M123" s="706">
        <f>Q81</f>
        <v>132000</v>
      </c>
      <c r="N123" s="706"/>
      <c r="O123" s="229"/>
      <c r="P123" s="648">
        <f>Q82</f>
        <v>1</v>
      </c>
      <c r="Q123" s="28"/>
      <c r="R123" s="155"/>
      <c r="S123" s="156"/>
      <c r="V123" s="10"/>
    </row>
    <row r="124" spans="1:29" ht="18" customHeight="1">
      <c r="A124" s="159"/>
      <c r="B124" s="156"/>
      <c r="C124" s="397"/>
      <c r="D124" s="375"/>
      <c r="E124" s="397"/>
      <c r="F124" s="375"/>
      <c r="G124" s="375"/>
      <c r="H124" s="156"/>
      <c r="I124" s="156"/>
      <c r="J124" s="156"/>
      <c r="K124" s="156"/>
      <c r="L124" s="157"/>
      <c r="M124" s="688">
        <f>+G119</f>
        <v>1.8046551916192608</v>
      </c>
      <c r="N124" s="688"/>
      <c r="O124" s="28" t="s">
        <v>315</v>
      </c>
      <c r="P124" s="684" t="s">
        <v>355</v>
      </c>
      <c r="Q124" s="689">
        <f>SQRT(3)</f>
        <v>1.7320508075688772</v>
      </c>
      <c r="R124" s="375"/>
      <c r="S124" s="156"/>
      <c r="V124" s="10"/>
    </row>
    <row r="125" spans="1:29" ht="18" customHeight="1">
      <c r="A125" s="9"/>
      <c r="L125" s="102" t="s">
        <v>127</v>
      </c>
      <c r="M125" s="709">
        <f>M123*P123/(M124*SQRT(3))</f>
        <v>42229.804278926844</v>
      </c>
      <c r="N125" s="710"/>
      <c r="O125" s="30" t="s">
        <v>8</v>
      </c>
      <c r="V125" s="10"/>
      <c r="W125" s="30" t="s">
        <v>400</v>
      </c>
      <c r="AB125" s="785">
        <f>Q479</f>
        <v>399.87111618404276</v>
      </c>
      <c r="AC125" s="786"/>
    </row>
    <row r="126" spans="1:29" ht="18" customHeight="1">
      <c r="A126" s="717" t="s">
        <v>1131</v>
      </c>
      <c r="B126" s="682"/>
      <c r="C126" s="682"/>
      <c r="D126" s="682"/>
      <c r="E126" s="682"/>
      <c r="F126" s="682"/>
      <c r="G126" s="682"/>
      <c r="H126" s="682"/>
      <c r="I126" s="682"/>
      <c r="J126" s="682"/>
      <c r="K126" s="682"/>
      <c r="L126" s="682"/>
      <c r="M126" s="682"/>
      <c r="N126" s="682"/>
      <c r="O126" s="682"/>
      <c r="P126" s="682"/>
      <c r="Q126" s="682"/>
      <c r="R126" s="682"/>
      <c r="S126" s="682"/>
      <c r="T126" s="682"/>
      <c r="U126" s="682"/>
      <c r="V126" s="687"/>
    </row>
    <row r="127" spans="1:29" ht="18" customHeight="1">
      <c r="A127" s="686"/>
      <c r="B127" s="682"/>
      <c r="C127" s="682"/>
      <c r="D127" s="682"/>
      <c r="E127" s="682"/>
      <c r="F127" s="682"/>
      <c r="G127" s="682"/>
      <c r="H127" s="682"/>
      <c r="I127" s="682"/>
      <c r="J127" s="682"/>
      <c r="K127" s="682"/>
      <c r="L127" s="682"/>
      <c r="M127" s="682"/>
      <c r="N127" s="682"/>
      <c r="O127" s="682"/>
      <c r="P127" s="682"/>
      <c r="Q127" s="682"/>
      <c r="R127" s="682"/>
      <c r="S127" s="682"/>
      <c r="T127" s="682"/>
      <c r="U127" s="682"/>
      <c r="V127" s="687"/>
    </row>
    <row r="128" spans="1:29" ht="18" customHeight="1">
      <c r="A128" s="193" t="s">
        <v>356</v>
      </c>
      <c r="C128" s="155"/>
      <c r="D128" s="397"/>
      <c r="E128" s="397"/>
      <c r="F128" s="397"/>
      <c r="G128" s="375"/>
      <c r="H128" s="375"/>
      <c r="I128" s="156"/>
      <c r="J128" s="156"/>
      <c r="K128" s="156"/>
      <c r="L128" s="156"/>
      <c r="M128" s="410"/>
      <c r="N128" s="411"/>
      <c r="O128" s="412"/>
      <c r="P128" s="413"/>
      <c r="Q128" s="157"/>
      <c r="R128" s="402"/>
      <c r="S128" s="414"/>
      <c r="V128" s="10"/>
    </row>
    <row r="129" spans="1:22" ht="18" customHeight="1">
      <c r="A129" s="396"/>
      <c r="B129" s="47" t="s">
        <v>357</v>
      </c>
      <c r="C129" s="156"/>
      <c r="D129" s="397"/>
      <c r="F129" s="376"/>
      <c r="G129" s="102" t="s">
        <v>127</v>
      </c>
      <c r="H129" s="28">
        <v>2</v>
      </c>
      <c r="I129" s="28" t="s">
        <v>315</v>
      </c>
      <c r="J129" s="278" t="s">
        <v>318</v>
      </c>
      <c r="K129" s="28" t="s">
        <v>315</v>
      </c>
      <c r="L129" s="28" t="s">
        <v>319</v>
      </c>
      <c r="M129" s="28" t="s">
        <v>315</v>
      </c>
      <c r="N129" s="47" t="s">
        <v>320</v>
      </c>
      <c r="O129" s="376"/>
      <c r="P129" s="163"/>
      <c r="Q129" s="398"/>
      <c r="S129" s="376"/>
      <c r="V129" s="10"/>
    </row>
    <row r="130" spans="1:22" ht="18" customHeight="1">
      <c r="A130" s="396"/>
      <c r="B130" s="47" t="s">
        <v>358</v>
      </c>
      <c r="C130" s="156"/>
      <c r="D130" s="375"/>
      <c r="E130" s="376"/>
      <c r="F130" s="376"/>
      <c r="H130" s="376"/>
      <c r="I130" s="152"/>
      <c r="J130" s="152"/>
      <c r="K130" s="152"/>
      <c r="L130" s="152"/>
      <c r="N130" s="376"/>
      <c r="O130" s="28" t="s">
        <v>322</v>
      </c>
      <c r="P130" s="102" t="s">
        <v>127</v>
      </c>
      <c r="Q130" s="692">
        <f>G120</f>
        <v>12.866100722741342</v>
      </c>
      <c r="R130" s="692"/>
      <c r="S130" s="372"/>
      <c r="V130" s="10"/>
    </row>
    <row r="131" spans="1:22" ht="18" customHeight="1">
      <c r="A131" s="396"/>
      <c r="B131" s="47" t="s">
        <v>263</v>
      </c>
      <c r="C131" s="156"/>
      <c r="D131" s="397"/>
      <c r="E131" s="7"/>
      <c r="F131" s="7"/>
      <c r="H131" s="376"/>
      <c r="I131" s="152"/>
      <c r="J131" s="152"/>
      <c r="K131" s="152"/>
      <c r="L131" s="152"/>
      <c r="N131" s="376"/>
      <c r="O131" s="28" t="s">
        <v>319</v>
      </c>
      <c r="P131" s="102" t="s">
        <v>127</v>
      </c>
      <c r="Q131" s="718">
        <f>Q52</f>
        <v>50</v>
      </c>
      <c r="R131" s="708"/>
      <c r="S131" s="47" t="s">
        <v>264</v>
      </c>
      <c r="V131" s="10"/>
    </row>
    <row r="132" spans="1:22" ht="18" customHeight="1">
      <c r="A132" s="396"/>
      <c r="B132" s="47"/>
      <c r="C132" s="156"/>
      <c r="D132" s="397"/>
      <c r="E132" s="7"/>
      <c r="F132" s="7"/>
      <c r="H132" s="376"/>
      <c r="I132" s="152"/>
      <c r="J132" s="152"/>
      <c r="K132" s="152"/>
      <c r="L132" s="152"/>
      <c r="N132" s="376"/>
      <c r="O132" s="28"/>
      <c r="P132" s="102"/>
      <c r="Q132" s="647"/>
      <c r="R132" s="229"/>
      <c r="S132" s="47"/>
      <c r="V132" s="10"/>
    </row>
    <row r="133" spans="1:22" ht="18" customHeight="1">
      <c r="A133" s="396"/>
      <c r="B133" s="249" t="s">
        <v>340</v>
      </c>
      <c r="C133" s="156"/>
      <c r="D133" s="397"/>
      <c r="F133" s="123"/>
      <c r="G133" s="28" t="s">
        <v>127</v>
      </c>
      <c r="H133" s="28" t="s">
        <v>341</v>
      </c>
      <c r="I133" s="399" t="s">
        <v>342</v>
      </c>
      <c r="J133" s="28">
        <v>2</v>
      </c>
      <c r="K133" s="28" t="s">
        <v>315</v>
      </c>
      <c r="L133" s="278" t="s">
        <v>318</v>
      </c>
      <c r="M133" s="400" t="s">
        <v>315</v>
      </c>
      <c r="N133" s="218" t="s">
        <v>319</v>
      </c>
      <c r="O133" s="376"/>
      <c r="P133" s="123" t="s">
        <v>127</v>
      </c>
      <c r="Q133" s="696">
        <f>(Q130*1000)/(J133*(22/7)*Q131)</f>
        <v>40.937593208722447</v>
      </c>
      <c r="R133" s="697"/>
      <c r="S133" s="47" t="s">
        <v>343</v>
      </c>
      <c r="V133" s="10"/>
    </row>
    <row r="134" spans="1:22" ht="18" customHeight="1">
      <c r="A134" s="9"/>
      <c r="V134" s="10"/>
    </row>
    <row r="135" spans="1:22" ht="18" customHeight="1">
      <c r="A135" s="193" t="s">
        <v>359</v>
      </c>
      <c r="V135" s="10"/>
    </row>
    <row r="136" spans="1:22" ht="18" customHeight="1">
      <c r="A136" s="184" t="s">
        <v>360</v>
      </c>
      <c r="E136" s="28" t="s">
        <v>361</v>
      </c>
      <c r="F136" s="28" t="s">
        <v>127</v>
      </c>
      <c r="G136" s="279"/>
      <c r="H136" s="28" t="s">
        <v>310</v>
      </c>
      <c r="I136" s="102" t="s">
        <v>347</v>
      </c>
      <c r="J136" s="14" t="s">
        <v>301</v>
      </c>
      <c r="K136" s="7"/>
      <c r="V136" s="10"/>
    </row>
    <row r="137" spans="1:22" ht="18" customHeight="1">
      <c r="A137" s="9"/>
      <c r="F137" s="250" t="s">
        <v>348</v>
      </c>
      <c r="G137" s="688">
        <f>N98</f>
        <v>0.10138858918881909</v>
      </c>
      <c r="H137" s="689"/>
      <c r="I137" s="102" t="s">
        <v>295</v>
      </c>
      <c r="J137" s="688">
        <f>Q98</f>
        <v>1.5208288378322858</v>
      </c>
      <c r="K137" s="689"/>
      <c r="L137" s="28" t="s">
        <v>349</v>
      </c>
      <c r="M137" s="711">
        <f>L75</f>
        <v>0.22620000000000001</v>
      </c>
      <c r="N137" s="689"/>
      <c r="O137" s="102" t="s">
        <v>295</v>
      </c>
      <c r="P137" s="711">
        <f>O75</f>
        <v>0.10439999999999999</v>
      </c>
      <c r="Q137" s="689"/>
      <c r="R137" s="14" t="s">
        <v>350</v>
      </c>
      <c r="V137" s="10"/>
    </row>
    <row r="138" spans="1:22" ht="18" customHeight="1">
      <c r="A138" s="159"/>
      <c r="F138" s="28" t="s">
        <v>127</v>
      </c>
      <c r="G138" s="688">
        <f>G137+M137</f>
        <v>0.32758858918881911</v>
      </c>
      <c r="H138" s="689"/>
      <c r="I138" s="102" t="s">
        <v>351</v>
      </c>
      <c r="J138" s="688">
        <f>J137+P137</f>
        <v>1.6252288378322859</v>
      </c>
      <c r="K138" s="689"/>
      <c r="L138" s="192" t="s">
        <v>333</v>
      </c>
      <c r="O138" s="155"/>
      <c r="P138" s="415"/>
      <c r="Q138" s="121"/>
      <c r="R138" s="414"/>
      <c r="V138" s="10"/>
    </row>
    <row r="139" spans="1:22" ht="18" customHeight="1">
      <c r="A139" s="159"/>
      <c r="F139" s="28" t="s">
        <v>127</v>
      </c>
      <c r="G139" s="703">
        <f>SQRT(G138^2+J138^2)</f>
        <v>1.6579152750030395</v>
      </c>
      <c r="H139" s="689"/>
      <c r="I139" s="278" t="s">
        <v>352</v>
      </c>
      <c r="J139" s="704">
        <f>DEGREES(ATAN(J138/G138))</f>
        <v>78.603896812409772</v>
      </c>
      <c r="K139" s="689"/>
      <c r="L139" s="192" t="s">
        <v>333</v>
      </c>
      <c r="M139" s="155" t="s">
        <v>1126</v>
      </c>
      <c r="N139" s="155"/>
      <c r="O139" s="155"/>
      <c r="P139" s="415"/>
      <c r="Q139" s="121"/>
      <c r="R139" s="414"/>
      <c r="V139" s="10"/>
    </row>
    <row r="140" spans="1:22" ht="18" customHeight="1">
      <c r="A140" s="9"/>
      <c r="M140" s="416"/>
      <c r="N140" s="7"/>
      <c r="O140" s="417"/>
      <c r="P140" s="415"/>
      <c r="Q140" s="121"/>
      <c r="R140" s="414"/>
      <c r="V140" s="10"/>
    </row>
    <row r="141" spans="1:22" ht="18" customHeight="1">
      <c r="A141" s="184" t="s">
        <v>345</v>
      </c>
      <c r="E141" s="28" t="s">
        <v>362</v>
      </c>
      <c r="F141" s="28" t="s">
        <v>127</v>
      </c>
      <c r="G141" s="279"/>
      <c r="H141" s="28" t="s">
        <v>346</v>
      </c>
      <c r="I141" s="102" t="s">
        <v>347</v>
      </c>
      <c r="J141" s="28" t="s">
        <v>363</v>
      </c>
      <c r="K141" s="28" t="s">
        <v>347</v>
      </c>
      <c r="L141" s="28" t="s">
        <v>361</v>
      </c>
      <c r="V141" s="10"/>
    </row>
    <row r="142" spans="1:22" ht="18" customHeight="1">
      <c r="A142" s="9"/>
      <c r="B142" s="250" t="s">
        <v>348</v>
      </c>
      <c r="C142" s="702">
        <f>G116</f>
        <v>0.13984258918881909</v>
      </c>
      <c r="D142" s="684"/>
      <c r="E142" s="191" t="s">
        <v>351</v>
      </c>
      <c r="F142" s="702">
        <f>J116</f>
        <v>1.7992288378322858</v>
      </c>
      <c r="G142" s="684"/>
      <c r="H142" s="27" t="s">
        <v>349</v>
      </c>
      <c r="I142" s="702">
        <f>G116</f>
        <v>0.13984258918881909</v>
      </c>
      <c r="J142" s="702"/>
      <c r="K142" s="191" t="s">
        <v>351</v>
      </c>
      <c r="L142" s="702">
        <f>J116</f>
        <v>1.7992288378322858</v>
      </c>
      <c r="M142" s="684"/>
      <c r="N142" s="27" t="s">
        <v>349</v>
      </c>
      <c r="O142" s="701">
        <f>G138</f>
        <v>0.32758858918881911</v>
      </c>
      <c r="P142" s="684"/>
      <c r="Q142" s="191" t="s">
        <v>351</v>
      </c>
      <c r="R142" s="701">
        <f>J138</f>
        <v>1.6252288378322859</v>
      </c>
      <c r="S142" s="684"/>
      <c r="T142" s="30" t="s">
        <v>350</v>
      </c>
      <c r="V142" s="10"/>
    </row>
    <row r="143" spans="1:22" ht="18" customHeight="1">
      <c r="A143" s="9"/>
      <c r="B143" s="27" t="s">
        <v>127</v>
      </c>
      <c r="C143" s="702">
        <f>C142+I142+O142</f>
        <v>0.60727376756645723</v>
      </c>
      <c r="D143" s="684"/>
      <c r="E143" s="191" t="s">
        <v>351</v>
      </c>
      <c r="F143" s="702">
        <f>F142+L142+R142</f>
        <v>5.2236865134968573</v>
      </c>
      <c r="G143" s="684"/>
      <c r="V143" s="10"/>
    </row>
    <row r="144" spans="1:22" ht="18" customHeight="1">
      <c r="A144" s="9"/>
      <c r="B144" s="28" t="s">
        <v>127</v>
      </c>
      <c r="C144" s="703">
        <f>SQRT(C143^2+F143^2)</f>
        <v>5.2588670091630298</v>
      </c>
      <c r="D144" s="689"/>
      <c r="E144" s="278" t="s">
        <v>352</v>
      </c>
      <c r="F144" s="704">
        <f>DEGREES(ATAN(F143/C143))</f>
        <v>83.368910025118566</v>
      </c>
      <c r="G144" s="689"/>
      <c r="H144" s="43" t="s">
        <v>333</v>
      </c>
      <c r="N144" s="120" t="s">
        <v>353</v>
      </c>
      <c r="O144" s="28" t="s">
        <v>127</v>
      </c>
      <c r="P144" s="705">
        <f>F143/C143</f>
        <v>8.6018642537942345</v>
      </c>
      <c r="Q144" s="705"/>
      <c r="V144" s="10"/>
    </row>
    <row r="145" spans="1:24" ht="18" hidden="1" customHeight="1">
      <c r="A145" s="159"/>
      <c r="B145" s="296" t="s">
        <v>364</v>
      </c>
      <c r="C145" s="397"/>
      <c r="D145" s="155"/>
      <c r="E145" s="397"/>
      <c r="F145" s="375"/>
      <c r="G145" s="375"/>
      <c r="H145" s="156"/>
      <c r="I145" s="156"/>
      <c r="J145" s="712" t="s">
        <v>1127</v>
      </c>
      <c r="K145" s="713"/>
      <c r="L145" s="713"/>
      <c r="M145" s="713"/>
      <c r="N145" s="713"/>
      <c r="O145" s="713"/>
      <c r="P145" s="713"/>
      <c r="Q145" s="713"/>
      <c r="R145" s="713"/>
      <c r="S145" s="713"/>
      <c r="T145" s="713"/>
      <c r="U145" s="713"/>
      <c r="V145" s="714"/>
    </row>
    <row r="146" spans="1:24" ht="18" hidden="1" customHeight="1">
      <c r="A146" s="159"/>
      <c r="B146" s="47"/>
      <c r="C146" s="397"/>
      <c r="D146" s="155"/>
      <c r="E146" s="397"/>
      <c r="F146" s="375"/>
      <c r="G146" s="375"/>
      <c r="H146" s="156"/>
      <c r="I146" s="156"/>
      <c r="J146" s="713"/>
      <c r="K146" s="713"/>
      <c r="L146" s="713"/>
      <c r="M146" s="713"/>
      <c r="N146" s="713"/>
      <c r="O146" s="713"/>
      <c r="P146" s="713"/>
      <c r="Q146" s="713"/>
      <c r="R146" s="713"/>
      <c r="S146" s="713"/>
      <c r="T146" s="713"/>
      <c r="U146" s="713"/>
      <c r="V146" s="714"/>
    </row>
    <row r="147" spans="1:24" ht="18" hidden="1" customHeight="1">
      <c r="A147" s="9"/>
      <c r="B147" s="47"/>
      <c r="C147" s="397"/>
      <c r="D147" s="155"/>
      <c r="E147" s="397"/>
      <c r="F147" s="375"/>
      <c r="G147" s="375"/>
      <c r="H147" s="156"/>
      <c r="I147" s="156"/>
      <c r="J147" s="156"/>
      <c r="K147" s="156"/>
      <c r="L147" s="236" t="s">
        <v>127</v>
      </c>
      <c r="M147" s="706">
        <f>Q81</f>
        <v>132000</v>
      </c>
      <c r="N147" s="706"/>
      <c r="O147" s="229" t="s">
        <v>315</v>
      </c>
      <c r="P147" s="707">
        <f>Q82</f>
        <v>1</v>
      </c>
      <c r="Q147" s="708"/>
      <c r="R147" s="229" t="s">
        <v>315</v>
      </c>
      <c r="S147" s="229">
        <v>3</v>
      </c>
      <c r="V147" s="10"/>
    </row>
    <row r="148" spans="1:24" ht="18" hidden="1" customHeight="1">
      <c r="A148" s="9"/>
      <c r="B148" s="156"/>
      <c r="C148" s="397"/>
      <c r="D148" s="375"/>
      <c r="E148" s="397"/>
      <c r="F148" s="375"/>
      <c r="G148" s="375"/>
      <c r="H148" s="156"/>
      <c r="I148" s="156"/>
      <c r="J148" s="156"/>
      <c r="K148" s="156"/>
      <c r="L148" s="157"/>
      <c r="M148" s="688">
        <f>+C144</f>
        <v>5.2588670091630298</v>
      </c>
      <c r="N148" s="688"/>
      <c r="O148" s="28" t="s">
        <v>315</v>
      </c>
      <c r="P148" s="689" t="s">
        <v>355</v>
      </c>
      <c r="Q148" s="689">
        <f>SQRT(3)</f>
        <v>1.7320508075688772</v>
      </c>
      <c r="R148" s="375"/>
      <c r="S148" s="156"/>
      <c r="V148" s="10"/>
    </row>
    <row r="149" spans="1:24" ht="18" customHeight="1">
      <c r="A149" s="9"/>
      <c r="C149" s="9"/>
      <c r="D149" s="47" t="s">
        <v>364</v>
      </c>
      <c r="E149" s="397"/>
      <c r="F149" s="155"/>
      <c r="G149" s="397"/>
      <c r="H149" s="375"/>
      <c r="I149" s="375"/>
      <c r="J149" s="156"/>
      <c r="K149" s="156"/>
      <c r="L149" s="712" t="s">
        <v>1138</v>
      </c>
      <c r="M149" s="713"/>
      <c r="N149" s="713"/>
      <c r="O149" s="713"/>
      <c r="P149" s="713"/>
      <c r="Q149" s="713"/>
      <c r="R149" s="713"/>
      <c r="S149" s="713"/>
      <c r="T149" s="713"/>
      <c r="U149" s="713"/>
      <c r="V149" s="713"/>
      <c r="W149" s="713"/>
      <c r="X149" s="714"/>
    </row>
    <row r="150" spans="1:24" ht="18" customHeight="1">
      <c r="A150" s="9"/>
      <c r="C150" s="9"/>
      <c r="D150" s="156"/>
      <c r="E150" s="397"/>
      <c r="F150" s="375"/>
      <c r="G150" s="397"/>
      <c r="H150" s="375"/>
      <c r="I150" s="375"/>
      <c r="J150" s="156"/>
      <c r="K150" s="156"/>
      <c r="L150" s="713"/>
      <c r="M150" s="713"/>
      <c r="N150" s="713"/>
      <c r="O150" s="713"/>
      <c r="P150" s="713"/>
      <c r="Q150" s="713"/>
      <c r="R150" s="713"/>
      <c r="S150" s="713"/>
      <c r="T150" s="713"/>
      <c r="U150" s="713"/>
      <c r="V150" s="713"/>
      <c r="W150" s="713"/>
      <c r="X150" s="714"/>
    </row>
    <row r="151" spans="1:24" ht="18" customHeight="1">
      <c r="A151" s="9"/>
      <c r="C151" s="9"/>
      <c r="K151" s="156"/>
      <c r="L151" s="156"/>
      <c r="M151" s="156"/>
      <c r="N151" s="236"/>
      <c r="O151" s="706">
        <f>Q81</f>
        <v>132000</v>
      </c>
      <c r="P151" s="706"/>
      <c r="Q151" s="229" t="s">
        <v>312</v>
      </c>
      <c r="R151" s="648">
        <v>3</v>
      </c>
      <c r="S151" s="28"/>
      <c r="T151" s="155"/>
      <c r="U151" s="156"/>
      <c r="X151" s="10"/>
    </row>
    <row r="152" spans="1:24" ht="18" customHeight="1">
      <c r="A152" s="345"/>
      <c r="B152" s="346"/>
      <c r="C152" s="346"/>
      <c r="D152" s="346"/>
      <c r="E152" s="346"/>
      <c r="F152" s="346"/>
      <c r="G152" s="346"/>
      <c r="H152" s="346"/>
      <c r="I152" s="346"/>
      <c r="J152" s="346"/>
      <c r="K152" s="156"/>
      <c r="L152" s="156"/>
      <c r="M152" s="156"/>
      <c r="N152" s="157"/>
      <c r="O152" s="688">
        <f>C144</f>
        <v>5.2588670091630298</v>
      </c>
      <c r="P152" s="688"/>
      <c r="Q152" s="28" t="s">
        <v>315</v>
      </c>
      <c r="R152" s="684" t="s">
        <v>355</v>
      </c>
      <c r="S152" s="689">
        <f>SQRT(3)</f>
        <v>1.7320508075688772</v>
      </c>
      <c r="T152" s="375"/>
      <c r="U152" s="156"/>
      <c r="X152" s="10"/>
    </row>
    <row r="153" spans="1:24" ht="18" customHeight="1">
      <c r="A153" s="382"/>
      <c r="B153" s="20"/>
      <c r="C153" s="20"/>
      <c r="D153" s="20"/>
      <c r="E153" s="20"/>
      <c r="F153" s="20"/>
      <c r="G153" s="20"/>
      <c r="H153" s="20"/>
      <c r="I153" s="20"/>
      <c r="J153" s="20"/>
      <c r="N153" s="102" t="s">
        <v>127</v>
      </c>
      <c r="O153" s="709">
        <f>O151*R151/(O152*SQRT(3))</f>
        <v>43475.278268251794</v>
      </c>
      <c r="P153" s="710"/>
      <c r="Q153" s="30" t="s">
        <v>8</v>
      </c>
      <c r="X153" s="10"/>
    </row>
    <row r="154" spans="1:24" ht="18" customHeight="1">
      <c r="A154" s="442"/>
      <c r="B154" s="384"/>
      <c r="C154" s="384"/>
      <c r="D154" s="384"/>
      <c r="E154" s="384"/>
      <c r="F154" s="384"/>
      <c r="G154" s="384"/>
      <c r="H154" s="384"/>
      <c r="I154" s="384"/>
      <c r="J154" s="384"/>
      <c r="K154" s="384"/>
      <c r="L154" s="457"/>
      <c r="M154" s="472"/>
      <c r="N154" s="472"/>
      <c r="O154" s="227"/>
      <c r="P154" s="384"/>
      <c r="Q154" s="384"/>
      <c r="R154" s="384"/>
      <c r="S154" s="384"/>
      <c r="T154" s="384"/>
      <c r="U154" s="384"/>
      <c r="V154" s="395"/>
    </row>
    <row r="155" spans="1:24" ht="18" customHeight="1">
      <c r="A155" s="248" t="s">
        <v>365</v>
      </c>
      <c r="C155" s="155"/>
      <c r="D155" s="397"/>
      <c r="E155" s="397"/>
      <c r="F155" s="397"/>
      <c r="G155" s="375"/>
      <c r="H155" s="375"/>
      <c r="I155" s="156"/>
      <c r="J155" s="156"/>
      <c r="K155" s="156"/>
      <c r="L155" s="156"/>
      <c r="M155" s="410"/>
      <c r="N155" s="411"/>
      <c r="O155" s="412"/>
      <c r="P155" s="413"/>
      <c r="Q155" s="157"/>
      <c r="R155" s="402"/>
      <c r="S155" s="414"/>
      <c r="V155" s="10"/>
    </row>
    <row r="156" spans="1:24" ht="18" customHeight="1">
      <c r="A156" s="396"/>
      <c r="B156" s="47" t="s">
        <v>357</v>
      </c>
      <c r="C156" s="156"/>
      <c r="D156" s="397"/>
      <c r="F156" s="376"/>
      <c r="G156" s="102" t="s">
        <v>127</v>
      </c>
      <c r="H156" s="28">
        <v>2</v>
      </c>
      <c r="I156" s="28" t="s">
        <v>315</v>
      </c>
      <c r="J156" s="278" t="s">
        <v>318</v>
      </c>
      <c r="K156" s="28" t="s">
        <v>315</v>
      </c>
      <c r="L156" s="28" t="s">
        <v>319</v>
      </c>
      <c r="M156" s="28" t="s">
        <v>315</v>
      </c>
      <c r="N156" s="47" t="s">
        <v>320</v>
      </c>
      <c r="O156" s="376"/>
      <c r="P156" s="163"/>
      <c r="Q156" s="398"/>
      <c r="S156" s="376"/>
      <c r="V156" s="10"/>
    </row>
    <row r="157" spans="1:24" s="7" customFormat="1" ht="18" customHeight="1">
      <c r="A157" s="396"/>
      <c r="B157" s="47" t="s">
        <v>366</v>
      </c>
      <c r="C157" s="156"/>
      <c r="D157" s="375"/>
      <c r="E157" s="376"/>
      <c r="F157" s="376"/>
      <c r="G157"/>
      <c r="H157" s="376"/>
      <c r="I157" s="152"/>
      <c r="J157" s="152"/>
      <c r="K157" s="152"/>
      <c r="L157" s="152"/>
      <c r="M157"/>
      <c r="N157" s="376"/>
      <c r="O157" s="28" t="s">
        <v>322</v>
      </c>
      <c r="P157" s="102" t="s">
        <v>127</v>
      </c>
      <c r="Q157" s="692">
        <f>P144</f>
        <v>8.6018642537942345</v>
      </c>
      <c r="R157" s="692"/>
      <c r="S157" s="372"/>
      <c r="T157"/>
      <c r="U157"/>
      <c r="V157" s="10"/>
    </row>
    <row r="158" spans="1:24" ht="18" customHeight="1">
      <c r="A158" s="396"/>
      <c r="B158" s="47" t="s">
        <v>263</v>
      </c>
      <c r="C158" s="156"/>
      <c r="D158" s="397"/>
      <c r="E158" s="7"/>
      <c r="F158" s="7"/>
      <c r="H158" s="376"/>
      <c r="I158" s="152"/>
      <c r="J158" s="152"/>
      <c r="K158" s="152"/>
      <c r="L158" s="152"/>
      <c r="N158" s="376"/>
      <c r="O158" s="28" t="s">
        <v>319</v>
      </c>
      <c r="P158" s="102" t="s">
        <v>127</v>
      </c>
      <c r="Q158" s="715">
        <f>Q52</f>
        <v>50</v>
      </c>
      <c r="R158" s="716"/>
      <c r="S158" s="47" t="s">
        <v>264</v>
      </c>
      <c r="V158" s="10"/>
    </row>
    <row r="159" spans="1:24" ht="18" customHeight="1">
      <c r="A159" s="396"/>
      <c r="B159" s="249" t="s">
        <v>340</v>
      </c>
      <c r="C159" s="156"/>
      <c r="D159" s="397"/>
      <c r="F159" s="123"/>
      <c r="G159" s="28" t="s">
        <v>127</v>
      </c>
      <c r="H159" s="28" t="s">
        <v>341</v>
      </c>
      <c r="I159" s="399" t="s">
        <v>342</v>
      </c>
      <c r="J159" s="28">
        <v>2</v>
      </c>
      <c r="K159" s="28" t="s">
        <v>315</v>
      </c>
      <c r="L159" s="278" t="s">
        <v>318</v>
      </c>
      <c r="M159" s="400" t="s">
        <v>315</v>
      </c>
      <c r="N159" s="218" t="s">
        <v>319</v>
      </c>
      <c r="O159" s="376"/>
      <c r="P159" s="102" t="s">
        <v>127</v>
      </c>
      <c r="Q159" s="696">
        <f>(Q157*1000)/(J159*(22/7)*Q158)</f>
        <v>27.369568080254382</v>
      </c>
      <c r="R159" s="697"/>
      <c r="S159" s="47" t="s">
        <v>343</v>
      </c>
      <c r="V159" s="10"/>
    </row>
    <row r="160" spans="1:24" ht="18" customHeight="1">
      <c r="A160" s="396"/>
      <c r="B160" s="249"/>
      <c r="C160" s="156"/>
      <c r="D160" s="397"/>
      <c r="F160" s="123"/>
      <c r="G160" s="28"/>
      <c r="H160" s="28"/>
      <c r="I160" s="399"/>
      <c r="J160" s="28"/>
      <c r="K160" s="28"/>
      <c r="L160" s="278"/>
      <c r="M160" s="400"/>
      <c r="N160" s="218"/>
      <c r="O160" s="376"/>
      <c r="P160" s="102"/>
      <c r="Q160" s="218"/>
      <c r="R160" s="469"/>
      <c r="S160" s="47"/>
      <c r="V160" s="10"/>
    </row>
    <row r="161" spans="1:22" ht="18" customHeight="1">
      <c r="A161" s="248" t="s">
        <v>367</v>
      </c>
      <c r="V161" s="10"/>
    </row>
    <row r="162" spans="1:22" ht="18" customHeight="1">
      <c r="A162" s="96" t="s">
        <v>345</v>
      </c>
      <c r="B162" s="156"/>
      <c r="C162" s="155"/>
      <c r="D162" s="155"/>
      <c r="E162" s="419" t="s">
        <v>368</v>
      </c>
      <c r="F162" s="28" t="s">
        <v>127</v>
      </c>
      <c r="G162" s="155"/>
      <c r="H162" s="28" t="s">
        <v>310</v>
      </c>
      <c r="I162" s="102" t="s">
        <v>347</v>
      </c>
      <c r="J162" s="30" t="s">
        <v>369</v>
      </c>
      <c r="K162" s="27" t="s">
        <v>315</v>
      </c>
      <c r="L162" s="14" t="s">
        <v>370</v>
      </c>
      <c r="M162" s="155"/>
      <c r="N162" s="155"/>
      <c r="O162" s="155"/>
      <c r="P162" s="155"/>
      <c r="Q162" s="402"/>
      <c r="R162" s="155"/>
      <c r="S162" s="156"/>
      <c r="V162" s="10"/>
    </row>
    <row r="163" spans="1:22" ht="18" customHeight="1">
      <c r="A163" s="370"/>
      <c r="B163" s="155"/>
      <c r="C163" s="155"/>
      <c r="D163" s="155"/>
      <c r="E163" s="155"/>
      <c r="F163" s="250" t="s">
        <v>348</v>
      </c>
      <c r="G163" s="688">
        <f>N98</f>
        <v>0.10138858918881909</v>
      </c>
      <c r="H163" s="689"/>
      <c r="I163" s="102" t="s">
        <v>295</v>
      </c>
      <c r="J163" s="688">
        <f>Q98</f>
        <v>1.5208288378322858</v>
      </c>
      <c r="K163" s="689"/>
      <c r="L163" s="28" t="s">
        <v>371</v>
      </c>
      <c r="M163" s="27">
        <v>0.8</v>
      </c>
      <c r="N163" s="27" t="s">
        <v>372</v>
      </c>
      <c r="O163" s="711">
        <f>L74</f>
        <v>3.8454000000000002E-2</v>
      </c>
      <c r="P163" s="689"/>
      <c r="Q163" s="102" t="s">
        <v>295</v>
      </c>
      <c r="R163" s="711">
        <f>O74</f>
        <v>0.27839999999999998</v>
      </c>
      <c r="S163" s="689"/>
      <c r="T163" s="14" t="s">
        <v>350</v>
      </c>
      <c r="V163" s="10"/>
    </row>
    <row r="164" spans="1:22" ht="18" customHeight="1">
      <c r="A164" s="159"/>
      <c r="B164" s="155"/>
      <c r="C164" s="155"/>
      <c r="D164" s="155"/>
      <c r="E164" s="155"/>
      <c r="F164" s="28" t="s">
        <v>127</v>
      </c>
      <c r="G164" s="688">
        <f>G163+(0.8*O163)</f>
        <v>0.13215178918881909</v>
      </c>
      <c r="H164" s="689"/>
      <c r="I164" s="102" t="s">
        <v>351</v>
      </c>
      <c r="J164" s="688">
        <f>J163+(0.8*R163)</f>
        <v>1.7435488378322859</v>
      </c>
      <c r="K164" s="689"/>
      <c r="L164" s="43" t="s">
        <v>333</v>
      </c>
      <c r="M164" s="155"/>
      <c r="N164" s="155"/>
      <c r="O164" s="155"/>
      <c r="P164" s="155"/>
      <c r="Q164" s="155"/>
      <c r="R164" s="155"/>
      <c r="S164" s="156"/>
      <c r="V164" s="10"/>
    </row>
    <row r="165" spans="1:22" ht="18" customHeight="1">
      <c r="A165" s="159"/>
      <c r="B165" s="155"/>
      <c r="C165" s="155"/>
      <c r="D165" s="155"/>
      <c r="E165" s="155"/>
      <c r="F165" s="28" t="s">
        <v>127</v>
      </c>
      <c r="G165" s="703">
        <f>SQRT(G164^2+J164^2)</f>
        <v>1.7485498692608459</v>
      </c>
      <c r="H165" s="689"/>
      <c r="I165" s="278" t="s">
        <v>352</v>
      </c>
      <c r="J165" s="704">
        <f>DEGREES(ATAN(J164/G164))</f>
        <v>85.665570180505625</v>
      </c>
      <c r="K165" s="689"/>
      <c r="L165" s="43" t="s">
        <v>333</v>
      </c>
      <c r="M165" s="155" t="s">
        <v>1128</v>
      </c>
      <c r="N165" s="155"/>
      <c r="O165" s="155"/>
      <c r="P165" s="155"/>
      <c r="Q165" s="155"/>
      <c r="R165" s="155"/>
      <c r="S165" s="156"/>
      <c r="V165" s="10"/>
    </row>
    <row r="166" spans="1:22" ht="18" customHeight="1">
      <c r="A166" s="159"/>
      <c r="B166" s="155"/>
      <c r="C166" s="155"/>
      <c r="D166" s="155"/>
      <c r="E166" s="120" t="s">
        <v>353</v>
      </c>
      <c r="F166" s="28" t="s">
        <v>127</v>
      </c>
      <c r="G166" s="705">
        <f>J164/G164</f>
        <v>13.193531835888315</v>
      </c>
      <c r="H166" s="689"/>
      <c r="I166" s="155"/>
      <c r="J166" s="155"/>
      <c r="K166" s="124"/>
      <c r="L166" s="121"/>
      <c r="M166" s="406"/>
      <c r="N166" s="372"/>
      <c r="O166" s="376"/>
      <c r="P166" s="153"/>
      <c r="Q166" s="407"/>
      <c r="R166" s="375"/>
      <c r="S166" s="156"/>
      <c r="V166" s="10"/>
    </row>
    <row r="167" spans="1:22" ht="18" customHeight="1">
      <c r="A167" s="159"/>
      <c r="B167" s="296" t="s">
        <v>373</v>
      </c>
      <c r="C167" s="397"/>
      <c r="D167" s="155"/>
      <c r="E167" s="397"/>
      <c r="F167" s="375"/>
      <c r="G167" s="375"/>
      <c r="H167" s="156"/>
      <c r="I167" s="156"/>
      <c r="J167" s="712" t="s">
        <v>1129</v>
      </c>
      <c r="K167" s="713"/>
      <c r="L167" s="713"/>
      <c r="M167" s="713"/>
      <c r="N167" s="713"/>
      <c r="O167" s="713"/>
      <c r="P167" s="713"/>
      <c r="Q167" s="713"/>
      <c r="R167" s="713"/>
      <c r="S167" s="713"/>
      <c r="T167" s="713"/>
      <c r="U167" s="713"/>
      <c r="V167" s="714"/>
    </row>
    <row r="168" spans="1:22" ht="18" customHeight="1">
      <c r="A168" s="159"/>
      <c r="B168" s="47"/>
      <c r="C168" s="397"/>
      <c r="D168" s="155"/>
      <c r="E168" s="397"/>
      <c r="F168" s="375"/>
      <c r="G168" s="375"/>
      <c r="H168" s="156"/>
      <c r="I168" s="156"/>
      <c r="J168" s="713"/>
      <c r="K168" s="713"/>
      <c r="L168" s="713"/>
      <c r="M168" s="713"/>
      <c r="N168" s="713"/>
      <c r="O168" s="713"/>
      <c r="P168" s="713"/>
      <c r="Q168" s="713"/>
      <c r="R168" s="713"/>
      <c r="S168" s="713"/>
      <c r="T168" s="713"/>
      <c r="U168" s="713"/>
      <c r="V168" s="714"/>
    </row>
    <row r="169" spans="1:22" ht="18" customHeight="1">
      <c r="A169" s="159"/>
      <c r="B169" s="296" t="s">
        <v>373</v>
      </c>
      <c r="C169" s="397"/>
      <c r="D169" s="155"/>
      <c r="E169" s="397"/>
      <c r="F169" s="375"/>
      <c r="G169" s="375"/>
      <c r="H169" s="156"/>
      <c r="I169" s="156"/>
      <c r="J169" s="156"/>
      <c r="K169" s="156"/>
      <c r="L169" s="236" t="s">
        <v>127</v>
      </c>
      <c r="M169" s="706">
        <f>Q81</f>
        <v>132000</v>
      </c>
      <c r="N169" s="706"/>
      <c r="O169" s="229" t="s">
        <v>315</v>
      </c>
      <c r="P169" s="707">
        <f>Q82</f>
        <v>1</v>
      </c>
      <c r="Q169" s="708"/>
      <c r="R169" s="155"/>
      <c r="S169" s="156"/>
      <c r="V169" s="10"/>
    </row>
    <row r="170" spans="1:22" ht="18" customHeight="1">
      <c r="A170" s="159"/>
      <c r="B170" s="156"/>
      <c r="C170" s="397"/>
      <c r="D170" s="375"/>
      <c r="E170" s="397"/>
      <c r="F170" s="375"/>
      <c r="G170" s="375"/>
      <c r="H170" s="156"/>
      <c r="I170" s="156"/>
      <c r="J170" s="156"/>
      <c r="K170" s="156"/>
      <c r="L170" s="236"/>
      <c r="M170" s="688">
        <f>+G165</f>
        <v>1.7485498692608459</v>
      </c>
      <c r="N170" s="688"/>
      <c r="O170" s="28" t="s">
        <v>315</v>
      </c>
      <c r="P170" s="689" t="s">
        <v>355</v>
      </c>
      <c r="Q170" s="689">
        <f>SQRT(3)</f>
        <v>1.7320508075688772</v>
      </c>
      <c r="R170" s="375"/>
      <c r="S170" s="156"/>
      <c r="V170" s="10"/>
    </row>
    <row r="171" spans="1:22" ht="18" customHeight="1">
      <c r="A171" s="159"/>
      <c r="B171" s="156"/>
      <c r="C171" s="397"/>
      <c r="D171" s="375"/>
      <c r="E171" s="397"/>
      <c r="F171" s="375"/>
      <c r="G171" s="375"/>
      <c r="H171" s="156"/>
      <c r="I171" s="156"/>
      <c r="J171" s="156"/>
      <c r="K171" s="156"/>
      <c r="L171" s="102" t="s">
        <v>127</v>
      </c>
      <c r="M171" s="709">
        <f>M169*P169/(M170*SQRT(3))</f>
        <v>43584.822413584639</v>
      </c>
      <c r="N171" s="710"/>
      <c r="O171" s="30" t="s">
        <v>8</v>
      </c>
      <c r="P171" s="121"/>
      <c r="Q171" s="121"/>
      <c r="R171" s="375"/>
      <c r="S171" s="156"/>
      <c r="V171" s="10"/>
    </row>
    <row r="172" spans="1:22" ht="18" customHeight="1">
      <c r="A172" s="159"/>
      <c r="B172" s="156"/>
      <c r="C172" s="397"/>
      <c r="D172" s="375"/>
      <c r="E172" s="397"/>
      <c r="F172" s="375"/>
      <c r="G172" s="375"/>
      <c r="H172" s="156"/>
      <c r="I172" s="156"/>
      <c r="J172" s="156"/>
      <c r="K172" s="156"/>
      <c r="L172" s="157"/>
      <c r="M172" s="420"/>
      <c r="N172" s="420"/>
      <c r="O172" s="121"/>
      <c r="P172" s="121"/>
      <c r="Q172" s="121"/>
      <c r="R172" s="375"/>
      <c r="S172" s="156"/>
      <c r="V172" s="10"/>
    </row>
    <row r="173" spans="1:22" ht="18" customHeight="1">
      <c r="A173" s="193" t="s">
        <v>374</v>
      </c>
      <c r="C173" s="155"/>
      <c r="D173" s="397"/>
      <c r="E173" s="397"/>
      <c r="F173" s="397"/>
      <c r="G173" s="375"/>
      <c r="H173" s="375"/>
      <c r="I173" s="156"/>
      <c r="J173" s="156"/>
      <c r="K173" s="156"/>
      <c r="L173" s="156"/>
      <c r="M173" s="410"/>
      <c r="N173" s="411"/>
      <c r="O173" s="412"/>
      <c r="P173" s="413"/>
      <c r="Q173" s="157"/>
      <c r="R173" s="402"/>
      <c r="S173" s="414"/>
      <c r="V173" s="10"/>
    </row>
    <row r="174" spans="1:22" ht="18" customHeight="1">
      <c r="A174" s="396"/>
      <c r="B174" s="47" t="s">
        <v>357</v>
      </c>
      <c r="C174" s="156"/>
      <c r="D174" s="397"/>
      <c r="F174" s="376"/>
      <c r="G174" s="102" t="s">
        <v>127</v>
      </c>
      <c r="H174" s="28">
        <v>2</v>
      </c>
      <c r="I174" s="28" t="s">
        <v>315</v>
      </c>
      <c r="J174" s="278" t="s">
        <v>318</v>
      </c>
      <c r="K174" s="28" t="s">
        <v>315</v>
      </c>
      <c r="L174" s="28" t="s">
        <v>319</v>
      </c>
      <c r="M174" s="28" t="s">
        <v>315</v>
      </c>
      <c r="N174" s="47" t="s">
        <v>320</v>
      </c>
      <c r="O174" s="376"/>
      <c r="P174" s="163"/>
      <c r="Q174" s="398"/>
      <c r="S174" s="376"/>
      <c r="V174" s="10"/>
    </row>
    <row r="175" spans="1:22" ht="18" customHeight="1">
      <c r="A175" s="396"/>
      <c r="B175" s="47" t="s">
        <v>375</v>
      </c>
      <c r="C175" s="156"/>
      <c r="D175" s="375"/>
      <c r="E175" s="376"/>
      <c r="F175" s="376"/>
      <c r="H175" s="376"/>
      <c r="I175" s="152"/>
      <c r="J175" s="152"/>
      <c r="K175" s="152"/>
      <c r="L175" s="152"/>
      <c r="N175" s="376"/>
      <c r="O175" s="28" t="s">
        <v>322</v>
      </c>
      <c r="P175" s="102" t="s">
        <v>127</v>
      </c>
      <c r="Q175" s="692">
        <f>G166</f>
        <v>13.193531835888315</v>
      </c>
      <c r="R175" s="692"/>
      <c r="S175" s="372"/>
      <c r="V175" s="10"/>
    </row>
    <row r="176" spans="1:22" ht="18" customHeight="1">
      <c r="A176" s="396"/>
      <c r="B176" s="47" t="s">
        <v>263</v>
      </c>
      <c r="C176" s="156"/>
      <c r="D176" s="397"/>
      <c r="E176" s="7"/>
      <c r="F176" s="7"/>
      <c r="H176" s="376"/>
      <c r="I176" s="152"/>
      <c r="J176" s="152"/>
      <c r="K176" s="152"/>
      <c r="L176" s="152"/>
      <c r="N176" s="376"/>
      <c r="O176" s="28" t="s">
        <v>319</v>
      </c>
      <c r="P176" s="102" t="s">
        <v>127</v>
      </c>
      <c r="Q176" s="694">
        <f>Q52</f>
        <v>50</v>
      </c>
      <c r="R176" s="689"/>
      <c r="S176" s="47" t="s">
        <v>264</v>
      </c>
      <c r="V176" s="10"/>
    </row>
    <row r="177" spans="1:24" ht="18" customHeight="1">
      <c r="A177" s="396"/>
      <c r="B177" s="249" t="s">
        <v>340</v>
      </c>
      <c r="C177" s="156"/>
      <c r="D177" s="397"/>
      <c r="F177" s="123"/>
      <c r="G177" s="28" t="s">
        <v>127</v>
      </c>
      <c r="H177" s="28" t="s">
        <v>341</v>
      </c>
      <c r="I177" s="399" t="s">
        <v>342</v>
      </c>
      <c r="J177" s="28">
        <v>2</v>
      </c>
      <c r="K177" s="28" t="s">
        <v>315</v>
      </c>
      <c r="L177" s="278" t="s">
        <v>318</v>
      </c>
      <c r="M177" s="400" t="s">
        <v>315</v>
      </c>
      <c r="N177" s="218" t="s">
        <v>319</v>
      </c>
      <c r="O177" s="376"/>
      <c r="P177" s="102" t="s">
        <v>127</v>
      </c>
      <c r="Q177" s="696">
        <f>(Q175*1000)/(J177*(22/7)*Q176)</f>
        <v>41.979419477826461</v>
      </c>
      <c r="R177" s="697"/>
      <c r="S177" s="47" t="s">
        <v>343</v>
      </c>
      <c r="V177" s="10"/>
    </row>
    <row r="178" spans="1:24" ht="18" customHeight="1">
      <c r="A178" s="9"/>
      <c r="V178" s="10"/>
    </row>
    <row r="179" spans="1:24" ht="18" customHeight="1">
      <c r="A179" s="193" t="s">
        <v>376</v>
      </c>
      <c r="V179" s="10"/>
    </row>
    <row r="180" spans="1:24" ht="18" customHeight="1">
      <c r="A180" s="184" t="s">
        <v>360</v>
      </c>
      <c r="E180" s="421" t="s">
        <v>377</v>
      </c>
      <c r="F180" s="28" t="s">
        <v>127</v>
      </c>
      <c r="G180" s="155"/>
      <c r="H180" s="28" t="s">
        <v>310</v>
      </c>
      <c r="I180" s="102" t="s">
        <v>347</v>
      </c>
      <c r="J180" s="30" t="s">
        <v>369</v>
      </c>
      <c r="K180" s="27" t="s">
        <v>378</v>
      </c>
      <c r="L180" s="14" t="s">
        <v>379</v>
      </c>
      <c r="V180" s="10"/>
    </row>
    <row r="181" spans="1:24" ht="18" customHeight="1">
      <c r="A181" s="9"/>
      <c r="F181" s="250" t="s">
        <v>348</v>
      </c>
      <c r="G181" s="688">
        <f>N98</f>
        <v>0.10138858918881909</v>
      </c>
      <c r="H181" s="689"/>
      <c r="I181" s="102" t="s">
        <v>295</v>
      </c>
      <c r="J181" s="688">
        <f>Q98</f>
        <v>1.5208288378322858</v>
      </c>
      <c r="K181" s="689"/>
      <c r="L181" s="28" t="s">
        <v>371</v>
      </c>
      <c r="M181" s="27">
        <v>0.8</v>
      </c>
      <c r="N181" s="27" t="s">
        <v>372</v>
      </c>
      <c r="O181" s="711">
        <f>L75</f>
        <v>0.22620000000000001</v>
      </c>
      <c r="P181" s="684"/>
      <c r="Q181" s="102" t="s">
        <v>295</v>
      </c>
      <c r="R181" s="711">
        <f>O75</f>
        <v>0.10439999999999999</v>
      </c>
      <c r="S181" s="684"/>
      <c r="T181" s="14" t="s">
        <v>350</v>
      </c>
      <c r="V181" s="10"/>
    </row>
    <row r="182" spans="1:24" ht="18" customHeight="1">
      <c r="A182" s="159"/>
      <c r="F182" s="28" t="s">
        <v>127</v>
      </c>
      <c r="G182" s="688">
        <f>G181+(0.8*O181)</f>
        <v>0.28234858918881911</v>
      </c>
      <c r="H182" s="689"/>
      <c r="I182" s="102" t="s">
        <v>351</v>
      </c>
      <c r="J182" s="688">
        <f>J181+(0.8*R181)</f>
        <v>1.6043488378322859</v>
      </c>
      <c r="K182" s="689"/>
      <c r="L182" s="43" t="s">
        <v>333</v>
      </c>
      <c r="O182" s="155"/>
      <c r="P182" s="415"/>
      <c r="Q182" s="121"/>
      <c r="R182" s="414"/>
      <c r="V182" s="10"/>
    </row>
    <row r="183" spans="1:24" ht="18" customHeight="1">
      <c r="A183" s="159"/>
      <c r="F183" s="28" t="s">
        <v>127</v>
      </c>
      <c r="G183" s="703">
        <f>SQRT(G182^2+J182^2)</f>
        <v>1.6290045792663452</v>
      </c>
      <c r="H183" s="689"/>
      <c r="I183" s="278" t="s">
        <v>352</v>
      </c>
      <c r="J183" s="704">
        <f>DEGREES(ATAN(J182/G182))</f>
        <v>80.018752878989744</v>
      </c>
      <c r="K183" s="689"/>
      <c r="L183" s="43" t="s">
        <v>333</v>
      </c>
      <c r="M183" s="155" t="s">
        <v>1130</v>
      </c>
      <c r="N183" s="155"/>
      <c r="O183" s="155"/>
      <c r="P183" s="415"/>
      <c r="Q183" s="121"/>
      <c r="R183" s="414"/>
      <c r="V183" s="10"/>
    </row>
    <row r="184" spans="1:24" ht="18" customHeight="1">
      <c r="A184" s="184" t="s">
        <v>345</v>
      </c>
      <c r="E184" s="421" t="s">
        <v>380</v>
      </c>
      <c r="F184" s="121" t="s">
        <v>127</v>
      </c>
      <c r="G184" s="689" t="s">
        <v>368</v>
      </c>
      <c r="H184" s="689"/>
      <c r="I184" s="102" t="s">
        <v>347</v>
      </c>
      <c r="J184" s="689" t="s">
        <v>381</v>
      </c>
      <c r="K184" s="689"/>
      <c r="L184" s="28" t="s">
        <v>347</v>
      </c>
      <c r="M184" s="689" t="s">
        <v>377</v>
      </c>
      <c r="N184" s="689"/>
      <c r="V184" s="10"/>
    </row>
    <row r="185" spans="1:24" ht="18" customHeight="1">
      <c r="A185" s="9"/>
      <c r="B185" s="250" t="s">
        <v>348</v>
      </c>
      <c r="C185" s="702">
        <f>G164</f>
        <v>0.13215178918881909</v>
      </c>
      <c r="D185" s="684"/>
      <c r="E185" s="191" t="s">
        <v>351</v>
      </c>
      <c r="F185" s="702">
        <f>J164</f>
        <v>1.7435488378322859</v>
      </c>
      <c r="G185" s="684"/>
      <c r="H185" s="27" t="s">
        <v>349</v>
      </c>
      <c r="I185" s="702">
        <f>G164</f>
        <v>0.13215178918881909</v>
      </c>
      <c r="J185" s="702"/>
      <c r="K185" s="191" t="s">
        <v>351</v>
      </c>
      <c r="L185" s="702">
        <f>J164</f>
        <v>1.7435488378322859</v>
      </c>
      <c r="M185" s="684"/>
      <c r="N185" s="27" t="s">
        <v>349</v>
      </c>
      <c r="O185" s="701">
        <f>G182</f>
        <v>0.28234858918881911</v>
      </c>
      <c r="P185" s="684"/>
      <c r="Q185" s="191" t="s">
        <v>351</v>
      </c>
      <c r="R185" s="701">
        <f>J182</f>
        <v>1.6043488378322859</v>
      </c>
      <c r="S185" s="684"/>
      <c r="T185" s="30" t="s">
        <v>350</v>
      </c>
      <c r="V185" s="10"/>
    </row>
    <row r="186" spans="1:24" ht="18" customHeight="1">
      <c r="A186" s="9"/>
      <c r="B186" s="27" t="s">
        <v>127</v>
      </c>
      <c r="C186" s="702">
        <f>C185+I185+O185</f>
        <v>0.54665216756645729</v>
      </c>
      <c r="D186" s="684"/>
      <c r="E186" s="191" t="s">
        <v>351</v>
      </c>
      <c r="F186" s="702">
        <f>F185+L185+R185</f>
        <v>5.0914465134968578</v>
      </c>
      <c r="G186" s="684"/>
      <c r="V186" s="10"/>
    </row>
    <row r="187" spans="1:24" ht="18" customHeight="1">
      <c r="A187" s="9"/>
      <c r="B187" s="28" t="s">
        <v>127</v>
      </c>
      <c r="C187" s="703">
        <f>SQRT(C186^2+F186^2)</f>
        <v>5.1207085634806848</v>
      </c>
      <c r="D187" s="689"/>
      <c r="E187" s="278" t="s">
        <v>352</v>
      </c>
      <c r="F187" s="704">
        <f>DEGREES(ATAN(F186/C186))</f>
        <v>83.871813067551713</v>
      </c>
      <c r="G187" s="689"/>
      <c r="H187" s="422" t="s">
        <v>333</v>
      </c>
      <c r="I187" t="s">
        <v>1132</v>
      </c>
      <c r="V187" s="10"/>
    </row>
    <row r="188" spans="1:24" ht="18" customHeight="1">
      <c r="A188" s="9"/>
      <c r="K188" s="120" t="s">
        <v>353</v>
      </c>
      <c r="L188" s="28" t="s">
        <v>127</v>
      </c>
      <c r="M188" s="705">
        <f>F186/C186</f>
        <v>9.3138687003886869</v>
      </c>
      <c r="N188" s="705"/>
      <c r="V188" s="10"/>
    </row>
    <row r="189" spans="1:24" ht="18" customHeight="1">
      <c r="A189" s="9"/>
      <c r="K189" s="120"/>
      <c r="L189" s="28"/>
      <c r="M189" s="659"/>
      <c r="N189" s="659"/>
      <c r="V189" s="10"/>
    </row>
    <row r="190" spans="1:24" ht="18" customHeight="1">
      <c r="A190" s="9"/>
      <c r="B190" t="s">
        <v>382</v>
      </c>
      <c r="K190" s="1366" t="s">
        <v>127</v>
      </c>
      <c r="L190" s="712" t="s">
        <v>1139</v>
      </c>
      <c r="M190" s="713"/>
      <c r="N190" s="713"/>
      <c r="O190" s="713"/>
      <c r="P190" s="713"/>
      <c r="Q190" s="713"/>
      <c r="R190" s="713"/>
      <c r="S190" s="713"/>
      <c r="T190" s="713"/>
      <c r="U190" s="713"/>
      <c r="V190" s="713"/>
      <c r="W190" s="713"/>
      <c r="X190" s="714"/>
    </row>
    <row r="191" spans="1:24" ht="18" customHeight="1">
      <c r="A191" s="9"/>
      <c r="K191" s="120"/>
      <c r="L191" s="713"/>
      <c r="M191" s="713"/>
      <c r="N191" s="713"/>
      <c r="O191" s="713"/>
      <c r="P191" s="713"/>
      <c r="Q191" s="713"/>
      <c r="R191" s="713"/>
      <c r="S191" s="713"/>
      <c r="T191" s="713"/>
      <c r="U191" s="713"/>
      <c r="V191" s="713"/>
      <c r="W191" s="713"/>
      <c r="X191" s="714"/>
    </row>
    <row r="192" spans="1:24" ht="22.2" customHeight="1">
      <c r="A192" s="9"/>
      <c r="V192" s="10"/>
    </row>
    <row r="193" spans="1:22" ht="18" customHeight="1">
      <c r="A193" s="9"/>
      <c r="B193" s="1365" t="s">
        <v>382</v>
      </c>
      <c r="C193" s="397"/>
      <c r="D193" s="155"/>
      <c r="E193" s="397"/>
      <c r="F193" s="375"/>
      <c r="G193" s="375"/>
      <c r="H193" s="156"/>
      <c r="I193" s="156"/>
      <c r="J193" s="156"/>
      <c r="K193" s="156"/>
      <c r="L193" s="157" t="s">
        <v>127</v>
      </c>
      <c r="M193" s="706">
        <f>Q81</f>
        <v>132000</v>
      </c>
      <c r="N193" s="706"/>
      <c r="O193" s="229" t="s">
        <v>315</v>
      </c>
      <c r="P193" s="707">
        <f>Q82</f>
        <v>1</v>
      </c>
      <c r="Q193" s="708"/>
      <c r="R193" s="229" t="s">
        <v>315</v>
      </c>
      <c r="S193" s="229">
        <v>3</v>
      </c>
      <c r="V193" s="10"/>
    </row>
    <row r="194" spans="1:22" ht="18" customHeight="1">
      <c r="A194" s="9"/>
      <c r="B194" s="156"/>
      <c r="C194" s="397"/>
      <c r="D194" s="375"/>
      <c r="E194" s="397"/>
      <c r="F194" s="375"/>
      <c r="G194" s="375"/>
      <c r="H194" s="156"/>
      <c r="I194" s="156"/>
      <c r="J194" s="156"/>
      <c r="K194" s="156"/>
      <c r="L194" s="157"/>
      <c r="M194" s="688">
        <f>+C187</f>
        <v>5.1207085634806848</v>
      </c>
      <c r="N194" s="688"/>
      <c r="O194" s="28" t="s">
        <v>315</v>
      </c>
      <c r="P194" s="689" t="s">
        <v>355</v>
      </c>
      <c r="Q194" s="689">
        <f>SQRT(3)</f>
        <v>1.7320508075688772</v>
      </c>
      <c r="R194" s="375"/>
      <c r="S194" s="156"/>
      <c r="V194" s="10"/>
    </row>
    <row r="195" spans="1:22" ht="18" customHeight="1">
      <c r="A195" s="9"/>
      <c r="L195" s="102" t="s">
        <v>127</v>
      </c>
      <c r="M195" s="690">
        <f>(M193*P193*S193)/(M194*SQRT(3))</f>
        <v>44648.255952235893</v>
      </c>
      <c r="N195" s="691"/>
      <c r="O195" s="30" t="s">
        <v>8</v>
      </c>
      <c r="V195" s="10"/>
    </row>
    <row r="196" spans="1:22" ht="18" customHeight="1">
      <c r="A196" s="193" t="s">
        <v>383</v>
      </c>
      <c r="C196" s="155"/>
      <c r="D196" s="397"/>
      <c r="E196" s="397"/>
      <c r="F196" s="397"/>
      <c r="G196" s="375"/>
      <c r="H196" s="375"/>
      <c r="I196" s="156"/>
      <c r="J196" s="156"/>
      <c r="K196" s="156"/>
      <c r="L196" s="156"/>
      <c r="M196" s="410"/>
      <c r="N196" s="411"/>
      <c r="O196" s="412"/>
      <c r="P196" s="413"/>
      <c r="Q196" s="157"/>
      <c r="R196" s="402"/>
      <c r="S196" s="414"/>
      <c r="V196" s="10"/>
    </row>
    <row r="197" spans="1:22" ht="18" customHeight="1">
      <c r="A197" s="396"/>
      <c r="B197" s="47" t="s">
        <v>357</v>
      </c>
      <c r="C197" s="156"/>
      <c r="D197" s="397"/>
      <c r="F197" s="376"/>
      <c r="G197" s="102" t="s">
        <v>127</v>
      </c>
      <c r="H197" s="28">
        <v>2</v>
      </c>
      <c r="I197" s="28" t="s">
        <v>315</v>
      </c>
      <c r="J197" s="278" t="s">
        <v>318</v>
      </c>
      <c r="K197" s="28" t="s">
        <v>315</v>
      </c>
      <c r="L197" s="28" t="s">
        <v>319</v>
      </c>
      <c r="M197" s="28" t="s">
        <v>315</v>
      </c>
      <c r="N197" s="47" t="s">
        <v>320</v>
      </c>
      <c r="O197" s="376"/>
      <c r="P197" s="163"/>
      <c r="Q197" s="398"/>
      <c r="S197" s="376"/>
      <c r="V197" s="10"/>
    </row>
    <row r="198" spans="1:22" ht="18" customHeight="1">
      <c r="A198" s="396"/>
      <c r="B198" s="47" t="s">
        <v>358</v>
      </c>
      <c r="C198" s="156"/>
      <c r="D198" s="375"/>
      <c r="E198" s="376"/>
      <c r="F198" s="376"/>
      <c r="G198" s="30"/>
      <c r="H198" s="376"/>
      <c r="I198" s="152"/>
      <c r="J198" s="152"/>
      <c r="K198" s="152"/>
      <c r="L198" s="152"/>
      <c r="N198" s="376"/>
      <c r="O198" s="28" t="s">
        <v>322</v>
      </c>
      <c r="P198" s="102" t="s">
        <v>127</v>
      </c>
      <c r="Q198" s="692">
        <f>M188</f>
        <v>9.3138687003886869</v>
      </c>
      <c r="R198" s="693"/>
      <c r="S198" s="372"/>
      <c r="V198" s="10"/>
    </row>
    <row r="199" spans="1:22" ht="18" customHeight="1">
      <c r="A199" s="396"/>
      <c r="B199" s="47" t="s">
        <v>263</v>
      </c>
      <c r="C199" s="156"/>
      <c r="D199" s="397"/>
      <c r="E199" s="7"/>
      <c r="F199" s="7"/>
      <c r="G199" s="30"/>
      <c r="H199" s="376"/>
      <c r="I199" s="152"/>
      <c r="J199" s="152"/>
      <c r="K199" s="152"/>
      <c r="L199" s="152"/>
      <c r="N199" s="376"/>
      <c r="O199" s="28" t="s">
        <v>319</v>
      </c>
      <c r="P199" s="102" t="s">
        <v>127</v>
      </c>
      <c r="Q199" s="694">
        <f>Q52</f>
        <v>50</v>
      </c>
      <c r="R199" s="695"/>
      <c r="S199" s="47" t="s">
        <v>264</v>
      </c>
      <c r="V199" s="10"/>
    </row>
    <row r="200" spans="1:22" ht="18" customHeight="1">
      <c r="A200" s="396"/>
      <c r="B200" s="249" t="s">
        <v>340</v>
      </c>
      <c r="C200" s="156"/>
      <c r="D200" s="397"/>
      <c r="F200" s="123"/>
      <c r="G200" s="28" t="s">
        <v>127</v>
      </c>
      <c r="H200" s="28" t="s">
        <v>341</v>
      </c>
      <c r="I200" s="399" t="s">
        <v>342</v>
      </c>
      <c r="J200" s="28">
        <v>2</v>
      </c>
      <c r="K200" s="28" t="s">
        <v>315</v>
      </c>
      <c r="L200" s="278" t="s">
        <v>318</v>
      </c>
      <c r="M200" s="400" t="s">
        <v>315</v>
      </c>
      <c r="N200" s="218" t="s">
        <v>319</v>
      </c>
      <c r="O200" s="103"/>
      <c r="P200" s="102" t="s">
        <v>127</v>
      </c>
      <c r="Q200" s="696">
        <f>(Q198*1000)/(J200*(22/7)*Q199)</f>
        <v>29.635036773964003</v>
      </c>
      <c r="R200" s="697"/>
      <c r="S200" s="47" t="s">
        <v>343</v>
      </c>
      <c r="V200" s="10"/>
    </row>
    <row r="201" spans="1:22" ht="18" customHeight="1">
      <c r="A201" s="698" t="s">
        <v>1136</v>
      </c>
      <c r="B201" s="684"/>
      <c r="C201" s="684"/>
      <c r="D201" s="684"/>
      <c r="E201" s="684"/>
      <c r="F201" s="684"/>
      <c r="G201" s="684"/>
      <c r="H201" s="684"/>
      <c r="I201" s="684"/>
      <c r="J201" s="684"/>
      <c r="K201" s="684"/>
      <c r="L201" s="684"/>
      <c r="M201" s="684"/>
      <c r="N201" s="684"/>
      <c r="O201" s="684"/>
      <c r="P201" s="684"/>
      <c r="Q201" s="684"/>
      <c r="R201" s="684"/>
      <c r="S201" s="684"/>
      <c r="T201" s="684"/>
      <c r="U201" s="684"/>
      <c r="V201" s="699"/>
    </row>
    <row r="202" spans="1:22" ht="18" customHeight="1">
      <c r="A202" s="685"/>
      <c r="B202" s="684"/>
      <c r="C202" s="684"/>
      <c r="D202" s="684"/>
      <c r="E202" s="684"/>
      <c r="F202" s="684"/>
      <c r="G202" s="684"/>
      <c r="H202" s="684"/>
      <c r="I202" s="684"/>
      <c r="J202" s="684"/>
      <c r="K202" s="684"/>
      <c r="L202" s="684"/>
      <c r="M202" s="684"/>
      <c r="N202" s="684"/>
      <c r="O202" s="684"/>
      <c r="P202" s="684"/>
      <c r="Q202" s="684"/>
      <c r="R202" s="684"/>
      <c r="S202" s="684"/>
      <c r="T202" s="684"/>
      <c r="U202" s="684"/>
      <c r="V202" s="699"/>
    </row>
    <row r="203" spans="1:22" s="7" customFormat="1" ht="18" customHeight="1">
      <c r="A203" s="9"/>
      <c r="B203"/>
      <c r="C203"/>
      <c r="D203"/>
      <c r="E203"/>
      <c r="F203"/>
      <c r="G203"/>
      <c r="H203"/>
      <c r="I203"/>
      <c r="J203"/>
      <c r="K203"/>
      <c r="L203"/>
      <c r="M203"/>
      <c r="N203"/>
      <c r="O203"/>
      <c r="P203"/>
      <c r="Q203"/>
      <c r="R203"/>
      <c r="S203"/>
      <c r="T203"/>
      <c r="U203"/>
      <c r="V203" s="10"/>
    </row>
    <row r="204" spans="1:22" ht="18" customHeight="1">
      <c r="A204" s="9"/>
      <c r="B204" s="781" t="s">
        <v>108</v>
      </c>
      <c r="C204" s="782"/>
      <c r="D204" s="781" t="s">
        <v>385</v>
      </c>
      <c r="E204" s="782"/>
      <c r="F204" s="689"/>
      <c r="G204" s="689"/>
      <c r="H204" s="684" t="s">
        <v>1041</v>
      </c>
      <c r="I204" s="689"/>
      <c r="J204" s="689"/>
      <c r="K204" s="689"/>
      <c r="L204" s="689"/>
      <c r="M204" s="689"/>
      <c r="N204" s="689"/>
      <c r="S204" s="187" t="s">
        <v>387</v>
      </c>
      <c r="T204" s="781" t="s">
        <v>388</v>
      </c>
      <c r="U204" s="782"/>
      <c r="V204" s="10"/>
    </row>
    <row r="205" spans="1:22" ht="18" customHeight="1">
      <c r="A205" s="683" t="s">
        <v>1135</v>
      </c>
      <c r="B205" s="684"/>
      <c r="C205" s="684"/>
      <c r="D205" s="684"/>
      <c r="H205" s="789" t="s">
        <v>390</v>
      </c>
      <c r="I205" s="789"/>
      <c r="J205" s="790" t="s">
        <v>391</v>
      </c>
      <c r="K205" s="790"/>
      <c r="L205" s="790" t="s">
        <v>392</v>
      </c>
      <c r="M205" s="790"/>
      <c r="T205" s="781"/>
      <c r="U205" s="782"/>
      <c r="V205" s="10"/>
    </row>
    <row r="206" spans="1:22" ht="18" customHeight="1">
      <c r="A206" s="685"/>
      <c r="B206" s="684"/>
      <c r="C206" s="684"/>
      <c r="D206" s="684"/>
      <c r="F206" s="681" t="s">
        <v>1101</v>
      </c>
      <c r="G206" s="682"/>
      <c r="H206" s="682"/>
      <c r="I206" s="682"/>
      <c r="J206" s="682"/>
      <c r="K206" s="682"/>
      <c r="L206" s="682"/>
      <c r="M206" s="682"/>
      <c r="T206" s="664"/>
      <c r="U206" s="664"/>
      <c r="V206" s="10"/>
    </row>
    <row r="207" spans="1:22" ht="18" customHeight="1">
      <c r="A207" s="9"/>
      <c r="B207" s="47" t="s">
        <v>393</v>
      </c>
      <c r="H207" s="791">
        <v>1500</v>
      </c>
      <c r="I207" s="792"/>
      <c r="J207" s="781">
        <v>1800</v>
      </c>
      <c r="K207" s="782"/>
      <c r="L207" s="781" t="s">
        <v>6</v>
      </c>
      <c r="M207" s="782"/>
      <c r="N207" s="191" t="s">
        <v>342</v>
      </c>
      <c r="O207" s="125">
        <v>1</v>
      </c>
      <c r="P207" s="27" t="s">
        <v>8</v>
      </c>
      <c r="V207" s="10"/>
    </row>
    <row r="208" spans="1:22" ht="18" customHeight="1">
      <c r="A208" s="9"/>
      <c r="B208" s="47" t="s">
        <v>394</v>
      </c>
      <c r="H208" s="781" t="s">
        <v>395</v>
      </c>
      <c r="I208" s="782"/>
      <c r="V208" s="10"/>
    </row>
    <row r="209" spans="1:22" ht="18" customHeight="1">
      <c r="A209" s="9"/>
      <c r="B209" s="47" t="s">
        <v>396</v>
      </c>
      <c r="G209" s="120" t="s">
        <v>397</v>
      </c>
      <c r="H209" s="781">
        <v>20</v>
      </c>
      <c r="I209" s="782"/>
      <c r="J209" s="192" t="s">
        <v>333</v>
      </c>
      <c r="M209" s="14"/>
      <c r="V209" s="10"/>
    </row>
    <row r="210" spans="1:22" ht="18" customHeight="1">
      <c r="A210" s="9"/>
      <c r="B210" s="47" t="s">
        <v>398</v>
      </c>
      <c r="G210" s="120" t="s">
        <v>399</v>
      </c>
      <c r="H210" s="781">
        <v>3000</v>
      </c>
      <c r="I210" s="782"/>
      <c r="J210" s="14" t="s">
        <v>305</v>
      </c>
      <c r="V210" s="10"/>
    </row>
    <row r="211" spans="1:22" ht="18" customHeight="1">
      <c r="A211" s="9"/>
      <c r="B211" s="14" t="s">
        <v>401</v>
      </c>
      <c r="G211" s="120" t="s">
        <v>402</v>
      </c>
      <c r="H211" s="781">
        <v>10</v>
      </c>
      <c r="I211" s="782"/>
      <c r="J211" s="14" t="s">
        <v>403</v>
      </c>
      <c r="M211" s="14"/>
      <c r="N211" s="232"/>
      <c r="O211" s="232"/>
      <c r="P211" s="232"/>
      <c r="Q211" s="232"/>
      <c r="R211" s="232"/>
      <c r="S211" s="233"/>
      <c r="V211" s="10"/>
    </row>
    <row r="212" spans="1:22" ht="18" customHeight="1">
      <c r="A212" s="9"/>
      <c r="N212" s="232"/>
      <c r="O212" s="232"/>
      <c r="P212" s="232"/>
      <c r="Q212" s="232"/>
      <c r="R212" s="232"/>
      <c r="S212" s="233"/>
      <c r="V212" s="10"/>
    </row>
    <row r="213" spans="1:22" ht="18" customHeight="1">
      <c r="A213" s="9"/>
      <c r="V213" s="10"/>
    </row>
    <row r="214" spans="1:22" ht="18" customHeight="1">
      <c r="A214" s="116" t="s">
        <v>404</v>
      </c>
      <c r="V214" s="10"/>
    </row>
    <row r="215" spans="1:22" ht="18" customHeight="1">
      <c r="A215" s="9"/>
      <c r="V215" s="10"/>
    </row>
    <row r="216" spans="1:22" ht="18" customHeight="1">
      <c r="A216" s="9"/>
      <c r="B216" s="194" t="s">
        <v>405</v>
      </c>
      <c r="C216" s="195"/>
      <c r="D216" s="195" t="str">
        <f>T204</f>
        <v>RED670</v>
      </c>
      <c r="E216" s="423"/>
      <c r="F216" s="423"/>
      <c r="G216" s="423"/>
      <c r="H216" s="182" t="s">
        <v>406</v>
      </c>
      <c r="I216" s="183" t="s">
        <v>127</v>
      </c>
      <c r="J216" s="787">
        <f>'CT-VT Burdens'!Q104</f>
        <v>0.02</v>
      </c>
      <c r="K216" s="788"/>
      <c r="L216" s="202" t="s">
        <v>157</v>
      </c>
      <c r="N216" s="197" t="s">
        <v>407</v>
      </c>
      <c r="V216" s="10"/>
    </row>
    <row r="217" spans="1:22" ht="18" customHeight="1">
      <c r="A217" s="9"/>
      <c r="B217" s="184" t="s">
        <v>405</v>
      </c>
      <c r="D217" s="424"/>
      <c r="E217" s="14"/>
      <c r="I217" s="28" t="s">
        <v>127</v>
      </c>
      <c r="J217" s="787"/>
      <c r="K217" s="788"/>
      <c r="L217" s="297" t="s">
        <v>157</v>
      </c>
      <c r="N217" s="27" t="s">
        <v>408</v>
      </c>
      <c r="O217" s="27" t="s">
        <v>127</v>
      </c>
      <c r="P217" s="27" t="s">
        <v>409</v>
      </c>
      <c r="Q217" s="191" t="s">
        <v>410</v>
      </c>
      <c r="R217" s="27" t="s">
        <v>411</v>
      </c>
      <c r="S217" s="27" t="s">
        <v>315</v>
      </c>
      <c r="T217" s="27" t="s">
        <v>411</v>
      </c>
      <c r="U217" s="30" t="s">
        <v>350</v>
      </c>
      <c r="V217" s="10"/>
    </row>
    <row r="218" spans="1:22" ht="18" customHeight="1">
      <c r="A218" s="9"/>
      <c r="B218" s="184" t="s">
        <v>405</v>
      </c>
      <c r="D218" s="424"/>
      <c r="E218" s="14"/>
      <c r="G218" s="199"/>
      <c r="H218" s="425"/>
      <c r="I218" s="101" t="s">
        <v>127</v>
      </c>
      <c r="J218" s="787"/>
      <c r="K218" s="788"/>
      <c r="L218" s="426" t="s">
        <v>157</v>
      </c>
      <c r="O218" s="27" t="s">
        <v>127</v>
      </c>
      <c r="P218" s="204">
        <f>J220</f>
        <v>1.0970224400000002</v>
      </c>
      <c r="Q218" s="191" t="s">
        <v>410</v>
      </c>
      <c r="R218" s="27">
        <f>O207</f>
        <v>1</v>
      </c>
      <c r="S218" s="27" t="s">
        <v>315</v>
      </c>
      <c r="T218" s="27">
        <f>O207</f>
        <v>1</v>
      </c>
      <c r="U218" s="30" t="s">
        <v>350</v>
      </c>
      <c r="V218" s="10"/>
    </row>
    <row r="219" spans="1:22" ht="18" customHeight="1">
      <c r="A219" s="9"/>
      <c r="B219" s="184" t="s">
        <v>412</v>
      </c>
      <c r="H219" s="425"/>
      <c r="I219" s="427" t="s">
        <v>127</v>
      </c>
      <c r="J219" s="793">
        <f>'CT-VT Burdens'!S24</f>
        <v>1.0770224400000001</v>
      </c>
      <c r="K219" s="794"/>
      <c r="L219" s="426" t="s">
        <v>157</v>
      </c>
      <c r="O219" s="27" t="s">
        <v>127</v>
      </c>
      <c r="P219" s="795">
        <f>P218/(R218*T218)</f>
        <v>1.0970224400000002</v>
      </c>
      <c r="Q219" s="795"/>
      <c r="R219" s="192" t="s">
        <v>333</v>
      </c>
      <c r="V219" s="10"/>
    </row>
    <row r="220" spans="1:22" ht="18" customHeight="1">
      <c r="A220" s="9"/>
      <c r="B220" s="205" t="s">
        <v>413</v>
      </c>
      <c r="C220" s="206"/>
      <c r="D220" s="206"/>
      <c r="E220" s="206"/>
      <c r="F220" s="346"/>
      <c r="G220" s="346"/>
      <c r="H220" s="190" t="s">
        <v>409</v>
      </c>
      <c r="I220" s="208" t="s">
        <v>127</v>
      </c>
      <c r="J220" s="766">
        <f>SUM(J216:K219)</f>
        <v>1.0970224400000002</v>
      </c>
      <c r="K220" s="796"/>
      <c r="L220" s="428" t="s">
        <v>157</v>
      </c>
      <c r="V220" s="10"/>
    </row>
    <row r="221" spans="1:22" ht="18" customHeight="1">
      <c r="A221" s="9"/>
      <c r="V221" s="10"/>
    </row>
    <row r="222" spans="1:22" ht="18" customHeight="1">
      <c r="A222" s="116" t="s">
        <v>414</v>
      </c>
      <c r="V222" s="10"/>
    </row>
    <row r="223" spans="1:22" ht="18" customHeight="1">
      <c r="A223" s="678" t="s">
        <v>415</v>
      </c>
      <c r="B223" s="679"/>
      <c r="C223" s="679"/>
      <c r="D223" s="679"/>
      <c r="E223" s="679"/>
      <c r="F223" s="679"/>
      <c r="G223" s="679"/>
      <c r="H223" s="679"/>
      <c r="I223" s="679"/>
      <c r="J223" s="679"/>
      <c r="K223" s="679"/>
      <c r="L223" s="679"/>
      <c r="M223" s="679"/>
      <c r="N223" s="679"/>
      <c r="O223" s="679"/>
      <c r="P223" s="679"/>
      <c r="Q223" s="679"/>
      <c r="R223" s="679"/>
      <c r="S223" s="679"/>
      <c r="T223" s="679"/>
      <c r="U223" s="679"/>
      <c r="V223" s="680"/>
    </row>
    <row r="224" spans="1:22" ht="18" customHeight="1">
      <c r="A224" s="678"/>
      <c r="B224" s="679"/>
      <c r="C224" s="679"/>
      <c r="D224" s="679"/>
      <c r="E224" s="679"/>
      <c r="F224" s="679"/>
      <c r="G224" s="679"/>
      <c r="H224" s="679"/>
      <c r="I224" s="679"/>
      <c r="J224" s="679"/>
      <c r="K224" s="679"/>
      <c r="L224" s="679"/>
      <c r="M224" s="679"/>
      <c r="N224" s="679"/>
      <c r="O224" s="679"/>
      <c r="P224" s="679"/>
      <c r="Q224" s="679"/>
      <c r="R224" s="679"/>
      <c r="S224" s="679"/>
      <c r="T224" s="679"/>
      <c r="U224" s="679"/>
      <c r="V224" s="680"/>
    </row>
    <row r="225" spans="1:22" ht="18" customHeight="1">
      <c r="A225" s="193" t="s">
        <v>416</v>
      </c>
      <c r="V225" s="10"/>
    </row>
    <row r="226" spans="1:22" ht="18" customHeight="1">
      <c r="A226" s="799" t="s">
        <v>417</v>
      </c>
      <c r="B226" s="800"/>
      <c r="C226" s="800"/>
      <c r="D226" s="14"/>
      <c r="E226" s="7"/>
      <c r="F226" s="802" t="s">
        <v>418</v>
      </c>
      <c r="G226" s="802"/>
      <c r="H226" s="689" t="s">
        <v>315</v>
      </c>
      <c r="I226" s="708" t="s">
        <v>411</v>
      </c>
      <c r="J226" s="803"/>
      <c r="K226" s="689" t="s">
        <v>315</v>
      </c>
      <c r="L226" s="802" t="s">
        <v>419</v>
      </c>
      <c r="M226" s="689" t="s">
        <v>420</v>
      </c>
      <c r="N226" s="729" t="s">
        <v>347</v>
      </c>
      <c r="O226" s="689" t="s">
        <v>408</v>
      </c>
      <c r="P226" s="689" t="s">
        <v>347</v>
      </c>
      <c r="Q226" s="759" t="s">
        <v>421</v>
      </c>
      <c r="R226" s="797"/>
      <c r="S226" s="797"/>
      <c r="T226" s="798" t="s">
        <v>350</v>
      </c>
      <c r="U226" s="230" t="s">
        <v>422</v>
      </c>
      <c r="V226" s="112"/>
    </row>
    <row r="227" spans="1:22" ht="18" customHeight="1">
      <c r="A227" s="801"/>
      <c r="B227" s="800"/>
      <c r="C227" s="800"/>
      <c r="D227" s="14"/>
      <c r="E227" s="7"/>
      <c r="F227" s="802"/>
      <c r="G227" s="802"/>
      <c r="H227" s="689"/>
      <c r="I227" s="689" t="s">
        <v>423</v>
      </c>
      <c r="J227" s="804"/>
      <c r="K227" s="689"/>
      <c r="L227" s="802"/>
      <c r="M227" s="689"/>
      <c r="N227" s="729"/>
      <c r="O227" s="689"/>
      <c r="P227" s="689"/>
      <c r="Q227" s="28" t="s">
        <v>146</v>
      </c>
      <c r="R227" s="28" t="s">
        <v>315</v>
      </c>
      <c r="S227" s="28" t="s">
        <v>146</v>
      </c>
      <c r="T227" s="798"/>
      <c r="U227" s="7"/>
      <c r="V227" s="112"/>
    </row>
    <row r="228" spans="1:22" ht="18" customHeight="1">
      <c r="A228" s="193" t="s">
        <v>424</v>
      </c>
      <c r="L228" s="429"/>
      <c r="M228" s="425"/>
      <c r="O228" s="425"/>
      <c r="V228" s="10"/>
    </row>
    <row r="229" spans="1:22" ht="18" customHeight="1">
      <c r="A229" s="799" t="s">
        <v>417</v>
      </c>
      <c r="B229" s="800"/>
      <c r="C229" s="800"/>
      <c r="D229" s="689">
        <v>2</v>
      </c>
      <c r="E229" s="689" t="s">
        <v>315</v>
      </c>
      <c r="F229" s="802" t="s">
        <v>425</v>
      </c>
      <c r="G229" s="802"/>
      <c r="H229" s="689" t="s">
        <v>315</v>
      </c>
      <c r="I229" s="708" t="s">
        <v>411</v>
      </c>
      <c r="J229" s="803"/>
      <c r="K229" s="689" t="s">
        <v>315</v>
      </c>
      <c r="L229" s="802" t="s">
        <v>419</v>
      </c>
      <c r="M229" s="689" t="s">
        <v>420</v>
      </c>
      <c r="N229" s="729" t="s">
        <v>347</v>
      </c>
      <c r="O229" s="689" t="s">
        <v>408</v>
      </c>
      <c r="P229" s="689" t="s">
        <v>347</v>
      </c>
      <c r="Q229" s="759" t="s">
        <v>421</v>
      </c>
      <c r="R229" s="797"/>
      <c r="S229" s="797"/>
      <c r="T229" s="798" t="s">
        <v>350</v>
      </c>
      <c r="U229" s="230" t="s">
        <v>426</v>
      </c>
      <c r="V229" s="112"/>
    </row>
    <row r="230" spans="1:22" ht="18" customHeight="1">
      <c r="A230" s="801"/>
      <c r="B230" s="800"/>
      <c r="C230" s="800"/>
      <c r="D230" s="689"/>
      <c r="E230" s="689"/>
      <c r="F230" s="802"/>
      <c r="G230" s="802"/>
      <c r="H230" s="689"/>
      <c r="I230" s="689" t="s">
        <v>423</v>
      </c>
      <c r="J230" s="804"/>
      <c r="K230" s="689"/>
      <c r="L230" s="802"/>
      <c r="M230" s="689"/>
      <c r="N230" s="729"/>
      <c r="O230" s="689"/>
      <c r="P230" s="689"/>
      <c r="Q230" s="28" t="s">
        <v>146</v>
      </c>
      <c r="R230" s="28" t="s">
        <v>315</v>
      </c>
      <c r="S230" s="28" t="s">
        <v>146</v>
      </c>
      <c r="T230" s="798"/>
      <c r="U230" s="7"/>
      <c r="V230" s="112"/>
    </row>
    <row r="231" spans="1:22" ht="18" customHeight="1">
      <c r="A231" s="9"/>
      <c r="V231" s="10"/>
    </row>
    <row r="232" spans="1:22" ht="18" customHeight="1">
      <c r="A232" s="9"/>
      <c r="B232" s="14" t="s">
        <v>427</v>
      </c>
      <c r="C232" s="14"/>
      <c r="D232" s="103"/>
      <c r="E232" s="103"/>
      <c r="F232" s="14"/>
      <c r="G232" s="14"/>
      <c r="H232" s="5"/>
      <c r="I232" s="5"/>
      <c r="J232" s="5"/>
      <c r="P232" s="120" t="s">
        <v>428</v>
      </c>
      <c r="V232" s="10"/>
    </row>
    <row r="233" spans="1:22" ht="18" customHeight="1">
      <c r="A233" s="9"/>
      <c r="B233" s="14" t="s">
        <v>429</v>
      </c>
      <c r="C233" s="14"/>
      <c r="D233" s="103"/>
      <c r="E233" s="103"/>
      <c r="F233" s="14"/>
      <c r="G233" s="14"/>
      <c r="H233" s="5"/>
      <c r="I233" s="5"/>
      <c r="J233" s="5"/>
      <c r="P233" s="120" t="s">
        <v>430</v>
      </c>
      <c r="Q233" s="234" t="s">
        <v>127</v>
      </c>
      <c r="R233" s="684">
        <f>H207</f>
        <v>1500</v>
      </c>
      <c r="S233" s="684"/>
      <c r="T233" s="14" t="s">
        <v>8</v>
      </c>
      <c r="V233" s="10"/>
    </row>
    <row r="234" spans="1:22" ht="18" customHeight="1">
      <c r="A234" s="9"/>
      <c r="B234" s="14" t="s">
        <v>431</v>
      </c>
      <c r="C234" s="14"/>
      <c r="D234" s="14"/>
      <c r="E234" s="14"/>
      <c r="F234" s="14"/>
      <c r="G234" s="14"/>
      <c r="H234" s="14"/>
      <c r="I234" s="14"/>
      <c r="J234" s="14"/>
      <c r="P234" s="120" t="s">
        <v>418</v>
      </c>
      <c r="Q234" s="234" t="s">
        <v>127</v>
      </c>
      <c r="R234" s="684">
        <f>'Parameters &amp; Fault Cal. (4)'!Q32</f>
        <v>50000</v>
      </c>
      <c r="S234" s="684"/>
      <c r="T234" s="14" t="s">
        <v>8</v>
      </c>
      <c r="V234" s="10"/>
    </row>
    <row r="235" spans="1:22" ht="18" customHeight="1">
      <c r="A235" s="9"/>
      <c r="B235" s="14" t="s">
        <v>432</v>
      </c>
      <c r="C235" s="14"/>
      <c r="D235" s="14"/>
      <c r="E235" s="14"/>
      <c r="F235" s="14"/>
      <c r="G235" s="14"/>
      <c r="H235" s="14"/>
      <c r="I235" s="14"/>
      <c r="J235" s="14"/>
      <c r="P235" s="120" t="s">
        <v>425</v>
      </c>
      <c r="Q235" s="234" t="s">
        <v>127</v>
      </c>
      <c r="R235" s="713">
        <f>'Parameters &amp; Fault Cal. (4)'!M71</f>
        <v>42229.804278926844</v>
      </c>
      <c r="S235" s="684"/>
      <c r="T235" s="14" t="s">
        <v>8</v>
      </c>
      <c r="U235" s="30" t="s">
        <v>433</v>
      </c>
      <c r="V235" s="10"/>
    </row>
    <row r="236" spans="1:22" ht="18" customHeight="1">
      <c r="A236" s="9"/>
      <c r="B236" s="14"/>
      <c r="C236" s="14"/>
      <c r="D236" s="14"/>
      <c r="E236" s="14"/>
      <c r="F236" s="14"/>
      <c r="G236" s="14"/>
      <c r="H236" s="14"/>
      <c r="I236" s="14"/>
      <c r="J236" s="14"/>
      <c r="P236" s="120"/>
      <c r="Q236" s="234" t="s">
        <v>127</v>
      </c>
      <c r="R236" s="713">
        <f>'Parameters &amp; Fault Cal. (4)'!M92</f>
        <v>43475.278268251794</v>
      </c>
      <c r="S236" s="684"/>
      <c r="T236" s="14" t="s">
        <v>8</v>
      </c>
      <c r="U236" s="30" t="s">
        <v>434</v>
      </c>
      <c r="V236" s="10"/>
    </row>
    <row r="237" spans="1:22" ht="18" customHeight="1">
      <c r="A237" s="9"/>
      <c r="B237" s="14" t="s">
        <v>435</v>
      </c>
      <c r="C237" s="14"/>
      <c r="D237" s="103"/>
      <c r="E237" s="103"/>
      <c r="F237" s="14"/>
      <c r="G237" s="14"/>
      <c r="H237" s="5"/>
      <c r="I237" s="5"/>
      <c r="J237" s="5"/>
      <c r="P237" s="120" t="s">
        <v>436</v>
      </c>
      <c r="Q237" s="234" t="s">
        <v>127</v>
      </c>
      <c r="R237" s="684">
        <f>'CT-VT Burdens'!S17</f>
        <v>1</v>
      </c>
      <c r="S237" s="684"/>
      <c r="T237" s="14" t="s">
        <v>8</v>
      </c>
      <c r="V237" s="10"/>
    </row>
    <row r="238" spans="1:22" ht="18" customHeight="1">
      <c r="A238" s="9"/>
      <c r="B238" s="14" t="s">
        <v>437</v>
      </c>
      <c r="C238" s="14"/>
      <c r="D238" s="103"/>
      <c r="E238" s="103"/>
      <c r="F238" s="14"/>
      <c r="G238" s="14"/>
      <c r="H238" s="5"/>
      <c r="I238" s="5"/>
      <c r="J238" s="5"/>
      <c r="P238" s="120" t="s">
        <v>438</v>
      </c>
      <c r="Q238" s="234" t="s">
        <v>127</v>
      </c>
      <c r="R238" s="684">
        <f>'CT-VT Burdens'!S18</f>
        <v>1</v>
      </c>
      <c r="S238" s="684"/>
      <c r="T238" s="14" t="s">
        <v>8</v>
      </c>
      <c r="V238" s="10"/>
    </row>
    <row r="239" spans="1:22" ht="18" hidden="1" customHeight="1">
      <c r="A239" s="9"/>
      <c r="B239" s="14" t="s">
        <v>439</v>
      </c>
      <c r="C239" s="14"/>
      <c r="D239" s="103"/>
      <c r="E239" s="103"/>
      <c r="F239" s="14"/>
      <c r="G239" s="14"/>
      <c r="H239" s="5"/>
      <c r="I239" s="5"/>
      <c r="J239" s="5"/>
      <c r="P239" s="120" t="s">
        <v>440</v>
      </c>
      <c r="Q239" s="234" t="s">
        <v>127</v>
      </c>
      <c r="R239" s="684">
        <f>H209</f>
        <v>20</v>
      </c>
      <c r="S239" s="684"/>
      <c r="T239" s="192" t="s">
        <v>333</v>
      </c>
      <c r="V239" s="10"/>
    </row>
    <row r="240" spans="1:22" ht="18" hidden="1" customHeight="1">
      <c r="A240" s="9"/>
      <c r="B240" s="7" t="s">
        <v>153</v>
      </c>
      <c r="C240" s="14"/>
      <c r="D240" s="14"/>
      <c r="E240" s="14"/>
      <c r="F240" s="14"/>
      <c r="G240" s="14"/>
      <c r="H240" s="14"/>
      <c r="I240" s="14"/>
      <c r="J240" s="14"/>
      <c r="P240" s="237" t="s">
        <v>441</v>
      </c>
      <c r="Q240" s="234" t="s">
        <v>127</v>
      </c>
      <c r="R240" s="795">
        <f>P219</f>
        <v>1.0970224400000002</v>
      </c>
      <c r="S240" s="684"/>
      <c r="T240" s="192" t="s">
        <v>333</v>
      </c>
      <c r="V240" s="10"/>
    </row>
    <row r="241" spans="1:29" ht="18" customHeight="1">
      <c r="A241" s="9"/>
      <c r="B241" s="40" t="s">
        <v>442</v>
      </c>
      <c r="C241" s="14"/>
      <c r="D241" s="14"/>
      <c r="E241" s="14"/>
      <c r="F241" s="14"/>
      <c r="G241" s="14"/>
      <c r="H241" s="5"/>
      <c r="I241" s="5"/>
      <c r="J241" s="5"/>
      <c r="P241" s="237" t="s">
        <v>443</v>
      </c>
      <c r="Q241" s="234" t="s">
        <v>127</v>
      </c>
      <c r="R241" s="795">
        <f>J216</f>
        <v>0.02</v>
      </c>
      <c r="S241" s="684"/>
      <c r="T241" s="14" t="s">
        <v>157</v>
      </c>
      <c r="V241" s="10"/>
    </row>
    <row r="242" spans="1:29" ht="18" customHeight="1">
      <c r="A242" s="9"/>
      <c r="B242" s="40"/>
      <c r="C242" s="14"/>
      <c r="D242" s="14"/>
      <c r="E242" s="14"/>
      <c r="F242" s="14"/>
      <c r="G242" s="14"/>
      <c r="H242" s="5"/>
      <c r="I242" s="5"/>
      <c r="J242" s="5"/>
      <c r="P242" s="237"/>
      <c r="Q242" s="234"/>
      <c r="R242" s="211"/>
      <c r="S242" s="27"/>
      <c r="T242" s="14"/>
      <c r="V242" s="10"/>
    </row>
    <row r="243" spans="1:29" s="7" customFormat="1" ht="18" customHeight="1">
      <c r="A243" s="114"/>
      <c r="Q243" s="124"/>
      <c r="R243" s="121"/>
      <c r="S243" s="405"/>
      <c r="V243" s="381"/>
    </row>
    <row r="244" spans="1:29" ht="18" customHeight="1">
      <c r="A244" s="193" t="s">
        <v>416</v>
      </c>
      <c r="V244" s="10"/>
    </row>
    <row r="245" spans="1:29" ht="18" customHeight="1">
      <c r="A245" s="799" t="s">
        <v>417</v>
      </c>
      <c r="B245" s="800"/>
      <c r="C245" s="800"/>
      <c r="D245" s="14"/>
      <c r="E245" s="7"/>
      <c r="F245" s="808">
        <f>R234</f>
        <v>50000</v>
      </c>
      <c r="G245" s="808"/>
      <c r="H245" s="805" t="s">
        <v>315</v>
      </c>
      <c r="I245" s="809">
        <f>R237</f>
        <v>1</v>
      </c>
      <c r="J245" s="810"/>
      <c r="K245" s="805" t="s">
        <v>315</v>
      </c>
      <c r="L245" s="808" t="s">
        <v>419</v>
      </c>
      <c r="M245" s="815">
        <f>R239</f>
        <v>20</v>
      </c>
      <c r="N245" s="816" t="s">
        <v>347</v>
      </c>
      <c r="O245" s="817">
        <f>R240</f>
        <v>1.0970224400000002</v>
      </c>
      <c r="P245" s="805" t="s">
        <v>347</v>
      </c>
      <c r="Q245" s="806">
        <f>R241</f>
        <v>0.02</v>
      </c>
      <c r="R245" s="807"/>
      <c r="S245" s="807"/>
      <c r="T245" s="798" t="s">
        <v>350</v>
      </c>
      <c r="U245" s="230" t="s">
        <v>422</v>
      </c>
      <c r="V245" s="112"/>
    </row>
    <row r="246" spans="1:29" ht="18" customHeight="1">
      <c r="A246" s="801"/>
      <c r="B246" s="800"/>
      <c r="C246" s="800"/>
      <c r="D246" s="14"/>
      <c r="E246" s="7"/>
      <c r="F246" s="808"/>
      <c r="G246" s="808"/>
      <c r="H246" s="805"/>
      <c r="I246" s="805">
        <f>R233</f>
        <v>1500</v>
      </c>
      <c r="J246" s="811"/>
      <c r="K246" s="805"/>
      <c r="L246" s="808"/>
      <c r="M246" s="815"/>
      <c r="N246" s="816"/>
      <c r="O246" s="815"/>
      <c r="P246" s="805"/>
      <c r="Q246" s="221">
        <f>R238</f>
        <v>1</v>
      </c>
      <c r="R246" s="221" t="s">
        <v>315</v>
      </c>
      <c r="S246" s="221">
        <f>R238</f>
        <v>1</v>
      </c>
      <c r="T246" s="798"/>
      <c r="U246" s="7"/>
      <c r="V246" s="112"/>
    </row>
    <row r="247" spans="1:29" ht="18" customHeight="1">
      <c r="A247" s="9"/>
      <c r="L247" s="429"/>
      <c r="V247" s="10"/>
    </row>
    <row r="248" spans="1:29" ht="18" customHeight="1">
      <c r="A248" s="9"/>
      <c r="C248" s="27" t="s">
        <v>127</v>
      </c>
      <c r="D248" s="812">
        <f>F245*(I245/I246)*(M245+O245+(Q245/(Q246*S246)))</f>
        <v>703.90074800000002</v>
      </c>
      <c r="E248" s="813"/>
      <c r="F248" s="27" t="s">
        <v>305</v>
      </c>
      <c r="L248" s="429"/>
      <c r="V248" s="10"/>
    </row>
    <row r="249" spans="1:29" ht="18" customHeight="1">
      <c r="A249" s="9"/>
      <c r="L249" s="429"/>
      <c r="V249" s="10"/>
    </row>
    <row r="250" spans="1:29" ht="18" customHeight="1">
      <c r="A250" s="193" t="s">
        <v>444</v>
      </c>
      <c r="L250" s="429"/>
      <c r="V250" s="10"/>
    </row>
    <row r="251" spans="1:29" ht="18" customHeight="1">
      <c r="A251" s="799" t="s">
        <v>417</v>
      </c>
      <c r="B251" s="800"/>
      <c r="C251" s="800"/>
      <c r="D251" s="805">
        <v>2</v>
      </c>
      <c r="E251" s="805" t="s">
        <v>315</v>
      </c>
      <c r="F251" s="814">
        <f>R235</f>
        <v>42229.804278926844</v>
      </c>
      <c r="G251" s="814"/>
      <c r="H251" s="805" t="s">
        <v>315</v>
      </c>
      <c r="I251" s="809">
        <f>R237</f>
        <v>1</v>
      </c>
      <c r="J251" s="810"/>
      <c r="K251" s="805" t="s">
        <v>315</v>
      </c>
      <c r="L251" s="808" t="s">
        <v>419</v>
      </c>
      <c r="M251" s="815">
        <f>R239</f>
        <v>20</v>
      </c>
      <c r="N251" s="816" t="s">
        <v>347</v>
      </c>
      <c r="O251" s="817">
        <f>R240</f>
        <v>1.0970224400000002</v>
      </c>
      <c r="P251" s="805" t="s">
        <v>347</v>
      </c>
      <c r="Q251" s="807">
        <f>Q245</f>
        <v>0.02</v>
      </c>
      <c r="R251" s="807"/>
      <c r="S251" s="807"/>
      <c r="T251" s="798" t="s">
        <v>350</v>
      </c>
      <c r="U251" s="230" t="s">
        <v>426</v>
      </c>
      <c r="V251" s="112"/>
      <c r="W251" s="30" t="s">
        <v>400</v>
      </c>
      <c r="AB251" s="785" t="e">
        <f>Q613</f>
        <v>#VALUE!</v>
      </c>
      <c r="AC251" s="786"/>
    </row>
    <row r="252" spans="1:29" ht="18" customHeight="1">
      <c r="A252" s="801"/>
      <c r="B252" s="800"/>
      <c r="C252" s="800"/>
      <c r="D252" s="805"/>
      <c r="E252" s="805"/>
      <c r="F252" s="814"/>
      <c r="G252" s="814"/>
      <c r="H252" s="805"/>
      <c r="I252" s="805">
        <f>R233</f>
        <v>1500</v>
      </c>
      <c r="J252" s="811"/>
      <c r="K252" s="805"/>
      <c r="L252" s="808"/>
      <c r="M252" s="815"/>
      <c r="N252" s="816"/>
      <c r="O252" s="815"/>
      <c r="P252" s="805"/>
      <c r="Q252" s="221">
        <f>R238</f>
        <v>1</v>
      </c>
      <c r="R252" s="221" t="s">
        <v>315</v>
      </c>
      <c r="S252" s="221">
        <f>R238</f>
        <v>1</v>
      </c>
      <c r="T252" s="798"/>
      <c r="U252" s="7"/>
      <c r="V252" s="112"/>
    </row>
    <row r="253" spans="1:29" ht="18" customHeight="1">
      <c r="A253" s="9"/>
      <c r="L253" s="429"/>
      <c r="V253" s="10"/>
    </row>
    <row r="254" spans="1:29" ht="18" customHeight="1">
      <c r="A254" s="9"/>
      <c r="C254" s="27" t="s">
        <v>127</v>
      </c>
      <c r="D254" s="812">
        <f>D251*F251*(I251/I252)*(M251+O251+(Q251/(Q252*S252)))</f>
        <v>1189.0236327932082</v>
      </c>
      <c r="E254" s="813"/>
      <c r="F254" s="27" t="s">
        <v>305</v>
      </c>
      <c r="L254" s="429"/>
      <c r="V254" s="10"/>
    </row>
    <row r="255" spans="1:29" ht="18" customHeight="1">
      <c r="A255" s="9"/>
      <c r="L255" s="429"/>
      <c r="V255" s="10"/>
    </row>
    <row r="256" spans="1:29" ht="18" customHeight="1">
      <c r="A256" s="193" t="s">
        <v>445</v>
      </c>
      <c r="L256" s="429"/>
      <c r="V256" s="10"/>
    </row>
    <row r="257" spans="1:22" ht="18" customHeight="1">
      <c r="A257" s="799" t="s">
        <v>417</v>
      </c>
      <c r="B257" s="800"/>
      <c r="C257" s="800"/>
      <c r="D257" s="805">
        <v>2</v>
      </c>
      <c r="E257" s="805" t="s">
        <v>315</v>
      </c>
      <c r="F257" s="814">
        <f>R236</f>
        <v>43475.278268251794</v>
      </c>
      <c r="G257" s="814"/>
      <c r="H257" s="805" t="s">
        <v>315</v>
      </c>
      <c r="I257" s="809">
        <f>R237</f>
        <v>1</v>
      </c>
      <c r="J257" s="810"/>
      <c r="K257" s="805" t="s">
        <v>315</v>
      </c>
      <c r="L257" s="808" t="s">
        <v>419</v>
      </c>
      <c r="M257" s="815">
        <f>R239</f>
        <v>20</v>
      </c>
      <c r="N257" s="816" t="s">
        <v>347</v>
      </c>
      <c r="O257" s="817">
        <f>R240</f>
        <v>1.0970224400000002</v>
      </c>
      <c r="P257" s="805" t="s">
        <v>347</v>
      </c>
      <c r="Q257" s="807">
        <f>R241</f>
        <v>0.02</v>
      </c>
      <c r="R257" s="807"/>
      <c r="S257" s="807"/>
      <c r="T257" s="798" t="s">
        <v>350</v>
      </c>
      <c r="U257" s="230" t="s">
        <v>426</v>
      </c>
      <c r="V257" s="112"/>
    </row>
    <row r="258" spans="1:22" ht="18" customHeight="1">
      <c r="A258" s="801"/>
      <c r="B258" s="800"/>
      <c r="C258" s="800"/>
      <c r="D258" s="805"/>
      <c r="E258" s="805"/>
      <c r="F258" s="814"/>
      <c r="G258" s="814"/>
      <c r="H258" s="805"/>
      <c r="I258" s="805">
        <f>R233</f>
        <v>1500</v>
      </c>
      <c r="J258" s="811"/>
      <c r="K258" s="805"/>
      <c r="L258" s="808"/>
      <c r="M258" s="815"/>
      <c r="N258" s="816"/>
      <c r="O258" s="815"/>
      <c r="P258" s="805"/>
      <c r="Q258" s="221">
        <f>R238</f>
        <v>1</v>
      </c>
      <c r="R258" s="221" t="s">
        <v>315</v>
      </c>
      <c r="S258" s="221">
        <f>R238</f>
        <v>1</v>
      </c>
      <c r="T258" s="798"/>
      <c r="U258" s="7"/>
      <c r="V258" s="112"/>
    </row>
    <row r="259" spans="1:22" ht="18" customHeight="1">
      <c r="A259" s="9"/>
      <c r="V259" s="10"/>
    </row>
    <row r="260" spans="1:22" ht="18" customHeight="1">
      <c r="A260" s="9"/>
      <c r="C260" s="27" t="s">
        <v>127</v>
      </c>
      <c r="D260" s="812">
        <f>D257*F257*(I257/I258)*(M257+O257+(Q257/(Q258*S258)))</f>
        <v>1224.0912357012232</v>
      </c>
      <c r="E260" s="813"/>
      <c r="F260" s="27" t="s">
        <v>305</v>
      </c>
      <c r="V260" s="10"/>
    </row>
    <row r="261" spans="1:22" ht="18" customHeight="1">
      <c r="A261" s="9"/>
      <c r="V261" s="10"/>
    </row>
    <row r="262" spans="1:22" ht="18" customHeight="1">
      <c r="A262" s="116" t="s">
        <v>446</v>
      </c>
      <c r="V262" s="10"/>
    </row>
    <row r="263" spans="1:22" ht="18" customHeight="1">
      <c r="A263" s="678" t="s">
        <v>415</v>
      </c>
      <c r="B263" s="679"/>
      <c r="C263" s="679"/>
      <c r="D263" s="679"/>
      <c r="E263" s="679"/>
      <c r="F263" s="679"/>
      <c r="G263" s="679"/>
      <c r="H263" s="679"/>
      <c r="I263" s="679"/>
      <c r="J263" s="679"/>
      <c r="K263" s="679"/>
      <c r="L263" s="679"/>
      <c r="M263" s="679"/>
      <c r="N263" s="679"/>
      <c r="O263" s="679"/>
      <c r="P263" s="679"/>
      <c r="Q263" s="679"/>
      <c r="R263" s="679"/>
      <c r="S263" s="679"/>
      <c r="T263" s="679"/>
      <c r="U263" s="679"/>
      <c r="V263" s="680"/>
    </row>
    <row r="264" spans="1:22" ht="18" customHeight="1">
      <c r="A264" s="678"/>
      <c r="B264" s="679"/>
      <c r="C264" s="679"/>
      <c r="D264" s="679"/>
      <c r="E264" s="679"/>
      <c r="F264" s="679"/>
      <c r="G264" s="679"/>
      <c r="H264" s="679"/>
      <c r="I264" s="679"/>
      <c r="J264" s="679"/>
      <c r="K264" s="679"/>
      <c r="L264" s="679"/>
      <c r="M264" s="679"/>
      <c r="N264" s="679"/>
      <c r="O264" s="679"/>
      <c r="P264" s="679"/>
      <c r="Q264" s="679"/>
      <c r="R264" s="679"/>
      <c r="S264" s="679"/>
      <c r="T264" s="679"/>
      <c r="U264" s="679"/>
      <c r="V264" s="680"/>
    </row>
    <row r="265" spans="1:22" ht="18" customHeight="1">
      <c r="A265" s="193" t="s">
        <v>416</v>
      </c>
      <c r="V265" s="10"/>
    </row>
    <row r="266" spans="1:22" ht="18" customHeight="1">
      <c r="A266" s="799" t="s">
        <v>417</v>
      </c>
      <c r="B266" s="800"/>
      <c r="C266" s="800"/>
      <c r="D266" s="802" t="s">
        <v>418</v>
      </c>
      <c r="E266" s="804"/>
      <c r="F266" s="689" t="s">
        <v>315</v>
      </c>
      <c r="G266" s="708" t="s">
        <v>436</v>
      </c>
      <c r="H266" s="803"/>
      <c r="I266" s="689" t="s">
        <v>315</v>
      </c>
      <c r="J266" s="708" t="s">
        <v>135</v>
      </c>
      <c r="K266" s="689" t="s">
        <v>315</v>
      </c>
      <c r="L266" s="802" t="s">
        <v>419</v>
      </c>
      <c r="M266" s="689" t="s">
        <v>440</v>
      </c>
      <c r="N266" s="729" t="s">
        <v>347</v>
      </c>
      <c r="O266" s="689" t="s">
        <v>447</v>
      </c>
      <c r="P266" s="689" t="s">
        <v>347</v>
      </c>
      <c r="Q266" s="759" t="s">
        <v>448</v>
      </c>
      <c r="R266" s="797"/>
      <c r="S266" s="797"/>
      <c r="T266" s="798" t="s">
        <v>350</v>
      </c>
      <c r="U266" s="230" t="s">
        <v>422</v>
      </c>
      <c r="V266" s="112"/>
    </row>
    <row r="267" spans="1:22" ht="18" customHeight="1">
      <c r="A267" s="801"/>
      <c r="B267" s="800"/>
      <c r="C267" s="800"/>
      <c r="D267" s="804"/>
      <c r="E267" s="804"/>
      <c r="F267" s="689"/>
      <c r="G267" s="689" t="s">
        <v>430</v>
      </c>
      <c r="H267" s="804"/>
      <c r="I267" s="689"/>
      <c r="J267" s="689"/>
      <c r="K267" s="689"/>
      <c r="L267" s="802"/>
      <c r="M267" s="689"/>
      <c r="N267" s="729"/>
      <c r="O267" s="689"/>
      <c r="P267" s="689"/>
      <c r="Q267" s="28" t="s">
        <v>438</v>
      </c>
      <c r="R267" s="28" t="s">
        <v>315</v>
      </c>
      <c r="S267" s="28" t="s">
        <v>438</v>
      </c>
      <c r="T267" s="798"/>
      <c r="U267" s="7"/>
      <c r="V267" s="112"/>
    </row>
    <row r="268" spans="1:22" ht="18" customHeight="1">
      <c r="A268" s="193" t="s">
        <v>449</v>
      </c>
      <c r="I268" s="7"/>
      <c r="J268" s="7"/>
      <c r="K268" s="7"/>
      <c r="L268" s="429"/>
      <c r="M268" s="425"/>
      <c r="O268" s="425"/>
      <c r="V268" s="10"/>
    </row>
    <row r="269" spans="1:22" ht="18" customHeight="1">
      <c r="A269" s="799" t="s">
        <v>417</v>
      </c>
      <c r="B269" s="800"/>
      <c r="C269" s="800"/>
      <c r="D269" s="802" t="s">
        <v>450</v>
      </c>
      <c r="E269" s="804"/>
      <c r="F269" s="689" t="s">
        <v>315</v>
      </c>
      <c r="G269" s="708" t="s">
        <v>436</v>
      </c>
      <c r="H269" s="803"/>
      <c r="I269" s="689" t="s">
        <v>315</v>
      </c>
      <c r="J269" s="708" t="s">
        <v>451</v>
      </c>
      <c r="K269" s="689" t="s">
        <v>315</v>
      </c>
      <c r="L269" s="802" t="s">
        <v>419</v>
      </c>
      <c r="M269" s="689" t="s">
        <v>440</v>
      </c>
      <c r="N269" s="729" t="s">
        <v>347</v>
      </c>
      <c r="O269" s="689" t="s">
        <v>447</v>
      </c>
      <c r="P269" s="689" t="s">
        <v>347</v>
      </c>
      <c r="Q269" s="759" t="s">
        <v>448</v>
      </c>
      <c r="R269" s="797"/>
      <c r="S269" s="797"/>
      <c r="T269" s="798" t="s">
        <v>350</v>
      </c>
      <c r="U269" s="230" t="s">
        <v>426</v>
      </c>
      <c r="V269" s="112"/>
    </row>
    <row r="270" spans="1:22" ht="18" customHeight="1">
      <c r="A270" s="801"/>
      <c r="B270" s="800"/>
      <c r="C270" s="800"/>
      <c r="D270" s="804"/>
      <c r="E270" s="804"/>
      <c r="F270" s="689"/>
      <c r="G270" s="689" t="s">
        <v>430</v>
      </c>
      <c r="H270" s="804"/>
      <c r="I270" s="689"/>
      <c r="J270" s="689"/>
      <c r="K270" s="689"/>
      <c r="L270" s="802"/>
      <c r="M270" s="689"/>
      <c r="N270" s="729"/>
      <c r="O270" s="689"/>
      <c r="P270" s="689"/>
      <c r="Q270" s="28" t="s">
        <v>438</v>
      </c>
      <c r="R270" s="28" t="s">
        <v>315</v>
      </c>
      <c r="S270" s="28" t="s">
        <v>438</v>
      </c>
      <c r="T270" s="798"/>
      <c r="U270" s="7"/>
      <c r="V270" s="112"/>
    </row>
    <row r="271" spans="1:22" ht="18" customHeight="1">
      <c r="A271" s="9"/>
      <c r="V271" s="10"/>
    </row>
    <row r="272" spans="1:22" ht="18" customHeight="1">
      <c r="A272" s="9"/>
      <c r="B272" s="14" t="s">
        <v>427</v>
      </c>
      <c r="P272" s="120" t="s">
        <v>428</v>
      </c>
      <c r="V272" s="10"/>
    </row>
    <row r="273" spans="1:22" ht="18" customHeight="1">
      <c r="A273" s="9"/>
      <c r="B273" s="14" t="s">
        <v>429</v>
      </c>
      <c r="P273" s="120" t="s">
        <v>430</v>
      </c>
      <c r="Q273" s="234" t="s">
        <v>127</v>
      </c>
      <c r="R273" s="684">
        <f>R233</f>
        <v>1500</v>
      </c>
      <c r="S273" s="684"/>
      <c r="T273" s="14" t="s">
        <v>8</v>
      </c>
      <c r="V273" s="10"/>
    </row>
    <row r="274" spans="1:22" ht="18" customHeight="1">
      <c r="A274" s="9"/>
      <c r="B274" s="14" t="s">
        <v>431</v>
      </c>
      <c r="P274" s="120" t="s">
        <v>418</v>
      </c>
      <c r="Q274" s="234" t="s">
        <v>127</v>
      </c>
      <c r="R274" s="684">
        <f>R234</f>
        <v>50000</v>
      </c>
      <c r="S274" s="684"/>
      <c r="T274" s="14" t="s">
        <v>8</v>
      </c>
      <c r="V274" s="10"/>
    </row>
    <row r="275" spans="1:22" ht="18" customHeight="1">
      <c r="A275" s="9"/>
      <c r="B275" s="14" t="s">
        <v>452</v>
      </c>
      <c r="P275" s="120" t="s">
        <v>450</v>
      </c>
      <c r="Q275" s="234" t="s">
        <v>127</v>
      </c>
      <c r="R275" s="713">
        <f>'Parameters &amp; Fault Cal. (4)'!M112</f>
        <v>43584.822413584639</v>
      </c>
      <c r="S275" s="684"/>
      <c r="T275" s="14" t="s">
        <v>8</v>
      </c>
      <c r="U275" s="30" t="s">
        <v>433</v>
      </c>
      <c r="V275" s="10"/>
    </row>
    <row r="276" spans="1:22" ht="18" customHeight="1">
      <c r="A276" s="9"/>
      <c r="B276" s="14"/>
      <c r="P276" s="120"/>
      <c r="Q276" s="234" t="s">
        <v>127</v>
      </c>
      <c r="R276" s="713">
        <f>'Parameters &amp; Fault Cal. (4)'!M133</f>
        <v>44648.255952235893</v>
      </c>
      <c r="S276" s="684"/>
      <c r="T276" s="14" t="s">
        <v>8</v>
      </c>
      <c r="U276" s="30" t="s">
        <v>434</v>
      </c>
      <c r="V276" s="10"/>
    </row>
    <row r="277" spans="1:22" ht="18" customHeight="1">
      <c r="A277" s="9"/>
      <c r="B277" s="14" t="s">
        <v>453</v>
      </c>
      <c r="P277" s="120" t="s">
        <v>436</v>
      </c>
      <c r="Q277" s="234" t="s">
        <v>127</v>
      </c>
      <c r="R277" s="684">
        <f>R237</f>
        <v>1</v>
      </c>
      <c r="S277" s="684"/>
      <c r="T277" s="14" t="s">
        <v>8</v>
      </c>
      <c r="V277" s="10"/>
    </row>
    <row r="278" spans="1:22" ht="18" customHeight="1">
      <c r="A278" s="9"/>
      <c r="B278" s="14" t="s">
        <v>437</v>
      </c>
      <c r="P278" s="120" t="s">
        <v>438</v>
      </c>
      <c r="Q278" s="234" t="s">
        <v>127</v>
      </c>
      <c r="R278" s="684">
        <f>R238</f>
        <v>1</v>
      </c>
      <c r="S278" s="684"/>
      <c r="T278" s="14" t="s">
        <v>8</v>
      </c>
      <c r="V278" s="10"/>
    </row>
    <row r="279" spans="1:22" ht="18" customHeight="1">
      <c r="A279" s="9"/>
      <c r="B279" s="14" t="s">
        <v>439</v>
      </c>
      <c r="P279" s="120" t="s">
        <v>440</v>
      </c>
      <c r="Q279" s="234" t="s">
        <v>127</v>
      </c>
      <c r="R279" s="684">
        <f>R239</f>
        <v>20</v>
      </c>
      <c r="S279" s="684"/>
      <c r="T279" s="192" t="s">
        <v>333</v>
      </c>
      <c r="V279" s="10"/>
    </row>
    <row r="280" spans="1:22" ht="18" customHeight="1">
      <c r="A280" s="9"/>
      <c r="B280" s="14" t="s">
        <v>454</v>
      </c>
      <c r="P280" s="237" t="s">
        <v>441</v>
      </c>
      <c r="Q280" s="234" t="s">
        <v>127</v>
      </c>
      <c r="R280" s="795">
        <f>R240</f>
        <v>1.0970224400000002</v>
      </c>
      <c r="S280" s="684"/>
      <c r="T280" s="192" t="s">
        <v>333</v>
      </c>
      <c r="V280" s="10"/>
    </row>
    <row r="281" spans="1:22" ht="18" customHeight="1">
      <c r="A281" s="9"/>
      <c r="B281" s="40" t="s">
        <v>442</v>
      </c>
      <c r="P281" s="237" t="s">
        <v>443</v>
      </c>
      <c r="Q281" s="234" t="s">
        <v>127</v>
      </c>
      <c r="R281" s="795">
        <f>J216</f>
        <v>0.02</v>
      </c>
      <c r="S281" s="684"/>
      <c r="T281" s="14" t="s">
        <v>157</v>
      </c>
      <c r="V281" s="10"/>
    </row>
    <row r="282" spans="1:22" ht="18" customHeight="1">
      <c r="A282" s="9"/>
      <c r="B282" s="40"/>
      <c r="P282" s="237"/>
      <c r="Q282" s="234"/>
      <c r="R282" s="211"/>
      <c r="S282" s="27"/>
      <c r="T282" s="14"/>
      <c r="V282" s="10"/>
    </row>
    <row r="283" spans="1:22" ht="18" customHeight="1">
      <c r="A283" s="114"/>
      <c r="B283" s="7"/>
      <c r="C283" s="7"/>
      <c r="D283" s="7"/>
      <c r="E283" s="7"/>
      <c r="F283" s="7"/>
      <c r="G283" s="7"/>
      <c r="H283" s="7"/>
      <c r="I283" s="7"/>
      <c r="J283" s="7"/>
      <c r="K283" s="7"/>
      <c r="L283" s="7"/>
      <c r="M283" s="7"/>
      <c r="N283" s="7"/>
      <c r="O283" s="7"/>
      <c r="P283" s="7"/>
      <c r="Q283" s="124"/>
      <c r="R283" s="121"/>
      <c r="S283" s="405"/>
      <c r="T283" s="7"/>
      <c r="U283" s="7"/>
      <c r="V283" s="381"/>
    </row>
    <row r="284" spans="1:22" ht="18" customHeight="1">
      <c r="A284" s="119" t="s">
        <v>455</v>
      </c>
      <c r="B284" s="152"/>
      <c r="C284" s="437"/>
      <c r="D284" s="376"/>
      <c r="E284" s="437"/>
      <c r="F284" s="376"/>
      <c r="G284" s="376"/>
      <c r="H284" s="152"/>
      <c r="I284" s="152"/>
      <c r="J284" s="152"/>
      <c r="K284" s="153"/>
      <c r="L284" s="153"/>
      <c r="M284" s="7"/>
      <c r="N284" s="376"/>
      <c r="O284" s="376"/>
      <c r="P284" s="153"/>
      <c r="Q284" s="438"/>
      <c r="R284" s="7"/>
      <c r="S284" s="7"/>
      <c r="T284" s="7"/>
      <c r="U284" s="7"/>
      <c r="V284" s="112"/>
    </row>
    <row r="285" spans="1:22" ht="18" customHeight="1">
      <c r="A285" s="96" t="s">
        <v>456</v>
      </c>
      <c r="B285" s="152"/>
      <c r="C285" s="437"/>
      <c r="D285" s="376"/>
      <c r="E285" s="437"/>
      <c r="F285" s="376"/>
      <c r="G285" s="376"/>
      <c r="H285" s="152"/>
      <c r="I285" s="152"/>
      <c r="J285" s="152"/>
      <c r="K285" s="153"/>
      <c r="L285" s="153"/>
      <c r="M285" s="7"/>
      <c r="N285" s="376"/>
      <c r="O285" s="376"/>
      <c r="P285" s="153"/>
      <c r="Q285" s="438"/>
      <c r="R285" s="7"/>
      <c r="S285" s="7"/>
      <c r="T285" s="7"/>
      <c r="U285" s="7"/>
      <c r="V285" s="112"/>
    </row>
    <row r="286" spans="1:22" ht="18" customHeight="1">
      <c r="A286" s="396"/>
      <c r="B286" s="152"/>
      <c r="C286" s="437"/>
      <c r="D286" s="7"/>
      <c r="E286" s="7"/>
      <c r="F286" s="7"/>
      <c r="G286" s="376"/>
      <c r="H286" s="439" t="s">
        <v>457</v>
      </c>
      <c r="I286" s="14" t="s">
        <v>458</v>
      </c>
      <c r="J286" s="7"/>
      <c r="K286" s="28" t="s">
        <v>459</v>
      </c>
      <c r="L286" s="28" t="s">
        <v>135</v>
      </c>
      <c r="M286" s="440"/>
      <c r="N286" s="376"/>
      <c r="O286" s="376"/>
      <c r="P286" s="102" t="s">
        <v>127</v>
      </c>
      <c r="Q286" s="28">
        <v>1</v>
      </c>
      <c r="R286" s="7"/>
      <c r="S286" s="7"/>
      <c r="T286" s="7"/>
      <c r="U286" s="7"/>
      <c r="V286" s="112"/>
    </row>
    <row r="287" spans="1:22" s="7" customFormat="1" ht="18" customHeight="1">
      <c r="A287" s="396"/>
      <c r="B287" s="152"/>
      <c r="C287" s="437"/>
      <c r="G287" s="376"/>
      <c r="H287" s="439"/>
      <c r="I287" s="14"/>
      <c r="K287" s="28"/>
      <c r="L287" s="28"/>
      <c r="M287" s="440"/>
      <c r="N287" s="376"/>
      <c r="O287" s="376"/>
      <c r="P287" s="102"/>
      <c r="Q287" s="28"/>
      <c r="V287" s="112"/>
    </row>
    <row r="288" spans="1:22" ht="18" customHeight="1">
      <c r="A288" s="96" t="s">
        <v>460</v>
      </c>
      <c r="B288" s="152"/>
      <c r="C288" s="437"/>
      <c r="D288" s="376"/>
      <c r="E288" s="437"/>
      <c r="F288" s="376"/>
      <c r="G288" s="376"/>
      <c r="H288" s="152"/>
      <c r="I288" s="7"/>
      <c r="J288" s="7"/>
      <c r="K288" s="121"/>
      <c r="L288" s="121"/>
      <c r="M288" s="7"/>
      <c r="N288" s="376"/>
      <c r="O288" s="376"/>
      <c r="P288" s="153"/>
      <c r="Q288" s="438"/>
      <c r="V288" s="10"/>
    </row>
    <row r="289" spans="1:22" ht="18" customHeight="1">
      <c r="A289" s="96" t="s">
        <v>461</v>
      </c>
      <c r="B289" s="152"/>
      <c r="C289" s="437"/>
      <c r="D289" s="376"/>
      <c r="E289" s="437"/>
      <c r="F289" s="376"/>
      <c r="G289" s="376"/>
      <c r="H289" s="152"/>
      <c r="I289" s="7"/>
      <c r="J289" s="7"/>
      <c r="K289" s="121"/>
      <c r="L289" s="121"/>
      <c r="M289" s="7"/>
      <c r="N289" s="376"/>
      <c r="O289" s="376"/>
      <c r="P289" s="153"/>
      <c r="Q289" s="438"/>
      <c r="V289" s="10"/>
    </row>
    <row r="290" spans="1:22" ht="18" customHeight="1">
      <c r="A290" s="396"/>
      <c r="B290" s="152"/>
      <c r="C290" s="437"/>
      <c r="D290" s="7"/>
      <c r="E290" s="7"/>
      <c r="F290" s="7"/>
      <c r="G290" s="376"/>
      <c r="H290" s="439" t="s">
        <v>457</v>
      </c>
      <c r="I290" s="14" t="s">
        <v>462</v>
      </c>
      <c r="J290" s="7"/>
      <c r="K290" s="28" t="s">
        <v>459</v>
      </c>
      <c r="L290" s="28" t="s">
        <v>451</v>
      </c>
      <c r="M290" s="440"/>
      <c r="N290" s="376"/>
      <c r="O290" s="376"/>
      <c r="P290" s="102" t="s">
        <v>127</v>
      </c>
      <c r="Q290" s="28">
        <v>3</v>
      </c>
      <c r="V290" s="10"/>
    </row>
    <row r="291" spans="1:22" ht="18" customHeight="1">
      <c r="A291" s="396"/>
      <c r="B291" s="152"/>
      <c r="C291" s="437"/>
      <c r="D291" s="7"/>
      <c r="E291" s="7"/>
      <c r="F291" s="7"/>
      <c r="G291" s="376"/>
      <c r="H291" s="439"/>
      <c r="I291" s="14"/>
      <c r="J291" s="7"/>
      <c r="K291" s="28"/>
      <c r="L291" s="28"/>
      <c r="M291" s="440"/>
      <c r="N291" s="376"/>
      <c r="O291" s="376"/>
      <c r="P291" s="102"/>
      <c r="Q291" s="28"/>
      <c r="V291" s="10"/>
    </row>
    <row r="292" spans="1:22" ht="18" customHeight="1">
      <c r="A292" s="193" t="s">
        <v>416</v>
      </c>
      <c r="V292" s="10"/>
    </row>
    <row r="293" spans="1:22" ht="18" customHeight="1">
      <c r="A293" s="114"/>
      <c r="B293" s="7"/>
      <c r="C293" s="7"/>
      <c r="D293" s="7"/>
      <c r="E293" s="7"/>
      <c r="F293" s="7"/>
      <c r="G293" s="14" t="s">
        <v>463</v>
      </c>
      <c r="H293" s="7"/>
      <c r="I293" s="7"/>
      <c r="J293" s="7"/>
      <c r="K293" s="28" t="s">
        <v>127</v>
      </c>
      <c r="L293" s="692">
        <f>'Parameters &amp; Fault Cal. (4)'!Q60</f>
        <v>47.727272727272727</v>
      </c>
      <c r="M293" s="689"/>
      <c r="N293" s="14" t="s">
        <v>464</v>
      </c>
      <c r="O293" s="28" t="s">
        <v>135</v>
      </c>
      <c r="P293" s="28" t="s">
        <v>127</v>
      </c>
      <c r="Q293" s="28">
        <f>IF(L293&lt;=400,Q286,Q287)</f>
        <v>1</v>
      </c>
      <c r="R293" s="7"/>
      <c r="S293" s="7"/>
      <c r="T293" s="7"/>
      <c r="V293" s="10"/>
    </row>
    <row r="294" spans="1:22" ht="18" customHeight="1">
      <c r="A294" s="799" t="s">
        <v>417</v>
      </c>
      <c r="B294" s="800"/>
      <c r="C294" s="800"/>
      <c r="D294" s="808">
        <f>R274</f>
        <v>50000</v>
      </c>
      <c r="E294" s="818"/>
      <c r="F294" s="805" t="s">
        <v>315</v>
      </c>
      <c r="G294" s="809">
        <f>R277</f>
        <v>1</v>
      </c>
      <c r="H294" s="821"/>
      <c r="I294" s="805" t="s">
        <v>315</v>
      </c>
      <c r="J294" s="822">
        <f>Q293</f>
        <v>1</v>
      </c>
      <c r="K294" s="805" t="s">
        <v>315</v>
      </c>
      <c r="L294" s="808" t="s">
        <v>419</v>
      </c>
      <c r="M294" s="815">
        <f>R279</f>
        <v>20</v>
      </c>
      <c r="N294" s="816" t="s">
        <v>347</v>
      </c>
      <c r="O294" s="817">
        <f>R280</f>
        <v>1.0970224400000002</v>
      </c>
      <c r="P294" s="805" t="s">
        <v>347</v>
      </c>
      <c r="Q294" s="807">
        <f>R281</f>
        <v>0.02</v>
      </c>
      <c r="R294" s="807"/>
      <c r="S294" s="807"/>
      <c r="T294" s="798" t="s">
        <v>350</v>
      </c>
      <c r="U294" s="230" t="s">
        <v>422</v>
      </c>
      <c r="V294" s="112"/>
    </row>
    <row r="295" spans="1:22" ht="18" customHeight="1">
      <c r="A295" s="801"/>
      <c r="B295" s="800"/>
      <c r="C295" s="800"/>
      <c r="D295" s="818"/>
      <c r="E295" s="818"/>
      <c r="F295" s="805"/>
      <c r="G295" s="805">
        <f>R273</f>
        <v>1500</v>
      </c>
      <c r="H295" s="818"/>
      <c r="I295" s="805"/>
      <c r="J295" s="805"/>
      <c r="K295" s="805"/>
      <c r="L295" s="808"/>
      <c r="M295" s="815"/>
      <c r="N295" s="816"/>
      <c r="O295" s="815"/>
      <c r="P295" s="805"/>
      <c r="Q295" s="221">
        <f>R278</f>
        <v>1</v>
      </c>
      <c r="R295" s="221" t="s">
        <v>315</v>
      </c>
      <c r="S295" s="221">
        <f>R278</f>
        <v>1</v>
      </c>
      <c r="T295" s="798"/>
      <c r="U295" s="7"/>
      <c r="V295" s="112"/>
    </row>
    <row r="296" spans="1:22" ht="18" customHeight="1">
      <c r="A296" s="114"/>
      <c r="B296" s="7"/>
      <c r="C296" s="7"/>
      <c r="D296" s="7"/>
      <c r="E296" s="7"/>
      <c r="F296" s="7"/>
      <c r="G296" s="7"/>
      <c r="H296" s="7"/>
      <c r="I296" s="7"/>
      <c r="J296" s="7"/>
      <c r="K296" s="7"/>
      <c r="L296" s="7"/>
      <c r="M296" s="7"/>
      <c r="N296" s="7"/>
      <c r="O296" s="7"/>
      <c r="P296" s="7"/>
      <c r="Q296" s="7"/>
      <c r="R296" s="7"/>
      <c r="S296" s="7"/>
      <c r="T296" s="7"/>
      <c r="V296" s="10"/>
    </row>
    <row r="297" spans="1:22" ht="18" customHeight="1">
      <c r="A297" s="9"/>
      <c r="C297" s="30" t="s">
        <v>127</v>
      </c>
      <c r="D297" s="819">
        <f>D294*(G294/G295)*J294*(M294+O294+(Q294/(Q295*S295)))</f>
        <v>703.90074800000002</v>
      </c>
      <c r="E297" s="820"/>
      <c r="F297" s="27" t="s">
        <v>305</v>
      </c>
      <c r="V297" s="10"/>
    </row>
    <row r="298" spans="1:22" ht="18" customHeight="1">
      <c r="A298" s="9"/>
      <c r="V298" s="10"/>
    </row>
    <row r="299" spans="1:22" ht="18" customHeight="1">
      <c r="A299" s="193" t="s">
        <v>465</v>
      </c>
      <c r="V299" s="10"/>
    </row>
    <row r="300" spans="1:22" ht="18" customHeight="1">
      <c r="A300" s="9"/>
      <c r="E300" s="30" t="s">
        <v>466</v>
      </c>
      <c r="K300" s="27" t="s">
        <v>127</v>
      </c>
      <c r="L300" s="795">
        <f>'Parameters &amp; Fault Cal. (4)'!Q118</f>
        <v>41.979419477826461</v>
      </c>
      <c r="M300" s="684"/>
      <c r="N300" s="30" t="s">
        <v>464</v>
      </c>
      <c r="O300" s="28" t="s">
        <v>451</v>
      </c>
      <c r="P300" s="27" t="s">
        <v>127</v>
      </c>
      <c r="Q300" s="27">
        <f>IF(L300&lt;=200,Q290,Q291)</f>
        <v>3</v>
      </c>
      <c r="V300" s="10"/>
    </row>
    <row r="301" spans="1:22" ht="18" customHeight="1">
      <c r="A301" s="799" t="s">
        <v>417</v>
      </c>
      <c r="B301" s="800"/>
      <c r="C301" s="800"/>
      <c r="D301" s="814">
        <f>R275</f>
        <v>43584.822413584639</v>
      </c>
      <c r="E301" s="811"/>
      <c r="F301" s="805" t="s">
        <v>315</v>
      </c>
      <c r="G301" s="809">
        <f>R277</f>
        <v>1</v>
      </c>
      <c r="H301" s="810"/>
      <c r="I301" s="805" t="s">
        <v>315</v>
      </c>
      <c r="J301" s="822">
        <f>Q300</f>
        <v>3</v>
      </c>
      <c r="K301" s="805" t="s">
        <v>315</v>
      </c>
      <c r="L301" s="808" t="s">
        <v>419</v>
      </c>
      <c r="M301" s="815">
        <f>R279</f>
        <v>20</v>
      </c>
      <c r="N301" s="816" t="s">
        <v>347</v>
      </c>
      <c r="O301" s="817">
        <f>R280</f>
        <v>1.0970224400000002</v>
      </c>
      <c r="P301" s="805" t="s">
        <v>347</v>
      </c>
      <c r="Q301" s="807">
        <f>R281</f>
        <v>0.02</v>
      </c>
      <c r="R301" s="807"/>
      <c r="S301" s="807"/>
      <c r="T301" s="798" t="s">
        <v>350</v>
      </c>
      <c r="U301" s="230" t="s">
        <v>426</v>
      </c>
      <c r="V301" s="112"/>
    </row>
    <row r="302" spans="1:22" ht="18" customHeight="1">
      <c r="A302" s="801"/>
      <c r="B302" s="800"/>
      <c r="C302" s="800"/>
      <c r="D302" s="811"/>
      <c r="E302" s="811"/>
      <c r="F302" s="805"/>
      <c r="G302" s="805">
        <f>R273</f>
        <v>1500</v>
      </c>
      <c r="H302" s="811"/>
      <c r="I302" s="805"/>
      <c r="J302" s="805"/>
      <c r="K302" s="805"/>
      <c r="L302" s="808"/>
      <c r="M302" s="815"/>
      <c r="N302" s="816"/>
      <c r="O302" s="815"/>
      <c r="P302" s="805"/>
      <c r="Q302" s="221">
        <f>R278</f>
        <v>1</v>
      </c>
      <c r="R302" s="221" t="s">
        <v>315</v>
      </c>
      <c r="S302" s="221">
        <f>R278</f>
        <v>1</v>
      </c>
      <c r="T302" s="798"/>
      <c r="U302" s="7"/>
      <c r="V302" s="112"/>
    </row>
    <row r="303" spans="1:22" ht="18" customHeight="1">
      <c r="A303" s="9"/>
      <c r="I303" s="7"/>
      <c r="J303" s="7"/>
      <c r="K303" s="7"/>
      <c r="V303" s="10"/>
    </row>
    <row r="304" spans="1:22" ht="18" customHeight="1">
      <c r="A304" s="9"/>
      <c r="C304" s="27" t="s">
        <v>127</v>
      </c>
      <c r="D304" s="819">
        <f>D301*(G301/G302)*J301*(M301+O301+(Q301/(Q302*S302)))</f>
        <v>1840.7633459021636</v>
      </c>
      <c r="E304" s="820"/>
      <c r="F304" s="27" t="s">
        <v>305</v>
      </c>
      <c r="I304" s="7"/>
      <c r="J304" s="7"/>
      <c r="K304" s="7"/>
      <c r="V304" s="10"/>
    </row>
    <row r="305" spans="1:22" ht="18" customHeight="1">
      <c r="A305" s="9"/>
      <c r="I305" s="7"/>
      <c r="J305" s="7"/>
      <c r="K305" s="7"/>
      <c r="V305" s="10"/>
    </row>
    <row r="306" spans="1:22" ht="18" customHeight="1">
      <c r="A306" s="193" t="s">
        <v>467</v>
      </c>
      <c r="I306" s="7"/>
      <c r="J306" s="7"/>
      <c r="K306" s="7"/>
      <c r="V306" s="10"/>
    </row>
    <row r="307" spans="1:22" ht="18" customHeight="1">
      <c r="A307" s="9"/>
      <c r="E307" s="30" t="s">
        <v>468</v>
      </c>
      <c r="I307" s="7"/>
      <c r="J307" s="7"/>
      <c r="K307" s="28" t="s">
        <v>127</v>
      </c>
      <c r="L307" s="795">
        <f>'Parameters &amp; Fault Cal. (4)'!Q142</f>
        <v>29.635036773964003</v>
      </c>
      <c r="M307" s="684"/>
      <c r="N307" s="27" t="s">
        <v>464</v>
      </c>
      <c r="O307" s="28" t="s">
        <v>451</v>
      </c>
      <c r="P307" s="27" t="s">
        <v>127</v>
      </c>
      <c r="Q307" s="27">
        <f>IF(L307&lt;=200,Q290,Q291)</f>
        <v>3</v>
      </c>
      <c r="V307" s="10"/>
    </row>
    <row r="308" spans="1:22" ht="18" customHeight="1">
      <c r="A308" s="799" t="s">
        <v>417</v>
      </c>
      <c r="B308" s="800"/>
      <c r="C308" s="800"/>
      <c r="D308" s="814">
        <f>R276</f>
        <v>44648.255952235893</v>
      </c>
      <c r="E308" s="811"/>
      <c r="F308" s="805" t="s">
        <v>315</v>
      </c>
      <c r="G308" s="809">
        <f>R277</f>
        <v>1</v>
      </c>
      <c r="H308" s="810"/>
      <c r="I308" s="805" t="s">
        <v>315</v>
      </c>
      <c r="J308" s="822">
        <f>Q307</f>
        <v>3</v>
      </c>
      <c r="K308" s="805" t="s">
        <v>315</v>
      </c>
      <c r="L308" s="808" t="s">
        <v>419</v>
      </c>
      <c r="M308" s="815">
        <f>R279</f>
        <v>20</v>
      </c>
      <c r="N308" s="816" t="s">
        <v>347</v>
      </c>
      <c r="O308" s="817">
        <f>R280</f>
        <v>1.0970224400000002</v>
      </c>
      <c r="P308" s="805" t="s">
        <v>347</v>
      </c>
      <c r="Q308" s="807">
        <f>R281</f>
        <v>0.02</v>
      </c>
      <c r="R308" s="807"/>
      <c r="S308" s="807"/>
      <c r="T308" s="798" t="s">
        <v>350</v>
      </c>
      <c r="U308" s="230" t="s">
        <v>426</v>
      </c>
      <c r="V308" s="112"/>
    </row>
    <row r="309" spans="1:22" ht="18" customHeight="1">
      <c r="A309" s="801"/>
      <c r="B309" s="800"/>
      <c r="C309" s="800"/>
      <c r="D309" s="811"/>
      <c r="E309" s="811"/>
      <c r="F309" s="805"/>
      <c r="G309" s="805">
        <f>R273</f>
        <v>1500</v>
      </c>
      <c r="H309" s="811"/>
      <c r="I309" s="805"/>
      <c r="J309" s="805"/>
      <c r="K309" s="805"/>
      <c r="L309" s="808"/>
      <c r="M309" s="815"/>
      <c r="N309" s="816"/>
      <c r="O309" s="815"/>
      <c r="P309" s="805"/>
      <c r="Q309" s="221">
        <f>R278</f>
        <v>1</v>
      </c>
      <c r="R309" s="221" t="s">
        <v>315</v>
      </c>
      <c r="S309" s="221">
        <f>R278</f>
        <v>1</v>
      </c>
      <c r="T309" s="798"/>
      <c r="U309" s="7"/>
      <c r="V309" s="112"/>
    </row>
    <row r="310" spans="1:22" ht="18" customHeight="1">
      <c r="A310" s="9"/>
      <c r="V310" s="10"/>
    </row>
    <row r="311" spans="1:22" ht="18" customHeight="1">
      <c r="A311" s="9"/>
      <c r="C311" s="30" t="s">
        <v>127</v>
      </c>
      <c r="D311" s="823">
        <f>D308*(G308/G309)*J308*(M308+O308+(Q308/(Q309*S309)))</f>
        <v>1885.6764457004579</v>
      </c>
      <c r="E311" s="824"/>
      <c r="F311" s="27" t="s">
        <v>305</v>
      </c>
      <c r="V311" s="10"/>
    </row>
    <row r="312" spans="1:22" ht="18" customHeight="1">
      <c r="A312" s="9"/>
      <c r="V312" s="10"/>
    </row>
    <row r="313" spans="1:22" ht="18" customHeight="1">
      <c r="A313" s="184" t="s">
        <v>469</v>
      </c>
      <c r="M313" s="825">
        <f>H207</f>
        <v>1500</v>
      </c>
      <c r="N313" s="826"/>
      <c r="O313" s="30" t="s">
        <v>470</v>
      </c>
      <c r="Q313" s="812">
        <f>MAX(D248,D254,D260,D297,D304,D311)</f>
        <v>1885.6764457004579</v>
      </c>
      <c r="R313" s="813"/>
      <c r="S313" s="30" t="s">
        <v>305</v>
      </c>
      <c r="V313" s="10"/>
    </row>
    <row r="314" spans="1:22" ht="18" customHeight="1">
      <c r="A314" s="351" t="s">
        <v>471</v>
      </c>
      <c r="B314" s="7"/>
      <c r="C314" s="7"/>
      <c r="D314" s="441"/>
      <c r="E314" s="7"/>
      <c r="F314" s="7"/>
      <c r="G314" s="372"/>
      <c r="H314" s="7"/>
      <c r="J314" s="7"/>
      <c r="K314" s="7"/>
      <c r="L314" s="7"/>
      <c r="M314" s="7"/>
      <c r="N314" s="7"/>
      <c r="O314" s="7"/>
      <c r="P314" s="250"/>
      <c r="Q314" s="251"/>
      <c r="R314" s="372"/>
      <c r="S314" s="7"/>
      <c r="V314" s="10"/>
    </row>
    <row r="315" spans="1:22" ht="18" customHeight="1">
      <c r="A315" s="96" t="s">
        <v>472</v>
      </c>
      <c r="V315" s="10"/>
    </row>
    <row r="316" spans="1:22" ht="18" customHeight="1">
      <c r="A316" s="9"/>
      <c r="N316" s="7"/>
      <c r="O316" s="28" t="s">
        <v>473</v>
      </c>
      <c r="P316" s="102" t="s">
        <v>127</v>
      </c>
      <c r="Q316" s="694" t="s">
        <v>474</v>
      </c>
      <c r="R316" s="694"/>
      <c r="S316" s="28" t="s">
        <v>315</v>
      </c>
      <c r="T316" s="28">
        <v>0.8</v>
      </c>
      <c r="V316" s="10"/>
    </row>
    <row r="317" spans="1:22" ht="18" customHeight="1">
      <c r="A317" s="9"/>
      <c r="N317" s="252"/>
      <c r="O317" s="28"/>
      <c r="P317" s="102" t="s">
        <v>127</v>
      </c>
      <c r="Q317" s="829">
        <f>+Q313</f>
        <v>1885.6764457004579</v>
      </c>
      <c r="R317" s="708"/>
      <c r="S317" s="222" t="s">
        <v>315</v>
      </c>
      <c r="T317" s="253">
        <f>+T316</f>
        <v>0.8</v>
      </c>
      <c r="V317" s="10"/>
    </row>
    <row r="318" spans="1:22" ht="18" customHeight="1">
      <c r="A318" s="9"/>
      <c r="O318" s="28"/>
      <c r="P318" s="28" t="s">
        <v>127</v>
      </c>
      <c r="Q318" s="830">
        <f>Q317*T317</f>
        <v>1508.5411565603663</v>
      </c>
      <c r="R318" s="831"/>
      <c r="S318" s="47" t="s">
        <v>305</v>
      </c>
      <c r="T318" s="28"/>
      <c r="V318" s="10"/>
    </row>
    <row r="319" spans="1:22" ht="18" customHeight="1">
      <c r="A319" s="9"/>
      <c r="D319" s="14" t="s">
        <v>475</v>
      </c>
      <c r="G319" s="27" t="s">
        <v>476</v>
      </c>
      <c r="H319" s="14" t="s">
        <v>477</v>
      </c>
      <c r="V319" s="10"/>
    </row>
    <row r="320" spans="1:22" ht="18" customHeight="1">
      <c r="A320" s="9"/>
      <c r="E320" s="684">
        <f>H210</f>
        <v>3000</v>
      </c>
      <c r="F320" s="684"/>
      <c r="G320" s="27" t="s">
        <v>476</v>
      </c>
      <c r="H320" s="795">
        <f>Q318</f>
        <v>1508.5411565603663</v>
      </c>
      <c r="I320" s="684"/>
      <c r="V320" s="10"/>
    </row>
    <row r="321" spans="1:22" ht="18" customHeight="1">
      <c r="A321" s="9"/>
      <c r="F321" s="244" t="s">
        <v>478</v>
      </c>
      <c r="H321" s="18" t="str">
        <f>IF(E320&gt;H320,"Suitably Dimensioned","Under Dimensioned")</f>
        <v>Suitably Dimensioned</v>
      </c>
      <c r="V321" s="10"/>
    </row>
    <row r="322" spans="1:22" ht="18" customHeight="1">
      <c r="A322" s="686" t="s">
        <v>1137</v>
      </c>
      <c r="B322" s="682"/>
      <c r="C322" s="682"/>
      <c r="D322" s="682"/>
      <c r="E322" s="682"/>
      <c r="F322" s="682"/>
      <c r="G322" s="682"/>
      <c r="H322" s="682"/>
      <c r="I322" s="682"/>
      <c r="J322" s="682"/>
      <c r="K322" s="682"/>
      <c r="L322" s="682"/>
      <c r="M322" s="682"/>
      <c r="N322" s="682"/>
      <c r="O322" s="682"/>
      <c r="P322" s="682"/>
      <c r="Q322" s="682"/>
      <c r="R322" s="682"/>
      <c r="S322" s="682"/>
      <c r="T322" s="682"/>
      <c r="U322" s="682"/>
      <c r="V322" s="687"/>
    </row>
    <row r="323" spans="1:22" ht="18" customHeight="1">
      <c r="A323" s="686"/>
      <c r="B323" s="682"/>
      <c r="C323" s="682"/>
      <c r="D323" s="682"/>
      <c r="E323" s="682"/>
      <c r="F323" s="682"/>
      <c r="G323" s="682"/>
      <c r="H323" s="682"/>
      <c r="I323" s="682"/>
      <c r="J323" s="682"/>
      <c r="K323" s="682"/>
      <c r="L323" s="682"/>
      <c r="M323" s="682"/>
      <c r="N323" s="682"/>
      <c r="O323" s="682"/>
      <c r="P323" s="682"/>
      <c r="Q323" s="682"/>
      <c r="R323" s="682"/>
      <c r="S323" s="682"/>
      <c r="T323" s="682"/>
      <c r="U323" s="682"/>
      <c r="V323" s="687"/>
    </row>
    <row r="324" spans="1:22" ht="18" customHeight="1">
      <c r="A324" s="686"/>
      <c r="B324" s="682"/>
      <c r="C324" s="682"/>
      <c r="D324" s="682"/>
      <c r="E324" s="682"/>
      <c r="F324" s="682"/>
      <c r="G324" s="682"/>
      <c r="H324" s="682"/>
      <c r="I324" s="682"/>
      <c r="J324" s="682"/>
      <c r="K324" s="682"/>
      <c r="L324" s="682"/>
      <c r="M324" s="682"/>
      <c r="N324" s="682"/>
      <c r="O324" s="682"/>
      <c r="P324" s="682"/>
      <c r="Q324" s="682"/>
      <c r="R324" s="682"/>
      <c r="S324" s="682"/>
      <c r="T324" s="682"/>
      <c r="U324" s="682"/>
      <c r="V324" s="687"/>
    </row>
    <row r="325" spans="1:22" ht="18" customHeight="1">
      <c r="A325" s="116"/>
      <c r="V325" s="10"/>
    </row>
    <row r="326" spans="1:22" ht="18" customHeight="1">
      <c r="A326" s="678"/>
      <c r="B326" s="679"/>
      <c r="C326" s="679"/>
      <c r="D326" s="679"/>
      <c r="E326" s="679"/>
      <c r="F326" s="679"/>
      <c r="G326" s="679"/>
      <c r="H326" s="679"/>
      <c r="I326" s="679"/>
      <c r="J326" s="679"/>
      <c r="K326" s="679"/>
      <c r="L326" s="679"/>
      <c r="M326" s="679"/>
      <c r="N326" s="679"/>
      <c r="O326" s="679"/>
      <c r="P326" s="679"/>
      <c r="Q326" s="679"/>
      <c r="R326" s="679"/>
      <c r="S326" s="679"/>
      <c r="T326" s="679"/>
      <c r="U326" s="679"/>
      <c r="V326" s="680"/>
    </row>
    <row r="327" spans="1:22" ht="18" customHeight="1">
      <c r="A327" s="678"/>
      <c r="B327" s="679"/>
      <c r="C327" s="679"/>
      <c r="D327" s="679"/>
      <c r="E327" s="679"/>
      <c r="F327" s="679"/>
      <c r="G327" s="679"/>
      <c r="H327" s="679"/>
      <c r="I327" s="679"/>
      <c r="J327" s="679"/>
      <c r="K327" s="679"/>
      <c r="L327" s="679"/>
      <c r="M327" s="679"/>
      <c r="N327" s="679"/>
      <c r="O327" s="679"/>
      <c r="P327" s="679"/>
      <c r="Q327" s="679"/>
      <c r="R327" s="679"/>
      <c r="S327" s="679"/>
      <c r="T327" s="679"/>
      <c r="U327" s="679"/>
      <c r="V327" s="680"/>
    </row>
    <row r="328" spans="1:22" ht="18" customHeight="1">
      <c r="A328" s="443"/>
      <c r="B328" s="5"/>
      <c r="C328" s="5"/>
      <c r="D328" s="5"/>
      <c r="E328" s="5"/>
      <c r="F328" s="30"/>
      <c r="G328" s="30"/>
      <c r="H328" s="30"/>
      <c r="I328" s="30"/>
      <c r="J328" s="30"/>
      <c r="K328" s="30"/>
      <c r="L328" s="30"/>
      <c r="M328" s="212"/>
      <c r="N328" s="212"/>
      <c r="O328" s="103"/>
      <c r="P328" s="30"/>
      <c r="Q328" s="223"/>
      <c r="R328" s="14"/>
      <c r="S328" s="214"/>
      <c r="T328" s="30"/>
      <c r="U328" s="30"/>
      <c r="V328" s="185"/>
    </row>
    <row r="329" spans="1:22" ht="18" customHeight="1">
      <c r="A329" s="799"/>
      <c r="B329" s="802"/>
      <c r="C329" s="802"/>
      <c r="D329" s="689"/>
      <c r="E329" s="689"/>
      <c r="F329" s="689"/>
      <c r="G329" s="689"/>
      <c r="H329" s="689"/>
      <c r="I329" s="708"/>
      <c r="J329" s="828"/>
      <c r="K329" s="689"/>
      <c r="L329" s="716"/>
      <c r="M329" s="716"/>
      <c r="N329" s="729"/>
      <c r="O329" s="716"/>
      <c r="P329" s="689"/>
      <c r="Q329" s="759"/>
      <c r="R329" s="797"/>
      <c r="S329" s="797"/>
      <c r="T329" s="798"/>
      <c r="U329" s="230"/>
      <c r="V329" s="97"/>
    </row>
    <row r="330" spans="1:22" ht="18" customHeight="1">
      <c r="A330" s="827"/>
      <c r="B330" s="802"/>
      <c r="C330" s="802"/>
      <c r="D330" s="689"/>
      <c r="E330" s="689"/>
      <c r="F330" s="689"/>
      <c r="G330" s="689"/>
      <c r="H330" s="689"/>
      <c r="I330" s="689"/>
      <c r="J330" s="723"/>
      <c r="K330" s="689"/>
      <c r="L330" s="716"/>
      <c r="M330" s="716"/>
      <c r="N330" s="729"/>
      <c r="O330" s="716"/>
      <c r="P330" s="689"/>
      <c r="Q330" s="28"/>
      <c r="R330" s="28"/>
      <c r="S330" s="28"/>
      <c r="T330" s="798"/>
      <c r="U330" s="14"/>
      <c r="V330" s="97"/>
    </row>
    <row r="331" spans="1:22" s="7" customFormat="1" ht="18" customHeight="1">
      <c r="A331" s="147"/>
      <c r="B331" s="14"/>
      <c r="C331" s="14"/>
      <c r="D331" s="103"/>
      <c r="E331" s="103"/>
      <c r="F331" s="14"/>
      <c r="G331" s="14"/>
      <c r="H331" s="5"/>
      <c r="I331" s="5"/>
      <c r="J331" s="5"/>
      <c r="K331" s="30"/>
      <c r="L331" s="30"/>
      <c r="M331" s="30"/>
      <c r="N331" s="30"/>
      <c r="O331" s="30"/>
      <c r="P331" s="120"/>
      <c r="Q331" s="30"/>
      <c r="R331" s="30"/>
      <c r="S331" s="30"/>
      <c r="T331" s="30"/>
      <c r="U331" s="444"/>
      <c r="V331" s="445"/>
    </row>
    <row r="332" spans="1:22" ht="18" customHeight="1">
      <c r="A332" s="446"/>
      <c r="B332" s="14"/>
      <c r="C332" s="14"/>
      <c r="D332" s="103"/>
      <c r="E332" s="103"/>
      <c r="F332" s="14"/>
      <c r="G332" s="14"/>
      <c r="H332" s="5"/>
      <c r="I332" s="5"/>
      <c r="J332" s="5"/>
      <c r="K332" s="30"/>
      <c r="L332" s="30"/>
      <c r="M332" s="30"/>
      <c r="N332" s="30"/>
      <c r="O332" s="30"/>
      <c r="P332" s="120"/>
      <c r="Q332" s="234"/>
      <c r="R332" s="684"/>
      <c r="S332" s="684"/>
      <c r="T332" s="14"/>
      <c r="U332" s="444"/>
      <c r="V332" s="445"/>
    </row>
    <row r="333" spans="1:22" ht="18" customHeight="1">
      <c r="A333" s="446"/>
      <c r="B333" s="14"/>
      <c r="C333" s="14"/>
      <c r="D333" s="14"/>
      <c r="E333" s="14"/>
      <c r="F333" s="14"/>
      <c r="G333" s="14"/>
      <c r="H333" s="14"/>
      <c r="I333" s="14"/>
      <c r="J333" s="14"/>
      <c r="K333" s="30"/>
      <c r="L333" s="30"/>
      <c r="M333" s="30"/>
      <c r="N333" s="30"/>
      <c r="O333" s="30"/>
      <c r="P333" s="120"/>
      <c r="Q333" s="234"/>
      <c r="R333" s="713"/>
      <c r="S333" s="713"/>
      <c r="T333" s="14"/>
      <c r="U333" s="444"/>
      <c r="V333" s="445"/>
    </row>
    <row r="334" spans="1:22" ht="18" customHeight="1">
      <c r="A334" s="446"/>
      <c r="B334" s="14"/>
      <c r="C334" s="14"/>
      <c r="D334" s="103"/>
      <c r="E334" s="103"/>
      <c r="F334" s="14"/>
      <c r="G334" s="14"/>
      <c r="H334" s="5"/>
      <c r="I334" s="5"/>
      <c r="J334" s="5"/>
      <c r="K334" s="30"/>
      <c r="L334" s="30"/>
      <c r="M334" s="30"/>
      <c r="N334" s="30"/>
      <c r="O334" s="30"/>
      <c r="P334" s="120"/>
      <c r="Q334" s="234"/>
      <c r="R334" s="684"/>
      <c r="S334" s="684"/>
      <c r="T334" s="14"/>
      <c r="U334" s="444"/>
      <c r="V334" s="445"/>
    </row>
    <row r="335" spans="1:22" ht="18" customHeight="1">
      <c r="A335" s="147"/>
      <c r="B335" s="14"/>
      <c r="C335" s="14"/>
      <c r="D335" s="103"/>
      <c r="E335" s="103"/>
      <c r="F335" s="14"/>
      <c r="G335" s="14"/>
      <c r="H335" s="5"/>
      <c r="I335" s="5"/>
      <c r="J335" s="5"/>
      <c r="K335" s="30"/>
      <c r="L335" s="30"/>
      <c r="M335" s="30"/>
      <c r="N335" s="30"/>
      <c r="O335" s="30"/>
      <c r="P335" s="120"/>
      <c r="Q335" s="234"/>
      <c r="R335" s="684"/>
      <c r="S335" s="684"/>
      <c r="T335" s="14"/>
      <c r="U335" s="18"/>
      <c r="V335" s="97"/>
    </row>
    <row r="336" spans="1:22" ht="18" customHeight="1">
      <c r="A336" s="147"/>
      <c r="B336" s="14"/>
      <c r="C336" s="14"/>
      <c r="D336" s="103"/>
      <c r="E336" s="103"/>
      <c r="F336" s="14"/>
      <c r="G336" s="14"/>
      <c r="H336" s="5"/>
      <c r="I336" s="5"/>
      <c r="J336" s="5"/>
      <c r="K336" s="30"/>
      <c r="L336" s="30"/>
      <c r="M336" s="30"/>
      <c r="N336" s="30"/>
      <c r="O336" s="30"/>
      <c r="P336" s="120"/>
      <c r="Q336" s="234"/>
      <c r="R336" s="684"/>
      <c r="S336" s="684"/>
      <c r="T336" s="192"/>
      <c r="U336" s="18"/>
      <c r="V336" s="97"/>
    </row>
    <row r="337" spans="1:41" ht="18" customHeight="1">
      <c r="A337" s="184"/>
      <c r="B337" s="14"/>
      <c r="C337" s="14"/>
      <c r="D337" s="14"/>
      <c r="E337" s="14"/>
      <c r="F337" s="14"/>
      <c r="G337" s="14"/>
      <c r="H337" s="14"/>
      <c r="I337" s="14"/>
      <c r="J337" s="14"/>
      <c r="K337" s="30"/>
      <c r="L337" s="30"/>
      <c r="M337" s="30"/>
      <c r="N337" s="30"/>
      <c r="O337" s="30"/>
      <c r="P337" s="237"/>
      <c r="Q337" s="234"/>
      <c r="R337" s="795"/>
      <c r="S337" s="795"/>
      <c r="T337" s="192"/>
      <c r="U337" s="30"/>
      <c r="V337" s="185"/>
    </row>
    <row r="338" spans="1:41" ht="18" customHeight="1">
      <c r="A338" s="649"/>
      <c r="B338" s="424"/>
      <c r="C338" s="424"/>
      <c r="D338" s="424"/>
      <c r="E338" s="424"/>
      <c r="F338" s="424"/>
      <c r="G338" s="424"/>
      <c r="H338" s="424"/>
      <c r="I338" s="424"/>
      <c r="J338" s="424"/>
      <c r="K338" s="424"/>
      <c r="L338" s="424"/>
      <c r="M338" s="30"/>
      <c r="N338" s="30"/>
      <c r="O338" s="30"/>
      <c r="P338" s="30"/>
      <c r="Q338" s="30"/>
      <c r="R338" s="684"/>
      <c r="S338" s="684"/>
      <c r="T338" s="30"/>
      <c r="U338" s="40"/>
      <c r="V338" s="97"/>
      <c r="W338" s="14"/>
      <c r="X338" s="14"/>
      <c r="Y338" s="14"/>
      <c r="Z338" s="14"/>
      <c r="AA338" s="5"/>
      <c r="AB338" s="5"/>
      <c r="AC338" s="5"/>
      <c r="AD338" s="30"/>
      <c r="AE338" s="30"/>
      <c r="AF338" s="30"/>
      <c r="AG338" s="30"/>
      <c r="AH338" s="30"/>
      <c r="AI338" s="237"/>
      <c r="AJ338" s="234"/>
      <c r="AK338" s="795"/>
      <c r="AL338" s="684"/>
      <c r="AM338" s="14"/>
      <c r="AN338" s="30"/>
      <c r="AO338" s="185"/>
    </row>
    <row r="339" spans="1:41" ht="18" customHeight="1">
      <c r="A339" s="96"/>
      <c r="B339" s="30"/>
      <c r="C339" s="30"/>
      <c r="D339" s="30"/>
      <c r="E339" s="30"/>
      <c r="F339" s="30"/>
      <c r="G339" s="27"/>
      <c r="H339" s="27"/>
      <c r="I339" s="27"/>
      <c r="J339" s="27"/>
      <c r="K339" s="27"/>
      <c r="L339" s="30"/>
      <c r="M339" s="30"/>
      <c r="N339" s="30"/>
      <c r="O339" s="30"/>
      <c r="P339" s="244"/>
      <c r="Q339" s="234"/>
      <c r="R339" s="795"/>
      <c r="S339" s="684"/>
      <c r="T339" s="14"/>
      <c r="U339" s="30"/>
      <c r="V339" s="185"/>
    </row>
    <row r="340" spans="1:41" ht="18" customHeight="1">
      <c r="A340" s="96"/>
      <c r="B340" s="30"/>
      <c r="C340" s="30"/>
      <c r="D340" s="30"/>
      <c r="E340" s="30"/>
      <c r="F340" s="30"/>
      <c r="G340" s="30"/>
      <c r="H340" s="30"/>
      <c r="I340" s="30"/>
      <c r="J340" s="30"/>
      <c r="K340" s="30"/>
      <c r="L340" s="30"/>
      <c r="M340" s="30"/>
      <c r="N340" s="30"/>
      <c r="O340" s="30"/>
      <c r="P340" s="120"/>
      <c r="Q340" s="234"/>
      <c r="R340" s="795"/>
      <c r="S340" s="684"/>
      <c r="T340" s="14"/>
      <c r="U340" s="30"/>
      <c r="V340" s="185"/>
    </row>
    <row r="341" spans="1:41" ht="18" customHeight="1">
      <c r="A341" s="96"/>
      <c r="B341" s="30"/>
      <c r="C341" s="30"/>
      <c r="D341" s="30"/>
      <c r="E341" s="30"/>
      <c r="F341" s="30"/>
      <c r="G341" s="30"/>
      <c r="H341" s="30"/>
      <c r="I341" s="30"/>
      <c r="J341" s="30"/>
      <c r="K341" s="30"/>
      <c r="L341" s="30"/>
      <c r="M341" s="30"/>
      <c r="N341" s="30"/>
      <c r="O341" s="30"/>
      <c r="P341" s="244"/>
      <c r="Q341" s="234"/>
      <c r="R341" s="684"/>
      <c r="S341" s="684"/>
      <c r="T341" s="30"/>
      <c r="U341" s="30"/>
      <c r="V341" s="185"/>
    </row>
    <row r="342" spans="1:41" ht="18" customHeight="1">
      <c r="A342" s="799"/>
      <c r="B342" s="802"/>
      <c r="C342" s="802"/>
      <c r="D342" s="689"/>
      <c r="E342" s="689"/>
      <c r="F342" s="834"/>
      <c r="G342" s="834"/>
      <c r="H342" s="689"/>
      <c r="I342" s="708"/>
      <c r="J342" s="828"/>
      <c r="K342" s="689"/>
      <c r="L342" s="716"/>
      <c r="M342" s="716"/>
      <c r="N342" s="729"/>
      <c r="O342" s="832"/>
      <c r="P342" s="689"/>
      <c r="Q342" s="833"/>
      <c r="R342" s="797"/>
      <c r="S342" s="797"/>
      <c r="T342" s="798"/>
      <c r="U342" s="230"/>
      <c r="V342" s="97"/>
    </row>
    <row r="343" spans="1:41" ht="18" customHeight="1">
      <c r="A343" s="827"/>
      <c r="B343" s="802"/>
      <c r="C343" s="802"/>
      <c r="D343" s="689"/>
      <c r="E343" s="689"/>
      <c r="F343" s="834"/>
      <c r="G343" s="834"/>
      <c r="H343" s="689"/>
      <c r="I343" s="689"/>
      <c r="J343" s="723"/>
      <c r="K343" s="689"/>
      <c r="L343" s="716"/>
      <c r="M343" s="716"/>
      <c r="N343" s="729"/>
      <c r="O343" s="832"/>
      <c r="P343" s="689"/>
      <c r="Q343" s="28"/>
      <c r="R343" s="28"/>
      <c r="S343" s="28"/>
      <c r="T343" s="798"/>
      <c r="U343" s="14"/>
      <c r="V343" s="97"/>
    </row>
    <row r="344" spans="1:41" ht="18" customHeight="1">
      <c r="A344" s="184"/>
      <c r="B344" s="30"/>
      <c r="C344" s="30"/>
      <c r="D344" s="30"/>
      <c r="E344" s="30"/>
      <c r="F344" s="30"/>
      <c r="G344" s="30"/>
      <c r="H344" s="30"/>
      <c r="I344" s="30"/>
      <c r="J344" s="30"/>
      <c r="K344" s="30"/>
      <c r="L344" s="30"/>
      <c r="M344" s="30"/>
      <c r="N344" s="30"/>
      <c r="O344" s="30"/>
      <c r="P344" s="30"/>
      <c r="Q344" s="30"/>
      <c r="R344" s="30"/>
      <c r="S344" s="30"/>
      <c r="T344" s="30"/>
      <c r="U344" s="30"/>
      <c r="V344" s="185"/>
    </row>
    <row r="345" spans="1:41" ht="18" customHeight="1">
      <c r="A345" s="184"/>
      <c r="B345" s="30"/>
      <c r="C345" s="30"/>
      <c r="D345" s="812"/>
      <c r="E345" s="813"/>
      <c r="F345" s="30"/>
      <c r="G345" s="30"/>
      <c r="H345" s="30"/>
      <c r="I345" s="30"/>
      <c r="J345" s="30"/>
      <c r="K345" s="30"/>
      <c r="L345" s="30"/>
      <c r="M345" s="30"/>
      <c r="N345" s="30"/>
      <c r="O345" s="30"/>
      <c r="P345" s="30"/>
      <c r="Q345" s="30"/>
      <c r="R345" s="30"/>
      <c r="S345" s="30"/>
      <c r="T345" s="30"/>
      <c r="U345" s="30"/>
      <c r="V345" s="185"/>
    </row>
    <row r="346" spans="1:41" ht="18" customHeight="1">
      <c r="A346" s="9"/>
      <c r="V346" s="10"/>
    </row>
    <row r="347" spans="1:41" ht="18" customHeight="1">
      <c r="A347" s="351"/>
      <c r="B347" s="7"/>
      <c r="C347" s="7"/>
      <c r="D347" s="441"/>
      <c r="E347" s="7"/>
      <c r="F347" s="7"/>
      <c r="G347" s="372"/>
      <c r="H347" s="7"/>
      <c r="J347" s="7"/>
      <c r="K347" s="7"/>
      <c r="L347" s="7"/>
      <c r="M347" s="7"/>
      <c r="N347" s="7"/>
      <c r="O347" s="7"/>
      <c r="P347" s="250"/>
      <c r="Q347" s="251"/>
      <c r="R347" s="372"/>
      <c r="S347" s="7"/>
      <c r="V347" s="10"/>
    </row>
    <row r="348" spans="1:41" ht="18" customHeight="1">
      <c r="A348" s="96"/>
      <c r="V348" s="10"/>
    </row>
    <row r="349" spans="1:41" ht="18" customHeight="1">
      <c r="A349" s="9"/>
      <c r="N349" s="7"/>
      <c r="O349" s="28"/>
      <c r="P349" s="102"/>
      <c r="Q349" s="694"/>
      <c r="R349" s="694"/>
      <c r="S349" s="28"/>
      <c r="T349" s="28"/>
      <c r="V349" s="10"/>
    </row>
    <row r="350" spans="1:41" ht="18" customHeight="1">
      <c r="A350" s="9"/>
      <c r="N350" s="252"/>
      <c r="O350" s="28"/>
      <c r="P350" s="102"/>
      <c r="Q350" s="829"/>
      <c r="R350" s="708"/>
      <c r="S350" s="222"/>
      <c r="T350" s="253"/>
      <c r="V350" s="10"/>
    </row>
    <row r="351" spans="1:41" ht="18" customHeight="1">
      <c r="A351" s="9"/>
      <c r="O351" s="28"/>
      <c r="P351" s="28"/>
      <c r="Q351" s="830"/>
      <c r="R351" s="831"/>
      <c r="S351" s="47"/>
      <c r="T351" s="28"/>
      <c r="V351" s="10"/>
    </row>
    <row r="352" spans="1:41" ht="18" customHeight="1">
      <c r="A352" s="9"/>
      <c r="D352" s="14"/>
      <c r="G352" s="27"/>
      <c r="H352" s="14"/>
      <c r="V352" s="10"/>
    </row>
    <row r="353" spans="1:22" ht="18" customHeight="1">
      <c r="A353" s="9"/>
      <c r="E353" s="684"/>
      <c r="F353" s="684"/>
      <c r="G353" s="27"/>
      <c r="H353" s="795"/>
      <c r="I353" s="684"/>
      <c r="V353" s="10"/>
    </row>
    <row r="354" spans="1:22" ht="18" customHeight="1">
      <c r="A354" s="9"/>
      <c r="F354" s="244"/>
      <c r="H354" s="18"/>
      <c r="V354" s="10"/>
    </row>
    <row r="355" spans="1:22" ht="18" customHeight="1">
      <c r="A355" s="9"/>
      <c r="V355" s="10"/>
    </row>
    <row r="356" spans="1:22" ht="18" customHeight="1">
      <c r="A356" s="9"/>
      <c r="V356" s="10"/>
    </row>
    <row r="357" spans="1:22" ht="18" customHeight="1">
      <c r="A357" s="9"/>
      <c r="V357" s="10"/>
    </row>
    <row r="358" spans="1:22" ht="18" customHeight="1">
      <c r="A358" s="9"/>
      <c r="V358" s="10"/>
    </row>
    <row r="359" spans="1:22" ht="18" customHeight="1">
      <c r="A359" s="9"/>
      <c r="V359" s="10"/>
    </row>
    <row r="360" spans="1:22" ht="18" customHeight="1">
      <c r="A360" s="9"/>
      <c r="V360" s="10"/>
    </row>
    <row r="361" spans="1:22" ht="18" hidden="1" customHeight="1">
      <c r="A361" s="382"/>
      <c r="B361" s="20"/>
      <c r="C361" s="20"/>
      <c r="D361" s="20"/>
      <c r="E361" s="20"/>
      <c r="F361" s="20"/>
      <c r="G361" s="20"/>
      <c r="H361" s="20"/>
      <c r="I361" s="20"/>
      <c r="J361" s="20"/>
      <c r="K361" s="20"/>
      <c r="L361" s="20"/>
      <c r="M361" s="20"/>
      <c r="N361" s="20"/>
      <c r="O361" s="20"/>
      <c r="P361" s="20"/>
      <c r="Q361" s="21"/>
      <c r="R361" s="22"/>
      <c r="S361" s="23"/>
      <c r="T361" s="20"/>
      <c r="U361" s="20"/>
      <c r="V361" s="134"/>
    </row>
    <row r="362" spans="1:22" ht="18" hidden="1" customHeight="1">
      <c r="A362" s="442"/>
      <c r="B362" s="384"/>
      <c r="C362" s="384"/>
      <c r="D362" s="384"/>
      <c r="E362" s="384"/>
      <c r="F362" s="384"/>
      <c r="G362" s="384"/>
      <c r="H362" s="384"/>
      <c r="I362" s="384"/>
      <c r="J362" s="384"/>
      <c r="K362" s="384"/>
      <c r="L362" s="384"/>
      <c r="M362" s="384"/>
      <c r="N362" s="384"/>
      <c r="O362" s="384"/>
      <c r="P362" s="384"/>
      <c r="Q362" s="384"/>
      <c r="R362" s="384"/>
      <c r="S362" s="384"/>
      <c r="T362" s="384"/>
      <c r="U362" s="384"/>
      <c r="V362" s="395"/>
    </row>
    <row r="363" spans="1:22" ht="18" hidden="1" customHeight="1">
      <c r="A363" s="9"/>
      <c r="B363" s="835" t="str">
        <f>B204</f>
        <v>T1</v>
      </c>
      <c r="C363" s="836"/>
      <c r="D363" s="783" t="str">
        <f>D204</f>
        <v>Core1</v>
      </c>
      <c r="E363" s="784"/>
      <c r="F363" s="837">
        <f>F204</f>
        <v>0</v>
      </c>
      <c r="G363" s="689"/>
      <c r="H363" s="689" t="str">
        <f>H204</f>
        <v>(Line Diff&amp;Dist.)</v>
      </c>
      <c r="I363" s="689"/>
      <c r="J363" s="689"/>
      <c r="K363" s="689"/>
      <c r="L363" s="689"/>
      <c r="M363" s="689"/>
      <c r="P363" s="186"/>
      <c r="S363" s="187" t="s">
        <v>387</v>
      </c>
      <c r="T363" s="835" t="str">
        <f>T204</f>
        <v>RED670</v>
      </c>
      <c r="U363" s="836"/>
      <c r="V363" s="10"/>
    </row>
    <row r="364" spans="1:22" ht="18" hidden="1" customHeight="1">
      <c r="A364" s="9"/>
      <c r="B364" s="838"/>
      <c r="C364" s="838"/>
      <c r="D364" s="585"/>
      <c r="E364" s="585"/>
      <c r="T364" s="839" t="e">
        <f>#REF!</f>
        <v>#REF!</v>
      </c>
      <c r="U364" s="840"/>
      <c r="V364" s="10"/>
    </row>
    <row r="365" spans="1:22" ht="18" hidden="1" customHeight="1">
      <c r="A365" s="9"/>
      <c r="H365" s="708" t="s">
        <v>390</v>
      </c>
      <c r="I365" s="708"/>
      <c r="J365" s="789" t="s">
        <v>391</v>
      </c>
      <c r="K365" s="789"/>
      <c r="L365" s="790" t="s">
        <v>392</v>
      </c>
      <c r="M365" s="790"/>
      <c r="T365" s="839">
        <f>T205</f>
        <v>0</v>
      </c>
      <c r="U365" s="840"/>
      <c r="V365" s="10"/>
    </row>
    <row r="366" spans="1:22" ht="18" hidden="1" customHeight="1">
      <c r="A366" s="9"/>
      <c r="B366" s="47" t="s">
        <v>393</v>
      </c>
      <c r="H366" s="835">
        <f>H207</f>
        <v>1500</v>
      </c>
      <c r="I366" s="836"/>
      <c r="J366" s="843">
        <f>J207</f>
        <v>1800</v>
      </c>
      <c r="K366" s="844"/>
      <c r="L366" s="835" t="str">
        <f>L207</f>
        <v>-</v>
      </c>
      <c r="M366" s="836"/>
      <c r="N366" s="191" t="s">
        <v>342</v>
      </c>
      <c r="O366" s="491">
        <f>O207</f>
        <v>1</v>
      </c>
      <c r="P366" s="27" t="s">
        <v>8</v>
      </c>
      <c r="V366" s="10"/>
    </row>
    <row r="367" spans="1:22" ht="18" hidden="1" customHeight="1">
      <c r="A367" s="9"/>
      <c r="B367" s="47" t="s">
        <v>394</v>
      </c>
      <c r="J367" s="835" t="str">
        <f>H208</f>
        <v>PX</v>
      </c>
      <c r="K367" s="836"/>
      <c r="V367" s="10"/>
    </row>
    <row r="368" spans="1:22" s="7" customFormat="1" ht="18" hidden="1" customHeight="1">
      <c r="A368" s="9"/>
      <c r="B368" s="47" t="s">
        <v>396</v>
      </c>
      <c r="C368"/>
      <c r="D368"/>
      <c r="E368"/>
      <c r="F368"/>
      <c r="G368"/>
      <c r="H368"/>
      <c r="I368" s="120" t="s">
        <v>497</v>
      </c>
      <c r="J368" s="781">
        <v>5.6</v>
      </c>
      <c r="K368" s="782"/>
      <c r="L368" s="192" t="s">
        <v>333</v>
      </c>
      <c r="M368"/>
      <c r="P368"/>
      <c r="Q368"/>
      <c r="R368"/>
      <c r="S368"/>
      <c r="T368"/>
      <c r="U368"/>
      <c r="V368" s="10"/>
    </row>
    <row r="369" spans="1:22" ht="18" hidden="1" customHeight="1">
      <c r="A369" s="9"/>
      <c r="B369" s="47" t="s">
        <v>398</v>
      </c>
      <c r="I369" s="120" t="s">
        <v>498</v>
      </c>
      <c r="J369" s="781">
        <v>1250</v>
      </c>
      <c r="K369" s="782"/>
      <c r="L369" s="14" t="s">
        <v>305</v>
      </c>
      <c r="O369" s="7"/>
      <c r="V369" s="10"/>
    </row>
    <row r="370" spans="1:22" ht="18" hidden="1" customHeight="1">
      <c r="A370" s="9"/>
      <c r="B370" s="14" t="s">
        <v>401</v>
      </c>
      <c r="I370" s="120" t="s">
        <v>402</v>
      </c>
      <c r="J370" s="781">
        <v>20</v>
      </c>
      <c r="K370" s="782"/>
      <c r="L370" s="14" t="s">
        <v>403</v>
      </c>
      <c r="O370" s="7"/>
      <c r="V370" s="10"/>
    </row>
    <row r="371" spans="1:22" ht="18" hidden="1" customHeight="1">
      <c r="A371" s="9"/>
      <c r="V371" s="10"/>
    </row>
    <row r="372" spans="1:22" ht="18" hidden="1" customHeight="1">
      <c r="A372" s="116" t="s">
        <v>404</v>
      </c>
      <c r="V372" s="10"/>
    </row>
    <row r="373" spans="1:22" ht="18" hidden="1" customHeight="1">
      <c r="A373" s="9"/>
      <c r="V373" s="10"/>
    </row>
    <row r="374" spans="1:22" ht="18" hidden="1" customHeight="1">
      <c r="A374" s="9"/>
      <c r="B374" s="194" t="s">
        <v>405</v>
      </c>
      <c r="C374" s="195"/>
      <c r="D374" s="195" t="str">
        <f>T363</f>
        <v>RED670</v>
      </c>
      <c r="E374" s="423"/>
      <c r="F374" s="423"/>
      <c r="G374" s="423"/>
      <c r="H374" s="182" t="s">
        <v>406</v>
      </c>
      <c r="I374" s="183" t="s">
        <v>127</v>
      </c>
      <c r="J374" s="841">
        <f>J216</f>
        <v>0.02</v>
      </c>
      <c r="K374" s="842"/>
      <c r="L374" s="202" t="s">
        <v>157</v>
      </c>
      <c r="N374" s="197" t="s">
        <v>407</v>
      </c>
      <c r="V374" s="10"/>
    </row>
    <row r="375" spans="1:22" ht="19.8" hidden="1" customHeight="1">
      <c r="A375" s="9"/>
      <c r="B375" s="9" t="s">
        <v>405</v>
      </c>
      <c r="D375" s="424" t="e">
        <f>T364</f>
        <v>#REF!</v>
      </c>
      <c r="I375" s="28" t="s">
        <v>127</v>
      </c>
      <c r="J375" s="841">
        <f>J217</f>
        <v>0</v>
      </c>
      <c r="K375" s="845"/>
      <c r="L375" s="297" t="s">
        <v>157</v>
      </c>
      <c r="V375" s="10"/>
    </row>
    <row r="376" spans="1:22" ht="18" hidden="1" customHeight="1">
      <c r="A376" s="9"/>
      <c r="B376" s="9" t="s">
        <v>405</v>
      </c>
      <c r="D376" s="424">
        <f>T365</f>
        <v>0</v>
      </c>
      <c r="E376" s="14"/>
      <c r="G376" s="199"/>
      <c r="H376" s="425"/>
      <c r="I376" s="101" t="s">
        <v>127</v>
      </c>
      <c r="J376" s="846">
        <f>J218</f>
        <v>0</v>
      </c>
      <c r="K376" s="847"/>
      <c r="L376" s="426" t="s">
        <v>157</v>
      </c>
      <c r="N376" s="27" t="s">
        <v>408</v>
      </c>
      <c r="O376" s="27" t="s">
        <v>127</v>
      </c>
      <c r="P376" s="27" t="s">
        <v>409</v>
      </c>
      <c r="Q376" s="191" t="s">
        <v>410</v>
      </c>
      <c r="R376" s="27" t="s">
        <v>411</v>
      </c>
      <c r="S376" s="27" t="s">
        <v>315</v>
      </c>
      <c r="T376" s="27" t="s">
        <v>411</v>
      </c>
      <c r="U376" s="30" t="s">
        <v>350</v>
      </c>
      <c r="V376" s="10"/>
    </row>
    <row r="377" spans="1:22" ht="18" hidden="1" customHeight="1">
      <c r="A377" s="9"/>
      <c r="B377" s="9" t="s">
        <v>412</v>
      </c>
      <c r="H377" s="425"/>
      <c r="I377" s="427" t="s">
        <v>127</v>
      </c>
      <c r="J377" s="848">
        <f>J219</f>
        <v>1.0770224400000001</v>
      </c>
      <c r="K377" s="849"/>
      <c r="L377" s="426" t="s">
        <v>157</v>
      </c>
      <c r="N377" s="27"/>
      <c r="O377" s="27" t="s">
        <v>127</v>
      </c>
      <c r="P377" s="211">
        <f>J378</f>
        <v>1.0970224400000002</v>
      </c>
      <c r="Q377" s="191" t="s">
        <v>410</v>
      </c>
      <c r="R377" s="27">
        <f>O366</f>
        <v>1</v>
      </c>
      <c r="S377" s="27" t="s">
        <v>315</v>
      </c>
      <c r="T377" s="27">
        <f>O366</f>
        <v>1</v>
      </c>
      <c r="U377" s="30" t="s">
        <v>350</v>
      </c>
      <c r="V377" s="10"/>
    </row>
    <row r="378" spans="1:22" ht="18" hidden="1" customHeight="1">
      <c r="A378" s="9"/>
      <c r="B378" s="205" t="s">
        <v>413</v>
      </c>
      <c r="C378" s="206"/>
      <c r="D378" s="206"/>
      <c r="E378" s="206"/>
      <c r="F378" s="346"/>
      <c r="G378" s="346"/>
      <c r="H378" s="190" t="s">
        <v>409</v>
      </c>
      <c r="I378" s="208" t="s">
        <v>127</v>
      </c>
      <c r="J378" s="766">
        <f>SUM(J374:K377)</f>
        <v>1.0970224400000002</v>
      </c>
      <c r="K378" s="796"/>
      <c r="L378" s="428" t="s">
        <v>157</v>
      </c>
      <c r="O378" s="27" t="s">
        <v>127</v>
      </c>
      <c r="P378" s="795">
        <f>P377/(R377*T377)</f>
        <v>1.0970224400000002</v>
      </c>
      <c r="Q378" s="795"/>
      <c r="R378" s="192" t="s">
        <v>333</v>
      </c>
      <c r="V378" s="10"/>
    </row>
    <row r="379" spans="1:22" ht="18" hidden="1" customHeight="1">
      <c r="A379" s="9"/>
      <c r="V379" s="10"/>
    </row>
    <row r="380" spans="1:22" ht="18" hidden="1" customHeight="1">
      <c r="A380" s="9"/>
      <c r="V380" s="10"/>
    </row>
    <row r="381" spans="1:22" ht="18" hidden="1" customHeight="1">
      <c r="A381" s="116" t="s">
        <v>414</v>
      </c>
      <c r="V381" s="10"/>
    </row>
    <row r="382" spans="1:22" ht="18" hidden="1" customHeight="1">
      <c r="A382" s="678" t="s">
        <v>415</v>
      </c>
      <c r="B382" s="679"/>
      <c r="C382" s="679"/>
      <c r="D382" s="679"/>
      <c r="E382" s="679"/>
      <c r="F382" s="679"/>
      <c r="G382" s="679"/>
      <c r="H382" s="679"/>
      <c r="I382" s="679"/>
      <c r="J382" s="679"/>
      <c r="K382" s="679"/>
      <c r="L382" s="679"/>
      <c r="M382" s="679"/>
      <c r="N382" s="679"/>
      <c r="O382" s="679"/>
      <c r="P382" s="679"/>
      <c r="Q382" s="679"/>
      <c r="R382" s="679"/>
      <c r="S382" s="679"/>
      <c r="T382" s="679"/>
      <c r="U382" s="679"/>
      <c r="V382" s="680"/>
    </row>
    <row r="383" spans="1:22" ht="18" hidden="1" customHeight="1">
      <c r="A383" s="678"/>
      <c r="B383" s="679"/>
      <c r="C383" s="679"/>
      <c r="D383" s="679"/>
      <c r="E383" s="679"/>
      <c r="F383" s="679"/>
      <c r="G383" s="679"/>
      <c r="H383" s="679"/>
      <c r="I383" s="679"/>
      <c r="J383" s="679"/>
      <c r="K383" s="679"/>
      <c r="L383" s="679"/>
      <c r="M383" s="679"/>
      <c r="N383" s="679"/>
      <c r="O383" s="679"/>
      <c r="P383" s="679"/>
      <c r="Q383" s="679"/>
      <c r="R383" s="679"/>
      <c r="S383" s="679"/>
      <c r="T383" s="679"/>
      <c r="U383" s="679"/>
      <c r="V383" s="680"/>
    </row>
    <row r="384" spans="1:22" ht="18" hidden="1" customHeight="1">
      <c r="A384" s="193" t="s">
        <v>416</v>
      </c>
      <c r="V384" s="10"/>
    </row>
    <row r="385" spans="1:22" ht="18" hidden="1" customHeight="1">
      <c r="A385" s="799" t="s">
        <v>417</v>
      </c>
      <c r="B385" s="800"/>
      <c r="C385" s="800"/>
      <c r="D385" s="14"/>
      <c r="E385" s="7"/>
      <c r="F385" s="808" t="s">
        <v>418</v>
      </c>
      <c r="G385" s="808"/>
      <c r="H385" s="805" t="s">
        <v>315</v>
      </c>
      <c r="I385" s="822" t="s">
        <v>411</v>
      </c>
      <c r="J385" s="810"/>
      <c r="K385" s="805" t="s">
        <v>315</v>
      </c>
      <c r="L385" s="808" t="s">
        <v>419</v>
      </c>
      <c r="M385" s="805" t="s">
        <v>420</v>
      </c>
      <c r="N385" s="816" t="s">
        <v>347</v>
      </c>
      <c r="O385" s="805" t="s">
        <v>408</v>
      </c>
      <c r="P385" s="805" t="s">
        <v>347</v>
      </c>
      <c r="Q385" s="850" t="s">
        <v>421</v>
      </c>
      <c r="R385" s="807"/>
      <c r="S385" s="807"/>
      <c r="T385" s="798" t="s">
        <v>350</v>
      </c>
      <c r="U385" s="230" t="s">
        <v>422</v>
      </c>
      <c r="V385" s="112"/>
    </row>
    <row r="386" spans="1:22" ht="18" hidden="1" customHeight="1">
      <c r="A386" s="801"/>
      <c r="B386" s="800"/>
      <c r="C386" s="800"/>
      <c r="D386" s="14"/>
      <c r="E386" s="7"/>
      <c r="F386" s="808"/>
      <c r="G386" s="808"/>
      <c r="H386" s="805"/>
      <c r="I386" s="805" t="s">
        <v>423</v>
      </c>
      <c r="J386" s="811"/>
      <c r="K386" s="805"/>
      <c r="L386" s="808"/>
      <c r="M386" s="805"/>
      <c r="N386" s="816"/>
      <c r="O386" s="805"/>
      <c r="P386" s="805"/>
      <c r="Q386" s="221" t="s">
        <v>146</v>
      </c>
      <c r="R386" s="221" t="s">
        <v>315</v>
      </c>
      <c r="S386" s="221" t="s">
        <v>146</v>
      </c>
      <c r="T386" s="798"/>
      <c r="U386" s="7"/>
      <c r="V386" s="112"/>
    </row>
    <row r="387" spans="1:22" ht="18" hidden="1" customHeight="1">
      <c r="A387" s="193" t="s">
        <v>424</v>
      </c>
      <c r="L387" s="429"/>
      <c r="M387" s="27"/>
      <c r="N387" s="27"/>
      <c r="O387" s="27"/>
      <c r="V387" s="10"/>
    </row>
    <row r="388" spans="1:22" ht="18" hidden="1" customHeight="1">
      <c r="A388" s="799" t="s">
        <v>417</v>
      </c>
      <c r="B388" s="800"/>
      <c r="C388" s="800"/>
      <c r="D388" s="689">
        <v>2</v>
      </c>
      <c r="E388" s="689" t="s">
        <v>315</v>
      </c>
      <c r="F388" s="808" t="s">
        <v>425</v>
      </c>
      <c r="G388" s="808"/>
      <c r="H388" s="805" t="s">
        <v>315</v>
      </c>
      <c r="I388" s="822" t="s">
        <v>411</v>
      </c>
      <c r="J388" s="810"/>
      <c r="K388" s="805" t="s">
        <v>315</v>
      </c>
      <c r="L388" s="808" t="s">
        <v>419</v>
      </c>
      <c r="M388" s="805" t="s">
        <v>420</v>
      </c>
      <c r="N388" s="816" t="s">
        <v>347</v>
      </c>
      <c r="O388" s="805" t="s">
        <v>408</v>
      </c>
      <c r="P388" s="805" t="s">
        <v>347</v>
      </c>
      <c r="Q388" s="850" t="s">
        <v>421</v>
      </c>
      <c r="R388" s="807"/>
      <c r="S388" s="807"/>
      <c r="T388" s="798" t="s">
        <v>350</v>
      </c>
      <c r="U388" s="230" t="s">
        <v>426</v>
      </c>
      <c r="V388" s="112"/>
    </row>
    <row r="389" spans="1:22" ht="18" hidden="1" customHeight="1">
      <c r="A389" s="801"/>
      <c r="B389" s="800"/>
      <c r="C389" s="800"/>
      <c r="D389" s="689"/>
      <c r="E389" s="689"/>
      <c r="F389" s="808"/>
      <c r="G389" s="808"/>
      <c r="H389" s="805"/>
      <c r="I389" s="805" t="s">
        <v>423</v>
      </c>
      <c r="J389" s="811"/>
      <c r="K389" s="805"/>
      <c r="L389" s="808"/>
      <c r="M389" s="805"/>
      <c r="N389" s="816"/>
      <c r="O389" s="805"/>
      <c r="P389" s="805"/>
      <c r="Q389" s="221" t="s">
        <v>146</v>
      </c>
      <c r="R389" s="221" t="s">
        <v>315</v>
      </c>
      <c r="S389" s="221" t="s">
        <v>146</v>
      </c>
      <c r="T389" s="798"/>
      <c r="U389" s="7"/>
      <c r="V389" s="112"/>
    </row>
    <row r="390" spans="1:22" ht="18" hidden="1" customHeight="1">
      <c r="A390" s="9"/>
      <c r="V390" s="10"/>
    </row>
    <row r="391" spans="1:22" ht="18" hidden="1" customHeight="1">
      <c r="A391" s="9"/>
      <c r="B391" s="14" t="s">
        <v>427</v>
      </c>
      <c r="C391" s="14"/>
      <c r="D391" s="103"/>
      <c r="E391" s="103"/>
      <c r="F391" s="14"/>
      <c r="G391" s="14"/>
      <c r="H391" s="5"/>
      <c r="I391" s="5"/>
      <c r="J391" s="5"/>
      <c r="P391" s="120" t="s">
        <v>428</v>
      </c>
      <c r="V391" s="10"/>
    </row>
    <row r="392" spans="1:22" ht="18" hidden="1" customHeight="1">
      <c r="A392" s="9"/>
      <c r="B392" s="14" t="s">
        <v>429</v>
      </c>
      <c r="C392" s="14"/>
      <c r="D392" s="103"/>
      <c r="E392" s="103"/>
      <c r="F392" s="14"/>
      <c r="G392" s="14"/>
      <c r="H392" s="5"/>
      <c r="I392" s="5"/>
      <c r="J392" s="5"/>
      <c r="P392" s="120" t="s">
        <v>430</v>
      </c>
      <c r="Q392" s="234" t="s">
        <v>127</v>
      </c>
      <c r="R392" s="684">
        <f>J366</f>
        <v>1800</v>
      </c>
      <c r="S392" s="684"/>
      <c r="T392" s="14" t="s">
        <v>8</v>
      </c>
      <c r="V392" s="10"/>
    </row>
    <row r="393" spans="1:22" ht="18" hidden="1" customHeight="1">
      <c r="A393" s="9"/>
      <c r="B393" s="14" t="s">
        <v>431</v>
      </c>
      <c r="C393" s="14"/>
      <c r="D393" s="14"/>
      <c r="E393" s="14"/>
      <c r="F393" s="14"/>
      <c r="G393" s="14"/>
      <c r="H393" s="14"/>
      <c r="I393" s="14"/>
      <c r="J393" s="14"/>
      <c r="P393" s="120" t="s">
        <v>418</v>
      </c>
      <c r="Q393" s="234" t="s">
        <v>127</v>
      </c>
      <c r="R393" s="684">
        <f>R234</f>
        <v>50000</v>
      </c>
      <c r="S393" s="684"/>
      <c r="T393" s="14" t="s">
        <v>8</v>
      </c>
      <c r="V393" s="10"/>
    </row>
    <row r="394" spans="1:22" ht="18" hidden="1" customHeight="1">
      <c r="A394" s="9"/>
      <c r="B394" s="14" t="s">
        <v>432</v>
      </c>
      <c r="C394" s="14"/>
      <c r="D394" s="14"/>
      <c r="E394" s="14"/>
      <c r="F394" s="14"/>
      <c r="G394" s="14"/>
      <c r="H394" s="14"/>
      <c r="I394" s="14"/>
      <c r="J394" s="14"/>
      <c r="P394" s="120" t="s">
        <v>425</v>
      </c>
      <c r="Q394" s="234" t="s">
        <v>127</v>
      </c>
      <c r="R394" s="713">
        <f>R235</f>
        <v>42229.804278926844</v>
      </c>
      <c r="S394" s="684"/>
      <c r="T394" s="14" t="s">
        <v>8</v>
      </c>
      <c r="U394" s="30" t="s">
        <v>433</v>
      </c>
      <c r="V394" s="10"/>
    </row>
    <row r="395" spans="1:22" ht="18" hidden="1" customHeight="1">
      <c r="A395" s="9"/>
      <c r="B395" s="14"/>
      <c r="C395" s="14"/>
      <c r="D395" s="14"/>
      <c r="E395" s="14"/>
      <c r="F395" s="14"/>
      <c r="G395" s="14"/>
      <c r="H395" s="14"/>
      <c r="I395" s="14"/>
      <c r="J395" s="14"/>
      <c r="P395" s="120"/>
      <c r="Q395" s="234" t="s">
        <v>127</v>
      </c>
      <c r="R395" s="713">
        <f>R236</f>
        <v>43475.278268251794</v>
      </c>
      <c r="S395" s="684"/>
      <c r="T395" s="14" t="s">
        <v>8</v>
      </c>
      <c r="U395" s="30" t="s">
        <v>434</v>
      </c>
      <c r="V395" s="10"/>
    </row>
    <row r="396" spans="1:22" ht="18" hidden="1" customHeight="1">
      <c r="A396" s="9"/>
      <c r="B396" s="14" t="s">
        <v>435</v>
      </c>
      <c r="C396" s="14"/>
      <c r="D396" s="103"/>
      <c r="E396" s="103"/>
      <c r="F396" s="14"/>
      <c r="G396" s="14"/>
      <c r="H396" s="5"/>
      <c r="I396" s="5"/>
      <c r="J396" s="5"/>
      <c r="P396" s="120" t="s">
        <v>436</v>
      </c>
      <c r="Q396" s="234" t="s">
        <v>127</v>
      </c>
      <c r="R396" s="684">
        <f>R237</f>
        <v>1</v>
      </c>
      <c r="S396" s="684"/>
      <c r="T396" s="14" t="s">
        <v>8</v>
      </c>
      <c r="V396" s="10"/>
    </row>
    <row r="397" spans="1:22" ht="18" hidden="1" customHeight="1">
      <c r="A397" s="9"/>
      <c r="B397" s="14" t="s">
        <v>437</v>
      </c>
      <c r="C397" s="14"/>
      <c r="D397" s="103"/>
      <c r="E397" s="103"/>
      <c r="F397" s="14"/>
      <c r="G397" s="14"/>
      <c r="H397" s="5"/>
      <c r="I397" s="5"/>
      <c r="J397" s="5"/>
      <c r="P397" s="120" t="s">
        <v>438</v>
      </c>
      <c r="Q397" s="234" t="s">
        <v>127</v>
      </c>
      <c r="R397" s="684">
        <f>R238</f>
        <v>1</v>
      </c>
      <c r="S397" s="684"/>
      <c r="T397" s="14" t="s">
        <v>8</v>
      </c>
      <c r="V397" s="10"/>
    </row>
    <row r="398" spans="1:22" ht="18" hidden="1" customHeight="1">
      <c r="A398" s="9"/>
      <c r="B398" s="14" t="s">
        <v>439</v>
      </c>
      <c r="C398" s="14"/>
      <c r="D398" s="103"/>
      <c r="E398" s="103"/>
      <c r="F398" s="14"/>
      <c r="G398" s="14"/>
      <c r="H398" s="5"/>
      <c r="I398" s="5"/>
      <c r="J398" s="5"/>
      <c r="P398" s="120" t="s">
        <v>440</v>
      </c>
      <c r="Q398" s="234" t="s">
        <v>127</v>
      </c>
      <c r="R398" s="684">
        <f>J368</f>
        <v>5.6</v>
      </c>
      <c r="S398" s="684"/>
      <c r="T398" s="192" t="s">
        <v>333</v>
      </c>
      <c r="V398" s="10"/>
    </row>
    <row r="399" spans="1:22" ht="18" hidden="1" customHeight="1">
      <c r="A399" s="9"/>
      <c r="B399" s="14" t="s">
        <v>153</v>
      </c>
      <c r="C399" s="14"/>
      <c r="D399" s="14"/>
      <c r="E399" s="14"/>
      <c r="F399" s="14"/>
      <c r="G399" s="14"/>
      <c r="H399" s="14"/>
      <c r="I399" s="14"/>
      <c r="J399" s="14"/>
      <c r="P399" s="237" t="s">
        <v>441</v>
      </c>
      <c r="Q399" s="234" t="s">
        <v>127</v>
      </c>
      <c r="R399" s="795">
        <f>R240</f>
        <v>1.0970224400000002</v>
      </c>
      <c r="S399" s="684"/>
      <c r="T399" s="192" t="s">
        <v>333</v>
      </c>
      <c r="V399" s="10"/>
    </row>
    <row r="400" spans="1:22" ht="18" hidden="1" customHeight="1">
      <c r="A400" s="9"/>
      <c r="B400" s="40" t="s">
        <v>442</v>
      </c>
      <c r="C400" s="14"/>
      <c r="D400" s="14"/>
      <c r="E400" s="14"/>
      <c r="F400" s="14"/>
      <c r="G400" s="14"/>
      <c r="H400" s="5"/>
      <c r="I400" s="5"/>
      <c r="J400" s="5"/>
      <c r="P400" s="237" t="s">
        <v>443</v>
      </c>
      <c r="Q400" s="234" t="s">
        <v>127</v>
      </c>
      <c r="R400" s="795">
        <f>R241</f>
        <v>0.02</v>
      </c>
      <c r="S400" s="684"/>
      <c r="T400" s="14" t="s">
        <v>157</v>
      </c>
      <c r="V400" s="10"/>
    </row>
    <row r="401" spans="1:22" ht="18" hidden="1" customHeight="1">
      <c r="A401" s="9"/>
      <c r="B401" s="40"/>
      <c r="C401" s="14"/>
      <c r="D401" s="14"/>
      <c r="E401" s="14"/>
      <c r="F401" s="14"/>
      <c r="G401" s="14"/>
      <c r="H401" s="5"/>
      <c r="I401" s="5"/>
      <c r="J401" s="5"/>
      <c r="P401" s="237"/>
      <c r="Q401" s="234"/>
      <c r="R401" s="211"/>
      <c r="S401" s="27"/>
      <c r="T401" s="14"/>
      <c r="V401" s="10"/>
    </row>
    <row r="402" spans="1:22" ht="18" hidden="1" customHeight="1">
      <c r="A402" s="114"/>
      <c r="B402" s="7"/>
      <c r="C402" s="7"/>
      <c r="D402" s="7"/>
      <c r="E402" s="7"/>
      <c r="F402" s="7"/>
      <c r="G402" s="7"/>
      <c r="H402" s="7"/>
      <c r="I402" s="7"/>
      <c r="J402" s="7"/>
      <c r="K402" s="7"/>
      <c r="L402" s="7"/>
      <c r="M402" s="7"/>
      <c r="N402" s="7"/>
      <c r="O402" s="7"/>
      <c r="P402" s="7"/>
      <c r="Q402" s="124"/>
      <c r="R402" s="121"/>
      <c r="S402" s="405"/>
      <c r="T402" s="7"/>
      <c r="U402" s="7"/>
      <c r="V402" s="381"/>
    </row>
    <row r="403" spans="1:22" ht="18" hidden="1" customHeight="1">
      <c r="A403" s="193" t="s">
        <v>416</v>
      </c>
      <c r="V403" s="10"/>
    </row>
    <row r="404" spans="1:22" ht="18" hidden="1" customHeight="1">
      <c r="A404" s="799" t="s">
        <v>417</v>
      </c>
      <c r="B404" s="800"/>
      <c r="C404" s="800"/>
      <c r="D404" s="14"/>
      <c r="E404" s="7"/>
      <c r="F404" s="808">
        <f>R393</f>
        <v>50000</v>
      </c>
      <c r="G404" s="808"/>
      <c r="H404" s="805" t="s">
        <v>315</v>
      </c>
      <c r="I404" s="809">
        <f>R396</f>
        <v>1</v>
      </c>
      <c r="J404" s="810"/>
      <c r="K404" s="805" t="s">
        <v>315</v>
      </c>
      <c r="L404" s="808" t="s">
        <v>419</v>
      </c>
      <c r="M404" s="815">
        <f>R398</f>
        <v>5.6</v>
      </c>
      <c r="N404" s="816" t="s">
        <v>347</v>
      </c>
      <c r="O404" s="817">
        <f>R399</f>
        <v>1.0970224400000002</v>
      </c>
      <c r="P404" s="805" t="s">
        <v>347</v>
      </c>
      <c r="Q404" s="807">
        <f>R400</f>
        <v>0.02</v>
      </c>
      <c r="R404" s="807"/>
      <c r="S404" s="807"/>
      <c r="T404" s="798" t="s">
        <v>350</v>
      </c>
      <c r="U404" s="230" t="s">
        <v>422</v>
      </c>
      <c r="V404" s="112"/>
    </row>
    <row r="405" spans="1:22" ht="18" hidden="1" customHeight="1">
      <c r="A405" s="801"/>
      <c r="B405" s="800"/>
      <c r="C405" s="800"/>
      <c r="D405" s="14"/>
      <c r="E405" s="7"/>
      <c r="F405" s="808"/>
      <c r="G405" s="808"/>
      <c r="H405" s="805"/>
      <c r="I405" s="805">
        <f>R392</f>
        <v>1800</v>
      </c>
      <c r="J405" s="811"/>
      <c r="K405" s="805"/>
      <c r="L405" s="808"/>
      <c r="M405" s="815"/>
      <c r="N405" s="816"/>
      <c r="O405" s="815"/>
      <c r="P405" s="805"/>
      <c r="Q405" s="221">
        <f>R397</f>
        <v>1</v>
      </c>
      <c r="R405" s="221" t="s">
        <v>315</v>
      </c>
      <c r="S405" s="221">
        <f>R397</f>
        <v>1</v>
      </c>
      <c r="T405" s="798"/>
      <c r="U405" s="7"/>
      <c r="V405" s="112"/>
    </row>
    <row r="406" spans="1:22" ht="18" hidden="1" customHeight="1">
      <c r="A406" s="9"/>
      <c r="L406" s="429"/>
      <c r="V406" s="10"/>
    </row>
    <row r="407" spans="1:22" ht="18" hidden="1" customHeight="1">
      <c r="A407" s="9"/>
      <c r="C407" s="27" t="s">
        <v>127</v>
      </c>
      <c r="D407" s="812">
        <f>F404*(I404/I405)*(M404+O404+(Q404/(Q405*S405)))</f>
        <v>186.58395666666664</v>
      </c>
      <c r="E407" s="813"/>
      <c r="F407" s="27" t="s">
        <v>305</v>
      </c>
      <c r="L407" s="429"/>
      <c r="V407" s="10"/>
    </row>
    <row r="408" spans="1:22" ht="18" hidden="1" customHeight="1">
      <c r="A408" s="9"/>
      <c r="L408" s="429"/>
      <c r="V408" s="10"/>
    </row>
    <row r="409" spans="1:22" s="7" customFormat="1" ht="18" hidden="1" customHeight="1">
      <c r="A409" s="193" t="s">
        <v>444</v>
      </c>
      <c r="B409"/>
      <c r="C409"/>
      <c r="D409"/>
      <c r="E409"/>
      <c r="F409"/>
      <c r="G409"/>
      <c r="H409"/>
      <c r="I409"/>
      <c r="J409"/>
      <c r="K409"/>
      <c r="L409" s="429"/>
      <c r="M409"/>
      <c r="N409"/>
      <c r="O409"/>
      <c r="P409"/>
      <c r="Q409"/>
      <c r="R409"/>
      <c r="S409"/>
      <c r="T409"/>
      <c r="U409"/>
      <c r="V409" s="10"/>
    </row>
    <row r="410" spans="1:22" ht="18" hidden="1" customHeight="1">
      <c r="A410" s="799" t="s">
        <v>417</v>
      </c>
      <c r="B410" s="800"/>
      <c r="C410" s="800"/>
      <c r="D410" s="689">
        <v>2</v>
      </c>
      <c r="E410" s="689" t="s">
        <v>315</v>
      </c>
      <c r="F410" s="814">
        <f>R394</f>
        <v>42229.804278926844</v>
      </c>
      <c r="G410" s="814"/>
      <c r="H410" s="805" t="s">
        <v>315</v>
      </c>
      <c r="I410" s="809">
        <f>R396</f>
        <v>1</v>
      </c>
      <c r="J410" s="810"/>
      <c r="K410" s="805" t="s">
        <v>315</v>
      </c>
      <c r="L410" s="808" t="s">
        <v>419</v>
      </c>
      <c r="M410" s="815">
        <f>R398</f>
        <v>5.6</v>
      </c>
      <c r="N410" s="816" t="s">
        <v>347</v>
      </c>
      <c r="O410" s="817">
        <f>R399</f>
        <v>1.0970224400000002</v>
      </c>
      <c r="P410" s="805" t="s">
        <v>347</v>
      </c>
      <c r="Q410" s="807">
        <f>Q404</f>
        <v>0.02</v>
      </c>
      <c r="R410" s="807"/>
      <c r="S410" s="807"/>
      <c r="T410" s="798" t="s">
        <v>350</v>
      </c>
      <c r="U410" s="230" t="s">
        <v>426</v>
      </c>
      <c r="V410" s="112"/>
    </row>
    <row r="411" spans="1:22" ht="18" hidden="1" customHeight="1">
      <c r="A411" s="801"/>
      <c r="B411" s="800"/>
      <c r="C411" s="800"/>
      <c r="D411" s="689"/>
      <c r="E411" s="689"/>
      <c r="F411" s="814"/>
      <c r="G411" s="814"/>
      <c r="H411" s="805"/>
      <c r="I411" s="805">
        <f>R392</f>
        <v>1800</v>
      </c>
      <c r="J411" s="811"/>
      <c r="K411" s="805"/>
      <c r="L411" s="808"/>
      <c r="M411" s="815"/>
      <c r="N411" s="816"/>
      <c r="O411" s="815"/>
      <c r="P411" s="805"/>
      <c r="Q411" s="221">
        <f>R397</f>
        <v>1</v>
      </c>
      <c r="R411" s="221" t="s">
        <v>315</v>
      </c>
      <c r="S411" s="221">
        <f>R397</f>
        <v>1</v>
      </c>
      <c r="T411" s="798"/>
      <c r="U411" s="7"/>
      <c r="V411" s="112"/>
    </row>
    <row r="412" spans="1:22" ht="18" hidden="1" customHeight="1">
      <c r="A412" s="9"/>
      <c r="L412" s="429"/>
      <c r="V412" s="10"/>
    </row>
    <row r="413" spans="1:22" ht="18" hidden="1" customHeight="1">
      <c r="A413" s="9"/>
      <c r="C413" s="27" t="s">
        <v>127</v>
      </c>
      <c r="D413" s="812">
        <f>D410*F410*(I410/I411)*(M410+O410+(Q410/(Q411*S411)))</f>
        <v>315.17615886484396</v>
      </c>
      <c r="E413" s="813"/>
      <c r="F413" s="27" t="s">
        <v>305</v>
      </c>
      <c r="L413" s="429"/>
      <c r="V413" s="10"/>
    </row>
    <row r="414" spans="1:22" ht="18" hidden="1" customHeight="1">
      <c r="A414" s="9"/>
      <c r="L414" s="429"/>
      <c r="V414" s="10"/>
    </row>
    <row r="415" spans="1:22" ht="18" hidden="1" customHeight="1">
      <c r="A415" s="193" t="s">
        <v>445</v>
      </c>
      <c r="L415" s="429"/>
      <c r="V415" s="10"/>
    </row>
    <row r="416" spans="1:22" ht="18" hidden="1" customHeight="1">
      <c r="A416" s="799" t="s">
        <v>417</v>
      </c>
      <c r="B416" s="800"/>
      <c r="C416" s="800"/>
      <c r="D416" s="805">
        <v>2</v>
      </c>
      <c r="E416" s="805" t="s">
        <v>315</v>
      </c>
      <c r="F416" s="814">
        <f>R395</f>
        <v>43475.278268251794</v>
      </c>
      <c r="G416" s="814"/>
      <c r="H416" s="805" t="s">
        <v>315</v>
      </c>
      <c r="I416" s="809">
        <f>R396</f>
        <v>1</v>
      </c>
      <c r="J416" s="810"/>
      <c r="K416" s="805" t="s">
        <v>315</v>
      </c>
      <c r="L416" s="808" t="s">
        <v>419</v>
      </c>
      <c r="M416" s="815">
        <f>R398</f>
        <v>5.6</v>
      </c>
      <c r="N416" s="816" t="s">
        <v>347</v>
      </c>
      <c r="O416" s="817">
        <f>R399</f>
        <v>1.0970224400000002</v>
      </c>
      <c r="P416" s="805" t="s">
        <v>347</v>
      </c>
      <c r="Q416" s="807">
        <f>R400</f>
        <v>0.02</v>
      </c>
      <c r="R416" s="807"/>
      <c r="S416" s="807"/>
      <c r="T416" s="798" t="s">
        <v>350</v>
      </c>
      <c r="U416" s="230" t="s">
        <v>426</v>
      </c>
      <c r="V416" s="112"/>
    </row>
    <row r="417" spans="1:22" ht="18" hidden="1" customHeight="1">
      <c r="A417" s="801"/>
      <c r="B417" s="800"/>
      <c r="C417" s="800"/>
      <c r="D417" s="805"/>
      <c r="E417" s="805"/>
      <c r="F417" s="814"/>
      <c r="G417" s="814"/>
      <c r="H417" s="805"/>
      <c r="I417" s="805">
        <f>R392</f>
        <v>1800</v>
      </c>
      <c r="J417" s="811"/>
      <c r="K417" s="805"/>
      <c r="L417" s="808"/>
      <c r="M417" s="815"/>
      <c r="N417" s="816"/>
      <c r="O417" s="815"/>
      <c r="P417" s="805"/>
      <c r="Q417" s="221">
        <f>R397</f>
        <v>1</v>
      </c>
      <c r="R417" s="221" t="s">
        <v>315</v>
      </c>
      <c r="S417" s="221">
        <f>R397</f>
        <v>1</v>
      </c>
      <c r="T417" s="798"/>
      <c r="U417" s="7"/>
      <c r="V417" s="112"/>
    </row>
    <row r="418" spans="1:22" ht="18" hidden="1" customHeight="1">
      <c r="A418" s="9"/>
      <c r="V418" s="10"/>
    </row>
    <row r="419" spans="1:22" ht="18" hidden="1" customHeight="1">
      <c r="A419" s="9"/>
      <c r="C419" s="27" t="s">
        <v>127</v>
      </c>
      <c r="D419" s="812">
        <f>D416*F416*(I416/I417)*(M416+O416+(Q416/(Q417*S417)))</f>
        <v>324.47157745899068</v>
      </c>
      <c r="E419" s="813"/>
      <c r="F419" s="27" t="s">
        <v>305</v>
      </c>
      <c r="V419" s="10"/>
    </row>
    <row r="420" spans="1:22" ht="18" hidden="1" customHeight="1">
      <c r="A420" s="9"/>
      <c r="V420" s="10"/>
    </row>
    <row r="421" spans="1:22" ht="18" hidden="1" customHeight="1">
      <c r="A421" s="9"/>
      <c r="V421" s="10"/>
    </row>
    <row r="422" spans="1:22" ht="18" hidden="1" customHeight="1">
      <c r="A422" s="116" t="s">
        <v>446</v>
      </c>
      <c r="V422" s="10"/>
    </row>
    <row r="423" spans="1:22" ht="18" hidden="1" customHeight="1">
      <c r="A423" s="678" t="s">
        <v>499</v>
      </c>
      <c r="B423" s="679"/>
      <c r="C423" s="679"/>
      <c r="D423" s="679"/>
      <c r="E423" s="679"/>
      <c r="F423" s="679"/>
      <c r="G423" s="679"/>
      <c r="H423" s="679"/>
      <c r="I423" s="679"/>
      <c r="J423" s="679"/>
      <c r="K423" s="679"/>
      <c r="L423" s="679"/>
      <c r="M423" s="679"/>
      <c r="N423" s="679"/>
      <c r="O423" s="679"/>
      <c r="P423" s="679"/>
      <c r="Q423" s="679"/>
      <c r="R423" s="679"/>
      <c r="S423" s="679"/>
      <c r="T423" s="679"/>
      <c r="U423" s="679"/>
      <c r="V423" s="680"/>
    </row>
    <row r="424" spans="1:22" ht="18" hidden="1" customHeight="1">
      <c r="A424" s="678"/>
      <c r="B424" s="679"/>
      <c r="C424" s="679"/>
      <c r="D424" s="679"/>
      <c r="E424" s="679"/>
      <c r="F424" s="679"/>
      <c r="G424" s="679"/>
      <c r="H424" s="679"/>
      <c r="I424" s="679"/>
      <c r="J424" s="679"/>
      <c r="K424" s="679"/>
      <c r="L424" s="679"/>
      <c r="M424" s="679"/>
      <c r="N424" s="679"/>
      <c r="O424" s="679"/>
      <c r="P424" s="679"/>
      <c r="Q424" s="679"/>
      <c r="R424" s="679"/>
      <c r="S424" s="679"/>
      <c r="T424" s="679"/>
      <c r="U424" s="679"/>
      <c r="V424" s="680"/>
    </row>
    <row r="425" spans="1:22" ht="18" hidden="1" customHeight="1">
      <c r="A425" s="447" t="s">
        <v>416</v>
      </c>
      <c r="V425" s="10"/>
    </row>
    <row r="426" spans="1:22" ht="18" hidden="1" customHeight="1">
      <c r="A426" s="799" t="s">
        <v>417</v>
      </c>
      <c r="B426" s="800"/>
      <c r="C426" s="800"/>
      <c r="D426" s="802" t="s">
        <v>418</v>
      </c>
      <c r="E426" s="804"/>
      <c r="F426" s="689" t="s">
        <v>315</v>
      </c>
      <c r="G426" s="708" t="s">
        <v>436</v>
      </c>
      <c r="H426" s="803"/>
      <c r="I426" s="689" t="s">
        <v>315</v>
      </c>
      <c r="J426" s="851" t="s">
        <v>135</v>
      </c>
      <c r="K426" s="689" t="s">
        <v>315</v>
      </c>
      <c r="L426" s="802" t="s">
        <v>419</v>
      </c>
      <c r="M426" s="716" t="s">
        <v>440</v>
      </c>
      <c r="N426" s="729" t="s">
        <v>347</v>
      </c>
      <c r="O426" s="716" t="s">
        <v>447</v>
      </c>
      <c r="P426" s="689" t="s">
        <v>347</v>
      </c>
      <c r="Q426" s="759" t="s">
        <v>448</v>
      </c>
      <c r="R426" s="797"/>
      <c r="S426" s="797"/>
      <c r="T426" s="798" t="s">
        <v>350</v>
      </c>
      <c r="U426" s="230" t="s">
        <v>422</v>
      </c>
      <c r="V426" s="112"/>
    </row>
    <row r="427" spans="1:22" ht="18" hidden="1" customHeight="1">
      <c r="A427" s="801"/>
      <c r="B427" s="800"/>
      <c r="C427" s="800"/>
      <c r="D427" s="804"/>
      <c r="E427" s="804"/>
      <c r="F427" s="689"/>
      <c r="G427" s="689" t="s">
        <v>430</v>
      </c>
      <c r="H427" s="804"/>
      <c r="I427" s="689"/>
      <c r="J427" s="689"/>
      <c r="K427" s="689"/>
      <c r="L427" s="802"/>
      <c r="M427" s="716"/>
      <c r="N427" s="729"/>
      <c r="O427" s="716"/>
      <c r="P427" s="689"/>
      <c r="Q427" s="28" t="s">
        <v>438</v>
      </c>
      <c r="R427" s="28" t="s">
        <v>315</v>
      </c>
      <c r="S427" s="28" t="s">
        <v>438</v>
      </c>
      <c r="T427" s="798"/>
      <c r="U427" s="7"/>
      <c r="V427" s="112"/>
    </row>
    <row r="428" spans="1:22" ht="18" hidden="1" customHeight="1">
      <c r="A428" s="447" t="s">
        <v>449</v>
      </c>
      <c r="L428" s="429"/>
      <c r="V428" s="10"/>
    </row>
    <row r="429" spans="1:22" ht="18" hidden="1" customHeight="1">
      <c r="A429" s="799" t="s">
        <v>417</v>
      </c>
      <c r="B429" s="800"/>
      <c r="C429" s="800"/>
      <c r="D429" s="802" t="s">
        <v>450</v>
      </c>
      <c r="E429" s="804"/>
      <c r="F429" s="689" t="s">
        <v>315</v>
      </c>
      <c r="G429" s="708" t="s">
        <v>436</v>
      </c>
      <c r="H429" s="803"/>
      <c r="I429" s="689" t="s">
        <v>315</v>
      </c>
      <c r="J429" s="851" t="s">
        <v>451</v>
      </c>
      <c r="K429" s="689" t="s">
        <v>315</v>
      </c>
      <c r="L429" s="802" t="s">
        <v>419</v>
      </c>
      <c r="M429" s="716" t="s">
        <v>440</v>
      </c>
      <c r="N429" s="729" t="s">
        <v>347</v>
      </c>
      <c r="O429" s="716" t="s">
        <v>447</v>
      </c>
      <c r="P429" s="689" t="s">
        <v>347</v>
      </c>
      <c r="Q429" s="759" t="s">
        <v>448</v>
      </c>
      <c r="R429" s="797"/>
      <c r="S429" s="797"/>
      <c r="T429" s="798" t="s">
        <v>350</v>
      </c>
      <c r="U429" s="230" t="s">
        <v>426</v>
      </c>
      <c r="V429" s="112"/>
    </row>
    <row r="430" spans="1:22" ht="18" hidden="1" customHeight="1">
      <c r="A430" s="801"/>
      <c r="B430" s="800"/>
      <c r="C430" s="800"/>
      <c r="D430" s="804"/>
      <c r="E430" s="804"/>
      <c r="F430" s="689"/>
      <c r="G430" s="689" t="s">
        <v>430</v>
      </c>
      <c r="H430" s="804"/>
      <c r="I430" s="689"/>
      <c r="J430" s="689"/>
      <c r="K430" s="689"/>
      <c r="L430" s="802"/>
      <c r="M430" s="716"/>
      <c r="N430" s="729"/>
      <c r="O430" s="716"/>
      <c r="P430" s="689"/>
      <c r="Q430" s="28" t="s">
        <v>438</v>
      </c>
      <c r="R430" s="28" t="s">
        <v>315</v>
      </c>
      <c r="S430" s="28" t="s">
        <v>438</v>
      </c>
      <c r="T430" s="798"/>
      <c r="U430" s="7"/>
      <c r="V430" s="112"/>
    </row>
    <row r="431" spans="1:22" ht="18" hidden="1" customHeight="1">
      <c r="A431" s="9"/>
      <c r="V431" s="10"/>
    </row>
    <row r="432" spans="1:22" ht="18" hidden="1" customHeight="1">
      <c r="A432" s="9"/>
      <c r="B432" s="14" t="s">
        <v>427</v>
      </c>
      <c r="P432" s="120" t="s">
        <v>428</v>
      </c>
      <c r="V432" s="10"/>
    </row>
    <row r="433" spans="1:22" ht="18" hidden="1" customHeight="1">
      <c r="A433" s="9"/>
      <c r="B433" s="14" t="s">
        <v>429</v>
      </c>
      <c r="P433" s="120" t="s">
        <v>430</v>
      </c>
      <c r="Q433" s="234" t="s">
        <v>127</v>
      </c>
      <c r="R433" s="684">
        <f>R392</f>
        <v>1800</v>
      </c>
      <c r="S433" s="684"/>
      <c r="T433" s="14" t="s">
        <v>8</v>
      </c>
      <c r="V433" s="10"/>
    </row>
    <row r="434" spans="1:22" ht="18" hidden="1" customHeight="1">
      <c r="A434" s="9"/>
      <c r="B434" s="14" t="s">
        <v>431</v>
      </c>
      <c r="P434" s="120" t="s">
        <v>418</v>
      </c>
      <c r="Q434" s="234" t="s">
        <v>127</v>
      </c>
      <c r="R434" s="684">
        <f>R393</f>
        <v>50000</v>
      </c>
      <c r="S434" s="684"/>
      <c r="T434" s="14" t="s">
        <v>8</v>
      </c>
      <c r="V434" s="10"/>
    </row>
    <row r="435" spans="1:22" ht="18" hidden="1" customHeight="1">
      <c r="A435" s="9"/>
      <c r="B435" s="14" t="s">
        <v>452</v>
      </c>
      <c r="P435" s="120" t="s">
        <v>450</v>
      </c>
      <c r="Q435" s="234" t="s">
        <v>127</v>
      </c>
      <c r="R435" s="713">
        <f>R275</f>
        <v>43584.822413584639</v>
      </c>
      <c r="S435" s="684"/>
      <c r="T435" s="14" t="s">
        <v>8</v>
      </c>
      <c r="U435" s="30" t="s">
        <v>433</v>
      </c>
      <c r="V435" s="10"/>
    </row>
    <row r="436" spans="1:22" ht="18" hidden="1" customHeight="1">
      <c r="A436" s="9"/>
      <c r="B436" s="14"/>
      <c r="P436" s="120"/>
      <c r="Q436" s="234" t="s">
        <v>127</v>
      </c>
      <c r="R436" s="713">
        <f>R276</f>
        <v>44648.255952235893</v>
      </c>
      <c r="S436" s="684"/>
      <c r="T436" s="14" t="s">
        <v>8</v>
      </c>
      <c r="U436" s="30" t="s">
        <v>434</v>
      </c>
      <c r="V436" s="10"/>
    </row>
    <row r="437" spans="1:22" ht="18" hidden="1" customHeight="1">
      <c r="A437" s="9"/>
      <c r="B437" s="14" t="s">
        <v>453</v>
      </c>
      <c r="P437" s="120" t="s">
        <v>436</v>
      </c>
      <c r="Q437" s="234" t="s">
        <v>127</v>
      </c>
      <c r="R437" s="684">
        <f>R396</f>
        <v>1</v>
      </c>
      <c r="S437" s="684"/>
      <c r="T437" s="14" t="s">
        <v>8</v>
      </c>
      <c r="V437" s="10"/>
    </row>
    <row r="438" spans="1:22" ht="18" hidden="1" customHeight="1">
      <c r="A438" s="9"/>
      <c r="B438" s="14" t="s">
        <v>437</v>
      </c>
      <c r="P438" s="120" t="s">
        <v>438</v>
      </c>
      <c r="Q438" s="234" t="s">
        <v>127</v>
      </c>
      <c r="R438" s="684">
        <f>R397</f>
        <v>1</v>
      </c>
      <c r="S438" s="684"/>
      <c r="T438" s="14" t="s">
        <v>8</v>
      </c>
      <c r="V438" s="10"/>
    </row>
    <row r="439" spans="1:22" ht="18" hidden="1" customHeight="1">
      <c r="A439" s="9"/>
      <c r="B439" s="14" t="s">
        <v>439</v>
      </c>
      <c r="P439" s="120" t="s">
        <v>440</v>
      </c>
      <c r="Q439" s="234" t="s">
        <v>127</v>
      </c>
      <c r="R439" s="684">
        <f>R398</f>
        <v>5.6</v>
      </c>
      <c r="S439" s="684"/>
      <c r="T439" s="192" t="s">
        <v>333</v>
      </c>
      <c r="V439" s="10"/>
    </row>
    <row r="440" spans="1:22" ht="18" hidden="1" customHeight="1">
      <c r="A440" s="9"/>
      <c r="B440" s="14" t="s">
        <v>454</v>
      </c>
      <c r="P440" s="237" t="s">
        <v>441</v>
      </c>
      <c r="Q440" s="234" t="s">
        <v>127</v>
      </c>
      <c r="R440" s="795">
        <f>R399</f>
        <v>1.0970224400000002</v>
      </c>
      <c r="S440" s="684"/>
      <c r="T440" s="192" t="s">
        <v>333</v>
      </c>
      <c r="V440" s="10"/>
    </row>
    <row r="441" spans="1:22" ht="18" hidden="1" customHeight="1">
      <c r="A441" s="9"/>
      <c r="B441" s="40" t="s">
        <v>442</v>
      </c>
      <c r="P441" s="237" t="s">
        <v>443</v>
      </c>
      <c r="Q441" s="234" t="s">
        <v>127</v>
      </c>
      <c r="R441" s="795">
        <f>R400</f>
        <v>0.02</v>
      </c>
      <c r="S441" s="684"/>
      <c r="T441" s="14" t="s">
        <v>157</v>
      </c>
      <c r="V441" s="10"/>
    </row>
    <row r="442" spans="1:22" ht="18" hidden="1" customHeight="1">
      <c r="A442" s="9"/>
      <c r="B442" s="40"/>
      <c r="P442" s="237"/>
      <c r="Q442" s="234"/>
      <c r="R442" s="211"/>
      <c r="S442" s="27"/>
      <c r="T442" s="14"/>
      <c r="V442" s="10"/>
    </row>
    <row r="443" spans="1:22" ht="18" hidden="1" customHeight="1">
      <c r="A443" s="114"/>
      <c r="B443" s="7"/>
      <c r="C443" s="7"/>
      <c r="D443" s="7"/>
      <c r="E443" s="7"/>
      <c r="F443" s="7"/>
      <c r="G443" s="7"/>
      <c r="H443" s="7"/>
      <c r="I443" s="7"/>
      <c r="J443" s="7"/>
      <c r="K443" s="7"/>
      <c r="L443" s="7"/>
      <c r="M443" s="7"/>
      <c r="N443" s="7"/>
      <c r="O443" s="7"/>
      <c r="P443" s="7"/>
      <c r="Q443" s="124"/>
      <c r="R443" s="121"/>
      <c r="S443" s="405"/>
      <c r="T443" s="7"/>
      <c r="U443" s="7"/>
      <c r="V443" s="381"/>
    </row>
    <row r="444" spans="1:22" ht="18" hidden="1" customHeight="1">
      <c r="A444" s="119" t="s">
        <v>455</v>
      </c>
      <c r="B444" s="152"/>
      <c r="C444" s="437"/>
      <c r="D444" s="376"/>
      <c r="E444" s="437"/>
      <c r="F444" s="376"/>
      <c r="G444" s="376"/>
      <c r="H444" s="152"/>
      <c r="I444" s="152"/>
      <c r="J444" s="152"/>
      <c r="K444" s="153"/>
      <c r="L444" s="153"/>
      <c r="M444" s="7"/>
      <c r="N444" s="376"/>
      <c r="O444" s="376"/>
      <c r="P444" s="153"/>
      <c r="Q444" s="438"/>
      <c r="R444" s="7"/>
      <c r="S444" s="7"/>
      <c r="T444" s="7"/>
      <c r="U444" s="7"/>
      <c r="V444" s="112"/>
    </row>
    <row r="445" spans="1:22" ht="18" hidden="1" customHeight="1">
      <c r="A445" s="96" t="s">
        <v>456</v>
      </c>
      <c r="B445" s="152"/>
      <c r="C445" s="437"/>
      <c r="D445" s="376"/>
      <c r="E445" s="437"/>
      <c r="F445" s="376"/>
      <c r="G445" s="376"/>
      <c r="H445" s="152"/>
      <c r="I445" s="152"/>
      <c r="J445" s="152"/>
      <c r="K445" s="153"/>
      <c r="L445" s="153"/>
      <c r="M445" s="7"/>
      <c r="N445" s="376"/>
      <c r="O445" s="376"/>
      <c r="P445" s="153"/>
      <c r="Q445" s="438"/>
      <c r="R445" s="7"/>
      <c r="S445" s="7"/>
      <c r="T445" s="7"/>
      <c r="U445" s="7"/>
      <c r="V445" s="112"/>
    </row>
    <row r="446" spans="1:22" ht="18" hidden="1" customHeight="1">
      <c r="A446" s="396"/>
      <c r="B446" s="152"/>
      <c r="C446" s="437"/>
      <c r="D446" s="7"/>
      <c r="E446" s="7"/>
      <c r="F446" s="7"/>
      <c r="G446" s="376"/>
      <c r="H446" s="439" t="s">
        <v>457</v>
      </c>
      <c r="I446" s="14" t="s">
        <v>458</v>
      </c>
      <c r="J446" s="7"/>
      <c r="K446" s="28" t="s">
        <v>459</v>
      </c>
      <c r="L446" s="28" t="s">
        <v>135</v>
      </c>
      <c r="M446" s="440"/>
      <c r="N446" s="376"/>
      <c r="O446" s="376"/>
      <c r="P446" s="102" t="s">
        <v>127</v>
      </c>
      <c r="Q446" s="28">
        <v>1</v>
      </c>
      <c r="R446" s="7"/>
      <c r="S446" s="7"/>
      <c r="T446" s="7"/>
      <c r="U446" s="7"/>
      <c r="V446" s="112"/>
    </row>
    <row r="447" spans="1:22" ht="18" hidden="1" customHeight="1">
      <c r="A447" s="396"/>
      <c r="B447" s="152"/>
      <c r="C447" s="437"/>
      <c r="D447" s="7"/>
      <c r="E447" s="7"/>
      <c r="F447" s="7"/>
      <c r="G447" s="376"/>
      <c r="H447" s="439"/>
      <c r="I447" s="14"/>
      <c r="J447" s="7"/>
      <c r="K447" s="28"/>
      <c r="L447" s="28"/>
      <c r="M447" s="440"/>
      <c r="N447" s="376"/>
      <c r="O447" s="376"/>
      <c r="P447" s="102"/>
      <c r="Q447" s="28"/>
      <c r="R447" s="7"/>
      <c r="S447" s="7"/>
      <c r="T447" s="7"/>
      <c r="U447" s="7"/>
      <c r="V447" s="112"/>
    </row>
    <row r="448" spans="1:22" ht="18" hidden="1" customHeight="1">
      <c r="A448" s="96" t="s">
        <v>460</v>
      </c>
      <c r="B448" s="152"/>
      <c r="C448" s="437"/>
      <c r="D448" s="376"/>
      <c r="E448" s="437"/>
      <c r="F448" s="376"/>
      <c r="G448" s="376"/>
      <c r="H448" s="152"/>
      <c r="I448" s="7"/>
      <c r="J448" s="7"/>
      <c r="K448" s="121"/>
      <c r="L448" s="121"/>
      <c r="M448" s="7"/>
      <c r="N448" s="376"/>
      <c r="O448" s="376"/>
      <c r="P448" s="153"/>
      <c r="Q448" s="438"/>
      <c r="V448" s="10"/>
    </row>
    <row r="449" spans="1:22" ht="18" hidden="1" customHeight="1">
      <c r="A449" s="96" t="s">
        <v>461</v>
      </c>
      <c r="B449" s="152"/>
      <c r="C449" s="437"/>
      <c r="D449" s="376"/>
      <c r="E449" s="437"/>
      <c r="F449" s="376"/>
      <c r="G449" s="376"/>
      <c r="H449" s="152"/>
      <c r="I449" s="7"/>
      <c r="J449" s="7"/>
      <c r="K449" s="121"/>
      <c r="L449" s="121"/>
      <c r="M449" s="7"/>
      <c r="N449" s="376"/>
      <c r="O449" s="376"/>
      <c r="P449" s="153"/>
      <c r="Q449" s="438"/>
      <c r="V449" s="10"/>
    </row>
    <row r="450" spans="1:22" ht="18" hidden="1" customHeight="1">
      <c r="A450" s="396"/>
      <c r="B450" s="152"/>
      <c r="C450" s="437"/>
      <c r="D450" s="7"/>
      <c r="E450" s="7"/>
      <c r="F450" s="7"/>
      <c r="G450" s="376"/>
      <c r="H450" s="439" t="s">
        <v>457</v>
      </c>
      <c r="I450" s="14" t="s">
        <v>462</v>
      </c>
      <c r="J450" s="7"/>
      <c r="K450" s="28" t="s">
        <v>459</v>
      </c>
      <c r="L450" s="28" t="s">
        <v>451</v>
      </c>
      <c r="M450" s="440"/>
      <c r="N450" s="376"/>
      <c r="O450" s="376"/>
      <c r="P450" s="102" t="s">
        <v>127</v>
      </c>
      <c r="Q450" s="28">
        <v>3</v>
      </c>
      <c r="V450" s="10"/>
    </row>
    <row r="451" spans="1:22" ht="18" hidden="1" customHeight="1">
      <c r="A451" s="396"/>
      <c r="B451" s="152"/>
      <c r="C451" s="437"/>
      <c r="D451" s="7"/>
      <c r="E451" s="7"/>
      <c r="F451" s="7"/>
      <c r="G451" s="376"/>
      <c r="H451" s="439"/>
      <c r="I451" s="14"/>
      <c r="J451" s="7"/>
      <c r="K451" s="28"/>
      <c r="L451" s="28"/>
      <c r="M451" s="440"/>
      <c r="N451" s="376"/>
      <c r="O451" s="376"/>
      <c r="P451" s="102"/>
      <c r="Q451" s="28"/>
      <c r="V451" s="10"/>
    </row>
    <row r="452" spans="1:22" ht="18" hidden="1" customHeight="1">
      <c r="A452" s="193" t="s">
        <v>416</v>
      </c>
      <c r="V452" s="10"/>
    </row>
    <row r="453" spans="1:22" ht="18" hidden="1" customHeight="1">
      <c r="A453" s="114"/>
      <c r="B453" s="7"/>
      <c r="C453" s="7"/>
      <c r="D453" s="7"/>
      <c r="E453" s="7"/>
      <c r="F453" s="7"/>
      <c r="G453" s="14" t="s">
        <v>463</v>
      </c>
      <c r="H453" s="7"/>
      <c r="I453" s="7"/>
      <c r="J453" s="7"/>
      <c r="K453" s="28" t="s">
        <v>127</v>
      </c>
      <c r="L453" s="692">
        <f>L293</f>
        <v>47.727272727272727</v>
      </c>
      <c r="M453" s="689"/>
      <c r="N453" s="28" t="s">
        <v>464</v>
      </c>
      <c r="O453" s="28" t="s">
        <v>135</v>
      </c>
      <c r="P453" s="28" t="s">
        <v>127</v>
      </c>
      <c r="Q453" s="28">
        <f>IF(L453&lt;=400,Q446,Q447)</f>
        <v>1</v>
      </c>
      <c r="R453" s="7"/>
      <c r="S453" s="7"/>
      <c r="T453" s="7"/>
      <c r="V453" s="10"/>
    </row>
    <row r="454" spans="1:22" ht="18" hidden="1" customHeight="1">
      <c r="A454" s="799" t="s">
        <v>417</v>
      </c>
      <c r="B454" s="800"/>
      <c r="C454" s="800"/>
      <c r="D454" s="808">
        <f>R434</f>
        <v>50000</v>
      </c>
      <c r="E454" s="818"/>
      <c r="F454" s="805" t="s">
        <v>315</v>
      </c>
      <c r="G454" s="809">
        <f>R437</f>
        <v>1</v>
      </c>
      <c r="H454" s="821"/>
      <c r="I454" s="805" t="s">
        <v>315</v>
      </c>
      <c r="J454" s="822">
        <f>Q453</f>
        <v>1</v>
      </c>
      <c r="K454" s="805" t="s">
        <v>315</v>
      </c>
      <c r="L454" s="808" t="s">
        <v>419</v>
      </c>
      <c r="M454" s="815">
        <f>R439</f>
        <v>5.6</v>
      </c>
      <c r="N454" s="816" t="s">
        <v>347</v>
      </c>
      <c r="O454" s="817">
        <f>R440</f>
        <v>1.0970224400000002</v>
      </c>
      <c r="P454" s="805" t="s">
        <v>347</v>
      </c>
      <c r="Q454" s="807">
        <f>R441</f>
        <v>0.02</v>
      </c>
      <c r="R454" s="807"/>
      <c r="S454" s="807"/>
      <c r="T454" s="798" t="s">
        <v>350</v>
      </c>
      <c r="U454" s="230" t="s">
        <v>422</v>
      </c>
      <c r="V454" s="112"/>
    </row>
    <row r="455" spans="1:22" ht="18" hidden="1" customHeight="1">
      <c r="A455" s="801"/>
      <c r="B455" s="800"/>
      <c r="C455" s="800"/>
      <c r="D455" s="818"/>
      <c r="E455" s="818"/>
      <c r="F455" s="805"/>
      <c r="G455" s="805">
        <f>R433</f>
        <v>1800</v>
      </c>
      <c r="H455" s="818"/>
      <c r="I455" s="805"/>
      <c r="J455" s="805"/>
      <c r="K455" s="805"/>
      <c r="L455" s="808"/>
      <c r="M455" s="815"/>
      <c r="N455" s="816"/>
      <c r="O455" s="815"/>
      <c r="P455" s="805"/>
      <c r="Q455" s="221">
        <f>R438</f>
        <v>1</v>
      </c>
      <c r="R455" s="221" t="s">
        <v>315</v>
      </c>
      <c r="S455" s="221">
        <f>R438</f>
        <v>1</v>
      </c>
      <c r="T455" s="798"/>
      <c r="U455" s="7"/>
      <c r="V455" s="112"/>
    </row>
    <row r="456" spans="1:22" ht="18" hidden="1" customHeight="1">
      <c r="A456" s="9"/>
      <c r="V456" s="10"/>
    </row>
    <row r="457" spans="1:22" ht="18" hidden="1" customHeight="1">
      <c r="A457" s="9"/>
      <c r="C457" s="27" t="s">
        <v>127</v>
      </c>
      <c r="D457" s="819">
        <f>D454*(G454/G455)*J454*(M454+O454+(Q454/(Q455*S455)))</f>
        <v>186.58395666666664</v>
      </c>
      <c r="E457" s="820"/>
      <c r="F457" s="27" t="s">
        <v>305</v>
      </c>
      <c r="V457" s="10"/>
    </row>
    <row r="458" spans="1:22" ht="18" hidden="1" customHeight="1">
      <c r="A458" s="9"/>
      <c r="V458" s="10"/>
    </row>
    <row r="459" spans="1:22" ht="18" hidden="1" customHeight="1">
      <c r="A459" s="9"/>
      <c r="V459" s="10"/>
    </row>
    <row r="460" spans="1:22" ht="18" hidden="1" customHeight="1">
      <c r="A460" s="193" t="s">
        <v>465</v>
      </c>
      <c r="V460" s="10"/>
    </row>
    <row r="461" spans="1:22" ht="18" hidden="1" customHeight="1">
      <c r="A461" s="9"/>
      <c r="E461" s="30" t="s">
        <v>466</v>
      </c>
      <c r="K461" s="27" t="s">
        <v>127</v>
      </c>
      <c r="L461" s="795">
        <f>L300</f>
        <v>41.979419477826461</v>
      </c>
      <c r="M461" s="684"/>
      <c r="N461" s="27" t="s">
        <v>464</v>
      </c>
      <c r="O461" s="28" t="s">
        <v>451</v>
      </c>
      <c r="P461" s="27" t="s">
        <v>127</v>
      </c>
      <c r="Q461" s="27">
        <f>IF(L461&lt;=200,Q450,Q451)</f>
        <v>3</v>
      </c>
      <c r="V461" s="10"/>
    </row>
    <row r="462" spans="1:22" ht="18" hidden="1" customHeight="1">
      <c r="A462" s="799" t="s">
        <v>417</v>
      </c>
      <c r="B462" s="800"/>
      <c r="C462" s="800"/>
      <c r="D462" s="814">
        <f>R435</f>
        <v>43584.822413584639</v>
      </c>
      <c r="E462" s="811"/>
      <c r="F462" s="805" t="s">
        <v>315</v>
      </c>
      <c r="G462" s="809">
        <f>R437</f>
        <v>1</v>
      </c>
      <c r="H462" s="810"/>
      <c r="I462" s="805" t="s">
        <v>315</v>
      </c>
      <c r="J462" s="852">
        <f>Q461</f>
        <v>3</v>
      </c>
      <c r="K462" s="805" t="s">
        <v>315</v>
      </c>
      <c r="L462" s="808" t="s">
        <v>419</v>
      </c>
      <c r="M462" s="815">
        <f>R439</f>
        <v>5.6</v>
      </c>
      <c r="N462" s="816" t="s">
        <v>347</v>
      </c>
      <c r="O462" s="817">
        <f>R440</f>
        <v>1.0970224400000002</v>
      </c>
      <c r="P462" s="805" t="s">
        <v>347</v>
      </c>
      <c r="Q462" s="807">
        <f>R441</f>
        <v>0.02</v>
      </c>
      <c r="R462" s="807"/>
      <c r="S462" s="807"/>
      <c r="T462" s="798" t="s">
        <v>350</v>
      </c>
      <c r="U462" s="230" t="s">
        <v>426</v>
      </c>
      <c r="V462" s="112"/>
    </row>
    <row r="463" spans="1:22" ht="18" hidden="1" customHeight="1">
      <c r="A463" s="801"/>
      <c r="B463" s="800"/>
      <c r="C463" s="800"/>
      <c r="D463" s="811"/>
      <c r="E463" s="811"/>
      <c r="F463" s="805"/>
      <c r="G463" s="805">
        <f>R433</f>
        <v>1800</v>
      </c>
      <c r="H463" s="811"/>
      <c r="I463" s="805"/>
      <c r="J463" s="805"/>
      <c r="K463" s="805"/>
      <c r="L463" s="808"/>
      <c r="M463" s="815"/>
      <c r="N463" s="816"/>
      <c r="O463" s="815"/>
      <c r="P463" s="805"/>
      <c r="Q463" s="221">
        <f>R438</f>
        <v>1</v>
      </c>
      <c r="R463" s="221" t="s">
        <v>315</v>
      </c>
      <c r="S463" s="221">
        <f>R438</f>
        <v>1</v>
      </c>
      <c r="T463" s="798"/>
      <c r="U463" s="7"/>
      <c r="V463" s="112"/>
    </row>
    <row r="464" spans="1:22" ht="18" hidden="1" customHeight="1">
      <c r="A464" s="9"/>
      <c r="V464" s="10"/>
    </row>
    <row r="465" spans="1:22" ht="18" hidden="1" customHeight="1">
      <c r="A465" s="9"/>
      <c r="C465" s="27" t="s">
        <v>127</v>
      </c>
      <c r="D465" s="819">
        <f>D462*(G462/G463)*J462*(M462+O462+(Q462/(Q463*S463)))</f>
        <v>487.93371699243824</v>
      </c>
      <c r="E465" s="820"/>
      <c r="F465" s="27" t="s">
        <v>305</v>
      </c>
      <c r="V465" s="10"/>
    </row>
    <row r="466" spans="1:22" ht="18" hidden="1" customHeight="1">
      <c r="A466" s="9"/>
      <c r="V466" s="10"/>
    </row>
    <row r="467" spans="1:22" ht="18" hidden="1" customHeight="1">
      <c r="A467" s="193" t="s">
        <v>467</v>
      </c>
      <c r="V467" s="10"/>
    </row>
    <row r="468" spans="1:22" ht="18" hidden="1" customHeight="1">
      <c r="A468" s="9"/>
      <c r="E468" s="30" t="s">
        <v>468</v>
      </c>
      <c r="K468" s="27" t="s">
        <v>127</v>
      </c>
      <c r="L468" s="795">
        <f>L307</f>
        <v>29.635036773964003</v>
      </c>
      <c r="M468" s="684"/>
      <c r="N468" s="27" t="s">
        <v>464</v>
      </c>
      <c r="O468" s="28" t="s">
        <v>451</v>
      </c>
      <c r="P468" s="27" t="s">
        <v>127</v>
      </c>
      <c r="Q468" s="27">
        <f>IF(L468&lt;=200,Q450,Q451)</f>
        <v>3</v>
      </c>
      <c r="V468" s="10"/>
    </row>
    <row r="469" spans="1:22" ht="18" hidden="1" customHeight="1">
      <c r="A469" s="799" t="s">
        <v>417</v>
      </c>
      <c r="B469" s="800"/>
      <c r="C469" s="800"/>
      <c r="D469" s="814">
        <f>R436</f>
        <v>44648.255952235893</v>
      </c>
      <c r="E469" s="811"/>
      <c r="F469" s="805" t="s">
        <v>315</v>
      </c>
      <c r="G469" s="809">
        <f>R437</f>
        <v>1</v>
      </c>
      <c r="H469" s="810"/>
      <c r="I469" s="805" t="s">
        <v>315</v>
      </c>
      <c r="J469" s="852">
        <f>Q468</f>
        <v>3</v>
      </c>
      <c r="K469" s="805" t="s">
        <v>315</v>
      </c>
      <c r="L469" s="808" t="s">
        <v>419</v>
      </c>
      <c r="M469" s="815">
        <f>R439</f>
        <v>5.6</v>
      </c>
      <c r="N469" s="816" t="s">
        <v>347</v>
      </c>
      <c r="O469" s="817">
        <f>R440</f>
        <v>1.0970224400000002</v>
      </c>
      <c r="P469" s="805" t="s">
        <v>347</v>
      </c>
      <c r="Q469" s="807">
        <f>R441</f>
        <v>0.02</v>
      </c>
      <c r="R469" s="807"/>
      <c r="S469" s="807"/>
      <c r="T469" s="798" t="s">
        <v>350</v>
      </c>
      <c r="U469" s="230" t="s">
        <v>426</v>
      </c>
      <c r="V469" s="112"/>
    </row>
    <row r="470" spans="1:22" ht="18" hidden="1" customHeight="1">
      <c r="A470" s="801"/>
      <c r="B470" s="800"/>
      <c r="C470" s="800"/>
      <c r="D470" s="811"/>
      <c r="E470" s="811"/>
      <c r="F470" s="805"/>
      <c r="G470" s="805">
        <f>R433</f>
        <v>1800</v>
      </c>
      <c r="H470" s="811"/>
      <c r="I470" s="805"/>
      <c r="J470" s="805"/>
      <c r="K470" s="805"/>
      <c r="L470" s="808"/>
      <c r="M470" s="815"/>
      <c r="N470" s="816"/>
      <c r="O470" s="815"/>
      <c r="P470" s="805"/>
      <c r="Q470" s="221">
        <f>R438</f>
        <v>1</v>
      </c>
      <c r="R470" s="221" t="s">
        <v>315</v>
      </c>
      <c r="S470" s="221">
        <f>R438</f>
        <v>1</v>
      </c>
      <c r="T470" s="798"/>
      <c r="U470" s="7"/>
      <c r="V470" s="112"/>
    </row>
    <row r="471" spans="1:22" ht="18" hidden="1" customHeight="1">
      <c r="A471" s="9"/>
      <c r="V471" s="10"/>
    </row>
    <row r="472" spans="1:22" ht="18" hidden="1" customHeight="1">
      <c r="A472" s="9"/>
      <c r="C472" s="27" t="s">
        <v>127</v>
      </c>
      <c r="D472" s="819">
        <f>D469*(G469/G470)*J469*(M469+O469+(Q469/(Q470*S470)))</f>
        <v>499.83889523005342</v>
      </c>
      <c r="E472" s="820"/>
      <c r="F472" s="27" t="s">
        <v>305</v>
      </c>
      <c r="V472" s="10"/>
    </row>
    <row r="473" spans="1:22" ht="18" hidden="1" customHeight="1">
      <c r="A473" s="9"/>
      <c r="V473" s="10"/>
    </row>
    <row r="474" spans="1:22" ht="18" hidden="1" customHeight="1">
      <c r="A474" s="184" t="s">
        <v>469</v>
      </c>
      <c r="M474" s="825">
        <f>J366</f>
        <v>1800</v>
      </c>
      <c r="N474" s="826"/>
      <c r="O474" s="30" t="s">
        <v>470</v>
      </c>
      <c r="Q474" s="812">
        <f>MAX(D407,D413,D419,D457,D465,D472)</f>
        <v>499.83889523005342</v>
      </c>
      <c r="R474" s="820"/>
      <c r="S474" s="30" t="s">
        <v>305</v>
      </c>
      <c r="V474" s="10"/>
    </row>
    <row r="475" spans="1:22" ht="18" hidden="1" customHeight="1">
      <c r="A475" s="351" t="s">
        <v>471</v>
      </c>
      <c r="B475" s="7"/>
      <c r="C475" s="7"/>
      <c r="D475" s="441"/>
      <c r="E475" s="7"/>
      <c r="F475" s="7"/>
      <c r="G475" s="372"/>
      <c r="H475" s="7"/>
      <c r="J475" s="7"/>
      <c r="K475" s="7"/>
      <c r="L475" s="7"/>
      <c r="M475" s="7"/>
      <c r="N475" s="7"/>
      <c r="O475" s="7"/>
      <c r="P475" s="250"/>
      <c r="Q475" s="251"/>
      <c r="R475" s="372"/>
      <c r="S475" s="7"/>
      <c r="V475" s="10"/>
    </row>
    <row r="476" spans="1:22" ht="18" hidden="1" customHeight="1">
      <c r="A476" s="96" t="s">
        <v>472</v>
      </c>
      <c r="V476" s="10"/>
    </row>
    <row r="477" spans="1:22" ht="18" hidden="1" customHeight="1">
      <c r="A477" s="9"/>
      <c r="N477" s="7"/>
      <c r="O477" s="28" t="s">
        <v>473</v>
      </c>
      <c r="P477" s="102" t="s">
        <v>127</v>
      </c>
      <c r="Q477" s="694" t="s">
        <v>474</v>
      </c>
      <c r="R477" s="694"/>
      <c r="S477" s="28" t="s">
        <v>315</v>
      </c>
      <c r="T477" s="28">
        <v>0.8</v>
      </c>
      <c r="V477" s="10"/>
    </row>
    <row r="478" spans="1:22" ht="18" hidden="1" customHeight="1">
      <c r="A478" s="9"/>
      <c r="N478" s="252"/>
      <c r="O478" s="28"/>
      <c r="P478" s="102" t="s">
        <v>127</v>
      </c>
      <c r="Q478" s="829">
        <f>+Q474</f>
        <v>499.83889523005342</v>
      </c>
      <c r="R478" s="708"/>
      <c r="S478" s="222" t="s">
        <v>315</v>
      </c>
      <c r="T478" s="253">
        <f>+T477</f>
        <v>0.8</v>
      </c>
      <c r="V478" s="10"/>
    </row>
    <row r="479" spans="1:22" ht="18" hidden="1" customHeight="1">
      <c r="A479" s="9"/>
      <c r="O479" s="28"/>
      <c r="P479" s="28" t="s">
        <v>127</v>
      </c>
      <c r="Q479" s="830">
        <f>Q478*T478</f>
        <v>399.87111618404276</v>
      </c>
      <c r="R479" s="776"/>
      <c r="S479" s="28" t="s">
        <v>305</v>
      </c>
      <c r="T479" s="28"/>
      <c r="V479" s="10"/>
    </row>
    <row r="480" spans="1:22" ht="16.8" hidden="1" customHeight="1">
      <c r="A480" s="9"/>
      <c r="D480" s="30" t="s">
        <v>475</v>
      </c>
      <c r="G480" s="27" t="str">
        <f>IF(E481&gt;H481,"&gt;","&lt;")</f>
        <v>&gt;</v>
      </c>
      <c r="H480" s="296" t="s">
        <v>477</v>
      </c>
      <c r="I480" s="27"/>
      <c r="O480" s="7"/>
      <c r="P480" s="7"/>
      <c r="Q480" s="7"/>
      <c r="R480" s="7"/>
      <c r="S480" s="7"/>
      <c r="T480" s="7"/>
      <c r="V480" s="10"/>
    </row>
    <row r="481" spans="1:22" ht="18" hidden="1" customHeight="1">
      <c r="A481" s="9"/>
      <c r="E481" s="684">
        <f>J369</f>
        <v>1250</v>
      </c>
      <c r="F481" s="684"/>
      <c r="G481" s="27" t="str">
        <f>G480</f>
        <v>&gt;</v>
      </c>
      <c r="H481" s="795">
        <f>Q479</f>
        <v>399.87111618404276</v>
      </c>
      <c r="I481" s="684"/>
      <c r="V481" s="10"/>
    </row>
    <row r="482" spans="1:22" ht="18" hidden="1" customHeight="1">
      <c r="A482" s="9"/>
      <c r="F482" s="244" t="s">
        <v>478</v>
      </c>
      <c r="H482" s="18" t="str">
        <f>IF(G480="&gt;","Suitably Dimensioned","Under Dimensioned")</f>
        <v>Suitably Dimensioned</v>
      </c>
      <c r="V482" s="10"/>
    </row>
    <row r="483" spans="1:22" ht="18" hidden="1" customHeight="1">
      <c r="A483" s="9"/>
      <c r="F483" s="244"/>
      <c r="H483" s="18"/>
      <c r="V483" s="10"/>
    </row>
    <row r="484" spans="1:22" ht="18" hidden="1" customHeight="1">
      <c r="A484" s="382"/>
      <c r="B484" s="20"/>
      <c r="C484" s="20"/>
      <c r="D484" s="20"/>
      <c r="E484" s="20"/>
      <c r="F484" s="20"/>
      <c r="G484" s="20"/>
      <c r="H484" s="20"/>
      <c r="I484" s="20"/>
      <c r="J484" s="20"/>
      <c r="K484" s="20"/>
      <c r="L484" s="20"/>
      <c r="M484" s="20"/>
      <c r="N484" s="20"/>
      <c r="O484" s="20"/>
      <c r="P484" s="20"/>
      <c r="Q484" s="21"/>
      <c r="R484" s="22"/>
      <c r="S484" s="23"/>
      <c r="T484" s="20"/>
      <c r="U484" s="20"/>
      <c r="V484" s="134"/>
    </row>
    <row r="485" spans="1:22" ht="18" hidden="1" customHeight="1">
      <c r="A485" s="442"/>
      <c r="B485" s="384"/>
      <c r="C485" s="384"/>
      <c r="D485" s="384"/>
      <c r="E485" s="384"/>
      <c r="F485" s="384"/>
      <c r="G485" s="384"/>
      <c r="H485" s="384"/>
      <c r="I485" s="384"/>
      <c r="J485" s="384"/>
      <c r="K485" s="384"/>
      <c r="L485" s="384"/>
      <c r="M485" s="384"/>
      <c r="N485" s="384"/>
      <c r="O485" s="384"/>
      <c r="P485" s="384"/>
      <c r="Q485" s="384"/>
      <c r="R485" s="384"/>
      <c r="S485" s="384"/>
      <c r="T485" s="384"/>
      <c r="U485" s="384"/>
      <c r="V485" s="395"/>
    </row>
    <row r="486" spans="1:22" ht="18" hidden="1" customHeight="1">
      <c r="A486" s="9"/>
      <c r="B486" s="854" t="str">
        <f>B363</f>
        <v>T1</v>
      </c>
      <c r="C486" s="831"/>
      <c r="D486" s="855" t="str">
        <f>D363</f>
        <v>Core1</v>
      </c>
      <c r="E486" s="856"/>
      <c r="F486" s="837">
        <f>F363</f>
        <v>0</v>
      </c>
      <c r="G486" s="689"/>
      <c r="H486" s="689" t="str">
        <f>H363</f>
        <v>(Line Diff&amp;Dist.)</v>
      </c>
      <c r="I486" s="689"/>
      <c r="J486" s="689"/>
      <c r="K486" s="689"/>
      <c r="L486" s="689"/>
      <c r="M486" s="689"/>
      <c r="P486" s="186"/>
      <c r="S486" s="187" t="s">
        <v>387</v>
      </c>
      <c r="T486" s="854" t="str">
        <f>T363</f>
        <v>RED670</v>
      </c>
      <c r="U486" s="831"/>
      <c r="V486" s="10"/>
    </row>
    <row r="487" spans="1:22" ht="18" hidden="1" customHeight="1">
      <c r="A487" s="9"/>
      <c r="B487" s="853">
        <f>B364</f>
        <v>0</v>
      </c>
      <c r="C487" s="853"/>
      <c r="D487" s="857"/>
      <c r="E487" s="858"/>
      <c r="F487" s="448"/>
      <c r="T487" s="854" t="e">
        <f>T364</f>
        <v>#REF!</v>
      </c>
      <c r="U487" s="831"/>
      <c r="V487" s="10"/>
    </row>
    <row r="488" spans="1:22" ht="18" hidden="1" customHeight="1">
      <c r="A488" s="9"/>
      <c r="H488" s="708" t="s">
        <v>390</v>
      </c>
      <c r="I488" s="708"/>
      <c r="J488" s="790" t="s">
        <v>391</v>
      </c>
      <c r="K488" s="790"/>
      <c r="L488" s="789" t="s">
        <v>392</v>
      </c>
      <c r="M488" s="789"/>
      <c r="T488" s="854">
        <f>T365</f>
        <v>0</v>
      </c>
      <c r="U488" s="831"/>
      <c r="V488" s="10"/>
    </row>
    <row r="489" spans="1:22" ht="18" hidden="1" customHeight="1">
      <c r="A489" s="9"/>
      <c r="B489" s="47" t="s">
        <v>393</v>
      </c>
      <c r="H489" s="854">
        <f>H366</f>
        <v>1500</v>
      </c>
      <c r="I489" s="831"/>
      <c r="J489" s="854">
        <f>J366</f>
        <v>1800</v>
      </c>
      <c r="K489" s="831"/>
      <c r="L489" s="863" t="str">
        <f>L366</f>
        <v>-</v>
      </c>
      <c r="M489" s="864"/>
      <c r="N489" s="123" t="s">
        <v>342</v>
      </c>
      <c r="O489" s="256">
        <f>O366</f>
        <v>1</v>
      </c>
      <c r="P489" s="425" t="s">
        <v>8</v>
      </c>
      <c r="V489" s="10"/>
    </row>
    <row r="490" spans="1:22" ht="18" hidden="1" customHeight="1">
      <c r="A490" s="9"/>
      <c r="B490" s="47" t="s">
        <v>394</v>
      </c>
      <c r="L490" s="854" t="str">
        <f>J367</f>
        <v>PX</v>
      </c>
      <c r="M490" s="831"/>
      <c r="V490" s="10"/>
    </row>
    <row r="491" spans="1:22" ht="18" hidden="1" customHeight="1">
      <c r="A491" s="9"/>
      <c r="B491" s="47" t="s">
        <v>396</v>
      </c>
      <c r="K491" s="120" t="s">
        <v>497</v>
      </c>
      <c r="L491" s="781" t="s">
        <v>6</v>
      </c>
      <c r="M491" s="782"/>
      <c r="N491" s="192" t="s">
        <v>333</v>
      </c>
      <c r="V491" s="10"/>
    </row>
    <row r="492" spans="1:22" ht="18" hidden="1" customHeight="1">
      <c r="A492" s="9"/>
      <c r="B492" s="47" t="s">
        <v>398</v>
      </c>
      <c r="K492" s="120" t="s">
        <v>498</v>
      </c>
      <c r="L492" s="781" t="s">
        <v>6</v>
      </c>
      <c r="M492" s="782"/>
      <c r="N492" s="14" t="s">
        <v>305</v>
      </c>
      <c r="V492" s="10"/>
    </row>
    <row r="493" spans="1:22" ht="18" hidden="1" customHeight="1">
      <c r="A493" s="9"/>
      <c r="B493" s="14" t="s">
        <v>401</v>
      </c>
      <c r="K493" s="120" t="s">
        <v>402</v>
      </c>
      <c r="L493" s="781" t="s">
        <v>6</v>
      </c>
      <c r="M493" s="782"/>
      <c r="N493" s="14" t="s">
        <v>403</v>
      </c>
      <c r="V493" s="10"/>
    </row>
    <row r="494" spans="1:22" ht="18" hidden="1" customHeight="1">
      <c r="A494" s="9"/>
      <c r="V494" s="10"/>
    </row>
    <row r="495" spans="1:22" ht="18" hidden="1" customHeight="1">
      <c r="A495" s="9"/>
      <c r="V495" s="10"/>
    </row>
    <row r="496" spans="1:22" ht="18" hidden="1" customHeight="1">
      <c r="A496" s="9"/>
      <c r="V496" s="10"/>
    </row>
    <row r="497" spans="1:22" ht="18" hidden="1" customHeight="1">
      <c r="A497" s="9"/>
      <c r="V497" s="10"/>
    </row>
    <row r="498" spans="1:22" ht="18" hidden="1" customHeight="1">
      <c r="A498" s="9"/>
      <c r="V498" s="10"/>
    </row>
    <row r="499" spans="1:22" ht="18" hidden="1" customHeight="1">
      <c r="A499" s="9"/>
      <c r="V499" s="10"/>
    </row>
    <row r="500" spans="1:22" ht="18" hidden="1" customHeight="1">
      <c r="A500" s="116" t="s">
        <v>404</v>
      </c>
      <c r="V500" s="10"/>
    </row>
    <row r="501" spans="1:22" ht="18" hidden="1" customHeight="1">
      <c r="A501" s="9"/>
      <c r="V501" s="10"/>
    </row>
    <row r="502" spans="1:22" ht="18" hidden="1" customHeight="1">
      <c r="A502" s="9"/>
      <c r="B502" s="194" t="s">
        <v>405</v>
      </c>
      <c r="C502" s="195"/>
      <c r="D502" s="195" t="str">
        <f>T486</f>
        <v>RED670</v>
      </c>
      <c r="E502" s="423"/>
      <c r="F502" s="423"/>
      <c r="G502" s="423"/>
      <c r="H502" s="182" t="s">
        <v>406</v>
      </c>
      <c r="I502" s="183" t="s">
        <v>127</v>
      </c>
      <c r="J502" s="766">
        <f>J374</f>
        <v>0.02</v>
      </c>
      <c r="K502" s="859"/>
      <c r="L502" s="202" t="s">
        <v>157</v>
      </c>
      <c r="N502" s="197" t="s">
        <v>407</v>
      </c>
      <c r="V502" s="10"/>
    </row>
    <row r="503" spans="1:22" ht="18" hidden="1" customHeight="1">
      <c r="A503" s="9"/>
      <c r="B503" s="184" t="s">
        <v>405</v>
      </c>
      <c r="D503" s="424" t="e">
        <f>T487</f>
        <v>#REF!</v>
      </c>
      <c r="I503" s="28" t="s">
        <v>127</v>
      </c>
      <c r="J503" s="766">
        <f>J375</f>
        <v>0</v>
      </c>
      <c r="K503" s="796"/>
      <c r="L503" s="297" t="s">
        <v>157</v>
      </c>
      <c r="V503" s="10"/>
    </row>
    <row r="504" spans="1:22" ht="18" hidden="1" customHeight="1">
      <c r="A504" s="9"/>
      <c r="B504" s="184" t="s">
        <v>405</v>
      </c>
      <c r="D504" s="424">
        <f>T488</f>
        <v>0</v>
      </c>
      <c r="E504" s="14"/>
      <c r="G504" s="199"/>
      <c r="H504" s="425"/>
      <c r="I504" s="101" t="s">
        <v>127</v>
      </c>
      <c r="J504" s="696">
        <f>J376</f>
        <v>0</v>
      </c>
      <c r="K504" s="860"/>
      <c r="L504" s="426" t="s">
        <v>157</v>
      </c>
      <c r="N504" s="27" t="s">
        <v>408</v>
      </c>
      <c r="O504" s="27" t="s">
        <v>127</v>
      </c>
      <c r="P504" s="27" t="s">
        <v>409</v>
      </c>
      <c r="Q504" s="191" t="s">
        <v>410</v>
      </c>
      <c r="R504" s="27" t="s">
        <v>411</v>
      </c>
      <c r="S504" s="27" t="s">
        <v>315</v>
      </c>
      <c r="T504" s="27" t="s">
        <v>411</v>
      </c>
      <c r="U504" s="30" t="s">
        <v>350</v>
      </c>
      <c r="V504" s="10"/>
    </row>
    <row r="505" spans="1:22" ht="18" hidden="1" customHeight="1">
      <c r="A505" s="9"/>
      <c r="B505" s="184" t="s">
        <v>412</v>
      </c>
      <c r="H505" s="425"/>
      <c r="I505" s="427" t="s">
        <v>127</v>
      </c>
      <c r="J505" s="861">
        <f>J377</f>
        <v>1.0770224400000001</v>
      </c>
      <c r="K505" s="862"/>
      <c r="L505" s="426" t="s">
        <v>157</v>
      </c>
      <c r="O505" s="27" t="s">
        <v>127</v>
      </c>
      <c r="P505" s="211">
        <f>J506</f>
        <v>1.0770224400000001</v>
      </c>
      <c r="Q505" s="191" t="s">
        <v>410</v>
      </c>
      <c r="R505" s="27">
        <f>O489</f>
        <v>1</v>
      </c>
      <c r="S505" s="27" t="s">
        <v>315</v>
      </c>
      <c r="T505" s="27">
        <f>O489</f>
        <v>1</v>
      </c>
      <c r="U505" s="30" t="s">
        <v>350</v>
      </c>
      <c r="V505" s="10"/>
    </row>
    <row r="506" spans="1:22" ht="18" hidden="1" customHeight="1">
      <c r="A506" s="9"/>
      <c r="B506" s="205" t="s">
        <v>413</v>
      </c>
      <c r="C506" s="206"/>
      <c r="D506" s="206"/>
      <c r="E506" s="206"/>
      <c r="F506" s="346"/>
      <c r="G506" s="346"/>
      <c r="H506" s="190" t="s">
        <v>409</v>
      </c>
      <c r="I506" s="208" t="s">
        <v>127</v>
      </c>
      <c r="J506" s="766">
        <f>SUM(J503:K505)</f>
        <v>1.0770224400000001</v>
      </c>
      <c r="K506" s="796"/>
      <c r="L506" s="428" t="s">
        <v>157</v>
      </c>
      <c r="O506" s="27" t="s">
        <v>127</v>
      </c>
      <c r="P506" s="795">
        <f>P505/(R505*T505)</f>
        <v>1.0770224400000001</v>
      </c>
      <c r="Q506" s="795"/>
      <c r="R506" s="192" t="s">
        <v>333</v>
      </c>
      <c r="V506" s="10"/>
    </row>
    <row r="507" spans="1:22" ht="18" hidden="1" customHeight="1">
      <c r="A507" s="9"/>
      <c r="V507" s="10"/>
    </row>
    <row r="508" spans="1:22" ht="18" hidden="1" customHeight="1">
      <c r="A508" s="116" t="s">
        <v>414</v>
      </c>
      <c r="V508" s="10"/>
    </row>
    <row r="509" spans="1:22" ht="18" hidden="1" customHeight="1">
      <c r="A509" s="678" t="s">
        <v>499</v>
      </c>
      <c r="B509" s="679"/>
      <c r="C509" s="679"/>
      <c r="D509" s="679"/>
      <c r="E509" s="679"/>
      <c r="F509" s="679"/>
      <c r="G509" s="679"/>
      <c r="H509" s="679"/>
      <c r="I509" s="679"/>
      <c r="J509" s="679"/>
      <c r="K509" s="679"/>
      <c r="L509" s="679"/>
      <c r="M509" s="679"/>
      <c r="N509" s="679"/>
      <c r="O509" s="679"/>
      <c r="P509" s="679"/>
      <c r="Q509" s="679"/>
      <c r="R509" s="679"/>
      <c r="S509" s="679"/>
      <c r="T509" s="679"/>
      <c r="U509" s="679"/>
      <c r="V509" s="680"/>
    </row>
    <row r="510" spans="1:22" ht="18" hidden="1" customHeight="1">
      <c r="A510" s="678"/>
      <c r="B510" s="679"/>
      <c r="C510" s="679"/>
      <c r="D510" s="679"/>
      <c r="E510" s="679"/>
      <c r="F510" s="679"/>
      <c r="G510" s="679"/>
      <c r="H510" s="679"/>
      <c r="I510" s="679"/>
      <c r="J510" s="679"/>
      <c r="K510" s="679"/>
      <c r="L510" s="679"/>
      <c r="M510" s="679"/>
      <c r="N510" s="679"/>
      <c r="O510" s="679"/>
      <c r="P510" s="679"/>
      <c r="Q510" s="679"/>
      <c r="R510" s="679"/>
      <c r="S510" s="679"/>
      <c r="T510" s="679"/>
      <c r="U510" s="679"/>
      <c r="V510" s="680"/>
    </row>
    <row r="511" spans="1:22" ht="18" hidden="1" customHeight="1">
      <c r="A511" s="193" t="s">
        <v>416</v>
      </c>
      <c r="V511" s="10"/>
    </row>
    <row r="512" spans="1:22" ht="18" hidden="1" customHeight="1">
      <c r="A512" s="799" t="s">
        <v>417</v>
      </c>
      <c r="B512" s="800"/>
      <c r="C512" s="800"/>
      <c r="D512" s="14"/>
      <c r="E512" s="7"/>
      <c r="F512" s="802" t="s">
        <v>418</v>
      </c>
      <c r="G512" s="802"/>
      <c r="H512" s="689" t="s">
        <v>315</v>
      </c>
      <c r="I512" s="708" t="s">
        <v>411</v>
      </c>
      <c r="J512" s="803"/>
      <c r="K512" s="689" t="s">
        <v>315</v>
      </c>
      <c r="L512" s="802" t="s">
        <v>419</v>
      </c>
      <c r="M512" s="689" t="s">
        <v>420</v>
      </c>
      <c r="N512" s="729" t="s">
        <v>347</v>
      </c>
      <c r="O512" s="689" t="s">
        <v>408</v>
      </c>
      <c r="P512" s="689" t="s">
        <v>347</v>
      </c>
      <c r="Q512" s="759" t="s">
        <v>421</v>
      </c>
      <c r="R512" s="797"/>
      <c r="S512" s="797"/>
      <c r="T512" s="798" t="s">
        <v>350</v>
      </c>
      <c r="U512" s="230" t="s">
        <v>422</v>
      </c>
      <c r="V512" s="112"/>
    </row>
    <row r="513" spans="1:22" ht="18" hidden="1" customHeight="1">
      <c r="A513" s="801"/>
      <c r="B513" s="800"/>
      <c r="C513" s="800"/>
      <c r="D513" s="14"/>
      <c r="E513" s="7"/>
      <c r="F513" s="802"/>
      <c r="G513" s="802"/>
      <c r="H513" s="689"/>
      <c r="I513" s="689" t="s">
        <v>423</v>
      </c>
      <c r="J513" s="804"/>
      <c r="K513" s="689"/>
      <c r="L513" s="802"/>
      <c r="M513" s="689"/>
      <c r="N513" s="729"/>
      <c r="O513" s="689"/>
      <c r="P513" s="689"/>
      <c r="Q513" s="28" t="s">
        <v>146</v>
      </c>
      <c r="R513" s="28" t="s">
        <v>315</v>
      </c>
      <c r="S513" s="28" t="s">
        <v>146</v>
      </c>
      <c r="T513" s="798"/>
      <c r="U513" s="7"/>
      <c r="V513" s="112"/>
    </row>
    <row r="514" spans="1:22" ht="18" hidden="1" customHeight="1">
      <c r="A514" s="193" t="s">
        <v>424</v>
      </c>
      <c r="L514" s="429"/>
      <c r="M514" s="425"/>
      <c r="N514" s="425"/>
      <c r="O514" s="425"/>
      <c r="V514" s="10"/>
    </row>
    <row r="515" spans="1:22" ht="18" hidden="1" customHeight="1">
      <c r="A515" s="799" t="s">
        <v>417</v>
      </c>
      <c r="B515" s="800"/>
      <c r="C515" s="800"/>
      <c r="D515" s="689">
        <v>2</v>
      </c>
      <c r="E515" s="689" t="s">
        <v>315</v>
      </c>
      <c r="F515" s="802" t="s">
        <v>425</v>
      </c>
      <c r="G515" s="802"/>
      <c r="H515" s="689" t="s">
        <v>315</v>
      </c>
      <c r="I515" s="708" t="s">
        <v>411</v>
      </c>
      <c r="J515" s="803"/>
      <c r="K515" s="689" t="s">
        <v>315</v>
      </c>
      <c r="L515" s="802" t="s">
        <v>419</v>
      </c>
      <c r="M515" s="689" t="s">
        <v>420</v>
      </c>
      <c r="N515" s="729" t="s">
        <v>347</v>
      </c>
      <c r="O515" s="689" t="s">
        <v>408</v>
      </c>
      <c r="P515" s="689" t="s">
        <v>347</v>
      </c>
      <c r="Q515" s="759" t="s">
        <v>421</v>
      </c>
      <c r="R515" s="797"/>
      <c r="S515" s="797"/>
      <c r="T515" s="798" t="s">
        <v>350</v>
      </c>
      <c r="U515" s="230" t="s">
        <v>426</v>
      </c>
      <c r="V515" s="112"/>
    </row>
    <row r="516" spans="1:22" ht="18" hidden="1" customHeight="1">
      <c r="A516" s="801"/>
      <c r="B516" s="800"/>
      <c r="C516" s="800"/>
      <c r="D516" s="689"/>
      <c r="E516" s="689"/>
      <c r="F516" s="802"/>
      <c r="G516" s="802"/>
      <c r="H516" s="689"/>
      <c r="I516" s="689" t="s">
        <v>423</v>
      </c>
      <c r="J516" s="804"/>
      <c r="K516" s="689"/>
      <c r="L516" s="802"/>
      <c r="M516" s="689"/>
      <c r="N516" s="729"/>
      <c r="O516" s="689"/>
      <c r="P516" s="689"/>
      <c r="Q516" s="28" t="s">
        <v>146</v>
      </c>
      <c r="R516" s="28" t="s">
        <v>315</v>
      </c>
      <c r="S516" s="28" t="s">
        <v>146</v>
      </c>
      <c r="T516" s="798"/>
      <c r="U516" s="7"/>
      <c r="V516" s="112"/>
    </row>
    <row r="517" spans="1:22" ht="18" hidden="1" customHeight="1">
      <c r="A517" s="9"/>
      <c r="V517" s="10"/>
    </row>
    <row r="518" spans="1:22" ht="18" hidden="1" customHeight="1">
      <c r="A518" s="9"/>
      <c r="B518" s="14" t="s">
        <v>427</v>
      </c>
      <c r="C518" s="14"/>
      <c r="D518" s="103"/>
      <c r="E518" s="103"/>
      <c r="F518" s="14"/>
      <c r="G518" s="14"/>
      <c r="H518" s="5"/>
      <c r="I518" s="5"/>
      <c r="J518" s="5"/>
      <c r="P518" s="120" t="s">
        <v>428</v>
      </c>
      <c r="V518" s="10"/>
    </row>
    <row r="519" spans="1:22" ht="18" hidden="1" customHeight="1">
      <c r="A519" s="9"/>
      <c r="B519" s="14" t="s">
        <v>429</v>
      </c>
      <c r="C519" s="14"/>
      <c r="D519" s="103"/>
      <c r="E519" s="103"/>
      <c r="F519" s="14"/>
      <c r="G519" s="14"/>
      <c r="H519" s="5"/>
      <c r="I519" s="5"/>
      <c r="J519" s="5"/>
      <c r="P519" s="120" t="s">
        <v>430</v>
      </c>
      <c r="Q519" s="234" t="s">
        <v>127</v>
      </c>
      <c r="R519" s="684" t="str">
        <f>L489</f>
        <v>-</v>
      </c>
      <c r="S519" s="684"/>
      <c r="T519" s="14" t="s">
        <v>8</v>
      </c>
      <c r="V519" s="10"/>
    </row>
    <row r="520" spans="1:22" ht="18" hidden="1" customHeight="1">
      <c r="A520" s="9"/>
      <c r="B520" s="14" t="s">
        <v>431</v>
      </c>
      <c r="C520" s="14"/>
      <c r="D520" s="14"/>
      <c r="E520" s="14"/>
      <c r="F520" s="14"/>
      <c r="G520" s="14"/>
      <c r="H520" s="14"/>
      <c r="I520" s="14"/>
      <c r="J520" s="14"/>
      <c r="P520" s="120" t="s">
        <v>418</v>
      </c>
      <c r="Q520" s="234" t="s">
        <v>127</v>
      </c>
      <c r="R520" s="684">
        <f>R393</f>
        <v>50000</v>
      </c>
      <c r="S520" s="684"/>
      <c r="T520" s="14" t="s">
        <v>8</v>
      </c>
      <c r="V520" s="10"/>
    </row>
    <row r="521" spans="1:22" ht="18" hidden="1" customHeight="1">
      <c r="A521" s="9"/>
      <c r="B521" s="14" t="s">
        <v>432</v>
      </c>
      <c r="C521" s="14"/>
      <c r="D521" s="14"/>
      <c r="E521" s="14"/>
      <c r="F521" s="14"/>
      <c r="G521" s="14"/>
      <c r="H521" s="14"/>
      <c r="I521" s="14"/>
      <c r="J521" s="14"/>
      <c r="P521" s="120" t="s">
        <v>425</v>
      </c>
      <c r="Q521" s="234" t="s">
        <v>127</v>
      </c>
      <c r="R521" s="713">
        <f>R394</f>
        <v>42229.804278926844</v>
      </c>
      <c r="S521" s="684"/>
      <c r="T521" s="14" t="s">
        <v>8</v>
      </c>
      <c r="U521" s="30" t="s">
        <v>433</v>
      </c>
      <c r="V521" s="10"/>
    </row>
    <row r="522" spans="1:22" ht="18" hidden="1" customHeight="1">
      <c r="A522" s="9"/>
      <c r="B522" s="14"/>
      <c r="C522" s="14"/>
      <c r="D522" s="14"/>
      <c r="E522" s="14"/>
      <c r="F522" s="14"/>
      <c r="G522" s="14"/>
      <c r="H522" s="14"/>
      <c r="I522" s="14"/>
      <c r="J522" s="14"/>
      <c r="P522" s="120"/>
      <c r="Q522" s="234" t="s">
        <v>127</v>
      </c>
      <c r="R522" s="713">
        <f>R395</f>
        <v>43475.278268251794</v>
      </c>
      <c r="S522" s="684"/>
      <c r="T522" s="14" t="s">
        <v>8</v>
      </c>
      <c r="U522" s="30" t="s">
        <v>434</v>
      </c>
      <c r="V522" s="10"/>
    </row>
    <row r="523" spans="1:22" ht="18" hidden="1" customHeight="1">
      <c r="A523" s="9"/>
      <c r="B523" s="14" t="s">
        <v>435</v>
      </c>
      <c r="C523" s="14"/>
      <c r="D523" s="103"/>
      <c r="E523" s="103"/>
      <c r="F523" s="14"/>
      <c r="G523" s="14"/>
      <c r="H523" s="5"/>
      <c r="I523" s="5"/>
      <c r="J523" s="5"/>
      <c r="P523" s="120" t="s">
        <v>436</v>
      </c>
      <c r="Q523" s="234" t="s">
        <v>127</v>
      </c>
      <c r="R523" s="684">
        <f>R396</f>
        <v>1</v>
      </c>
      <c r="S523" s="684"/>
      <c r="T523" s="14" t="s">
        <v>8</v>
      </c>
      <c r="V523" s="10"/>
    </row>
    <row r="524" spans="1:22" ht="18" hidden="1" customHeight="1">
      <c r="A524" s="9"/>
      <c r="B524" s="14" t="s">
        <v>437</v>
      </c>
      <c r="C524" s="14"/>
      <c r="D524" s="103"/>
      <c r="E524" s="103"/>
      <c r="F524" s="14"/>
      <c r="G524" s="14"/>
      <c r="H524" s="5"/>
      <c r="I524" s="5"/>
      <c r="J524" s="5"/>
      <c r="P524" s="120" t="s">
        <v>438</v>
      </c>
      <c r="Q524" s="234" t="s">
        <v>127</v>
      </c>
      <c r="R524" s="684">
        <f>R397</f>
        <v>1</v>
      </c>
      <c r="S524" s="684"/>
      <c r="T524" s="14" t="s">
        <v>8</v>
      </c>
      <c r="V524" s="10"/>
    </row>
    <row r="525" spans="1:22" ht="18" hidden="1" customHeight="1">
      <c r="A525" s="9"/>
      <c r="B525" s="14" t="s">
        <v>439</v>
      </c>
      <c r="C525" s="14"/>
      <c r="D525" s="103"/>
      <c r="E525" s="103"/>
      <c r="F525" s="14"/>
      <c r="G525" s="14"/>
      <c r="H525" s="5"/>
      <c r="I525" s="5"/>
      <c r="J525" s="5"/>
      <c r="P525" s="120" t="s">
        <v>440</v>
      </c>
      <c r="Q525" s="234" t="s">
        <v>127</v>
      </c>
      <c r="R525" s="684" t="str">
        <f>L491</f>
        <v>-</v>
      </c>
      <c r="S525" s="684"/>
      <c r="T525" s="192" t="s">
        <v>333</v>
      </c>
      <c r="V525" s="10"/>
    </row>
    <row r="526" spans="1:22" ht="18" hidden="1" customHeight="1">
      <c r="A526" s="9"/>
      <c r="B526" s="14" t="s">
        <v>153</v>
      </c>
      <c r="C526" s="14"/>
      <c r="D526" s="14"/>
      <c r="E526" s="14"/>
      <c r="F526" s="14"/>
      <c r="G526" s="14"/>
      <c r="H526" s="14"/>
      <c r="I526" s="14"/>
      <c r="J526" s="14"/>
      <c r="P526" s="237" t="s">
        <v>441</v>
      </c>
      <c r="Q526" s="234" t="s">
        <v>127</v>
      </c>
      <c r="R526" s="795">
        <f>R399</f>
        <v>1.0970224400000002</v>
      </c>
      <c r="S526" s="684"/>
      <c r="T526" s="192" t="s">
        <v>333</v>
      </c>
      <c r="V526" s="10"/>
    </row>
    <row r="527" spans="1:22" ht="18" hidden="1" customHeight="1">
      <c r="A527" s="9"/>
      <c r="B527" s="40" t="s">
        <v>442</v>
      </c>
      <c r="C527" s="14"/>
      <c r="D527" s="14"/>
      <c r="E527" s="14"/>
      <c r="F527" s="14"/>
      <c r="G527" s="14"/>
      <c r="H527" s="5"/>
      <c r="I527" s="5"/>
      <c r="J527" s="5"/>
      <c r="P527" s="237" t="s">
        <v>443</v>
      </c>
      <c r="Q527" s="234" t="s">
        <v>127</v>
      </c>
      <c r="R527" s="795">
        <f>R400</f>
        <v>0.02</v>
      </c>
      <c r="S527" s="684"/>
      <c r="T527" s="14" t="s">
        <v>157</v>
      </c>
      <c r="V527" s="10"/>
    </row>
    <row r="528" spans="1:22" ht="18" hidden="1" customHeight="1">
      <c r="A528" s="9"/>
      <c r="B528" s="40"/>
      <c r="C528" s="14"/>
      <c r="D528" s="14"/>
      <c r="E528" s="14"/>
      <c r="F528" s="14"/>
      <c r="G528" s="14"/>
      <c r="H528" s="5"/>
      <c r="I528" s="5"/>
      <c r="J528" s="5"/>
      <c r="P528" s="237"/>
      <c r="Q528" s="234"/>
      <c r="R528" s="211"/>
      <c r="S528" s="27"/>
      <c r="T528" s="14"/>
      <c r="V528" s="10"/>
    </row>
    <row r="529" spans="1:22" ht="18" hidden="1" customHeight="1">
      <c r="A529" s="9"/>
      <c r="B529" s="40"/>
      <c r="C529" s="14"/>
      <c r="D529" s="14"/>
      <c r="E529" s="14"/>
      <c r="F529" s="14"/>
      <c r="G529" s="14"/>
      <c r="H529" s="5"/>
      <c r="I529" s="5"/>
      <c r="J529" s="5"/>
      <c r="P529" s="237"/>
      <c r="Q529" s="234"/>
      <c r="R529" s="211"/>
      <c r="S529" s="27"/>
      <c r="T529" s="14"/>
      <c r="V529" s="10"/>
    </row>
    <row r="530" spans="1:22" ht="18" hidden="1" customHeight="1">
      <c r="A530" s="9"/>
      <c r="B530" s="40"/>
      <c r="C530" s="14"/>
      <c r="D530" s="14"/>
      <c r="E530" s="14"/>
      <c r="F530" s="14"/>
      <c r="G530" s="14"/>
      <c r="H530" s="5"/>
      <c r="I530" s="5"/>
      <c r="J530" s="5"/>
      <c r="P530" s="237"/>
      <c r="Q530" s="234"/>
      <c r="R530" s="211"/>
      <c r="S530" s="27"/>
      <c r="T530" s="14"/>
      <c r="V530" s="10"/>
    </row>
    <row r="531" spans="1:22" ht="18" hidden="1" customHeight="1">
      <c r="A531" s="9"/>
      <c r="B531" s="40"/>
      <c r="C531" s="14"/>
      <c r="D531" s="14"/>
      <c r="E531" s="14"/>
      <c r="F531" s="14"/>
      <c r="G531" s="14"/>
      <c r="H531" s="5"/>
      <c r="I531" s="5"/>
      <c r="J531" s="5"/>
      <c r="P531" s="237"/>
      <c r="Q531" s="234"/>
      <c r="R531" s="211"/>
      <c r="S531" s="27"/>
      <c r="T531" s="14"/>
      <c r="V531" s="10"/>
    </row>
    <row r="532" spans="1:22" ht="18" hidden="1" customHeight="1">
      <c r="A532" s="9"/>
      <c r="B532" s="40"/>
      <c r="C532" s="14"/>
      <c r="D532" s="14"/>
      <c r="E532" s="14"/>
      <c r="F532" s="14"/>
      <c r="G532" s="14"/>
      <c r="H532" s="5"/>
      <c r="I532" s="5"/>
      <c r="J532" s="5"/>
      <c r="P532" s="237"/>
      <c r="Q532" s="234"/>
      <c r="R532" s="211"/>
      <c r="S532" s="27"/>
      <c r="T532" s="14"/>
      <c r="V532" s="10"/>
    </row>
    <row r="533" spans="1:22" ht="18" hidden="1" customHeight="1">
      <c r="A533" s="382"/>
      <c r="B533" s="20"/>
      <c r="C533" s="20"/>
      <c r="D533" s="20"/>
      <c r="E533" s="20"/>
      <c r="F533" s="20"/>
      <c r="G533" s="20"/>
      <c r="H533" s="20"/>
      <c r="I533" s="20"/>
      <c r="J533" s="20"/>
      <c r="K533" s="20"/>
      <c r="L533" s="20"/>
      <c r="M533" s="20"/>
      <c r="N533" s="20"/>
      <c r="O533" s="20"/>
      <c r="P533" s="20"/>
      <c r="Q533" s="21"/>
      <c r="R533" s="22"/>
      <c r="S533" s="23"/>
      <c r="T533" s="20"/>
      <c r="U533" s="20"/>
      <c r="V533" s="134"/>
    </row>
    <row r="534" spans="1:22" ht="18" hidden="1" customHeight="1">
      <c r="A534" s="383" t="s">
        <v>416</v>
      </c>
      <c r="B534" s="384"/>
      <c r="C534" s="384"/>
      <c r="D534" s="384"/>
      <c r="E534" s="384"/>
      <c r="F534" s="384"/>
      <c r="G534" s="384"/>
      <c r="H534" s="384"/>
      <c r="I534" s="384"/>
      <c r="J534" s="384"/>
      <c r="K534" s="384"/>
      <c r="L534" s="384"/>
      <c r="M534" s="384"/>
      <c r="N534" s="384"/>
      <c r="O534" s="384"/>
      <c r="P534" s="384"/>
      <c r="Q534" s="384"/>
      <c r="R534" s="384"/>
      <c r="S534" s="384"/>
      <c r="T534" s="384"/>
      <c r="U534" s="384"/>
      <c r="V534" s="395"/>
    </row>
    <row r="535" spans="1:22" ht="18" hidden="1" customHeight="1">
      <c r="A535" s="799" t="s">
        <v>417</v>
      </c>
      <c r="B535" s="800"/>
      <c r="C535" s="800"/>
      <c r="D535" s="14"/>
      <c r="E535" s="7"/>
      <c r="F535" s="808">
        <f>R520</f>
        <v>50000</v>
      </c>
      <c r="G535" s="808"/>
      <c r="H535" s="805" t="s">
        <v>315</v>
      </c>
      <c r="I535" s="809">
        <f>R523</f>
        <v>1</v>
      </c>
      <c r="J535" s="810"/>
      <c r="K535" s="805" t="s">
        <v>315</v>
      </c>
      <c r="L535" s="808" t="s">
        <v>419</v>
      </c>
      <c r="M535" s="815" t="str">
        <f>R525</f>
        <v>-</v>
      </c>
      <c r="N535" s="816" t="s">
        <v>347</v>
      </c>
      <c r="O535" s="817">
        <f>R526</f>
        <v>1.0970224400000002</v>
      </c>
      <c r="P535" s="805" t="s">
        <v>347</v>
      </c>
      <c r="Q535" s="807">
        <f>R527</f>
        <v>0.02</v>
      </c>
      <c r="R535" s="807"/>
      <c r="S535" s="807"/>
      <c r="T535" s="798" t="s">
        <v>350</v>
      </c>
      <c r="U535" s="230" t="s">
        <v>422</v>
      </c>
      <c r="V535" s="112"/>
    </row>
    <row r="536" spans="1:22" ht="18" hidden="1" customHeight="1">
      <c r="A536" s="801"/>
      <c r="B536" s="800"/>
      <c r="C536" s="800"/>
      <c r="D536" s="14"/>
      <c r="E536" s="7"/>
      <c r="F536" s="808"/>
      <c r="G536" s="808"/>
      <c r="H536" s="805"/>
      <c r="I536" s="805" t="str">
        <f>R519</f>
        <v>-</v>
      </c>
      <c r="J536" s="811"/>
      <c r="K536" s="805"/>
      <c r="L536" s="808"/>
      <c r="M536" s="815"/>
      <c r="N536" s="816"/>
      <c r="O536" s="815"/>
      <c r="P536" s="805"/>
      <c r="Q536" s="221">
        <f>R524</f>
        <v>1</v>
      </c>
      <c r="R536" s="221" t="s">
        <v>315</v>
      </c>
      <c r="S536" s="221">
        <f>R524</f>
        <v>1</v>
      </c>
      <c r="T536" s="798"/>
      <c r="U536" s="7"/>
      <c r="V536" s="112"/>
    </row>
    <row r="537" spans="1:22" ht="18" hidden="1" customHeight="1">
      <c r="A537" s="9"/>
      <c r="L537" s="429"/>
      <c r="V537" s="10"/>
    </row>
    <row r="538" spans="1:22" ht="18" hidden="1" customHeight="1">
      <c r="A538" s="9"/>
      <c r="C538" s="27" t="s">
        <v>127</v>
      </c>
      <c r="D538" s="812" t="e">
        <f>F535*(I535/I536)*(M535+O535+(Q535/(Q536*S536)))</f>
        <v>#VALUE!</v>
      </c>
      <c r="E538" s="813"/>
      <c r="F538" s="27" t="s">
        <v>305</v>
      </c>
      <c r="L538" s="429"/>
      <c r="V538" s="10"/>
    </row>
    <row r="539" spans="1:22" ht="18" hidden="1" customHeight="1">
      <c r="A539" s="9"/>
      <c r="L539" s="429"/>
      <c r="V539" s="10"/>
    </row>
    <row r="540" spans="1:22" ht="18" hidden="1" customHeight="1">
      <c r="A540" s="193" t="s">
        <v>444</v>
      </c>
      <c r="L540" s="429"/>
      <c r="V540" s="10"/>
    </row>
    <row r="541" spans="1:22" ht="18" hidden="1" customHeight="1">
      <c r="A541" s="799" t="s">
        <v>417</v>
      </c>
      <c r="B541" s="800"/>
      <c r="C541" s="800"/>
      <c r="D541" s="805">
        <v>2</v>
      </c>
      <c r="E541" s="805" t="s">
        <v>315</v>
      </c>
      <c r="F541" s="814">
        <f>R521</f>
        <v>42229.804278926844</v>
      </c>
      <c r="G541" s="814"/>
      <c r="H541" s="805" t="s">
        <v>315</v>
      </c>
      <c r="I541" s="809">
        <f>R523</f>
        <v>1</v>
      </c>
      <c r="J541" s="810"/>
      <c r="K541" s="805" t="s">
        <v>315</v>
      </c>
      <c r="L541" s="808" t="s">
        <v>419</v>
      </c>
      <c r="M541" s="815" t="str">
        <f>R525</f>
        <v>-</v>
      </c>
      <c r="N541" s="816" t="s">
        <v>347</v>
      </c>
      <c r="O541" s="817">
        <f>R526</f>
        <v>1.0970224400000002</v>
      </c>
      <c r="P541" s="805" t="s">
        <v>347</v>
      </c>
      <c r="Q541" s="807">
        <f>Q535</f>
        <v>0.02</v>
      </c>
      <c r="R541" s="807"/>
      <c r="S541" s="807"/>
      <c r="T541" s="798" t="s">
        <v>350</v>
      </c>
      <c r="U541" s="230" t="s">
        <v>426</v>
      </c>
      <c r="V541" s="112"/>
    </row>
    <row r="542" spans="1:22" ht="18" hidden="1" customHeight="1">
      <c r="A542" s="801"/>
      <c r="B542" s="800"/>
      <c r="C542" s="800"/>
      <c r="D542" s="805"/>
      <c r="E542" s="805"/>
      <c r="F542" s="814"/>
      <c r="G542" s="814"/>
      <c r="H542" s="805"/>
      <c r="I542" s="805" t="str">
        <f>R519</f>
        <v>-</v>
      </c>
      <c r="J542" s="811"/>
      <c r="K542" s="805"/>
      <c r="L542" s="808"/>
      <c r="M542" s="815"/>
      <c r="N542" s="816"/>
      <c r="O542" s="815"/>
      <c r="P542" s="805"/>
      <c r="Q542" s="221">
        <f>R524</f>
        <v>1</v>
      </c>
      <c r="R542" s="221" t="s">
        <v>315</v>
      </c>
      <c r="S542" s="221">
        <f>R524</f>
        <v>1</v>
      </c>
      <c r="T542" s="798"/>
      <c r="U542" s="7"/>
      <c r="V542" s="112"/>
    </row>
    <row r="543" spans="1:22" ht="18" hidden="1" customHeight="1">
      <c r="A543" s="9"/>
      <c r="L543" s="429"/>
      <c r="V543" s="10"/>
    </row>
    <row r="544" spans="1:22" ht="18" hidden="1" customHeight="1">
      <c r="A544" s="9"/>
      <c r="C544" s="27" t="s">
        <v>127</v>
      </c>
      <c r="D544" s="812" t="e">
        <f>D541*F541*(I541/I542)*(M541+O541+(Q541/(Q542*S542)))</f>
        <v>#VALUE!</v>
      </c>
      <c r="E544" s="813"/>
      <c r="F544" s="27" t="s">
        <v>305</v>
      </c>
      <c r="L544" s="429"/>
      <c r="V544" s="10"/>
    </row>
    <row r="545" spans="1:22" ht="18" hidden="1" customHeight="1">
      <c r="A545" s="9"/>
      <c r="L545" s="429"/>
      <c r="V545" s="10"/>
    </row>
    <row r="546" spans="1:22" ht="18" hidden="1" customHeight="1">
      <c r="A546" s="193" t="s">
        <v>445</v>
      </c>
      <c r="L546" s="429"/>
      <c r="V546" s="10"/>
    </row>
    <row r="547" spans="1:22" ht="18" hidden="1" customHeight="1">
      <c r="A547" s="799" t="s">
        <v>417</v>
      </c>
      <c r="B547" s="800"/>
      <c r="C547" s="800"/>
      <c r="D547" s="805">
        <v>2</v>
      </c>
      <c r="E547" s="805" t="s">
        <v>315</v>
      </c>
      <c r="F547" s="814">
        <f>R522</f>
        <v>43475.278268251794</v>
      </c>
      <c r="G547" s="814"/>
      <c r="H547" s="805" t="s">
        <v>315</v>
      </c>
      <c r="I547" s="809">
        <f>R523</f>
        <v>1</v>
      </c>
      <c r="J547" s="810"/>
      <c r="K547" s="805" t="s">
        <v>315</v>
      </c>
      <c r="L547" s="808" t="s">
        <v>419</v>
      </c>
      <c r="M547" s="815" t="str">
        <f>R525</f>
        <v>-</v>
      </c>
      <c r="N547" s="816" t="s">
        <v>347</v>
      </c>
      <c r="O547" s="817">
        <f>R526</f>
        <v>1.0970224400000002</v>
      </c>
      <c r="P547" s="805" t="s">
        <v>347</v>
      </c>
      <c r="Q547" s="807">
        <f>R527</f>
        <v>0.02</v>
      </c>
      <c r="R547" s="807"/>
      <c r="S547" s="807"/>
      <c r="T547" s="798" t="s">
        <v>350</v>
      </c>
      <c r="U547" s="230" t="s">
        <v>426</v>
      </c>
      <c r="V547" s="112"/>
    </row>
    <row r="548" spans="1:22" ht="18" hidden="1" customHeight="1">
      <c r="A548" s="801"/>
      <c r="B548" s="800"/>
      <c r="C548" s="800"/>
      <c r="D548" s="805"/>
      <c r="E548" s="805"/>
      <c r="F548" s="814"/>
      <c r="G548" s="814"/>
      <c r="H548" s="805"/>
      <c r="I548" s="805" t="str">
        <f>R519</f>
        <v>-</v>
      </c>
      <c r="J548" s="811"/>
      <c r="K548" s="805"/>
      <c r="L548" s="808"/>
      <c r="M548" s="815"/>
      <c r="N548" s="816"/>
      <c r="O548" s="815"/>
      <c r="P548" s="805"/>
      <c r="Q548" s="221">
        <f>R524</f>
        <v>1</v>
      </c>
      <c r="R548" s="221" t="s">
        <v>315</v>
      </c>
      <c r="S548" s="221">
        <f>R524</f>
        <v>1</v>
      </c>
      <c r="T548" s="798"/>
      <c r="U548" s="7"/>
      <c r="V548" s="112"/>
    </row>
    <row r="549" spans="1:22" ht="18" hidden="1" customHeight="1">
      <c r="A549" s="9"/>
      <c r="V549" s="10"/>
    </row>
    <row r="550" spans="1:22" ht="18" hidden="1" customHeight="1">
      <c r="A550" s="9"/>
      <c r="C550" s="27" t="s">
        <v>127</v>
      </c>
      <c r="D550" s="812" t="e">
        <f>D547*F547*(I547/I548)*(M547+O547+(Q547/(Q548*S548)))</f>
        <v>#VALUE!</v>
      </c>
      <c r="E550" s="813"/>
      <c r="F550" s="27" t="s">
        <v>305</v>
      </c>
      <c r="V550" s="10"/>
    </row>
    <row r="551" spans="1:22" ht="18" hidden="1" customHeight="1">
      <c r="A551" s="9"/>
      <c r="V551" s="10"/>
    </row>
    <row r="552" spans="1:22" ht="18" hidden="1" customHeight="1">
      <c r="A552" s="116" t="s">
        <v>446</v>
      </c>
      <c r="V552" s="10"/>
    </row>
    <row r="553" spans="1:22" ht="18" hidden="1" customHeight="1">
      <c r="A553" s="678" t="s">
        <v>499</v>
      </c>
      <c r="B553" s="679"/>
      <c r="C553" s="679"/>
      <c r="D553" s="679"/>
      <c r="E553" s="679"/>
      <c r="F553" s="679"/>
      <c r="G553" s="679"/>
      <c r="H553" s="679"/>
      <c r="I553" s="679"/>
      <c r="J553" s="679"/>
      <c r="K553" s="679"/>
      <c r="L553" s="679"/>
      <c r="M553" s="679"/>
      <c r="N553" s="679"/>
      <c r="O553" s="679"/>
      <c r="P553" s="679"/>
      <c r="Q553" s="679"/>
      <c r="R553" s="679"/>
      <c r="S553" s="679"/>
      <c r="T553" s="679"/>
      <c r="U553" s="679"/>
      <c r="V553" s="680"/>
    </row>
    <row r="554" spans="1:22" ht="18" hidden="1" customHeight="1">
      <c r="A554" s="678"/>
      <c r="B554" s="679"/>
      <c r="C554" s="679"/>
      <c r="D554" s="679"/>
      <c r="E554" s="679"/>
      <c r="F554" s="679"/>
      <c r="G554" s="679"/>
      <c r="H554" s="679"/>
      <c r="I554" s="679"/>
      <c r="J554" s="679"/>
      <c r="K554" s="679"/>
      <c r="L554" s="679"/>
      <c r="M554" s="679"/>
      <c r="N554" s="679"/>
      <c r="O554" s="679"/>
      <c r="P554" s="679"/>
      <c r="Q554" s="679"/>
      <c r="R554" s="679"/>
      <c r="S554" s="679"/>
      <c r="T554" s="679"/>
      <c r="U554" s="679"/>
      <c r="V554" s="680"/>
    </row>
    <row r="555" spans="1:22" ht="18" hidden="1" customHeight="1">
      <c r="A555" s="193" t="s">
        <v>416</v>
      </c>
      <c r="V555" s="10"/>
    </row>
    <row r="556" spans="1:22" ht="18" hidden="1" customHeight="1">
      <c r="A556" s="799" t="s">
        <v>417</v>
      </c>
      <c r="B556" s="800"/>
      <c r="C556" s="800"/>
      <c r="D556" s="802" t="s">
        <v>418</v>
      </c>
      <c r="E556" s="804"/>
      <c r="F556" s="689" t="s">
        <v>315</v>
      </c>
      <c r="G556" s="708" t="s">
        <v>436</v>
      </c>
      <c r="H556" s="803"/>
      <c r="I556" s="689" t="s">
        <v>315</v>
      </c>
      <c r="J556" s="851" t="s">
        <v>135</v>
      </c>
      <c r="K556" s="689" t="s">
        <v>315</v>
      </c>
      <c r="L556" s="802" t="s">
        <v>419</v>
      </c>
      <c r="M556" s="689" t="s">
        <v>440</v>
      </c>
      <c r="N556" s="729" t="s">
        <v>347</v>
      </c>
      <c r="O556" s="689" t="s">
        <v>447</v>
      </c>
      <c r="P556" s="689" t="s">
        <v>347</v>
      </c>
      <c r="Q556" s="759" t="s">
        <v>448</v>
      </c>
      <c r="R556" s="797"/>
      <c r="S556" s="797"/>
      <c r="T556" s="798" t="s">
        <v>350</v>
      </c>
      <c r="U556" s="230" t="s">
        <v>422</v>
      </c>
      <c r="V556" s="112"/>
    </row>
    <row r="557" spans="1:22" ht="18" hidden="1" customHeight="1">
      <c r="A557" s="801"/>
      <c r="B557" s="800"/>
      <c r="C557" s="800"/>
      <c r="D557" s="804"/>
      <c r="E557" s="804"/>
      <c r="F557" s="689"/>
      <c r="G557" s="689" t="s">
        <v>430</v>
      </c>
      <c r="H557" s="804"/>
      <c r="I557" s="689"/>
      <c r="J557" s="689"/>
      <c r="K557" s="689"/>
      <c r="L557" s="802"/>
      <c r="M557" s="689"/>
      <c r="N557" s="729"/>
      <c r="O557" s="689"/>
      <c r="P557" s="689"/>
      <c r="Q557" s="28" t="s">
        <v>438</v>
      </c>
      <c r="R557" s="28" t="s">
        <v>315</v>
      </c>
      <c r="S557" s="28" t="s">
        <v>438</v>
      </c>
      <c r="T557" s="798"/>
      <c r="U557" s="7"/>
      <c r="V557" s="112"/>
    </row>
    <row r="558" spans="1:22" ht="18" hidden="1" customHeight="1">
      <c r="A558" s="193" t="s">
        <v>449</v>
      </c>
      <c r="L558" s="429"/>
      <c r="M558" s="425"/>
      <c r="N558" s="425"/>
      <c r="O558" s="425"/>
      <c r="V558" s="10"/>
    </row>
    <row r="559" spans="1:22" ht="18" hidden="1" customHeight="1">
      <c r="A559" s="799" t="s">
        <v>417</v>
      </c>
      <c r="B559" s="800"/>
      <c r="C559" s="800"/>
      <c r="D559" s="802" t="s">
        <v>450</v>
      </c>
      <c r="E559" s="804"/>
      <c r="F559" s="689" t="s">
        <v>315</v>
      </c>
      <c r="G559" s="708" t="s">
        <v>436</v>
      </c>
      <c r="H559" s="803"/>
      <c r="I559" s="689" t="s">
        <v>315</v>
      </c>
      <c r="J559" s="851" t="s">
        <v>451</v>
      </c>
      <c r="K559" s="689" t="s">
        <v>315</v>
      </c>
      <c r="L559" s="802" t="s">
        <v>419</v>
      </c>
      <c r="M559" s="689" t="s">
        <v>440</v>
      </c>
      <c r="N559" s="729" t="s">
        <v>347</v>
      </c>
      <c r="O559" s="689" t="s">
        <v>447</v>
      </c>
      <c r="P559" s="689" t="s">
        <v>347</v>
      </c>
      <c r="Q559" s="759" t="s">
        <v>448</v>
      </c>
      <c r="R559" s="797"/>
      <c r="S559" s="797"/>
      <c r="T559" s="798" t="s">
        <v>350</v>
      </c>
      <c r="U559" s="230" t="s">
        <v>426</v>
      </c>
      <c r="V559" s="112"/>
    </row>
    <row r="560" spans="1:22" ht="18" hidden="1" customHeight="1">
      <c r="A560" s="801"/>
      <c r="B560" s="800"/>
      <c r="C560" s="800"/>
      <c r="D560" s="804"/>
      <c r="E560" s="804"/>
      <c r="F560" s="689"/>
      <c r="G560" s="689" t="s">
        <v>430</v>
      </c>
      <c r="H560" s="804"/>
      <c r="I560" s="689"/>
      <c r="J560" s="689"/>
      <c r="K560" s="689"/>
      <c r="L560" s="802"/>
      <c r="M560" s="689"/>
      <c r="N560" s="729"/>
      <c r="O560" s="689"/>
      <c r="P560" s="689"/>
      <c r="Q560" s="28" t="s">
        <v>438</v>
      </c>
      <c r="R560" s="28" t="s">
        <v>315</v>
      </c>
      <c r="S560" s="28" t="s">
        <v>438</v>
      </c>
      <c r="T560" s="798"/>
      <c r="U560" s="7"/>
      <c r="V560" s="112"/>
    </row>
    <row r="561" spans="1:22" ht="18" hidden="1" customHeight="1">
      <c r="A561" s="9"/>
      <c r="V561" s="10"/>
    </row>
    <row r="562" spans="1:22" ht="18" hidden="1" customHeight="1">
      <c r="A562" s="9"/>
      <c r="B562" s="14" t="s">
        <v>427</v>
      </c>
      <c r="P562" s="120" t="s">
        <v>428</v>
      </c>
      <c r="V562" s="10"/>
    </row>
    <row r="563" spans="1:22" ht="18" hidden="1" customHeight="1">
      <c r="A563" s="9"/>
      <c r="B563" s="14" t="s">
        <v>429</v>
      </c>
      <c r="P563" s="120" t="s">
        <v>430</v>
      </c>
      <c r="Q563" s="234" t="s">
        <v>127</v>
      </c>
      <c r="R563" s="684" t="str">
        <f>R519</f>
        <v>-</v>
      </c>
      <c r="S563" s="684"/>
      <c r="T563" s="14" t="s">
        <v>8</v>
      </c>
      <c r="V563" s="10"/>
    </row>
    <row r="564" spans="1:22" ht="18" hidden="1" customHeight="1">
      <c r="A564" s="9"/>
      <c r="B564" s="14" t="s">
        <v>431</v>
      </c>
      <c r="P564" s="120" t="s">
        <v>418</v>
      </c>
      <c r="Q564" s="234" t="s">
        <v>127</v>
      </c>
      <c r="R564" s="684">
        <f>R520</f>
        <v>50000</v>
      </c>
      <c r="S564" s="684"/>
      <c r="T564" s="14" t="s">
        <v>8</v>
      </c>
      <c r="V564" s="10"/>
    </row>
    <row r="565" spans="1:22" ht="18" hidden="1" customHeight="1">
      <c r="A565" s="9"/>
      <c r="B565" s="14" t="s">
        <v>452</v>
      </c>
      <c r="P565" s="120" t="s">
        <v>450</v>
      </c>
      <c r="Q565" s="234" t="s">
        <v>127</v>
      </c>
      <c r="R565" s="713">
        <f>R435</f>
        <v>43584.822413584639</v>
      </c>
      <c r="S565" s="684"/>
      <c r="T565" s="14" t="s">
        <v>8</v>
      </c>
      <c r="U565" s="30" t="s">
        <v>433</v>
      </c>
      <c r="V565" s="10"/>
    </row>
    <row r="566" spans="1:22" ht="18" hidden="1" customHeight="1">
      <c r="A566" s="9"/>
      <c r="B566" s="14"/>
      <c r="P566" s="120"/>
      <c r="Q566" s="234" t="s">
        <v>127</v>
      </c>
      <c r="R566" s="713">
        <f>R436</f>
        <v>44648.255952235893</v>
      </c>
      <c r="S566" s="684"/>
      <c r="T566" s="14" t="s">
        <v>8</v>
      </c>
      <c r="U566" s="30" t="s">
        <v>434</v>
      </c>
      <c r="V566" s="10"/>
    </row>
    <row r="567" spans="1:22" ht="18" hidden="1" customHeight="1">
      <c r="A567" s="9"/>
      <c r="B567" s="14" t="s">
        <v>453</v>
      </c>
      <c r="P567" s="120" t="s">
        <v>436</v>
      </c>
      <c r="Q567" s="234" t="s">
        <v>127</v>
      </c>
      <c r="R567" s="684">
        <f>R523</f>
        <v>1</v>
      </c>
      <c r="S567" s="684"/>
      <c r="T567" s="14" t="s">
        <v>8</v>
      </c>
      <c r="V567" s="10"/>
    </row>
    <row r="568" spans="1:22" ht="18" hidden="1" customHeight="1">
      <c r="A568" s="9"/>
      <c r="B568" s="14" t="s">
        <v>437</v>
      </c>
      <c r="P568" s="120" t="s">
        <v>438</v>
      </c>
      <c r="Q568" s="234" t="s">
        <v>127</v>
      </c>
      <c r="R568" s="684">
        <f>R524</f>
        <v>1</v>
      </c>
      <c r="S568" s="684"/>
      <c r="T568" s="14" t="s">
        <v>8</v>
      </c>
      <c r="V568" s="10"/>
    </row>
    <row r="569" spans="1:22" ht="18" hidden="1" customHeight="1">
      <c r="A569" s="9"/>
      <c r="B569" s="14" t="s">
        <v>439</v>
      </c>
      <c r="P569" s="120" t="s">
        <v>440</v>
      </c>
      <c r="Q569" s="234" t="s">
        <v>127</v>
      </c>
      <c r="R569" s="684" t="str">
        <f>L491</f>
        <v>-</v>
      </c>
      <c r="S569" s="684"/>
      <c r="T569" s="192" t="s">
        <v>333</v>
      </c>
      <c r="V569" s="10"/>
    </row>
    <row r="570" spans="1:22" ht="18" hidden="1" customHeight="1">
      <c r="A570" s="9"/>
      <c r="B570" s="14" t="s">
        <v>454</v>
      </c>
      <c r="P570" s="237" t="s">
        <v>441</v>
      </c>
      <c r="Q570" s="234" t="s">
        <v>127</v>
      </c>
      <c r="R570" s="795">
        <f>R526</f>
        <v>1.0970224400000002</v>
      </c>
      <c r="S570" s="684"/>
      <c r="T570" s="192" t="s">
        <v>333</v>
      </c>
      <c r="V570" s="10"/>
    </row>
    <row r="571" spans="1:22" ht="18" hidden="1" customHeight="1">
      <c r="A571" s="9"/>
      <c r="B571" s="40" t="s">
        <v>442</v>
      </c>
      <c r="P571" s="237" t="s">
        <v>443</v>
      </c>
      <c r="Q571" s="234" t="s">
        <v>127</v>
      </c>
      <c r="R571" s="795">
        <f>R527</f>
        <v>0.02</v>
      </c>
      <c r="S571" s="684"/>
      <c r="T571" s="14" t="s">
        <v>157</v>
      </c>
      <c r="V571" s="10"/>
    </row>
    <row r="572" spans="1:22" ht="18" hidden="1" customHeight="1">
      <c r="A572" s="9"/>
      <c r="B572" s="40"/>
      <c r="P572" s="237"/>
      <c r="Q572" s="234"/>
      <c r="R572" s="211"/>
      <c r="S572" s="27"/>
      <c r="T572" s="14"/>
      <c r="V572" s="10"/>
    </row>
    <row r="573" spans="1:22" ht="18" hidden="1" customHeight="1">
      <c r="A573" s="9"/>
      <c r="B573" s="40"/>
      <c r="P573" s="237"/>
      <c r="Q573" s="234"/>
      <c r="R573" s="211"/>
      <c r="S573" s="27"/>
      <c r="T573" s="14"/>
      <c r="V573" s="10"/>
    </row>
    <row r="574" spans="1:22" ht="18" hidden="1" customHeight="1">
      <c r="A574" s="9"/>
      <c r="B574" s="40"/>
      <c r="P574" s="237"/>
      <c r="Q574" s="234"/>
      <c r="R574" s="211"/>
      <c r="S574" s="27"/>
      <c r="T574" s="14"/>
      <c r="V574" s="10"/>
    </row>
    <row r="575" spans="1:22" ht="18" hidden="1" customHeight="1">
      <c r="A575" s="9"/>
      <c r="B575" s="40"/>
      <c r="P575" s="237"/>
      <c r="Q575" s="234"/>
      <c r="R575" s="211"/>
      <c r="S575" s="27"/>
      <c r="T575" s="14"/>
      <c r="V575" s="10"/>
    </row>
    <row r="576" spans="1:22" ht="18" hidden="1" customHeight="1">
      <c r="A576" s="9"/>
      <c r="B576" s="40"/>
      <c r="P576" s="237"/>
      <c r="Q576" s="234"/>
      <c r="R576" s="211"/>
      <c r="S576" s="27"/>
      <c r="T576" s="14"/>
      <c r="V576" s="10"/>
    </row>
    <row r="577" spans="1:22" ht="18" hidden="1" customHeight="1">
      <c r="A577" s="382"/>
      <c r="B577" s="20"/>
      <c r="C577" s="20"/>
      <c r="D577" s="20"/>
      <c r="E577" s="20"/>
      <c r="F577" s="20"/>
      <c r="G577" s="20"/>
      <c r="H577" s="20"/>
      <c r="I577" s="20"/>
      <c r="J577" s="20"/>
      <c r="K577" s="20"/>
      <c r="L577" s="20"/>
      <c r="M577" s="20"/>
      <c r="N577" s="20"/>
      <c r="O577" s="20"/>
      <c r="P577" s="20"/>
      <c r="Q577" s="21"/>
      <c r="R577" s="22"/>
      <c r="S577" s="23"/>
      <c r="T577" s="20"/>
      <c r="U577" s="20"/>
      <c r="V577" s="134"/>
    </row>
    <row r="578" spans="1:22" ht="18" hidden="1" customHeight="1">
      <c r="A578" s="431" t="s">
        <v>455</v>
      </c>
      <c r="B578" s="432"/>
      <c r="C578" s="433"/>
      <c r="D578" s="434"/>
      <c r="E578" s="433"/>
      <c r="F578" s="434"/>
      <c r="G578" s="434"/>
      <c r="H578" s="432"/>
      <c r="I578" s="432"/>
      <c r="J578" s="432"/>
      <c r="K578" s="435"/>
      <c r="L578" s="435"/>
      <c r="M578" s="111"/>
      <c r="N578" s="434"/>
      <c r="O578" s="434"/>
      <c r="P578" s="435"/>
      <c r="Q578" s="436"/>
      <c r="R578" s="111"/>
      <c r="S578" s="111"/>
      <c r="T578" s="111"/>
      <c r="U578" s="111"/>
      <c r="V578" s="140"/>
    </row>
    <row r="579" spans="1:22" ht="18" hidden="1" customHeight="1">
      <c r="A579" s="96" t="s">
        <v>456</v>
      </c>
      <c r="B579" s="152"/>
      <c r="C579" s="437"/>
      <c r="D579" s="376"/>
      <c r="E579" s="437"/>
      <c r="F579" s="376"/>
      <c r="G579" s="376"/>
      <c r="H579" s="152"/>
      <c r="I579" s="152"/>
      <c r="J579" s="152"/>
      <c r="K579" s="153"/>
      <c r="L579" s="153"/>
      <c r="M579" s="7"/>
      <c r="N579" s="376"/>
      <c r="O579" s="376"/>
      <c r="P579" s="153"/>
      <c r="Q579" s="438"/>
      <c r="R579" s="7"/>
      <c r="S579" s="7"/>
      <c r="T579" s="7"/>
      <c r="U579" s="7"/>
      <c r="V579" s="112"/>
    </row>
    <row r="580" spans="1:22" ht="18" hidden="1" customHeight="1">
      <c r="A580" s="396"/>
      <c r="B580" s="152"/>
      <c r="C580" s="437"/>
      <c r="D580" s="7"/>
      <c r="E580" s="7"/>
      <c r="F580" s="7"/>
      <c r="G580" s="376"/>
      <c r="H580" s="439" t="s">
        <v>457</v>
      </c>
      <c r="I580" s="14" t="s">
        <v>458</v>
      </c>
      <c r="J580" s="7"/>
      <c r="K580" s="28" t="s">
        <v>459</v>
      </c>
      <c r="L580" s="28" t="s">
        <v>135</v>
      </c>
      <c r="M580" s="440"/>
      <c r="N580" s="376"/>
      <c r="O580" s="376"/>
      <c r="P580" s="102" t="s">
        <v>127</v>
      </c>
      <c r="Q580" s="28">
        <v>1</v>
      </c>
      <c r="R580" s="7"/>
      <c r="S580" s="7"/>
      <c r="T580" s="7"/>
      <c r="U580" s="7"/>
      <c r="V580" s="112"/>
    </row>
    <row r="581" spans="1:22" ht="18" hidden="1" customHeight="1">
      <c r="A581" s="396"/>
      <c r="B581" s="152"/>
      <c r="C581" s="437"/>
      <c r="D581" s="7"/>
      <c r="E581" s="7"/>
      <c r="F581" s="7"/>
      <c r="G581" s="376"/>
      <c r="H581" s="439"/>
      <c r="I581" s="14"/>
      <c r="J581" s="7"/>
      <c r="K581" s="28"/>
      <c r="L581" s="28"/>
      <c r="M581" s="440"/>
      <c r="N581" s="376"/>
      <c r="O581" s="376"/>
      <c r="P581" s="102"/>
      <c r="Q581" s="28"/>
      <c r="R581" s="7"/>
      <c r="S581" s="7"/>
      <c r="T581" s="7"/>
      <c r="U581" s="7"/>
      <c r="V581" s="112"/>
    </row>
    <row r="582" spans="1:22" ht="18" hidden="1" customHeight="1">
      <c r="A582" s="96" t="s">
        <v>460</v>
      </c>
      <c r="B582" s="152"/>
      <c r="C582" s="437"/>
      <c r="D582" s="376"/>
      <c r="E582" s="437"/>
      <c r="F582" s="376"/>
      <c r="G582" s="376"/>
      <c r="H582" s="152"/>
      <c r="I582" s="7"/>
      <c r="J582" s="7"/>
      <c r="K582" s="121"/>
      <c r="L582" s="121"/>
      <c r="M582" s="7"/>
      <c r="N582" s="376"/>
      <c r="O582" s="376"/>
      <c r="P582" s="153"/>
      <c r="Q582" s="438"/>
      <c r="V582" s="10"/>
    </row>
    <row r="583" spans="1:22" ht="18" hidden="1" customHeight="1">
      <c r="A583" s="96" t="s">
        <v>461</v>
      </c>
      <c r="B583" s="152"/>
      <c r="C583" s="437"/>
      <c r="D583" s="376"/>
      <c r="E583" s="437"/>
      <c r="F583" s="376"/>
      <c r="G583" s="376"/>
      <c r="H583" s="152"/>
      <c r="I583" s="7"/>
      <c r="J583" s="7"/>
      <c r="K583" s="121"/>
      <c r="L583" s="121"/>
      <c r="M583" s="7"/>
      <c r="N583" s="376"/>
      <c r="O583" s="376"/>
      <c r="P583" s="153"/>
      <c r="Q583" s="438"/>
      <c r="V583" s="10"/>
    </row>
    <row r="584" spans="1:22" ht="18" hidden="1" customHeight="1">
      <c r="A584" s="396"/>
      <c r="B584" s="152"/>
      <c r="C584" s="437"/>
      <c r="D584" s="7"/>
      <c r="E584" s="7"/>
      <c r="F584" s="7"/>
      <c r="G584" s="376"/>
      <c r="H584" s="439" t="s">
        <v>457</v>
      </c>
      <c r="I584" s="14" t="s">
        <v>462</v>
      </c>
      <c r="J584" s="7"/>
      <c r="K584" s="28" t="s">
        <v>459</v>
      </c>
      <c r="L584" s="28" t="s">
        <v>451</v>
      </c>
      <c r="M584" s="440"/>
      <c r="N584" s="376"/>
      <c r="O584" s="376"/>
      <c r="P584" s="102" t="s">
        <v>127</v>
      </c>
      <c r="Q584" s="28">
        <v>3</v>
      </c>
      <c r="V584" s="10"/>
    </row>
    <row r="585" spans="1:22" ht="18" hidden="1" customHeight="1">
      <c r="A585" s="396"/>
      <c r="B585" s="152"/>
      <c r="C585" s="437"/>
      <c r="D585" s="7"/>
      <c r="E585" s="7"/>
      <c r="F585" s="7"/>
      <c r="G585" s="376"/>
      <c r="H585" s="439"/>
      <c r="I585" s="14"/>
      <c r="J585" s="7"/>
      <c r="K585" s="28"/>
      <c r="L585" s="28"/>
      <c r="M585" s="440"/>
      <c r="N585" s="376"/>
      <c r="O585" s="376"/>
      <c r="P585" s="102"/>
      <c r="Q585" s="28"/>
      <c r="V585" s="10"/>
    </row>
    <row r="586" spans="1:22" ht="18" hidden="1" customHeight="1">
      <c r="A586" s="9"/>
      <c r="V586" s="10"/>
    </row>
    <row r="587" spans="1:22" ht="18" hidden="1" customHeight="1">
      <c r="A587" s="193" t="s">
        <v>416</v>
      </c>
      <c r="V587" s="10"/>
    </row>
    <row r="588" spans="1:22" ht="18" hidden="1" customHeight="1">
      <c r="A588" s="114"/>
      <c r="B588" s="7"/>
      <c r="C588" s="7"/>
      <c r="D588" s="7"/>
      <c r="E588" s="7"/>
      <c r="F588" s="7"/>
      <c r="G588" s="14" t="s">
        <v>463</v>
      </c>
      <c r="H588" s="7"/>
      <c r="I588" s="7"/>
      <c r="J588" s="7"/>
      <c r="K588" s="28" t="s">
        <v>127</v>
      </c>
      <c r="L588" s="692">
        <f>L453</f>
        <v>47.727272727272727</v>
      </c>
      <c r="M588" s="689"/>
      <c r="N588" s="28" t="s">
        <v>464</v>
      </c>
      <c r="O588" s="28" t="s">
        <v>135</v>
      </c>
      <c r="P588" s="28" t="s">
        <v>127</v>
      </c>
      <c r="Q588" s="28">
        <f>IF(L588&lt;=400,Q580,Q581)</f>
        <v>1</v>
      </c>
      <c r="R588" s="7"/>
      <c r="S588" s="7"/>
      <c r="T588" s="7"/>
      <c r="V588" s="10"/>
    </row>
    <row r="589" spans="1:22" ht="18" hidden="1" customHeight="1">
      <c r="A589" s="799" t="s">
        <v>417</v>
      </c>
      <c r="B589" s="800"/>
      <c r="C589" s="800"/>
      <c r="D589" s="808">
        <f>R564</f>
        <v>50000</v>
      </c>
      <c r="E589" s="818"/>
      <c r="F589" s="805" t="s">
        <v>315</v>
      </c>
      <c r="G589" s="809">
        <f>R567</f>
        <v>1</v>
      </c>
      <c r="H589" s="821"/>
      <c r="I589" s="805" t="s">
        <v>315</v>
      </c>
      <c r="J589" s="822">
        <f>Q588</f>
        <v>1</v>
      </c>
      <c r="K589" s="805" t="s">
        <v>315</v>
      </c>
      <c r="L589" s="808" t="s">
        <v>419</v>
      </c>
      <c r="M589" s="815" t="str">
        <f>R569</f>
        <v>-</v>
      </c>
      <c r="N589" s="816" t="s">
        <v>347</v>
      </c>
      <c r="O589" s="817">
        <f>R570</f>
        <v>1.0970224400000002</v>
      </c>
      <c r="P589" s="805" t="s">
        <v>347</v>
      </c>
      <c r="Q589" s="807">
        <f>R571</f>
        <v>0.02</v>
      </c>
      <c r="R589" s="807"/>
      <c r="S589" s="807"/>
      <c r="T589" s="798" t="s">
        <v>350</v>
      </c>
      <c r="U589" s="230" t="s">
        <v>422</v>
      </c>
      <c r="V589" s="112"/>
    </row>
    <row r="590" spans="1:22" ht="18" hidden="1" customHeight="1">
      <c r="A590" s="801"/>
      <c r="B590" s="800"/>
      <c r="C590" s="800"/>
      <c r="D590" s="818"/>
      <c r="E590" s="818"/>
      <c r="F590" s="805"/>
      <c r="G590" s="805" t="str">
        <f>R563</f>
        <v>-</v>
      </c>
      <c r="H590" s="818"/>
      <c r="I590" s="805"/>
      <c r="J590" s="805"/>
      <c r="K590" s="805"/>
      <c r="L590" s="808"/>
      <c r="M590" s="815"/>
      <c r="N590" s="816"/>
      <c r="O590" s="815"/>
      <c r="P590" s="805"/>
      <c r="Q590" s="221">
        <f>R568</f>
        <v>1</v>
      </c>
      <c r="R590" s="221" t="s">
        <v>315</v>
      </c>
      <c r="S590" s="221">
        <f>R568</f>
        <v>1</v>
      </c>
      <c r="T590" s="798"/>
      <c r="U590" s="7"/>
      <c r="V590" s="112"/>
    </row>
    <row r="591" spans="1:22" ht="18" hidden="1" customHeight="1">
      <c r="A591" s="9"/>
      <c r="V591" s="10"/>
    </row>
    <row r="592" spans="1:22" ht="18" hidden="1" customHeight="1">
      <c r="A592" s="9"/>
      <c r="C592" s="27" t="s">
        <v>127</v>
      </c>
      <c r="D592" s="819" t="e">
        <f>D589*(G589/G590)*J589*(M589+O589+(Q589/(Q590*S590)))</f>
        <v>#VALUE!</v>
      </c>
      <c r="E592" s="820"/>
      <c r="F592" s="27" t="s">
        <v>305</v>
      </c>
      <c r="V592" s="10"/>
    </row>
    <row r="593" spans="1:22" ht="18" hidden="1" customHeight="1">
      <c r="A593" s="9"/>
      <c r="V593" s="10"/>
    </row>
    <row r="594" spans="1:22" ht="18" hidden="1" customHeight="1">
      <c r="A594" s="193" t="s">
        <v>465</v>
      </c>
      <c r="V594" s="10"/>
    </row>
    <row r="595" spans="1:22" ht="18" hidden="1" customHeight="1">
      <c r="A595" s="9"/>
      <c r="E595" s="30" t="s">
        <v>466</v>
      </c>
      <c r="K595" s="27" t="s">
        <v>127</v>
      </c>
      <c r="L595" s="795">
        <f>L461</f>
        <v>41.979419477826461</v>
      </c>
      <c r="M595" s="684"/>
      <c r="N595" s="27" t="s">
        <v>464</v>
      </c>
      <c r="O595" s="28" t="s">
        <v>451</v>
      </c>
      <c r="P595" s="27" t="s">
        <v>127</v>
      </c>
      <c r="Q595" s="27">
        <f>IF(L595&lt;=200,Q584,Q585)</f>
        <v>3</v>
      </c>
      <c r="V595" s="10"/>
    </row>
    <row r="596" spans="1:22" ht="18" hidden="1" customHeight="1">
      <c r="A596" s="799" t="s">
        <v>417</v>
      </c>
      <c r="B596" s="800"/>
      <c r="C596" s="800"/>
      <c r="D596" s="814">
        <f>R565</f>
        <v>43584.822413584639</v>
      </c>
      <c r="E596" s="811"/>
      <c r="F596" s="805" t="s">
        <v>315</v>
      </c>
      <c r="G596" s="809">
        <f>R567</f>
        <v>1</v>
      </c>
      <c r="H596" s="810"/>
      <c r="I596" s="805" t="s">
        <v>315</v>
      </c>
      <c r="J596" s="852">
        <f>Q595</f>
        <v>3</v>
      </c>
      <c r="K596" s="805" t="s">
        <v>315</v>
      </c>
      <c r="L596" s="808" t="s">
        <v>419</v>
      </c>
      <c r="M596" s="815" t="str">
        <f>R569</f>
        <v>-</v>
      </c>
      <c r="N596" s="816" t="s">
        <v>347</v>
      </c>
      <c r="O596" s="817">
        <f>R570</f>
        <v>1.0970224400000002</v>
      </c>
      <c r="P596" s="805" t="s">
        <v>347</v>
      </c>
      <c r="Q596" s="807">
        <f>R571</f>
        <v>0.02</v>
      </c>
      <c r="R596" s="807"/>
      <c r="S596" s="807"/>
      <c r="T596" s="798" t="s">
        <v>350</v>
      </c>
      <c r="U596" s="230" t="s">
        <v>426</v>
      </c>
      <c r="V596" s="112"/>
    </row>
    <row r="597" spans="1:22" ht="18" hidden="1" customHeight="1">
      <c r="A597" s="801"/>
      <c r="B597" s="800"/>
      <c r="C597" s="800"/>
      <c r="D597" s="811"/>
      <c r="E597" s="811"/>
      <c r="F597" s="805"/>
      <c r="G597" s="805" t="str">
        <f>R563</f>
        <v>-</v>
      </c>
      <c r="H597" s="811"/>
      <c r="I597" s="805"/>
      <c r="J597" s="805"/>
      <c r="K597" s="805"/>
      <c r="L597" s="808"/>
      <c r="M597" s="815"/>
      <c r="N597" s="816"/>
      <c r="O597" s="815"/>
      <c r="P597" s="805"/>
      <c r="Q597" s="221">
        <f>R568</f>
        <v>1</v>
      </c>
      <c r="R597" s="221" t="s">
        <v>315</v>
      </c>
      <c r="S597" s="221">
        <f>R568</f>
        <v>1</v>
      </c>
      <c r="T597" s="798"/>
      <c r="U597" s="7"/>
      <c r="V597" s="112"/>
    </row>
    <row r="598" spans="1:22" ht="18" hidden="1" customHeight="1">
      <c r="A598" s="9"/>
      <c r="V598" s="10"/>
    </row>
    <row r="599" spans="1:22" ht="18" hidden="1" customHeight="1">
      <c r="A599" s="9"/>
      <c r="C599" s="27" t="s">
        <v>127</v>
      </c>
      <c r="D599" s="819" t="e">
        <f>D596*(G596/G597)*J596*(M596+O596+(Q596/(Q597*S597)))</f>
        <v>#VALUE!</v>
      </c>
      <c r="E599" s="820"/>
      <c r="F599" s="27" t="s">
        <v>305</v>
      </c>
      <c r="V599" s="10"/>
    </row>
    <row r="600" spans="1:22" ht="18" hidden="1" customHeight="1">
      <c r="A600" s="9"/>
      <c r="V600" s="10"/>
    </row>
    <row r="601" spans="1:22" ht="18" hidden="1" customHeight="1">
      <c r="A601" s="193" t="s">
        <v>467</v>
      </c>
      <c r="V601" s="10"/>
    </row>
    <row r="602" spans="1:22" ht="18" hidden="1" customHeight="1">
      <c r="A602" s="9"/>
      <c r="E602" s="30" t="s">
        <v>468</v>
      </c>
      <c r="K602" s="27" t="s">
        <v>127</v>
      </c>
      <c r="L602" s="795">
        <f>L468</f>
        <v>29.635036773964003</v>
      </c>
      <c r="M602" s="684"/>
      <c r="N602" s="27" t="s">
        <v>464</v>
      </c>
      <c r="O602" s="28" t="s">
        <v>451</v>
      </c>
      <c r="P602" s="27" t="s">
        <v>127</v>
      </c>
      <c r="Q602" s="27">
        <f>IF(L602&lt;=30,Q584,Q585)</f>
        <v>3</v>
      </c>
      <c r="V602" s="10"/>
    </row>
    <row r="603" spans="1:22" ht="18" hidden="1" customHeight="1">
      <c r="A603" s="799" t="s">
        <v>417</v>
      </c>
      <c r="B603" s="800"/>
      <c r="C603" s="800"/>
      <c r="D603" s="814">
        <f>R566</f>
        <v>44648.255952235893</v>
      </c>
      <c r="E603" s="811"/>
      <c r="F603" s="805" t="s">
        <v>315</v>
      </c>
      <c r="G603" s="809">
        <f>R567</f>
        <v>1</v>
      </c>
      <c r="H603" s="810"/>
      <c r="I603" s="805" t="s">
        <v>315</v>
      </c>
      <c r="J603" s="852">
        <f>Q602</f>
        <v>3</v>
      </c>
      <c r="K603" s="805" t="s">
        <v>315</v>
      </c>
      <c r="L603" s="808" t="s">
        <v>419</v>
      </c>
      <c r="M603" s="815" t="str">
        <f>R569</f>
        <v>-</v>
      </c>
      <c r="N603" s="816" t="s">
        <v>347</v>
      </c>
      <c r="O603" s="817">
        <f>R570</f>
        <v>1.0970224400000002</v>
      </c>
      <c r="P603" s="805" t="s">
        <v>347</v>
      </c>
      <c r="Q603" s="807">
        <f>R571</f>
        <v>0.02</v>
      </c>
      <c r="R603" s="807"/>
      <c r="S603" s="807"/>
      <c r="T603" s="798" t="s">
        <v>350</v>
      </c>
      <c r="U603" s="230" t="s">
        <v>426</v>
      </c>
      <c r="V603" s="112"/>
    </row>
    <row r="604" spans="1:22" ht="18" hidden="1" customHeight="1">
      <c r="A604" s="801"/>
      <c r="B604" s="800"/>
      <c r="C604" s="800"/>
      <c r="D604" s="811"/>
      <c r="E604" s="811"/>
      <c r="F604" s="805"/>
      <c r="G604" s="805" t="str">
        <f>R563</f>
        <v>-</v>
      </c>
      <c r="H604" s="811"/>
      <c r="I604" s="805"/>
      <c r="J604" s="805"/>
      <c r="K604" s="805"/>
      <c r="L604" s="808"/>
      <c r="M604" s="815"/>
      <c r="N604" s="816"/>
      <c r="O604" s="815"/>
      <c r="P604" s="805"/>
      <c r="Q604" s="221">
        <f>R568</f>
        <v>1</v>
      </c>
      <c r="R604" s="221" t="s">
        <v>315</v>
      </c>
      <c r="S604" s="221">
        <f>R568</f>
        <v>1</v>
      </c>
      <c r="T604" s="798"/>
      <c r="U604" s="7"/>
      <c r="V604" s="112"/>
    </row>
    <row r="605" spans="1:22" ht="18" hidden="1" customHeight="1">
      <c r="A605" s="9"/>
      <c r="D605" s="430"/>
      <c r="E605" s="430"/>
      <c r="F605" s="430"/>
      <c r="G605" s="430"/>
      <c r="H605" s="430"/>
      <c r="I605" s="430"/>
      <c r="J605" s="430"/>
      <c r="K605" s="430"/>
      <c r="L605" s="430"/>
      <c r="M605" s="430"/>
      <c r="N605" s="430"/>
      <c r="O605" s="430"/>
      <c r="P605" s="430"/>
      <c r="Q605" s="430"/>
      <c r="R605" s="430"/>
      <c r="S605" s="430"/>
      <c r="V605" s="10"/>
    </row>
    <row r="606" spans="1:22" ht="18" hidden="1" customHeight="1">
      <c r="A606" s="9"/>
      <c r="C606" s="27" t="s">
        <v>127</v>
      </c>
      <c r="D606" s="819" t="e">
        <f>D603*(G603/G604)*J603*(M603+O603+(Q603/(Q604*S604)))</f>
        <v>#VALUE!</v>
      </c>
      <c r="E606" s="820"/>
      <c r="F606" s="27" t="s">
        <v>305</v>
      </c>
      <c r="V606" s="10"/>
    </row>
    <row r="607" spans="1:22" ht="18" hidden="1" customHeight="1">
      <c r="A607" s="9"/>
      <c r="V607" s="10"/>
    </row>
    <row r="608" spans="1:22" ht="18" hidden="1" customHeight="1">
      <c r="A608" s="184" t="s">
        <v>469</v>
      </c>
      <c r="M608" s="865" t="str">
        <f>L489</f>
        <v>-</v>
      </c>
      <c r="N608" s="866"/>
      <c r="O608" s="30" t="s">
        <v>470</v>
      </c>
      <c r="P608" s="30"/>
      <c r="Q608" s="867" t="e">
        <f>MAX(D538,D544,D550,D592,D599,D606)</f>
        <v>#VALUE!</v>
      </c>
      <c r="R608" s="824"/>
      <c r="S608" s="30" t="s">
        <v>305</v>
      </c>
      <c r="V608" s="10"/>
    </row>
    <row r="609" spans="1:22" ht="18" hidden="1" customHeight="1">
      <c r="A609" s="351" t="s">
        <v>471</v>
      </c>
      <c r="B609" s="7"/>
      <c r="C609" s="7"/>
      <c r="D609" s="441"/>
      <c r="E609" s="7"/>
      <c r="F609" s="7"/>
      <c r="G609" s="372"/>
      <c r="H609" s="7"/>
      <c r="J609" s="7"/>
      <c r="K609" s="7"/>
      <c r="L609" s="7"/>
      <c r="M609" s="7"/>
      <c r="N609" s="7"/>
      <c r="O609" s="7"/>
      <c r="P609" s="250"/>
      <c r="Q609" s="251"/>
      <c r="R609" s="372"/>
      <c r="S609" s="7"/>
      <c r="V609" s="10"/>
    </row>
    <row r="610" spans="1:22" ht="18" hidden="1" customHeight="1">
      <c r="A610" s="96" t="s">
        <v>500</v>
      </c>
      <c r="V610" s="10"/>
    </row>
    <row r="611" spans="1:22" ht="18" hidden="1" customHeight="1">
      <c r="A611" s="9"/>
      <c r="N611" s="7"/>
      <c r="O611" s="28" t="s">
        <v>473</v>
      </c>
      <c r="P611" s="102" t="s">
        <v>127</v>
      </c>
      <c r="Q611" s="694" t="s">
        <v>474</v>
      </c>
      <c r="R611" s="694"/>
      <c r="S611" s="28" t="s">
        <v>315</v>
      </c>
      <c r="T611" s="28">
        <v>0.8</v>
      </c>
      <c r="V611" s="10"/>
    </row>
    <row r="612" spans="1:22" ht="18" hidden="1" customHeight="1">
      <c r="A612" s="9"/>
      <c r="N612" s="252"/>
      <c r="O612" s="28"/>
      <c r="P612" s="102" t="s">
        <v>127</v>
      </c>
      <c r="Q612" s="829" t="e">
        <f>+Q608</f>
        <v>#VALUE!</v>
      </c>
      <c r="R612" s="708"/>
      <c r="S612" s="222" t="s">
        <v>315</v>
      </c>
      <c r="T612" s="253">
        <f>+T611</f>
        <v>0.8</v>
      </c>
      <c r="V612" s="10"/>
    </row>
    <row r="613" spans="1:22" ht="18" hidden="1" customHeight="1">
      <c r="A613" s="9"/>
      <c r="O613" s="28"/>
      <c r="P613" s="28" t="s">
        <v>127</v>
      </c>
      <c r="Q613" s="830" t="e">
        <f>Q612*T612</f>
        <v>#VALUE!</v>
      </c>
      <c r="R613" s="776"/>
      <c r="S613" s="28" t="s">
        <v>305</v>
      </c>
      <c r="T613" s="28"/>
      <c r="V613" s="10"/>
    </row>
    <row r="614" spans="1:22" ht="18" hidden="1" customHeight="1">
      <c r="A614" s="9"/>
      <c r="D614" s="30" t="s">
        <v>475</v>
      </c>
      <c r="G614" s="27" t="e">
        <f>IF(E615&gt;H615,"&gt;","&lt;")</f>
        <v>#VALUE!</v>
      </c>
      <c r="H614" s="30" t="s">
        <v>477</v>
      </c>
      <c r="V614" s="10"/>
    </row>
    <row r="615" spans="1:22" ht="18" hidden="1" customHeight="1">
      <c r="A615" s="9"/>
      <c r="E615" s="684" t="str">
        <f>L492</f>
        <v>-</v>
      </c>
      <c r="F615" s="684"/>
      <c r="G615" s="27" t="e">
        <f>G614</f>
        <v>#VALUE!</v>
      </c>
      <c r="H615" s="795" t="e">
        <f>Q613</f>
        <v>#VALUE!</v>
      </c>
      <c r="I615" s="684"/>
      <c r="V615" s="10"/>
    </row>
    <row r="616" spans="1:22" ht="18" hidden="1" customHeight="1">
      <c r="A616" s="9"/>
      <c r="F616" s="244" t="s">
        <v>478</v>
      </c>
      <c r="H616" s="18" t="e">
        <f>IF(G614="&gt;","Suitably Dimensioned","Under Dimensioned")</f>
        <v>#VALUE!</v>
      </c>
      <c r="V616" s="10"/>
    </row>
    <row r="617" spans="1:22" ht="18" hidden="1" customHeight="1">
      <c r="A617" s="9"/>
      <c r="F617" s="244"/>
      <c r="H617" s="18"/>
      <c r="V617" s="10"/>
    </row>
    <row r="618" spans="1:22" ht="18" hidden="1" customHeight="1">
      <c r="A618" s="9"/>
      <c r="F618" s="244"/>
      <c r="H618" s="18"/>
      <c r="V618" s="10"/>
    </row>
    <row r="619" spans="1:22" ht="18" hidden="1" customHeight="1">
      <c r="A619" s="9"/>
      <c r="F619" s="244"/>
      <c r="H619" s="18"/>
      <c r="V619" s="10"/>
    </row>
    <row r="620" spans="1:22" ht="18" hidden="1" customHeight="1">
      <c r="A620" s="9"/>
      <c r="F620" s="244"/>
      <c r="H620" s="18"/>
      <c r="V620" s="10"/>
    </row>
    <row r="621" spans="1:22" ht="18" hidden="1" customHeight="1">
      <c r="A621" s="9"/>
      <c r="F621" s="244"/>
      <c r="H621" s="18"/>
      <c r="V621" s="10"/>
    </row>
    <row r="622" spans="1:22" ht="18" hidden="1" customHeight="1">
      <c r="A622" s="114"/>
      <c r="B622" s="7"/>
      <c r="C622" s="7"/>
      <c r="D622" s="7"/>
      <c r="E622" s="7"/>
      <c r="F622" s="7"/>
      <c r="G622" s="7"/>
      <c r="H622" s="7"/>
      <c r="I622" s="7"/>
      <c r="J622" s="7"/>
      <c r="K622" s="7"/>
      <c r="L622" s="7"/>
      <c r="M622" s="7"/>
      <c r="N622" s="7"/>
      <c r="O622" s="7"/>
      <c r="P622" s="7"/>
      <c r="Q622" s="124"/>
      <c r="R622" s="121"/>
      <c r="S622" s="405"/>
      <c r="T622" s="7"/>
      <c r="U622" s="7"/>
      <c r="V622" s="381"/>
    </row>
    <row r="623" spans="1:22" ht="18" hidden="1" customHeight="1">
      <c r="A623" s="9"/>
      <c r="V623" s="10"/>
    </row>
    <row r="624" spans="1:22" ht="18" customHeight="1">
      <c r="A624" s="262" t="s">
        <v>501</v>
      </c>
      <c r="B624" s="7"/>
      <c r="C624" s="7"/>
      <c r="D624" s="124"/>
      <c r="E624" s="124"/>
      <c r="F624" s="115"/>
      <c r="G624" s="115"/>
      <c r="H624" s="7"/>
      <c r="I624" s="7"/>
      <c r="J624" s="7"/>
      <c r="K624" s="7"/>
      <c r="M624" s="7"/>
      <c r="N624" s="7"/>
      <c r="O624" s="7"/>
      <c r="P624" s="121"/>
      <c r="Q624" s="124"/>
      <c r="R624" s="372"/>
      <c r="S624" s="449"/>
      <c r="T624" s="450"/>
      <c r="U624" s="7"/>
      <c r="V624" s="112"/>
    </row>
    <row r="625" spans="1:22" ht="18" customHeight="1">
      <c r="A625" s="868" t="s">
        <v>85</v>
      </c>
      <c r="B625" s="868"/>
      <c r="C625" s="869"/>
      <c r="D625" s="868" t="s">
        <v>86</v>
      </c>
      <c r="E625" s="868"/>
      <c r="F625" s="868"/>
      <c r="G625" s="868" t="s">
        <v>87</v>
      </c>
      <c r="H625" s="868"/>
      <c r="I625" s="868" t="s">
        <v>88</v>
      </c>
      <c r="J625" s="868"/>
      <c r="K625" s="868" t="s">
        <v>502</v>
      </c>
      <c r="L625" s="868"/>
      <c r="M625" s="868" t="s">
        <v>503</v>
      </c>
      <c r="N625" s="868"/>
      <c r="O625" s="868" t="s">
        <v>504</v>
      </c>
      <c r="P625" s="868"/>
      <c r="Q625" s="868" t="s">
        <v>505</v>
      </c>
      <c r="R625" s="868"/>
      <c r="S625" s="868" t="s">
        <v>93</v>
      </c>
      <c r="T625" s="868"/>
      <c r="U625" s="868"/>
      <c r="V625" s="868"/>
    </row>
    <row r="626" spans="1:22" ht="18" customHeight="1">
      <c r="A626" s="868"/>
      <c r="B626" s="868"/>
      <c r="C626" s="869"/>
      <c r="D626" s="868"/>
      <c r="E626" s="868"/>
      <c r="F626" s="868"/>
      <c r="G626" s="868"/>
      <c r="H626" s="868"/>
      <c r="I626" s="868"/>
      <c r="J626" s="868"/>
      <c r="K626" s="868"/>
      <c r="L626" s="868"/>
      <c r="M626" s="868"/>
      <c r="N626" s="868"/>
      <c r="O626" s="868"/>
      <c r="P626" s="868"/>
      <c r="Q626" s="868"/>
      <c r="R626" s="868"/>
      <c r="S626" s="868"/>
      <c r="T626" s="868"/>
      <c r="U626" s="868"/>
      <c r="V626" s="868"/>
    </row>
    <row r="627" spans="1:22" ht="18" customHeight="1">
      <c r="A627" s="868"/>
      <c r="B627" s="868"/>
      <c r="C627" s="869"/>
      <c r="D627" s="868"/>
      <c r="E627" s="868"/>
      <c r="F627" s="868"/>
      <c r="G627" s="868"/>
      <c r="H627" s="868"/>
      <c r="I627" s="868"/>
      <c r="J627" s="868"/>
      <c r="K627" s="868"/>
      <c r="L627" s="868"/>
      <c r="M627" s="868"/>
      <c r="N627" s="868"/>
      <c r="O627" s="868"/>
      <c r="P627" s="868"/>
      <c r="Q627" s="868"/>
      <c r="R627" s="868"/>
      <c r="S627" s="868"/>
      <c r="T627" s="868"/>
      <c r="U627" s="868"/>
      <c r="V627" s="868"/>
    </row>
    <row r="628" spans="1:22" ht="18" customHeight="1">
      <c r="A628" s="868"/>
      <c r="B628" s="868"/>
      <c r="C628" s="869"/>
      <c r="D628" s="868"/>
      <c r="E628" s="868"/>
      <c r="F628" s="868"/>
      <c r="G628" s="868"/>
      <c r="H628" s="868"/>
      <c r="I628" s="868"/>
      <c r="J628" s="868"/>
      <c r="K628" s="868"/>
      <c r="L628" s="868"/>
      <c r="M628" s="868"/>
      <c r="N628" s="868"/>
      <c r="O628" s="868"/>
      <c r="P628" s="868"/>
      <c r="Q628" s="868"/>
      <c r="R628" s="868"/>
      <c r="S628" s="868"/>
      <c r="T628" s="868"/>
      <c r="U628" s="868"/>
      <c r="V628" s="868"/>
    </row>
    <row r="629" spans="1:22" ht="18" customHeight="1">
      <c r="A629" s="765" t="str">
        <f>B204</f>
        <v>T1</v>
      </c>
      <c r="B629" s="765" t="str">
        <f>D204</f>
        <v>Core1</v>
      </c>
      <c r="C629" s="765"/>
      <c r="D629" s="870">
        <f>H207</f>
        <v>1500</v>
      </c>
      <c r="E629" s="870"/>
      <c r="F629" s="871">
        <f>O207</f>
        <v>1</v>
      </c>
      <c r="G629" s="870">
        <f>'CT-VT Burdens'!S21</f>
        <v>120</v>
      </c>
      <c r="H629" s="874">
        <f>'CT-VT Burdens'!S10</f>
        <v>6</v>
      </c>
      <c r="I629" s="874" t="str">
        <f>H208</f>
        <v>PX</v>
      </c>
      <c r="J629" s="874"/>
      <c r="K629" s="869">
        <f>H209</f>
        <v>20</v>
      </c>
      <c r="L629" s="869"/>
      <c r="M629" s="869">
        <f>H210</f>
        <v>3000</v>
      </c>
      <c r="N629" s="869"/>
      <c r="O629" s="870">
        <f>H211</f>
        <v>10</v>
      </c>
      <c r="P629" s="870"/>
      <c r="Q629" s="879" t="str">
        <f>T204</f>
        <v>RED670</v>
      </c>
      <c r="R629" s="879"/>
      <c r="S629" s="878" t="str">
        <f>H321</f>
        <v>Suitably Dimensioned</v>
      </c>
      <c r="T629" s="878"/>
      <c r="U629" s="878"/>
      <c r="V629" s="878"/>
    </row>
    <row r="630" spans="1:22" ht="18" customHeight="1">
      <c r="A630" s="765"/>
      <c r="B630" s="765"/>
      <c r="C630" s="765"/>
      <c r="D630" s="870">
        <f>J207</f>
        <v>1800</v>
      </c>
      <c r="E630" s="870"/>
      <c r="F630" s="872"/>
      <c r="G630" s="870"/>
      <c r="H630" s="870"/>
      <c r="I630" s="874"/>
      <c r="J630" s="874"/>
      <c r="K630" s="875">
        <f>J368</f>
        <v>5.6</v>
      </c>
      <c r="L630" s="869"/>
      <c r="M630" s="875">
        <f>J369</f>
        <v>1250</v>
      </c>
      <c r="N630" s="869"/>
      <c r="O630" s="876">
        <f>J370</f>
        <v>20</v>
      </c>
      <c r="P630" s="870"/>
      <c r="Q630" s="879"/>
      <c r="R630" s="879"/>
      <c r="S630" s="877" t="str">
        <f>H482</f>
        <v>Suitably Dimensioned</v>
      </c>
      <c r="T630" s="878"/>
      <c r="U630" s="878"/>
      <c r="V630" s="878"/>
    </row>
    <row r="631" spans="1:22" ht="18" customHeight="1">
      <c r="A631" s="765"/>
      <c r="B631" s="765"/>
      <c r="C631" s="765"/>
      <c r="D631" s="870" t="str">
        <f>L207</f>
        <v>-</v>
      </c>
      <c r="E631" s="870"/>
      <c r="F631" s="873"/>
      <c r="G631" s="870"/>
      <c r="H631" s="870"/>
      <c r="I631" s="874"/>
      <c r="J631" s="874"/>
      <c r="K631" s="869" t="str">
        <f>L491</f>
        <v>-</v>
      </c>
      <c r="L631" s="869"/>
      <c r="M631" s="869" t="str">
        <f>L492</f>
        <v>-</v>
      </c>
      <c r="N631" s="869"/>
      <c r="O631" s="870" t="str">
        <f>L493</f>
        <v>-</v>
      </c>
      <c r="P631" s="870"/>
      <c r="Q631" s="879"/>
      <c r="R631" s="879"/>
      <c r="S631" s="878" t="s">
        <v>6</v>
      </c>
      <c r="T631" s="878"/>
      <c r="U631" s="878"/>
      <c r="V631" s="878"/>
    </row>
    <row r="632" spans="1:22" ht="18" customHeight="1">
      <c r="A632" s="9"/>
      <c r="V632" s="10"/>
    </row>
    <row r="633" spans="1:22" ht="18" customHeight="1">
      <c r="A633" s="9"/>
      <c r="V633" s="10"/>
    </row>
    <row r="634" spans="1:22" ht="18" customHeight="1">
      <c r="A634" s="9"/>
      <c r="V634" s="10"/>
    </row>
    <row r="635" spans="1:22" ht="18" customHeight="1">
      <c r="A635" s="9"/>
      <c r="V635" s="10"/>
    </row>
    <row r="636" spans="1:22" ht="18" customHeight="1">
      <c r="A636" s="9"/>
      <c r="V636" s="10"/>
    </row>
    <row r="637" spans="1:22" ht="18" customHeight="1">
      <c r="A637" s="9"/>
      <c r="V637" s="10"/>
    </row>
    <row r="638" spans="1:22" ht="18" customHeight="1">
      <c r="A638" s="9"/>
      <c r="V638" s="10"/>
    </row>
    <row r="639" spans="1:22" ht="18" customHeight="1">
      <c r="A639" s="9"/>
      <c r="V639" s="10"/>
    </row>
    <row r="640" spans="1:22" ht="18" customHeight="1">
      <c r="A640" s="9"/>
      <c r="V640" s="10"/>
    </row>
    <row r="641" spans="1:22" ht="18" customHeight="1">
      <c r="A641" s="9"/>
      <c r="V641" s="10"/>
    </row>
    <row r="642" spans="1:22" ht="18" customHeight="1">
      <c r="A642" s="9"/>
      <c r="V642" s="10"/>
    </row>
    <row r="643" spans="1:22" ht="18" customHeight="1">
      <c r="A643" s="9"/>
      <c r="V643" s="10"/>
    </row>
    <row r="644" spans="1:22" ht="18" customHeight="1">
      <c r="A644" s="9"/>
      <c r="V644" s="10"/>
    </row>
    <row r="645" spans="1:22" ht="18" customHeight="1">
      <c r="A645" s="9"/>
      <c r="V645" s="10"/>
    </row>
    <row r="646" spans="1:22" ht="18" customHeight="1">
      <c r="A646" s="9"/>
      <c r="V646" s="10"/>
    </row>
    <row r="647" spans="1:22" ht="18" customHeight="1">
      <c r="A647" s="9"/>
      <c r="V647" s="10"/>
    </row>
    <row r="648" spans="1:22" ht="18" customHeight="1">
      <c r="A648" s="9"/>
      <c r="V648" s="10"/>
    </row>
    <row r="649" spans="1:22" ht="18" customHeight="1">
      <c r="A649" s="9"/>
      <c r="V649" s="10"/>
    </row>
    <row r="650" spans="1:22" ht="18" customHeight="1">
      <c r="A650" s="9"/>
      <c r="V650" s="10"/>
    </row>
    <row r="651" spans="1:22" ht="18" customHeight="1">
      <c r="A651" s="9"/>
      <c r="V651" s="10"/>
    </row>
    <row r="652" spans="1:22" ht="18" customHeight="1">
      <c r="A652" s="9"/>
      <c r="V652" s="10"/>
    </row>
    <row r="653" spans="1:22" ht="18" customHeight="1">
      <c r="A653" s="9"/>
      <c r="V653" s="10"/>
    </row>
    <row r="654" spans="1:22" ht="18" customHeight="1">
      <c r="A654" s="9"/>
      <c r="V654" s="10"/>
    </row>
    <row r="655" spans="1:22" ht="18" customHeight="1">
      <c r="A655" s="345"/>
      <c r="B655" s="346"/>
      <c r="C655" s="346"/>
      <c r="D655" s="346"/>
      <c r="E655" s="346"/>
      <c r="F655" s="346"/>
      <c r="G655" s="346"/>
      <c r="H655" s="346"/>
      <c r="I655" s="346"/>
      <c r="J655" s="346"/>
      <c r="K655" s="346"/>
      <c r="L655" s="346"/>
      <c r="M655" s="346"/>
      <c r="N655" s="346"/>
      <c r="O655" s="346"/>
      <c r="P655" s="346"/>
      <c r="Q655" s="346"/>
      <c r="R655" s="346"/>
      <c r="S655" s="346"/>
      <c r="T655" s="346"/>
      <c r="U655" s="346"/>
      <c r="V655" s="347"/>
    </row>
    <row r="656" spans="1:22" ht="18" customHeight="1">
      <c r="A656" s="9"/>
      <c r="V656" s="10"/>
    </row>
    <row r="657" spans="1:22" ht="18" customHeight="1">
      <c r="A657" s="9"/>
      <c r="V657" s="10"/>
    </row>
    <row r="658" spans="1:22" ht="18" customHeight="1">
      <c r="A658" s="9"/>
      <c r="V658" s="10"/>
    </row>
    <row r="659" spans="1:22" ht="18" customHeight="1">
      <c r="A659" s="9"/>
      <c r="V659" s="10"/>
    </row>
    <row r="660" spans="1:22" ht="18" customHeight="1">
      <c r="A660" s="9"/>
      <c r="V660" s="10"/>
    </row>
    <row r="661" spans="1:22" ht="18" customHeight="1">
      <c r="A661" s="9"/>
      <c r="V661" s="10"/>
    </row>
    <row r="662" spans="1:22" ht="18" customHeight="1">
      <c r="A662" s="382"/>
      <c r="B662" s="20"/>
      <c r="C662" s="20"/>
      <c r="D662" s="20"/>
      <c r="E662" s="20"/>
      <c r="F662" s="20"/>
      <c r="G662" s="20"/>
      <c r="H662" s="20"/>
      <c r="I662" s="20"/>
      <c r="J662" s="20"/>
      <c r="K662" s="20"/>
      <c r="L662" s="20"/>
      <c r="M662" s="20"/>
      <c r="N662" s="20"/>
      <c r="O662" s="20"/>
      <c r="P662" s="20"/>
      <c r="Q662" s="21"/>
      <c r="R662" s="22"/>
      <c r="S662" s="23"/>
      <c r="T662" s="20"/>
      <c r="U662" s="20"/>
      <c r="V662" s="134"/>
    </row>
  </sheetData>
  <mergeCells count="894">
    <mergeCell ref="L190:X191"/>
    <mergeCell ref="S625:V628"/>
    <mergeCell ref="A629:A631"/>
    <mergeCell ref="B629:C631"/>
    <mergeCell ref="D629:E629"/>
    <mergeCell ref="F629:F631"/>
    <mergeCell ref="G629:G631"/>
    <mergeCell ref="H629:H631"/>
    <mergeCell ref="D630:E630"/>
    <mergeCell ref="K630:L630"/>
    <mergeCell ref="M630:N630"/>
    <mergeCell ref="O630:P630"/>
    <mergeCell ref="S630:V630"/>
    <mergeCell ref="D631:E631"/>
    <mergeCell ref="K631:L631"/>
    <mergeCell ref="M631:N631"/>
    <mergeCell ref="O631:P631"/>
    <mergeCell ref="S631:V631"/>
    <mergeCell ref="I629:J631"/>
    <mergeCell ref="K629:L629"/>
    <mergeCell ref="M629:N629"/>
    <mergeCell ref="O629:P629"/>
    <mergeCell ref="Q629:R631"/>
    <mergeCell ref="S629:V629"/>
    <mergeCell ref="Q611:R611"/>
    <mergeCell ref="Q612:R612"/>
    <mergeCell ref="Q613:R613"/>
    <mergeCell ref="E615:F615"/>
    <mergeCell ref="H615:I615"/>
    <mergeCell ref="A625:C628"/>
    <mergeCell ref="D625:F628"/>
    <mergeCell ref="G625:H628"/>
    <mergeCell ref="I625:J628"/>
    <mergeCell ref="K625:L628"/>
    <mergeCell ref="M625:N628"/>
    <mergeCell ref="O625:P628"/>
    <mergeCell ref="Q625:R628"/>
    <mergeCell ref="D606:E606"/>
    <mergeCell ref="M608:N608"/>
    <mergeCell ref="Q608:R608"/>
    <mergeCell ref="K603:K604"/>
    <mergeCell ref="L603:L604"/>
    <mergeCell ref="M603:M604"/>
    <mergeCell ref="N603:N604"/>
    <mergeCell ref="O603:O604"/>
    <mergeCell ref="P603:P604"/>
    <mergeCell ref="A603:C604"/>
    <mergeCell ref="D603:E604"/>
    <mergeCell ref="F603:F604"/>
    <mergeCell ref="G603:H603"/>
    <mergeCell ref="I603:I604"/>
    <mergeCell ref="J603:J604"/>
    <mergeCell ref="P596:P597"/>
    <mergeCell ref="Q596:S596"/>
    <mergeCell ref="T596:T597"/>
    <mergeCell ref="G597:H597"/>
    <mergeCell ref="D599:E599"/>
    <mergeCell ref="L602:M602"/>
    <mergeCell ref="J596:J597"/>
    <mergeCell ref="K596:K597"/>
    <mergeCell ref="L596:L597"/>
    <mergeCell ref="M596:M597"/>
    <mergeCell ref="N596:N597"/>
    <mergeCell ref="O596:O597"/>
    <mergeCell ref="Q603:S603"/>
    <mergeCell ref="T603:T604"/>
    <mergeCell ref="G604:H604"/>
    <mergeCell ref="Q589:S589"/>
    <mergeCell ref="T589:T590"/>
    <mergeCell ref="G590:H590"/>
    <mergeCell ref="D592:E592"/>
    <mergeCell ref="L595:M595"/>
    <mergeCell ref="A596:C597"/>
    <mergeCell ref="D596:E597"/>
    <mergeCell ref="F596:F597"/>
    <mergeCell ref="G596:H596"/>
    <mergeCell ref="I596:I597"/>
    <mergeCell ref="K589:K590"/>
    <mergeCell ref="L589:L590"/>
    <mergeCell ref="M589:M590"/>
    <mergeCell ref="N589:N590"/>
    <mergeCell ref="O589:O590"/>
    <mergeCell ref="P589:P590"/>
    <mergeCell ref="A589:C590"/>
    <mergeCell ref="D589:E590"/>
    <mergeCell ref="F589:F590"/>
    <mergeCell ref="G589:H589"/>
    <mergeCell ref="I589:I590"/>
    <mergeCell ref="J589:J590"/>
    <mergeCell ref="R567:S567"/>
    <mergeCell ref="R568:S568"/>
    <mergeCell ref="R569:S569"/>
    <mergeCell ref="R570:S570"/>
    <mergeCell ref="R571:S571"/>
    <mergeCell ref="L588:M588"/>
    <mergeCell ref="T559:T560"/>
    <mergeCell ref="G560:H560"/>
    <mergeCell ref="R563:S563"/>
    <mergeCell ref="R564:S564"/>
    <mergeCell ref="R565:S565"/>
    <mergeCell ref="R566:S566"/>
    <mergeCell ref="L559:L560"/>
    <mergeCell ref="M559:M560"/>
    <mergeCell ref="N559:N560"/>
    <mergeCell ref="O559:O560"/>
    <mergeCell ref="P559:P560"/>
    <mergeCell ref="Q559:S559"/>
    <mergeCell ref="A559:C560"/>
    <mergeCell ref="D559:E560"/>
    <mergeCell ref="F559:F560"/>
    <mergeCell ref="G559:H559"/>
    <mergeCell ref="I559:I560"/>
    <mergeCell ref="J559:J560"/>
    <mergeCell ref="K559:K560"/>
    <mergeCell ref="K556:K557"/>
    <mergeCell ref="L556:L557"/>
    <mergeCell ref="A556:C557"/>
    <mergeCell ref="D556:E557"/>
    <mergeCell ref="F556:F557"/>
    <mergeCell ref="G556:H556"/>
    <mergeCell ref="I556:I557"/>
    <mergeCell ref="J556:J557"/>
    <mergeCell ref="D550:E550"/>
    <mergeCell ref="A553:V554"/>
    <mergeCell ref="I547:J547"/>
    <mergeCell ref="K547:K548"/>
    <mergeCell ref="L547:L548"/>
    <mergeCell ref="M547:M548"/>
    <mergeCell ref="N547:N548"/>
    <mergeCell ref="O547:O548"/>
    <mergeCell ref="Q556:S556"/>
    <mergeCell ref="T556:T557"/>
    <mergeCell ref="G557:H557"/>
    <mergeCell ref="M556:M557"/>
    <mergeCell ref="N556:N557"/>
    <mergeCell ref="O556:O557"/>
    <mergeCell ref="P556:P557"/>
    <mergeCell ref="P541:P542"/>
    <mergeCell ref="Q541:S541"/>
    <mergeCell ref="T541:T542"/>
    <mergeCell ref="I542:J542"/>
    <mergeCell ref="D544:E544"/>
    <mergeCell ref="A547:C548"/>
    <mergeCell ref="D547:D548"/>
    <mergeCell ref="E547:E548"/>
    <mergeCell ref="F547:G548"/>
    <mergeCell ref="H547:H548"/>
    <mergeCell ref="I541:J541"/>
    <mergeCell ref="K541:K542"/>
    <mergeCell ref="L541:L542"/>
    <mergeCell ref="M541:M542"/>
    <mergeCell ref="N541:N542"/>
    <mergeCell ref="O541:O542"/>
    <mergeCell ref="P547:P548"/>
    <mergeCell ref="Q547:S547"/>
    <mergeCell ref="T547:T548"/>
    <mergeCell ref="I548:J548"/>
    <mergeCell ref="D538:E538"/>
    <mergeCell ref="A541:C542"/>
    <mergeCell ref="D541:D542"/>
    <mergeCell ref="E541:E542"/>
    <mergeCell ref="F541:G542"/>
    <mergeCell ref="H541:H542"/>
    <mergeCell ref="M535:M536"/>
    <mergeCell ref="N535:N536"/>
    <mergeCell ref="O535:O536"/>
    <mergeCell ref="P535:P536"/>
    <mergeCell ref="Q535:S535"/>
    <mergeCell ref="T535:T536"/>
    <mergeCell ref="A535:C536"/>
    <mergeCell ref="F535:G536"/>
    <mergeCell ref="H535:H536"/>
    <mergeCell ref="I535:J535"/>
    <mergeCell ref="K535:K536"/>
    <mergeCell ref="L535:L536"/>
    <mergeCell ref="I536:J536"/>
    <mergeCell ref="R522:S522"/>
    <mergeCell ref="R523:S523"/>
    <mergeCell ref="R524:S524"/>
    <mergeCell ref="R525:S525"/>
    <mergeCell ref="R526:S526"/>
    <mergeCell ref="R527:S527"/>
    <mergeCell ref="Q515:S515"/>
    <mergeCell ref="T515:T516"/>
    <mergeCell ref="I516:J516"/>
    <mergeCell ref="R519:S519"/>
    <mergeCell ref="R520:S520"/>
    <mergeCell ref="R521:S521"/>
    <mergeCell ref="K515:K516"/>
    <mergeCell ref="L515:L516"/>
    <mergeCell ref="M515:M516"/>
    <mergeCell ref="N515:N516"/>
    <mergeCell ref="O515:O516"/>
    <mergeCell ref="P515:P516"/>
    <mergeCell ref="A515:C516"/>
    <mergeCell ref="D515:D516"/>
    <mergeCell ref="E515:E516"/>
    <mergeCell ref="F515:G516"/>
    <mergeCell ref="H515:H516"/>
    <mergeCell ref="I515:J515"/>
    <mergeCell ref="N512:N513"/>
    <mergeCell ref="O512:O513"/>
    <mergeCell ref="P512:P513"/>
    <mergeCell ref="Q512:S512"/>
    <mergeCell ref="T512:T513"/>
    <mergeCell ref="I513:J513"/>
    <mergeCell ref="J506:K506"/>
    <mergeCell ref="P506:Q506"/>
    <mergeCell ref="A509:V510"/>
    <mergeCell ref="A512:C513"/>
    <mergeCell ref="F512:G513"/>
    <mergeCell ref="H512:H513"/>
    <mergeCell ref="I512:J512"/>
    <mergeCell ref="K512:K513"/>
    <mergeCell ref="L512:L513"/>
    <mergeCell ref="M512:M513"/>
    <mergeCell ref="AB251:AC251"/>
    <mergeCell ref="L493:M493"/>
    <mergeCell ref="J502:K502"/>
    <mergeCell ref="J503:K503"/>
    <mergeCell ref="J504:K504"/>
    <mergeCell ref="J505:K505"/>
    <mergeCell ref="H489:I489"/>
    <mergeCell ref="J489:K489"/>
    <mergeCell ref="L489:M489"/>
    <mergeCell ref="L490:M490"/>
    <mergeCell ref="L491:M491"/>
    <mergeCell ref="L492:M492"/>
    <mergeCell ref="T486:U486"/>
    <mergeCell ref="Q454:S454"/>
    <mergeCell ref="T454:T455"/>
    <mergeCell ref="G455:H455"/>
    <mergeCell ref="N454:N455"/>
    <mergeCell ref="O454:O455"/>
    <mergeCell ref="P454:P455"/>
    <mergeCell ref="R437:S437"/>
    <mergeCell ref="R438:S438"/>
    <mergeCell ref="R439:S439"/>
    <mergeCell ref="R440:S440"/>
    <mergeCell ref="R441:S441"/>
    <mergeCell ref="B487:C487"/>
    <mergeCell ref="T487:U487"/>
    <mergeCell ref="H488:I488"/>
    <mergeCell ref="J488:K488"/>
    <mergeCell ref="L488:M488"/>
    <mergeCell ref="T488:U488"/>
    <mergeCell ref="Q477:R477"/>
    <mergeCell ref="Q478:R478"/>
    <mergeCell ref="Q479:R479"/>
    <mergeCell ref="E481:F481"/>
    <mergeCell ref="H481:I481"/>
    <mergeCell ref="B486:C486"/>
    <mergeCell ref="D486:E487"/>
    <mergeCell ref="F486:G486"/>
    <mergeCell ref="H486:M486"/>
    <mergeCell ref="D472:E472"/>
    <mergeCell ref="M474:N474"/>
    <mergeCell ref="Q474:R474"/>
    <mergeCell ref="K469:K470"/>
    <mergeCell ref="L469:L470"/>
    <mergeCell ref="M469:M470"/>
    <mergeCell ref="N469:N470"/>
    <mergeCell ref="O469:O470"/>
    <mergeCell ref="P469:P470"/>
    <mergeCell ref="A469:C470"/>
    <mergeCell ref="D469:E470"/>
    <mergeCell ref="F469:F470"/>
    <mergeCell ref="G469:H469"/>
    <mergeCell ref="I469:I470"/>
    <mergeCell ref="J469:J470"/>
    <mergeCell ref="P462:P463"/>
    <mergeCell ref="Q462:S462"/>
    <mergeCell ref="T462:T463"/>
    <mergeCell ref="G463:H463"/>
    <mergeCell ref="D465:E465"/>
    <mergeCell ref="L468:M468"/>
    <mergeCell ref="J462:J463"/>
    <mergeCell ref="K462:K463"/>
    <mergeCell ref="L462:L463"/>
    <mergeCell ref="M462:M463"/>
    <mergeCell ref="N462:N463"/>
    <mergeCell ref="O462:O463"/>
    <mergeCell ref="Q469:S469"/>
    <mergeCell ref="T469:T470"/>
    <mergeCell ref="G470:H470"/>
    <mergeCell ref="D457:E457"/>
    <mergeCell ref="L461:M461"/>
    <mergeCell ref="A462:C463"/>
    <mergeCell ref="D462:E463"/>
    <mergeCell ref="F462:F463"/>
    <mergeCell ref="G462:H462"/>
    <mergeCell ref="I462:I463"/>
    <mergeCell ref="K454:K455"/>
    <mergeCell ref="L454:L455"/>
    <mergeCell ref="M454:M455"/>
    <mergeCell ref="A454:C455"/>
    <mergeCell ref="D454:E455"/>
    <mergeCell ref="F454:F455"/>
    <mergeCell ref="G454:H454"/>
    <mergeCell ref="I454:I455"/>
    <mergeCell ref="J454:J455"/>
    <mergeCell ref="L453:M453"/>
    <mergeCell ref="T429:T430"/>
    <mergeCell ref="G430:H430"/>
    <mergeCell ref="R433:S433"/>
    <mergeCell ref="R434:S434"/>
    <mergeCell ref="R435:S435"/>
    <mergeCell ref="R436:S436"/>
    <mergeCell ref="L429:L430"/>
    <mergeCell ref="M429:M430"/>
    <mergeCell ref="N429:N430"/>
    <mergeCell ref="O429:O430"/>
    <mergeCell ref="P429:P430"/>
    <mergeCell ref="Q429:S429"/>
    <mergeCell ref="A429:C430"/>
    <mergeCell ref="D429:E430"/>
    <mergeCell ref="F429:F430"/>
    <mergeCell ref="G429:H429"/>
    <mergeCell ref="I429:I430"/>
    <mergeCell ref="J429:J430"/>
    <mergeCell ref="K429:K430"/>
    <mergeCell ref="K426:K427"/>
    <mergeCell ref="L426:L427"/>
    <mergeCell ref="A426:C427"/>
    <mergeCell ref="D426:E427"/>
    <mergeCell ref="F426:F427"/>
    <mergeCell ref="G426:H426"/>
    <mergeCell ref="I426:I427"/>
    <mergeCell ref="J426:J427"/>
    <mergeCell ref="D419:E419"/>
    <mergeCell ref="A423:V424"/>
    <mergeCell ref="I416:J416"/>
    <mergeCell ref="K416:K417"/>
    <mergeCell ref="L416:L417"/>
    <mergeCell ref="M416:M417"/>
    <mergeCell ref="N416:N417"/>
    <mergeCell ref="O416:O417"/>
    <mergeCell ref="Q426:S426"/>
    <mergeCell ref="T426:T427"/>
    <mergeCell ref="G427:H427"/>
    <mergeCell ref="M426:M427"/>
    <mergeCell ref="N426:N427"/>
    <mergeCell ref="O426:O427"/>
    <mergeCell ref="P426:P427"/>
    <mergeCell ref="P410:P411"/>
    <mergeCell ref="Q410:S410"/>
    <mergeCell ref="T410:T411"/>
    <mergeCell ref="I411:J411"/>
    <mergeCell ref="D413:E413"/>
    <mergeCell ref="A416:C417"/>
    <mergeCell ref="D416:D417"/>
    <mergeCell ref="E416:E417"/>
    <mergeCell ref="F416:G417"/>
    <mergeCell ref="H416:H417"/>
    <mergeCell ref="I410:J410"/>
    <mergeCell ref="K410:K411"/>
    <mergeCell ref="L410:L411"/>
    <mergeCell ref="M410:M411"/>
    <mergeCell ref="N410:N411"/>
    <mergeCell ref="O410:O411"/>
    <mergeCell ref="P416:P417"/>
    <mergeCell ref="Q416:S416"/>
    <mergeCell ref="T416:T417"/>
    <mergeCell ref="I417:J417"/>
    <mergeCell ref="D407:E407"/>
    <mergeCell ref="A410:C411"/>
    <mergeCell ref="D410:D411"/>
    <mergeCell ref="E410:E411"/>
    <mergeCell ref="F410:G411"/>
    <mergeCell ref="H410:H411"/>
    <mergeCell ref="M404:M405"/>
    <mergeCell ref="N404:N405"/>
    <mergeCell ref="O404:O405"/>
    <mergeCell ref="P404:P405"/>
    <mergeCell ref="Q404:S404"/>
    <mergeCell ref="T404:T405"/>
    <mergeCell ref="A404:C405"/>
    <mergeCell ref="F404:G405"/>
    <mergeCell ref="H404:H405"/>
    <mergeCell ref="I404:J404"/>
    <mergeCell ref="K404:K405"/>
    <mergeCell ref="L404:L405"/>
    <mergeCell ref="I405:J405"/>
    <mergeCell ref="R395:S395"/>
    <mergeCell ref="R396:S396"/>
    <mergeCell ref="R397:S397"/>
    <mergeCell ref="R398:S398"/>
    <mergeCell ref="R399:S399"/>
    <mergeCell ref="R400:S400"/>
    <mergeCell ref="Q388:S388"/>
    <mergeCell ref="T388:T389"/>
    <mergeCell ref="I389:J389"/>
    <mergeCell ref="R392:S392"/>
    <mergeCell ref="R393:S393"/>
    <mergeCell ref="R394:S394"/>
    <mergeCell ref="K388:K389"/>
    <mergeCell ref="L388:L389"/>
    <mergeCell ref="M388:M389"/>
    <mergeCell ref="N388:N389"/>
    <mergeCell ref="O388:O389"/>
    <mergeCell ref="P388:P389"/>
    <mergeCell ref="A388:C389"/>
    <mergeCell ref="D388:D389"/>
    <mergeCell ref="E388:E389"/>
    <mergeCell ref="F388:G389"/>
    <mergeCell ref="H388:H389"/>
    <mergeCell ref="I388:J388"/>
    <mergeCell ref="M385:M386"/>
    <mergeCell ref="N385:N386"/>
    <mergeCell ref="O385:O386"/>
    <mergeCell ref="P385:P386"/>
    <mergeCell ref="Q385:S385"/>
    <mergeCell ref="T385:T386"/>
    <mergeCell ref="A385:C386"/>
    <mergeCell ref="F385:G386"/>
    <mergeCell ref="H385:H386"/>
    <mergeCell ref="I385:J385"/>
    <mergeCell ref="K385:K386"/>
    <mergeCell ref="L385:L386"/>
    <mergeCell ref="I386:J386"/>
    <mergeCell ref="J375:K375"/>
    <mergeCell ref="J376:K376"/>
    <mergeCell ref="J377:K377"/>
    <mergeCell ref="J378:K378"/>
    <mergeCell ref="P378:Q378"/>
    <mergeCell ref="A382:V383"/>
    <mergeCell ref="J367:K367"/>
    <mergeCell ref="J368:K368"/>
    <mergeCell ref="J369:K369"/>
    <mergeCell ref="J370:K370"/>
    <mergeCell ref="J374:K374"/>
    <mergeCell ref="H365:I365"/>
    <mergeCell ref="J365:K365"/>
    <mergeCell ref="L365:M365"/>
    <mergeCell ref="T365:U365"/>
    <mergeCell ref="H366:I366"/>
    <mergeCell ref="J366:K366"/>
    <mergeCell ref="L366:M366"/>
    <mergeCell ref="B363:C363"/>
    <mergeCell ref="F363:G363"/>
    <mergeCell ref="H363:M363"/>
    <mergeCell ref="T363:U363"/>
    <mergeCell ref="B364:C364"/>
    <mergeCell ref="T364:U364"/>
    <mergeCell ref="D345:E345"/>
    <mergeCell ref="Q349:R349"/>
    <mergeCell ref="Q350:R350"/>
    <mergeCell ref="Q351:R351"/>
    <mergeCell ref="E353:F353"/>
    <mergeCell ref="H353:I353"/>
    <mergeCell ref="N342:N343"/>
    <mergeCell ref="O342:O343"/>
    <mergeCell ref="P342:P343"/>
    <mergeCell ref="Q342:S342"/>
    <mergeCell ref="T342:T343"/>
    <mergeCell ref="I343:J343"/>
    <mergeCell ref="R341:S341"/>
    <mergeCell ref="A342:C343"/>
    <mergeCell ref="D342:D343"/>
    <mergeCell ref="E342:E343"/>
    <mergeCell ref="F342:G343"/>
    <mergeCell ref="H342:H343"/>
    <mergeCell ref="I342:J342"/>
    <mergeCell ref="K342:K343"/>
    <mergeCell ref="L342:L343"/>
    <mergeCell ref="M342:M343"/>
    <mergeCell ref="R335:S335"/>
    <mergeCell ref="R336:S336"/>
    <mergeCell ref="R337:S337"/>
    <mergeCell ref="AK338:AL338"/>
    <mergeCell ref="R339:S339"/>
    <mergeCell ref="R340:S340"/>
    <mergeCell ref="Q329:S329"/>
    <mergeCell ref="T329:T330"/>
    <mergeCell ref="I330:J330"/>
    <mergeCell ref="R332:S332"/>
    <mergeCell ref="R333:S333"/>
    <mergeCell ref="R334:S334"/>
    <mergeCell ref="K329:K330"/>
    <mergeCell ref="L329:L330"/>
    <mergeCell ref="M329:M330"/>
    <mergeCell ref="N329:N330"/>
    <mergeCell ref="O329:O330"/>
    <mergeCell ref="P329:P330"/>
    <mergeCell ref="A329:C330"/>
    <mergeCell ref="D329:D330"/>
    <mergeCell ref="E329:E330"/>
    <mergeCell ref="F329:G330"/>
    <mergeCell ref="H329:H330"/>
    <mergeCell ref="I329:J329"/>
    <mergeCell ref="Q316:R316"/>
    <mergeCell ref="Q317:R317"/>
    <mergeCell ref="Q318:R318"/>
    <mergeCell ref="E320:F320"/>
    <mergeCell ref="H320:I320"/>
    <mergeCell ref="A326:V327"/>
    <mergeCell ref="D311:E311"/>
    <mergeCell ref="M313:N313"/>
    <mergeCell ref="Q313:R313"/>
    <mergeCell ref="K308:K309"/>
    <mergeCell ref="L308:L309"/>
    <mergeCell ref="M308:M309"/>
    <mergeCell ref="N308:N309"/>
    <mergeCell ref="O308:O309"/>
    <mergeCell ref="P308:P309"/>
    <mergeCell ref="A308:C309"/>
    <mergeCell ref="D308:E309"/>
    <mergeCell ref="F308:F309"/>
    <mergeCell ref="G308:H308"/>
    <mergeCell ref="I308:I309"/>
    <mergeCell ref="J308:J309"/>
    <mergeCell ref="P301:P302"/>
    <mergeCell ref="Q301:S301"/>
    <mergeCell ref="T301:T302"/>
    <mergeCell ref="G302:H302"/>
    <mergeCell ref="D304:E304"/>
    <mergeCell ref="L307:M307"/>
    <mergeCell ref="J301:J302"/>
    <mergeCell ref="K301:K302"/>
    <mergeCell ref="L301:L302"/>
    <mergeCell ref="M301:M302"/>
    <mergeCell ref="N301:N302"/>
    <mergeCell ref="O301:O302"/>
    <mergeCell ref="Q308:S308"/>
    <mergeCell ref="T308:T309"/>
    <mergeCell ref="G309:H309"/>
    <mergeCell ref="Q294:S294"/>
    <mergeCell ref="T294:T295"/>
    <mergeCell ref="G295:H295"/>
    <mergeCell ref="D297:E297"/>
    <mergeCell ref="L300:M300"/>
    <mergeCell ref="A301:C302"/>
    <mergeCell ref="D301:E302"/>
    <mergeCell ref="F301:F302"/>
    <mergeCell ref="G301:H301"/>
    <mergeCell ref="I301:I302"/>
    <mergeCell ref="K294:K295"/>
    <mergeCell ref="L294:L295"/>
    <mergeCell ref="M294:M295"/>
    <mergeCell ref="N294:N295"/>
    <mergeCell ref="O294:O295"/>
    <mergeCell ref="P294:P295"/>
    <mergeCell ref="A294:C295"/>
    <mergeCell ref="D294:E295"/>
    <mergeCell ref="F294:F295"/>
    <mergeCell ref="G294:H294"/>
    <mergeCell ref="I294:I295"/>
    <mergeCell ref="J294:J295"/>
    <mergeCell ref="R277:S277"/>
    <mergeCell ref="R278:S278"/>
    <mergeCell ref="R279:S279"/>
    <mergeCell ref="R280:S280"/>
    <mergeCell ref="R281:S281"/>
    <mergeCell ref="L293:M293"/>
    <mergeCell ref="T269:T270"/>
    <mergeCell ref="G270:H270"/>
    <mergeCell ref="R273:S273"/>
    <mergeCell ref="R274:S274"/>
    <mergeCell ref="R275:S275"/>
    <mergeCell ref="R276:S276"/>
    <mergeCell ref="L269:L270"/>
    <mergeCell ref="M269:M270"/>
    <mergeCell ref="N269:N270"/>
    <mergeCell ref="O269:O270"/>
    <mergeCell ref="P269:P270"/>
    <mergeCell ref="Q269:S269"/>
    <mergeCell ref="A269:C270"/>
    <mergeCell ref="D269:E270"/>
    <mergeCell ref="F269:F270"/>
    <mergeCell ref="G269:H269"/>
    <mergeCell ref="I269:I270"/>
    <mergeCell ref="J269:J270"/>
    <mergeCell ref="K269:K270"/>
    <mergeCell ref="K266:K267"/>
    <mergeCell ref="L266:L267"/>
    <mergeCell ref="A266:C267"/>
    <mergeCell ref="D266:E267"/>
    <mergeCell ref="F266:F267"/>
    <mergeCell ref="G266:H266"/>
    <mergeCell ref="I266:I267"/>
    <mergeCell ref="J266:J267"/>
    <mergeCell ref="D260:E260"/>
    <mergeCell ref="A263:V264"/>
    <mergeCell ref="I257:J257"/>
    <mergeCell ref="K257:K258"/>
    <mergeCell ref="L257:L258"/>
    <mergeCell ref="M257:M258"/>
    <mergeCell ref="N257:N258"/>
    <mergeCell ref="O257:O258"/>
    <mergeCell ref="Q266:S266"/>
    <mergeCell ref="T266:T267"/>
    <mergeCell ref="G267:H267"/>
    <mergeCell ref="M266:M267"/>
    <mergeCell ref="N266:N267"/>
    <mergeCell ref="O266:O267"/>
    <mergeCell ref="P266:P267"/>
    <mergeCell ref="P251:P252"/>
    <mergeCell ref="Q251:S251"/>
    <mergeCell ref="T251:T252"/>
    <mergeCell ref="I252:J252"/>
    <mergeCell ref="D254:E254"/>
    <mergeCell ref="A257:C258"/>
    <mergeCell ref="D257:D258"/>
    <mergeCell ref="E257:E258"/>
    <mergeCell ref="F257:G258"/>
    <mergeCell ref="H257:H258"/>
    <mergeCell ref="I251:J251"/>
    <mergeCell ref="K251:K252"/>
    <mergeCell ref="L251:L252"/>
    <mergeCell ref="M251:M252"/>
    <mergeCell ref="N251:N252"/>
    <mergeCell ref="O251:O252"/>
    <mergeCell ref="P257:P258"/>
    <mergeCell ref="Q257:S257"/>
    <mergeCell ref="T257:T258"/>
    <mergeCell ref="I258:J258"/>
    <mergeCell ref="D248:E248"/>
    <mergeCell ref="A251:C252"/>
    <mergeCell ref="D251:D252"/>
    <mergeCell ref="E251:E252"/>
    <mergeCell ref="F251:G252"/>
    <mergeCell ref="H251:H252"/>
    <mergeCell ref="M245:M246"/>
    <mergeCell ref="N245:N246"/>
    <mergeCell ref="O245:O246"/>
    <mergeCell ref="P245:P246"/>
    <mergeCell ref="Q245:S245"/>
    <mergeCell ref="T245:T246"/>
    <mergeCell ref="A245:C246"/>
    <mergeCell ref="F245:G246"/>
    <mergeCell ref="H245:H246"/>
    <mergeCell ref="I245:J245"/>
    <mergeCell ref="K245:K246"/>
    <mergeCell ref="L245:L246"/>
    <mergeCell ref="I246:J246"/>
    <mergeCell ref="R237:S237"/>
    <mergeCell ref="R238:S238"/>
    <mergeCell ref="R239:S239"/>
    <mergeCell ref="R240:S240"/>
    <mergeCell ref="R241:S241"/>
    <mergeCell ref="Q229:S229"/>
    <mergeCell ref="T229:T230"/>
    <mergeCell ref="I230:J230"/>
    <mergeCell ref="R233:S233"/>
    <mergeCell ref="R234:S234"/>
    <mergeCell ref="R235:S235"/>
    <mergeCell ref="K229:K230"/>
    <mergeCell ref="L229:L230"/>
    <mergeCell ref="M229:M230"/>
    <mergeCell ref="N229:N230"/>
    <mergeCell ref="O229:O230"/>
    <mergeCell ref="P229:P230"/>
    <mergeCell ref="D229:D230"/>
    <mergeCell ref="E229:E230"/>
    <mergeCell ref="F229:G230"/>
    <mergeCell ref="H229:H230"/>
    <mergeCell ref="I229:J229"/>
    <mergeCell ref="M226:M227"/>
    <mergeCell ref="N226:N227"/>
    <mergeCell ref="O226:O227"/>
    <mergeCell ref="R236:S236"/>
    <mergeCell ref="D363:E363"/>
    <mergeCell ref="F204:G204"/>
    <mergeCell ref="H204:N204"/>
    <mergeCell ref="T204:U204"/>
    <mergeCell ref="T205:U205"/>
    <mergeCell ref="B204:C204"/>
    <mergeCell ref="AB13:AC13"/>
    <mergeCell ref="H211:I211"/>
    <mergeCell ref="J216:K216"/>
    <mergeCell ref="H205:I205"/>
    <mergeCell ref="J205:K205"/>
    <mergeCell ref="L205:M205"/>
    <mergeCell ref="H207:I207"/>
    <mergeCell ref="J207:K207"/>
    <mergeCell ref="L207:M207"/>
    <mergeCell ref="AB125:AC125"/>
    <mergeCell ref="J217:K217"/>
    <mergeCell ref="J218:K218"/>
    <mergeCell ref="J219:K219"/>
    <mergeCell ref="P219:Q219"/>
    <mergeCell ref="J220:K220"/>
    <mergeCell ref="H208:I208"/>
    <mergeCell ref="H209:I209"/>
    <mergeCell ref="H210:I210"/>
    <mergeCell ref="Q6:T7"/>
    <mergeCell ref="U6:V7"/>
    <mergeCell ref="S8:T8"/>
    <mergeCell ref="S9:T9"/>
    <mergeCell ref="S10:T10"/>
    <mergeCell ref="S11:T11"/>
    <mergeCell ref="S12:T12"/>
    <mergeCell ref="S13:T13"/>
    <mergeCell ref="S14:T14"/>
    <mergeCell ref="S18:T18"/>
    <mergeCell ref="S19:T19"/>
    <mergeCell ref="S20:T20"/>
    <mergeCell ref="Q22:T23"/>
    <mergeCell ref="U22:V23"/>
    <mergeCell ref="S26:T26"/>
    <mergeCell ref="S27:T27"/>
    <mergeCell ref="S28:T28"/>
    <mergeCell ref="S29:T29"/>
    <mergeCell ref="S30:T30"/>
    <mergeCell ref="S31:T31"/>
    <mergeCell ref="S34:T34"/>
    <mergeCell ref="S35:T35"/>
    <mergeCell ref="S36:T36"/>
    <mergeCell ref="A38:V39"/>
    <mergeCell ref="Q43:R43"/>
    <mergeCell ref="S43:T43"/>
    <mergeCell ref="A44:L45"/>
    <mergeCell ref="Q44:R44"/>
    <mergeCell ref="S44:T44"/>
    <mergeCell ref="Q54:R54"/>
    <mergeCell ref="Q55:R55"/>
    <mergeCell ref="J57:K57"/>
    <mergeCell ref="Q60:R60"/>
    <mergeCell ref="Q61:R61"/>
    <mergeCell ref="Q62:R62"/>
    <mergeCell ref="A46:L46"/>
    <mergeCell ref="Q46:R46"/>
    <mergeCell ref="S46:T46"/>
    <mergeCell ref="A47:V47"/>
    <mergeCell ref="A48:V49"/>
    <mergeCell ref="A50:J50"/>
    <mergeCell ref="O50:T51"/>
    <mergeCell ref="Q52:R52"/>
    <mergeCell ref="Q53:R53"/>
    <mergeCell ref="Q63:R63"/>
    <mergeCell ref="Q64:R64"/>
    <mergeCell ref="L66:M66"/>
    <mergeCell ref="O66:P66"/>
    <mergeCell ref="L67:M67"/>
    <mergeCell ref="O67:P67"/>
    <mergeCell ref="L68:M68"/>
    <mergeCell ref="O68:P68"/>
    <mergeCell ref="L69:M69"/>
    <mergeCell ref="O69:P69"/>
    <mergeCell ref="J78:S78"/>
    <mergeCell ref="Q79:R79"/>
    <mergeCell ref="A80:V80"/>
    <mergeCell ref="Q81:R81"/>
    <mergeCell ref="Q82:R82"/>
    <mergeCell ref="A71:P71"/>
    <mergeCell ref="L72:M72"/>
    <mergeCell ref="O72:P72"/>
    <mergeCell ref="L73:M73"/>
    <mergeCell ref="O73:P73"/>
    <mergeCell ref="L74:M74"/>
    <mergeCell ref="O74:P74"/>
    <mergeCell ref="L75:M75"/>
    <mergeCell ref="O75:P75"/>
    <mergeCell ref="Q83:R83"/>
    <mergeCell ref="A84:S84"/>
    <mergeCell ref="A86:E87"/>
    <mergeCell ref="A88:H88"/>
    <mergeCell ref="Q89:R89"/>
    <mergeCell ref="Q90:R90"/>
    <mergeCell ref="Q91:R91"/>
    <mergeCell ref="Q92:R92"/>
    <mergeCell ref="Q93:R93"/>
    <mergeCell ref="Q95:R95"/>
    <mergeCell ref="Q96:R96"/>
    <mergeCell ref="E97:I97"/>
    <mergeCell ref="N98:O98"/>
    <mergeCell ref="Q98:R98"/>
    <mergeCell ref="P100:Q100"/>
    <mergeCell ref="E101:F101"/>
    <mergeCell ref="H101:I101"/>
    <mergeCell ref="J101:K101"/>
    <mergeCell ref="E102:F102"/>
    <mergeCell ref="Q108:R108"/>
    <mergeCell ref="Q109:R109"/>
    <mergeCell ref="Q110:R110"/>
    <mergeCell ref="Q111:R111"/>
    <mergeCell ref="G115:H115"/>
    <mergeCell ref="J115:K115"/>
    <mergeCell ref="M115:N115"/>
    <mergeCell ref="P115:Q115"/>
    <mergeCell ref="G116:H116"/>
    <mergeCell ref="J116:K116"/>
    <mergeCell ref="G118:M118"/>
    <mergeCell ref="G119:H119"/>
    <mergeCell ref="J119:K119"/>
    <mergeCell ref="G120:H120"/>
    <mergeCell ref="J121:V122"/>
    <mergeCell ref="M123:N123"/>
    <mergeCell ref="M124:N124"/>
    <mergeCell ref="P124:Q124"/>
    <mergeCell ref="M125:N125"/>
    <mergeCell ref="A126:V127"/>
    <mergeCell ref="Q130:R130"/>
    <mergeCell ref="Q131:R131"/>
    <mergeCell ref="Q133:R133"/>
    <mergeCell ref="G137:H137"/>
    <mergeCell ref="J137:K137"/>
    <mergeCell ref="M137:N137"/>
    <mergeCell ref="P137:Q137"/>
    <mergeCell ref="G138:H138"/>
    <mergeCell ref="J138:K138"/>
    <mergeCell ref="G139:H139"/>
    <mergeCell ref="J139:K139"/>
    <mergeCell ref="C142:D142"/>
    <mergeCell ref="F142:G142"/>
    <mergeCell ref="I142:J142"/>
    <mergeCell ref="L142:M142"/>
    <mergeCell ref="O142:P142"/>
    <mergeCell ref="R142:S142"/>
    <mergeCell ref="C143:D143"/>
    <mergeCell ref="F143:G143"/>
    <mergeCell ref="C144:D144"/>
    <mergeCell ref="F144:G144"/>
    <mergeCell ref="P144:Q144"/>
    <mergeCell ref="J145:V146"/>
    <mergeCell ref="M147:N147"/>
    <mergeCell ref="P147:Q147"/>
    <mergeCell ref="M148:N148"/>
    <mergeCell ref="P148:Q148"/>
    <mergeCell ref="Q157:R157"/>
    <mergeCell ref="Q158:R158"/>
    <mergeCell ref="Q159:R159"/>
    <mergeCell ref="G163:H163"/>
    <mergeCell ref="J163:K163"/>
    <mergeCell ref="O163:P163"/>
    <mergeCell ref="R163:S163"/>
    <mergeCell ref="O151:P151"/>
    <mergeCell ref="L149:X150"/>
    <mergeCell ref="O152:P152"/>
    <mergeCell ref="R152:S152"/>
    <mergeCell ref="O153:P153"/>
    <mergeCell ref="J181:K181"/>
    <mergeCell ref="O181:P181"/>
    <mergeCell ref="R181:S181"/>
    <mergeCell ref="G182:H182"/>
    <mergeCell ref="J182:K182"/>
    <mergeCell ref="G164:H164"/>
    <mergeCell ref="J164:K164"/>
    <mergeCell ref="G165:H165"/>
    <mergeCell ref="J165:K165"/>
    <mergeCell ref="G166:H166"/>
    <mergeCell ref="J167:V168"/>
    <mergeCell ref="M169:N169"/>
    <mergeCell ref="P169:Q169"/>
    <mergeCell ref="M170:N170"/>
    <mergeCell ref="P170:Q170"/>
    <mergeCell ref="A1:V5"/>
    <mergeCell ref="O185:P185"/>
    <mergeCell ref="R185:S185"/>
    <mergeCell ref="C186:D186"/>
    <mergeCell ref="F186:G186"/>
    <mergeCell ref="C187:D187"/>
    <mergeCell ref="F187:G187"/>
    <mergeCell ref="M188:N188"/>
    <mergeCell ref="M193:N193"/>
    <mergeCell ref="P193:Q193"/>
    <mergeCell ref="G183:H183"/>
    <mergeCell ref="J183:K183"/>
    <mergeCell ref="G184:H184"/>
    <mergeCell ref="J184:K184"/>
    <mergeCell ref="M184:N184"/>
    <mergeCell ref="C185:D185"/>
    <mergeCell ref="F185:G185"/>
    <mergeCell ref="I185:J185"/>
    <mergeCell ref="L185:M185"/>
    <mergeCell ref="M171:N171"/>
    <mergeCell ref="Q175:R175"/>
    <mergeCell ref="Q176:R176"/>
    <mergeCell ref="Q177:R177"/>
    <mergeCell ref="G181:H181"/>
    <mergeCell ref="A223:V224"/>
    <mergeCell ref="F206:M206"/>
    <mergeCell ref="A205:D206"/>
    <mergeCell ref="A322:V324"/>
    <mergeCell ref="R338:S338"/>
    <mergeCell ref="M194:N194"/>
    <mergeCell ref="P194:Q194"/>
    <mergeCell ref="M195:N195"/>
    <mergeCell ref="Q198:R198"/>
    <mergeCell ref="Q199:R199"/>
    <mergeCell ref="Q200:R200"/>
    <mergeCell ref="A201:V202"/>
    <mergeCell ref="D204:E204"/>
    <mergeCell ref="P226:P227"/>
    <mergeCell ref="Q226:S226"/>
    <mergeCell ref="T226:T227"/>
    <mergeCell ref="A226:C227"/>
    <mergeCell ref="F226:G227"/>
    <mergeCell ref="H226:H227"/>
    <mergeCell ref="I226:J226"/>
    <mergeCell ref="K226:K227"/>
    <mergeCell ref="L226:L227"/>
    <mergeCell ref="I227:J227"/>
    <mergeCell ref="A229:C230"/>
  </mergeCells>
  <conditionalFormatting sqref="H321 H482:H483 H616:H621">
    <cfRule type="cellIs" dxfId="221" priority="2" stopIfTrue="1" operator="equal">
      <formula>"Under Dimentioned"</formula>
    </cfRule>
  </conditionalFormatting>
  <conditionalFormatting sqref="H354">
    <cfRule type="cellIs" dxfId="220" priority="1" stopIfTrue="1" operator="equal">
      <formula>"Under Dimentioned"</formula>
    </cfRule>
  </conditionalFormatting>
  <dataValidations disablePrompts="1" count="2">
    <dataValidation type="list" allowBlank="1" showInputMessage="1" showErrorMessage="1" sqref="D486 IZ245 SV245 ACR245 AMN245 AWJ245 BGF245 BQB245 BZX245 CJT245 CTP245 DDL245 DNH245 DXD245 EGZ245 EQV245 FAR245 FKN245 FUJ245 GEF245 GOB245 GXX245 HHT245 HRP245 IBL245 ILH245 IVD245 JEZ245 JOV245 JYR245 KIN245 KSJ245 LCF245 LMB245 LVX245 MFT245 MPP245 MZL245 NJH245 NTD245 OCZ245 OMV245 OWR245 PGN245 PQJ245 QAF245 QKB245 QTX245 RDT245 RNP245 RXL245 SHH245 SRD245 TAZ245 TKV245 TUR245 UEN245 UOJ245 UYF245 VIB245 VRX245 WBT245 WLP245 WVL245 D66027 IZ65781 SV65781 ACR65781 AMN65781 AWJ65781 BGF65781 BQB65781 BZX65781 CJT65781 CTP65781 DDL65781 DNH65781 DXD65781 EGZ65781 EQV65781 FAR65781 FKN65781 FUJ65781 GEF65781 GOB65781 GXX65781 HHT65781 HRP65781 IBL65781 ILH65781 IVD65781 JEZ65781 JOV65781 JYR65781 KIN65781 KSJ65781 LCF65781 LMB65781 LVX65781 MFT65781 MPP65781 MZL65781 NJH65781 NTD65781 OCZ65781 OMV65781 OWR65781 PGN65781 PQJ65781 QAF65781 QKB65781 QTX65781 RDT65781 RNP65781 RXL65781 SHH65781 SRD65781 TAZ65781 TKV65781 TUR65781 UEN65781 UOJ65781 UYF65781 VIB65781 VRX65781 WBT65781 WLP65781 WVL65781 D131563 IZ131317 SV131317 ACR131317 AMN131317 AWJ131317 BGF131317 BQB131317 BZX131317 CJT131317 CTP131317 DDL131317 DNH131317 DXD131317 EGZ131317 EQV131317 FAR131317 FKN131317 FUJ131317 GEF131317 GOB131317 GXX131317 HHT131317 HRP131317 IBL131317 ILH131317 IVD131317 JEZ131317 JOV131317 JYR131317 KIN131317 KSJ131317 LCF131317 LMB131317 LVX131317 MFT131317 MPP131317 MZL131317 NJH131317 NTD131317 OCZ131317 OMV131317 OWR131317 PGN131317 PQJ131317 QAF131317 QKB131317 QTX131317 RDT131317 RNP131317 RXL131317 SHH131317 SRD131317 TAZ131317 TKV131317 TUR131317 UEN131317 UOJ131317 UYF131317 VIB131317 VRX131317 WBT131317 WLP131317 WVL131317 D197099 IZ196853 SV196853 ACR196853 AMN196853 AWJ196853 BGF196853 BQB196853 BZX196853 CJT196853 CTP196853 DDL196853 DNH196853 DXD196853 EGZ196853 EQV196853 FAR196853 FKN196853 FUJ196853 GEF196853 GOB196853 GXX196853 HHT196853 HRP196853 IBL196853 ILH196853 IVD196853 JEZ196853 JOV196853 JYR196853 KIN196853 KSJ196853 LCF196853 LMB196853 LVX196853 MFT196853 MPP196853 MZL196853 NJH196853 NTD196853 OCZ196853 OMV196853 OWR196853 PGN196853 PQJ196853 QAF196853 QKB196853 QTX196853 RDT196853 RNP196853 RXL196853 SHH196853 SRD196853 TAZ196853 TKV196853 TUR196853 UEN196853 UOJ196853 UYF196853 VIB196853 VRX196853 WBT196853 WLP196853 WVL196853 D262635 IZ262389 SV262389 ACR262389 AMN262389 AWJ262389 BGF262389 BQB262389 BZX262389 CJT262389 CTP262389 DDL262389 DNH262389 DXD262389 EGZ262389 EQV262389 FAR262389 FKN262389 FUJ262389 GEF262389 GOB262389 GXX262389 HHT262389 HRP262389 IBL262389 ILH262389 IVD262389 JEZ262389 JOV262389 JYR262389 KIN262389 KSJ262389 LCF262389 LMB262389 LVX262389 MFT262389 MPP262389 MZL262389 NJH262389 NTD262389 OCZ262389 OMV262389 OWR262389 PGN262389 PQJ262389 QAF262389 QKB262389 QTX262389 RDT262389 RNP262389 RXL262389 SHH262389 SRD262389 TAZ262389 TKV262389 TUR262389 UEN262389 UOJ262389 UYF262389 VIB262389 VRX262389 WBT262389 WLP262389 WVL262389 D328171 IZ327925 SV327925 ACR327925 AMN327925 AWJ327925 BGF327925 BQB327925 BZX327925 CJT327925 CTP327925 DDL327925 DNH327925 DXD327925 EGZ327925 EQV327925 FAR327925 FKN327925 FUJ327925 GEF327925 GOB327925 GXX327925 HHT327925 HRP327925 IBL327925 ILH327925 IVD327925 JEZ327925 JOV327925 JYR327925 KIN327925 KSJ327925 LCF327925 LMB327925 LVX327925 MFT327925 MPP327925 MZL327925 NJH327925 NTD327925 OCZ327925 OMV327925 OWR327925 PGN327925 PQJ327925 QAF327925 QKB327925 QTX327925 RDT327925 RNP327925 RXL327925 SHH327925 SRD327925 TAZ327925 TKV327925 TUR327925 UEN327925 UOJ327925 UYF327925 VIB327925 VRX327925 WBT327925 WLP327925 WVL327925 D393707 IZ393461 SV393461 ACR393461 AMN393461 AWJ393461 BGF393461 BQB393461 BZX393461 CJT393461 CTP393461 DDL393461 DNH393461 DXD393461 EGZ393461 EQV393461 FAR393461 FKN393461 FUJ393461 GEF393461 GOB393461 GXX393461 HHT393461 HRP393461 IBL393461 ILH393461 IVD393461 JEZ393461 JOV393461 JYR393461 KIN393461 KSJ393461 LCF393461 LMB393461 LVX393461 MFT393461 MPP393461 MZL393461 NJH393461 NTD393461 OCZ393461 OMV393461 OWR393461 PGN393461 PQJ393461 QAF393461 QKB393461 QTX393461 RDT393461 RNP393461 RXL393461 SHH393461 SRD393461 TAZ393461 TKV393461 TUR393461 UEN393461 UOJ393461 UYF393461 VIB393461 VRX393461 WBT393461 WLP393461 WVL393461 D459243 IZ458997 SV458997 ACR458997 AMN458997 AWJ458997 BGF458997 BQB458997 BZX458997 CJT458997 CTP458997 DDL458997 DNH458997 DXD458997 EGZ458997 EQV458997 FAR458997 FKN458997 FUJ458997 GEF458997 GOB458997 GXX458997 HHT458997 HRP458997 IBL458997 ILH458997 IVD458997 JEZ458997 JOV458997 JYR458997 KIN458997 KSJ458997 LCF458997 LMB458997 LVX458997 MFT458997 MPP458997 MZL458997 NJH458997 NTD458997 OCZ458997 OMV458997 OWR458997 PGN458997 PQJ458997 QAF458997 QKB458997 QTX458997 RDT458997 RNP458997 RXL458997 SHH458997 SRD458997 TAZ458997 TKV458997 TUR458997 UEN458997 UOJ458997 UYF458997 VIB458997 VRX458997 WBT458997 WLP458997 WVL458997 D524779 IZ524533 SV524533 ACR524533 AMN524533 AWJ524533 BGF524533 BQB524533 BZX524533 CJT524533 CTP524533 DDL524533 DNH524533 DXD524533 EGZ524533 EQV524533 FAR524533 FKN524533 FUJ524533 GEF524533 GOB524533 GXX524533 HHT524533 HRP524533 IBL524533 ILH524533 IVD524533 JEZ524533 JOV524533 JYR524533 KIN524533 KSJ524533 LCF524533 LMB524533 LVX524533 MFT524533 MPP524533 MZL524533 NJH524533 NTD524533 OCZ524533 OMV524533 OWR524533 PGN524533 PQJ524533 QAF524533 QKB524533 QTX524533 RDT524533 RNP524533 RXL524533 SHH524533 SRD524533 TAZ524533 TKV524533 TUR524533 UEN524533 UOJ524533 UYF524533 VIB524533 VRX524533 WBT524533 WLP524533 WVL524533 D590315 IZ590069 SV590069 ACR590069 AMN590069 AWJ590069 BGF590069 BQB590069 BZX590069 CJT590069 CTP590069 DDL590069 DNH590069 DXD590069 EGZ590069 EQV590069 FAR590069 FKN590069 FUJ590069 GEF590069 GOB590069 GXX590069 HHT590069 HRP590069 IBL590069 ILH590069 IVD590069 JEZ590069 JOV590069 JYR590069 KIN590069 KSJ590069 LCF590069 LMB590069 LVX590069 MFT590069 MPP590069 MZL590069 NJH590069 NTD590069 OCZ590069 OMV590069 OWR590069 PGN590069 PQJ590069 QAF590069 QKB590069 QTX590069 RDT590069 RNP590069 RXL590069 SHH590069 SRD590069 TAZ590069 TKV590069 TUR590069 UEN590069 UOJ590069 UYF590069 VIB590069 VRX590069 WBT590069 WLP590069 WVL590069 D655851 IZ655605 SV655605 ACR655605 AMN655605 AWJ655605 BGF655605 BQB655605 BZX655605 CJT655605 CTP655605 DDL655605 DNH655605 DXD655605 EGZ655605 EQV655605 FAR655605 FKN655605 FUJ655605 GEF655605 GOB655605 GXX655605 HHT655605 HRP655605 IBL655605 ILH655605 IVD655605 JEZ655605 JOV655605 JYR655605 KIN655605 KSJ655605 LCF655605 LMB655605 LVX655605 MFT655605 MPP655605 MZL655605 NJH655605 NTD655605 OCZ655605 OMV655605 OWR655605 PGN655605 PQJ655605 QAF655605 QKB655605 QTX655605 RDT655605 RNP655605 RXL655605 SHH655605 SRD655605 TAZ655605 TKV655605 TUR655605 UEN655605 UOJ655605 UYF655605 VIB655605 VRX655605 WBT655605 WLP655605 WVL655605 D721387 IZ721141 SV721141 ACR721141 AMN721141 AWJ721141 BGF721141 BQB721141 BZX721141 CJT721141 CTP721141 DDL721141 DNH721141 DXD721141 EGZ721141 EQV721141 FAR721141 FKN721141 FUJ721141 GEF721141 GOB721141 GXX721141 HHT721141 HRP721141 IBL721141 ILH721141 IVD721141 JEZ721141 JOV721141 JYR721141 KIN721141 KSJ721141 LCF721141 LMB721141 LVX721141 MFT721141 MPP721141 MZL721141 NJH721141 NTD721141 OCZ721141 OMV721141 OWR721141 PGN721141 PQJ721141 QAF721141 QKB721141 QTX721141 RDT721141 RNP721141 RXL721141 SHH721141 SRD721141 TAZ721141 TKV721141 TUR721141 UEN721141 UOJ721141 UYF721141 VIB721141 VRX721141 WBT721141 WLP721141 WVL721141 D786923 IZ786677 SV786677 ACR786677 AMN786677 AWJ786677 BGF786677 BQB786677 BZX786677 CJT786677 CTP786677 DDL786677 DNH786677 DXD786677 EGZ786677 EQV786677 FAR786677 FKN786677 FUJ786677 GEF786677 GOB786677 GXX786677 HHT786677 HRP786677 IBL786677 ILH786677 IVD786677 JEZ786677 JOV786677 JYR786677 KIN786677 KSJ786677 LCF786677 LMB786677 LVX786677 MFT786677 MPP786677 MZL786677 NJH786677 NTD786677 OCZ786677 OMV786677 OWR786677 PGN786677 PQJ786677 QAF786677 QKB786677 QTX786677 RDT786677 RNP786677 RXL786677 SHH786677 SRD786677 TAZ786677 TKV786677 TUR786677 UEN786677 UOJ786677 UYF786677 VIB786677 VRX786677 WBT786677 WLP786677 WVL786677 D852459 IZ852213 SV852213 ACR852213 AMN852213 AWJ852213 BGF852213 BQB852213 BZX852213 CJT852213 CTP852213 DDL852213 DNH852213 DXD852213 EGZ852213 EQV852213 FAR852213 FKN852213 FUJ852213 GEF852213 GOB852213 GXX852213 HHT852213 HRP852213 IBL852213 ILH852213 IVD852213 JEZ852213 JOV852213 JYR852213 KIN852213 KSJ852213 LCF852213 LMB852213 LVX852213 MFT852213 MPP852213 MZL852213 NJH852213 NTD852213 OCZ852213 OMV852213 OWR852213 PGN852213 PQJ852213 QAF852213 QKB852213 QTX852213 RDT852213 RNP852213 RXL852213 SHH852213 SRD852213 TAZ852213 TKV852213 TUR852213 UEN852213 UOJ852213 UYF852213 VIB852213 VRX852213 WBT852213 WLP852213 WVL852213 D917995 IZ917749 SV917749 ACR917749 AMN917749 AWJ917749 BGF917749 BQB917749 BZX917749 CJT917749 CTP917749 DDL917749 DNH917749 DXD917749 EGZ917749 EQV917749 FAR917749 FKN917749 FUJ917749 GEF917749 GOB917749 GXX917749 HHT917749 HRP917749 IBL917749 ILH917749 IVD917749 JEZ917749 JOV917749 JYR917749 KIN917749 KSJ917749 LCF917749 LMB917749 LVX917749 MFT917749 MPP917749 MZL917749 NJH917749 NTD917749 OCZ917749 OMV917749 OWR917749 PGN917749 PQJ917749 QAF917749 QKB917749 QTX917749 RDT917749 RNP917749 RXL917749 SHH917749 SRD917749 TAZ917749 TKV917749 TUR917749 UEN917749 UOJ917749 UYF917749 VIB917749 VRX917749 WBT917749 WLP917749 WVL917749 D983531 IZ983285 SV983285 ACR983285 AMN983285 AWJ983285 BGF983285 BQB983285 BZX983285 CJT983285 CTP983285 DDL983285 DNH983285 DXD983285 EGZ983285 EQV983285 FAR983285 FKN983285 FUJ983285 GEF983285 GOB983285 GXX983285 HHT983285 HRP983285 IBL983285 ILH983285 IVD983285 JEZ983285 JOV983285 JYR983285 KIN983285 KSJ983285 LCF983285 LMB983285 LVX983285 MFT983285 MPP983285 MZL983285 NJH983285 NTD983285 OCZ983285 OMV983285 OWR983285 PGN983285 PQJ983285 QAF983285 QKB983285 QTX983285 RDT983285 RNP983285 RXL983285 SHH983285 SRD983285 TAZ983285 TKV983285 TUR983285 UEN983285 UOJ983285 UYF983285 VIB983285 VRX983285 WBT983285 WLP983285 WVL983285 D363 IZ118 SV118 ACR118 AMN118 AWJ118 BGF118 BQB118 BZX118 CJT118 CTP118 DDL118 DNH118 DXD118 EGZ118 EQV118 FAR118 FKN118 FUJ118 GEF118 GOB118 GXX118 HHT118 HRP118 IBL118 ILH118 IVD118 JEZ118 JOV118 JYR118 KIN118 KSJ118 LCF118 LMB118 LVX118 MFT118 MPP118 MZL118 NJH118 NTD118 OCZ118 OMV118 OWR118 PGN118 PQJ118 QAF118 QKB118 QTX118 RDT118 RNP118 RXL118 SHH118 SRD118 TAZ118 TKV118 TUR118 UEN118 UOJ118 UYF118 VIB118 VRX118 WBT118 WLP118 WVL118 D65907 IZ65661 SV65661 ACR65661 AMN65661 AWJ65661 BGF65661 BQB65661 BZX65661 CJT65661 CTP65661 DDL65661 DNH65661 DXD65661 EGZ65661 EQV65661 FAR65661 FKN65661 FUJ65661 GEF65661 GOB65661 GXX65661 HHT65661 HRP65661 IBL65661 ILH65661 IVD65661 JEZ65661 JOV65661 JYR65661 KIN65661 KSJ65661 LCF65661 LMB65661 LVX65661 MFT65661 MPP65661 MZL65661 NJH65661 NTD65661 OCZ65661 OMV65661 OWR65661 PGN65661 PQJ65661 QAF65661 QKB65661 QTX65661 RDT65661 RNP65661 RXL65661 SHH65661 SRD65661 TAZ65661 TKV65661 TUR65661 UEN65661 UOJ65661 UYF65661 VIB65661 VRX65661 WBT65661 WLP65661 WVL65661 D131443 IZ131197 SV131197 ACR131197 AMN131197 AWJ131197 BGF131197 BQB131197 BZX131197 CJT131197 CTP131197 DDL131197 DNH131197 DXD131197 EGZ131197 EQV131197 FAR131197 FKN131197 FUJ131197 GEF131197 GOB131197 GXX131197 HHT131197 HRP131197 IBL131197 ILH131197 IVD131197 JEZ131197 JOV131197 JYR131197 KIN131197 KSJ131197 LCF131197 LMB131197 LVX131197 MFT131197 MPP131197 MZL131197 NJH131197 NTD131197 OCZ131197 OMV131197 OWR131197 PGN131197 PQJ131197 QAF131197 QKB131197 QTX131197 RDT131197 RNP131197 RXL131197 SHH131197 SRD131197 TAZ131197 TKV131197 TUR131197 UEN131197 UOJ131197 UYF131197 VIB131197 VRX131197 WBT131197 WLP131197 WVL131197 D196979 IZ196733 SV196733 ACR196733 AMN196733 AWJ196733 BGF196733 BQB196733 BZX196733 CJT196733 CTP196733 DDL196733 DNH196733 DXD196733 EGZ196733 EQV196733 FAR196733 FKN196733 FUJ196733 GEF196733 GOB196733 GXX196733 HHT196733 HRP196733 IBL196733 ILH196733 IVD196733 JEZ196733 JOV196733 JYR196733 KIN196733 KSJ196733 LCF196733 LMB196733 LVX196733 MFT196733 MPP196733 MZL196733 NJH196733 NTD196733 OCZ196733 OMV196733 OWR196733 PGN196733 PQJ196733 QAF196733 QKB196733 QTX196733 RDT196733 RNP196733 RXL196733 SHH196733 SRD196733 TAZ196733 TKV196733 TUR196733 UEN196733 UOJ196733 UYF196733 VIB196733 VRX196733 WBT196733 WLP196733 WVL196733 D262515 IZ262269 SV262269 ACR262269 AMN262269 AWJ262269 BGF262269 BQB262269 BZX262269 CJT262269 CTP262269 DDL262269 DNH262269 DXD262269 EGZ262269 EQV262269 FAR262269 FKN262269 FUJ262269 GEF262269 GOB262269 GXX262269 HHT262269 HRP262269 IBL262269 ILH262269 IVD262269 JEZ262269 JOV262269 JYR262269 KIN262269 KSJ262269 LCF262269 LMB262269 LVX262269 MFT262269 MPP262269 MZL262269 NJH262269 NTD262269 OCZ262269 OMV262269 OWR262269 PGN262269 PQJ262269 QAF262269 QKB262269 QTX262269 RDT262269 RNP262269 RXL262269 SHH262269 SRD262269 TAZ262269 TKV262269 TUR262269 UEN262269 UOJ262269 UYF262269 VIB262269 VRX262269 WBT262269 WLP262269 WVL262269 D328051 IZ327805 SV327805 ACR327805 AMN327805 AWJ327805 BGF327805 BQB327805 BZX327805 CJT327805 CTP327805 DDL327805 DNH327805 DXD327805 EGZ327805 EQV327805 FAR327805 FKN327805 FUJ327805 GEF327805 GOB327805 GXX327805 HHT327805 HRP327805 IBL327805 ILH327805 IVD327805 JEZ327805 JOV327805 JYR327805 KIN327805 KSJ327805 LCF327805 LMB327805 LVX327805 MFT327805 MPP327805 MZL327805 NJH327805 NTD327805 OCZ327805 OMV327805 OWR327805 PGN327805 PQJ327805 QAF327805 QKB327805 QTX327805 RDT327805 RNP327805 RXL327805 SHH327805 SRD327805 TAZ327805 TKV327805 TUR327805 UEN327805 UOJ327805 UYF327805 VIB327805 VRX327805 WBT327805 WLP327805 WVL327805 D393587 IZ393341 SV393341 ACR393341 AMN393341 AWJ393341 BGF393341 BQB393341 BZX393341 CJT393341 CTP393341 DDL393341 DNH393341 DXD393341 EGZ393341 EQV393341 FAR393341 FKN393341 FUJ393341 GEF393341 GOB393341 GXX393341 HHT393341 HRP393341 IBL393341 ILH393341 IVD393341 JEZ393341 JOV393341 JYR393341 KIN393341 KSJ393341 LCF393341 LMB393341 LVX393341 MFT393341 MPP393341 MZL393341 NJH393341 NTD393341 OCZ393341 OMV393341 OWR393341 PGN393341 PQJ393341 QAF393341 QKB393341 QTX393341 RDT393341 RNP393341 RXL393341 SHH393341 SRD393341 TAZ393341 TKV393341 TUR393341 UEN393341 UOJ393341 UYF393341 VIB393341 VRX393341 WBT393341 WLP393341 WVL393341 D459123 IZ458877 SV458877 ACR458877 AMN458877 AWJ458877 BGF458877 BQB458877 BZX458877 CJT458877 CTP458877 DDL458877 DNH458877 DXD458877 EGZ458877 EQV458877 FAR458877 FKN458877 FUJ458877 GEF458877 GOB458877 GXX458877 HHT458877 HRP458877 IBL458877 ILH458877 IVD458877 JEZ458877 JOV458877 JYR458877 KIN458877 KSJ458877 LCF458877 LMB458877 LVX458877 MFT458877 MPP458877 MZL458877 NJH458877 NTD458877 OCZ458877 OMV458877 OWR458877 PGN458877 PQJ458877 QAF458877 QKB458877 QTX458877 RDT458877 RNP458877 RXL458877 SHH458877 SRD458877 TAZ458877 TKV458877 TUR458877 UEN458877 UOJ458877 UYF458877 VIB458877 VRX458877 WBT458877 WLP458877 WVL458877 D524659 IZ524413 SV524413 ACR524413 AMN524413 AWJ524413 BGF524413 BQB524413 BZX524413 CJT524413 CTP524413 DDL524413 DNH524413 DXD524413 EGZ524413 EQV524413 FAR524413 FKN524413 FUJ524413 GEF524413 GOB524413 GXX524413 HHT524413 HRP524413 IBL524413 ILH524413 IVD524413 JEZ524413 JOV524413 JYR524413 KIN524413 KSJ524413 LCF524413 LMB524413 LVX524413 MFT524413 MPP524413 MZL524413 NJH524413 NTD524413 OCZ524413 OMV524413 OWR524413 PGN524413 PQJ524413 QAF524413 QKB524413 QTX524413 RDT524413 RNP524413 RXL524413 SHH524413 SRD524413 TAZ524413 TKV524413 TUR524413 UEN524413 UOJ524413 UYF524413 VIB524413 VRX524413 WBT524413 WLP524413 WVL524413 D590195 IZ589949 SV589949 ACR589949 AMN589949 AWJ589949 BGF589949 BQB589949 BZX589949 CJT589949 CTP589949 DDL589949 DNH589949 DXD589949 EGZ589949 EQV589949 FAR589949 FKN589949 FUJ589949 GEF589949 GOB589949 GXX589949 HHT589949 HRP589949 IBL589949 ILH589949 IVD589949 JEZ589949 JOV589949 JYR589949 KIN589949 KSJ589949 LCF589949 LMB589949 LVX589949 MFT589949 MPP589949 MZL589949 NJH589949 NTD589949 OCZ589949 OMV589949 OWR589949 PGN589949 PQJ589949 QAF589949 QKB589949 QTX589949 RDT589949 RNP589949 RXL589949 SHH589949 SRD589949 TAZ589949 TKV589949 TUR589949 UEN589949 UOJ589949 UYF589949 VIB589949 VRX589949 WBT589949 WLP589949 WVL589949 D655731 IZ655485 SV655485 ACR655485 AMN655485 AWJ655485 BGF655485 BQB655485 BZX655485 CJT655485 CTP655485 DDL655485 DNH655485 DXD655485 EGZ655485 EQV655485 FAR655485 FKN655485 FUJ655485 GEF655485 GOB655485 GXX655485 HHT655485 HRP655485 IBL655485 ILH655485 IVD655485 JEZ655485 JOV655485 JYR655485 KIN655485 KSJ655485 LCF655485 LMB655485 LVX655485 MFT655485 MPP655485 MZL655485 NJH655485 NTD655485 OCZ655485 OMV655485 OWR655485 PGN655485 PQJ655485 QAF655485 QKB655485 QTX655485 RDT655485 RNP655485 RXL655485 SHH655485 SRD655485 TAZ655485 TKV655485 TUR655485 UEN655485 UOJ655485 UYF655485 VIB655485 VRX655485 WBT655485 WLP655485 WVL655485 D721267 IZ721021 SV721021 ACR721021 AMN721021 AWJ721021 BGF721021 BQB721021 BZX721021 CJT721021 CTP721021 DDL721021 DNH721021 DXD721021 EGZ721021 EQV721021 FAR721021 FKN721021 FUJ721021 GEF721021 GOB721021 GXX721021 HHT721021 HRP721021 IBL721021 ILH721021 IVD721021 JEZ721021 JOV721021 JYR721021 KIN721021 KSJ721021 LCF721021 LMB721021 LVX721021 MFT721021 MPP721021 MZL721021 NJH721021 NTD721021 OCZ721021 OMV721021 OWR721021 PGN721021 PQJ721021 QAF721021 QKB721021 QTX721021 RDT721021 RNP721021 RXL721021 SHH721021 SRD721021 TAZ721021 TKV721021 TUR721021 UEN721021 UOJ721021 UYF721021 VIB721021 VRX721021 WBT721021 WLP721021 WVL721021 D786803 IZ786557 SV786557 ACR786557 AMN786557 AWJ786557 BGF786557 BQB786557 BZX786557 CJT786557 CTP786557 DDL786557 DNH786557 DXD786557 EGZ786557 EQV786557 FAR786557 FKN786557 FUJ786557 GEF786557 GOB786557 GXX786557 HHT786557 HRP786557 IBL786557 ILH786557 IVD786557 JEZ786557 JOV786557 JYR786557 KIN786557 KSJ786557 LCF786557 LMB786557 LVX786557 MFT786557 MPP786557 MZL786557 NJH786557 NTD786557 OCZ786557 OMV786557 OWR786557 PGN786557 PQJ786557 QAF786557 QKB786557 QTX786557 RDT786557 RNP786557 RXL786557 SHH786557 SRD786557 TAZ786557 TKV786557 TUR786557 UEN786557 UOJ786557 UYF786557 VIB786557 VRX786557 WBT786557 WLP786557 WVL786557 D852339 IZ852093 SV852093 ACR852093 AMN852093 AWJ852093 BGF852093 BQB852093 BZX852093 CJT852093 CTP852093 DDL852093 DNH852093 DXD852093 EGZ852093 EQV852093 FAR852093 FKN852093 FUJ852093 GEF852093 GOB852093 GXX852093 HHT852093 HRP852093 IBL852093 ILH852093 IVD852093 JEZ852093 JOV852093 JYR852093 KIN852093 KSJ852093 LCF852093 LMB852093 LVX852093 MFT852093 MPP852093 MZL852093 NJH852093 NTD852093 OCZ852093 OMV852093 OWR852093 PGN852093 PQJ852093 QAF852093 QKB852093 QTX852093 RDT852093 RNP852093 RXL852093 SHH852093 SRD852093 TAZ852093 TKV852093 TUR852093 UEN852093 UOJ852093 UYF852093 VIB852093 VRX852093 WBT852093 WLP852093 WVL852093 D917875 IZ917629 SV917629 ACR917629 AMN917629 AWJ917629 BGF917629 BQB917629 BZX917629 CJT917629 CTP917629 DDL917629 DNH917629 DXD917629 EGZ917629 EQV917629 FAR917629 FKN917629 FUJ917629 GEF917629 GOB917629 GXX917629 HHT917629 HRP917629 IBL917629 ILH917629 IVD917629 JEZ917629 JOV917629 JYR917629 KIN917629 KSJ917629 LCF917629 LMB917629 LVX917629 MFT917629 MPP917629 MZL917629 NJH917629 NTD917629 OCZ917629 OMV917629 OWR917629 PGN917629 PQJ917629 QAF917629 QKB917629 QTX917629 RDT917629 RNP917629 RXL917629 SHH917629 SRD917629 TAZ917629 TKV917629 TUR917629 UEN917629 UOJ917629 UYF917629 VIB917629 VRX917629 WBT917629 WLP917629 WVL917629 D983411 IZ983165 SV983165 ACR983165 AMN983165 AWJ983165 BGF983165 BQB983165 BZX983165 CJT983165 CTP983165 DDL983165 DNH983165 DXD983165 EGZ983165 EQV983165 FAR983165 FKN983165 FUJ983165 GEF983165 GOB983165 GXX983165 HHT983165 HRP983165 IBL983165 ILH983165 IVD983165 JEZ983165 JOV983165 JYR983165 KIN983165 KSJ983165 LCF983165 LMB983165 LVX983165 MFT983165 MPP983165 MZL983165 NJH983165 NTD983165 OCZ983165 OMV983165 OWR983165 PGN983165 PQJ983165 QAF983165 QKB983165 QTX983165 RDT983165 RNP983165 RXL983165 SHH983165 SRD983165 TAZ983165 TKV983165 TUR983165 UEN983165 UOJ983165 UYF983165 VIB983165 VRX983165 WBT983165 WLP983165 WVL983165 D204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741 IZ65495 SV65495 ACR65495 AMN65495 AWJ65495 BGF65495 BQB65495 BZX65495 CJT65495 CTP65495 DDL65495 DNH65495 DXD65495 EGZ65495 EQV65495 FAR65495 FKN65495 FUJ65495 GEF65495 GOB65495 GXX65495 HHT65495 HRP65495 IBL65495 ILH65495 IVD65495 JEZ65495 JOV65495 JYR65495 KIN65495 KSJ65495 LCF65495 LMB65495 LVX65495 MFT65495 MPP65495 MZL65495 NJH65495 NTD65495 OCZ65495 OMV65495 OWR65495 PGN65495 PQJ65495 QAF65495 QKB65495 QTX65495 RDT65495 RNP65495 RXL65495 SHH65495 SRD65495 TAZ65495 TKV65495 TUR65495 UEN65495 UOJ65495 UYF65495 VIB65495 VRX65495 WBT65495 WLP65495 WVL65495 D131277 IZ131031 SV131031 ACR131031 AMN131031 AWJ131031 BGF131031 BQB131031 BZX131031 CJT131031 CTP131031 DDL131031 DNH131031 DXD131031 EGZ131031 EQV131031 FAR131031 FKN131031 FUJ131031 GEF131031 GOB131031 GXX131031 HHT131031 HRP131031 IBL131031 ILH131031 IVD131031 JEZ131031 JOV131031 JYR131031 KIN131031 KSJ131031 LCF131031 LMB131031 LVX131031 MFT131031 MPP131031 MZL131031 NJH131031 NTD131031 OCZ131031 OMV131031 OWR131031 PGN131031 PQJ131031 QAF131031 QKB131031 QTX131031 RDT131031 RNP131031 RXL131031 SHH131031 SRD131031 TAZ131031 TKV131031 TUR131031 UEN131031 UOJ131031 UYF131031 VIB131031 VRX131031 WBT131031 WLP131031 WVL131031 D196813 IZ196567 SV196567 ACR196567 AMN196567 AWJ196567 BGF196567 BQB196567 BZX196567 CJT196567 CTP196567 DDL196567 DNH196567 DXD196567 EGZ196567 EQV196567 FAR196567 FKN196567 FUJ196567 GEF196567 GOB196567 GXX196567 HHT196567 HRP196567 IBL196567 ILH196567 IVD196567 JEZ196567 JOV196567 JYR196567 KIN196567 KSJ196567 LCF196567 LMB196567 LVX196567 MFT196567 MPP196567 MZL196567 NJH196567 NTD196567 OCZ196567 OMV196567 OWR196567 PGN196567 PQJ196567 QAF196567 QKB196567 QTX196567 RDT196567 RNP196567 RXL196567 SHH196567 SRD196567 TAZ196567 TKV196567 TUR196567 UEN196567 UOJ196567 UYF196567 VIB196567 VRX196567 WBT196567 WLP196567 WVL196567 D262349 IZ262103 SV262103 ACR262103 AMN262103 AWJ262103 BGF262103 BQB262103 BZX262103 CJT262103 CTP262103 DDL262103 DNH262103 DXD262103 EGZ262103 EQV262103 FAR262103 FKN262103 FUJ262103 GEF262103 GOB262103 GXX262103 HHT262103 HRP262103 IBL262103 ILH262103 IVD262103 JEZ262103 JOV262103 JYR262103 KIN262103 KSJ262103 LCF262103 LMB262103 LVX262103 MFT262103 MPP262103 MZL262103 NJH262103 NTD262103 OCZ262103 OMV262103 OWR262103 PGN262103 PQJ262103 QAF262103 QKB262103 QTX262103 RDT262103 RNP262103 RXL262103 SHH262103 SRD262103 TAZ262103 TKV262103 TUR262103 UEN262103 UOJ262103 UYF262103 VIB262103 VRX262103 WBT262103 WLP262103 WVL262103 D327885 IZ327639 SV327639 ACR327639 AMN327639 AWJ327639 BGF327639 BQB327639 BZX327639 CJT327639 CTP327639 DDL327639 DNH327639 DXD327639 EGZ327639 EQV327639 FAR327639 FKN327639 FUJ327639 GEF327639 GOB327639 GXX327639 HHT327639 HRP327639 IBL327639 ILH327639 IVD327639 JEZ327639 JOV327639 JYR327639 KIN327639 KSJ327639 LCF327639 LMB327639 LVX327639 MFT327639 MPP327639 MZL327639 NJH327639 NTD327639 OCZ327639 OMV327639 OWR327639 PGN327639 PQJ327639 QAF327639 QKB327639 QTX327639 RDT327639 RNP327639 RXL327639 SHH327639 SRD327639 TAZ327639 TKV327639 TUR327639 UEN327639 UOJ327639 UYF327639 VIB327639 VRX327639 WBT327639 WLP327639 WVL327639 D393421 IZ393175 SV393175 ACR393175 AMN393175 AWJ393175 BGF393175 BQB393175 BZX393175 CJT393175 CTP393175 DDL393175 DNH393175 DXD393175 EGZ393175 EQV393175 FAR393175 FKN393175 FUJ393175 GEF393175 GOB393175 GXX393175 HHT393175 HRP393175 IBL393175 ILH393175 IVD393175 JEZ393175 JOV393175 JYR393175 KIN393175 KSJ393175 LCF393175 LMB393175 LVX393175 MFT393175 MPP393175 MZL393175 NJH393175 NTD393175 OCZ393175 OMV393175 OWR393175 PGN393175 PQJ393175 QAF393175 QKB393175 QTX393175 RDT393175 RNP393175 RXL393175 SHH393175 SRD393175 TAZ393175 TKV393175 TUR393175 UEN393175 UOJ393175 UYF393175 VIB393175 VRX393175 WBT393175 WLP393175 WVL393175 D458957 IZ458711 SV458711 ACR458711 AMN458711 AWJ458711 BGF458711 BQB458711 BZX458711 CJT458711 CTP458711 DDL458711 DNH458711 DXD458711 EGZ458711 EQV458711 FAR458711 FKN458711 FUJ458711 GEF458711 GOB458711 GXX458711 HHT458711 HRP458711 IBL458711 ILH458711 IVD458711 JEZ458711 JOV458711 JYR458711 KIN458711 KSJ458711 LCF458711 LMB458711 LVX458711 MFT458711 MPP458711 MZL458711 NJH458711 NTD458711 OCZ458711 OMV458711 OWR458711 PGN458711 PQJ458711 QAF458711 QKB458711 QTX458711 RDT458711 RNP458711 RXL458711 SHH458711 SRD458711 TAZ458711 TKV458711 TUR458711 UEN458711 UOJ458711 UYF458711 VIB458711 VRX458711 WBT458711 WLP458711 WVL458711 D524493 IZ524247 SV524247 ACR524247 AMN524247 AWJ524247 BGF524247 BQB524247 BZX524247 CJT524247 CTP524247 DDL524247 DNH524247 DXD524247 EGZ524247 EQV524247 FAR524247 FKN524247 FUJ524247 GEF524247 GOB524247 GXX524247 HHT524247 HRP524247 IBL524247 ILH524247 IVD524247 JEZ524247 JOV524247 JYR524247 KIN524247 KSJ524247 LCF524247 LMB524247 LVX524247 MFT524247 MPP524247 MZL524247 NJH524247 NTD524247 OCZ524247 OMV524247 OWR524247 PGN524247 PQJ524247 QAF524247 QKB524247 QTX524247 RDT524247 RNP524247 RXL524247 SHH524247 SRD524247 TAZ524247 TKV524247 TUR524247 UEN524247 UOJ524247 UYF524247 VIB524247 VRX524247 WBT524247 WLP524247 WVL524247 D590029 IZ589783 SV589783 ACR589783 AMN589783 AWJ589783 BGF589783 BQB589783 BZX589783 CJT589783 CTP589783 DDL589783 DNH589783 DXD589783 EGZ589783 EQV589783 FAR589783 FKN589783 FUJ589783 GEF589783 GOB589783 GXX589783 HHT589783 HRP589783 IBL589783 ILH589783 IVD589783 JEZ589783 JOV589783 JYR589783 KIN589783 KSJ589783 LCF589783 LMB589783 LVX589783 MFT589783 MPP589783 MZL589783 NJH589783 NTD589783 OCZ589783 OMV589783 OWR589783 PGN589783 PQJ589783 QAF589783 QKB589783 QTX589783 RDT589783 RNP589783 RXL589783 SHH589783 SRD589783 TAZ589783 TKV589783 TUR589783 UEN589783 UOJ589783 UYF589783 VIB589783 VRX589783 WBT589783 WLP589783 WVL589783 D655565 IZ655319 SV655319 ACR655319 AMN655319 AWJ655319 BGF655319 BQB655319 BZX655319 CJT655319 CTP655319 DDL655319 DNH655319 DXD655319 EGZ655319 EQV655319 FAR655319 FKN655319 FUJ655319 GEF655319 GOB655319 GXX655319 HHT655319 HRP655319 IBL655319 ILH655319 IVD655319 JEZ655319 JOV655319 JYR655319 KIN655319 KSJ655319 LCF655319 LMB655319 LVX655319 MFT655319 MPP655319 MZL655319 NJH655319 NTD655319 OCZ655319 OMV655319 OWR655319 PGN655319 PQJ655319 QAF655319 QKB655319 QTX655319 RDT655319 RNP655319 RXL655319 SHH655319 SRD655319 TAZ655319 TKV655319 TUR655319 UEN655319 UOJ655319 UYF655319 VIB655319 VRX655319 WBT655319 WLP655319 WVL655319 D721101 IZ720855 SV720855 ACR720855 AMN720855 AWJ720855 BGF720855 BQB720855 BZX720855 CJT720855 CTP720855 DDL720855 DNH720855 DXD720855 EGZ720855 EQV720855 FAR720855 FKN720855 FUJ720855 GEF720855 GOB720855 GXX720855 HHT720855 HRP720855 IBL720855 ILH720855 IVD720855 JEZ720855 JOV720855 JYR720855 KIN720855 KSJ720855 LCF720855 LMB720855 LVX720855 MFT720855 MPP720855 MZL720855 NJH720855 NTD720855 OCZ720855 OMV720855 OWR720855 PGN720855 PQJ720855 QAF720855 QKB720855 QTX720855 RDT720855 RNP720855 RXL720855 SHH720855 SRD720855 TAZ720855 TKV720855 TUR720855 UEN720855 UOJ720855 UYF720855 VIB720855 VRX720855 WBT720855 WLP720855 WVL720855 D786637 IZ786391 SV786391 ACR786391 AMN786391 AWJ786391 BGF786391 BQB786391 BZX786391 CJT786391 CTP786391 DDL786391 DNH786391 DXD786391 EGZ786391 EQV786391 FAR786391 FKN786391 FUJ786391 GEF786391 GOB786391 GXX786391 HHT786391 HRP786391 IBL786391 ILH786391 IVD786391 JEZ786391 JOV786391 JYR786391 KIN786391 KSJ786391 LCF786391 LMB786391 LVX786391 MFT786391 MPP786391 MZL786391 NJH786391 NTD786391 OCZ786391 OMV786391 OWR786391 PGN786391 PQJ786391 QAF786391 QKB786391 QTX786391 RDT786391 RNP786391 RXL786391 SHH786391 SRD786391 TAZ786391 TKV786391 TUR786391 UEN786391 UOJ786391 UYF786391 VIB786391 VRX786391 WBT786391 WLP786391 WVL786391 D852173 IZ851927 SV851927 ACR851927 AMN851927 AWJ851927 BGF851927 BQB851927 BZX851927 CJT851927 CTP851927 DDL851927 DNH851927 DXD851927 EGZ851927 EQV851927 FAR851927 FKN851927 FUJ851927 GEF851927 GOB851927 GXX851927 HHT851927 HRP851927 IBL851927 ILH851927 IVD851927 JEZ851927 JOV851927 JYR851927 KIN851927 KSJ851927 LCF851927 LMB851927 LVX851927 MFT851927 MPP851927 MZL851927 NJH851927 NTD851927 OCZ851927 OMV851927 OWR851927 PGN851927 PQJ851927 QAF851927 QKB851927 QTX851927 RDT851927 RNP851927 RXL851927 SHH851927 SRD851927 TAZ851927 TKV851927 TUR851927 UEN851927 UOJ851927 UYF851927 VIB851927 VRX851927 WBT851927 WLP851927 WVL851927 D917709 IZ917463 SV917463 ACR917463 AMN917463 AWJ917463 BGF917463 BQB917463 BZX917463 CJT917463 CTP917463 DDL917463 DNH917463 DXD917463 EGZ917463 EQV917463 FAR917463 FKN917463 FUJ917463 GEF917463 GOB917463 GXX917463 HHT917463 HRP917463 IBL917463 ILH917463 IVD917463 JEZ917463 JOV917463 JYR917463 KIN917463 KSJ917463 LCF917463 LMB917463 LVX917463 MFT917463 MPP917463 MZL917463 NJH917463 NTD917463 OCZ917463 OMV917463 OWR917463 PGN917463 PQJ917463 QAF917463 QKB917463 QTX917463 RDT917463 RNP917463 RXL917463 SHH917463 SRD917463 TAZ917463 TKV917463 TUR917463 UEN917463 UOJ917463 UYF917463 VIB917463 VRX917463 WBT917463 WLP917463 WVL917463 D983245 IZ982999 SV982999 ACR982999 AMN982999 AWJ982999 BGF982999 BQB982999 BZX982999 CJT982999 CTP982999 DDL982999 DNH982999 DXD982999 EGZ982999 EQV982999 FAR982999 FKN982999 FUJ982999 GEF982999 GOB982999 GXX982999 HHT982999 HRP982999 IBL982999 ILH982999 IVD982999 JEZ982999 JOV982999 JYR982999 KIN982999 KSJ982999 LCF982999 LMB982999 LVX982999 MFT982999 MPP982999 MZL982999 NJH982999 NTD982999 OCZ982999 OMV982999 OWR982999 PGN982999 PQJ982999 QAF982999 QKB982999 QTX982999 RDT982999 RNP982999 RXL982999 SHH982999 SRD982999 TAZ982999 TKV982999 TUR982999 UEN982999 UOJ982999 UYF982999 VIB982999 VRX982999 WBT982999 WLP982999 WVL982999" xr:uid="{4AB6E26D-56BA-4018-A333-13DE92167966}">
      <formula1>"Core1,Core2,Core3"</formula1>
    </dataValidation>
    <dataValidation type="list" allowBlank="1" showInputMessage="1" showErrorMessage="1" sqref="G57" xr:uid="{E10B52E5-40BF-49BE-A8BC-8424723B595A}">
      <formula1>"AL, CU,"</formula1>
    </dataValidation>
  </dataValidations>
  <printOptions horizontalCentered="1" verticalCentered="1"/>
  <pageMargins left="0.5" right="0.5" top="0.5" bottom="0.5" header="0" footer="0"/>
  <pageSetup paperSize="9" scale="68" orientation="portrait" r:id="rId1"/>
  <headerFooter alignWithMargins="0"/>
  <rowBreaks count="7" manualBreakCount="7">
    <brk id="49" max="21" man="1"/>
    <brk id="112" max="21" man="1"/>
    <brk id="153" max="21" man="1"/>
    <brk id="202" max="21" man="1"/>
    <brk id="260" max="21" man="1"/>
    <brk id="305" max="21" man="1"/>
    <brk id="357" max="21"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AV373"/>
  <sheetViews>
    <sheetView showZeros="0" view="pageBreakPreview" zoomScaleNormal="100" zoomScaleSheetLayoutView="100" workbookViewId="0">
      <selection activeCell="X21" sqref="X21"/>
    </sheetView>
  </sheetViews>
  <sheetFormatPr defaultColWidth="4.33203125" defaultRowHeight="18" customHeight="1"/>
  <cols>
    <col min="1" max="4" width="4.33203125" style="30"/>
    <col min="5" max="5" width="8.77734375" style="30" bestFit="1" customWidth="1"/>
    <col min="6" max="15" width="4.33203125" style="30"/>
    <col min="16" max="16" width="8.21875" style="30" bestFit="1" customWidth="1"/>
    <col min="17" max="16384" width="4.33203125" style="30"/>
  </cols>
  <sheetData>
    <row r="1" spans="1:48" ht="18" customHeight="1">
      <c r="A1" s="651"/>
      <c r="B1" s="653"/>
      <c r="C1" s="653"/>
      <c r="D1" s="653"/>
      <c r="E1" s="653"/>
      <c r="F1" s="653"/>
      <c r="G1" s="653"/>
      <c r="H1" s="654"/>
      <c r="I1" s="654"/>
      <c r="J1" s="654"/>
      <c r="K1" s="654"/>
      <c r="L1" s="654"/>
      <c r="M1" s="654"/>
      <c r="N1" s="654"/>
      <c r="O1" s="14"/>
      <c r="P1" s="14"/>
      <c r="Q1" s="14"/>
      <c r="R1" s="14"/>
      <c r="S1" s="14"/>
      <c r="T1" s="14"/>
      <c r="U1" s="14"/>
      <c r="V1" s="14"/>
      <c r="W1" s="14"/>
      <c r="X1" s="14"/>
    </row>
    <row r="2" spans="1:48" ht="18" customHeight="1">
      <c r="A2" s="652"/>
      <c r="B2" s="653"/>
      <c r="C2" s="653"/>
      <c r="D2" s="653"/>
      <c r="E2" s="653"/>
      <c r="F2" s="653"/>
      <c r="G2" s="653"/>
      <c r="H2" s="1094" t="s">
        <v>1140</v>
      </c>
      <c r="I2" s="1094"/>
      <c r="J2" s="1094"/>
      <c r="K2" s="1094"/>
      <c r="L2" s="1094"/>
      <c r="M2" s="1094"/>
      <c r="N2" s="1094"/>
      <c r="O2" s="14"/>
      <c r="P2" s="14"/>
      <c r="Q2" s="14"/>
      <c r="R2" s="655"/>
      <c r="S2" s="655"/>
      <c r="T2" s="655"/>
      <c r="U2" s="655"/>
      <c r="V2" s="655"/>
      <c r="W2" s="14"/>
      <c r="X2" s="14"/>
    </row>
    <row r="3" spans="1:48" ht="18" customHeight="1">
      <c r="A3" s="652"/>
      <c r="B3" s="653"/>
      <c r="C3" s="653"/>
      <c r="D3" s="653"/>
      <c r="E3" s="653"/>
      <c r="F3" s="653"/>
      <c r="G3" s="653"/>
      <c r="H3" s="1094"/>
      <c r="I3" s="1094"/>
      <c r="J3" s="1094"/>
      <c r="K3" s="1094"/>
      <c r="L3" s="1094"/>
      <c r="M3" s="1094"/>
      <c r="N3" s="1094"/>
      <c r="O3" s="14"/>
      <c r="P3" s="14"/>
      <c r="Q3" s="14"/>
      <c r="R3" s="14"/>
      <c r="S3" s="14"/>
      <c r="T3" s="14"/>
      <c r="U3" s="14"/>
      <c r="V3" s="14"/>
      <c r="W3" s="14"/>
      <c r="X3" s="14"/>
    </row>
    <row r="4" spans="1:48" ht="18" customHeight="1">
      <c r="A4" s="653"/>
      <c r="B4" s="653"/>
      <c r="C4" s="653"/>
      <c r="D4" s="653"/>
      <c r="E4" s="653"/>
      <c r="F4" s="653"/>
      <c r="G4" s="653"/>
      <c r="H4" s="656"/>
      <c r="I4" s="656"/>
      <c r="J4" s="656"/>
      <c r="K4" s="656"/>
      <c r="L4" s="656"/>
      <c r="M4" s="656"/>
      <c r="N4" s="656"/>
      <c r="O4" s="14"/>
      <c r="P4" s="14"/>
      <c r="Q4" s="14"/>
      <c r="R4" s="14"/>
      <c r="S4" s="14"/>
      <c r="T4" s="14"/>
      <c r="U4" s="14"/>
      <c r="V4" s="14"/>
      <c r="W4" s="14"/>
      <c r="X4" s="14"/>
    </row>
    <row r="5" spans="1:48" ht="18" customHeight="1">
      <c r="A5" s="116"/>
      <c r="B5" s="117" t="s">
        <v>124</v>
      </c>
      <c r="C5" s="7"/>
      <c r="D5" s="7"/>
      <c r="E5" s="7"/>
      <c r="F5" s="7"/>
      <c r="G5" s="7"/>
      <c r="H5" s="7"/>
      <c r="I5" s="7"/>
      <c r="J5" s="118"/>
      <c r="K5" s="7"/>
      <c r="L5" s="7"/>
      <c r="M5" s="7"/>
      <c r="N5" s="7"/>
      <c r="O5" s="7"/>
      <c r="P5" s="7"/>
      <c r="Q5" s="777" t="s">
        <v>1081</v>
      </c>
      <c r="R5" s="777"/>
      <c r="S5" s="777"/>
      <c r="T5" s="777"/>
      <c r="U5" s="727" t="s">
        <v>1088</v>
      </c>
      <c r="V5" s="767"/>
      <c r="W5" s="116"/>
      <c r="X5" s="117" t="s">
        <v>124</v>
      </c>
      <c r="Y5" s="7"/>
      <c r="Z5" s="7"/>
      <c r="AA5" s="7"/>
      <c r="AB5" s="7"/>
      <c r="AC5" s="7"/>
      <c r="AD5" s="7"/>
      <c r="AE5" s="7"/>
      <c r="AF5" s="118"/>
      <c r="AG5" s="7"/>
      <c r="AH5" s="7"/>
      <c r="AI5" s="7"/>
      <c r="AJ5" s="7"/>
      <c r="AK5" s="7"/>
      <c r="AL5" s="7"/>
      <c r="AM5" s="777" t="s">
        <v>1081</v>
      </c>
      <c r="AN5" s="777"/>
      <c r="AO5" s="777"/>
      <c r="AP5" s="777"/>
      <c r="AQ5" s="727" t="s">
        <v>1088</v>
      </c>
      <c r="AR5" s="767"/>
      <c r="AS5" s="14"/>
      <c r="AT5" s="14"/>
    </row>
    <row r="6" spans="1:48" ht="18" customHeight="1">
      <c r="A6" s="119"/>
      <c r="B6" s="18" t="s">
        <v>1078</v>
      </c>
      <c r="C6" s="7"/>
      <c r="D6" s="7"/>
      <c r="E6" s="7"/>
      <c r="F6" s="7"/>
      <c r="G6" s="7"/>
      <c r="H6" s="7"/>
      <c r="I6" s="7"/>
      <c r="J6" s="7"/>
      <c r="K6" s="7"/>
      <c r="L6" s="7"/>
      <c r="M6" s="7"/>
      <c r="N6" s="7"/>
      <c r="O6" s="7"/>
      <c r="P6" s="7"/>
      <c r="Q6" s="777"/>
      <c r="R6" s="777"/>
      <c r="S6" s="777"/>
      <c r="T6" s="777"/>
      <c r="U6" s="727"/>
      <c r="V6" s="767"/>
      <c r="W6" s="119"/>
      <c r="X6" s="18" t="s">
        <v>1078</v>
      </c>
      <c r="Y6" s="7"/>
      <c r="Z6" s="7"/>
      <c r="AA6" s="7"/>
      <c r="AB6" s="7"/>
      <c r="AC6" s="7"/>
      <c r="AD6" s="7"/>
      <c r="AE6" s="7"/>
      <c r="AF6" s="7"/>
      <c r="AG6" s="7"/>
      <c r="AH6" s="7"/>
      <c r="AI6" s="7"/>
      <c r="AJ6" s="7"/>
      <c r="AK6" s="7"/>
      <c r="AL6" s="7"/>
      <c r="AM6" s="777"/>
      <c r="AN6" s="777"/>
      <c r="AO6" s="777"/>
      <c r="AP6" s="777"/>
      <c r="AQ6" s="727"/>
      <c r="AR6" s="767"/>
    </row>
    <row r="7" spans="1:48" ht="18" customHeight="1">
      <c r="A7" s="114"/>
      <c r="B7" s="7"/>
      <c r="C7" s="14" t="s">
        <v>126</v>
      </c>
      <c r="D7" s="7"/>
      <c r="E7" s="7"/>
      <c r="F7" s="7"/>
      <c r="G7" s="7"/>
      <c r="H7" s="7"/>
      <c r="I7" s="7"/>
      <c r="J7" s="7"/>
      <c r="K7" s="7"/>
      <c r="L7" s="7"/>
      <c r="M7" s="7"/>
      <c r="N7" s="7"/>
      <c r="O7" s="7"/>
      <c r="P7" s="7"/>
      <c r="Q7" s="120" t="s">
        <v>8</v>
      </c>
      <c r="R7" s="121" t="s">
        <v>127</v>
      </c>
      <c r="S7" s="778">
        <v>6</v>
      </c>
      <c r="T7" s="779"/>
      <c r="U7" s="47" t="s">
        <v>128</v>
      </c>
      <c r="V7" s="112" t="s">
        <v>129</v>
      </c>
      <c r="W7" s="114"/>
      <c r="X7" s="7"/>
      <c r="Y7" s="14" t="s">
        <v>126</v>
      </c>
      <c r="Z7" s="7"/>
      <c r="AA7" s="7"/>
      <c r="AB7" s="7"/>
      <c r="AC7" s="7"/>
      <c r="AD7" s="7"/>
      <c r="AE7" s="7"/>
      <c r="AF7" s="7"/>
      <c r="AG7" s="7"/>
      <c r="AH7" s="7"/>
      <c r="AI7" s="7"/>
      <c r="AJ7" s="7"/>
      <c r="AK7" s="7"/>
      <c r="AL7" s="7"/>
      <c r="AM7" s="120" t="s">
        <v>8</v>
      </c>
      <c r="AN7" s="121" t="s">
        <v>127</v>
      </c>
      <c r="AO7" s="778">
        <v>6</v>
      </c>
      <c r="AP7" s="779"/>
      <c r="AQ7" s="47" t="s">
        <v>128</v>
      </c>
      <c r="AR7" s="112" t="s">
        <v>129</v>
      </c>
    </row>
    <row r="8" spans="1:48" ht="18" customHeight="1">
      <c r="A8" s="114"/>
      <c r="B8" s="7"/>
      <c r="C8" s="30" t="s">
        <v>1089</v>
      </c>
      <c r="D8" s="7"/>
      <c r="E8" s="7"/>
      <c r="F8" s="7"/>
      <c r="G8" s="7"/>
      <c r="H8" s="7"/>
      <c r="I8" s="7"/>
      <c r="J8" s="7"/>
      <c r="K8" s="7"/>
      <c r="L8" s="7"/>
      <c r="M8" s="7"/>
      <c r="N8" s="7"/>
      <c r="O8" s="7"/>
      <c r="P8" s="7"/>
      <c r="Q8" s="120" t="s">
        <v>131</v>
      </c>
      <c r="R8" s="123" t="s">
        <v>127</v>
      </c>
      <c r="S8" s="780">
        <v>3.69</v>
      </c>
      <c r="T8" s="741"/>
      <c r="U8" s="47" t="s">
        <v>132</v>
      </c>
      <c r="V8" s="112"/>
      <c r="W8" s="114"/>
      <c r="X8" s="7"/>
      <c r="Y8" s="30" t="s">
        <v>1089</v>
      </c>
      <c r="Z8" s="7"/>
      <c r="AA8" s="7"/>
      <c r="AB8" s="7"/>
      <c r="AC8" s="7"/>
      <c r="AD8" s="7"/>
      <c r="AE8" s="7"/>
      <c r="AF8" s="7"/>
      <c r="AG8" s="7"/>
      <c r="AH8" s="7"/>
      <c r="AI8" s="7"/>
      <c r="AJ8" s="7"/>
      <c r="AK8" s="7"/>
      <c r="AL8" s="7"/>
      <c r="AM8" s="120" t="s">
        <v>131</v>
      </c>
      <c r="AN8" s="123" t="s">
        <v>127</v>
      </c>
      <c r="AO8" s="780">
        <v>3.69</v>
      </c>
      <c r="AP8" s="741"/>
      <c r="AQ8" s="47" t="s">
        <v>132</v>
      </c>
      <c r="AR8" s="112"/>
    </row>
    <row r="9" spans="1:48" ht="18" customHeight="1">
      <c r="A9" s="114"/>
      <c r="B9" s="7"/>
      <c r="C9" s="30" t="s">
        <v>133</v>
      </c>
      <c r="D9" s="7"/>
      <c r="E9" s="7"/>
      <c r="F9" s="7"/>
      <c r="G9" s="124"/>
      <c r="H9" s="124"/>
      <c r="I9" s="115" t="s">
        <v>1082</v>
      </c>
      <c r="J9" s="7"/>
      <c r="K9" s="7"/>
      <c r="L9"/>
      <c r="M9" s="7"/>
      <c r="N9" s="7"/>
      <c r="O9" s="7"/>
      <c r="P9" s="7"/>
      <c r="Q9" s="120" t="s">
        <v>135</v>
      </c>
      <c r="R9" s="121" t="s">
        <v>127</v>
      </c>
      <c r="S9" s="743">
        <v>3.9300000000000003E-3</v>
      </c>
      <c r="T9" s="743"/>
      <c r="U9" s="47" t="s">
        <v>136</v>
      </c>
      <c r="V9" s="112"/>
      <c r="W9" s="114"/>
      <c r="X9" s="7"/>
      <c r="Y9" s="30" t="s">
        <v>133</v>
      </c>
      <c r="Z9" s="7"/>
      <c r="AA9" s="7"/>
      <c r="AB9" s="7"/>
      <c r="AC9" s="124"/>
      <c r="AD9" s="124"/>
      <c r="AE9" s="115" t="s">
        <v>1082</v>
      </c>
      <c r="AF9" s="7"/>
      <c r="AG9" s="7"/>
      <c r="AH9"/>
      <c r="AI9" s="7"/>
      <c r="AJ9" s="7"/>
      <c r="AK9" s="7"/>
      <c r="AL9" s="7"/>
      <c r="AM9" s="120" t="s">
        <v>135</v>
      </c>
      <c r="AN9" s="121" t="s">
        <v>127</v>
      </c>
      <c r="AO9" s="743">
        <v>3.9300000000000003E-3</v>
      </c>
      <c r="AP9" s="743"/>
      <c r="AQ9" s="47" t="s">
        <v>136</v>
      </c>
      <c r="AR9" s="112"/>
    </row>
    <row r="10" spans="1:48" ht="18" customHeight="1">
      <c r="A10" s="114"/>
      <c r="B10" s="7"/>
      <c r="C10" s="14" t="s">
        <v>143</v>
      </c>
      <c r="D10" s="7"/>
      <c r="E10" s="7"/>
      <c r="F10" s="7"/>
      <c r="G10" s="7"/>
      <c r="H10" s="7"/>
      <c r="I10" s="7"/>
      <c r="J10" s="7"/>
      <c r="K10" s="7"/>
      <c r="L10" s="7"/>
      <c r="M10" s="7"/>
      <c r="N10" s="7"/>
      <c r="O10" s="7"/>
      <c r="P10" s="7"/>
      <c r="Q10" s="120" t="s">
        <v>144</v>
      </c>
      <c r="R10" s="121" t="s">
        <v>127</v>
      </c>
      <c r="S10" s="743">
        <v>1</v>
      </c>
      <c r="T10" s="739"/>
      <c r="U10" s="47" t="s">
        <v>8</v>
      </c>
      <c r="V10" s="112"/>
      <c r="W10" s="114"/>
      <c r="X10" s="7"/>
      <c r="Y10" s="14" t="s">
        <v>143</v>
      </c>
      <c r="Z10" s="7"/>
      <c r="AA10" s="7"/>
      <c r="AB10" s="7"/>
      <c r="AC10" s="7"/>
      <c r="AD10" s="7"/>
      <c r="AE10" s="7"/>
      <c r="AF10" s="7"/>
      <c r="AG10" s="7"/>
      <c r="AH10" s="7"/>
      <c r="AI10" s="7"/>
      <c r="AJ10" s="7"/>
      <c r="AK10" s="7"/>
      <c r="AL10" s="7"/>
      <c r="AM10" s="120" t="s">
        <v>144</v>
      </c>
      <c r="AN10" s="121" t="s">
        <v>127</v>
      </c>
      <c r="AO10" s="743">
        <v>1</v>
      </c>
      <c r="AP10" s="739"/>
      <c r="AQ10" s="47" t="s">
        <v>8</v>
      </c>
      <c r="AR10" s="112"/>
    </row>
    <row r="11" spans="1:48" ht="18" customHeight="1">
      <c r="A11" s="114"/>
      <c r="B11" s="7"/>
      <c r="C11" s="14" t="s">
        <v>145</v>
      </c>
      <c r="D11" s="7"/>
      <c r="E11" s="7"/>
      <c r="F11" s="7"/>
      <c r="G11" s="7"/>
      <c r="H11" s="7"/>
      <c r="I11" s="7"/>
      <c r="J11" s="7"/>
      <c r="K11" s="7"/>
      <c r="L11" s="7"/>
      <c r="M11" s="7"/>
      <c r="N11" s="7"/>
      <c r="O11" s="7"/>
      <c r="P11" s="7"/>
      <c r="Q11" s="120" t="s">
        <v>146</v>
      </c>
      <c r="R11" s="121" t="s">
        <v>127</v>
      </c>
      <c r="S11" s="743">
        <v>1</v>
      </c>
      <c r="T11" s="739"/>
      <c r="U11" s="47" t="s">
        <v>8</v>
      </c>
      <c r="V11" s="112"/>
      <c r="W11" s="114"/>
      <c r="X11" s="7"/>
      <c r="Y11" s="14" t="s">
        <v>145</v>
      </c>
      <c r="Z11" s="7"/>
      <c r="AA11" s="7"/>
      <c r="AB11" s="7"/>
      <c r="AC11" s="7"/>
      <c r="AD11" s="7"/>
      <c r="AE11" s="7"/>
      <c r="AF11" s="7"/>
      <c r="AG11" s="7"/>
      <c r="AH11" s="7"/>
      <c r="AI11" s="7"/>
      <c r="AJ11" s="7"/>
      <c r="AK11" s="7"/>
      <c r="AL11" s="7"/>
      <c r="AM11" s="120" t="s">
        <v>146</v>
      </c>
      <c r="AN11" s="121" t="s">
        <v>127</v>
      </c>
      <c r="AO11" s="743">
        <v>1</v>
      </c>
      <c r="AP11" s="739"/>
      <c r="AQ11" s="47" t="s">
        <v>8</v>
      </c>
      <c r="AR11" s="112"/>
    </row>
    <row r="12" spans="1:48" ht="18" customHeight="1">
      <c r="A12" s="114"/>
      <c r="B12" s="7"/>
      <c r="C12" s="14" t="s">
        <v>147</v>
      </c>
      <c r="D12" s="7"/>
      <c r="E12" s="7"/>
      <c r="F12" s="7"/>
      <c r="G12" s="7"/>
      <c r="H12" s="7"/>
      <c r="I12" s="7"/>
      <c r="J12" s="126"/>
      <c r="K12" s="126"/>
      <c r="L12" s="7"/>
      <c r="M12" s="7"/>
      <c r="N12" s="7"/>
      <c r="O12" s="7"/>
      <c r="P12" s="7"/>
      <c r="Q12" s="244" t="s">
        <v>1090</v>
      </c>
      <c r="R12" s="121" t="s">
        <v>127</v>
      </c>
      <c r="S12" s="743">
        <v>120</v>
      </c>
      <c r="T12" s="739"/>
      <c r="U12" s="47" t="s">
        <v>149</v>
      </c>
      <c r="V12" s="112" t="s">
        <v>129</v>
      </c>
      <c r="W12" s="114"/>
      <c r="X12" s="7"/>
      <c r="Y12" s="14" t="s">
        <v>147</v>
      </c>
      <c r="Z12" s="7"/>
      <c r="AA12" s="7"/>
      <c r="AB12" s="7"/>
      <c r="AC12" s="7"/>
      <c r="AD12" s="7"/>
      <c r="AE12" s="7"/>
      <c r="AF12" s="126"/>
      <c r="AG12" s="126"/>
      <c r="AH12" s="7"/>
      <c r="AI12" s="7"/>
      <c r="AJ12" s="7"/>
      <c r="AK12" s="7"/>
      <c r="AL12" s="7"/>
      <c r="AM12" s="244" t="s">
        <v>1090</v>
      </c>
      <c r="AN12" s="121" t="s">
        <v>127</v>
      </c>
      <c r="AO12" s="743">
        <v>120</v>
      </c>
      <c r="AP12" s="739"/>
      <c r="AQ12" s="47" t="s">
        <v>149</v>
      </c>
      <c r="AR12" s="112" t="s">
        <v>129</v>
      </c>
    </row>
    <row r="13" spans="1:48" ht="18" customHeight="1">
      <c r="A13" s="114"/>
      <c r="B13" s="7"/>
      <c r="C13" s="30" t="s">
        <v>1084</v>
      </c>
      <c r="D13" s="7"/>
      <c r="E13" s="7"/>
      <c r="F13" s="7"/>
      <c r="G13" s="7"/>
      <c r="H13" s="7"/>
      <c r="I13" s="115" t="s">
        <v>1086</v>
      </c>
      <c r="J13" s="115"/>
      <c r="K13" s="115"/>
      <c r="L13" s="115"/>
      <c r="M13" s="115"/>
      <c r="N13" s="115"/>
      <c r="O13" s="7"/>
      <c r="P13" s="7"/>
      <c r="Q13" s="244" t="s">
        <v>1085</v>
      </c>
      <c r="R13" s="425" t="s">
        <v>127</v>
      </c>
      <c r="S13" s="781">
        <v>75</v>
      </c>
      <c r="T13" s="782"/>
      <c r="U13" s="47"/>
      <c r="V13" s="112"/>
      <c r="W13" s="114"/>
      <c r="X13" s="7"/>
      <c r="Y13" s="30" t="s">
        <v>1084</v>
      </c>
      <c r="Z13" s="7"/>
      <c r="AA13" s="7"/>
      <c r="AB13" s="7"/>
      <c r="AC13" s="7"/>
      <c r="AD13" s="7"/>
      <c r="AE13" s="115" t="s">
        <v>1086</v>
      </c>
      <c r="AF13" s="115"/>
      <c r="AG13" s="115"/>
      <c r="AH13" s="115"/>
      <c r="AI13" s="115"/>
      <c r="AJ13" s="115"/>
      <c r="AK13" s="7"/>
      <c r="AL13" s="7"/>
      <c r="AM13" s="244" t="s">
        <v>1085</v>
      </c>
      <c r="AN13" s="425" t="s">
        <v>127</v>
      </c>
      <c r="AO13" s="781">
        <v>75</v>
      </c>
      <c r="AP13" s="782"/>
      <c r="AQ13" s="47"/>
      <c r="AR13" s="112"/>
    </row>
    <row r="14" spans="1:48" ht="18" customHeight="1">
      <c r="A14" s="114"/>
      <c r="B14" s="673" t="s">
        <v>1079</v>
      </c>
      <c r="C14" s="117"/>
      <c r="D14" s="673"/>
      <c r="E14" s="673"/>
      <c r="F14" s="673"/>
      <c r="G14" s="673"/>
      <c r="H14" s="673"/>
      <c r="I14" s="7"/>
      <c r="J14" s="126"/>
      <c r="K14" s="126"/>
      <c r="L14" s="7"/>
      <c r="M14" s="7"/>
      <c r="N14" s="7"/>
      <c r="O14" s="7"/>
      <c r="P14" s="7"/>
      <c r="Q14" s="120"/>
      <c r="R14" s="121"/>
      <c r="S14" s="125"/>
      <c r="T14" s="646"/>
      <c r="U14" s="47"/>
      <c r="V14" s="112"/>
      <c r="W14" s="114"/>
      <c r="X14" s="673" t="s">
        <v>1079</v>
      </c>
      <c r="Y14" s="117"/>
      <c r="Z14" s="673"/>
      <c r="AA14" s="673"/>
      <c r="AB14" s="673"/>
      <c r="AC14" s="673"/>
      <c r="AD14" s="673"/>
      <c r="AE14" s="7"/>
      <c r="AF14" s="126"/>
      <c r="AG14" s="126"/>
      <c r="AH14" s="7"/>
      <c r="AI14" s="7"/>
      <c r="AJ14" s="7"/>
      <c r="AK14" s="7"/>
      <c r="AL14" s="7"/>
      <c r="AM14" s="120"/>
      <c r="AN14" s="121"/>
      <c r="AO14" s="125"/>
      <c r="AP14" s="646"/>
      <c r="AQ14" s="47"/>
      <c r="AR14" s="112"/>
    </row>
    <row r="15" spans="1:48" ht="18" customHeight="1">
      <c r="A15" s="119"/>
      <c r="B15" s="18" t="s">
        <v>137</v>
      </c>
      <c r="C15" s="7"/>
      <c r="D15" s="7"/>
      <c r="E15" s="7"/>
      <c r="F15" s="7"/>
      <c r="G15" s="7"/>
      <c r="H15" s="18" t="s">
        <v>1087</v>
      </c>
      <c r="I15" s="7"/>
      <c r="J15" s="7"/>
      <c r="K15" s="7"/>
      <c r="L15" s="7"/>
      <c r="M15" s="7"/>
      <c r="N15" s="7"/>
      <c r="O15" s="7"/>
      <c r="P15" s="7"/>
      <c r="Q15" s="120"/>
      <c r="R15" s="121"/>
      <c r="S15" s="28"/>
      <c r="T15" s="28"/>
      <c r="U15" s="47"/>
      <c r="V15" s="112"/>
      <c r="W15" s="119"/>
      <c r="X15" s="18" t="s">
        <v>137</v>
      </c>
      <c r="Y15" s="7"/>
      <c r="Z15" s="7"/>
      <c r="AA15" s="7"/>
      <c r="AB15" s="7"/>
      <c r="AC15" s="7"/>
      <c r="AD15" s="18" t="s">
        <v>1087</v>
      </c>
      <c r="AE15" s="7"/>
      <c r="AF15" s="7"/>
      <c r="AG15" s="7"/>
      <c r="AH15" s="7"/>
      <c r="AI15" s="7"/>
      <c r="AJ15" s="7"/>
      <c r="AK15" s="7"/>
      <c r="AL15" s="7"/>
      <c r="AM15" s="120"/>
      <c r="AN15" s="121"/>
      <c r="AO15" s="28"/>
      <c r="AP15" s="28"/>
      <c r="AQ15" s="47"/>
      <c r="AR15" s="112"/>
    </row>
    <row r="16" spans="1:48" s="7" customFormat="1" ht="18" customHeight="1">
      <c r="A16" s="114"/>
      <c r="B16" t="s">
        <v>1083</v>
      </c>
      <c r="C16" s="14"/>
      <c r="J16" s="674"/>
      <c r="K16" s="674"/>
      <c r="L16" s="674"/>
      <c r="M16" s="674"/>
      <c r="N16" s="674"/>
      <c r="O16" s="674"/>
      <c r="P16" s="674"/>
      <c r="Q16" s="674"/>
      <c r="R16" s="674"/>
      <c r="S16" s="674"/>
      <c r="T16" s="674"/>
      <c r="U16" s="674"/>
      <c r="V16" s="657"/>
      <c r="W16" s="114"/>
      <c r="X16" t="s">
        <v>1083</v>
      </c>
      <c r="Y16" s="14"/>
      <c r="AF16" s="674"/>
      <c r="AG16" s="674"/>
      <c r="AH16" s="674"/>
      <c r="AI16" s="674"/>
      <c r="AJ16" s="674"/>
      <c r="AK16" s="674"/>
      <c r="AL16" s="674"/>
      <c r="AM16" s="674"/>
      <c r="AN16" s="674"/>
      <c r="AO16" s="674"/>
      <c r="AP16" s="674"/>
      <c r="AQ16" s="674"/>
      <c r="AR16" s="657"/>
      <c r="AT16" s="7">
        <f>AO12*(1+AO13*(75-20))</f>
        <v>495120</v>
      </c>
      <c r="AV16" s="7">
        <v>5.61</v>
      </c>
    </row>
    <row r="17" spans="1:47" s="7" customFormat="1" ht="18" customHeight="1">
      <c r="A17" s="114"/>
      <c r="C17" s="14" t="s">
        <v>140</v>
      </c>
      <c r="Q17" s="244" t="s">
        <v>1080</v>
      </c>
      <c r="R17" s="121" t="s">
        <v>127</v>
      </c>
      <c r="S17" s="775">
        <f>S8*(1+S9*(75-20))/1000</f>
        <v>4.4875935000000004E-3</v>
      </c>
      <c r="T17" s="776"/>
      <c r="U17" s="47" t="s">
        <v>142</v>
      </c>
      <c r="V17" s="112"/>
      <c r="W17" s="114"/>
      <c r="Y17" s="14" t="s">
        <v>140</v>
      </c>
      <c r="AM17" s="244" t="s">
        <v>1080</v>
      </c>
      <c r="AN17" s="121" t="s">
        <v>127</v>
      </c>
      <c r="AO17" s="775">
        <f>AO8*(1+AO9*(75-20))/1000</f>
        <v>4.4875935000000004E-3</v>
      </c>
      <c r="AP17" s="776"/>
      <c r="AQ17" s="47" t="s">
        <v>142</v>
      </c>
      <c r="AR17" s="112"/>
    </row>
    <row r="18" spans="1:47" ht="18" customHeight="1">
      <c r="A18" s="114"/>
      <c r="B18" s="7"/>
      <c r="C18" s="30" t="s">
        <v>1093</v>
      </c>
      <c r="D18" s="7"/>
      <c r="E18" s="7"/>
      <c r="F18" s="7"/>
      <c r="G18" s="7"/>
      <c r="H18" s="7"/>
      <c r="I18" s="7"/>
      <c r="J18" s="7"/>
      <c r="K18" s="7"/>
      <c r="L18" s="7"/>
      <c r="M18" s="7"/>
      <c r="N18" s="7"/>
      <c r="O18" t="s">
        <v>1095</v>
      </c>
      <c r="P18" s="7"/>
      <c r="Q18" s="244" t="s">
        <v>1097</v>
      </c>
      <c r="R18" s="121" t="s">
        <v>127</v>
      </c>
      <c r="S18" s="766">
        <v>1.08</v>
      </c>
      <c r="T18" s="766"/>
      <c r="U18" s="47" t="s">
        <v>152</v>
      </c>
      <c r="V18" s="112"/>
      <c r="W18" s="114"/>
      <c r="X18" s="7"/>
      <c r="Y18" s="30" t="s">
        <v>1093</v>
      </c>
      <c r="Z18" s="7"/>
      <c r="AA18" s="7"/>
      <c r="AB18" s="7"/>
      <c r="AC18" s="7"/>
      <c r="AD18" s="7"/>
      <c r="AE18" s="7"/>
      <c r="AF18" s="7"/>
      <c r="AG18" s="7"/>
      <c r="AH18" s="7"/>
      <c r="AI18" s="7"/>
      <c r="AJ18" s="7"/>
      <c r="AK18" t="s">
        <v>1095</v>
      </c>
      <c r="AL18" s="7"/>
      <c r="AM18" s="244" t="s">
        <v>1097</v>
      </c>
      <c r="AN18" s="121" t="s">
        <v>127</v>
      </c>
      <c r="AO18" s="766">
        <v>1.08</v>
      </c>
      <c r="AP18" s="766"/>
      <c r="AQ18" s="47" t="s">
        <v>152</v>
      </c>
      <c r="AR18" s="112"/>
    </row>
    <row r="19" spans="1:47" ht="18" customHeight="1">
      <c r="A19" s="114"/>
      <c r="B19" s="7"/>
      <c r="C19" s="30" t="s">
        <v>155</v>
      </c>
      <c r="D19" s="7"/>
      <c r="E19" s="7"/>
      <c r="F19" s="7"/>
      <c r="G19" s="7"/>
      <c r="H19" s="7"/>
      <c r="I19" s="7"/>
      <c r="J19" s="7"/>
      <c r="K19" s="7"/>
      <c r="L19" s="7"/>
      <c r="M19" s="7"/>
      <c r="N19" s="7"/>
      <c r="O19" s="7" t="s">
        <v>1091</v>
      </c>
      <c r="P19" s="7"/>
      <c r="Q19" s="244" t="s">
        <v>1096</v>
      </c>
      <c r="R19" s="121" t="s">
        <v>127</v>
      </c>
      <c r="S19" s="766">
        <f>S10*S10*S18</f>
        <v>1.08</v>
      </c>
      <c r="T19" s="766"/>
      <c r="U19" s="47" t="s">
        <v>157</v>
      </c>
      <c r="V19" s="112"/>
      <c r="W19" s="114"/>
      <c r="X19" s="7"/>
      <c r="Y19" s="30" t="s">
        <v>155</v>
      </c>
      <c r="Z19" s="7"/>
      <c r="AA19" s="7"/>
      <c r="AB19" s="7"/>
      <c r="AC19" s="7"/>
      <c r="AD19" s="7"/>
      <c r="AE19" s="7"/>
      <c r="AF19" s="7"/>
      <c r="AG19" s="7"/>
      <c r="AH19" s="7"/>
      <c r="AI19" s="7"/>
      <c r="AJ19" s="7"/>
      <c r="AK19" s="7" t="s">
        <v>1091</v>
      </c>
      <c r="AL19" s="7"/>
      <c r="AM19" s="244" t="s">
        <v>1096</v>
      </c>
      <c r="AN19" s="121" t="s">
        <v>127</v>
      </c>
      <c r="AO19" s="766">
        <f>AO10*AO10*AO18</f>
        <v>1.08</v>
      </c>
      <c r="AP19" s="766"/>
      <c r="AQ19" s="47" t="s">
        <v>157</v>
      </c>
      <c r="AR19" s="112"/>
    </row>
    <row r="20" spans="1:47" ht="18" customHeight="1">
      <c r="A20" s="114"/>
      <c r="B20" s="7"/>
      <c r="C20" s="14"/>
      <c r="D20" s="7"/>
      <c r="E20" s="7"/>
      <c r="F20" s="7"/>
      <c r="G20" s="7"/>
      <c r="H20" s="7"/>
      <c r="I20" s="7"/>
      <c r="J20" s="7"/>
      <c r="K20" s="7"/>
      <c r="L20" s="7"/>
      <c r="M20" s="7"/>
      <c r="N20" s="7"/>
      <c r="O20" s="7"/>
      <c r="P20" s="7"/>
      <c r="Q20" s="120"/>
      <c r="R20" s="121"/>
      <c r="S20" s="218"/>
      <c r="T20" s="218"/>
      <c r="U20" s="47"/>
      <c r="V20" s="112"/>
      <c r="W20" s="114"/>
      <c r="X20" s="7"/>
      <c r="Y20" s="14"/>
      <c r="Z20" s="7"/>
      <c r="AA20" s="7"/>
      <c r="AB20" s="7"/>
      <c r="AC20" s="7"/>
      <c r="AD20" s="7"/>
      <c r="AE20" s="7"/>
      <c r="AF20" s="7"/>
      <c r="AG20" s="7"/>
      <c r="AH20" s="7"/>
      <c r="AI20" s="7"/>
      <c r="AJ20" s="7"/>
      <c r="AK20" s="7"/>
      <c r="AL20" s="7"/>
      <c r="AM20" s="120"/>
      <c r="AN20" s="121"/>
      <c r="AO20" s="218"/>
      <c r="AP20" s="218"/>
      <c r="AQ20" s="47"/>
      <c r="AR20" s="112"/>
    </row>
    <row r="21" spans="1:47" ht="18" customHeight="1">
      <c r="A21" s="96"/>
      <c r="B21" s="7"/>
      <c r="C21" s="14"/>
      <c r="D21" s="7"/>
      <c r="E21" s="7"/>
      <c r="F21" s="7"/>
      <c r="G21" s="7"/>
      <c r="H21" s="7"/>
      <c r="I21" s="7"/>
      <c r="J21" s="7"/>
      <c r="K21" s="7"/>
      <c r="L21" s="7"/>
      <c r="M21" s="7"/>
      <c r="N21" s="7"/>
      <c r="O21" s="7"/>
      <c r="P21" s="7"/>
      <c r="Q21" s="777" t="s">
        <v>1081</v>
      </c>
      <c r="R21" s="777"/>
      <c r="S21" s="777"/>
      <c r="T21" s="777"/>
      <c r="U21" s="727" t="s">
        <v>1088</v>
      </c>
      <c r="V21" s="767"/>
      <c r="W21" s="96"/>
      <c r="X21" s="7"/>
      <c r="Y21" s="14"/>
      <c r="Z21" s="7"/>
      <c r="AA21" s="7"/>
      <c r="AB21" s="7"/>
      <c r="AC21" s="7"/>
      <c r="AD21" s="7"/>
      <c r="AE21" s="7"/>
      <c r="AF21" s="7"/>
      <c r="AG21" s="7"/>
      <c r="AH21" s="7"/>
      <c r="AI21" s="7"/>
      <c r="AJ21" s="7"/>
      <c r="AK21" s="7"/>
      <c r="AL21" s="7"/>
      <c r="AM21" s="777" t="s">
        <v>1081</v>
      </c>
      <c r="AN21" s="777"/>
      <c r="AO21" s="777"/>
      <c r="AP21" s="777"/>
      <c r="AQ21" s="727" t="s">
        <v>1088</v>
      </c>
      <c r="AR21" s="767"/>
      <c r="AT21" s="298" t="s">
        <v>563</v>
      </c>
    </row>
    <row r="22" spans="1:47" ht="18" customHeight="1">
      <c r="A22" s="116"/>
      <c r="B22" s="117" t="s">
        <v>158</v>
      </c>
      <c r="C22" s="7"/>
      <c r="D22" s="7"/>
      <c r="E22" s="7"/>
      <c r="F22" s="7"/>
      <c r="G22" s="7"/>
      <c r="H22" s="7"/>
      <c r="I22" s="7"/>
      <c r="J22" s="7"/>
      <c r="K22" s="7"/>
      <c r="L22" s="7"/>
      <c r="M22" s="124"/>
      <c r="N22" s="121"/>
      <c r="O22" s="7"/>
      <c r="P22" s="7"/>
      <c r="Q22" s="777"/>
      <c r="R22" s="777"/>
      <c r="S22" s="777"/>
      <c r="T22" s="777"/>
      <c r="U22" s="727"/>
      <c r="V22" s="767"/>
      <c r="W22" s="116"/>
      <c r="X22" s="117" t="s">
        <v>158</v>
      </c>
      <c r="Y22" s="7"/>
      <c r="Z22" s="7"/>
      <c r="AA22" s="7"/>
      <c r="AB22" s="7"/>
      <c r="AC22" s="7"/>
      <c r="AD22" s="7"/>
      <c r="AE22" s="7"/>
      <c r="AF22" s="7"/>
      <c r="AG22" s="7"/>
      <c r="AH22" s="7"/>
      <c r="AI22" s="124"/>
      <c r="AJ22" s="121"/>
      <c r="AK22" s="7"/>
      <c r="AL22" s="7"/>
      <c r="AM22" s="777"/>
      <c r="AN22" s="777"/>
      <c r="AO22" s="777"/>
      <c r="AP22" s="777"/>
      <c r="AQ22" s="727"/>
      <c r="AR22" s="767"/>
    </row>
    <row r="23" spans="1:47" ht="18" customHeight="1">
      <c r="A23" s="116"/>
      <c r="B23" s="117" t="s">
        <v>1102</v>
      </c>
      <c r="C23" s="7"/>
      <c r="D23" s="7"/>
      <c r="E23" s="7"/>
      <c r="F23" s="7"/>
      <c r="G23" s="7"/>
      <c r="H23" s="7"/>
      <c r="I23" s="7"/>
      <c r="J23" s="7"/>
      <c r="K23" s="7"/>
      <c r="L23" s="7"/>
      <c r="M23" s="124"/>
      <c r="N23" s="121"/>
      <c r="O23" s="7"/>
      <c r="P23" s="7"/>
      <c r="Q23" s="672"/>
      <c r="R23" s="672"/>
      <c r="S23" s="672"/>
      <c r="T23" s="672"/>
      <c r="U23" s="480"/>
      <c r="V23" s="650"/>
      <c r="W23" s="116"/>
      <c r="X23" s="117" t="s">
        <v>1102</v>
      </c>
      <c r="Y23" s="7"/>
      <c r="Z23" s="7"/>
      <c r="AA23" s="7"/>
      <c r="AB23" s="7"/>
      <c r="AC23" s="7"/>
      <c r="AD23" s="7"/>
      <c r="AE23" s="7"/>
      <c r="AF23" s="7"/>
      <c r="AG23" s="7"/>
      <c r="AH23" s="7"/>
      <c r="AI23" s="124"/>
      <c r="AJ23" s="121"/>
      <c r="AK23" s="7"/>
      <c r="AL23" s="7"/>
      <c r="AM23" s="672"/>
      <c r="AN23" s="672"/>
      <c r="AO23" s="672"/>
      <c r="AP23" s="672"/>
      <c r="AQ23" s="480"/>
      <c r="AR23" s="650"/>
      <c r="AS23" s="279"/>
      <c r="AT23" s="279"/>
      <c r="AU23" s="279"/>
    </row>
    <row r="24" spans="1:47" ht="18" customHeight="1">
      <c r="A24" s="119"/>
      <c r="B24" s="18" t="s">
        <v>125</v>
      </c>
      <c r="C24" s="14"/>
      <c r="D24" s="14"/>
      <c r="E24" s="14"/>
      <c r="F24" s="14"/>
      <c r="G24" s="14"/>
      <c r="H24" s="14"/>
      <c r="I24" s="14"/>
      <c r="J24" s="14"/>
      <c r="K24" s="14"/>
      <c r="L24" s="14"/>
      <c r="M24" s="14"/>
      <c r="N24" s="14"/>
      <c r="O24" s="14"/>
      <c r="P24" s="14"/>
      <c r="Q24" s="14"/>
      <c r="R24" s="14"/>
      <c r="S24" s="14"/>
      <c r="T24" s="14"/>
      <c r="U24" s="14"/>
      <c r="V24" s="112"/>
      <c r="W24" s="119"/>
      <c r="X24" s="18" t="s">
        <v>125</v>
      </c>
      <c r="Y24" s="14"/>
      <c r="Z24" s="14"/>
      <c r="AA24" s="14"/>
      <c r="AB24" s="14"/>
      <c r="AC24" s="14"/>
      <c r="AD24" s="14"/>
      <c r="AE24" s="14"/>
      <c r="AF24" s="14"/>
      <c r="AG24" s="14"/>
      <c r="AH24" s="14"/>
      <c r="AI24" s="14"/>
      <c r="AJ24" s="14"/>
      <c r="AK24" s="14"/>
      <c r="AL24" s="14"/>
      <c r="AM24" s="14"/>
      <c r="AN24" s="14"/>
      <c r="AO24" s="14"/>
      <c r="AP24" s="14"/>
      <c r="AQ24" s="14"/>
      <c r="AR24" s="112"/>
      <c r="AS24" s="279"/>
      <c r="AT24" s="279"/>
      <c r="AU24" s="279"/>
    </row>
    <row r="25" spans="1:47" ht="18" customHeight="1">
      <c r="A25" s="114"/>
      <c r="B25" s="7"/>
      <c r="C25" s="14" t="s">
        <v>126</v>
      </c>
      <c r="D25" s="14"/>
      <c r="E25" s="14"/>
      <c r="F25" s="14"/>
      <c r="G25" s="14"/>
      <c r="H25" s="14"/>
      <c r="I25" s="14"/>
      <c r="J25" s="14"/>
      <c r="K25" s="14"/>
      <c r="L25" s="14"/>
      <c r="M25" s="7"/>
      <c r="N25" s="14"/>
      <c r="O25" s="14"/>
      <c r="P25" s="14"/>
      <c r="Q25" s="120" t="s">
        <v>8</v>
      </c>
      <c r="R25" s="28" t="s">
        <v>127</v>
      </c>
      <c r="S25" s="778">
        <v>2.5</v>
      </c>
      <c r="T25" s="779"/>
      <c r="U25" s="47" t="s">
        <v>128</v>
      </c>
      <c r="V25" s="112" t="s">
        <v>129</v>
      </c>
      <c r="W25" s="114"/>
      <c r="X25" s="7"/>
      <c r="Y25" s="14" t="s">
        <v>126</v>
      </c>
      <c r="Z25" s="14"/>
      <c r="AA25" s="14"/>
      <c r="AB25" s="14"/>
      <c r="AC25" s="14"/>
      <c r="AD25" s="14"/>
      <c r="AE25" s="14"/>
      <c r="AF25" s="14"/>
      <c r="AG25" s="14"/>
      <c r="AH25" s="14"/>
      <c r="AI25" s="7"/>
      <c r="AJ25" s="14"/>
      <c r="AK25" s="14"/>
      <c r="AL25" s="14"/>
      <c r="AM25" s="120" t="s">
        <v>8</v>
      </c>
      <c r="AN25" s="28" t="s">
        <v>127</v>
      </c>
      <c r="AO25" s="778">
        <v>2.5</v>
      </c>
      <c r="AP25" s="779"/>
      <c r="AQ25" s="47" t="s">
        <v>128</v>
      </c>
      <c r="AR25" s="112" t="s">
        <v>129</v>
      </c>
      <c r="AT25" s="279"/>
      <c r="AU25" s="279"/>
    </row>
    <row r="26" spans="1:47" ht="18" customHeight="1">
      <c r="A26" s="114"/>
      <c r="B26" s="7"/>
      <c r="C26" s="14" t="s">
        <v>130</v>
      </c>
      <c r="D26" s="14"/>
      <c r="E26" s="14"/>
      <c r="F26" s="14"/>
      <c r="G26" s="14"/>
      <c r="H26" s="14"/>
      <c r="I26" s="14"/>
      <c r="J26" s="14"/>
      <c r="K26" s="14"/>
      <c r="L26" s="14"/>
      <c r="M26" s="14"/>
      <c r="N26" s="14"/>
      <c r="O26" s="14"/>
      <c r="P26" s="14"/>
      <c r="Q26" s="120" t="s">
        <v>131</v>
      </c>
      <c r="R26" s="102" t="s">
        <v>127</v>
      </c>
      <c r="S26" s="780">
        <v>8.8699999999999992</v>
      </c>
      <c r="T26" s="741"/>
      <c r="U26" s="47" t="s">
        <v>132</v>
      </c>
      <c r="V26" s="112"/>
      <c r="W26" s="114"/>
      <c r="X26" s="7"/>
      <c r="Y26" s="14" t="s">
        <v>130</v>
      </c>
      <c r="Z26" s="14"/>
      <c r="AA26" s="14"/>
      <c r="AB26" s="14"/>
      <c r="AC26" s="14"/>
      <c r="AD26" s="14"/>
      <c r="AE26" s="14"/>
      <c r="AF26" s="14"/>
      <c r="AG26" s="14"/>
      <c r="AH26" s="14"/>
      <c r="AI26" s="14"/>
      <c r="AJ26" s="14"/>
      <c r="AK26" s="14"/>
      <c r="AL26" s="14"/>
      <c r="AM26" s="120" t="s">
        <v>131</v>
      </c>
      <c r="AN26" s="102" t="s">
        <v>127</v>
      </c>
      <c r="AO26" s="780">
        <v>8.8699999999999992</v>
      </c>
      <c r="AP26" s="741"/>
      <c r="AQ26" s="47" t="s">
        <v>132</v>
      </c>
      <c r="AR26" s="112"/>
      <c r="AT26" s="279"/>
      <c r="AU26" s="279"/>
    </row>
    <row r="27" spans="1:47" ht="18" customHeight="1">
      <c r="A27" s="114"/>
      <c r="B27" s="7"/>
      <c r="C27" s="14" t="s">
        <v>133</v>
      </c>
      <c r="D27" s="14"/>
      <c r="E27" s="14"/>
      <c r="F27" s="14"/>
      <c r="G27" s="120"/>
      <c r="H27" s="120"/>
      <c r="I27" s="14" t="s">
        <v>134</v>
      </c>
      <c r="J27" s="14"/>
      <c r="K27" s="14"/>
      <c r="L27" s="14"/>
      <c r="M27" s="14"/>
      <c r="N27" s="14"/>
      <c r="O27" s="14"/>
      <c r="P27" s="14"/>
      <c r="Q27" s="120" t="s">
        <v>135</v>
      </c>
      <c r="R27" s="28" t="s">
        <v>127</v>
      </c>
      <c r="S27" s="743">
        <v>3.9300000000000003E-3</v>
      </c>
      <c r="T27" s="743"/>
      <c r="U27" s="47" t="s">
        <v>136</v>
      </c>
      <c r="V27" s="112"/>
      <c r="W27" s="114"/>
      <c r="X27" s="7"/>
      <c r="Y27" s="14" t="s">
        <v>133</v>
      </c>
      <c r="Z27" s="14"/>
      <c r="AA27" s="14"/>
      <c r="AB27" s="14"/>
      <c r="AC27" s="120"/>
      <c r="AD27" s="120"/>
      <c r="AE27" s="14" t="s">
        <v>134</v>
      </c>
      <c r="AF27" s="14"/>
      <c r="AG27" s="14"/>
      <c r="AH27" s="14"/>
      <c r="AI27" s="14"/>
      <c r="AJ27" s="14"/>
      <c r="AK27" s="14"/>
      <c r="AL27" s="14"/>
      <c r="AM27" s="120" t="s">
        <v>135</v>
      </c>
      <c r="AN27" s="28" t="s">
        <v>127</v>
      </c>
      <c r="AO27" s="743">
        <v>3.9300000000000003E-3</v>
      </c>
      <c r="AP27" s="743"/>
      <c r="AQ27" s="47" t="s">
        <v>136</v>
      </c>
      <c r="AR27" s="112"/>
    </row>
    <row r="28" spans="1:47" ht="18" customHeight="1">
      <c r="A28" s="114"/>
      <c r="B28" s="7"/>
      <c r="C28" s="14" t="s">
        <v>161</v>
      </c>
      <c r="D28" s="14"/>
      <c r="E28" s="14"/>
      <c r="F28" s="14"/>
      <c r="G28" s="14"/>
      <c r="H28" s="14"/>
      <c r="I28" s="14"/>
      <c r="J28" s="14"/>
      <c r="K28" s="14"/>
      <c r="L28" s="14"/>
      <c r="M28" s="14"/>
      <c r="N28" s="14"/>
      <c r="O28" s="14"/>
      <c r="P28" s="14"/>
      <c r="Q28" s="120" t="s">
        <v>162</v>
      </c>
      <c r="R28" s="28" t="s">
        <v>127</v>
      </c>
      <c r="S28" s="743" t="s">
        <v>951</v>
      </c>
      <c r="T28" s="739"/>
      <c r="U28" s="47" t="s">
        <v>163</v>
      </c>
      <c r="V28" s="112"/>
      <c r="W28" s="114"/>
      <c r="X28" s="7"/>
      <c r="Y28" s="14" t="s">
        <v>161</v>
      </c>
      <c r="Z28" s="14"/>
      <c r="AA28" s="14"/>
      <c r="AB28" s="14"/>
      <c r="AC28" s="14"/>
      <c r="AD28" s="14"/>
      <c r="AE28" s="14"/>
      <c r="AF28" s="14"/>
      <c r="AG28" s="14"/>
      <c r="AH28" s="14"/>
      <c r="AI28" s="14"/>
      <c r="AJ28" s="14"/>
      <c r="AK28" s="14"/>
      <c r="AL28" s="14"/>
      <c r="AM28" s="120" t="s">
        <v>162</v>
      </c>
      <c r="AN28" s="28" t="s">
        <v>127</v>
      </c>
      <c r="AO28" s="743" t="s">
        <v>951</v>
      </c>
      <c r="AP28" s="739"/>
      <c r="AQ28" s="47" t="s">
        <v>163</v>
      </c>
      <c r="AR28" s="112"/>
      <c r="AS28" s="279"/>
      <c r="AT28" s="279"/>
      <c r="AU28" s="279"/>
    </row>
    <row r="29" spans="1:47" ht="18" customHeight="1">
      <c r="A29" s="114"/>
      <c r="B29" s="7"/>
      <c r="C29" s="14" t="s">
        <v>164</v>
      </c>
      <c r="D29" s="14"/>
      <c r="E29" s="14"/>
      <c r="F29" s="14"/>
      <c r="G29" s="14"/>
      <c r="H29" s="14"/>
      <c r="I29" s="14"/>
      <c r="J29" s="14"/>
      <c r="K29" s="14"/>
      <c r="L29" s="14"/>
      <c r="M29" s="14"/>
      <c r="N29" s="14"/>
      <c r="O29" s="14"/>
      <c r="P29" s="14"/>
      <c r="Q29" s="120" t="s">
        <v>165</v>
      </c>
      <c r="R29" s="28" t="s">
        <v>127</v>
      </c>
      <c r="S29" s="743" t="s">
        <v>166</v>
      </c>
      <c r="T29" s="739"/>
      <c r="U29" s="47" t="s">
        <v>163</v>
      </c>
      <c r="V29" s="112"/>
      <c r="W29" s="114"/>
      <c r="X29" s="7"/>
      <c r="Y29" s="14" t="s">
        <v>164</v>
      </c>
      <c r="Z29" s="14"/>
      <c r="AA29" s="14"/>
      <c r="AB29" s="14"/>
      <c r="AC29" s="14"/>
      <c r="AD29" s="14"/>
      <c r="AE29" s="14"/>
      <c r="AF29" s="14"/>
      <c r="AG29" s="14"/>
      <c r="AH29" s="14"/>
      <c r="AI29" s="14"/>
      <c r="AJ29" s="14"/>
      <c r="AK29" s="14"/>
      <c r="AL29" s="14"/>
      <c r="AM29" s="120" t="s">
        <v>165</v>
      </c>
      <c r="AN29" s="28" t="s">
        <v>127</v>
      </c>
      <c r="AO29" s="743" t="s">
        <v>166</v>
      </c>
      <c r="AP29" s="739"/>
      <c r="AQ29" s="47" t="s">
        <v>163</v>
      </c>
      <c r="AR29" s="112"/>
    </row>
    <row r="30" spans="1:47" ht="18" customHeight="1">
      <c r="A30" s="114"/>
      <c r="B30" s="7"/>
      <c r="C30" s="30" t="s">
        <v>1094</v>
      </c>
      <c r="D30" s="14"/>
      <c r="E30" s="14"/>
      <c r="F30" s="14"/>
      <c r="G30" s="14"/>
      <c r="H30" s="14"/>
      <c r="I30" s="14"/>
      <c r="J30" s="14"/>
      <c r="K30" s="575"/>
      <c r="L30" s="575"/>
      <c r="M30" s="14"/>
      <c r="N30" s="14"/>
      <c r="O30" s="14"/>
      <c r="P30" s="14"/>
      <c r="Q30" s="120" t="s">
        <v>148</v>
      </c>
      <c r="R30" s="28" t="s">
        <v>127</v>
      </c>
      <c r="S30" s="743">
        <v>120</v>
      </c>
      <c r="T30" s="739"/>
      <c r="U30" s="47" t="s">
        <v>149</v>
      </c>
      <c r="V30" s="112" t="s">
        <v>129</v>
      </c>
      <c r="W30" s="114"/>
      <c r="X30" s="7"/>
      <c r="Y30" s="30" t="s">
        <v>1094</v>
      </c>
      <c r="Z30" s="14"/>
      <c r="AA30" s="14"/>
      <c r="AB30" s="14"/>
      <c r="AC30" s="14"/>
      <c r="AD30" s="14"/>
      <c r="AE30" s="14"/>
      <c r="AF30" s="14"/>
      <c r="AG30" s="575"/>
      <c r="AH30" s="575"/>
      <c r="AI30" s="14"/>
      <c r="AJ30" s="14"/>
      <c r="AK30" s="14"/>
      <c r="AL30" s="14"/>
      <c r="AM30" s="120" t="s">
        <v>148</v>
      </c>
      <c r="AN30" s="28" t="s">
        <v>127</v>
      </c>
      <c r="AO30" s="743">
        <v>120</v>
      </c>
      <c r="AP30" s="739"/>
      <c r="AQ30" s="47" t="s">
        <v>149</v>
      </c>
      <c r="AR30" s="112" t="s">
        <v>129</v>
      </c>
    </row>
    <row r="31" spans="1:47" ht="18" customHeight="1">
      <c r="A31" s="114"/>
      <c r="B31" s="673" t="s">
        <v>1079</v>
      </c>
      <c r="C31" s="117"/>
      <c r="D31" s="673"/>
      <c r="E31" s="673"/>
      <c r="F31" s="673"/>
      <c r="G31" s="673"/>
      <c r="H31" s="673"/>
      <c r="I31" s="7"/>
      <c r="J31" s="126"/>
      <c r="K31" s="126"/>
      <c r="L31" s="7"/>
      <c r="M31" s="7"/>
      <c r="N31" s="7"/>
      <c r="O31" s="7"/>
      <c r="P31" s="7"/>
      <c r="Q31" s="120"/>
      <c r="R31" s="121"/>
      <c r="S31" s="125"/>
      <c r="T31" s="646"/>
      <c r="U31" s="47"/>
      <c r="V31" s="112"/>
      <c r="W31" s="114"/>
      <c r="X31" s="673" t="s">
        <v>1079</v>
      </c>
      <c r="Y31" s="117"/>
      <c r="Z31" s="673"/>
      <c r="AA31" s="673"/>
      <c r="AB31" s="673"/>
      <c r="AC31" s="673"/>
      <c r="AD31" s="673"/>
      <c r="AE31" s="7"/>
      <c r="AF31" s="126"/>
      <c r="AG31" s="126"/>
      <c r="AH31" s="7"/>
      <c r="AI31" s="7"/>
      <c r="AJ31" s="7"/>
      <c r="AK31" s="7"/>
      <c r="AL31" s="7"/>
      <c r="AM31" s="120"/>
      <c r="AN31" s="121"/>
      <c r="AO31" s="125"/>
      <c r="AP31" s="646"/>
      <c r="AQ31" s="47"/>
      <c r="AR31" s="112"/>
    </row>
    <row r="32" spans="1:47" ht="18" customHeight="1">
      <c r="A32" s="119"/>
      <c r="B32" s="18" t="s">
        <v>1107</v>
      </c>
      <c r="C32" s="14"/>
      <c r="D32" s="14"/>
      <c r="E32" s="14"/>
      <c r="F32" s="14"/>
      <c r="G32" s="14"/>
      <c r="H32" s="7"/>
      <c r="I32" s="18" t="s">
        <v>1092</v>
      </c>
      <c r="J32" s="14"/>
      <c r="K32" s="14"/>
      <c r="L32" s="14"/>
      <c r="M32" s="14"/>
      <c r="N32" s="14"/>
      <c r="O32" s="14"/>
      <c r="P32" s="14"/>
      <c r="Q32" s="120"/>
      <c r="R32" s="28"/>
      <c r="S32" s="28"/>
      <c r="T32" s="28"/>
      <c r="U32" s="47"/>
      <c r="V32" s="112"/>
      <c r="W32" s="119"/>
      <c r="X32" s="18" t="s">
        <v>1107</v>
      </c>
      <c r="Y32" s="14"/>
      <c r="Z32" s="14"/>
      <c r="AA32" s="14"/>
      <c r="AB32" s="14"/>
      <c r="AC32" s="14"/>
      <c r="AD32" s="7"/>
      <c r="AE32" s="18" t="s">
        <v>1092</v>
      </c>
      <c r="AF32" s="14"/>
      <c r="AG32" s="14"/>
      <c r="AH32" s="14"/>
      <c r="AI32" s="14"/>
      <c r="AJ32" s="14"/>
      <c r="AK32" s="14"/>
      <c r="AL32" s="14"/>
      <c r="AM32" s="120"/>
      <c r="AN32" s="28"/>
      <c r="AO32" s="28"/>
      <c r="AP32" s="28"/>
      <c r="AQ32" s="47"/>
      <c r="AR32" s="112"/>
    </row>
    <row r="33" spans="1:44" ht="18" customHeight="1">
      <c r="A33" s="114"/>
      <c r="B33" s="7"/>
      <c r="C33" s="14" t="s">
        <v>159</v>
      </c>
      <c r="D33" s="14"/>
      <c r="E33" s="14"/>
      <c r="F33" s="14"/>
      <c r="G33" s="14"/>
      <c r="H33" s="14"/>
      <c r="I33" s="14"/>
      <c r="J33" s="14"/>
      <c r="K33" s="14"/>
      <c r="L33" s="14"/>
      <c r="M33" s="14"/>
      <c r="N33" s="14"/>
      <c r="O33" s="14"/>
      <c r="P33" s="14"/>
      <c r="Q33" s="120"/>
      <c r="R33" s="28" t="s">
        <v>127</v>
      </c>
      <c r="S33" s="765">
        <f>S26*(1+S27*(75-20))</f>
        <v>10.787250499999999</v>
      </c>
      <c r="T33" s="765"/>
      <c r="U33" s="47" t="s">
        <v>132</v>
      </c>
      <c r="V33" s="112"/>
      <c r="W33" s="114"/>
      <c r="X33" s="7"/>
      <c r="Y33" s="14" t="s">
        <v>159</v>
      </c>
      <c r="Z33" s="14"/>
      <c r="AA33" s="14"/>
      <c r="AB33" s="14"/>
      <c r="AC33" s="14"/>
      <c r="AD33" s="14"/>
      <c r="AE33" s="14"/>
      <c r="AF33" s="14"/>
      <c r="AG33" s="14"/>
      <c r="AH33" s="14"/>
      <c r="AI33" s="14"/>
      <c r="AJ33" s="14"/>
      <c r="AK33" s="14"/>
      <c r="AL33" s="14"/>
      <c r="AM33" s="120"/>
      <c r="AN33" s="28" t="s">
        <v>127</v>
      </c>
      <c r="AO33" s="765">
        <f>AO26*(1+AO27*(75-20))</f>
        <v>10.787250499999999</v>
      </c>
      <c r="AP33" s="765"/>
      <c r="AQ33" s="47" t="s">
        <v>132</v>
      </c>
      <c r="AR33" s="112"/>
    </row>
    <row r="34" spans="1:44" ht="18" customHeight="1">
      <c r="A34" s="114"/>
      <c r="B34" s="7"/>
      <c r="C34" s="14" t="s">
        <v>160</v>
      </c>
      <c r="D34" s="14"/>
      <c r="E34" s="14"/>
      <c r="F34" s="14"/>
      <c r="G34" s="14"/>
      <c r="H34" s="14"/>
      <c r="I34" s="14"/>
      <c r="J34" s="14"/>
      <c r="K34" s="14"/>
      <c r="L34" s="14"/>
      <c r="M34" s="14"/>
      <c r="N34" s="14"/>
      <c r="O34" s="14"/>
      <c r="P34" s="14"/>
      <c r="Q34" s="244" t="s">
        <v>1080</v>
      </c>
      <c r="R34" s="28" t="s">
        <v>127</v>
      </c>
      <c r="S34" s="765">
        <f>S33/1000</f>
        <v>1.07872505E-2</v>
      </c>
      <c r="T34" s="765"/>
      <c r="U34" s="47" t="s">
        <v>142</v>
      </c>
      <c r="V34" s="112"/>
      <c r="W34" s="114"/>
      <c r="X34" s="7"/>
      <c r="Y34" s="14" t="s">
        <v>160</v>
      </c>
      <c r="Z34" s="14"/>
      <c r="AA34" s="14"/>
      <c r="AB34" s="14"/>
      <c r="AC34" s="14"/>
      <c r="AD34" s="14"/>
      <c r="AE34" s="14"/>
      <c r="AF34" s="14"/>
      <c r="AG34" s="14"/>
      <c r="AH34" s="14"/>
      <c r="AI34" s="14"/>
      <c r="AJ34" s="14"/>
      <c r="AK34" s="14"/>
      <c r="AL34" s="14"/>
      <c r="AM34" s="244" t="s">
        <v>1080</v>
      </c>
      <c r="AN34" s="28" t="s">
        <v>127</v>
      </c>
      <c r="AO34" s="765">
        <f>AO33/1000</f>
        <v>1.07872505E-2</v>
      </c>
      <c r="AP34" s="765"/>
      <c r="AQ34" s="47" t="s">
        <v>142</v>
      </c>
      <c r="AR34" s="112"/>
    </row>
    <row r="35" spans="1:44" ht="18" customHeight="1">
      <c r="A35" s="114"/>
      <c r="B35" s="7"/>
      <c r="C35" s="30" t="s">
        <v>169</v>
      </c>
      <c r="D35" s="14"/>
      <c r="E35" s="14"/>
      <c r="F35" s="14"/>
      <c r="G35" s="14"/>
      <c r="H35" s="14"/>
      <c r="I35" s="14"/>
      <c r="J35" s="14"/>
      <c r="K35" s="14"/>
      <c r="L35" s="14"/>
      <c r="M35" s="14"/>
      <c r="N35" s="14"/>
      <c r="O35" s="30" t="s">
        <v>1095</v>
      </c>
      <c r="P35" s="14"/>
      <c r="Q35" s="120" t="s">
        <v>154</v>
      </c>
      <c r="R35" s="28" t="s">
        <v>127</v>
      </c>
      <c r="S35" s="766">
        <f>2*S34*S30</f>
        <v>2.5889401199999997</v>
      </c>
      <c r="T35" s="766"/>
      <c r="U35" s="47" t="s">
        <v>152</v>
      </c>
      <c r="V35" s="112"/>
      <c r="W35" s="114"/>
      <c r="X35" s="7"/>
      <c r="Y35" s="30" t="s">
        <v>169</v>
      </c>
      <c r="Z35" s="14"/>
      <c r="AA35" s="14"/>
      <c r="AB35" s="14"/>
      <c r="AC35" s="14"/>
      <c r="AD35" s="14"/>
      <c r="AE35" s="14"/>
      <c r="AF35" s="14"/>
      <c r="AG35" s="14"/>
      <c r="AH35" s="14"/>
      <c r="AI35" s="14"/>
      <c r="AJ35" s="14"/>
      <c r="AK35" s="30" t="s">
        <v>1095</v>
      </c>
      <c r="AL35" s="14"/>
      <c r="AM35" s="120" t="s">
        <v>154</v>
      </c>
      <c r="AN35" s="28" t="s">
        <v>127</v>
      </c>
      <c r="AO35" s="766">
        <f>2*AO34*AO30</f>
        <v>2.5889401199999997</v>
      </c>
      <c r="AP35" s="766"/>
      <c r="AQ35" s="47" t="s">
        <v>152</v>
      </c>
      <c r="AR35" s="112"/>
    </row>
    <row r="36" spans="1:44" ht="18" customHeight="1">
      <c r="A36" s="114"/>
      <c r="B36" s="7"/>
      <c r="C36" s="14"/>
      <c r="D36" s="14"/>
      <c r="E36" s="14"/>
      <c r="F36" s="14"/>
      <c r="G36" s="14"/>
      <c r="H36" s="14"/>
      <c r="I36" s="14"/>
      <c r="J36" s="14"/>
      <c r="K36" s="14"/>
      <c r="L36" s="14"/>
      <c r="M36" s="14"/>
      <c r="N36" s="14"/>
      <c r="O36" s="14"/>
      <c r="P36" s="14"/>
      <c r="Q36" s="120"/>
      <c r="R36" s="28"/>
      <c r="S36" s="218"/>
      <c r="T36" s="218"/>
      <c r="U36" s="47"/>
      <c r="V36" s="112"/>
      <c r="W36" s="114"/>
      <c r="X36" s="7"/>
      <c r="Y36" s="14"/>
      <c r="Z36" s="14"/>
      <c r="AA36" s="14"/>
      <c r="AB36" s="14"/>
      <c r="AC36" s="14"/>
      <c r="AD36" s="14"/>
      <c r="AE36" s="14"/>
      <c r="AF36" s="14"/>
      <c r="AG36" s="14"/>
      <c r="AH36" s="14"/>
      <c r="AI36" s="14"/>
      <c r="AJ36" s="14"/>
      <c r="AK36" s="14"/>
      <c r="AL36" s="14"/>
      <c r="AM36" s="120"/>
      <c r="AN36" s="28"/>
      <c r="AO36" s="218"/>
      <c r="AP36" s="218"/>
      <c r="AQ36" s="47"/>
      <c r="AR36" s="112"/>
    </row>
    <row r="37" spans="1:44" ht="18" customHeight="1">
      <c r="A37" s="698" t="s">
        <v>1134</v>
      </c>
      <c r="B37" s="727"/>
      <c r="C37" s="727"/>
      <c r="D37" s="727"/>
      <c r="E37" s="727"/>
      <c r="F37" s="727"/>
      <c r="G37" s="727"/>
      <c r="H37" s="727"/>
      <c r="I37" s="727"/>
      <c r="J37" s="727"/>
      <c r="K37" s="727"/>
      <c r="L37" s="727"/>
      <c r="M37" s="727"/>
      <c r="N37" s="727"/>
      <c r="O37" s="727"/>
      <c r="P37" s="727"/>
      <c r="Q37" s="727"/>
      <c r="R37" s="727"/>
      <c r="S37" s="727"/>
      <c r="T37" s="727"/>
      <c r="U37" s="727"/>
      <c r="V37" s="767"/>
      <c r="W37" s="698" t="s">
        <v>1134</v>
      </c>
      <c r="X37" s="727"/>
      <c r="Y37" s="727"/>
      <c r="Z37" s="727"/>
      <c r="AA37" s="727"/>
      <c r="AB37" s="727"/>
      <c r="AC37" s="727"/>
      <c r="AD37" s="727"/>
      <c r="AE37" s="727"/>
      <c r="AF37" s="727"/>
      <c r="AG37" s="727"/>
      <c r="AH37" s="727"/>
      <c r="AI37" s="727"/>
      <c r="AJ37" s="727"/>
      <c r="AK37" s="727"/>
      <c r="AL37" s="727"/>
      <c r="AM37" s="727"/>
      <c r="AN37" s="727"/>
      <c r="AO37" s="727"/>
      <c r="AP37" s="727"/>
      <c r="AQ37" s="727"/>
      <c r="AR37" s="767"/>
    </row>
    <row r="38" spans="1:44" ht="18" customHeight="1">
      <c r="A38" s="768"/>
      <c r="B38" s="769"/>
      <c r="C38" s="769"/>
      <c r="D38" s="769"/>
      <c r="E38" s="769"/>
      <c r="F38" s="769"/>
      <c r="G38" s="769"/>
      <c r="H38" s="769"/>
      <c r="I38" s="769"/>
      <c r="J38" s="769"/>
      <c r="K38" s="769"/>
      <c r="L38" s="769"/>
      <c r="M38" s="769"/>
      <c r="N38" s="769"/>
      <c r="O38" s="769"/>
      <c r="P38" s="769"/>
      <c r="Q38" s="769"/>
      <c r="R38" s="769"/>
      <c r="S38" s="769"/>
      <c r="T38" s="769"/>
      <c r="U38" s="769"/>
      <c r="V38" s="770"/>
      <c r="W38" s="768"/>
      <c r="X38" s="769"/>
      <c r="Y38" s="769"/>
      <c r="Z38" s="769"/>
      <c r="AA38" s="769"/>
      <c r="AB38" s="769"/>
      <c r="AC38" s="769"/>
      <c r="AD38" s="769"/>
      <c r="AE38" s="769"/>
      <c r="AF38" s="769"/>
      <c r="AG38" s="769"/>
      <c r="AH38" s="769"/>
      <c r="AI38" s="769"/>
      <c r="AJ38" s="769"/>
      <c r="AK38" s="769"/>
      <c r="AL38" s="769"/>
      <c r="AM38" s="769"/>
      <c r="AN38" s="769"/>
      <c r="AO38" s="769"/>
      <c r="AP38" s="769"/>
      <c r="AQ38" s="769"/>
      <c r="AR38" s="770"/>
    </row>
    <row r="39" spans="1:44" s="14" customFormat="1" ht="18" customHeight="1">
      <c r="A39" s="644"/>
      <c r="B39" s="190"/>
      <c r="C39" s="190"/>
      <c r="D39" s="190"/>
      <c r="E39" s="190"/>
      <c r="F39" s="190"/>
      <c r="G39" s="190"/>
      <c r="H39" s="190"/>
      <c r="I39" s="190"/>
      <c r="J39" s="190"/>
      <c r="K39" s="190"/>
      <c r="L39" s="190"/>
      <c r="M39" s="190"/>
      <c r="N39" s="190"/>
      <c r="O39" s="190"/>
      <c r="P39" s="190"/>
      <c r="Q39" s="190"/>
      <c r="R39" s="190"/>
      <c r="S39" s="190"/>
      <c r="T39" s="190"/>
      <c r="U39" s="190"/>
      <c r="V39" s="645"/>
      <c r="W39" s="644"/>
      <c r="X39" s="190"/>
      <c r="Y39" s="190"/>
      <c r="Z39" s="190"/>
      <c r="AA39" s="190"/>
      <c r="AB39" s="190"/>
      <c r="AC39" s="190"/>
      <c r="AD39" s="190"/>
      <c r="AE39" s="190"/>
      <c r="AF39" s="190"/>
      <c r="AG39" s="190"/>
      <c r="AH39" s="190"/>
      <c r="AI39" s="190"/>
      <c r="AJ39" s="190"/>
      <c r="AK39" s="190"/>
      <c r="AL39" s="190"/>
      <c r="AM39" s="190"/>
      <c r="AN39" s="190"/>
      <c r="AO39" s="190"/>
      <c r="AP39" s="190"/>
      <c r="AQ39" s="190"/>
      <c r="AR39" s="645"/>
    </row>
    <row r="40" spans="1:44" ht="18" customHeight="1">
      <c r="A40" s="194"/>
      <c r="B40" s="20"/>
      <c r="C40" s="20"/>
      <c r="D40" s="20"/>
      <c r="E40" s="20"/>
      <c r="F40" s="20"/>
      <c r="G40" s="20"/>
      <c r="H40" s="20"/>
      <c r="I40" s="20"/>
      <c r="J40" s="195"/>
      <c r="K40" s="20"/>
      <c r="L40" s="20"/>
      <c r="M40" s="21"/>
      <c r="N40" s="22"/>
      <c r="O40" s="20"/>
      <c r="P40" s="20"/>
      <c r="Q40" s="576"/>
      <c r="R40" s="20"/>
      <c r="S40" s="182"/>
      <c r="T40" s="182"/>
      <c r="U40" s="2"/>
      <c r="V40" s="570"/>
      <c r="W40" s="194"/>
      <c r="X40" s="20"/>
      <c r="Y40" s="20"/>
      <c r="Z40" s="20"/>
      <c r="AA40" s="20"/>
      <c r="AB40" s="20"/>
      <c r="AC40" s="20"/>
      <c r="AD40" s="20"/>
      <c r="AE40" s="20"/>
      <c r="AF40" s="195"/>
      <c r="AG40" s="20"/>
      <c r="AH40" s="20"/>
      <c r="AI40" s="21"/>
      <c r="AJ40" s="22"/>
      <c r="AK40" s="20"/>
      <c r="AL40" s="20"/>
      <c r="AM40" s="576"/>
      <c r="AN40" s="20"/>
      <c r="AO40" s="182"/>
      <c r="AP40" s="182"/>
      <c r="AQ40" s="2"/>
      <c r="AR40" s="570"/>
    </row>
    <row r="41" spans="1:44" ht="18" customHeight="1">
      <c r="A41" s="96"/>
      <c r="B41" s="7"/>
      <c r="C41" s="7"/>
      <c r="D41" s="7"/>
      <c r="E41" s="7"/>
      <c r="F41" s="7"/>
      <c r="G41" s="7"/>
      <c r="H41" s="7"/>
      <c r="I41" s="7"/>
      <c r="J41" s="14"/>
      <c r="K41" s="7"/>
      <c r="L41" s="7"/>
      <c r="M41" s="124"/>
      <c r="N41" s="121"/>
      <c r="O41" s="7"/>
      <c r="P41" s="7"/>
      <c r="Q41" s="665"/>
      <c r="R41" s="450"/>
      <c r="S41" s="229"/>
      <c r="T41" s="229"/>
      <c r="U41" s="47"/>
      <c r="V41" s="112"/>
      <c r="W41" s="96"/>
      <c r="X41" s="7"/>
      <c r="Y41" s="7"/>
      <c r="Z41" s="7"/>
      <c r="AA41" s="7"/>
      <c r="AB41" s="7"/>
      <c r="AC41" s="7"/>
      <c r="AD41" s="7"/>
      <c r="AE41" s="7"/>
      <c r="AF41" s="14"/>
      <c r="AG41" s="7"/>
      <c r="AH41" s="7"/>
      <c r="AI41" s="124"/>
      <c r="AJ41" s="121"/>
      <c r="AK41" s="7"/>
      <c r="AL41" s="7"/>
      <c r="AM41" s="665"/>
      <c r="AN41" s="450"/>
      <c r="AO41" s="229"/>
      <c r="AP41" s="229"/>
      <c r="AQ41" s="47"/>
      <c r="AR41" s="112"/>
    </row>
    <row r="42" spans="1:44" ht="18" customHeight="1">
      <c r="A42" s="116"/>
      <c r="B42" s="117" t="s">
        <v>1098</v>
      </c>
      <c r="C42" s="7"/>
      <c r="D42" s="7"/>
      <c r="E42" s="7"/>
      <c r="F42" s="7"/>
      <c r="G42" s="7"/>
      <c r="H42" s="7"/>
      <c r="I42" s="7"/>
      <c r="J42" s="7"/>
      <c r="K42" s="7"/>
      <c r="L42" s="7"/>
      <c r="M42" s="7"/>
      <c r="N42" s="121"/>
      <c r="O42" s="7"/>
      <c r="P42" s="7"/>
      <c r="Q42" s="771" t="s">
        <v>172</v>
      </c>
      <c r="R42" s="771"/>
      <c r="S42" s="772" t="s">
        <v>173</v>
      </c>
      <c r="T42" s="772"/>
      <c r="U42" s="47"/>
      <c r="V42" s="112"/>
      <c r="W42" s="116"/>
      <c r="X42" s="117" t="s">
        <v>1098</v>
      </c>
      <c r="Y42" s="7"/>
      <c r="Z42" s="7"/>
      <c r="AA42" s="7"/>
      <c r="AB42" s="7"/>
      <c r="AC42" s="7"/>
      <c r="AD42" s="7"/>
      <c r="AE42" s="7"/>
      <c r="AF42" s="7"/>
      <c r="AG42" s="7"/>
      <c r="AH42" s="7"/>
      <c r="AI42" s="7"/>
      <c r="AJ42" s="121"/>
      <c r="AK42" s="7"/>
      <c r="AL42" s="7"/>
      <c r="AM42" s="771" t="s">
        <v>172</v>
      </c>
      <c r="AN42" s="771"/>
      <c r="AO42" s="772" t="s">
        <v>173</v>
      </c>
      <c r="AP42" s="772"/>
      <c r="AQ42" s="47"/>
      <c r="AR42" s="112"/>
    </row>
    <row r="43" spans="1:44" ht="18" customHeight="1">
      <c r="A43" s="773" t="s">
        <v>1073</v>
      </c>
      <c r="B43" s="774"/>
      <c r="C43" s="774"/>
      <c r="D43" s="774"/>
      <c r="E43" s="774"/>
      <c r="F43" s="774"/>
      <c r="G43" s="774"/>
      <c r="H43" s="774"/>
      <c r="I43" s="774"/>
      <c r="J43" s="774"/>
      <c r="K43" s="774"/>
      <c r="L43" s="774"/>
      <c r="M43" s="142"/>
      <c r="N43" s="579"/>
      <c r="O43" s="580" t="s">
        <v>176</v>
      </c>
      <c r="P43" s="142"/>
      <c r="Q43" s="750">
        <v>0.02</v>
      </c>
      <c r="R43" s="750"/>
      <c r="S43" s="751">
        <v>0.02</v>
      </c>
      <c r="T43" s="751"/>
      <c r="U43" s="581" t="s">
        <v>157</v>
      </c>
      <c r="V43" s="143"/>
      <c r="W43" s="773" t="s">
        <v>1073</v>
      </c>
      <c r="X43" s="774"/>
      <c r="Y43" s="774"/>
      <c r="Z43" s="774"/>
      <c r="AA43" s="774"/>
      <c r="AB43" s="774"/>
      <c r="AC43" s="774"/>
      <c r="AD43" s="774"/>
      <c r="AE43" s="774"/>
      <c r="AF43" s="774"/>
      <c r="AG43" s="774"/>
      <c r="AH43" s="774"/>
      <c r="AI43" s="142"/>
      <c r="AJ43" s="579"/>
      <c r="AK43" s="580" t="s">
        <v>176</v>
      </c>
      <c r="AL43" s="142"/>
      <c r="AM43" s="750">
        <v>0.02</v>
      </c>
      <c r="AN43" s="750"/>
      <c r="AO43" s="751">
        <v>0.02</v>
      </c>
      <c r="AP43" s="751"/>
      <c r="AQ43" s="581" t="s">
        <v>157</v>
      </c>
      <c r="AR43" s="143"/>
    </row>
    <row r="44" spans="1:44" ht="18" customHeight="1">
      <c r="A44" s="773"/>
      <c r="B44" s="774"/>
      <c r="C44" s="774"/>
      <c r="D44" s="774"/>
      <c r="E44" s="774"/>
      <c r="F44" s="774"/>
      <c r="G44" s="774"/>
      <c r="H44" s="774"/>
      <c r="I44" s="774"/>
      <c r="J44" s="774"/>
      <c r="K44" s="774"/>
      <c r="L44" s="774"/>
      <c r="M44" s="142"/>
      <c r="N44" s="579"/>
      <c r="O44" s="580"/>
      <c r="P44" s="142"/>
      <c r="Q44" s="662"/>
      <c r="R44" s="662"/>
      <c r="S44" s="663"/>
      <c r="T44" s="663"/>
      <c r="U44" s="581"/>
      <c r="V44" s="143"/>
      <c r="W44" s="773"/>
      <c r="X44" s="774"/>
      <c r="Y44" s="774"/>
      <c r="Z44" s="774"/>
      <c r="AA44" s="774"/>
      <c r="AB44" s="774"/>
      <c r="AC44" s="774"/>
      <c r="AD44" s="774"/>
      <c r="AE44" s="774"/>
      <c r="AF44" s="774"/>
      <c r="AG44" s="774"/>
      <c r="AH44" s="774"/>
      <c r="AI44" s="142"/>
      <c r="AJ44" s="579"/>
      <c r="AK44" s="580"/>
      <c r="AL44" s="142"/>
      <c r="AM44" s="662"/>
      <c r="AN44" s="662"/>
      <c r="AO44" s="663"/>
      <c r="AP44" s="663"/>
      <c r="AQ44" s="581"/>
      <c r="AR44" s="143"/>
    </row>
    <row r="45" spans="1:44" ht="18" customHeight="1">
      <c r="A45" s="748" t="s">
        <v>202</v>
      </c>
      <c r="B45" s="749"/>
      <c r="C45" s="749"/>
      <c r="D45" s="749"/>
      <c r="E45" s="749"/>
      <c r="F45" s="749"/>
      <c r="G45" s="749"/>
      <c r="H45" s="749"/>
      <c r="I45" s="749"/>
      <c r="J45" s="749"/>
      <c r="K45" s="749"/>
      <c r="L45" s="749"/>
      <c r="M45" s="142" t="s">
        <v>1099</v>
      </c>
      <c r="N45" s="579"/>
      <c r="O45" s="580"/>
      <c r="P45" s="142"/>
      <c r="Q45" s="750">
        <v>0.01</v>
      </c>
      <c r="R45" s="750"/>
      <c r="S45" s="751">
        <v>0.01</v>
      </c>
      <c r="T45" s="751"/>
      <c r="U45" s="581"/>
      <c r="V45" s="143"/>
      <c r="W45" s="748" t="s">
        <v>202</v>
      </c>
      <c r="X45" s="749"/>
      <c r="Y45" s="749"/>
      <c r="Z45" s="749"/>
      <c r="AA45" s="749"/>
      <c r="AB45" s="749"/>
      <c r="AC45" s="749"/>
      <c r="AD45" s="749"/>
      <c r="AE45" s="749"/>
      <c r="AF45" s="749"/>
      <c r="AG45" s="749"/>
      <c r="AH45" s="749"/>
      <c r="AI45" s="142" t="s">
        <v>1099</v>
      </c>
      <c r="AJ45" s="579"/>
      <c r="AK45" s="580"/>
      <c r="AL45" s="142"/>
      <c r="AM45" s="750">
        <v>0.01</v>
      </c>
      <c r="AN45" s="750"/>
      <c r="AO45" s="751">
        <v>0.01</v>
      </c>
      <c r="AP45" s="751"/>
      <c r="AQ45" s="581"/>
      <c r="AR45" s="143"/>
    </row>
    <row r="46" spans="1:44" ht="18" customHeight="1">
      <c r="A46" s="752" t="s">
        <v>1074</v>
      </c>
      <c r="B46" s="753"/>
      <c r="C46" s="753"/>
      <c r="D46" s="753"/>
      <c r="E46" s="753"/>
      <c r="F46" s="753"/>
      <c r="G46" s="753"/>
      <c r="H46" s="753"/>
      <c r="I46" s="753"/>
      <c r="J46" s="753"/>
      <c r="K46" s="753"/>
      <c r="L46" s="753"/>
      <c r="M46" s="753"/>
      <c r="N46" s="753"/>
      <c r="O46" s="753"/>
      <c r="P46" s="753"/>
      <c r="Q46" s="753"/>
      <c r="R46" s="753"/>
      <c r="S46" s="753"/>
      <c r="T46" s="753"/>
      <c r="U46" s="753"/>
      <c r="V46" s="754"/>
      <c r="W46" s="752" t="s">
        <v>1074</v>
      </c>
      <c r="X46" s="753"/>
      <c r="Y46" s="753"/>
      <c r="Z46" s="753"/>
      <c r="AA46" s="753"/>
      <c r="AB46" s="753"/>
      <c r="AC46" s="753"/>
      <c r="AD46" s="753"/>
      <c r="AE46" s="753"/>
      <c r="AF46" s="753"/>
      <c r="AG46" s="753"/>
      <c r="AH46" s="753"/>
      <c r="AI46" s="753"/>
      <c r="AJ46" s="753"/>
      <c r="AK46" s="753"/>
      <c r="AL46" s="753"/>
      <c r="AM46" s="753"/>
      <c r="AN46" s="753"/>
      <c r="AO46" s="753"/>
      <c r="AP46" s="753"/>
      <c r="AQ46" s="753"/>
      <c r="AR46" s="754"/>
    </row>
    <row r="47" spans="1:44" ht="18" customHeight="1">
      <c r="A47" s="755" t="s">
        <v>1100</v>
      </c>
      <c r="B47" s="756"/>
      <c r="C47" s="756"/>
      <c r="D47" s="756"/>
      <c r="E47" s="756"/>
      <c r="F47" s="756"/>
      <c r="G47" s="756"/>
      <c r="H47" s="756"/>
      <c r="I47" s="756"/>
      <c r="J47" s="756"/>
      <c r="K47" s="756"/>
      <c r="L47" s="756"/>
      <c r="M47" s="756"/>
      <c r="N47" s="756"/>
      <c r="O47" s="756"/>
      <c r="P47" s="756"/>
      <c r="Q47" s="756"/>
      <c r="R47" s="756"/>
      <c r="S47" s="756"/>
      <c r="T47" s="756"/>
      <c r="U47" s="756"/>
      <c r="V47" s="757"/>
      <c r="W47" s="755" t="s">
        <v>1100</v>
      </c>
      <c r="X47" s="756"/>
      <c r="Y47" s="756"/>
      <c r="Z47" s="756"/>
      <c r="AA47" s="756"/>
      <c r="AB47" s="756"/>
      <c r="AC47" s="756"/>
      <c r="AD47" s="756"/>
      <c r="AE47" s="756"/>
      <c r="AF47" s="756"/>
      <c r="AG47" s="756"/>
      <c r="AH47" s="756"/>
      <c r="AI47" s="756"/>
      <c r="AJ47" s="756"/>
      <c r="AK47" s="756"/>
      <c r="AL47" s="756"/>
      <c r="AM47" s="756"/>
      <c r="AN47" s="756"/>
      <c r="AO47" s="756"/>
      <c r="AP47" s="756"/>
      <c r="AQ47" s="756"/>
      <c r="AR47" s="757"/>
    </row>
    <row r="48" spans="1:44" ht="18" customHeight="1">
      <c r="A48" s="758"/>
      <c r="B48" s="759"/>
      <c r="C48" s="759"/>
      <c r="D48" s="759"/>
      <c r="E48" s="759"/>
      <c r="F48" s="759"/>
      <c r="G48" s="759"/>
      <c r="H48" s="759"/>
      <c r="I48" s="759"/>
      <c r="J48" s="759"/>
      <c r="K48" s="759"/>
      <c r="L48" s="759"/>
      <c r="M48" s="759"/>
      <c r="N48" s="759"/>
      <c r="O48" s="759"/>
      <c r="P48" s="759"/>
      <c r="Q48" s="759"/>
      <c r="R48" s="759"/>
      <c r="S48" s="759"/>
      <c r="T48" s="759"/>
      <c r="U48" s="759"/>
      <c r="V48" s="760"/>
      <c r="W48" s="758"/>
      <c r="X48" s="759"/>
      <c r="Y48" s="759"/>
      <c r="Z48" s="759"/>
      <c r="AA48" s="759"/>
      <c r="AB48" s="759"/>
      <c r="AC48" s="759"/>
      <c r="AD48" s="759"/>
      <c r="AE48" s="759"/>
      <c r="AF48" s="759"/>
      <c r="AG48" s="759"/>
      <c r="AH48" s="759"/>
      <c r="AI48" s="759"/>
      <c r="AJ48" s="759"/>
      <c r="AK48" s="759"/>
      <c r="AL48" s="759"/>
      <c r="AM48" s="759"/>
      <c r="AN48" s="759"/>
      <c r="AO48" s="759"/>
      <c r="AP48" s="759"/>
      <c r="AQ48" s="759"/>
      <c r="AR48" s="760"/>
    </row>
    <row r="49" spans="1:47" ht="18" customHeight="1">
      <c r="A49" s="761" t="s">
        <v>1103</v>
      </c>
      <c r="B49" s="762"/>
      <c r="C49" s="762"/>
      <c r="D49" s="762"/>
      <c r="E49" s="762"/>
      <c r="F49" s="762"/>
      <c r="G49" s="762"/>
      <c r="H49" s="762"/>
      <c r="I49" s="762"/>
      <c r="J49" s="762"/>
      <c r="K49" s="349"/>
      <c r="L49" s="349"/>
      <c r="M49" s="349"/>
      <c r="N49" s="349"/>
      <c r="O49" s="763" t="s">
        <v>1101</v>
      </c>
      <c r="P49" s="763"/>
      <c r="Q49" s="763"/>
      <c r="R49" s="763"/>
      <c r="S49" s="763"/>
      <c r="T49" s="763"/>
      <c r="U49" s="349"/>
      <c r="V49" s="470"/>
      <c r="W49" s="761" t="s">
        <v>1103</v>
      </c>
      <c r="X49" s="762"/>
      <c r="Y49" s="762"/>
      <c r="Z49" s="762"/>
      <c r="AA49" s="762"/>
      <c r="AB49" s="762"/>
      <c r="AC49" s="762"/>
      <c r="AD49" s="762"/>
      <c r="AE49" s="762"/>
      <c r="AF49" s="762"/>
      <c r="AG49" s="349"/>
      <c r="AH49" s="349"/>
      <c r="AI49" s="349"/>
      <c r="AJ49" s="349"/>
      <c r="AK49" s="763" t="s">
        <v>1101</v>
      </c>
      <c r="AL49" s="763"/>
      <c r="AM49" s="763"/>
      <c r="AN49" s="763"/>
      <c r="AO49" s="763"/>
      <c r="AP49" s="763"/>
      <c r="AQ49" s="349"/>
      <c r="AR49" s="470"/>
    </row>
    <row r="50" spans="1:47" ht="18" customHeight="1">
      <c r="A50" s="351"/>
      <c r="B50" s="352" t="s">
        <v>262</v>
      </c>
      <c r="C50" s="155"/>
      <c r="D50" s="155"/>
      <c r="E50" s="155"/>
      <c r="F50" s="155"/>
      <c r="G50" s="155"/>
      <c r="H50" s="155"/>
      <c r="I50" s="155"/>
      <c r="J50" s="155"/>
      <c r="K50" s="155"/>
      <c r="L50" s="155"/>
      <c r="M50" s="155"/>
      <c r="N50" s="155"/>
      <c r="O50" s="764"/>
      <c r="P50" s="764"/>
      <c r="Q50" s="764"/>
      <c r="R50" s="764"/>
      <c r="S50" s="764"/>
      <c r="T50" s="764"/>
      <c r="U50" s="357"/>
      <c r="V50" s="350"/>
      <c r="W50" s="351"/>
      <c r="X50" s="352" t="s">
        <v>262</v>
      </c>
      <c r="Y50" s="155"/>
      <c r="Z50" s="155"/>
      <c r="AA50" s="155"/>
      <c r="AB50" s="155"/>
      <c r="AC50" s="155"/>
      <c r="AD50" s="155"/>
      <c r="AE50" s="155"/>
      <c r="AF50" s="155"/>
      <c r="AG50" s="155"/>
      <c r="AH50" s="155"/>
      <c r="AI50" s="155"/>
      <c r="AJ50" s="155"/>
      <c r="AK50" s="764"/>
      <c r="AL50" s="764"/>
      <c r="AM50" s="764"/>
      <c r="AN50" s="764"/>
      <c r="AO50" s="764"/>
      <c r="AP50" s="764"/>
      <c r="AQ50" s="357"/>
      <c r="AR50" s="350"/>
    </row>
    <row r="51" spans="1:47" ht="18" customHeight="1">
      <c r="A51" s="96"/>
      <c r="B51" s="7"/>
      <c r="C51" s="14" t="s">
        <v>263</v>
      </c>
      <c r="D51" s="7"/>
      <c r="E51" s="124"/>
      <c r="F51" s="7"/>
      <c r="G51" s="7"/>
      <c r="H51" s="7"/>
      <c r="I51" s="7"/>
      <c r="J51" s="7"/>
      <c r="K51" s="7"/>
      <c r="L51" s="7"/>
      <c r="M51" s="7"/>
      <c r="N51" s="7"/>
      <c r="O51" s="155"/>
      <c r="P51" s="155"/>
      <c r="Q51" s="743">
        <v>50</v>
      </c>
      <c r="R51" s="744"/>
      <c r="S51" s="14" t="s">
        <v>264</v>
      </c>
      <c r="T51" s="356"/>
      <c r="U51" s="357"/>
      <c r="V51" s="350"/>
      <c r="W51" s="96"/>
      <c r="X51" s="7"/>
      <c r="Y51" s="14" t="s">
        <v>263</v>
      </c>
      <c r="Z51" s="7"/>
      <c r="AA51" s="124"/>
      <c r="AB51" s="7"/>
      <c r="AC51" s="7"/>
      <c r="AD51" s="7"/>
      <c r="AE51" s="7"/>
      <c r="AF51" s="7"/>
      <c r="AG51" s="7"/>
      <c r="AH51" s="7"/>
      <c r="AI51" s="7"/>
      <c r="AJ51" s="7"/>
      <c r="AK51" s="155"/>
      <c r="AL51" s="155"/>
      <c r="AM51" s="743">
        <v>50</v>
      </c>
      <c r="AN51" s="744"/>
      <c r="AO51" s="14" t="s">
        <v>264</v>
      </c>
      <c r="AP51" s="356"/>
      <c r="AQ51" s="357"/>
      <c r="AR51" s="350"/>
    </row>
    <row r="52" spans="1:47" ht="18" customHeight="1">
      <c r="A52" s="96"/>
      <c r="B52" s="358"/>
      <c r="C52" s="30" t="s">
        <v>265</v>
      </c>
      <c r="D52" s="7"/>
      <c r="E52" s="7"/>
      <c r="F52" s="7"/>
      <c r="G52" s="7"/>
      <c r="H52" s="7"/>
      <c r="I52" s="7"/>
      <c r="J52" s="7"/>
      <c r="K52" s="7"/>
      <c r="L52" s="7"/>
      <c r="M52" s="7"/>
      <c r="N52" s="7"/>
      <c r="O52" s="155"/>
      <c r="P52" s="155"/>
      <c r="Q52" s="743">
        <v>132</v>
      </c>
      <c r="R52" s="744"/>
      <c r="S52" s="14" t="s">
        <v>163</v>
      </c>
      <c r="T52" s="155"/>
      <c r="U52" s="357"/>
      <c r="V52" s="350"/>
      <c r="W52" s="96"/>
      <c r="X52" s="358"/>
      <c r="Y52" s="30" t="s">
        <v>265</v>
      </c>
      <c r="Z52" s="7"/>
      <c r="AA52" s="7"/>
      <c r="AB52" s="7"/>
      <c r="AC52" s="7"/>
      <c r="AD52" s="7"/>
      <c r="AE52" s="7"/>
      <c r="AF52" s="7"/>
      <c r="AG52" s="7"/>
      <c r="AH52" s="7"/>
      <c r="AI52" s="7"/>
      <c r="AJ52" s="7"/>
      <c r="AK52" s="155"/>
      <c r="AL52" s="155"/>
      <c r="AM52" s="743">
        <v>132</v>
      </c>
      <c r="AN52" s="744"/>
      <c r="AO52" s="14" t="s">
        <v>163</v>
      </c>
      <c r="AP52" s="155"/>
      <c r="AQ52" s="357"/>
      <c r="AR52" s="350"/>
    </row>
    <row r="53" spans="1:47" ht="18" customHeight="1">
      <c r="A53" s="96"/>
      <c r="B53" s="7"/>
      <c r="C53" s="30" t="s">
        <v>266</v>
      </c>
      <c r="D53" s="7"/>
      <c r="E53" s="7"/>
      <c r="F53" s="7"/>
      <c r="G53" s="7"/>
      <c r="H53" s="7"/>
      <c r="I53" s="7"/>
      <c r="J53" s="7"/>
      <c r="K53" s="7"/>
      <c r="L53" s="7"/>
      <c r="M53" s="7"/>
      <c r="N53" s="7"/>
      <c r="O53" s="155"/>
      <c r="P53" s="155"/>
      <c r="Q53" s="743">
        <v>50</v>
      </c>
      <c r="R53" s="744"/>
      <c r="S53" s="14" t="s">
        <v>267</v>
      </c>
      <c r="T53" s="155"/>
      <c r="U53" s="357"/>
      <c r="V53" s="350"/>
      <c r="W53" s="96"/>
      <c r="X53" s="7"/>
      <c r="Y53" s="30" t="s">
        <v>266</v>
      </c>
      <c r="Z53" s="7"/>
      <c r="AA53" s="7"/>
      <c r="AB53" s="7"/>
      <c r="AC53" s="7"/>
      <c r="AD53" s="7"/>
      <c r="AE53" s="7"/>
      <c r="AF53" s="7"/>
      <c r="AG53" s="7"/>
      <c r="AH53" s="7"/>
      <c r="AI53" s="7"/>
      <c r="AJ53" s="7"/>
      <c r="AK53" s="155"/>
      <c r="AL53" s="155"/>
      <c r="AM53" s="743">
        <v>50</v>
      </c>
      <c r="AN53" s="744"/>
      <c r="AO53" s="14" t="s">
        <v>267</v>
      </c>
      <c r="AP53" s="155"/>
      <c r="AQ53" s="357"/>
      <c r="AR53" s="350"/>
    </row>
    <row r="54" spans="1:47" ht="18" customHeight="1">
      <c r="A54" s="96"/>
      <c r="B54" s="7"/>
      <c r="C54" s="30" t="s">
        <v>268</v>
      </c>
      <c r="D54" s="14"/>
      <c r="E54" s="7"/>
      <c r="F54" s="7"/>
      <c r="G54" s="7"/>
      <c r="H54" s="7"/>
      <c r="I54" s="7"/>
      <c r="J54" s="7"/>
      <c r="K54" s="7"/>
      <c r="L54" s="7"/>
      <c r="M54" s="7"/>
      <c r="N54" s="155"/>
      <c r="O54" s="155"/>
      <c r="P54" s="155"/>
      <c r="Q54" s="743">
        <v>15</v>
      </c>
      <c r="R54" s="744"/>
      <c r="S54" s="359"/>
      <c r="T54" s="356"/>
      <c r="U54" s="357"/>
      <c r="V54" s="350"/>
      <c r="W54" s="96"/>
      <c r="X54" s="7"/>
      <c r="Y54" s="30" t="s">
        <v>268</v>
      </c>
      <c r="Z54" s="14"/>
      <c r="AA54" s="7"/>
      <c r="AB54" s="7"/>
      <c r="AC54" s="7"/>
      <c r="AD54" s="7"/>
      <c r="AE54" s="7"/>
      <c r="AF54" s="7"/>
      <c r="AG54" s="7"/>
      <c r="AH54" s="7"/>
      <c r="AI54" s="7"/>
      <c r="AJ54" s="155"/>
      <c r="AK54" s="155"/>
      <c r="AL54" s="155"/>
      <c r="AM54" s="743">
        <v>15</v>
      </c>
      <c r="AN54" s="744"/>
      <c r="AO54" s="359"/>
      <c r="AP54" s="356"/>
      <c r="AQ54" s="357"/>
      <c r="AR54" s="350"/>
    </row>
    <row r="55" spans="1:47" ht="18" customHeight="1">
      <c r="A55" s="96"/>
      <c r="B55" s="352" t="s">
        <v>1104</v>
      </c>
      <c r="C55" s="155"/>
      <c r="D55" s="155"/>
      <c r="E55" s="155"/>
      <c r="F55" s="155"/>
      <c r="G55" s="360"/>
      <c r="H55" s="353"/>
      <c r="I55" s="155"/>
      <c r="J55" s="155"/>
      <c r="K55" s="369"/>
      <c r="L55" s="155"/>
      <c r="M55" s="155"/>
      <c r="N55" s="155"/>
      <c r="O55" s="155"/>
      <c r="P55" s="155"/>
      <c r="Q55" s="353"/>
      <c r="R55" s="360"/>
      <c r="S55" s="355"/>
      <c r="T55" s="356"/>
      <c r="U55" s="357"/>
      <c r="V55" s="350"/>
      <c r="W55" s="96"/>
      <c r="X55" s="352" t="s">
        <v>1104</v>
      </c>
      <c r="Y55" s="155"/>
      <c r="Z55" s="155"/>
      <c r="AA55" s="155"/>
      <c r="AB55" s="155"/>
      <c r="AC55" s="360"/>
      <c r="AD55" s="353"/>
      <c r="AE55" s="155"/>
      <c r="AF55" s="155"/>
      <c r="AG55" s="369"/>
      <c r="AH55" s="155"/>
      <c r="AI55" s="155"/>
      <c r="AJ55" s="155"/>
      <c r="AK55" s="155"/>
      <c r="AL55" s="155"/>
      <c r="AM55" s="353"/>
      <c r="AN55" s="360"/>
      <c r="AO55" s="355"/>
      <c r="AP55" s="356"/>
      <c r="AQ55" s="357"/>
      <c r="AR55" s="350"/>
      <c r="AS55" s="279"/>
      <c r="AT55" s="279"/>
      <c r="AU55" s="279"/>
    </row>
    <row r="56" spans="1:47" ht="18" customHeight="1">
      <c r="A56" s="272" t="s">
        <v>275</v>
      </c>
      <c r="B56" s="7"/>
      <c r="C56" s="7"/>
      <c r="D56" s="7"/>
      <c r="E56" s="125">
        <v>3</v>
      </c>
      <c r="F56" s="14" t="s">
        <v>276</v>
      </c>
      <c r="G56" s="125" t="s">
        <v>277</v>
      </c>
      <c r="H56" s="47" t="s">
        <v>278</v>
      </c>
      <c r="I56" s="7"/>
      <c r="J56" s="745">
        <v>240</v>
      </c>
      <c r="K56" s="746"/>
      <c r="L56" s="14" t="s">
        <v>279</v>
      </c>
      <c r="M56" s="7"/>
      <c r="N56" s="125">
        <v>1</v>
      </c>
      <c r="O56" s="14" t="s">
        <v>280</v>
      </c>
      <c r="P56" s="155"/>
      <c r="Q56" s="353"/>
      <c r="R56" s="360"/>
      <c r="S56" s="355"/>
      <c r="T56" s="356"/>
      <c r="U56" s="357"/>
      <c r="V56" s="350"/>
      <c r="W56" s="272" t="s">
        <v>275</v>
      </c>
      <c r="X56" s="7"/>
      <c r="Y56" s="7"/>
      <c r="Z56" s="7"/>
      <c r="AA56" s="125">
        <v>3</v>
      </c>
      <c r="AB56" s="14" t="s">
        <v>276</v>
      </c>
      <c r="AC56" s="125" t="s">
        <v>277</v>
      </c>
      <c r="AD56" s="47" t="s">
        <v>278</v>
      </c>
      <c r="AE56" s="7"/>
      <c r="AF56" s="745">
        <v>240</v>
      </c>
      <c r="AG56" s="746"/>
      <c r="AH56" s="14" t="s">
        <v>279</v>
      </c>
      <c r="AI56" s="7"/>
      <c r="AJ56" s="125">
        <v>1</v>
      </c>
      <c r="AK56" s="14" t="s">
        <v>280</v>
      </c>
      <c r="AL56" s="155"/>
      <c r="AM56" s="353"/>
      <c r="AN56" s="360"/>
      <c r="AO56" s="355"/>
      <c r="AP56" s="356"/>
      <c r="AQ56" s="357"/>
      <c r="AR56" s="350"/>
      <c r="AT56" s="279"/>
      <c r="AU56" s="279"/>
    </row>
    <row r="57" spans="1:47" ht="18" customHeight="1">
      <c r="A57" s="370"/>
      <c r="B57" s="352" t="s">
        <v>1105</v>
      </c>
      <c r="C57" s="155"/>
      <c r="D57" s="155"/>
      <c r="E57" s="155"/>
      <c r="F57" s="155"/>
      <c r="G57" s="360"/>
      <c r="H57" s="353"/>
      <c r="I57" s="155"/>
      <c r="J57" s="155"/>
      <c r="K57" s="155"/>
      <c r="L57" s="155"/>
      <c r="M57" s="155"/>
      <c r="N57" s="155"/>
      <c r="O57" s="155"/>
      <c r="P57" s="155"/>
      <c r="Q57" s="353"/>
      <c r="R57" s="360"/>
      <c r="S57" s="355"/>
      <c r="T57" s="356"/>
      <c r="U57" s="357"/>
      <c r="V57" s="350"/>
      <c r="W57" s="370"/>
      <c r="X57" s="352" t="s">
        <v>1105</v>
      </c>
      <c r="Y57" s="155"/>
      <c r="Z57" s="155"/>
      <c r="AA57" s="155"/>
      <c r="AB57" s="155"/>
      <c r="AC57" s="360"/>
      <c r="AD57" s="353"/>
      <c r="AE57" s="155"/>
      <c r="AF57" s="155"/>
      <c r="AG57" s="155"/>
      <c r="AH57" s="155"/>
      <c r="AI57" s="155"/>
      <c r="AJ57" s="155"/>
      <c r="AK57" s="155"/>
      <c r="AL57" s="155"/>
      <c r="AM57" s="353"/>
      <c r="AN57" s="360"/>
      <c r="AO57" s="355"/>
      <c r="AP57" s="356"/>
      <c r="AQ57" s="357"/>
      <c r="AR57" s="350"/>
      <c r="AT57" s="279"/>
      <c r="AU57" s="279"/>
    </row>
    <row r="58" spans="1:47" ht="18" customHeight="1">
      <c r="A58" s="370"/>
      <c r="B58" s="371"/>
      <c r="C58" s="155"/>
      <c r="D58" s="155"/>
      <c r="E58" s="155"/>
      <c r="F58" s="155"/>
      <c r="G58" s="360"/>
      <c r="H58" s="353"/>
      <c r="I58" s="155"/>
      <c r="J58" s="7"/>
      <c r="K58" s="155"/>
      <c r="L58" s="155"/>
      <c r="M58" s="155"/>
      <c r="N58" s="155"/>
      <c r="O58" s="7"/>
      <c r="P58" s="155"/>
      <c r="Q58" s="186"/>
      <c r="R58" s="360"/>
      <c r="S58" s="355"/>
      <c r="T58" s="356"/>
      <c r="U58" s="357"/>
      <c r="V58" s="350"/>
      <c r="W58" s="370"/>
      <c r="X58" s="371"/>
      <c r="Y58" s="155"/>
      <c r="Z58" s="155"/>
      <c r="AA58" s="155"/>
      <c r="AB58" s="155"/>
      <c r="AC58" s="360"/>
      <c r="AD58" s="353"/>
      <c r="AE58" s="155"/>
      <c r="AF58" s="7"/>
      <c r="AG58" s="155"/>
      <c r="AH58" s="155"/>
      <c r="AI58" s="155"/>
      <c r="AJ58" s="155"/>
      <c r="AK58" s="7"/>
      <c r="AL58" s="155"/>
      <c r="AM58" s="186"/>
      <c r="AN58" s="360"/>
      <c r="AO58" s="355"/>
      <c r="AP58" s="356"/>
      <c r="AQ58" s="357"/>
      <c r="AR58" s="350"/>
    </row>
    <row r="59" spans="1:47" ht="18" customHeight="1">
      <c r="A59" s="272"/>
      <c r="B59" s="155"/>
      <c r="C59" s="47" t="s">
        <v>282</v>
      </c>
      <c r="D59" s="357"/>
      <c r="E59" s="7"/>
      <c r="F59" s="7"/>
      <c r="G59" s="7"/>
      <c r="H59" s="7"/>
      <c r="I59" s="7"/>
      <c r="J59" s="7"/>
      <c r="K59" s="7"/>
      <c r="L59" s="7"/>
      <c r="M59" s="7"/>
      <c r="N59" s="7"/>
      <c r="O59" s="28" t="s">
        <v>283</v>
      </c>
      <c r="P59" s="102" t="s">
        <v>127</v>
      </c>
      <c r="Q59" s="738">
        <v>2.2100000000000002E-2</v>
      </c>
      <c r="R59" s="747"/>
      <c r="S59" s="47" t="s">
        <v>284</v>
      </c>
      <c r="T59" s="356"/>
      <c r="U59" s="357"/>
      <c r="V59" s="350"/>
      <c r="W59" s="272"/>
      <c r="X59" s="155"/>
      <c r="Y59" s="47" t="s">
        <v>282</v>
      </c>
      <c r="Z59" s="357"/>
      <c r="AA59" s="7"/>
      <c r="AB59" s="7"/>
      <c r="AC59" s="7"/>
      <c r="AD59" s="7"/>
      <c r="AE59" s="7"/>
      <c r="AF59" s="7"/>
      <c r="AG59" s="7"/>
      <c r="AH59" s="7"/>
      <c r="AI59" s="7"/>
      <c r="AJ59" s="7"/>
      <c r="AK59" s="28" t="s">
        <v>283</v>
      </c>
      <c r="AL59" s="102" t="s">
        <v>127</v>
      </c>
      <c r="AM59" s="738">
        <v>2.2100000000000002E-2</v>
      </c>
      <c r="AN59" s="747"/>
      <c r="AO59" s="47" t="s">
        <v>284</v>
      </c>
      <c r="AP59" s="356"/>
      <c r="AQ59" s="357"/>
      <c r="AR59" s="350"/>
      <c r="AS59" s="279"/>
      <c r="AT59" s="279"/>
      <c r="AU59" s="279"/>
    </row>
    <row r="60" spans="1:47" ht="18" customHeight="1">
      <c r="A60" s="272"/>
      <c r="B60" s="155"/>
      <c r="C60" s="47" t="s">
        <v>285</v>
      </c>
      <c r="D60" s="155"/>
      <c r="E60" s="7"/>
      <c r="F60" s="7"/>
      <c r="G60" s="7"/>
      <c r="H60" s="7"/>
      <c r="I60" s="7"/>
      <c r="J60" s="7"/>
      <c r="K60" s="7"/>
      <c r="L60" s="7"/>
      <c r="M60" s="7"/>
      <c r="N60" s="7"/>
      <c r="O60" s="28" t="s">
        <v>286</v>
      </c>
      <c r="P60" s="102" t="s">
        <v>127</v>
      </c>
      <c r="Q60" s="738">
        <v>0.16</v>
      </c>
      <c r="R60" s="739"/>
      <c r="S60" s="47" t="s">
        <v>284</v>
      </c>
      <c r="T60" s="356"/>
      <c r="U60" s="357"/>
      <c r="V60" s="350"/>
      <c r="W60" s="272"/>
      <c r="X60" s="155"/>
      <c r="Y60" s="47" t="s">
        <v>285</v>
      </c>
      <c r="Z60" s="155"/>
      <c r="AA60" s="7"/>
      <c r="AB60" s="7"/>
      <c r="AC60" s="7"/>
      <c r="AD60" s="7"/>
      <c r="AE60" s="7"/>
      <c r="AF60" s="7"/>
      <c r="AG60" s="7"/>
      <c r="AH60" s="7"/>
      <c r="AI60" s="7"/>
      <c r="AJ60" s="7"/>
      <c r="AK60" s="28" t="s">
        <v>286</v>
      </c>
      <c r="AL60" s="102" t="s">
        <v>127</v>
      </c>
      <c r="AM60" s="738">
        <v>0.16</v>
      </c>
      <c r="AN60" s="739"/>
      <c r="AO60" s="47" t="s">
        <v>284</v>
      </c>
      <c r="AP60" s="356"/>
      <c r="AQ60" s="357"/>
      <c r="AR60" s="350"/>
    </row>
    <row r="61" spans="1:47" ht="18" customHeight="1">
      <c r="A61" s="272"/>
      <c r="B61" s="155"/>
      <c r="C61" s="47" t="s">
        <v>287</v>
      </c>
      <c r="D61" s="155"/>
      <c r="E61" s="7"/>
      <c r="F61" s="7"/>
      <c r="G61" s="7"/>
      <c r="H61" s="7"/>
      <c r="I61" s="7"/>
      <c r="J61" s="7"/>
      <c r="K61" s="7"/>
      <c r="L61" s="7"/>
      <c r="M61" s="7"/>
      <c r="N61" s="7"/>
      <c r="O61" s="28" t="s">
        <v>288</v>
      </c>
      <c r="P61" s="102" t="s">
        <v>127</v>
      </c>
      <c r="Q61" s="738">
        <v>0.13</v>
      </c>
      <c r="R61" s="739"/>
      <c r="S61" s="47" t="s">
        <v>284</v>
      </c>
      <c r="T61" s="155"/>
      <c r="U61" s="357"/>
      <c r="V61" s="350"/>
      <c r="W61" s="272"/>
      <c r="X61" s="155"/>
      <c r="Y61" s="47" t="s">
        <v>287</v>
      </c>
      <c r="Z61" s="155"/>
      <c r="AA61" s="7"/>
      <c r="AB61" s="7"/>
      <c r="AC61" s="7"/>
      <c r="AD61" s="7"/>
      <c r="AE61" s="7"/>
      <c r="AF61" s="7"/>
      <c r="AG61" s="7"/>
      <c r="AH61" s="7"/>
      <c r="AI61" s="7"/>
      <c r="AJ61" s="7"/>
      <c r="AK61" s="28" t="s">
        <v>288</v>
      </c>
      <c r="AL61" s="102" t="s">
        <v>127</v>
      </c>
      <c r="AM61" s="738">
        <v>0.13</v>
      </c>
      <c r="AN61" s="739"/>
      <c r="AO61" s="47" t="s">
        <v>284</v>
      </c>
      <c r="AP61" s="155"/>
      <c r="AQ61" s="357"/>
      <c r="AR61" s="350"/>
    </row>
    <row r="62" spans="1:47" ht="18" customHeight="1">
      <c r="A62" s="272"/>
      <c r="B62" s="155"/>
      <c r="C62" s="47" t="s">
        <v>289</v>
      </c>
      <c r="D62" s="357"/>
      <c r="E62" s="7"/>
      <c r="F62" s="7"/>
      <c r="G62" s="7"/>
      <c r="H62" s="7"/>
      <c r="I62" s="7"/>
      <c r="J62" s="7"/>
      <c r="K62" s="7"/>
      <c r="L62" s="7"/>
      <c r="M62" s="7"/>
      <c r="N62" s="7"/>
      <c r="O62" s="28" t="s">
        <v>290</v>
      </c>
      <c r="P62" s="102" t="s">
        <v>127</v>
      </c>
      <c r="Q62" s="738">
        <v>0.06</v>
      </c>
      <c r="R62" s="739"/>
      <c r="S62" s="47" t="s">
        <v>284</v>
      </c>
      <c r="T62" s="356"/>
      <c r="U62" s="357"/>
      <c r="V62" s="350"/>
      <c r="W62" s="272"/>
      <c r="X62" s="155"/>
      <c r="Y62" s="47" t="s">
        <v>289</v>
      </c>
      <c r="Z62" s="357"/>
      <c r="AA62" s="7"/>
      <c r="AB62" s="7"/>
      <c r="AC62" s="7"/>
      <c r="AD62" s="7"/>
      <c r="AE62" s="7"/>
      <c r="AF62" s="7"/>
      <c r="AG62" s="7"/>
      <c r="AH62" s="7"/>
      <c r="AI62" s="7"/>
      <c r="AJ62" s="7"/>
      <c r="AK62" s="28" t="s">
        <v>290</v>
      </c>
      <c r="AL62" s="102" t="s">
        <v>127</v>
      </c>
      <c r="AM62" s="738">
        <v>0.06</v>
      </c>
      <c r="AN62" s="739"/>
      <c r="AO62" s="47" t="s">
        <v>284</v>
      </c>
      <c r="AP62" s="356"/>
      <c r="AQ62" s="357"/>
      <c r="AR62" s="350"/>
    </row>
    <row r="63" spans="1:47" ht="18" customHeight="1">
      <c r="A63" s="272"/>
      <c r="B63" s="357"/>
      <c r="C63" s="47" t="s">
        <v>291</v>
      </c>
      <c r="D63" s="155"/>
      <c r="E63" s="155"/>
      <c r="F63" s="155"/>
      <c r="G63" s="155"/>
      <c r="H63" s="7"/>
      <c r="I63" s="7"/>
      <c r="J63" s="7"/>
      <c r="K63" s="7"/>
      <c r="L63" s="7"/>
      <c r="M63" s="7"/>
      <c r="N63" s="7"/>
      <c r="O63" s="425" t="s">
        <v>522</v>
      </c>
      <c r="P63" s="102" t="s">
        <v>127</v>
      </c>
      <c r="Q63" s="740">
        <v>1.74</v>
      </c>
      <c r="R63" s="741"/>
      <c r="S63" s="372" t="s">
        <v>292</v>
      </c>
      <c r="T63" s="356"/>
      <c r="U63" s="357"/>
      <c r="V63" s="350"/>
      <c r="W63" s="272"/>
      <c r="X63" s="357"/>
      <c r="Y63" s="47" t="s">
        <v>291</v>
      </c>
      <c r="Z63" s="155"/>
      <c r="AA63" s="155"/>
      <c r="AB63" s="155"/>
      <c r="AC63" s="155"/>
      <c r="AD63" s="7"/>
      <c r="AE63" s="7"/>
      <c r="AF63" s="7"/>
      <c r="AG63" s="7"/>
      <c r="AH63" s="7"/>
      <c r="AI63" s="7"/>
      <c r="AJ63" s="7"/>
      <c r="AK63" s="425" t="s">
        <v>522</v>
      </c>
      <c r="AL63" s="102" t="s">
        <v>127</v>
      </c>
      <c r="AM63" s="740">
        <v>1.74</v>
      </c>
      <c r="AN63" s="741"/>
      <c r="AO63" s="372" t="s">
        <v>292</v>
      </c>
      <c r="AP63" s="356"/>
      <c r="AQ63" s="357"/>
      <c r="AR63" s="350"/>
    </row>
    <row r="64" spans="1:47" ht="18" customHeight="1">
      <c r="A64" s="668" t="s">
        <v>1106</v>
      </c>
      <c r="B64" s="357"/>
      <c r="C64" s="47"/>
      <c r="D64" s="155"/>
      <c r="E64" s="155"/>
      <c r="F64" s="155"/>
      <c r="G64" s="155"/>
      <c r="H64" s="7"/>
      <c r="I64" s="7"/>
      <c r="J64" s="7"/>
      <c r="K64" s="7"/>
      <c r="L64" s="7"/>
      <c r="M64" s="7"/>
      <c r="N64" s="7"/>
      <c r="O64" s="121"/>
      <c r="P64" s="102"/>
      <c r="Q64" s="666"/>
      <c r="R64" s="667"/>
      <c r="S64" s="372"/>
      <c r="T64" s="356"/>
      <c r="U64" s="357"/>
      <c r="V64" s="350"/>
      <c r="W64" s="668" t="s">
        <v>1106</v>
      </c>
      <c r="X64" s="357"/>
      <c r="Y64" s="47"/>
      <c r="Z64" s="155"/>
      <c r="AA64" s="155"/>
      <c r="AB64" s="155"/>
      <c r="AC64" s="155"/>
      <c r="AD64" s="7"/>
      <c r="AE64" s="7"/>
      <c r="AF64" s="7"/>
      <c r="AG64" s="7"/>
      <c r="AH64" s="7"/>
      <c r="AI64" s="7"/>
      <c r="AJ64" s="7"/>
      <c r="AK64" s="121"/>
      <c r="AL64" s="102"/>
      <c r="AM64" s="666"/>
      <c r="AN64" s="667"/>
      <c r="AO64" s="372"/>
      <c r="AP64" s="356"/>
      <c r="AQ64" s="357"/>
      <c r="AR64" s="350"/>
    </row>
    <row r="65" spans="1:44" ht="18" customHeight="1">
      <c r="A65" s="272"/>
      <c r="B65" s="357"/>
      <c r="C65" s="47" t="s">
        <v>293</v>
      </c>
      <c r="D65" s="155"/>
      <c r="E65" s="155"/>
      <c r="F65" s="155"/>
      <c r="G65" s="155"/>
      <c r="H65" s="7"/>
      <c r="I65" s="7"/>
      <c r="J65" s="28" t="s">
        <v>294</v>
      </c>
      <c r="K65" s="102" t="s">
        <v>127</v>
      </c>
      <c r="L65" s="742" t="s">
        <v>1108</v>
      </c>
      <c r="M65" s="689"/>
      <c r="N65" s="102" t="s">
        <v>295</v>
      </c>
      <c r="O65" s="702" t="s">
        <v>1110</v>
      </c>
      <c r="P65" s="711"/>
      <c r="Q65" s="47" t="s">
        <v>284</v>
      </c>
      <c r="R65" s="360"/>
      <c r="S65" s="355"/>
      <c r="T65" s="356"/>
      <c r="U65" s="155"/>
      <c r="V65" s="350"/>
      <c r="W65" s="272"/>
      <c r="X65" s="357"/>
      <c r="Y65" s="47" t="s">
        <v>293</v>
      </c>
      <c r="Z65" s="155"/>
      <c r="AA65" s="155"/>
      <c r="AB65" s="155"/>
      <c r="AC65" s="155"/>
      <c r="AD65" s="7"/>
      <c r="AE65" s="7"/>
      <c r="AF65" s="28" t="s">
        <v>294</v>
      </c>
      <c r="AG65" s="102" t="s">
        <v>127</v>
      </c>
      <c r="AH65" s="742" t="s">
        <v>1108</v>
      </c>
      <c r="AI65" s="689"/>
      <c r="AJ65" s="102" t="s">
        <v>295</v>
      </c>
      <c r="AK65" s="702" t="s">
        <v>1110</v>
      </c>
      <c r="AL65" s="711"/>
      <c r="AM65" s="47" t="s">
        <v>284</v>
      </c>
      <c r="AN65" s="360"/>
      <c r="AO65" s="355"/>
      <c r="AP65" s="356"/>
      <c r="AQ65" s="155"/>
      <c r="AR65" s="350"/>
    </row>
    <row r="66" spans="1:44" ht="18" customHeight="1">
      <c r="A66" s="272"/>
      <c r="B66" s="357"/>
      <c r="C66" s="47" t="s">
        <v>296</v>
      </c>
      <c r="D66" s="155"/>
      <c r="E66" s="155"/>
      <c r="F66" s="155"/>
      <c r="G66" s="155"/>
      <c r="H66" s="7"/>
      <c r="I66" s="7"/>
      <c r="J66" s="28" t="s">
        <v>297</v>
      </c>
      <c r="K66" s="102" t="s">
        <v>127</v>
      </c>
      <c r="L66" s="742" t="s">
        <v>1109</v>
      </c>
      <c r="M66" s="689"/>
      <c r="N66" s="102" t="s">
        <v>295</v>
      </c>
      <c r="O66" s="702" t="s">
        <v>1111</v>
      </c>
      <c r="P66" s="711"/>
      <c r="Q66" s="47" t="s">
        <v>284</v>
      </c>
      <c r="R66" s="360"/>
      <c r="S66" s="355"/>
      <c r="T66" s="356"/>
      <c r="U66" s="155"/>
      <c r="V66" s="350"/>
      <c r="W66" s="272"/>
      <c r="X66" s="357"/>
      <c r="Y66" s="47" t="s">
        <v>296</v>
      </c>
      <c r="Z66" s="155"/>
      <c r="AA66" s="155"/>
      <c r="AB66" s="155"/>
      <c r="AC66" s="155"/>
      <c r="AD66" s="7"/>
      <c r="AE66" s="7"/>
      <c r="AF66" s="28" t="s">
        <v>297</v>
      </c>
      <c r="AG66" s="102" t="s">
        <v>127</v>
      </c>
      <c r="AH66" s="742" t="s">
        <v>1109</v>
      </c>
      <c r="AI66" s="689"/>
      <c r="AJ66" s="102" t="s">
        <v>295</v>
      </c>
      <c r="AK66" s="702" t="s">
        <v>1111</v>
      </c>
      <c r="AL66" s="711"/>
      <c r="AM66" s="47" t="s">
        <v>284</v>
      </c>
      <c r="AN66" s="360"/>
      <c r="AO66" s="355"/>
      <c r="AP66" s="356"/>
      <c r="AQ66" s="155"/>
      <c r="AR66" s="350"/>
    </row>
    <row r="67" spans="1:44" ht="18" customHeight="1">
      <c r="A67" s="272"/>
      <c r="B67" s="155"/>
      <c r="C67" s="47" t="s">
        <v>298</v>
      </c>
      <c r="D67" s="155"/>
      <c r="E67" s="155"/>
      <c r="F67" s="155"/>
      <c r="G67" s="155"/>
      <c r="H67" s="7"/>
      <c r="I67" s="7"/>
      <c r="J67" s="28" t="s">
        <v>299</v>
      </c>
      <c r="K67" s="102" t="s">
        <v>127</v>
      </c>
      <c r="L67" s="702" t="s">
        <v>1112</v>
      </c>
      <c r="M67" s="711"/>
      <c r="N67" s="102" t="s">
        <v>295</v>
      </c>
      <c r="O67" s="702" t="s">
        <v>1113</v>
      </c>
      <c r="P67" s="711"/>
      <c r="Q67" s="14" t="s">
        <v>152</v>
      </c>
      <c r="R67" s="360"/>
      <c r="S67" s="355"/>
      <c r="T67" s="356"/>
      <c r="U67" s="155"/>
      <c r="V67" s="350"/>
      <c r="W67" s="272"/>
      <c r="X67" s="155"/>
      <c r="Y67" s="47" t="s">
        <v>298</v>
      </c>
      <c r="Z67" s="155"/>
      <c r="AA67" s="155"/>
      <c r="AB67" s="155"/>
      <c r="AC67" s="155"/>
      <c r="AD67" s="7"/>
      <c r="AE67" s="7"/>
      <c r="AF67" s="28" t="s">
        <v>299</v>
      </c>
      <c r="AG67" s="102" t="s">
        <v>127</v>
      </c>
      <c r="AH67" s="702" t="s">
        <v>1112</v>
      </c>
      <c r="AI67" s="711"/>
      <c r="AJ67" s="102" t="s">
        <v>295</v>
      </c>
      <c r="AK67" s="702" t="s">
        <v>1113</v>
      </c>
      <c r="AL67" s="711"/>
      <c r="AM67" s="14" t="s">
        <v>152</v>
      </c>
      <c r="AN67" s="360"/>
      <c r="AO67" s="355"/>
      <c r="AP67" s="356"/>
      <c r="AQ67" s="155"/>
      <c r="AR67" s="350"/>
    </row>
    <row r="68" spans="1:44" ht="18" customHeight="1">
      <c r="A68" s="272"/>
      <c r="B68" s="155"/>
      <c r="C68" s="47" t="s">
        <v>300</v>
      </c>
      <c r="D68" s="155"/>
      <c r="E68" s="155"/>
      <c r="F68" s="155"/>
      <c r="G68" s="155"/>
      <c r="H68" s="7"/>
      <c r="I68" s="7"/>
      <c r="J68" s="28" t="s">
        <v>301</v>
      </c>
      <c r="K68" s="102" t="s">
        <v>127</v>
      </c>
      <c r="L68" s="702" t="s">
        <v>1112</v>
      </c>
      <c r="M68" s="711"/>
      <c r="N68" s="102" t="s">
        <v>295</v>
      </c>
      <c r="O68" s="702" t="s">
        <v>1114</v>
      </c>
      <c r="P68" s="711"/>
      <c r="Q68" s="14" t="s">
        <v>152</v>
      </c>
      <c r="R68" s="360"/>
      <c r="S68" s="355"/>
      <c r="T68" s="356"/>
      <c r="U68" s="155"/>
      <c r="V68" s="350"/>
      <c r="W68" s="272"/>
      <c r="X68" s="155"/>
      <c r="Y68" s="47" t="s">
        <v>300</v>
      </c>
      <c r="Z68" s="155"/>
      <c r="AA68" s="155"/>
      <c r="AB68" s="155"/>
      <c r="AC68" s="155"/>
      <c r="AD68" s="7"/>
      <c r="AE68" s="7"/>
      <c r="AF68" s="28" t="s">
        <v>301</v>
      </c>
      <c r="AG68" s="102" t="s">
        <v>127</v>
      </c>
      <c r="AH68" s="702" t="s">
        <v>1112</v>
      </c>
      <c r="AI68" s="711"/>
      <c r="AJ68" s="102" t="s">
        <v>295</v>
      </c>
      <c r="AK68" s="702" t="s">
        <v>1114</v>
      </c>
      <c r="AL68" s="711"/>
      <c r="AM68" s="14" t="s">
        <v>152</v>
      </c>
      <c r="AN68" s="360"/>
      <c r="AO68" s="355"/>
      <c r="AP68" s="356"/>
      <c r="AQ68" s="155"/>
      <c r="AR68" s="350"/>
    </row>
    <row r="69" spans="1:44" ht="18" customHeight="1">
      <c r="A69" s="272"/>
      <c r="B69" s="155"/>
      <c r="C69" s="47"/>
      <c r="D69" s="155"/>
      <c r="E69" s="155"/>
      <c r="F69" s="155"/>
      <c r="G69" s="155"/>
      <c r="H69" s="7"/>
      <c r="I69" s="7"/>
      <c r="J69" s="28"/>
      <c r="K69" s="102"/>
      <c r="L69" s="658"/>
      <c r="M69" s="660"/>
      <c r="N69" s="102"/>
      <c r="O69" s="658"/>
      <c r="P69" s="660"/>
      <c r="Q69" s="14"/>
      <c r="R69" s="360"/>
      <c r="S69" s="355"/>
      <c r="T69" s="356"/>
      <c r="U69" s="155"/>
      <c r="V69" s="350"/>
      <c r="W69" s="272"/>
      <c r="X69" s="155"/>
      <c r="Y69" s="47"/>
      <c r="Z69" s="155"/>
      <c r="AA69" s="155"/>
      <c r="AB69" s="155"/>
      <c r="AC69" s="155"/>
      <c r="AD69" s="7"/>
      <c r="AE69" s="7"/>
      <c r="AF69" s="28"/>
      <c r="AG69" s="102"/>
      <c r="AH69" s="658"/>
      <c r="AI69" s="660"/>
      <c r="AJ69" s="102"/>
      <c r="AK69" s="658"/>
      <c r="AL69" s="660"/>
      <c r="AM69" s="14"/>
      <c r="AN69" s="360"/>
      <c r="AO69" s="355"/>
      <c r="AP69" s="356"/>
      <c r="AQ69" s="155"/>
      <c r="AR69" s="350"/>
    </row>
    <row r="70" spans="1:44" ht="24" customHeight="1">
      <c r="A70" s="735" t="s">
        <v>1115</v>
      </c>
      <c r="B70" s="736"/>
      <c r="C70" s="736"/>
      <c r="D70" s="736"/>
      <c r="E70" s="736"/>
      <c r="F70" s="736"/>
      <c r="G70" s="736"/>
      <c r="H70" s="736"/>
      <c r="I70" s="736"/>
      <c r="J70" s="736"/>
      <c r="K70" s="736"/>
      <c r="L70" s="736"/>
      <c r="M70" s="736"/>
      <c r="N70" s="736"/>
      <c r="O70" s="736"/>
      <c r="P70" s="736"/>
      <c r="Q70" s="353"/>
      <c r="R70" s="360"/>
      <c r="S70" s="355"/>
      <c r="T70" s="356"/>
      <c r="U70" s="155"/>
      <c r="V70" s="350"/>
      <c r="W70" s="735" t="s">
        <v>1115</v>
      </c>
      <c r="X70" s="736"/>
      <c r="Y70" s="736"/>
      <c r="Z70" s="736"/>
      <c r="AA70" s="736"/>
      <c r="AB70" s="736"/>
      <c r="AC70" s="736"/>
      <c r="AD70" s="736"/>
      <c r="AE70" s="736"/>
      <c r="AF70" s="736"/>
      <c r="AG70" s="736"/>
      <c r="AH70" s="736"/>
      <c r="AI70" s="736"/>
      <c r="AJ70" s="736"/>
      <c r="AK70" s="736"/>
      <c r="AL70" s="736"/>
      <c r="AM70" s="353"/>
      <c r="AN70" s="360"/>
      <c r="AO70" s="355"/>
      <c r="AP70" s="356"/>
      <c r="AQ70" s="155"/>
      <c r="AR70" s="350"/>
    </row>
    <row r="71" spans="1:44" ht="24" customHeight="1">
      <c r="A71" s="272"/>
      <c r="B71" s="357"/>
      <c r="C71" s="47" t="s">
        <v>293</v>
      </c>
      <c r="D71" s="155"/>
      <c r="E71" s="155"/>
      <c r="F71" s="155"/>
      <c r="G71" s="155"/>
      <c r="H71" s="7"/>
      <c r="I71" s="7"/>
      <c r="J71" s="28" t="s">
        <v>294</v>
      </c>
      <c r="K71" s="102" t="s">
        <v>127</v>
      </c>
      <c r="L71" s="737">
        <f>Q59/N56</f>
        <v>2.2100000000000002E-2</v>
      </c>
      <c r="M71" s="689"/>
      <c r="N71" s="102" t="s">
        <v>295</v>
      </c>
      <c r="O71" s="737">
        <f>Q60/N56</f>
        <v>0.16</v>
      </c>
      <c r="P71" s="689"/>
      <c r="Q71" s="47" t="s">
        <v>284</v>
      </c>
      <c r="R71" s="360"/>
      <c r="S71" s="355"/>
      <c r="T71" s="356"/>
      <c r="U71" s="155"/>
      <c r="V71" s="350"/>
      <c r="W71" s="272"/>
      <c r="X71" s="357"/>
      <c r="Y71" s="47" t="s">
        <v>293</v>
      </c>
      <c r="Z71" s="155"/>
      <c r="AA71" s="155"/>
      <c r="AB71" s="155"/>
      <c r="AC71" s="155"/>
      <c r="AD71" s="7"/>
      <c r="AE71" s="7"/>
      <c r="AF71" s="28" t="s">
        <v>294</v>
      </c>
      <c r="AG71" s="102" t="s">
        <v>127</v>
      </c>
      <c r="AH71" s="737">
        <f>AM59/AJ56</f>
        <v>2.2100000000000002E-2</v>
      </c>
      <c r="AI71" s="689"/>
      <c r="AJ71" s="102" t="s">
        <v>295</v>
      </c>
      <c r="AK71" s="737">
        <f>AM60/AJ56</f>
        <v>0.16</v>
      </c>
      <c r="AL71" s="689"/>
      <c r="AM71" s="47" t="s">
        <v>284</v>
      </c>
      <c r="AN71" s="360"/>
      <c r="AO71" s="355"/>
      <c r="AP71" s="356"/>
      <c r="AQ71" s="155"/>
      <c r="AR71" s="350"/>
    </row>
    <row r="72" spans="1:44" ht="24" customHeight="1">
      <c r="A72" s="272"/>
      <c r="B72" s="357"/>
      <c r="C72" s="47" t="s">
        <v>296</v>
      </c>
      <c r="D72" s="155"/>
      <c r="E72" s="155"/>
      <c r="F72" s="155"/>
      <c r="G72" s="155"/>
      <c r="H72" s="7"/>
      <c r="I72" s="7"/>
      <c r="J72" s="28" t="s">
        <v>297</v>
      </c>
      <c r="K72" s="102" t="s">
        <v>127</v>
      </c>
      <c r="L72" s="737">
        <f>Q61/N56</f>
        <v>0.13</v>
      </c>
      <c r="M72" s="689"/>
      <c r="N72" s="102" t="s">
        <v>295</v>
      </c>
      <c r="O72" s="737">
        <f>Q62/N56</f>
        <v>0.06</v>
      </c>
      <c r="P72" s="689"/>
      <c r="Q72" s="47" t="s">
        <v>284</v>
      </c>
      <c r="R72" s="360"/>
      <c r="S72" s="355"/>
      <c r="T72" s="356"/>
      <c r="U72" s="155"/>
      <c r="V72" s="350"/>
      <c r="W72" s="272"/>
      <c r="X72" s="357"/>
      <c r="Y72" s="47" t="s">
        <v>296</v>
      </c>
      <c r="Z72" s="155"/>
      <c r="AA72" s="155"/>
      <c r="AB72" s="155"/>
      <c r="AC72" s="155"/>
      <c r="AD72" s="7"/>
      <c r="AE72" s="7"/>
      <c r="AF72" s="28" t="s">
        <v>297</v>
      </c>
      <c r="AG72" s="102" t="s">
        <v>127</v>
      </c>
      <c r="AH72" s="737">
        <f>AM61/AJ56</f>
        <v>0.13</v>
      </c>
      <c r="AI72" s="689"/>
      <c r="AJ72" s="102" t="s">
        <v>295</v>
      </c>
      <c r="AK72" s="737">
        <f>AM62/AJ56</f>
        <v>0.06</v>
      </c>
      <c r="AL72" s="689"/>
      <c r="AM72" s="47" t="s">
        <v>284</v>
      </c>
      <c r="AN72" s="360"/>
      <c r="AO72" s="355"/>
      <c r="AP72" s="356"/>
      <c r="AQ72" s="155"/>
      <c r="AR72" s="350"/>
    </row>
    <row r="73" spans="1:44" ht="24" customHeight="1">
      <c r="A73" s="272"/>
      <c r="B73" s="155"/>
      <c r="C73" s="47" t="s">
        <v>298</v>
      </c>
      <c r="D73" s="155"/>
      <c r="E73" s="155"/>
      <c r="F73" s="155"/>
      <c r="G73" s="155"/>
      <c r="H73" s="7"/>
      <c r="I73" s="7"/>
      <c r="J73" s="28" t="s">
        <v>299</v>
      </c>
      <c r="K73" s="102" t="s">
        <v>127</v>
      </c>
      <c r="L73" s="711">
        <f>L71*Q63</f>
        <v>3.8454000000000002E-2</v>
      </c>
      <c r="M73" s="711"/>
      <c r="N73" s="102" t="s">
        <v>295</v>
      </c>
      <c r="O73" s="711">
        <f>O71*Q63</f>
        <v>0.27839999999999998</v>
      </c>
      <c r="P73" s="711"/>
      <c r="Q73" s="14" t="s">
        <v>152</v>
      </c>
      <c r="R73" s="360"/>
      <c r="S73" s="355"/>
      <c r="T73" s="356"/>
      <c r="U73" s="155"/>
      <c r="V73" s="350"/>
      <c r="W73" s="272"/>
      <c r="X73" s="155"/>
      <c r="Y73" s="47" t="s">
        <v>298</v>
      </c>
      <c r="Z73" s="155"/>
      <c r="AA73" s="155"/>
      <c r="AB73" s="155"/>
      <c r="AC73" s="155"/>
      <c r="AD73" s="7"/>
      <c r="AE73" s="7"/>
      <c r="AF73" s="28" t="s">
        <v>299</v>
      </c>
      <c r="AG73" s="102" t="s">
        <v>127</v>
      </c>
      <c r="AH73" s="711">
        <f>AH71*AM63</f>
        <v>3.8454000000000002E-2</v>
      </c>
      <c r="AI73" s="711"/>
      <c r="AJ73" s="102" t="s">
        <v>295</v>
      </c>
      <c r="AK73" s="711">
        <f>AK71*AM63</f>
        <v>0.27839999999999998</v>
      </c>
      <c r="AL73" s="711"/>
      <c r="AM73" s="14" t="s">
        <v>152</v>
      </c>
      <c r="AN73" s="360"/>
      <c r="AO73" s="355"/>
      <c r="AP73" s="356"/>
      <c r="AQ73" s="155"/>
      <c r="AR73" s="350"/>
    </row>
    <row r="74" spans="1:44" ht="18" customHeight="1">
      <c r="A74" s="272"/>
      <c r="B74" s="155"/>
      <c r="C74" s="47" t="s">
        <v>300</v>
      </c>
      <c r="D74" s="155"/>
      <c r="E74" s="155"/>
      <c r="F74" s="155"/>
      <c r="G74" s="155"/>
      <c r="H74" s="7"/>
      <c r="I74" s="7"/>
      <c r="J74" s="28" t="s">
        <v>301</v>
      </c>
      <c r="K74" s="102" t="s">
        <v>127</v>
      </c>
      <c r="L74" s="711">
        <f>L72*Q63</f>
        <v>0.22620000000000001</v>
      </c>
      <c r="M74" s="711"/>
      <c r="N74" s="102" t="s">
        <v>295</v>
      </c>
      <c r="O74" s="711">
        <f>O72*Q63</f>
        <v>0.10439999999999999</v>
      </c>
      <c r="P74" s="711"/>
      <c r="Q74" s="14" t="s">
        <v>152</v>
      </c>
      <c r="R74" s="360"/>
      <c r="S74" s="355"/>
      <c r="T74" s="356"/>
      <c r="U74" s="155"/>
      <c r="V74" s="350"/>
      <c r="W74" s="272"/>
      <c r="X74" s="155"/>
      <c r="Y74" s="47" t="s">
        <v>300</v>
      </c>
      <c r="Z74" s="155"/>
      <c r="AA74" s="155"/>
      <c r="AB74" s="155"/>
      <c r="AC74" s="155"/>
      <c r="AD74" s="7"/>
      <c r="AE74" s="7"/>
      <c r="AF74" s="28" t="s">
        <v>301</v>
      </c>
      <c r="AG74" s="102" t="s">
        <v>127</v>
      </c>
      <c r="AH74" s="711">
        <f>AH72*AM63</f>
        <v>0.22620000000000001</v>
      </c>
      <c r="AI74" s="711"/>
      <c r="AJ74" s="102" t="s">
        <v>295</v>
      </c>
      <c r="AK74" s="711">
        <f>AK72*AM63</f>
        <v>0.10439999999999999</v>
      </c>
      <c r="AL74" s="711"/>
      <c r="AM74" s="14" t="s">
        <v>152</v>
      </c>
      <c r="AN74" s="360"/>
      <c r="AO74" s="355"/>
      <c r="AP74" s="356"/>
      <c r="AQ74" s="155"/>
      <c r="AR74" s="350"/>
    </row>
    <row r="75" spans="1:44" ht="18" customHeight="1">
      <c r="A75" s="370"/>
      <c r="B75" s="155"/>
      <c r="C75" s="155"/>
      <c r="D75" s="155"/>
      <c r="E75" s="155"/>
      <c r="F75" s="155"/>
      <c r="G75" s="155"/>
      <c r="H75" s="155"/>
      <c r="I75" s="155"/>
      <c r="J75" s="7"/>
      <c r="K75" s="155"/>
      <c r="L75" s="155"/>
      <c r="M75" s="155"/>
      <c r="N75" s="155"/>
      <c r="O75" s="155"/>
      <c r="P75" s="155"/>
      <c r="Q75" s="353"/>
      <c r="R75" s="360"/>
      <c r="S75" s="355"/>
      <c r="T75" s="356"/>
      <c r="U75" s="155"/>
      <c r="V75" s="350"/>
      <c r="W75" s="370"/>
      <c r="X75" s="155"/>
      <c r="Y75" s="155"/>
      <c r="Z75" s="155"/>
      <c r="AA75" s="155"/>
      <c r="AB75" s="155"/>
      <c r="AC75" s="155"/>
      <c r="AD75" s="155"/>
      <c r="AE75" s="155"/>
      <c r="AF75" s="7"/>
      <c r="AG75" s="155"/>
      <c r="AH75" s="155"/>
      <c r="AI75" s="155"/>
      <c r="AJ75" s="155"/>
      <c r="AK75" s="155"/>
      <c r="AL75" s="155"/>
      <c r="AM75" s="353"/>
      <c r="AN75" s="360"/>
      <c r="AO75" s="355"/>
      <c r="AP75" s="356"/>
      <c r="AQ75" s="155"/>
      <c r="AR75" s="350"/>
    </row>
    <row r="76" spans="1:44" s="14" customFormat="1" ht="18" customHeight="1">
      <c r="A76" s="116"/>
      <c r="B76" s="117" t="s">
        <v>302</v>
      </c>
      <c r="C76" s="155"/>
      <c r="D76" s="155"/>
      <c r="E76" s="155"/>
      <c r="F76" s="155"/>
      <c r="G76" s="155"/>
      <c r="H76" s="155"/>
      <c r="I76" s="155"/>
      <c r="J76" s="155"/>
      <c r="K76" s="155"/>
      <c r="L76" s="155"/>
      <c r="M76" s="155"/>
      <c r="N76" s="155"/>
      <c r="O76" s="155"/>
      <c r="P76" s="155"/>
      <c r="Q76" s="353"/>
      <c r="R76" s="360"/>
      <c r="S76" s="355"/>
      <c r="T76" s="356"/>
      <c r="U76" s="155"/>
      <c r="V76" s="350"/>
      <c r="W76" s="116"/>
      <c r="X76" s="117" t="s">
        <v>302</v>
      </c>
      <c r="Y76" s="155"/>
      <c r="Z76" s="155"/>
      <c r="AA76" s="155"/>
      <c r="AB76" s="155"/>
      <c r="AC76" s="155"/>
      <c r="AD76" s="155"/>
      <c r="AE76" s="155"/>
      <c r="AF76" s="155"/>
      <c r="AG76" s="155"/>
      <c r="AH76" s="155"/>
      <c r="AI76" s="155"/>
      <c r="AJ76" s="155"/>
      <c r="AK76" s="155"/>
      <c r="AL76" s="155"/>
      <c r="AM76" s="353"/>
      <c r="AN76" s="360"/>
      <c r="AO76" s="355"/>
      <c r="AP76" s="356"/>
      <c r="AQ76" s="155"/>
      <c r="AR76" s="350"/>
    </row>
    <row r="77" spans="1:44" ht="18" customHeight="1">
      <c r="A77" s="272"/>
      <c r="B77" s="357"/>
      <c r="C77" s="47" t="s">
        <v>303</v>
      </c>
      <c r="D77" s="155"/>
      <c r="E77" s="155"/>
      <c r="F77" s="155"/>
      <c r="G77" s="155"/>
      <c r="H77" s="155"/>
      <c r="I77" s="155"/>
      <c r="J77" s="726" t="s">
        <v>1116</v>
      </c>
      <c r="K77" s="729"/>
      <c r="L77" s="729"/>
      <c r="M77" s="729"/>
      <c r="N77" s="729"/>
      <c r="O77" s="729"/>
      <c r="P77" s="729"/>
      <c r="Q77" s="729"/>
      <c r="R77" s="729"/>
      <c r="S77" s="729"/>
      <c r="T77" s="356"/>
      <c r="U77" s="155"/>
      <c r="V77" s="350"/>
      <c r="W77" s="272"/>
      <c r="X77" s="357"/>
      <c r="Y77" s="47" t="s">
        <v>303</v>
      </c>
      <c r="Z77" s="155"/>
      <c r="AA77" s="155"/>
      <c r="AB77" s="155"/>
      <c r="AC77" s="155"/>
      <c r="AD77" s="155"/>
      <c r="AE77" s="155"/>
      <c r="AF77" s="726" t="s">
        <v>1116</v>
      </c>
      <c r="AG77" s="729"/>
      <c r="AH77" s="729"/>
      <c r="AI77" s="729"/>
      <c r="AJ77" s="729"/>
      <c r="AK77" s="729"/>
      <c r="AL77" s="729"/>
      <c r="AM77" s="729"/>
      <c r="AN77" s="729"/>
      <c r="AO77" s="729"/>
      <c r="AP77" s="356"/>
      <c r="AQ77" s="155"/>
      <c r="AR77" s="350"/>
    </row>
    <row r="78" spans="1:44" ht="18" customHeight="1">
      <c r="A78" s="272"/>
      <c r="B78" s="357"/>
      <c r="C78" s="47"/>
      <c r="D78" s="155"/>
      <c r="E78" s="155"/>
      <c r="F78" s="155"/>
      <c r="G78" s="155"/>
      <c r="H78" s="155"/>
      <c r="I78" s="155"/>
      <c r="J78" s="155"/>
      <c r="K78" s="155"/>
      <c r="L78" s="353"/>
      <c r="M78" s="353"/>
      <c r="N78" s="155"/>
      <c r="O78" s="155" t="s">
        <v>895</v>
      </c>
      <c r="P78" s="102" t="s">
        <v>127</v>
      </c>
      <c r="Q78" s="689">
        <f>Q53*1000</f>
        <v>50000</v>
      </c>
      <c r="R78" s="689"/>
      <c r="S78" s="47" t="s">
        <v>8</v>
      </c>
      <c r="T78" s="356"/>
      <c r="U78" s="155"/>
      <c r="V78" s="350"/>
      <c r="W78" s="272"/>
      <c r="X78" s="357"/>
      <c r="Y78" s="47"/>
      <c r="Z78" s="155"/>
      <c r="AA78" s="155"/>
      <c r="AB78" s="155"/>
      <c r="AC78" s="155"/>
      <c r="AD78" s="155"/>
      <c r="AE78" s="155"/>
      <c r="AF78" s="155"/>
      <c r="AG78" s="155"/>
      <c r="AH78" s="353"/>
      <c r="AI78" s="353"/>
      <c r="AJ78" s="155"/>
      <c r="AK78" s="155" t="s">
        <v>895</v>
      </c>
      <c r="AL78" s="102" t="s">
        <v>127</v>
      </c>
      <c r="AM78" s="689">
        <f>AM53*1000</f>
        <v>50000</v>
      </c>
      <c r="AN78" s="689"/>
      <c r="AO78" s="47" t="s">
        <v>8</v>
      </c>
      <c r="AP78" s="356"/>
      <c r="AQ78" s="155"/>
      <c r="AR78" s="350"/>
    </row>
    <row r="79" spans="1:44" ht="18" customHeight="1">
      <c r="A79" s="730" t="s">
        <v>1117</v>
      </c>
      <c r="B79" s="731"/>
      <c r="C79" s="731"/>
      <c r="D79" s="731"/>
      <c r="E79" s="731"/>
      <c r="F79" s="731"/>
      <c r="G79" s="731"/>
      <c r="H79" s="731"/>
      <c r="I79" s="731"/>
      <c r="J79" s="731"/>
      <c r="K79" s="731"/>
      <c r="L79" s="731"/>
      <c r="M79" s="731"/>
      <c r="N79" s="731"/>
      <c r="O79" s="731"/>
      <c r="P79" s="731"/>
      <c r="Q79" s="731"/>
      <c r="R79" s="731"/>
      <c r="S79" s="731"/>
      <c r="T79" s="731"/>
      <c r="U79" s="731"/>
      <c r="V79" s="732"/>
      <c r="W79" s="730" t="s">
        <v>1117</v>
      </c>
      <c r="X79" s="731"/>
      <c r="Y79" s="731"/>
      <c r="Z79" s="731"/>
      <c r="AA79" s="731"/>
      <c r="AB79" s="731"/>
      <c r="AC79" s="731"/>
      <c r="AD79" s="731"/>
      <c r="AE79" s="731"/>
      <c r="AF79" s="731"/>
      <c r="AG79" s="731"/>
      <c r="AH79" s="731"/>
      <c r="AI79" s="731"/>
      <c r="AJ79" s="731"/>
      <c r="AK79" s="731"/>
      <c r="AL79" s="731"/>
      <c r="AM79" s="731"/>
      <c r="AN79" s="731"/>
      <c r="AO79" s="731"/>
      <c r="AP79" s="731"/>
      <c r="AQ79" s="731"/>
      <c r="AR79" s="732"/>
    </row>
    <row r="80" spans="1:44" ht="18" customHeight="1">
      <c r="A80" s="272"/>
      <c r="B80" s="357"/>
      <c r="C80" s="47"/>
      <c r="D80" s="155"/>
      <c r="E80" s="155"/>
      <c r="F80" s="155"/>
      <c r="G80" s="155"/>
      <c r="H80" s="155"/>
      <c r="I80" s="155"/>
      <c r="J80" s="155"/>
      <c r="K80" s="155"/>
      <c r="L80" s="155"/>
      <c r="M80" s="155"/>
      <c r="N80" s="155"/>
      <c r="O80" s="155" t="s">
        <v>305</v>
      </c>
      <c r="P80" s="102" t="s">
        <v>127</v>
      </c>
      <c r="Q80" s="689">
        <f>Q52*1000</f>
        <v>132000</v>
      </c>
      <c r="R80" s="689"/>
      <c r="S80" s="47" t="s">
        <v>305</v>
      </c>
      <c r="T80" s="356"/>
      <c r="U80" s="155"/>
      <c r="V80" s="350"/>
      <c r="W80" s="272"/>
      <c r="X80" s="357"/>
      <c r="Y80" s="47"/>
      <c r="Z80" s="155"/>
      <c r="AA80" s="155"/>
      <c r="AB80" s="155"/>
      <c r="AC80" s="155"/>
      <c r="AD80" s="155"/>
      <c r="AE80" s="155"/>
      <c r="AF80" s="155"/>
      <c r="AG80" s="155"/>
      <c r="AH80" s="155"/>
      <c r="AI80" s="155"/>
      <c r="AJ80" s="155"/>
      <c r="AK80" s="155" t="s">
        <v>305</v>
      </c>
      <c r="AL80" s="102" t="s">
        <v>127</v>
      </c>
      <c r="AM80" s="689">
        <f>AM52*1000</f>
        <v>132000</v>
      </c>
      <c r="AN80" s="689"/>
      <c r="AO80" s="47" t="s">
        <v>305</v>
      </c>
      <c r="AP80" s="356"/>
      <c r="AQ80" s="155"/>
      <c r="AR80" s="350"/>
    </row>
    <row r="81" spans="1:45" ht="18" customHeight="1">
      <c r="A81" s="272" t="s">
        <v>308</v>
      </c>
      <c r="B81" s="375"/>
      <c r="C81" s="155"/>
      <c r="D81" s="155"/>
      <c r="E81" s="156"/>
      <c r="F81" s="156"/>
      <c r="G81" s="156"/>
      <c r="H81" s="7"/>
      <c r="I81" s="155"/>
      <c r="J81" s="155"/>
      <c r="K81" s="155"/>
      <c r="L81" s="155"/>
      <c r="M81" s="376"/>
      <c r="N81" s="155"/>
      <c r="O81" s="155"/>
      <c r="P81" s="102"/>
      <c r="Q81" s="733">
        <v>1</v>
      </c>
      <c r="R81" s="734"/>
      <c r="S81" s="47"/>
      <c r="T81" s="356"/>
      <c r="U81" s="155"/>
      <c r="V81" s="350"/>
      <c r="W81" s="272" t="s">
        <v>308</v>
      </c>
      <c r="X81" s="375"/>
      <c r="Y81" s="155"/>
      <c r="Z81" s="155"/>
      <c r="AA81" s="156"/>
      <c r="AB81" s="156"/>
      <c r="AC81" s="156"/>
      <c r="AD81" s="7"/>
      <c r="AE81" s="155"/>
      <c r="AF81" s="155"/>
      <c r="AG81" s="155"/>
      <c r="AH81" s="155"/>
      <c r="AI81" s="376"/>
      <c r="AJ81" s="155"/>
      <c r="AK81" s="155"/>
      <c r="AL81" s="102"/>
      <c r="AM81" s="733">
        <v>1</v>
      </c>
      <c r="AN81" s="734"/>
      <c r="AO81" s="47"/>
      <c r="AP81" s="356"/>
      <c r="AQ81" s="155"/>
      <c r="AR81" s="350"/>
    </row>
    <row r="82" spans="1:45" ht="18" customHeight="1">
      <c r="A82" s="114"/>
      <c r="B82" s="353"/>
      <c r="C82" s="357"/>
      <c r="D82" s="357"/>
      <c r="E82" s="28" t="s">
        <v>310</v>
      </c>
      <c r="F82" s="102" t="s">
        <v>127</v>
      </c>
      <c r="G82" s="28" t="s">
        <v>311</v>
      </c>
      <c r="H82" s="28" t="s">
        <v>312</v>
      </c>
      <c r="I82" s="28">
        <v>1</v>
      </c>
      <c r="J82" s="28" t="s">
        <v>313</v>
      </c>
      <c r="K82" s="27" t="s">
        <v>314</v>
      </c>
      <c r="L82" s="28" t="s">
        <v>315</v>
      </c>
      <c r="M82" s="28" t="s">
        <v>316</v>
      </c>
      <c r="N82" s="155"/>
      <c r="O82" s="155"/>
      <c r="P82" s="102"/>
      <c r="Q82" s="688"/>
      <c r="R82" s="688"/>
      <c r="S82" s="14" t="s">
        <v>152</v>
      </c>
      <c r="T82" s="356"/>
      <c r="U82" s="155"/>
      <c r="V82" s="350"/>
      <c r="W82" s="114"/>
      <c r="X82" s="353"/>
      <c r="Y82" s="357"/>
      <c r="Z82" s="357"/>
      <c r="AA82" s="28" t="s">
        <v>310</v>
      </c>
      <c r="AB82" s="102" t="s">
        <v>127</v>
      </c>
      <c r="AC82" s="28" t="s">
        <v>311</v>
      </c>
      <c r="AD82" s="28" t="s">
        <v>312</v>
      </c>
      <c r="AE82" s="28">
        <v>1</v>
      </c>
      <c r="AF82" s="28" t="s">
        <v>313</v>
      </c>
      <c r="AG82" s="27" t="s">
        <v>314</v>
      </c>
      <c r="AH82" s="28" t="s">
        <v>315</v>
      </c>
      <c r="AI82" s="28" t="s">
        <v>316</v>
      </c>
      <c r="AJ82" s="155"/>
      <c r="AK82" s="155"/>
      <c r="AL82" s="102"/>
      <c r="AM82" s="688"/>
      <c r="AN82" s="688"/>
      <c r="AO82" s="14" t="s">
        <v>152</v>
      </c>
      <c r="AP82" s="356"/>
      <c r="AQ82" s="155"/>
      <c r="AR82" s="350"/>
    </row>
    <row r="83" spans="1:45" ht="18" customHeight="1">
      <c r="A83" s="725" t="s">
        <v>1120</v>
      </c>
      <c r="B83" s="726"/>
      <c r="C83" s="726"/>
      <c r="D83" s="726"/>
      <c r="E83" s="726"/>
      <c r="F83" s="726"/>
      <c r="G83" s="726"/>
      <c r="H83" s="726"/>
      <c r="I83" s="726"/>
      <c r="J83" s="726"/>
      <c r="K83" s="726"/>
      <c r="L83" s="726"/>
      <c r="M83" s="726"/>
      <c r="N83" s="726"/>
      <c r="O83" s="726"/>
      <c r="P83" s="726"/>
      <c r="Q83" s="726"/>
      <c r="R83" s="726"/>
      <c r="S83" s="726"/>
      <c r="T83" s="356"/>
      <c r="U83" s="155"/>
      <c r="V83" s="350"/>
      <c r="W83" s="725" t="s">
        <v>1120</v>
      </c>
      <c r="X83" s="726"/>
      <c r="Y83" s="726"/>
      <c r="Z83" s="726"/>
      <c r="AA83" s="726"/>
      <c r="AB83" s="726"/>
      <c r="AC83" s="726"/>
      <c r="AD83" s="726"/>
      <c r="AE83" s="726"/>
      <c r="AF83" s="726"/>
      <c r="AG83" s="726"/>
      <c r="AH83" s="726"/>
      <c r="AI83" s="726"/>
      <c r="AJ83" s="726"/>
      <c r="AK83" s="726"/>
      <c r="AL83" s="726"/>
      <c r="AM83" s="726"/>
      <c r="AN83" s="726"/>
      <c r="AO83" s="726"/>
      <c r="AP83" s="356"/>
      <c r="AQ83" s="155"/>
      <c r="AR83" s="350"/>
      <c r="AS83" s="30" t="e">
        <f>G324</f>
        <v>#VALUE!</v>
      </c>
    </row>
    <row r="84" spans="1:45" ht="18" customHeight="1">
      <c r="A84" s="669"/>
      <c r="B84" s="191"/>
      <c r="C84" s="191" t="s">
        <v>310</v>
      </c>
      <c r="D84" s="670" t="s">
        <v>127</v>
      </c>
      <c r="E84" s="671">
        <f>(Q80*Q81)/(SQRT(3)*Q78)</f>
        <v>1.5242047106606122</v>
      </c>
      <c r="F84" s="191"/>
      <c r="G84" s="191"/>
      <c r="H84" s="191"/>
      <c r="I84" s="191"/>
      <c r="J84" s="191"/>
      <c r="K84" s="191"/>
      <c r="L84" s="191"/>
      <c r="M84" s="191"/>
      <c r="N84" s="191"/>
      <c r="O84" s="191"/>
      <c r="P84" s="191"/>
      <c r="Q84" s="191"/>
      <c r="R84" s="191"/>
      <c r="S84" s="191"/>
      <c r="T84" s="356"/>
      <c r="U84" s="155"/>
      <c r="V84" s="350"/>
      <c r="W84" s="669"/>
      <c r="X84" s="191"/>
      <c r="Y84" s="191" t="s">
        <v>310</v>
      </c>
      <c r="Z84" s="670" t="s">
        <v>127</v>
      </c>
      <c r="AA84" s="671">
        <f>(AM80*AM81)/(SQRT(3)*AM78)</f>
        <v>1.5242047106606122</v>
      </c>
      <c r="AB84" s="191"/>
      <c r="AC84" s="191"/>
      <c r="AD84" s="191"/>
      <c r="AE84" s="191"/>
      <c r="AF84" s="191"/>
      <c r="AG84" s="191"/>
      <c r="AH84" s="191"/>
      <c r="AI84" s="191"/>
      <c r="AJ84" s="191"/>
      <c r="AK84" s="191"/>
      <c r="AL84" s="191"/>
      <c r="AM84" s="191"/>
      <c r="AN84" s="191"/>
      <c r="AO84" s="191"/>
      <c r="AP84" s="356"/>
      <c r="AQ84" s="155"/>
      <c r="AR84" s="350"/>
    </row>
    <row r="85" spans="1:45" ht="18" customHeight="1">
      <c r="A85" s="698" t="s">
        <v>1118</v>
      </c>
      <c r="B85" s="727"/>
      <c r="C85" s="727"/>
      <c r="D85" s="727"/>
      <c r="E85" s="727"/>
      <c r="F85" s="102"/>
      <c r="G85" s="102"/>
      <c r="H85" s="102"/>
      <c r="I85" s="102"/>
      <c r="J85" s="102"/>
      <c r="K85" s="102"/>
      <c r="L85" s="102"/>
      <c r="M85" s="102"/>
      <c r="N85" s="102"/>
      <c r="O85" s="102"/>
      <c r="P85" s="102"/>
      <c r="Q85" s="102"/>
      <c r="R85" s="102"/>
      <c r="S85" s="102"/>
      <c r="T85" s="356"/>
      <c r="U85" s="155"/>
      <c r="V85" s="350"/>
      <c r="W85" s="698" t="s">
        <v>1118</v>
      </c>
      <c r="X85" s="727"/>
      <c r="Y85" s="727"/>
      <c r="Z85" s="727"/>
      <c r="AA85" s="727"/>
      <c r="AB85" s="102"/>
      <c r="AC85" s="102"/>
      <c r="AD85" s="102"/>
      <c r="AE85" s="102"/>
      <c r="AF85" s="102"/>
      <c r="AG85" s="102"/>
      <c r="AH85" s="102"/>
      <c r="AI85" s="102"/>
      <c r="AJ85" s="102"/>
      <c r="AK85" s="102"/>
      <c r="AL85" s="102"/>
      <c r="AM85" s="102"/>
      <c r="AN85" s="102"/>
      <c r="AO85" s="102"/>
      <c r="AP85" s="356"/>
      <c r="AQ85" s="155"/>
      <c r="AR85" s="350"/>
    </row>
    <row r="86" spans="1:45" ht="18" customHeight="1">
      <c r="A86" s="698"/>
      <c r="B86" s="727"/>
      <c r="C86" s="727"/>
      <c r="D86" s="727"/>
      <c r="E86" s="727"/>
      <c r="F86" s="102" t="s">
        <v>127</v>
      </c>
      <c r="G86" s="28">
        <v>2</v>
      </c>
      <c r="H86" s="28" t="s">
        <v>315</v>
      </c>
      <c r="I86" s="278" t="s">
        <v>318</v>
      </c>
      <c r="J86" s="28" t="s">
        <v>315</v>
      </c>
      <c r="K86" s="28" t="s">
        <v>319</v>
      </c>
      <c r="L86" s="28" t="s">
        <v>315</v>
      </c>
      <c r="M86" s="28" t="s">
        <v>320</v>
      </c>
      <c r="N86" s="155"/>
      <c r="O86" s="155"/>
      <c r="P86" s="377"/>
      <c r="Q86" s="279"/>
      <c r="R86" s="14"/>
      <c r="S86" s="355"/>
      <c r="T86" s="356"/>
      <c r="U86" s="155"/>
      <c r="V86" s="350"/>
      <c r="W86" s="698"/>
      <c r="X86" s="727"/>
      <c r="Y86" s="727"/>
      <c r="Z86" s="727"/>
      <c r="AA86" s="727"/>
      <c r="AB86" s="102" t="s">
        <v>127</v>
      </c>
      <c r="AC86" s="28">
        <v>2</v>
      </c>
      <c r="AD86" s="28" t="s">
        <v>315</v>
      </c>
      <c r="AE86" s="278" t="s">
        <v>318</v>
      </c>
      <c r="AF86" s="28" t="s">
        <v>315</v>
      </c>
      <c r="AG86" s="28" t="s">
        <v>319</v>
      </c>
      <c r="AH86" s="28" t="s">
        <v>315</v>
      </c>
      <c r="AI86" s="28" t="s">
        <v>320</v>
      </c>
      <c r="AJ86" s="155"/>
      <c r="AK86" s="155"/>
      <c r="AL86" s="377"/>
      <c r="AM86" s="279"/>
      <c r="AN86" s="14"/>
      <c r="AO86" s="355"/>
      <c r="AP86" s="356"/>
      <c r="AQ86" s="155"/>
      <c r="AR86" s="350"/>
    </row>
    <row r="87" spans="1:45" ht="18" customHeight="1">
      <c r="A87" s="728" t="s">
        <v>1119</v>
      </c>
      <c r="B87" s="727"/>
      <c r="C87" s="727"/>
      <c r="D87" s="727"/>
      <c r="E87" s="727"/>
      <c r="F87" s="727"/>
      <c r="G87" s="727"/>
      <c r="H87" s="727"/>
      <c r="I87" s="278"/>
      <c r="J87" s="28"/>
      <c r="K87" s="28"/>
      <c r="L87" s="28"/>
      <c r="M87" s="28"/>
      <c r="N87" s="155"/>
      <c r="O87" s="155"/>
      <c r="P87" s="377"/>
      <c r="Q87" s="279"/>
      <c r="R87" s="14"/>
      <c r="S87" s="355"/>
      <c r="T87" s="356"/>
      <c r="U87" s="155"/>
      <c r="V87" s="350"/>
      <c r="W87" s="728" t="s">
        <v>1119</v>
      </c>
      <c r="X87" s="727"/>
      <c r="Y87" s="727"/>
      <c r="Z87" s="727"/>
      <c r="AA87" s="727"/>
      <c r="AB87" s="727"/>
      <c r="AC87" s="727"/>
      <c r="AD87" s="727"/>
      <c r="AE87" s="278"/>
      <c r="AF87" s="28"/>
      <c r="AG87" s="28"/>
      <c r="AH87" s="28"/>
      <c r="AI87" s="28"/>
      <c r="AJ87" s="155"/>
      <c r="AK87" s="155"/>
      <c r="AL87" s="377"/>
      <c r="AM87" s="279"/>
      <c r="AN87" s="14"/>
      <c r="AO87" s="355"/>
      <c r="AP87" s="356"/>
      <c r="AQ87" s="155"/>
      <c r="AR87" s="350"/>
    </row>
    <row r="88" spans="1:45" ht="18" customHeight="1">
      <c r="A88" s="373"/>
      <c r="B88" s="357"/>
      <c r="C88" s="155"/>
      <c r="D88" s="155"/>
      <c r="E88" s="47" t="s">
        <v>321</v>
      </c>
      <c r="F88" s="155"/>
      <c r="G88" s="155"/>
      <c r="H88" s="155"/>
      <c r="I88" s="155"/>
      <c r="J88" s="155"/>
      <c r="K88" s="155"/>
      <c r="L88" s="47" t="s">
        <v>322</v>
      </c>
      <c r="M88" s="155"/>
      <c r="N88" s="155"/>
      <c r="O88" s="155"/>
      <c r="P88" s="102" t="s">
        <v>127</v>
      </c>
      <c r="Q88" s="689">
        <f>Q54</f>
        <v>15</v>
      </c>
      <c r="R88" s="689"/>
      <c r="S88" s="378"/>
      <c r="T88" s="356"/>
      <c r="U88" s="155"/>
      <c r="V88" s="350"/>
      <c r="W88" s="373"/>
      <c r="X88" s="357"/>
      <c r="Y88" s="155"/>
      <c r="Z88" s="155"/>
      <c r="AA88" s="47" t="s">
        <v>321</v>
      </c>
      <c r="AB88" s="155"/>
      <c r="AC88" s="155"/>
      <c r="AD88" s="155"/>
      <c r="AE88" s="155"/>
      <c r="AF88" s="155"/>
      <c r="AG88" s="155"/>
      <c r="AH88" s="47" t="s">
        <v>322</v>
      </c>
      <c r="AI88" s="155"/>
      <c r="AJ88" s="155"/>
      <c r="AK88" s="155"/>
      <c r="AL88" s="102" t="s">
        <v>127</v>
      </c>
      <c r="AM88" s="689">
        <f>AM54</f>
        <v>15</v>
      </c>
      <c r="AN88" s="689"/>
      <c r="AO88" s="378"/>
      <c r="AP88" s="356"/>
      <c r="AQ88" s="155"/>
      <c r="AR88" s="350"/>
    </row>
    <row r="89" spans="1:45" ht="18" customHeight="1">
      <c r="A89" s="373"/>
      <c r="B89" s="357"/>
      <c r="C89" s="155"/>
      <c r="D89" s="155"/>
      <c r="E89" s="47" t="s">
        <v>263</v>
      </c>
      <c r="F89" s="155"/>
      <c r="G89" s="155"/>
      <c r="H89" s="155"/>
      <c r="I89" s="155"/>
      <c r="J89" s="155"/>
      <c r="K89" s="155"/>
      <c r="L89" s="47" t="s">
        <v>319</v>
      </c>
      <c r="M89" s="155"/>
      <c r="N89" s="155"/>
      <c r="O89" s="155"/>
      <c r="P89" s="102" t="s">
        <v>127</v>
      </c>
      <c r="Q89" s="689">
        <f>Q51</f>
        <v>50</v>
      </c>
      <c r="R89" s="689"/>
      <c r="S89" s="378"/>
      <c r="T89" s="356"/>
      <c r="U89" s="155"/>
      <c r="V89" s="350"/>
      <c r="W89" s="373"/>
      <c r="X89" s="357"/>
      <c r="Y89" s="155"/>
      <c r="Z89" s="155"/>
      <c r="AA89" s="47" t="s">
        <v>263</v>
      </c>
      <c r="AB89" s="155"/>
      <c r="AC89" s="155"/>
      <c r="AD89" s="155"/>
      <c r="AE89" s="155"/>
      <c r="AF89" s="155"/>
      <c r="AG89" s="155"/>
      <c r="AH89" s="47" t="s">
        <v>319</v>
      </c>
      <c r="AI89" s="155"/>
      <c r="AJ89" s="155"/>
      <c r="AK89" s="155"/>
      <c r="AL89" s="102" t="s">
        <v>127</v>
      </c>
      <c r="AM89" s="689">
        <f>AM51</f>
        <v>50</v>
      </c>
      <c r="AN89" s="689"/>
      <c r="AO89" s="378"/>
      <c r="AP89" s="356"/>
      <c r="AQ89" s="155"/>
      <c r="AR89" s="350"/>
    </row>
    <row r="90" spans="1:45" ht="18" customHeight="1">
      <c r="A90" s="373"/>
      <c r="B90" s="357"/>
      <c r="C90" s="14" t="s">
        <v>323</v>
      </c>
      <c r="D90" s="155"/>
      <c r="E90" s="296" t="s">
        <v>1121</v>
      </c>
      <c r="F90" s="155"/>
      <c r="G90" s="155"/>
      <c r="H90" s="155"/>
      <c r="I90" s="155"/>
      <c r="J90" s="155"/>
      <c r="K90" s="155"/>
      <c r="L90" s="14" t="s">
        <v>325</v>
      </c>
      <c r="M90" s="379" t="s">
        <v>326</v>
      </c>
      <c r="N90" s="155"/>
      <c r="O90" s="155"/>
      <c r="P90" s="102"/>
      <c r="Q90" s="689"/>
      <c r="R90" s="689"/>
      <c r="S90" s="378"/>
      <c r="T90" s="7"/>
      <c r="U90" s="7"/>
      <c r="V90" s="112"/>
      <c r="W90" s="373"/>
      <c r="X90" s="357"/>
      <c r="Y90" s="14" t="s">
        <v>323</v>
      </c>
      <c r="Z90" s="155"/>
      <c r="AA90" s="296" t="s">
        <v>1121</v>
      </c>
      <c r="AB90" s="155"/>
      <c r="AC90" s="155"/>
      <c r="AD90" s="155"/>
      <c r="AE90" s="155"/>
      <c r="AF90" s="155"/>
      <c r="AG90" s="155"/>
      <c r="AH90" s="14" t="s">
        <v>325</v>
      </c>
      <c r="AI90" s="379" t="s">
        <v>326</v>
      </c>
      <c r="AJ90" s="155"/>
      <c r="AK90" s="155"/>
      <c r="AL90" s="102"/>
      <c r="AM90" s="689"/>
      <c r="AN90" s="689"/>
      <c r="AO90" s="378"/>
      <c r="AP90" s="7"/>
      <c r="AQ90" s="7"/>
      <c r="AR90" s="112"/>
    </row>
    <row r="91" spans="1:45" ht="18" customHeight="1">
      <c r="A91" s="373"/>
      <c r="B91" s="357"/>
      <c r="C91" s="7"/>
      <c r="D91" s="155"/>
      <c r="E91" s="47" t="s">
        <v>327</v>
      </c>
      <c r="F91" s="155"/>
      <c r="G91" s="155"/>
      <c r="H91" s="155"/>
      <c r="I91" s="155"/>
      <c r="J91" s="155"/>
      <c r="K91" s="155"/>
      <c r="L91" s="14" t="s">
        <v>328</v>
      </c>
      <c r="M91" s="155"/>
      <c r="N91" s="155"/>
      <c r="O91" s="155"/>
      <c r="P91" s="102" t="s">
        <v>127</v>
      </c>
      <c r="Q91" s="688">
        <f>ATAN(Q88)</f>
        <v>1.5042281630190728</v>
      </c>
      <c r="R91" s="688"/>
      <c r="S91" s="378"/>
      <c r="T91" s="7"/>
      <c r="U91" s="7"/>
      <c r="V91" s="112"/>
      <c r="W91" s="373"/>
      <c r="X91" s="357"/>
      <c r="Y91" s="7"/>
      <c r="Z91" s="155"/>
      <c r="AA91" s="47" t="s">
        <v>327</v>
      </c>
      <c r="AB91" s="155"/>
      <c r="AC91" s="155"/>
      <c r="AD91" s="155"/>
      <c r="AE91" s="155"/>
      <c r="AF91" s="155"/>
      <c r="AG91" s="155"/>
      <c r="AH91" s="14" t="s">
        <v>328</v>
      </c>
      <c r="AI91" s="155"/>
      <c r="AJ91" s="155"/>
      <c r="AK91" s="155"/>
      <c r="AL91" s="102" t="s">
        <v>127</v>
      </c>
      <c r="AM91" s="688">
        <f>ATAN(AM88)</f>
        <v>1.5042281630190728</v>
      </c>
      <c r="AN91" s="688"/>
      <c r="AO91" s="378"/>
      <c r="AP91" s="7"/>
      <c r="AQ91" s="7"/>
      <c r="AR91" s="112"/>
    </row>
    <row r="92" spans="1:45" ht="18" customHeight="1">
      <c r="A92" s="373"/>
      <c r="B92" s="357"/>
      <c r="C92" s="155"/>
      <c r="D92" s="155"/>
      <c r="E92" s="47"/>
      <c r="F92" s="155"/>
      <c r="G92" s="155"/>
      <c r="H92" s="155"/>
      <c r="I92" s="155"/>
      <c r="J92" s="155"/>
      <c r="K92" s="155"/>
      <c r="L92" s="14"/>
      <c r="M92" s="155"/>
      <c r="N92" s="155"/>
      <c r="O92" s="155"/>
      <c r="P92" s="102"/>
      <c r="Q92" s="688"/>
      <c r="R92" s="688"/>
      <c r="S92" s="378"/>
      <c r="T92" s="7"/>
      <c r="U92" s="7"/>
      <c r="V92" s="112"/>
      <c r="W92" s="373"/>
      <c r="X92" s="357"/>
      <c r="Y92" s="155"/>
      <c r="Z92" s="155"/>
      <c r="AA92" s="47"/>
      <c r="AB92" s="155"/>
      <c r="AC92" s="155"/>
      <c r="AD92" s="155"/>
      <c r="AE92" s="155"/>
      <c r="AF92" s="155"/>
      <c r="AG92" s="155"/>
      <c r="AH92" s="14"/>
      <c r="AI92" s="155"/>
      <c r="AJ92" s="155"/>
      <c r="AK92" s="155"/>
      <c r="AL92" s="102"/>
      <c r="AM92" s="688"/>
      <c r="AN92" s="688"/>
      <c r="AO92" s="378"/>
      <c r="AP92" s="7"/>
      <c r="AQ92" s="7"/>
      <c r="AR92" s="112"/>
    </row>
    <row r="93" spans="1:45" ht="18" customHeight="1">
      <c r="A93" s="373"/>
      <c r="B93" s="357"/>
      <c r="C93" s="155"/>
      <c r="D93" s="155"/>
      <c r="E93" s="372"/>
      <c r="F93" s="155"/>
      <c r="G93" s="155"/>
      <c r="H93" s="155"/>
      <c r="I93" s="155"/>
      <c r="J93" s="155"/>
      <c r="K93" s="155"/>
      <c r="L93" s="7"/>
      <c r="M93" s="155"/>
      <c r="N93" s="155"/>
      <c r="O93" s="155"/>
      <c r="P93" s="123"/>
      <c r="Q93" s="380"/>
      <c r="R93" s="380"/>
      <c r="S93" s="378"/>
      <c r="T93" s="356"/>
      <c r="U93" s="155"/>
      <c r="V93" s="350"/>
      <c r="W93" s="373"/>
      <c r="X93" s="357"/>
      <c r="Y93" s="155"/>
      <c r="Z93" s="155"/>
      <c r="AA93" s="372"/>
      <c r="AB93" s="155"/>
      <c r="AC93" s="155"/>
      <c r="AD93" s="155"/>
      <c r="AE93" s="155"/>
      <c r="AF93" s="155"/>
      <c r="AG93" s="155"/>
      <c r="AH93" s="7"/>
      <c r="AI93" s="155"/>
      <c r="AJ93" s="155"/>
      <c r="AK93" s="155"/>
      <c r="AL93" s="123"/>
      <c r="AM93" s="380"/>
      <c r="AN93" s="380"/>
      <c r="AO93" s="378"/>
      <c r="AP93" s="356"/>
      <c r="AQ93" s="155"/>
      <c r="AR93" s="350"/>
    </row>
    <row r="94" spans="1:45" ht="18" customHeight="1">
      <c r="A94" s="370"/>
      <c r="B94" s="155"/>
      <c r="C94" s="155"/>
      <c r="D94" s="155"/>
      <c r="E94" s="47" t="s">
        <v>330</v>
      </c>
      <c r="F94" s="155"/>
      <c r="G94" s="155"/>
      <c r="H94" s="155"/>
      <c r="I94" s="155"/>
      <c r="J94" s="155"/>
      <c r="K94" s="28" t="s">
        <v>331</v>
      </c>
      <c r="L94" s="268" t="s">
        <v>332</v>
      </c>
      <c r="M94" s="155"/>
      <c r="N94" s="155"/>
      <c r="O94" s="155"/>
      <c r="P94" s="102" t="s">
        <v>127</v>
      </c>
      <c r="Q94" s="688">
        <f>E84*COS(Q91)</f>
        <v>0.10138858918881909</v>
      </c>
      <c r="R94" s="688"/>
      <c r="S94" s="192" t="s">
        <v>333</v>
      </c>
      <c r="T94" s="356"/>
      <c r="U94" s="155"/>
      <c r="V94" s="350"/>
      <c r="W94" s="370"/>
      <c r="X94" s="155"/>
      <c r="Y94" s="155"/>
      <c r="Z94" s="155"/>
      <c r="AA94" s="47" t="s">
        <v>330</v>
      </c>
      <c r="AB94" s="155"/>
      <c r="AC94" s="155"/>
      <c r="AD94" s="155"/>
      <c r="AE94" s="155"/>
      <c r="AF94" s="155"/>
      <c r="AG94" s="28" t="s">
        <v>331</v>
      </c>
      <c r="AH94" s="268" t="s">
        <v>332</v>
      </c>
      <c r="AI94" s="155"/>
      <c r="AJ94" s="155"/>
      <c r="AK94" s="155"/>
      <c r="AL94" s="102" t="s">
        <v>127</v>
      </c>
      <c r="AM94" s="688">
        <f>AA84*COS(AM91)</f>
        <v>0.10138858918881909</v>
      </c>
      <c r="AN94" s="688"/>
      <c r="AO94" s="192" t="s">
        <v>333</v>
      </c>
      <c r="AP94" s="356"/>
      <c r="AQ94" s="155"/>
      <c r="AR94" s="350"/>
    </row>
    <row r="95" spans="1:45" ht="18" customHeight="1">
      <c r="A95" s="370"/>
      <c r="B95" s="155"/>
      <c r="C95" s="155"/>
      <c r="D95" s="155"/>
      <c r="E95" s="14" t="s">
        <v>334</v>
      </c>
      <c r="F95" s="155"/>
      <c r="G95" s="155"/>
      <c r="H95" s="155"/>
      <c r="I95" s="155"/>
      <c r="J95" s="155"/>
      <c r="K95" s="28" t="s">
        <v>335</v>
      </c>
      <c r="L95" s="268" t="s">
        <v>336</v>
      </c>
      <c r="M95" s="155"/>
      <c r="N95" s="155"/>
      <c r="O95" s="155"/>
      <c r="P95" s="102" t="s">
        <v>127</v>
      </c>
      <c r="Q95" s="688">
        <f>E84*SIN(Q91)</f>
        <v>1.5208288378322858</v>
      </c>
      <c r="R95" s="688"/>
      <c r="S95" s="192" t="s">
        <v>333</v>
      </c>
      <c r="T95" s="356"/>
      <c r="U95" s="155"/>
      <c r="V95" s="350"/>
      <c r="W95" s="370"/>
      <c r="X95" s="155"/>
      <c r="Y95" s="155"/>
      <c r="Z95" s="155"/>
      <c r="AA95" s="14" t="s">
        <v>334</v>
      </c>
      <c r="AB95" s="155"/>
      <c r="AC95" s="155"/>
      <c r="AD95" s="155"/>
      <c r="AE95" s="155"/>
      <c r="AF95" s="155"/>
      <c r="AG95" s="28" t="s">
        <v>335</v>
      </c>
      <c r="AH95" s="268" t="s">
        <v>336</v>
      </c>
      <c r="AI95" s="155"/>
      <c r="AJ95" s="155"/>
      <c r="AK95" s="155"/>
      <c r="AL95" s="102" t="s">
        <v>127</v>
      </c>
      <c r="AM95" s="688">
        <f>AA84*SIN(AM91)</f>
        <v>1.5208288378322858</v>
      </c>
      <c r="AN95" s="688"/>
      <c r="AO95" s="192" t="s">
        <v>333</v>
      </c>
      <c r="AP95" s="356"/>
      <c r="AQ95" s="155"/>
      <c r="AR95" s="350"/>
    </row>
    <row r="96" spans="1:45" ht="18" customHeight="1">
      <c r="A96" s="370"/>
      <c r="B96" s="155"/>
      <c r="C96" s="155"/>
      <c r="D96" s="155"/>
      <c r="E96" s="723" t="s">
        <v>1122</v>
      </c>
      <c r="F96" s="723"/>
      <c r="G96" s="723"/>
      <c r="H96" s="723"/>
      <c r="I96" s="723"/>
      <c r="J96" s="155"/>
      <c r="K96" s="27" t="s">
        <v>310</v>
      </c>
      <c r="L96" s="675" t="s">
        <v>127</v>
      </c>
      <c r="M96" s="155"/>
      <c r="N96" s="155" t="s">
        <v>331</v>
      </c>
      <c r="O96" s="155"/>
      <c r="P96" s="191" t="s">
        <v>351</v>
      </c>
      <c r="Q96" s="661" t="s">
        <v>335</v>
      </c>
      <c r="R96" s="541"/>
      <c r="S96" s="192"/>
      <c r="T96" s="356"/>
      <c r="U96" s="155"/>
      <c r="V96" s="350"/>
      <c r="W96" s="370"/>
      <c r="X96" s="155"/>
      <c r="Y96" s="155"/>
      <c r="Z96" s="155"/>
      <c r="AA96" s="723" t="s">
        <v>1122</v>
      </c>
      <c r="AB96" s="723"/>
      <c r="AC96" s="723"/>
      <c r="AD96" s="723"/>
      <c r="AE96" s="723"/>
      <c r="AF96" s="155"/>
      <c r="AG96" s="27" t="s">
        <v>310</v>
      </c>
      <c r="AH96" s="675" t="s">
        <v>127</v>
      </c>
      <c r="AI96" s="155"/>
      <c r="AJ96" s="155" t="s">
        <v>331</v>
      </c>
      <c r="AK96" s="155"/>
      <c r="AL96" s="191" t="s">
        <v>351</v>
      </c>
      <c r="AM96" s="661" t="s">
        <v>335</v>
      </c>
      <c r="AN96" s="541"/>
      <c r="AO96" s="192"/>
      <c r="AP96" s="356"/>
      <c r="AQ96" s="155"/>
      <c r="AR96" s="350"/>
    </row>
    <row r="97" spans="1:47" ht="18" customHeight="1">
      <c r="A97" s="114"/>
      <c r="B97" s="7"/>
      <c r="C97" s="14" t="s">
        <v>337</v>
      </c>
      <c r="D97" s="155"/>
      <c r="E97" s="296" t="s">
        <v>338</v>
      </c>
      <c r="F97" s="7"/>
      <c r="G97" s="7"/>
      <c r="H97" s="7"/>
      <c r="I97" s="7"/>
      <c r="J97" s="7"/>
      <c r="K97" s="28" t="s">
        <v>310</v>
      </c>
      <c r="L97" s="235" t="s">
        <v>127</v>
      </c>
      <c r="M97" s="7"/>
      <c r="N97" s="688">
        <f>Q94</f>
        <v>0.10138858918881909</v>
      </c>
      <c r="O97" s="689"/>
      <c r="P97" s="191" t="s">
        <v>295</v>
      </c>
      <c r="Q97" s="688">
        <f>Q95</f>
        <v>1.5208288378322858</v>
      </c>
      <c r="R97" s="689"/>
      <c r="S97" s="192" t="s">
        <v>333</v>
      </c>
      <c r="T97" s="7"/>
      <c r="U97" s="7"/>
      <c r="V97" s="381"/>
      <c r="W97" s="114"/>
      <c r="X97" s="7"/>
      <c r="Y97" s="14" t="s">
        <v>337</v>
      </c>
      <c r="Z97" s="155"/>
      <c r="AA97" s="296" t="s">
        <v>338</v>
      </c>
      <c r="AB97" s="7"/>
      <c r="AC97" s="7"/>
      <c r="AD97" s="7"/>
      <c r="AE97" s="7"/>
      <c r="AF97" s="7"/>
      <c r="AG97" s="28" t="s">
        <v>310</v>
      </c>
      <c r="AH97" s="235" t="s">
        <v>127</v>
      </c>
      <c r="AI97" s="7"/>
      <c r="AJ97" s="688">
        <f>AM94</f>
        <v>0.10138858918881909</v>
      </c>
      <c r="AK97" s="689"/>
      <c r="AL97" s="191" t="s">
        <v>295</v>
      </c>
      <c r="AM97" s="688">
        <f>AM95</f>
        <v>1.5208288378322858</v>
      </c>
      <c r="AN97" s="689"/>
      <c r="AO97" s="192" t="s">
        <v>333</v>
      </c>
      <c r="AP97" s="7"/>
      <c r="AQ97" s="7"/>
      <c r="AR97" s="381"/>
    </row>
    <row r="98" spans="1:47" ht="18" customHeight="1">
      <c r="A98" s="193" t="s">
        <v>887</v>
      </c>
      <c r="B98" s="14"/>
      <c r="C98" s="14"/>
      <c r="D98" s="14"/>
      <c r="E98" s="14"/>
      <c r="F98" s="14"/>
      <c r="G98" s="14"/>
      <c r="H98" s="14"/>
      <c r="I98" s="14"/>
      <c r="J98" s="14"/>
      <c r="K98" s="14"/>
      <c r="L98" s="14"/>
      <c r="M98" s="14"/>
      <c r="N98" s="14"/>
      <c r="O98" s="14"/>
      <c r="P98" s="14"/>
      <c r="Q98" s="120"/>
      <c r="R98" s="28"/>
      <c r="S98" s="525"/>
      <c r="T98" s="14"/>
      <c r="U98" s="14"/>
      <c r="V98" s="381"/>
      <c r="W98" s="193" t="s">
        <v>887</v>
      </c>
      <c r="X98" s="14"/>
      <c r="Y98" s="14"/>
      <c r="Z98" s="14"/>
      <c r="AA98" s="14"/>
      <c r="AB98" s="14"/>
      <c r="AC98" s="14"/>
      <c r="AD98" s="14"/>
      <c r="AE98" s="14"/>
      <c r="AF98" s="14"/>
      <c r="AG98" s="14"/>
      <c r="AH98" s="14"/>
      <c r="AI98" s="14"/>
      <c r="AJ98" s="14"/>
      <c r="AK98" s="14"/>
      <c r="AL98" s="14"/>
      <c r="AM98" s="120"/>
      <c r="AN98" s="28"/>
      <c r="AO98" s="525"/>
      <c r="AP98" s="14"/>
      <c r="AQ98" s="14"/>
      <c r="AR98" s="381"/>
    </row>
    <row r="99" spans="1:47" ht="18" customHeight="1">
      <c r="A99" s="193"/>
      <c r="B99" s="14"/>
      <c r="C99" s="28" t="s">
        <v>867</v>
      </c>
      <c r="D99" s="218" t="s">
        <v>127</v>
      </c>
      <c r="E99" s="218" t="s">
        <v>310</v>
      </c>
      <c r="F99" s="28" t="s">
        <v>342</v>
      </c>
      <c r="G99" s="14" t="s">
        <v>888</v>
      </c>
      <c r="H99" s="14"/>
      <c r="I99" s="14"/>
      <c r="J99" s="120"/>
      <c r="K99" s="120"/>
      <c r="L99" s="47" t="s">
        <v>889</v>
      </c>
      <c r="M99" s="14"/>
      <c r="N99" s="257" t="s">
        <v>299</v>
      </c>
      <c r="O99" s="14" t="s">
        <v>127</v>
      </c>
      <c r="P99" s="688">
        <f>SQRT(L73^2+O73^2)</f>
        <v>0.28104318194185035</v>
      </c>
      <c r="Q99" s="688"/>
      <c r="R99" s="120" t="s">
        <v>520</v>
      </c>
      <c r="S99" s="28"/>
      <c r="T99" s="47"/>
      <c r="U99" s="14"/>
      <c r="V99" s="185"/>
      <c r="W99" s="193"/>
      <c r="X99" s="14"/>
      <c r="Y99" s="28" t="s">
        <v>867</v>
      </c>
      <c r="Z99" s="218" t="s">
        <v>127</v>
      </c>
      <c r="AA99" s="218" t="s">
        <v>310</v>
      </c>
      <c r="AB99" s="28" t="s">
        <v>342</v>
      </c>
      <c r="AC99" s="14" t="s">
        <v>888</v>
      </c>
      <c r="AD99" s="14"/>
      <c r="AE99" s="14"/>
      <c r="AF99" s="120"/>
      <c r="AG99" s="120"/>
      <c r="AH99" s="47" t="s">
        <v>889</v>
      </c>
      <c r="AI99" s="14"/>
      <c r="AJ99" s="257" t="s">
        <v>299</v>
      </c>
      <c r="AK99" s="14" t="s">
        <v>127</v>
      </c>
      <c r="AL99" s="688">
        <f>SQRT(AH73^2+AK73^2)</f>
        <v>0.28104318194185035</v>
      </c>
      <c r="AM99" s="688"/>
      <c r="AN99" s="120" t="s">
        <v>520</v>
      </c>
      <c r="AO99" s="28"/>
      <c r="AP99" s="47"/>
      <c r="AQ99" s="14"/>
      <c r="AR99" s="185"/>
    </row>
    <row r="100" spans="1:47" ht="18" customHeight="1">
      <c r="A100" s="96"/>
      <c r="B100" s="14"/>
      <c r="C100" s="14"/>
      <c r="D100" s="218" t="s">
        <v>127</v>
      </c>
      <c r="E100" s="724">
        <f>E84</f>
        <v>1.5242047106606122</v>
      </c>
      <c r="F100" s="724"/>
      <c r="G100" s="28" t="s">
        <v>342</v>
      </c>
      <c r="H100" s="689" t="s">
        <v>890</v>
      </c>
      <c r="I100" s="689"/>
      <c r="J100" s="688">
        <f>P99</f>
        <v>0.28104318194185035</v>
      </c>
      <c r="K100" s="688"/>
      <c r="L100" s="14" t="s">
        <v>350</v>
      </c>
      <c r="M100" s="14"/>
      <c r="N100" s="14"/>
      <c r="O100" s="14"/>
      <c r="P100" s="14"/>
      <c r="Q100" s="120"/>
      <c r="R100" s="28"/>
      <c r="S100" s="525"/>
      <c r="T100" s="14"/>
      <c r="U100" s="14"/>
      <c r="V100" s="381"/>
      <c r="W100" s="96"/>
      <c r="X100" s="14"/>
      <c r="Y100" s="14"/>
      <c r="Z100" s="218" t="s">
        <v>127</v>
      </c>
      <c r="AA100" s="724">
        <f>AA84</f>
        <v>1.5242047106606122</v>
      </c>
      <c r="AB100" s="724"/>
      <c r="AC100" s="28" t="s">
        <v>342</v>
      </c>
      <c r="AD100" s="689" t="s">
        <v>890</v>
      </c>
      <c r="AE100" s="689"/>
      <c r="AF100" s="688">
        <f>AL99</f>
        <v>0.28104318194185035</v>
      </c>
      <c r="AG100" s="688"/>
      <c r="AH100" s="14" t="s">
        <v>350</v>
      </c>
      <c r="AI100" s="14"/>
      <c r="AJ100" s="14"/>
      <c r="AK100" s="14"/>
      <c r="AL100" s="14"/>
      <c r="AM100" s="120"/>
      <c r="AN100" s="28"/>
      <c r="AO100" s="525"/>
      <c r="AP100" s="14"/>
      <c r="AQ100" s="14"/>
      <c r="AR100" s="381"/>
      <c r="AS100" s="279"/>
      <c r="AT100" s="279"/>
      <c r="AU100" s="279"/>
    </row>
    <row r="101" spans="1:47" ht="18" customHeight="1">
      <c r="A101" s="96"/>
      <c r="B101" s="14"/>
      <c r="C101" s="14"/>
      <c r="D101" s="218" t="s">
        <v>127</v>
      </c>
      <c r="E101" s="689">
        <f>E100/(0.8*J100)</f>
        <v>6.7792282849970542</v>
      </c>
      <c r="F101" s="689"/>
      <c r="G101" s="14"/>
      <c r="H101" s="14"/>
      <c r="I101" s="14"/>
      <c r="J101" s="14"/>
      <c r="K101" s="14"/>
      <c r="L101" s="14"/>
      <c r="M101" s="14"/>
      <c r="N101" s="14"/>
      <c r="O101" s="14"/>
      <c r="P101" s="14"/>
      <c r="Q101" s="120"/>
      <c r="R101" s="28"/>
      <c r="S101" s="525"/>
      <c r="T101" s="14"/>
      <c r="U101" s="14"/>
      <c r="V101" s="381"/>
      <c r="W101" s="96"/>
      <c r="X101" s="14"/>
      <c r="Y101" s="14"/>
      <c r="Z101" s="218" t="s">
        <v>127</v>
      </c>
      <c r="AA101" s="689">
        <f>AA100/(0.8*AF100)</f>
        <v>6.7792282849970542</v>
      </c>
      <c r="AB101" s="689"/>
      <c r="AC101" s="14"/>
      <c r="AD101" s="14"/>
      <c r="AE101" s="14"/>
      <c r="AF101" s="14"/>
      <c r="AG101" s="14"/>
      <c r="AH101" s="14"/>
      <c r="AI101" s="14"/>
      <c r="AJ101" s="14"/>
      <c r="AK101" s="14"/>
      <c r="AL101" s="14"/>
      <c r="AM101" s="120"/>
      <c r="AN101" s="28"/>
      <c r="AO101" s="525"/>
      <c r="AP101" s="14"/>
      <c r="AQ101" s="14"/>
      <c r="AR101" s="381"/>
      <c r="AT101" s="279"/>
      <c r="AU101" s="279"/>
    </row>
    <row r="102" spans="1:47" ht="18" customHeight="1">
      <c r="A102" s="96"/>
      <c r="B102" s="14"/>
      <c r="C102" s="14"/>
      <c r="D102" s="218"/>
      <c r="E102" s="28"/>
      <c r="F102" s="28"/>
      <c r="G102" s="14"/>
      <c r="H102" s="14"/>
      <c r="I102" s="14"/>
      <c r="J102" s="14"/>
      <c r="K102" s="14"/>
      <c r="L102" s="14"/>
      <c r="M102" s="14"/>
      <c r="N102" s="14"/>
      <c r="O102" s="14"/>
      <c r="P102" s="14"/>
      <c r="Q102" s="120"/>
      <c r="R102" s="28"/>
      <c r="S102" s="525"/>
      <c r="T102" s="14"/>
      <c r="U102" s="14"/>
      <c r="V102" s="381"/>
      <c r="W102" s="96"/>
      <c r="X102" s="14"/>
      <c r="Y102" s="14"/>
      <c r="Z102" s="218"/>
      <c r="AA102" s="28"/>
      <c r="AB102" s="28"/>
      <c r="AC102" s="14"/>
      <c r="AD102" s="14"/>
      <c r="AE102" s="14"/>
      <c r="AF102" s="14"/>
      <c r="AG102" s="14"/>
      <c r="AH102" s="14"/>
      <c r="AI102" s="14"/>
      <c r="AJ102" s="14"/>
      <c r="AK102" s="14"/>
      <c r="AL102" s="14"/>
      <c r="AM102" s="120"/>
      <c r="AN102" s="28"/>
      <c r="AO102" s="525"/>
      <c r="AP102" s="14"/>
      <c r="AQ102" s="14"/>
      <c r="AR102" s="381"/>
      <c r="AT102" s="279"/>
      <c r="AU102" s="279"/>
    </row>
    <row r="103" spans="1:47" ht="18" customHeight="1">
      <c r="A103" s="114"/>
      <c r="B103" s="7"/>
      <c r="C103" s="14"/>
      <c r="D103" s="155"/>
      <c r="E103" s="47"/>
      <c r="F103" s="7"/>
      <c r="G103" s="7"/>
      <c r="H103" s="7"/>
      <c r="I103" s="7"/>
      <c r="J103" s="7"/>
      <c r="K103" s="28"/>
      <c r="L103" s="235"/>
      <c r="M103" s="7"/>
      <c r="N103" s="541"/>
      <c r="O103" s="28"/>
      <c r="P103" s="102"/>
      <c r="Q103" s="541"/>
      <c r="R103" s="28"/>
      <c r="S103" s="192"/>
      <c r="T103" s="7"/>
      <c r="U103" s="7"/>
      <c r="V103" s="381"/>
      <c r="W103" s="114"/>
      <c r="X103" s="7"/>
      <c r="Y103" s="14"/>
      <c r="Z103" s="155"/>
      <c r="AA103" s="47"/>
      <c r="AB103" s="7"/>
      <c r="AC103" s="7"/>
      <c r="AD103" s="7"/>
      <c r="AE103" s="7"/>
      <c r="AF103" s="7"/>
      <c r="AG103" s="28"/>
      <c r="AH103" s="235"/>
      <c r="AI103" s="7"/>
      <c r="AJ103" s="541"/>
      <c r="AK103" s="28"/>
      <c r="AL103" s="102"/>
      <c r="AM103" s="541"/>
      <c r="AN103" s="28"/>
      <c r="AO103" s="192"/>
      <c r="AP103" s="7"/>
      <c r="AQ103" s="7"/>
      <c r="AR103" s="381"/>
    </row>
    <row r="104" spans="1:47" ht="18" customHeight="1">
      <c r="A104" s="114"/>
      <c r="B104" s="7"/>
      <c r="C104" s="7"/>
      <c r="D104" s="7"/>
      <c r="E104" s="7"/>
      <c r="F104" s="7"/>
      <c r="G104" s="7"/>
      <c r="H104" s="7"/>
      <c r="I104" s="7"/>
      <c r="J104" s="7"/>
      <c r="K104" s="7"/>
      <c r="L104" s="7"/>
      <c r="M104" s="7"/>
      <c r="N104" s="7"/>
      <c r="O104" s="7"/>
      <c r="P104" s="7"/>
      <c r="Q104" s="124"/>
      <c r="R104" s="121"/>
      <c r="S104" s="405"/>
      <c r="T104" s="7"/>
      <c r="U104" s="7"/>
      <c r="V104" s="381"/>
      <c r="W104" s="114"/>
      <c r="X104" s="7"/>
      <c r="Y104" s="7"/>
      <c r="Z104" s="7"/>
      <c r="AA104" s="7"/>
      <c r="AB104" s="7"/>
      <c r="AC104" s="7"/>
      <c r="AD104" s="7"/>
      <c r="AE104" s="7"/>
      <c r="AF104" s="7"/>
      <c r="AG104" s="7"/>
      <c r="AH104" s="7"/>
      <c r="AI104" s="7"/>
      <c r="AJ104" s="7"/>
      <c r="AK104" s="7"/>
      <c r="AL104" s="7"/>
      <c r="AM104" s="124"/>
      <c r="AN104" s="121"/>
      <c r="AO104" s="405"/>
      <c r="AP104" s="7"/>
      <c r="AQ104" s="7"/>
      <c r="AR104" s="381"/>
      <c r="AS104" s="279"/>
      <c r="AT104" s="279"/>
      <c r="AU104" s="279"/>
    </row>
    <row r="105" spans="1:47" ht="18" customHeight="1">
      <c r="A105" s="193" t="s">
        <v>339</v>
      </c>
      <c r="B105"/>
      <c r="C105" s="155"/>
      <c r="D105" s="397"/>
      <c r="E105" s="397"/>
      <c r="F105" s="397"/>
      <c r="G105" s="375"/>
      <c r="H105" s="375"/>
      <c r="I105" s="156"/>
      <c r="J105" s="156"/>
      <c r="K105" s="156"/>
      <c r="L105" s="156"/>
      <c r="M105" s="410"/>
      <c r="N105" s="411"/>
      <c r="O105" s="412"/>
      <c r="P105" s="413"/>
      <c r="Q105" s="157"/>
      <c r="R105" s="402"/>
      <c r="S105" s="414"/>
      <c r="T105"/>
      <c r="U105"/>
      <c r="V105" s="10"/>
      <c r="W105" s="193" t="s">
        <v>339</v>
      </c>
      <c r="X105"/>
      <c r="Y105" s="155"/>
      <c r="Z105" s="397"/>
      <c r="AA105" s="397"/>
      <c r="AB105" s="397"/>
      <c r="AC105" s="375"/>
      <c r="AD105" s="375"/>
      <c r="AE105" s="156"/>
      <c r="AF105" s="156"/>
      <c r="AG105" s="156"/>
      <c r="AH105" s="156"/>
      <c r="AI105" s="410"/>
      <c r="AJ105" s="411"/>
      <c r="AK105" s="412"/>
      <c r="AL105" s="413"/>
      <c r="AM105" s="157"/>
      <c r="AN105" s="402"/>
      <c r="AO105" s="414"/>
      <c r="AP105"/>
      <c r="AQ105"/>
      <c r="AR105" s="10"/>
      <c r="AS105" s="279"/>
      <c r="AT105" s="279"/>
      <c r="AU105" s="279"/>
    </row>
    <row r="106" spans="1:47" ht="18" customHeight="1">
      <c r="A106" s="396"/>
      <c r="B106" s="47"/>
      <c r="C106" s="156"/>
      <c r="D106" s="397"/>
      <c r="E106"/>
      <c r="F106" s="376"/>
      <c r="G106" s="102"/>
      <c r="H106" s="28"/>
      <c r="I106" s="28"/>
      <c r="J106" s="278"/>
      <c r="K106" s="28"/>
      <c r="L106" s="28"/>
      <c r="M106" s="28"/>
      <c r="N106" s="47"/>
      <c r="O106" s="376"/>
      <c r="P106" s="163"/>
      <c r="Q106" s="398"/>
      <c r="R106"/>
      <c r="S106" s="376"/>
      <c r="T106"/>
      <c r="U106"/>
      <c r="V106" s="10"/>
      <c r="W106" s="396"/>
      <c r="X106" s="47"/>
      <c r="Y106" s="156"/>
      <c r="Z106" s="397"/>
      <c r="AA106"/>
      <c r="AB106" s="376"/>
      <c r="AC106" s="102"/>
      <c r="AD106" s="28"/>
      <c r="AE106" s="28"/>
      <c r="AF106" s="278"/>
      <c r="AG106" s="28"/>
      <c r="AH106" s="28"/>
      <c r="AI106" s="28"/>
      <c r="AJ106" s="47"/>
      <c r="AK106" s="376"/>
      <c r="AL106" s="163"/>
      <c r="AM106" s="398"/>
      <c r="AN106"/>
      <c r="AO106" s="376"/>
      <c r="AP106"/>
      <c r="AQ106"/>
      <c r="AR106" s="10"/>
    </row>
    <row r="107" spans="1:47" ht="18" customHeight="1">
      <c r="A107" s="396"/>
      <c r="B107" s="47" t="s">
        <v>321</v>
      </c>
      <c r="C107" s="156"/>
      <c r="D107" s="375"/>
      <c r="E107" s="376"/>
      <c r="F107" s="376"/>
      <c r="G107"/>
      <c r="H107" s="376"/>
      <c r="I107" s="152"/>
      <c r="J107" s="152"/>
      <c r="K107" s="152"/>
      <c r="L107" s="152"/>
      <c r="M107"/>
      <c r="N107" s="376"/>
      <c r="O107" s="28" t="s">
        <v>322</v>
      </c>
      <c r="P107" s="102" t="s">
        <v>127</v>
      </c>
      <c r="Q107" s="694">
        <f>Q54</f>
        <v>15</v>
      </c>
      <c r="R107" s="689"/>
      <c r="S107" s="372"/>
      <c r="T107"/>
      <c r="U107"/>
      <c r="V107" s="10"/>
      <c r="W107" s="396"/>
      <c r="X107" s="47" t="s">
        <v>321</v>
      </c>
      <c r="Y107" s="156"/>
      <c r="Z107" s="375"/>
      <c r="AA107" s="376"/>
      <c r="AB107" s="376"/>
      <c r="AC107"/>
      <c r="AD107" s="376"/>
      <c r="AE107" s="152"/>
      <c r="AF107" s="152"/>
      <c r="AG107" s="152"/>
      <c r="AH107" s="152"/>
      <c r="AI107"/>
      <c r="AJ107" s="376"/>
      <c r="AK107" s="28" t="s">
        <v>322</v>
      </c>
      <c r="AL107" s="102" t="s">
        <v>127</v>
      </c>
      <c r="AM107" s="694">
        <f>AM54</f>
        <v>15</v>
      </c>
      <c r="AN107" s="689"/>
      <c r="AO107" s="372"/>
      <c r="AP107"/>
      <c r="AQ107"/>
      <c r="AR107" s="10"/>
    </row>
    <row r="108" spans="1:47" ht="18" customHeight="1">
      <c r="A108" s="396"/>
      <c r="B108" s="47" t="s">
        <v>263</v>
      </c>
      <c r="C108" s="156"/>
      <c r="D108" s="397"/>
      <c r="E108" s="7"/>
      <c r="F108" s="7"/>
      <c r="G108"/>
      <c r="H108" s="376"/>
      <c r="I108" s="152"/>
      <c r="J108" s="152"/>
      <c r="K108" s="152"/>
      <c r="L108" s="152"/>
      <c r="M108"/>
      <c r="N108" s="376"/>
      <c r="O108" s="28" t="s">
        <v>319</v>
      </c>
      <c r="P108" s="102" t="s">
        <v>127</v>
      </c>
      <c r="Q108" s="718">
        <f>Q51</f>
        <v>50</v>
      </c>
      <c r="R108" s="718"/>
      <c r="S108" s="47" t="s">
        <v>264</v>
      </c>
      <c r="T108"/>
      <c r="U108"/>
      <c r="V108" s="10"/>
      <c r="W108" s="396"/>
      <c r="X108" s="47" t="s">
        <v>263</v>
      </c>
      <c r="Y108" s="156"/>
      <c r="Z108" s="397"/>
      <c r="AA108" s="7"/>
      <c r="AB108" s="7"/>
      <c r="AC108"/>
      <c r="AD108" s="376"/>
      <c r="AE108" s="152"/>
      <c r="AF108" s="152"/>
      <c r="AG108" s="152"/>
      <c r="AH108" s="152"/>
      <c r="AI108"/>
      <c r="AJ108" s="376"/>
      <c r="AK108" s="28" t="s">
        <v>319</v>
      </c>
      <c r="AL108" s="102" t="s">
        <v>127</v>
      </c>
      <c r="AM108" s="718">
        <f>AM51</f>
        <v>50</v>
      </c>
      <c r="AN108" s="718"/>
      <c r="AO108" s="47" t="s">
        <v>264</v>
      </c>
      <c r="AP108"/>
      <c r="AQ108"/>
      <c r="AR108" s="10"/>
    </row>
    <row r="109" spans="1:47" ht="18" customHeight="1">
      <c r="A109" s="396"/>
      <c r="B109" s="47"/>
      <c r="C109" s="156"/>
      <c r="D109" s="397"/>
      <c r="E109" s="7"/>
      <c r="F109" s="7"/>
      <c r="G109"/>
      <c r="H109" s="376"/>
      <c r="I109" s="152"/>
      <c r="J109" s="152"/>
      <c r="K109" s="152"/>
      <c r="L109" s="152"/>
      <c r="M109"/>
      <c r="N109" s="376"/>
      <c r="O109" s="278" t="s">
        <v>318</v>
      </c>
      <c r="P109" s="191" t="s">
        <v>127</v>
      </c>
      <c r="Q109" s="721">
        <v>3.1428571428571401</v>
      </c>
      <c r="R109" s="721"/>
      <c r="S109" s="47"/>
      <c r="T109"/>
      <c r="U109"/>
      <c r="V109" s="10"/>
      <c r="W109" s="396"/>
      <c r="X109" s="47"/>
      <c r="Y109" s="156"/>
      <c r="Z109" s="397"/>
      <c r="AA109" s="7"/>
      <c r="AB109" s="7"/>
      <c r="AC109"/>
      <c r="AD109" s="376"/>
      <c r="AE109" s="152"/>
      <c r="AF109" s="152"/>
      <c r="AG109" s="152"/>
      <c r="AH109" s="152"/>
      <c r="AI109"/>
      <c r="AJ109" s="376"/>
      <c r="AK109" s="278" t="s">
        <v>318</v>
      </c>
      <c r="AL109" s="191" t="s">
        <v>127</v>
      </c>
      <c r="AM109" s="721">
        <v>3.1428571428571401</v>
      </c>
      <c r="AN109" s="721"/>
      <c r="AO109" s="47"/>
      <c r="AP109"/>
      <c r="AQ109"/>
      <c r="AR109" s="10"/>
    </row>
    <row r="110" spans="1:47" ht="18" customHeight="1">
      <c r="A110" s="396"/>
      <c r="B110" s="249" t="s">
        <v>340</v>
      </c>
      <c r="C110" s="156"/>
      <c r="D110" s="397"/>
      <c r="E110"/>
      <c r="F110" s="123"/>
      <c r="G110" s="28" t="s">
        <v>127</v>
      </c>
      <c r="H110" s="28" t="s">
        <v>341</v>
      </c>
      <c r="I110" s="399" t="s">
        <v>342</v>
      </c>
      <c r="J110" s="28">
        <v>2</v>
      </c>
      <c r="K110" s="28" t="s">
        <v>315</v>
      </c>
      <c r="L110" s="278" t="s">
        <v>318</v>
      </c>
      <c r="M110" s="400" t="s">
        <v>315</v>
      </c>
      <c r="N110" s="218" t="s">
        <v>319</v>
      </c>
      <c r="O110" s="376"/>
      <c r="P110" s="102" t="s">
        <v>127</v>
      </c>
      <c r="Q110" s="696">
        <f>(Q107*1000)/(J110*(22/7)*Q108)</f>
        <v>47.727272727272727</v>
      </c>
      <c r="R110" s="722"/>
      <c r="S110" s="47" t="s">
        <v>343</v>
      </c>
      <c r="T110"/>
      <c r="U110"/>
      <c r="V110" s="10"/>
      <c r="W110" s="396"/>
      <c r="X110" s="249" t="s">
        <v>340</v>
      </c>
      <c r="Y110" s="156"/>
      <c r="Z110" s="397"/>
      <c r="AA110"/>
      <c r="AB110" s="123"/>
      <c r="AC110" s="28" t="s">
        <v>127</v>
      </c>
      <c r="AD110" s="28" t="s">
        <v>341</v>
      </c>
      <c r="AE110" s="399" t="s">
        <v>342</v>
      </c>
      <c r="AF110" s="28">
        <v>2</v>
      </c>
      <c r="AG110" s="28" t="s">
        <v>315</v>
      </c>
      <c r="AH110" s="278" t="s">
        <v>318</v>
      </c>
      <c r="AI110" s="400" t="s">
        <v>315</v>
      </c>
      <c r="AJ110" s="218" t="s">
        <v>319</v>
      </c>
      <c r="AK110" s="376"/>
      <c r="AL110" s="102" t="s">
        <v>127</v>
      </c>
      <c r="AM110" s="696">
        <f>(AM107*1000)/(AF110*(22/7)*AM108)</f>
        <v>47.727272727272727</v>
      </c>
      <c r="AN110" s="722"/>
      <c r="AO110" s="47" t="s">
        <v>343</v>
      </c>
      <c r="AP110"/>
      <c r="AQ110"/>
      <c r="AR110" s="10"/>
    </row>
    <row r="111" spans="1:47" ht="18" customHeight="1">
      <c r="A111" s="401"/>
      <c r="B111" s="156"/>
      <c r="C111" s="156"/>
      <c r="D111" s="397"/>
      <c r="E111" s="155"/>
      <c r="F111" s="155"/>
      <c r="G111" s="155"/>
      <c r="H111" s="155"/>
      <c r="I111" s="155"/>
      <c r="J111" s="155"/>
      <c r="K111" s="155"/>
      <c r="L111" s="155"/>
      <c r="M111" s="155"/>
      <c r="N111" s="155"/>
      <c r="O111" s="155"/>
      <c r="P111" s="155"/>
      <c r="Q111" s="155"/>
      <c r="R111" s="155"/>
      <c r="S111" s="155"/>
      <c r="T111"/>
      <c r="U111"/>
      <c r="V111" s="10"/>
      <c r="W111" s="401"/>
      <c r="X111" s="156"/>
      <c r="Y111" s="156"/>
      <c r="Z111" s="397"/>
      <c r="AA111" s="155"/>
      <c r="AB111" s="155"/>
      <c r="AC111" s="155"/>
      <c r="AD111" s="155"/>
      <c r="AE111" s="155"/>
      <c r="AF111" s="155"/>
      <c r="AG111" s="155"/>
      <c r="AH111" s="155"/>
      <c r="AI111" s="155"/>
      <c r="AJ111" s="155"/>
      <c r="AK111" s="155"/>
      <c r="AL111" s="155"/>
      <c r="AM111" s="155"/>
      <c r="AN111" s="155"/>
      <c r="AO111" s="155"/>
      <c r="AP111"/>
      <c r="AQ111"/>
      <c r="AR111" s="10"/>
    </row>
    <row r="112" spans="1:47" ht="18" customHeight="1">
      <c r="A112" s="193" t="s">
        <v>344</v>
      </c>
      <c r="B112" s="162"/>
      <c r="C112" s="152"/>
      <c r="D112" s="152"/>
      <c r="E112" s="152"/>
      <c r="F112" s="152"/>
      <c r="G112" s="152"/>
      <c r="H112" s="152"/>
      <c r="I112" s="152"/>
      <c r="J112" s="152"/>
      <c r="K112" s="152"/>
      <c r="L112" s="152"/>
      <c r="M112" s="152"/>
      <c r="N112" s="163"/>
      <c r="O112" s="145"/>
      <c r="P112" s="152"/>
      <c r="Q112" s="49"/>
      <c r="R112"/>
      <c r="S112"/>
      <c r="T112"/>
      <c r="U112"/>
      <c r="V112" s="10"/>
      <c r="W112" s="193" t="s">
        <v>344</v>
      </c>
      <c r="X112" s="162"/>
      <c r="Y112" s="152"/>
      <c r="Z112" s="152"/>
      <c r="AA112" s="152"/>
      <c r="AB112" s="152"/>
      <c r="AC112" s="152"/>
      <c r="AD112" s="152"/>
      <c r="AE112" s="152"/>
      <c r="AF112" s="152"/>
      <c r="AG112" s="152"/>
      <c r="AH112" s="152"/>
      <c r="AI112" s="152"/>
      <c r="AJ112" s="163"/>
      <c r="AK112" s="145"/>
      <c r="AL112" s="152"/>
      <c r="AM112" s="49"/>
      <c r="AN112"/>
      <c r="AO112"/>
      <c r="AP112"/>
      <c r="AQ112"/>
      <c r="AR112" s="10"/>
    </row>
    <row r="113" spans="1:44" ht="18" customHeight="1">
      <c r="A113" s="96" t="s">
        <v>345</v>
      </c>
      <c r="B113" s="156"/>
      <c r="C113" s="155"/>
      <c r="D113" s="155"/>
      <c r="E113" s="28" t="s">
        <v>346</v>
      </c>
      <c r="F113" s="28" t="s">
        <v>127</v>
      </c>
      <c r="G113" s="155"/>
      <c r="H113" s="28" t="s">
        <v>310</v>
      </c>
      <c r="I113" s="102" t="s">
        <v>347</v>
      </c>
      <c r="J113" s="14" t="s">
        <v>299</v>
      </c>
      <c r="K113" s="155"/>
      <c r="L113" s="155"/>
      <c r="M113" s="155"/>
      <c r="N113" s="155"/>
      <c r="O113" s="155"/>
      <c r="P113" s="155"/>
      <c r="Q113" s="402"/>
      <c r="R113" s="155"/>
      <c r="S113" s="156"/>
      <c r="T113"/>
      <c r="U113"/>
      <c r="V113" s="10"/>
      <c r="W113" s="96" t="s">
        <v>345</v>
      </c>
      <c r="X113" s="156"/>
      <c r="Y113" s="155"/>
      <c r="Z113" s="155"/>
      <c r="AA113" s="28" t="s">
        <v>346</v>
      </c>
      <c r="AB113" s="28" t="s">
        <v>127</v>
      </c>
      <c r="AC113" s="155"/>
      <c r="AD113" s="28" t="s">
        <v>310</v>
      </c>
      <c r="AE113" s="102" t="s">
        <v>347</v>
      </c>
      <c r="AF113" s="14" t="s">
        <v>299</v>
      </c>
      <c r="AG113" s="155"/>
      <c r="AH113" s="155"/>
      <c r="AI113" s="155"/>
      <c r="AJ113" s="155"/>
      <c r="AK113" s="155"/>
      <c r="AL113" s="155"/>
      <c r="AM113" s="402"/>
      <c r="AN113" s="155"/>
      <c r="AO113" s="156"/>
      <c r="AP113"/>
      <c r="AQ113"/>
      <c r="AR113" s="10"/>
    </row>
    <row r="114" spans="1:44" ht="18" customHeight="1">
      <c r="A114" s="370"/>
      <c r="B114" s="155"/>
      <c r="C114" s="155"/>
      <c r="D114" s="155"/>
      <c r="E114" s="155"/>
      <c r="F114" s="403" t="s">
        <v>348</v>
      </c>
      <c r="G114" s="688">
        <f>N97</f>
        <v>0.10138858918881909</v>
      </c>
      <c r="H114" s="689"/>
      <c r="I114" s="102" t="s">
        <v>295</v>
      </c>
      <c r="J114" s="688">
        <f>Q97</f>
        <v>1.5208288378322858</v>
      </c>
      <c r="K114" s="689"/>
      <c r="L114" s="28" t="s">
        <v>349</v>
      </c>
      <c r="M114" s="711">
        <f>L73</f>
        <v>3.8454000000000002E-2</v>
      </c>
      <c r="N114" s="689"/>
      <c r="O114" s="102" t="s">
        <v>295</v>
      </c>
      <c r="P114" s="711">
        <f>O73</f>
        <v>0.27839999999999998</v>
      </c>
      <c r="Q114" s="689"/>
      <c r="R114" s="14" t="s">
        <v>350</v>
      </c>
      <c r="S114" s="156"/>
      <c r="T114"/>
      <c r="U114"/>
      <c r="V114" s="10"/>
      <c r="W114" s="370"/>
      <c r="X114" s="155"/>
      <c r="Y114" s="155"/>
      <c r="Z114" s="155"/>
      <c r="AA114" s="155"/>
      <c r="AB114" s="403" t="s">
        <v>348</v>
      </c>
      <c r="AC114" s="688">
        <f>AJ97</f>
        <v>0.10138858918881909</v>
      </c>
      <c r="AD114" s="689"/>
      <c r="AE114" s="102" t="s">
        <v>295</v>
      </c>
      <c r="AF114" s="688">
        <f>AM97</f>
        <v>1.5208288378322858</v>
      </c>
      <c r="AG114" s="689"/>
      <c r="AH114" s="28" t="s">
        <v>349</v>
      </c>
      <c r="AI114" s="711">
        <f>AH73</f>
        <v>3.8454000000000002E-2</v>
      </c>
      <c r="AJ114" s="689"/>
      <c r="AK114" s="102" t="s">
        <v>295</v>
      </c>
      <c r="AL114" s="711">
        <f>AK73</f>
        <v>0.27839999999999998</v>
      </c>
      <c r="AM114" s="689"/>
      <c r="AN114" s="14" t="s">
        <v>350</v>
      </c>
      <c r="AO114" s="156"/>
      <c r="AP114"/>
      <c r="AQ114"/>
      <c r="AR114" s="10"/>
    </row>
    <row r="115" spans="1:44" ht="18" customHeight="1">
      <c r="A115" s="159"/>
      <c r="B115" s="155"/>
      <c r="C115" s="155"/>
      <c r="D115" s="155"/>
      <c r="E115" s="155"/>
      <c r="F115" s="28" t="s">
        <v>127</v>
      </c>
      <c r="G115" s="688">
        <f>G114+M114</f>
        <v>0.13984258918881909</v>
      </c>
      <c r="H115" s="689"/>
      <c r="I115" s="102" t="s">
        <v>351</v>
      </c>
      <c r="J115" s="688">
        <f>J114+P114</f>
        <v>1.7992288378322858</v>
      </c>
      <c r="K115" s="689"/>
      <c r="L115" s="404" t="s">
        <v>333</v>
      </c>
      <c r="M115" s="155"/>
      <c r="N115" s="155"/>
      <c r="O115" s="155"/>
      <c r="P115" s="155"/>
      <c r="Q115" s="155"/>
      <c r="R115" s="155"/>
      <c r="S115" s="156"/>
      <c r="T115"/>
      <c r="U115"/>
      <c r="V115" s="10"/>
      <c r="W115" s="159"/>
      <c r="X115" s="155"/>
      <c r="Y115" s="155"/>
      <c r="Z115" s="155"/>
      <c r="AA115" s="155"/>
      <c r="AB115" s="28" t="s">
        <v>127</v>
      </c>
      <c r="AC115" s="688">
        <f>AC114+AI114</f>
        <v>0.13984258918881909</v>
      </c>
      <c r="AD115" s="689"/>
      <c r="AE115" s="102" t="s">
        <v>351</v>
      </c>
      <c r="AF115" s="688">
        <f>AF114+AL114</f>
        <v>1.7992288378322858</v>
      </c>
      <c r="AG115" s="689"/>
      <c r="AH115" s="404" t="s">
        <v>333</v>
      </c>
      <c r="AI115" s="155"/>
      <c r="AJ115" s="155"/>
      <c r="AK115" s="155"/>
      <c r="AL115" s="155"/>
      <c r="AM115" s="155"/>
      <c r="AN115" s="155"/>
      <c r="AO115" s="156"/>
      <c r="AP115"/>
      <c r="AQ115"/>
      <c r="AR115" s="10"/>
    </row>
    <row r="116" spans="1:44" ht="18" customHeight="1">
      <c r="A116" s="114"/>
      <c r="B116" s="7"/>
      <c r="C116" s="7"/>
      <c r="D116" s="7"/>
      <c r="E116" s="7"/>
      <c r="F116" s="676" t="s">
        <v>127</v>
      </c>
      <c r="G116" s="719" t="s">
        <v>1123</v>
      </c>
      <c r="H116" s="720"/>
      <c r="I116" s="720"/>
      <c r="J116" s="720"/>
      <c r="K116" s="720"/>
      <c r="L116" s="720"/>
      <c r="M116" s="720"/>
      <c r="N116" s="677"/>
      <c r="O116" s="7"/>
      <c r="P116" s="7"/>
      <c r="Q116" s="124"/>
      <c r="R116" s="121"/>
      <c r="S116" s="405"/>
      <c r="T116" s="7"/>
      <c r="U116" s="7"/>
      <c r="V116" s="381"/>
      <c r="W116" s="114"/>
      <c r="X116" s="7"/>
      <c r="Y116" s="7"/>
      <c r="Z116" s="7"/>
      <c r="AA116" s="7"/>
      <c r="AB116" s="676" t="s">
        <v>127</v>
      </c>
      <c r="AC116" s="719" t="s">
        <v>1123</v>
      </c>
      <c r="AD116" s="720"/>
      <c r="AE116" s="720"/>
      <c r="AF116" s="720"/>
      <c r="AG116" s="720"/>
      <c r="AH116" s="720"/>
      <c r="AI116" s="720"/>
      <c r="AJ116" s="677"/>
      <c r="AK116" s="7"/>
      <c r="AL116" s="7"/>
      <c r="AM116" s="124"/>
      <c r="AN116" s="121"/>
      <c r="AO116" s="405"/>
      <c r="AP116" s="7"/>
      <c r="AQ116" s="7"/>
      <c r="AR116" s="381"/>
    </row>
    <row r="117" spans="1:44" ht="18" customHeight="1">
      <c r="A117" s="159"/>
      <c r="B117" s="155"/>
      <c r="C117" s="155"/>
      <c r="D117" s="155"/>
      <c r="E117" s="155"/>
      <c r="F117" s="27" t="s">
        <v>127</v>
      </c>
      <c r="G117" s="703">
        <f>SQRT(G115^2+J115^2)</f>
        <v>1.8046551916192608</v>
      </c>
      <c r="H117" s="689"/>
      <c r="I117" s="278" t="s">
        <v>352</v>
      </c>
      <c r="J117" s="704">
        <f>DEGREES(ATAN(J115/G115))</f>
        <v>85.555699177658028</v>
      </c>
      <c r="K117" s="689"/>
      <c r="L117" s="404" t="s">
        <v>333</v>
      </c>
      <c r="M117" s="155" t="s">
        <v>1124</v>
      </c>
      <c r="N117" s="155"/>
      <c r="O117" s="155"/>
      <c r="P117" s="155"/>
      <c r="Q117" s="155"/>
      <c r="R117" s="155"/>
      <c r="S117" s="156"/>
      <c r="T117"/>
      <c r="U117"/>
      <c r="V117" s="10"/>
      <c r="W117" s="159"/>
      <c r="X117" s="155"/>
      <c r="Y117" s="155"/>
      <c r="Z117" s="155"/>
      <c r="AA117" s="155"/>
      <c r="AB117" s="27" t="s">
        <v>127</v>
      </c>
      <c r="AC117" s="703">
        <f>SQRT(AC115^2+AF115^2)</f>
        <v>1.8046551916192608</v>
      </c>
      <c r="AD117" s="689"/>
      <c r="AE117" s="278" t="s">
        <v>352</v>
      </c>
      <c r="AF117" s="704">
        <f>DEGREES(ATAN(AF115/AC115))</f>
        <v>85.555699177658028</v>
      </c>
      <c r="AG117" s="689"/>
      <c r="AH117" s="404" t="s">
        <v>333</v>
      </c>
      <c r="AI117" s="155" t="s">
        <v>1124</v>
      </c>
      <c r="AJ117" s="155"/>
      <c r="AK117" s="155"/>
      <c r="AL117" s="155"/>
      <c r="AM117" s="155"/>
      <c r="AN117" s="155"/>
      <c r="AO117" s="156"/>
      <c r="AP117"/>
      <c r="AQ117"/>
      <c r="AR117" s="10"/>
    </row>
    <row r="118" spans="1:44" ht="18" customHeight="1">
      <c r="A118" s="159"/>
      <c r="B118" s="155"/>
      <c r="C118" s="155"/>
      <c r="D118" s="155"/>
      <c r="E118" s="120" t="s">
        <v>353</v>
      </c>
      <c r="F118" s="28" t="s">
        <v>127</v>
      </c>
      <c r="G118" s="705">
        <f>J115/G115</f>
        <v>12.866100722741342</v>
      </c>
      <c r="H118" s="689"/>
      <c r="I118" s="155"/>
      <c r="J118" s="155"/>
      <c r="K118" s="124"/>
      <c r="L118" s="121"/>
      <c r="M118" s="406"/>
      <c r="N118" s="372"/>
      <c r="O118" s="376"/>
      <c r="P118" s="153"/>
      <c r="Q118" s="407"/>
      <c r="R118" s="375"/>
      <c r="S118" s="156"/>
      <c r="T118"/>
      <c r="U118"/>
      <c r="V118" s="10"/>
      <c r="W118" s="159"/>
      <c r="X118" s="155"/>
      <c r="Y118" s="155"/>
      <c r="Z118" s="155"/>
      <c r="AA118" s="120" t="s">
        <v>353</v>
      </c>
      <c r="AB118" s="28" t="s">
        <v>127</v>
      </c>
      <c r="AC118" s="705">
        <f>AF115/AC115</f>
        <v>12.866100722741342</v>
      </c>
      <c r="AD118" s="689"/>
      <c r="AE118" s="155"/>
      <c r="AF118" s="155"/>
      <c r="AG118" s="124"/>
      <c r="AH118" s="121"/>
      <c r="AI118" s="406"/>
      <c r="AJ118" s="372"/>
      <c r="AK118" s="376"/>
      <c r="AL118" s="153"/>
      <c r="AM118" s="407"/>
      <c r="AN118" s="375"/>
      <c r="AO118" s="156"/>
      <c r="AP118"/>
      <c r="AQ118"/>
      <c r="AR118" s="10"/>
    </row>
    <row r="119" spans="1:44" ht="18" customHeight="1">
      <c r="A119" s="159"/>
      <c r="B119" s="47" t="s">
        <v>354</v>
      </c>
      <c r="C119" s="397"/>
      <c r="D119" s="155"/>
      <c r="E119" s="397"/>
      <c r="F119" s="375"/>
      <c r="G119" s="375"/>
      <c r="H119" s="156"/>
      <c r="I119" s="156"/>
      <c r="J119" s="712" t="s">
        <v>1125</v>
      </c>
      <c r="K119" s="713"/>
      <c r="L119" s="713"/>
      <c r="M119" s="713"/>
      <c r="N119" s="713"/>
      <c r="O119" s="713"/>
      <c r="P119" s="713"/>
      <c r="Q119" s="713"/>
      <c r="R119" s="713"/>
      <c r="S119" s="713"/>
      <c r="T119" s="713"/>
      <c r="U119" s="713"/>
      <c r="V119" s="714"/>
      <c r="W119" s="159"/>
      <c r="X119" s="47" t="s">
        <v>354</v>
      </c>
      <c r="Y119" s="397"/>
      <c r="Z119" s="155"/>
      <c r="AA119" s="397"/>
      <c r="AB119" s="375"/>
      <c r="AC119" s="375"/>
      <c r="AD119" s="156"/>
      <c r="AE119" s="156"/>
      <c r="AF119" s="712" t="s">
        <v>1125</v>
      </c>
      <c r="AG119" s="713"/>
      <c r="AH119" s="713"/>
      <c r="AI119" s="713"/>
      <c r="AJ119" s="713"/>
      <c r="AK119" s="713"/>
      <c r="AL119" s="713"/>
      <c r="AM119" s="713"/>
      <c r="AN119" s="713"/>
      <c r="AO119" s="713"/>
      <c r="AP119" s="713"/>
      <c r="AQ119" s="713"/>
      <c r="AR119" s="714"/>
    </row>
    <row r="120" spans="1:44" ht="18" customHeight="1">
      <c r="A120" s="159"/>
      <c r="B120" s="47"/>
      <c r="C120" s="397"/>
      <c r="D120" s="155"/>
      <c r="E120" s="397"/>
      <c r="F120" s="375"/>
      <c r="G120" s="375"/>
      <c r="H120" s="156"/>
      <c r="I120" s="156"/>
      <c r="J120" s="713"/>
      <c r="K120" s="713"/>
      <c r="L120" s="713"/>
      <c r="M120" s="713"/>
      <c r="N120" s="713"/>
      <c r="O120" s="713"/>
      <c r="P120" s="713"/>
      <c r="Q120" s="713"/>
      <c r="R120" s="713"/>
      <c r="S120" s="713"/>
      <c r="T120" s="713"/>
      <c r="U120" s="713"/>
      <c r="V120" s="714"/>
      <c r="W120" s="159"/>
      <c r="X120" s="47"/>
      <c r="Y120" s="397"/>
      <c r="Z120" s="155"/>
      <c r="AA120" s="397"/>
      <c r="AB120" s="375"/>
      <c r="AC120" s="375"/>
      <c r="AD120" s="156"/>
      <c r="AE120" s="156"/>
      <c r="AF120" s="713"/>
      <c r="AG120" s="713"/>
      <c r="AH120" s="713"/>
      <c r="AI120" s="713"/>
      <c r="AJ120" s="713"/>
      <c r="AK120" s="713"/>
      <c r="AL120" s="713"/>
      <c r="AM120" s="713"/>
      <c r="AN120" s="713"/>
      <c r="AO120" s="713"/>
      <c r="AP120" s="713"/>
      <c r="AQ120" s="713"/>
      <c r="AR120" s="714"/>
    </row>
    <row r="121" spans="1:44" ht="18" customHeight="1">
      <c r="A121" s="159"/>
      <c r="B121" s="47"/>
      <c r="C121" s="397"/>
      <c r="D121" s="155"/>
      <c r="E121" s="397"/>
      <c r="F121" s="375"/>
      <c r="G121" s="375"/>
      <c r="H121" s="156"/>
      <c r="I121" s="156"/>
      <c r="J121" s="156"/>
      <c r="K121" s="156"/>
      <c r="L121" s="236"/>
      <c r="M121" s="706">
        <f>Q80</f>
        <v>132000</v>
      </c>
      <c r="N121" s="706"/>
      <c r="O121" s="229"/>
      <c r="P121" s="648">
        <f>Q81</f>
        <v>1</v>
      </c>
      <c r="Q121" s="28"/>
      <c r="R121" s="155"/>
      <c r="S121" s="156"/>
      <c r="T121"/>
      <c r="U121"/>
      <c r="V121" s="10"/>
      <c r="W121" s="159"/>
      <c r="X121" s="47"/>
      <c r="Y121" s="397"/>
      <c r="Z121" s="155"/>
      <c r="AA121" s="397"/>
      <c r="AB121" s="375"/>
      <c r="AC121" s="375"/>
      <c r="AD121" s="156"/>
      <c r="AE121" s="156"/>
      <c r="AF121" s="156"/>
      <c r="AG121" s="156"/>
      <c r="AH121" s="236"/>
      <c r="AI121" s="706">
        <f>AM80</f>
        <v>132000</v>
      </c>
      <c r="AJ121" s="706"/>
      <c r="AK121" s="229"/>
      <c r="AL121" s="648">
        <f>AM81</f>
        <v>1</v>
      </c>
      <c r="AM121" s="28"/>
      <c r="AN121" s="155"/>
      <c r="AO121" s="156"/>
      <c r="AP121"/>
      <c r="AQ121"/>
      <c r="AR121" s="10"/>
    </row>
    <row r="122" spans="1:44" ht="18" customHeight="1">
      <c r="A122" s="159"/>
      <c r="B122" s="156"/>
      <c r="C122" s="397"/>
      <c r="D122" s="375"/>
      <c r="E122" s="397"/>
      <c r="F122" s="375"/>
      <c r="G122" s="375"/>
      <c r="H122" s="156"/>
      <c r="I122" s="156"/>
      <c r="J122" s="156"/>
      <c r="K122" s="156"/>
      <c r="L122" s="157"/>
      <c r="M122" s="688">
        <f>+G117</f>
        <v>1.8046551916192608</v>
      </c>
      <c r="N122" s="688"/>
      <c r="O122" s="28" t="s">
        <v>315</v>
      </c>
      <c r="P122" s="684" t="s">
        <v>355</v>
      </c>
      <c r="Q122" s="689">
        <f>SQRT(3)</f>
        <v>1.7320508075688772</v>
      </c>
      <c r="R122" s="375"/>
      <c r="S122" s="156"/>
      <c r="T122"/>
      <c r="U122"/>
      <c r="V122" s="10"/>
      <c r="W122" s="159"/>
      <c r="X122" s="156"/>
      <c r="Y122" s="397"/>
      <c r="Z122" s="375"/>
      <c r="AA122" s="397"/>
      <c r="AB122" s="375"/>
      <c r="AC122" s="375"/>
      <c r="AD122" s="156"/>
      <c r="AE122" s="156"/>
      <c r="AF122" s="156"/>
      <c r="AG122" s="156"/>
      <c r="AH122" s="157"/>
      <c r="AI122" s="688">
        <f>+AC117</f>
        <v>1.8046551916192608</v>
      </c>
      <c r="AJ122" s="688"/>
      <c r="AK122" s="28" t="s">
        <v>315</v>
      </c>
      <c r="AL122" s="684" t="s">
        <v>355</v>
      </c>
      <c r="AM122" s="689">
        <f>SQRT(3)</f>
        <v>1.7320508075688772</v>
      </c>
      <c r="AN122" s="375"/>
      <c r="AO122" s="156"/>
      <c r="AP122"/>
      <c r="AQ122"/>
      <c r="AR122" s="10"/>
    </row>
    <row r="123" spans="1:44" ht="18" customHeight="1">
      <c r="A123" s="9"/>
      <c r="B123"/>
      <c r="C123"/>
      <c r="D123"/>
      <c r="E123"/>
      <c r="F123"/>
      <c r="G123"/>
      <c r="H123"/>
      <c r="I123"/>
      <c r="J123"/>
      <c r="K123"/>
      <c r="L123" s="102" t="s">
        <v>127</v>
      </c>
      <c r="M123" s="709">
        <f>M121*P121/(M122*SQRT(3))</f>
        <v>42229.804278926844</v>
      </c>
      <c r="N123" s="710"/>
      <c r="O123" s="30" t="s">
        <v>8</v>
      </c>
      <c r="P123"/>
      <c r="Q123"/>
      <c r="R123"/>
      <c r="S123"/>
      <c r="T123"/>
      <c r="U123"/>
      <c r="V123" s="10"/>
      <c r="W123" s="9"/>
      <c r="X123"/>
      <c r="Y123"/>
      <c r="Z123"/>
      <c r="AA123"/>
      <c r="AB123"/>
      <c r="AC123"/>
      <c r="AD123"/>
      <c r="AE123"/>
      <c r="AF123"/>
      <c r="AG123"/>
      <c r="AH123" s="102" t="s">
        <v>127</v>
      </c>
      <c r="AI123" s="709">
        <f>AI121*AL121/(AI122*SQRT(3))</f>
        <v>42229.804278926844</v>
      </c>
      <c r="AJ123" s="710"/>
      <c r="AK123" s="30" t="s">
        <v>8</v>
      </c>
      <c r="AL123"/>
      <c r="AM123"/>
      <c r="AN123"/>
      <c r="AO123"/>
      <c r="AP123"/>
      <c r="AQ123"/>
      <c r="AR123" s="10"/>
    </row>
    <row r="124" spans="1:44" ht="18" customHeight="1">
      <c r="A124" s="717" t="s">
        <v>1131</v>
      </c>
      <c r="B124" s="682"/>
      <c r="C124" s="682"/>
      <c r="D124" s="682"/>
      <c r="E124" s="682"/>
      <c r="F124" s="682"/>
      <c r="G124" s="682"/>
      <c r="H124" s="682"/>
      <c r="I124" s="682"/>
      <c r="J124" s="682"/>
      <c r="K124" s="682"/>
      <c r="L124" s="682"/>
      <c r="M124" s="682"/>
      <c r="N124" s="682"/>
      <c r="O124" s="682"/>
      <c r="P124" s="682"/>
      <c r="Q124" s="682"/>
      <c r="R124" s="682"/>
      <c r="S124" s="682"/>
      <c r="T124" s="682"/>
      <c r="U124" s="682"/>
      <c r="V124" s="687"/>
      <c r="W124" s="717" t="s">
        <v>1131</v>
      </c>
      <c r="X124" s="682"/>
      <c r="Y124" s="682"/>
      <c r="Z124" s="682"/>
      <c r="AA124" s="682"/>
      <c r="AB124" s="682"/>
      <c r="AC124" s="682"/>
      <c r="AD124" s="682"/>
      <c r="AE124" s="682"/>
      <c r="AF124" s="682"/>
      <c r="AG124" s="682"/>
      <c r="AH124" s="682"/>
      <c r="AI124" s="682"/>
      <c r="AJ124" s="682"/>
      <c r="AK124" s="682"/>
      <c r="AL124" s="682"/>
      <c r="AM124" s="682"/>
      <c r="AN124" s="682"/>
      <c r="AO124" s="682"/>
      <c r="AP124" s="682"/>
      <c r="AQ124" s="682"/>
      <c r="AR124" s="687"/>
    </row>
    <row r="125" spans="1:44" ht="18" customHeight="1">
      <c r="A125" s="686"/>
      <c r="B125" s="682"/>
      <c r="C125" s="682"/>
      <c r="D125" s="682"/>
      <c r="E125" s="682"/>
      <c r="F125" s="682"/>
      <c r="G125" s="682"/>
      <c r="H125" s="682"/>
      <c r="I125" s="682"/>
      <c r="J125" s="682"/>
      <c r="K125" s="682"/>
      <c r="L125" s="682"/>
      <c r="M125" s="682"/>
      <c r="N125" s="682"/>
      <c r="O125" s="682"/>
      <c r="P125" s="682"/>
      <c r="Q125" s="682"/>
      <c r="R125" s="682"/>
      <c r="S125" s="682"/>
      <c r="T125" s="682"/>
      <c r="U125" s="682"/>
      <c r="V125" s="687"/>
      <c r="W125" s="686"/>
      <c r="X125" s="682"/>
      <c r="Y125" s="682"/>
      <c r="Z125" s="682"/>
      <c r="AA125" s="682"/>
      <c r="AB125" s="682"/>
      <c r="AC125" s="682"/>
      <c r="AD125" s="682"/>
      <c r="AE125" s="682"/>
      <c r="AF125" s="682"/>
      <c r="AG125" s="682"/>
      <c r="AH125" s="682"/>
      <c r="AI125" s="682"/>
      <c r="AJ125" s="682"/>
      <c r="AK125" s="682"/>
      <c r="AL125" s="682"/>
      <c r="AM125" s="682"/>
      <c r="AN125" s="682"/>
      <c r="AO125" s="682"/>
      <c r="AP125" s="682"/>
      <c r="AQ125" s="682"/>
      <c r="AR125" s="687"/>
    </row>
    <row r="126" spans="1:44" s="14" customFormat="1" ht="18" customHeight="1">
      <c r="A126" s="193" t="s">
        <v>356</v>
      </c>
      <c r="B126"/>
      <c r="C126" s="155"/>
      <c r="D126" s="397"/>
      <c r="E126" s="397"/>
      <c r="F126" s="397"/>
      <c r="G126" s="375"/>
      <c r="H126" s="375"/>
      <c r="I126" s="156"/>
      <c r="J126" s="156"/>
      <c r="K126" s="156"/>
      <c r="L126" s="156"/>
      <c r="M126" s="410"/>
      <c r="N126" s="411"/>
      <c r="O126" s="412"/>
      <c r="P126" s="413"/>
      <c r="Q126" s="157"/>
      <c r="R126" s="402"/>
      <c r="S126" s="414"/>
      <c r="T126"/>
      <c r="U126"/>
      <c r="V126" s="10"/>
      <c r="W126" s="193" t="s">
        <v>356</v>
      </c>
      <c r="X126"/>
      <c r="Y126" s="155"/>
      <c r="Z126" s="397"/>
      <c r="AA126" s="397"/>
      <c r="AB126" s="397"/>
      <c r="AC126" s="375"/>
      <c r="AD126" s="375"/>
      <c r="AE126" s="156"/>
      <c r="AF126" s="156"/>
      <c r="AG126" s="156"/>
      <c r="AH126" s="156"/>
      <c r="AI126" s="410"/>
      <c r="AJ126" s="411"/>
      <c r="AK126" s="412"/>
      <c r="AL126" s="413"/>
      <c r="AM126" s="157"/>
      <c r="AN126" s="402"/>
      <c r="AO126" s="414"/>
      <c r="AP126"/>
      <c r="AQ126"/>
      <c r="AR126" s="10"/>
    </row>
    <row r="127" spans="1:44" ht="18" customHeight="1">
      <c r="A127" s="396"/>
      <c r="B127" s="47" t="s">
        <v>357</v>
      </c>
      <c r="C127" s="156"/>
      <c r="D127" s="397"/>
      <c r="E127"/>
      <c r="F127" s="376"/>
      <c r="G127" s="102" t="s">
        <v>127</v>
      </c>
      <c r="H127" s="28">
        <v>2</v>
      </c>
      <c r="I127" s="28" t="s">
        <v>315</v>
      </c>
      <c r="J127" s="278" t="s">
        <v>318</v>
      </c>
      <c r="K127" s="28" t="s">
        <v>315</v>
      </c>
      <c r="L127" s="28" t="s">
        <v>319</v>
      </c>
      <c r="M127" s="28" t="s">
        <v>315</v>
      </c>
      <c r="N127" s="47" t="s">
        <v>320</v>
      </c>
      <c r="O127" s="376"/>
      <c r="P127" s="163"/>
      <c r="Q127" s="398"/>
      <c r="R127"/>
      <c r="S127" s="376"/>
      <c r="T127"/>
      <c r="U127"/>
      <c r="V127" s="10"/>
      <c r="W127" s="396"/>
      <c r="X127" s="47" t="s">
        <v>357</v>
      </c>
      <c r="Y127" s="156"/>
      <c r="Z127" s="397"/>
      <c r="AA127"/>
      <c r="AB127" s="376"/>
      <c r="AC127" s="102" t="s">
        <v>127</v>
      </c>
      <c r="AD127" s="28">
        <v>2</v>
      </c>
      <c r="AE127" s="28" t="s">
        <v>315</v>
      </c>
      <c r="AF127" s="278" t="s">
        <v>318</v>
      </c>
      <c r="AG127" s="28" t="s">
        <v>315</v>
      </c>
      <c r="AH127" s="28" t="s">
        <v>319</v>
      </c>
      <c r="AI127" s="28" t="s">
        <v>315</v>
      </c>
      <c r="AJ127" s="47" t="s">
        <v>320</v>
      </c>
      <c r="AK127" s="376"/>
      <c r="AL127" s="163"/>
      <c r="AM127" s="398"/>
      <c r="AN127"/>
      <c r="AO127" s="376"/>
      <c r="AP127"/>
      <c r="AQ127"/>
      <c r="AR127" s="10"/>
    </row>
    <row r="128" spans="1:44" ht="18" customHeight="1">
      <c r="A128" s="396"/>
      <c r="B128" s="47" t="s">
        <v>358</v>
      </c>
      <c r="C128" s="156"/>
      <c r="D128" s="375"/>
      <c r="E128" s="376"/>
      <c r="F128" s="376"/>
      <c r="G128"/>
      <c r="H128" s="376"/>
      <c r="I128" s="152"/>
      <c r="J128" s="152"/>
      <c r="K128" s="152"/>
      <c r="L128" s="152"/>
      <c r="M128"/>
      <c r="N128" s="376"/>
      <c r="O128" s="28" t="s">
        <v>322</v>
      </c>
      <c r="P128" s="102" t="s">
        <v>127</v>
      </c>
      <c r="Q128" s="692">
        <f>G118</f>
        <v>12.866100722741342</v>
      </c>
      <c r="R128" s="692"/>
      <c r="S128" s="372"/>
      <c r="T128"/>
      <c r="U128"/>
      <c r="V128" s="10"/>
      <c r="W128" s="396"/>
      <c r="X128" s="47" t="s">
        <v>358</v>
      </c>
      <c r="Y128" s="156"/>
      <c r="Z128" s="375"/>
      <c r="AA128" s="376"/>
      <c r="AB128" s="376"/>
      <c r="AC128"/>
      <c r="AD128" s="376"/>
      <c r="AE128" s="152"/>
      <c r="AF128" s="152"/>
      <c r="AG128" s="152"/>
      <c r="AH128" s="152"/>
      <c r="AI128"/>
      <c r="AJ128" s="376"/>
      <c r="AK128" s="28" t="s">
        <v>322</v>
      </c>
      <c r="AL128" s="102" t="s">
        <v>127</v>
      </c>
      <c r="AM128" s="692">
        <f>AC118</f>
        <v>12.866100722741342</v>
      </c>
      <c r="AN128" s="692"/>
      <c r="AO128" s="372"/>
      <c r="AP128"/>
      <c r="AQ128"/>
      <c r="AR128" s="10"/>
    </row>
    <row r="129" spans="1:44" ht="18" customHeight="1">
      <c r="A129" s="396"/>
      <c r="B129" s="47" t="s">
        <v>263</v>
      </c>
      <c r="C129" s="156"/>
      <c r="D129" s="397"/>
      <c r="E129" s="7"/>
      <c r="F129" s="7"/>
      <c r="G129"/>
      <c r="H129" s="376"/>
      <c r="I129" s="152"/>
      <c r="J129" s="152"/>
      <c r="K129" s="152"/>
      <c r="L129" s="152"/>
      <c r="M129"/>
      <c r="N129" s="376"/>
      <c r="O129" s="28" t="s">
        <v>319</v>
      </c>
      <c r="P129" s="102" t="s">
        <v>127</v>
      </c>
      <c r="Q129" s="718">
        <f>Q51</f>
        <v>50</v>
      </c>
      <c r="R129" s="708"/>
      <c r="S129" s="47" t="s">
        <v>264</v>
      </c>
      <c r="T129"/>
      <c r="U129"/>
      <c r="V129" s="10"/>
      <c r="W129" s="396"/>
      <c r="X129" s="47" t="s">
        <v>263</v>
      </c>
      <c r="Y129" s="156"/>
      <c r="Z129" s="397"/>
      <c r="AA129" s="7"/>
      <c r="AB129" s="7"/>
      <c r="AC129"/>
      <c r="AD129" s="376"/>
      <c r="AE129" s="152"/>
      <c r="AF129" s="152"/>
      <c r="AG129" s="152"/>
      <c r="AH129" s="152"/>
      <c r="AI129"/>
      <c r="AJ129" s="376"/>
      <c r="AK129" s="28" t="s">
        <v>319</v>
      </c>
      <c r="AL129" s="102" t="s">
        <v>127</v>
      </c>
      <c r="AM129" s="718">
        <f>AM51</f>
        <v>50</v>
      </c>
      <c r="AN129" s="708"/>
      <c r="AO129" s="47" t="s">
        <v>264</v>
      </c>
      <c r="AP129"/>
      <c r="AQ129"/>
      <c r="AR129" s="10"/>
    </row>
    <row r="130" spans="1:44" ht="18" customHeight="1">
      <c r="A130" s="396"/>
      <c r="B130" s="47"/>
      <c r="C130" s="156"/>
      <c r="D130" s="397"/>
      <c r="E130" s="7"/>
      <c r="F130" s="7"/>
      <c r="G130"/>
      <c r="H130" s="376"/>
      <c r="I130" s="152"/>
      <c r="J130" s="152"/>
      <c r="K130" s="152"/>
      <c r="L130" s="152"/>
      <c r="M130"/>
      <c r="N130" s="376"/>
      <c r="O130" s="28"/>
      <c r="P130" s="102"/>
      <c r="Q130" s="647"/>
      <c r="R130" s="229"/>
      <c r="S130" s="47"/>
      <c r="T130"/>
      <c r="U130"/>
      <c r="V130" s="10"/>
      <c r="W130" s="396"/>
      <c r="X130" s="47"/>
      <c r="Y130" s="156"/>
      <c r="Z130" s="397"/>
      <c r="AA130" s="7"/>
      <c r="AB130" s="7"/>
      <c r="AC130"/>
      <c r="AD130" s="376"/>
      <c r="AE130" s="152"/>
      <c r="AF130" s="152"/>
      <c r="AG130" s="152"/>
      <c r="AH130" s="152"/>
      <c r="AI130"/>
      <c r="AJ130" s="376"/>
      <c r="AK130" s="28"/>
      <c r="AL130" s="102"/>
      <c r="AM130" s="647"/>
      <c r="AN130" s="229"/>
      <c r="AO130" s="47"/>
      <c r="AP130"/>
      <c r="AQ130"/>
      <c r="AR130" s="10"/>
    </row>
    <row r="131" spans="1:44" ht="18" customHeight="1">
      <c r="A131" s="396"/>
      <c r="B131" s="249" t="s">
        <v>340</v>
      </c>
      <c r="C131" s="156"/>
      <c r="D131" s="397"/>
      <c r="E131"/>
      <c r="F131" s="123"/>
      <c r="G131" s="28" t="s">
        <v>127</v>
      </c>
      <c r="H131" s="28" t="s">
        <v>341</v>
      </c>
      <c r="I131" s="399" t="s">
        <v>342</v>
      </c>
      <c r="J131" s="28">
        <v>2</v>
      </c>
      <c r="K131" s="28" t="s">
        <v>315</v>
      </c>
      <c r="L131" s="278" t="s">
        <v>318</v>
      </c>
      <c r="M131" s="400" t="s">
        <v>315</v>
      </c>
      <c r="N131" s="218" t="s">
        <v>319</v>
      </c>
      <c r="O131" s="376"/>
      <c r="P131" s="123" t="s">
        <v>127</v>
      </c>
      <c r="Q131" s="696">
        <f>(Q128*1000)/(J131*(22/7)*Q129)</f>
        <v>40.937593208722447</v>
      </c>
      <c r="R131" s="697"/>
      <c r="S131" s="47" t="s">
        <v>343</v>
      </c>
      <c r="T131"/>
      <c r="U131"/>
      <c r="V131" s="10"/>
      <c r="W131" s="396"/>
      <c r="X131" s="249" t="s">
        <v>340</v>
      </c>
      <c r="Y131" s="156"/>
      <c r="Z131" s="397"/>
      <c r="AA131"/>
      <c r="AB131" s="123"/>
      <c r="AC131" s="28" t="s">
        <v>127</v>
      </c>
      <c r="AD131" s="28" t="s">
        <v>341</v>
      </c>
      <c r="AE131" s="399" t="s">
        <v>342</v>
      </c>
      <c r="AF131" s="28">
        <v>2</v>
      </c>
      <c r="AG131" s="28" t="s">
        <v>315</v>
      </c>
      <c r="AH131" s="278" t="s">
        <v>318</v>
      </c>
      <c r="AI131" s="400" t="s">
        <v>315</v>
      </c>
      <c r="AJ131" s="218" t="s">
        <v>319</v>
      </c>
      <c r="AK131" s="376"/>
      <c r="AL131" s="123" t="s">
        <v>127</v>
      </c>
      <c r="AM131" s="696">
        <f>(AM128*1000)/(AF131*(22/7)*AM129)</f>
        <v>40.937593208722447</v>
      </c>
      <c r="AN131" s="697"/>
      <c r="AO131" s="47" t="s">
        <v>343</v>
      </c>
      <c r="AP131"/>
      <c r="AQ131"/>
      <c r="AR131" s="10"/>
    </row>
    <row r="132" spans="1:44" ht="18" customHeight="1">
      <c r="A132" s="9"/>
      <c r="B132"/>
      <c r="C132"/>
      <c r="D132"/>
      <c r="E132"/>
      <c r="F132"/>
      <c r="G132"/>
      <c r="H132"/>
      <c r="I132"/>
      <c r="J132"/>
      <c r="K132"/>
      <c r="L132"/>
      <c r="M132"/>
      <c r="N132"/>
      <c r="O132"/>
      <c r="P132"/>
      <c r="Q132"/>
      <c r="R132"/>
      <c r="S132"/>
      <c r="T132"/>
      <c r="U132"/>
      <c r="V132" s="10"/>
      <c r="W132" s="9"/>
      <c r="X132"/>
      <c r="Y132"/>
      <c r="Z132"/>
      <c r="AA132"/>
      <c r="AB132"/>
      <c r="AC132"/>
      <c r="AD132"/>
      <c r="AE132"/>
      <c r="AF132"/>
      <c r="AG132"/>
      <c r="AH132"/>
      <c r="AI132"/>
      <c r="AJ132"/>
      <c r="AK132"/>
      <c r="AL132"/>
      <c r="AM132"/>
      <c r="AN132"/>
      <c r="AO132"/>
      <c r="AP132"/>
      <c r="AQ132"/>
      <c r="AR132" s="10"/>
    </row>
    <row r="133" spans="1:44" ht="18" customHeight="1">
      <c r="A133" s="193" t="s">
        <v>359</v>
      </c>
      <c r="B133"/>
      <c r="C133"/>
      <c r="D133"/>
      <c r="E133"/>
      <c r="F133"/>
      <c r="G133"/>
      <c r="H133"/>
      <c r="I133"/>
      <c r="J133"/>
      <c r="K133"/>
      <c r="L133"/>
      <c r="M133"/>
      <c r="N133"/>
      <c r="O133"/>
      <c r="P133"/>
      <c r="Q133"/>
      <c r="R133"/>
      <c r="S133"/>
      <c r="T133"/>
      <c r="U133"/>
      <c r="V133" s="10"/>
      <c r="W133" s="193" t="s">
        <v>359</v>
      </c>
      <c r="X133"/>
      <c r="Y133"/>
      <c r="Z133"/>
      <c r="AA133"/>
      <c r="AB133"/>
      <c r="AC133"/>
      <c r="AD133"/>
      <c r="AE133"/>
      <c r="AF133"/>
      <c r="AG133"/>
      <c r="AH133"/>
      <c r="AI133"/>
      <c r="AJ133"/>
      <c r="AK133"/>
      <c r="AL133"/>
      <c r="AM133"/>
      <c r="AN133"/>
      <c r="AO133"/>
      <c r="AP133"/>
      <c r="AQ133"/>
      <c r="AR133" s="10"/>
    </row>
    <row r="134" spans="1:44" ht="18" customHeight="1">
      <c r="A134" s="184" t="s">
        <v>360</v>
      </c>
      <c r="B134"/>
      <c r="C134"/>
      <c r="D134"/>
      <c r="E134" s="28" t="s">
        <v>361</v>
      </c>
      <c r="F134" s="28" t="s">
        <v>127</v>
      </c>
      <c r="G134" s="279"/>
      <c r="H134" s="28" t="s">
        <v>310</v>
      </c>
      <c r="I134" s="102" t="s">
        <v>347</v>
      </c>
      <c r="J134" s="14" t="s">
        <v>301</v>
      </c>
      <c r="K134" s="7"/>
      <c r="L134"/>
      <c r="M134"/>
      <c r="N134"/>
      <c r="O134"/>
      <c r="P134"/>
      <c r="Q134"/>
      <c r="R134"/>
      <c r="S134"/>
      <c r="T134"/>
      <c r="U134"/>
      <c r="V134" s="10"/>
      <c r="W134" s="184" t="s">
        <v>360</v>
      </c>
      <c r="X134"/>
      <c r="Y134"/>
      <c r="Z134"/>
      <c r="AA134" s="28" t="s">
        <v>361</v>
      </c>
      <c r="AB134" s="28" t="s">
        <v>127</v>
      </c>
      <c r="AC134" s="279"/>
      <c r="AD134" s="28" t="s">
        <v>310</v>
      </c>
      <c r="AE134" s="102" t="s">
        <v>347</v>
      </c>
      <c r="AF134" s="14" t="s">
        <v>301</v>
      </c>
      <c r="AG134" s="7"/>
      <c r="AH134"/>
      <c r="AI134"/>
      <c r="AJ134"/>
      <c r="AK134"/>
      <c r="AL134"/>
      <c r="AM134"/>
      <c r="AN134"/>
      <c r="AO134"/>
      <c r="AP134"/>
      <c r="AQ134"/>
      <c r="AR134" s="10"/>
    </row>
    <row r="135" spans="1:44" ht="18" customHeight="1">
      <c r="A135" s="9"/>
      <c r="B135"/>
      <c r="C135"/>
      <c r="D135"/>
      <c r="E135"/>
      <c r="F135" s="250" t="s">
        <v>348</v>
      </c>
      <c r="G135" s="688">
        <f>N97</f>
        <v>0.10138858918881909</v>
      </c>
      <c r="H135" s="689"/>
      <c r="I135" s="102" t="s">
        <v>295</v>
      </c>
      <c r="J135" s="688">
        <f>Q97</f>
        <v>1.5208288378322858</v>
      </c>
      <c r="K135" s="689"/>
      <c r="L135" s="28" t="s">
        <v>349</v>
      </c>
      <c r="M135" s="711">
        <f>L74</f>
        <v>0.22620000000000001</v>
      </c>
      <c r="N135" s="689"/>
      <c r="O135" s="102" t="s">
        <v>295</v>
      </c>
      <c r="P135" s="711">
        <f>O74</f>
        <v>0.10439999999999999</v>
      </c>
      <c r="Q135" s="689"/>
      <c r="R135" s="14" t="s">
        <v>350</v>
      </c>
      <c r="S135"/>
      <c r="T135"/>
      <c r="U135"/>
      <c r="V135" s="10"/>
      <c r="W135" s="9"/>
      <c r="X135"/>
      <c r="Y135"/>
      <c r="Z135"/>
      <c r="AA135"/>
      <c r="AB135" s="250" t="s">
        <v>348</v>
      </c>
      <c r="AC135" s="688">
        <f>AJ97</f>
        <v>0.10138858918881909</v>
      </c>
      <c r="AD135" s="689"/>
      <c r="AE135" s="102" t="s">
        <v>295</v>
      </c>
      <c r="AF135" s="688">
        <f>AM97</f>
        <v>1.5208288378322858</v>
      </c>
      <c r="AG135" s="689"/>
      <c r="AH135" s="28" t="s">
        <v>349</v>
      </c>
      <c r="AI135" s="711">
        <f>AH74</f>
        <v>0.22620000000000001</v>
      </c>
      <c r="AJ135" s="689"/>
      <c r="AK135" s="102" t="s">
        <v>295</v>
      </c>
      <c r="AL135" s="711">
        <f>AK74</f>
        <v>0.10439999999999999</v>
      </c>
      <c r="AM135" s="689"/>
      <c r="AN135" s="14" t="s">
        <v>350</v>
      </c>
      <c r="AO135"/>
      <c r="AP135"/>
      <c r="AQ135"/>
      <c r="AR135" s="10"/>
    </row>
    <row r="136" spans="1:44" ht="18" customHeight="1">
      <c r="A136" s="159"/>
      <c r="B136"/>
      <c r="C136"/>
      <c r="D136"/>
      <c r="E136"/>
      <c r="F136" s="28" t="s">
        <v>127</v>
      </c>
      <c r="G136" s="688">
        <f>G135+M135</f>
        <v>0.32758858918881911</v>
      </c>
      <c r="H136" s="689"/>
      <c r="I136" s="102" t="s">
        <v>351</v>
      </c>
      <c r="J136" s="688">
        <f>J135+P135</f>
        <v>1.6252288378322859</v>
      </c>
      <c r="K136" s="689"/>
      <c r="L136" s="192" t="s">
        <v>333</v>
      </c>
      <c r="M136"/>
      <c r="N136"/>
      <c r="O136" s="155"/>
      <c r="P136" s="415"/>
      <c r="Q136" s="121"/>
      <c r="R136" s="414"/>
      <c r="S136"/>
      <c r="T136"/>
      <c r="U136"/>
      <c r="V136" s="10"/>
      <c r="W136" s="159"/>
      <c r="X136"/>
      <c r="Y136"/>
      <c r="Z136"/>
      <c r="AA136"/>
      <c r="AB136" s="28" t="s">
        <v>127</v>
      </c>
      <c r="AC136" s="688">
        <f>AC135+AI135</f>
        <v>0.32758858918881911</v>
      </c>
      <c r="AD136" s="689"/>
      <c r="AE136" s="102" t="s">
        <v>351</v>
      </c>
      <c r="AF136" s="688">
        <f>AF135+AL135</f>
        <v>1.6252288378322859</v>
      </c>
      <c r="AG136" s="689"/>
      <c r="AH136" s="192" t="s">
        <v>333</v>
      </c>
      <c r="AI136"/>
      <c r="AJ136"/>
      <c r="AK136" s="155"/>
      <c r="AL136" s="415"/>
      <c r="AM136" s="121"/>
      <c r="AN136" s="414"/>
      <c r="AO136"/>
      <c r="AP136"/>
      <c r="AQ136"/>
      <c r="AR136" s="10"/>
    </row>
    <row r="137" spans="1:44" ht="18" customHeight="1">
      <c r="A137" s="159"/>
      <c r="B137"/>
      <c r="C137"/>
      <c r="D137"/>
      <c r="E137"/>
      <c r="F137" s="28" t="s">
        <v>127</v>
      </c>
      <c r="G137" s="703">
        <f>SQRT(G136^2+J136^2)</f>
        <v>1.6579152750030395</v>
      </c>
      <c r="H137" s="689"/>
      <c r="I137" s="278" t="s">
        <v>352</v>
      </c>
      <c r="J137" s="704">
        <f>DEGREES(ATAN(J136/G136))</f>
        <v>78.603896812409772</v>
      </c>
      <c r="K137" s="689"/>
      <c r="L137" s="192" t="s">
        <v>333</v>
      </c>
      <c r="M137" s="155" t="s">
        <v>1126</v>
      </c>
      <c r="N137" s="155"/>
      <c r="O137" s="155"/>
      <c r="P137" s="415"/>
      <c r="Q137" s="121"/>
      <c r="R137" s="414"/>
      <c r="S137"/>
      <c r="T137"/>
      <c r="U137"/>
      <c r="V137" s="10"/>
      <c r="W137" s="159"/>
      <c r="X137"/>
      <c r="Y137"/>
      <c r="Z137"/>
      <c r="AA137"/>
      <c r="AB137" s="28" t="s">
        <v>127</v>
      </c>
      <c r="AC137" s="703">
        <f>SQRT(AC136^2+AF136^2)</f>
        <v>1.6579152750030395</v>
      </c>
      <c r="AD137" s="689"/>
      <c r="AE137" s="278" t="s">
        <v>352</v>
      </c>
      <c r="AF137" s="704">
        <f>DEGREES(ATAN(AF136/AC136))</f>
        <v>78.603896812409772</v>
      </c>
      <c r="AG137" s="689"/>
      <c r="AH137" s="192" t="s">
        <v>333</v>
      </c>
      <c r="AI137" s="155" t="s">
        <v>1126</v>
      </c>
      <c r="AJ137" s="155"/>
      <c r="AK137" s="155"/>
      <c r="AL137" s="415"/>
      <c r="AM137" s="121"/>
      <c r="AN137" s="414"/>
      <c r="AO137"/>
      <c r="AP137"/>
      <c r="AQ137"/>
      <c r="AR137" s="10"/>
    </row>
    <row r="138" spans="1:44" ht="18" customHeight="1">
      <c r="A138" s="9"/>
      <c r="B138"/>
      <c r="C138"/>
      <c r="D138"/>
      <c r="E138"/>
      <c r="F138"/>
      <c r="G138"/>
      <c r="H138"/>
      <c r="I138"/>
      <c r="J138"/>
      <c r="K138"/>
      <c r="L138"/>
      <c r="M138" s="416"/>
      <c r="N138" s="7"/>
      <c r="O138" s="417"/>
      <c r="P138" s="415"/>
      <c r="Q138" s="121"/>
      <c r="R138" s="414"/>
      <c r="S138"/>
      <c r="T138"/>
      <c r="U138"/>
      <c r="V138" s="10"/>
      <c r="W138" s="9"/>
      <c r="X138"/>
      <c r="Y138"/>
      <c r="Z138"/>
      <c r="AA138"/>
      <c r="AB138"/>
      <c r="AC138"/>
      <c r="AD138"/>
      <c r="AE138"/>
      <c r="AF138"/>
      <c r="AG138"/>
      <c r="AH138"/>
      <c r="AI138" s="416"/>
      <c r="AJ138" s="7"/>
      <c r="AK138" s="417"/>
      <c r="AL138" s="415"/>
      <c r="AM138" s="121"/>
      <c r="AN138" s="414"/>
      <c r="AO138"/>
      <c r="AP138"/>
      <c r="AQ138"/>
      <c r="AR138" s="10"/>
    </row>
    <row r="139" spans="1:44" ht="18" customHeight="1">
      <c r="A139" s="184" t="s">
        <v>345</v>
      </c>
      <c r="B139"/>
      <c r="C139"/>
      <c r="D139"/>
      <c r="E139" s="28" t="s">
        <v>362</v>
      </c>
      <c r="F139" s="28" t="s">
        <v>127</v>
      </c>
      <c r="G139" s="279"/>
      <c r="H139" s="28" t="s">
        <v>346</v>
      </c>
      <c r="I139" s="102" t="s">
        <v>347</v>
      </c>
      <c r="J139" s="28" t="s">
        <v>363</v>
      </c>
      <c r="K139" s="28" t="s">
        <v>347</v>
      </c>
      <c r="L139" s="28" t="s">
        <v>361</v>
      </c>
      <c r="M139"/>
      <c r="N139"/>
      <c r="O139"/>
      <c r="P139"/>
      <c r="Q139"/>
      <c r="R139"/>
      <c r="S139"/>
      <c r="T139"/>
      <c r="U139"/>
      <c r="V139" s="10"/>
      <c r="W139" s="184" t="s">
        <v>345</v>
      </c>
      <c r="X139"/>
      <c r="Y139"/>
      <c r="Z139"/>
      <c r="AA139" s="28" t="s">
        <v>362</v>
      </c>
      <c r="AB139" s="28" t="s">
        <v>127</v>
      </c>
      <c r="AC139" s="279"/>
      <c r="AD139" s="28" t="s">
        <v>346</v>
      </c>
      <c r="AE139" s="102" t="s">
        <v>347</v>
      </c>
      <c r="AF139" s="28" t="s">
        <v>363</v>
      </c>
      <c r="AG139" s="28" t="s">
        <v>347</v>
      </c>
      <c r="AH139" s="28" t="s">
        <v>361</v>
      </c>
      <c r="AI139"/>
      <c r="AJ139"/>
      <c r="AK139"/>
      <c r="AL139"/>
      <c r="AM139"/>
      <c r="AN139"/>
      <c r="AO139"/>
      <c r="AP139"/>
      <c r="AQ139"/>
      <c r="AR139" s="10"/>
    </row>
    <row r="140" spans="1:44" ht="18" customHeight="1">
      <c r="A140" s="9"/>
      <c r="B140" s="250" t="s">
        <v>348</v>
      </c>
      <c r="C140" s="702">
        <f>G115</f>
        <v>0.13984258918881909</v>
      </c>
      <c r="D140" s="684"/>
      <c r="E140" s="191" t="s">
        <v>351</v>
      </c>
      <c r="F140" s="702">
        <f>J115</f>
        <v>1.7992288378322858</v>
      </c>
      <c r="G140" s="684"/>
      <c r="H140" s="27" t="s">
        <v>349</v>
      </c>
      <c r="I140" s="702">
        <f>G115</f>
        <v>0.13984258918881909</v>
      </c>
      <c r="J140" s="702"/>
      <c r="K140" s="191" t="s">
        <v>351</v>
      </c>
      <c r="L140" s="702">
        <f>J115</f>
        <v>1.7992288378322858</v>
      </c>
      <c r="M140" s="684"/>
      <c r="N140" s="27" t="s">
        <v>349</v>
      </c>
      <c r="O140" s="701">
        <f>G136</f>
        <v>0.32758858918881911</v>
      </c>
      <c r="P140" s="684"/>
      <c r="Q140" s="191" t="s">
        <v>351</v>
      </c>
      <c r="R140" s="701">
        <f>J136</f>
        <v>1.6252288378322859</v>
      </c>
      <c r="S140" s="684"/>
      <c r="T140" s="30" t="s">
        <v>350</v>
      </c>
      <c r="U140"/>
      <c r="V140" s="10"/>
      <c r="W140" s="9"/>
      <c r="X140" s="250" t="s">
        <v>348</v>
      </c>
      <c r="Y140" s="702">
        <f>AC115</f>
        <v>0.13984258918881909</v>
      </c>
      <c r="Z140" s="684"/>
      <c r="AA140" s="191" t="s">
        <v>351</v>
      </c>
      <c r="AB140" s="702">
        <f>AF115</f>
        <v>1.7992288378322858</v>
      </c>
      <c r="AC140" s="684"/>
      <c r="AD140" s="27" t="s">
        <v>349</v>
      </c>
      <c r="AE140" s="702">
        <f>AC115</f>
        <v>0.13984258918881909</v>
      </c>
      <c r="AF140" s="702"/>
      <c r="AG140" s="191" t="s">
        <v>351</v>
      </c>
      <c r="AH140" s="702">
        <f>AF115</f>
        <v>1.7992288378322858</v>
      </c>
      <c r="AI140" s="684"/>
      <c r="AJ140" s="27" t="s">
        <v>349</v>
      </c>
      <c r="AK140" s="701">
        <f>AC136</f>
        <v>0.32758858918881911</v>
      </c>
      <c r="AL140" s="684"/>
      <c r="AM140" s="191" t="s">
        <v>351</v>
      </c>
      <c r="AN140" s="701">
        <f>AF136</f>
        <v>1.6252288378322859</v>
      </c>
      <c r="AO140" s="684"/>
      <c r="AP140" s="30" t="s">
        <v>350</v>
      </c>
      <c r="AQ140"/>
      <c r="AR140" s="10"/>
    </row>
    <row r="141" spans="1:44" ht="18" customHeight="1">
      <c r="A141" s="9"/>
      <c r="B141" s="27" t="s">
        <v>127</v>
      </c>
      <c r="C141" s="702">
        <f>C140+I140+O140</f>
        <v>0.60727376756645723</v>
      </c>
      <c r="D141" s="684"/>
      <c r="E141" s="191" t="s">
        <v>351</v>
      </c>
      <c r="F141" s="702">
        <f>F140+L140+R140</f>
        <v>5.2236865134968573</v>
      </c>
      <c r="G141" s="684"/>
      <c r="H141"/>
      <c r="I141"/>
      <c r="J141"/>
      <c r="K141"/>
      <c r="L141"/>
      <c r="M141"/>
      <c r="N141"/>
      <c r="O141"/>
      <c r="P141"/>
      <c r="Q141"/>
      <c r="R141"/>
      <c r="S141"/>
      <c r="T141"/>
      <c r="U141"/>
      <c r="V141" s="10"/>
      <c r="W141" s="9"/>
      <c r="X141" s="27" t="s">
        <v>127</v>
      </c>
      <c r="Y141" s="702">
        <f>Y140+AE140+AK140</f>
        <v>0.60727376756645723</v>
      </c>
      <c r="Z141" s="684"/>
      <c r="AA141" s="191" t="s">
        <v>351</v>
      </c>
      <c r="AB141" s="702">
        <f>AB140+AH140+AN140</f>
        <v>5.2236865134968573</v>
      </c>
      <c r="AC141" s="684"/>
      <c r="AD141"/>
      <c r="AE141"/>
      <c r="AF141"/>
      <c r="AG141"/>
      <c r="AH141"/>
      <c r="AI141"/>
      <c r="AJ141"/>
      <c r="AK141"/>
      <c r="AL141"/>
      <c r="AM141"/>
      <c r="AN141"/>
      <c r="AO141"/>
      <c r="AP141"/>
      <c r="AQ141"/>
      <c r="AR141" s="10"/>
    </row>
    <row r="142" spans="1:44" ht="18" customHeight="1">
      <c r="A142" s="9"/>
      <c r="B142" s="28" t="s">
        <v>127</v>
      </c>
      <c r="C142" s="703">
        <f>SQRT(C141^2+F141^2)</f>
        <v>5.2588670091630298</v>
      </c>
      <c r="D142" s="689"/>
      <c r="E142" s="278" t="s">
        <v>352</v>
      </c>
      <c r="F142" s="704">
        <f>DEGREES(ATAN(F141/C141))</f>
        <v>83.368910025118566</v>
      </c>
      <c r="G142" s="689"/>
      <c r="H142" s="43" t="s">
        <v>333</v>
      </c>
      <c r="I142"/>
      <c r="J142"/>
      <c r="K142"/>
      <c r="L142"/>
      <c r="M142"/>
      <c r="N142" s="120" t="s">
        <v>353</v>
      </c>
      <c r="O142" s="28" t="s">
        <v>127</v>
      </c>
      <c r="P142" s="705">
        <f>F141/C141</f>
        <v>8.6018642537942345</v>
      </c>
      <c r="Q142" s="705"/>
      <c r="R142"/>
      <c r="S142"/>
      <c r="T142"/>
      <c r="U142"/>
      <c r="V142" s="10"/>
      <c r="W142" s="9"/>
      <c r="X142" s="28" t="s">
        <v>127</v>
      </c>
      <c r="Y142" s="703">
        <f>SQRT(Y141^2+AB141^2)</f>
        <v>5.2588670091630298</v>
      </c>
      <c r="Z142" s="689"/>
      <c r="AA142" s="278" t="s">
        <v>352</v>
      </c>
      <c r="AB142" s="704">
        <f>DEGREES(ATAN(AB141/Y141))</f>
        <v>83.368910025118566</v>
      </c>
      <c r="AC142" s="689"/>
      <c r="AD142" s="43" t="s">
        <v>333</v>
      </c>
      <c r="AE142"/>
      <c r="AF142"/>
      <c r="AG142"/>
      <c r="AH142"/>
      <c r="AI142"/>
      <c r="AJ142" s="120" t="s">
        <v>353</v>
      </c>
      <c r="AK142" s="28" t="s">
        <v>127</v>
      </c>
      <c r="AL142" s="705">
        <f>AB141/Y141</f>
        <v>8.6018642537942345</v>
      </c>
      <c r="AM142" s="705"/>
      <c r="AN142"/>
      <c r="AO142"/>
      <c r="AP142"/>
      <c r="AQ142"/>
      <c r="AR142" s="10"/>
    </row>
    <row r="143" spans="1:44" ht="18" customHeight="1">
      <c r="A143" s="159"/>
      <c r="B143" s="296" t="s">
        <v>364</v>
      </c>
      <c r="C143" s="397"/>
      <c r="D143" s="155"/>
      <c r="E143" s="397"/>
      <c r="F143" s="375"/>
      <c r="G143" s="375"/>
      <c r="H143" s="156"/>
      <c r="I143" s="156"/>
      <c r="J143" s="712" t="s">
        <v>1127</v>
      </c>
      <c r="K143" s="713"/>
      <c r="L143" s="713"/>
      <c r="M143" s="713"/>
      <c r="N143" s="713"/>
      <c r="O143" s="713"/>
      <c r="P143" s="713"/>
      <c r="Q143" s="713"/>
      <c r="R143" s="713"/>
      <c r="S143" s="713"/>
      <c r="T143" s="713"/>
      <c r="U143" s="713"/>
      <c r="V143" s="714"/>
      <c r="W143" s="159"/>
      <c r="X143" s="296" t="s">
        <v>364</v>
      </c>
      <c r="Y143" s="397"/>
      <c r="Z143" s="155"/>
      <c r="AA143" s="397"/>
      <c r="AB143" s="375"/>
      <c r="AC143" s="375"/>
      <c r="AD143" s="156"/>
      <c r="AE143" s="156"/>
      <c r="AF143" s="712" t="s">
        <v>1127</v>
      </c>
      <c r="AG143" s="713"/>
      <c r="AH143" s="713"/>
      <c r="AI143" s="713"/>
      <c r="AJ143" s="713"/>
      <c r="AK143" s="713"/>
      <c r="AL143" s="713"/>
      <c r="AM143" s="713"/>
      <c r="AN143" s="713"/>
      <c r="AO143" s="713"/>
      <c r="AP143" s="713"/>
      <c r="AQ143" s="713"/>
      <c r="AR143" s="714"/>
    </row>
    <row r="144" spans="1:44" ht="18" customHeight="1">
      <c r="A144" s="159"/>
      <c r="B144" s="47"/>
      <c r="C144" s="397"/>
      <c r="D144" s="155"/>
      <c r="E144" s="397"/>
      <c r="F144" s="375"/>
      <c r="G144" s="375"/>
      <c r="H144" s="156"/>
      <c r="I144" s="156"/>
      <c r="J144" s="713"/>
      <c r="K144" s="713"/>
      <c r="L144" s="713"/>
      <c r="M144" s="713"/>
      <c r="N144" s="713"/>
      <c r="O144" s="713"/>
      <c r="P144" s="713"/>
      <c r="Q144" s="713"/>
      <c r="R144" s="713"/>
      <c r="S144" s="713"/>
      <c r="T144" s="713"/>
      <c r="U144" s="713"/>
      <c r="V144" s="714"/>
      <c r="W144" s="159"/>
      <c r="X144" s="47"/>
      <c r="Y144" s="397"/>
      <c r="Z144" s="155"/>
      <c r="AA144" s="397"/>
      <c r="AB144" s="375"/>
      <c r="AC144" s="375"/>
      <c r="AD144" s="156"/>
      <c r="AE144" s="156"/>
      <c r="AF144" s="713"/>
      <c r="AG144" s="713"/>
      <c r="AH144" s="713"/>
      <c r="AI144" s="713"/>
      <c r="AJ144" s="713"/>
      <c r="AK144" s="713"/>
      <c r="AL144" s="713"/>
      <c r="AM144" s="713"/>
      <c r="AN144" s="713"/>
      <c r="AO144" s="713"/>
      <c r="AP144" s="713"/>
      <c r="AQ144" s="713"/>
      <c r="AR144" s="714"/>
    </row>
    <row r="145" spans="1:44" ht="18" customHeight="1">
      <c r="A145" s="9"/>
      <c r="B145" s="47"/>
      <c r="C145" s="397"/>
      <c r="D145" s="155"/>
      <c r="E145" s="397"/>
      <c r="F145" s="375"/>
      <c r="G145" s="375"/>
      <c r="H145" s="156"/>
      <c r="I145" s="156"/>
      <c r="J145" s="156"/>
      <c r="K145" s="156"/>
      <c r="L145" s="236" t="s">
        <v>127</v>
      </c>
      <c r="M145" s="706">
        <f>Q80</f>
        <v>132000</v>
      </c>
      <c r="N145" s="706"/>
      <c r="O145" s="229" t="s">
        <v>315</v>
      </c>
      <c r="P145" s="707">
        <f>Q81</f>
        <v>1</v>
      </c>
      <c r="Q145" s="708"/>
      <c r="R145" s="229" t="s">
        <v>315</v>
      </c>
      <c r="S145" s="229">
        <v>3</v>
      </c>
      <c r="T145"/>
      <c r="U145"/>
      <c r="V145" s="10"/>
      <c r="W145" s="9"/>
      <c r="X145" s="47"/>
      <c r="Y145" s="397"/>
      <c r="Z145" s="155"/>
      <c r="AA145" s="397"/>
      <c r="AB145" s="375"/>
      <c r="AC145" s="375"/>
      <c r="AD145" s="156"/>
      <c r="AE145" s="156"/>
      <c r="AF145" s="156"/>
      <c r="AG145" s="156"/>
      <c r="AH145" s="236" t="s">
        <v>127</v>
      </c>
      <c r="AI145" s="706">
        <f>AM80</f>
        <v>132000</v>
      </c>
      <c r="AJ145" s="706"/>
      <c r="AK145" s="229" t="s">
        <v>315</v>
      </c>
      <c r="AL145" s="707">
        <f>AM81</f>
        <v>1</v>
      </c>
      <c r="AM145" s="708"/>
      <c r="AN145" s="229" t="s">
        <v>315</v>
      </c>
      <c r="AO145" s="229">
        <v>3</v>
      </c>
      <c r="AP145"/>
      <c r="AQ145"/>
      <c r="AR145" s="10"/>
    </row>
    <row r="146" spans="1:44" ht="18" customHeight="1">
      <c r="A146" s="9"/>
      <c r="B146" s="156"/>
      <c r="C146" s="397"/>
      <c r="D146" s="375"/>
      <c r="E146" s="397"/>
      <c r="F146" s="375"/>
      <c r="G146" s="375"/>
      <c r="H146" s="156"/>
      <c r="I146" s="156"/>
      <c r="J146" s="156"/>
      <c r="K146" s="156"/>
      <c r="L146" s="157"/>
      <c r="M146" s="688">
        <f>+C142</f>
        <v>5.2588670091630298</v>
      </c>
      <c r="N146" s="688"/>
      <c r="O146" s="28" t="s">
        <v>315</v>
      </c>
      <c r="P146" s="689" t="s">
        <v>355</v>
      </c>
      <c r="Q146" s="689">
        <f>SQRT(3)</f>
        <v>1.7320508075688772</v>
      </c>
      <c r="R146" s="375"/>
      <c r="S146" s="156"/>
      <c r="T146"/>
      <c r="U146"/>
      <c r="V146" s="10"/>
      <c r="W146" s="9"/>
      <c r="X146" s="156"/>
      <c r="Y146" s="397"/>
      <c r="Z146" s="375"/>
      <c r="AA146" s="397"/>
      <c r="AB146" s="375"/>
      <c r="AC146" s="375"/>
      <c r="AD146" s="156"/>
      <c r="AE146" s="156"/>
      <c r="AF146" s="156"/>
      <c r="AG146" s="156"/>
      <c r="AH146" s="157"/>
      <c r="AI146" s="688">
        <f>+Y142</f>
        <v>5.2588670091630298</v>
      </c>
      <c r="AJ146" s="688"/>
      <c r="AK146" s="28" t="s">
        <v>315</v>
      </c>
      <c r="AL146" s="689" t="s">
        <v>355</v>
      </c>
      <c r="AM146" s="689">
        <f>SQRT(3)</f>
        <v>1.7320508075688772</v>
      </c>
      <c r="AN146" s="375"/>
      <c r="AO146" s="156"/>
      <c r="AP146"/>
      <c r="AQ146"/>
      <c r="AR146" s="10"/>
    </row>
    <row r="147" spans="1:44" ht="18" customHeight="1">
      <c r="A147" s="9"/>
      <c r="B147"/>
      <c r="C147"/>
      <c r="D147"/>
      <c r="E147"/>
      <c r="F147"/>
      <c r="G147"/>
      <c r="H147"/>
      <c r="I147"/>
      <c r="J147"/>
      <c r="K147"/>
      <c r="L147" s="102" t="s">
        <v>127</v>
      </c>
      <c r="M147" s="709">
        <f>(M145*P145*S145)/(M146*SQRT(3))</f>
        <v>43475.278268251794</v>
      </c>
      <c r="N147" s="710"/>
      <c r="O147" s="30" t="s">
        <v>8</v>
      </c>
      <c r="P147"/>
      <c r="Q147"/>
      <c r="R147"/>
      <c r="S147"/>
      <c r="T147"/>
      <c r="U147"/>
      <c r="V147" s="10"/>
      <c r="W147" s="9"/>
      <c r="X147"/>
      <c r="Y147"/>
      <c r="Z147"/>
      <c r="AA147"/>
      <c r="AB147"/>
      <c r="AC147"/>
      <c r="AD147"/>
      <c r="AE147"/>
      <c r="AF147"/>
      <c r="AG147"/>
      <c r="AH147" s="102" t="s">
        <v>127</v>
      </c>
      <c r="AI147" s="709">
        <f>(AI145*AL145*AO145)/(AI146*SQRT(3))</f>
        <v>43475.278268251794</v>
      </c>
      <c r="AJ147" s="710"/>
      <c r="AK147" s="30" t="s">
        <v>8</v>
      </c>
      <c r="AL147"/>
      <c r="AM147"/>
      <c r="AN147"/>
      <c r="AO147"/>
      <c r="AP147"/>
      <c r="AQ147"/>
      <c r="AR147" s="10"/>
    </row>
    <row r="148" spans="1:44" ht="18" customHeight="1">
      <c r="A148" s="9"/>
      <c r="B148"/>
      <c r="C148"/>
      <c r="D148"/>
      <c r="E148"/>
      <c r="F148"/>
      <c r="G148"/>
      <c r="H148"/>
      <c r="I148"/>
      <c r="J148"/>
      <c r="K148"/>
      <c r="L148" s="102"/>
      <c r="M148" s="418"/>
      <c r="N148" s="418"/>
      <c r="P148"/>
      <c r="Q148"/>
      <c r="R148"/>
      <c r="S148"/>
      <c r="T148"/>
      <c r="U148"/>
      <c r="V148" s="10"/>
      <c r="W148" s="9"/>
      <c r="X148"/>
      <c r="Y148"/>
      <c r="Z148"/>
      <c r="AA148"/>
      <c r="AB148"/>
      <c r="AC148"/>
      <c r="AD148"/>
      <c r="AE148"/>
      <c r="AF148"/>
      <c r="AG148"/>
      <c r="AH148" s="102"/>
      <c r="AI148" s="418"/>
      <c r="AJ148" s="418"/>
      <c r="AL148"/>
      <c r="AM148"/>
      <c r="AN148"/>
      <c r="AO148"/>
      <c r="AP148"/>
      <c r="AQ148"/>
      <c r="AR148" s="10"/>
    </row>
    <row r="149" spans="1:44" ht="18" customHeight="1">
      <c r="A149" s="9"/>
      <c r="B149"/>
      <c r="C149"/>
      <c r="D149"/>
      <c r="E149"/>
      <c r="F149"/>
      <c r="G149"/>
      <c r="H149"/>
      <c r="I149"/>
      <c r="J149"/>
      <c r="K149"/>
      <c r="L149" s="102"/>
      <c r="M149" s="418"/>
      <c r="N149" s="418"/>
      <c r="P149"/>
      <c r="Q149"/>
      <c r="R149"/>
      <c r="S149"/>
      <c r="T149"/>
      <c r="U149"/>
      <c r="V149" s="10"/>
      <c r="W149" s="9"/>
      <c r="X149"/>
      <c r="Y149"/>
      <c r="Z149"/>
      <c r="AA149"/>
      <c r="AB149"/>
      <c r="AC149"/>
      <c r="AD149"/>
      <c r="AE149"/>
      <c r="AF149"/>
      <c r="AG149"/>
      <c r="AH149" s="102"/>
      <c r="AI149" s="418"/>
      <c r="AJ149" s="418"/>
      <c r="AL149"/>
      <c r="AM149"/>
      <c r="AN149"/>
      <c r="AO149"/>
      <c r="AP149"/>
      <c r="AQ149"/>
      <c r="AR149" s="10"/>
    </row>
    <row r="150" spans="1:44" ht="18" customHeight="1">
      <c r="A150" s="345"/>
      <c r="B150" s="346"/>
      <c r="C150" s="346"/>
      <c r="D150" s="346"/>
      <c r="E150" s="346"/>
      <c r="F150" s="346"/>
      <c r="G150" s="346"/>
      <c r="H150" s="346"/>
      <c r="I150" s="346"/>
      <c r="J150" s="346"/>
      <c r="K150" s="346"/>
      <c r="L150" s="471"/>
      <c r="M150" s="408"/>
      <c r="N150" s="408"/>
      <c r="O150" s="207"/>
      <c r="P150" s="346"/>
      <c r="Q150" s="346"/>
      <c r="R150" s="346"/>
      <c r="S150" s="346"/>
      <c r="T150" s="346"/>
      <c r="U150" s="346"/>
      <c r="V150" s="347"/>
      <c r="W150" s="345"/>
      <c r="X150" s="346"/>
      <c r="Y150" s="346"/>
      <c r="Z150" s="346"/>
      <c r="AA150" s="346"/>
      <c r="AB150" s="346"/>
      <c r="AC150" s="346"/>
      <c r="AD150" s="346"/>
      <c r="AE150" s="346"/>
      <c r="AF150" s="346"/>
      <c r="AG150" s="346"/>
      <c r="AH150" s="471"/>
      <c r="AI150" s="408"/>
      <c r="AJ150" s="408"/>
      <c r="AK150" s="207"/>
      <c r="AL150" s="346"/>
      <c r="AM150" s="346"/>
      <c r="AN150" s="346"/>
      <c r="AO150" s="346"/>
      <c r="AP150" s="346"/>
      <c r="AQ150" s="346"/>
      <c r="AR150" s="347"/>
    </row>
    <row r="151" spans="1:44" ht="18" customHeight="1">
      <c r="A151" s="382"/>
      <c r="B151" s="20"/>
      <c r="C151" s="20"/>
      <c r="D151" s="20"/>
      <c r="E151" s="20"/>
      <c r="F151" s="20"/>
      <c r="G151" s="20"/>
      <c r="H151" s="20"/>
      <c r="I151" s="20"/>
      <c r="J151" s="20"/>
      <c r="K151" s="20"/>
      <c r="L151" s="20"/>
      <c r="M151" s="20"/>
      <c r="N151" s="20"/>
      <c r="O151" s="20"/>
      <c r="P151" s="20"/>
      <c r="Q151" s="21"/>
      <c r="R151" s="22"/>
      <c r="S151" s="23"/>
      <c r="T151" s="20"/>
      <c r="U151" s="20"/>
      <c r="V151" s="134"/>
      <c r="W151" s="382"/>
      <c r="X151" s="20"/>
      <c r="Y151" s="20"/>
      <c r="Z151" s="20"/>
      <c r="AA151" s="20"/>
      <c r="AB151" s="20"/>
      <c r="AC151" s="20"/>
      <c r="AD151" s="20"/>
      <c r="AE151" s="20"/>
      <c r="AF151" s="20"/>
      <c r="AG151" s="20"/>
      <c r="AH151" s="20"/>
      <c r="AI151" s="20"/>
      <c r="AJ151" s="20"/>
      <c r="AK151" s="20"/>
      <c r="AL151" s="20"/>
      <c r="AM151" s="21"/>
      <c r="AN151" s="22"/>
      <c r="AO151" s="23"/>
      <c r="AP151" s="20"/>
      <c r="AQ151" s="20"/>
      <c r="AR151" s="134"/>
    </row>
    <row r="152" spans="1:44" ht="18" customHeight="1">
      <c r="A152" s="442"/>
      <c r="B152" s="384"/>
      <c r="C152" s="384"/>
      <c r="D152" s="384"/>
      <c r="E152" s="384"/>
      <c r="F152" s="384"/>
      <c r="G152" s="384"/>
      <c r="H152" s="384"/>
      <c r="I152" s="384"/>
      <c r="J152" s="384"/>
      <c r="K152" s="384"/>
      <c r="L152" s="457"/>
      <c r="M152" s="472"/>
      <c r="N152" s="472"/>
      <c r="O152" s="227"/>
      <c r="P152" s="384"/>
      <c r="Q152" s="384"/>
      <c r="R152" s="384"/>
      <c r="S152" s="384"/>
      <c r="T152" s="384"/>
      <c r="U152" s="384"/>
      <c r="V152" s="395"/>
      <c r="W152" s="442"/>
      <c r="X152" s="384"/>
      <c r="Y152" s="384"/>
      <c r="Z152" s="384"/>
      <c r="AA152" s="384"/>
      <c r="AB152" s="384"/>
      <c r="AC152" s="384"/>
      <c r="AD152" s="384"/>
      <c r="AE152" s="384"/>
      <c r="AF152" s="384"/>
      <c r="AG152" s="384"/>
      <c r="AH152" s="457"/>
      <c r="AI152" s="472"/>
      <c r="AJ152" s="472"/>
      <c r="AK152" s="227"/>
      <c r="AL152" s="384"/>
      <c r="AM152" s="384"/>
      <c r="AN152" s="384"/>
      <c r="AO152" s="384"/>
      <c r="AP152" s="384"/>
      <c r="AQ152" s="384"/>
      <c r="AR152" s="395"/>
    </row>
    <row r="153" spans="1:44" ht="18" customHeight="1">
      <c r="A153" s="248" t="s">
        <v>365</v>
      </c>
      <c r="B153"/>
      <c r="C153" s="155"/>
      <c r="D153" s="397"/>
      <c r="E153" s="397"/>
      <c r="F153" s="397"/>
      <c r="G153" s="375"/>
      <c r="H153" s="375"/>
      <c r="I153" s="156"/>
      <c r="J153" s="156"/>
      <c r="K153" s="156"/>
      <c r="L153" s="156"/>
      <c r="M153" s="410"/>
      <c r="N153" s="411"/>
      <c r="O153" s="412"/>
      <c r="P153" s="413"/>
      <c r="Q153" s="157"/>
      <c r="R153" s="402"/>
      <c r="S153" s="414"/>
      <c r="T153"/>
      <c r="U153"/>
      <c r="V153" s="10"/>
      <c r="W153" s="248" t="s">
        <v>365</v>
      </c>
      <c r="X153"/>
      <c r="Y153" s="155"/>
      <c r="Z153" s="397"/>
      <c r="AA153" s="397"/>
      <c r="AB153" s="397"/>
      <c r="AC153" s="375"/>
      <c r="AD153" s="375"/>
      <c r="AE153" s="156"/>
      <c r="AF153" s="156"/>
      <c r="AG153" s="156"/>
      <c r="AH153" s="156"/>
      <c r="AI153" s="410"/>
      <c r="AJ153" s="411"/>
      <c r="AK153" s="412"/>
      <c r="AL153" s="413"/>
      <c r="AM153" s="157"/>
      <c r="AN153" s="402"/>
      <c r="AO153" s="414"/>
      <c r="AP153"/>
      <c r="AQ153"/>
      <c r="AR153" s="10"/>
    </row>
    <row r="154" spans="1:44" ht="18" customHeight="1">
      <c r="A154" s="396"/>
      <c r="B154" s="47" t="s">
        <v>357</v>
      </c>
      <c r="C154" s="156"/>
      <c r="D154" s="397"/>
      <c r="E154"/>
      <c r="F154" s="376"/>
      <c r="G154" s="102" t="s">
        <v>127</v>
      </c>
      <c r="H154" s="28">
        <v>2</v>
      </c>
      <c r="I154" s="28" t="s">
        <v>315</v>
      </c>
      <c r="J154" s="278" t="s">
        <v>318</v>
      </c>
      <c r="K154" s="28" t="s">
        <v>315</v>
      </c>
      <c r="L154" s="28" t="s">
        <v>319</v>
      </c>
      <c r="M154" s="28" t="s">
        <v>315</v>
      </c>
      <c r="N154" s="47" t="s">
        <v>320</v>
      </c>
      <c r="O154" s="376"/>
      <c r="P154" s="163"/>
      <c r="Q154" s="398"/>
      <c r="R154"/>
      <c r="S154" s="376"/>
      <c r="T154"/>
      <c r="U154"/>
      <c r="V154" s="10"/>
      <c r="W154" s="396"/>
      <c r="X154" s="47" t="s">
        <v>357</v>
      </c>
      <c r="Y154" s="156"/>
      <c r="Z154" s="397"/>
      <c r="AA154"/>
      <c r="AB154" s="376"/>
      <c r="AC154" s="102" t="s">
        <v>127</v>
      </c>
      <c r="AD154" s="28">
        <v>2</v>
      </c>
      <c r="AE154" s="28" t="s">
        <v>315</v>
      </c>
      <c r="AF154" s="278" t="s">
        <v>318</v>
      </c>
      <c r="AG154" s="28" t="s">
        <v>315</v>
      </c>
      <c r="AH154" s="28" t="s">
        <v>319</v>
      </c>
      <c r="AI154" s="28" t="s">
        <v>315</v>
      </c>
      <c r="AJ154" s="47" t="s">
        <v>320</v>
      </c>
      <c r="AK154" s="376"/>
      <c r="AL154" s="163"/>
      <c r="AM154" s="398"/>
      <c r="AN154"/>
      <c r="AO154" s="376"/>
      <c r="AP154"/>
      <c r="AQ154"/>
      <c r="AR154" s="10"/>
    </row>
    <row r="155" spans="1:44" ht="18" customHeight="1">
      <c r="A155" s="396"/>
      <c r="B155" s="47" t="s">
        <v>366</v>
      </c>
      <c r="C155" s="156"/>
      <c r="D155" s="375"/>
      <c r="E155" s="376"/>
      <c r="F155" s="376"/>
      <c r="G155"/>
      <c r="H155" s="376"/>
      <c r="I155" s="152"/>
      <c r="J155" s="152"/>
      <c r="K155" s="152"/>
      <c r="L155" s="152"/>
      <c r="M155"/>
      <c r="N155" s="376"/>
      <c r="O155" s="28" t="s">
        <v>322</v>
      </c>
      <c r="P155" s="102" t="s">
        <v>127</v>
      </c>
      <c r="Q155" s="692">
        <f>P142</f>
        <v>8.6018642537942345</v>
      </c>
      <c r="R155" s="692"/>
      <c r="S155" s="372"/>
      <c r="T155"/>
      <c r="U155"/>
      <c r="V155" s="10"/>
      <c r="W155" s="396"/>
      <c r="X155" s="47" t="s">
        <v>366</v>
      </c>
      <c r="Y155" s="156"/>
      <c r="Z155" s="375"/>
      <c r="AA155" s="376"/>
      <c r="AB155" s="376"/>
      <c r="AC155"/>
      <c r="AD155" s="376"/>
      <c r="AE155" s="152"/>
      <c r="AF155" s="152"/>
      <c r="AG155" s="152"/>
      <c r="AH155" s="152"/>
      <c r="AI155"/>
      <c r="AJ155" s="376"/>
      <c r="AK155" s="28" t="s">
        <v>322</v>
      </c>
      <c r="AL155" s="102" t="s">
        <v>127</v>
      </c>
      <c r="AM155" s="692">
        <f>AL142</f>
        <v>8.6018642537942345</v>
      </c>
      <c r="AN155" s="692"/>
      <c r="AO155" s="372"/>
      <c r="AP155"/>
      <c r="AQ155"/>
      <c r="AR155" s="10"/>
    </row>
    <row r="156" spans="1:44" ht="18" customHeight="1">
      <c r="A156" s="396"/>
      <c r="B156" s="47" t="s">
        <v>263</v>
      </c>
      <c r="C156" s="156"/>
      <c r="D156" s="397"/>
      <c r="E156" s="7"/>
      <c r="F156" s="7"/>
      <c r="G156"/>
      <c r="H156" s="376"/>
      <c r="I156" s="152"/>
      <c r="J156" s="152"/>
      <c r="K156" s="152"/>
      <c r="L156" s="152"/>
      <c r="M156"/>
      <c r="N156" s="376"/>
      <c r="O156" s="28" t="s">
        <v>319</v>
      </c>
      <c r="P156" s="102" t="s">
        <v>127</v>
      </c>
      <c r="Q156" s="715">
        <f>Q51</f>
        <v>50</v>
      </c>
      <c r="R156" s="716"/>
      <c r="S156" s="47" t="s">
        <v>264</v>
      </c>
      <c r="T156"/>
      <c r="U156"/>
      <c r="V156" s="10"/>
      <c r="W156" s="396"/>
      <c r="X156" s="47" t="s">
        <v>263</v>
      </c>
      <c r="Y156" s="156"/>
      <c r="Z156" s="397"/>
      <c r="AA156" s="7"/>
      <c r="AB156" s="7"/>
      <c r="AC156"/>
      <c r="AD156" s="376"/>
      <c r="AE156" s="152"/>
      <c r="AF156" s="152"/>
      <c r="AG156" s="152"/>
      <c r="AH156" s="152"/>
      <c r="AI156"/>
      <c r="AJ156" s="376"/>
      <c r="AK156" s="28" t="s">
        <v>319</v>
      </c>
      <c r="AL156" s="102" t="s">
        <v>127</v>
      </c>
      <c r="AM156" s="715">
        <f>AM51</f>
        <v>50</v>
      </c>
      <c r="AN156" s="716"/>
      <c r="AO156" s="47" t="s">
        <v>264</v>
      </c>
      <c r="AP156"/>
      <c r="AQ156"/>
      <c r="AR156" s="10"/>
    </row>
    <row r="157" spans="1:44" ht="18" customHeight="1">
      <c r="A157" s="396"/>
      <c r="B157" s="249" t="s">
        <v>340</v>
      </c>
      <c r="C157" s="156"/>
      <c r="D157" s="397"/>
      <c r="E157"/>
      <c r="F157" s="123"/>
      <c r="G157" s="28" t="s">
        <v>127</v>
      </c>
      <c r="H157" s="28" t="s">
        <v>341</v>
      </c>
      <c r="I157" s="399" t="s">
        <v>342</v>
      </c>
      <c r="J157" s="28">
        <v>2</v>
      </c>
      <c r="K157" s="28" t="s">
        <v>315</v>
      </c>
      <c r="L157" s="278" t="s">
        <v>318</v>
      </c>
      <c r="M157" s="400" t="s">
        <v>315</v>
      </c>
      <c r="N157" s="218" t="s">
        <v>319</v>
      </c>
      <c r="O157" s="376"/>
      <c r="P157" s="102" t="s">
        <v>127</v>
      </c>
      <c r="Q157" s="696">
        <f>(Q155*1000)/(J157*(22/7)*Q156)</f>
        <v>27.369568080254382</v>
      </c>
      <c r="R157" s="697"/>
      <c r="S157" s="47" t="s">
        <v>343</v>
      </c>
      <c r="T157"/>
      <c r="U157"/>
      <c r="V157" s="10"/>
      <c r="W157" s="396"/>
      <c r="X157" s="249" t="s">
        <v>340</v>
      </c>
      <c r="Y157" s="156"/>
      <c r="Z157" s="397"/>
      <c r="AA157"/>
      <c r="AB157" s="123"/>
      <c r="AC157" s="28" t="s">
        <v>127</v>
      </c>
      <c r="AD157" s="28" t="s">
        <v>341</v>
      </c>
      <c r="AE157" s="399" t="s">
        <v>342</v>
      </c>
      <c r="AF157" s="28">
        <v>2</v>
      </c>
      <c r="AG157" s="28" t="s">
        <v>315</v>
      </c>
      <c r="AH157" s="278" t="s">
        <v>318</v>
      </c>
      <c r="AI157" s="400" t="s">
        <v>315</v>
      </c>
      <c r="AJ157" s="218" t="s">
        <v>319</v>
      </c>
      <c r="AK157" s="376"/>
      <c r="AL157" s="102" t="s">
        <v>127</v>
      </c>
      <c r="AM157" s="696">
        <f>(AM155*1000)/(AF157*(22/7)*AM156)</f>
        <v>27.369568080254382</v>
      </c>
      <c r="AN157" s="697"/>
      <c r="AO157" s="47" t="s">
        <v>343</v>
      </c>
      <c r="AP157"/>
      <c r="AQ157"/>
      <c r="AR157" s="10"/>
    </row>
    <row r="158" spans="1:44" ht="18" customHeight="1">
      <c r="A158" s="396"/>
      <c r="B158" s="249"/>
      <c r="C158" s="156"/>
      <c r="D158" s="397"/>
      <c r="E158"/>
      <c r="F158" s="123"/>
      <c r="G158" s="28"/>
      <c r="H158" s="28"/>
      <c r="I158" s="399"/>
      <c r="J158" s="28"/>
      <c r="K158" s="28"/>
      <c r="L158" s="278"/>
      <c r="M158" s="400"/>
      <c r="N158" s="218"/>
      <c r="O158" s="376"/>
      <c r="P158" s="102"/>
      <c r="Q158" s="218"/>
      <c r="R158" s="469"/>
      <c r="S158" s="47"/>
      <c r="T158"/>
      <c r="U158"/>
      <c r="V158" s="10"/>
      <c r="W158" s="396"/>
      <c r="X158" s="249"/>
      <c r="Y158" s="156"/>
      <c r="Z158" s="397"/>
      <c r="AA158"/>
      <c r="AB158" s="123"/>
      <c r="AC158" s="28"/>
      <c r="AD158" s="28"/>
      <c r="AE158" s="399"/>
      <c r="AF158" s="28"/>
      <c r="AG158" s="28"/>
      <c r="AH158" s="278"/>
      <c r="AI158" s="400"/>
      <c r="AJ158" s="218"/>
      <c r="AK158" s="376"/>
      <c r="AL158" s="102"/>
      <c r="AM158" s="218"/>
      <c r="AN158" s="469"/>
      <c r="AO158" s="47"/>
      <c r="AP158"/>
      <c r="AQ158"/>
      <c r="AR158" s="10"/>
    </row>
    <row r="159" spans="1:44" ht="18" customHeight="1">
      <c r="A159" s="248" t="s">
        <v>367</v>
      </c>
      <c r="B159"/>
      <c r="C159"/>
      <c r="D159"/>
      <c r="E159"/>
      <c r="F159"/>
      <c r="G159"/>
      <c r="H159"/>
      <c r="I159"/>
      <c r="J159"/>
      <c r="K159"/>
      <c r="L159"/>
      <c r="M159"/>
      <c r="N159"/>
      <c r="O159"/>
      <c r="P159"/>
      <c r="Q159"/>
      <c r="R159"/>
      <c r="S159"/>
      <c r="T159"/>
      <c r="U159"/>
      <c r="V159" s="10"/>
      <c r="W159" s="248" t="s">
        <v>367</v>
      </c>
      <c r="X159"/>
      <c r="Y159"/>
      <c r="Z159"/>
      <c r="AA159"/>
      <c r="AB159"/>
      <c r="AC159"/>
      <c r="AD159"/>
      <c r="AE159"/>
      <c r="AF159"/>
      <c r="AG159"/>
      <c r="AH159"/>
      <c r="AI159"/>
      <c r="AJ159"/>
      <c r="AK159"/>
      <c r="AL159"/>
      <c r="AM159"/>
      <c r="AN159"/>
      <c r="AO159"/>
      <c r="AP159"/>
      <c r="AQ159"/>
      <c r="AR159" s="10"/>
    </row>
    <row r="160" spans="1:44" ht="18" customHeight="1">
      <c r="A160" s="96" t="s">
        <v>345</v>
      </c>
      <c r="B160" s="156"/>
      <c r="C160" s="155"/>
      <c r="D160" s="155"/>
      <c r="E160" s="419" t="s">
        <v>368</v>
      </c>
      <c r="F160" s="28" t="s">
        <v>127</v>
      </c>
      <c r="G160" s="155"/>
      <c r="H160" s="28" t="s">
        <v>310</v>
      </c>
      <c r="I160" s="102" t="s">
        <v>347</v>
      </c>
      <c r="J160" s="30" t="s">
        <v>369</v>
      </c>
      <c r="K160" s="27" t="s">
        <v>315</v>
      </c>
      <c r="L160" s="14" t="s">
        <v>370</v>
      </c>
      <c r="M160" s="155"/>
      <c r="N160" s="155"/>
      <c r="O160" s="155"/>
      <c r="P160" s="155"/>
      <c r="Q160" s="402"/>
      <c r="R160" s="155"/>
      <c r="S160" s="156"/>
      <c r="T160"/>
      <c r="U160"/>
      <c r="V160" s="10"/>
      <c r="W160" s="96" t="s">
        <v>345</v>
      </c>
      <c r="X160" s="156"/>
      <c r="Y160" s="155"/>
      <c r="Z160" s="155"/>
      <c r="AA160" s="419" t="s">
        <v>368</v>
      </c>
      <c r="AB160" s="28" t="s">
        <v>127</v>
      </c>
      <c r="AC160" s="155"/>
      <c r="AD160" s="28" t="s">
        <v>310</v>
      </c>
      <c r="AE160" s="102" t="s">
        <v>347</v>
      </c>
      <c r="AF160" s="30" t="s">
        <v>369</v>
      </c>
      <c r="AG160" s="27" t="s">
        <v>315</v>
      </c>
      <c r="AH160" s="14" t="s">
        <v>370</v>
      </c>
      <c r="AI160" s="155"/>
      <c r="AJ160" s="155"/>
      <c r="AK160" s="155"/>
      <c r="AL160" s="155"/>
      <c r="AM160" s="402"/>
      <c r="AN160" s="155"/>
      <c r="AO160" s="156"/>
      <c r="AP160"/>
      <c r="AQ160"/>
      <c r="AR160" s="10"/>
    </row>
    <row r="161" spans="1:44" ht="18" customHeight="1">
      <c r="A161" s="370"/>
      <c r="B161" s="155"/>
      <c r="C161" s="155"/>
      <c r="D161" s="155"/>
      <c r="E161" s="155"/>
      <c r="F161" s="250" t="s">
        <v>348</v>
      </c>
      <c r="G161" s="688">
        <f>N97</f>
        <v>0.10138858918881909</v>
      </c>
      <c r="H161" s="689"/>
      <c r="I161" s="102" t="s">
        <v>295</v>
      </c>
      <c r="J161" s="688">
        <f>Q97</f>
        <v>1.5208288378322858</v>
      </c>
      <c r="K161" s="689"/>
      <c r="L161" s="28" t="s">
        <v>371</v>
      </c>
      <c r="M161" s="27">
        <v>0.8</v>
      </c>
      <c r="N161" s="27" t="s">
        <v>372</v>
      </c>
      <c r="O161" s="711">
        <f>L73</f>
        <v>3.8454000000000002E-2</v>
      </c>
      <c r="P161" s="689"/>
      <c r="Q161" s="102" t="s">
        <v>295</v>
      </c>
      <c r="R161" s="711">
        <f>O73</f>
        <v>0.27839999999999998</v>
      </c>
      <c r="S161" s="689"/>
      <c r="T161" s="14" t="s">
        <v>350</v>
      </c>
      <c r="U161"/>
      <c r="V161" s="10"/>
      <c r="W161" s="370"/>
      <c r="X161" s="155"/>
      <c r="Y161" s="155"/>
      <c r="Z161" s="155"/>
      <c r="AA161" s="155"/>
      <c r="AB161" s="250" t="s">
        <v>348</v>
      </c>
      <c r="AC161" s="688">
        <f>AJ97</f>
        <v>0.10138858918881909</v>
      </c>
      <c r="AD161" s="689"/>
      <c r="AE161" s="102" t="s">
        <v>295</v>
      </c>
      <c r="AF161" s="688">
        <f>AM97</f>
        <v>1.5208288378322858</v>
      </c>
      <c r="AG161" s="689"/>
      <c r="AH161" s="28" t="s">
        <v>371</v>
      </c>
      <c r="AI161" s="27">
        <v>0.8</v>
      </c>
      <c r="AJ161" s="27" t="s">
        <v>372</v>
      </c>
      <c r="AK161" s="711">
        <f>AH73</f>
        <v>3.8454000000000002E-2</v>
      </c>
      <c r="AL161" s="689"/>
      <c r="AM161" s="102" t="s">
        <v>295</v>
      </c>
      <c r="AN161" s="711">
        <f>AK73</f>
        <v>0.27839999999999998</v>
      </c>
      <c r="AO161" s="689"/>
      <c r="AP161" s="14" t="s">
        <v>350</v>
      </c>
      <c r="AQ161"/>
      <c r="AR161" s="10"/>
    </row>
    <row r="162" spans="1:44" ht="18" customHeight="1">
      <c r="A162" s="159"/>
      <c r="B162" s="155"/>
      <c r="C162" s="155"/>
      <c r="D162" s="155"/>
      <c r="E162" s="155"/>
      <c r="F162" s="28" t="s">
        <v>127</v>
      </c>
      <c r="G162" s="688">
        <f>G161+(0.8*O161)</f>
        <v>0.13215178918881909</v>
      </c>
      <c r="H162" s="689"/>
      <c r="I162" s="102" t="s">
        <v>351</v>
      </c>
      <c r="J162" s="688">
        <f>J161+(0.8*R161)</f>
        <v>1.7435488378322859</v>
      </c>
      <c r="K162" s="689"/>
      <c r="L162" s="43" t="s">
        <v>333</v>
      </c>
      <c r="M162" s="155"/>
      <c r="N162" s="155"/>
      <c r="O162" s="155"/>
      <c r="P162" s="155"/>
      <c r="Q162" s="155"/>
      <c r="R162" s="155"/>
      <c r="S162" s="156"/>
      <c r="T162"/>
      <c r="U162"/>
      <c r="V162" s="10"/>
      <c r="W162" s="159"/>
      <c r="X162" s="155"/>
      <c r="Y162" s="155"/>
      <c r="Z162" s="155"/>
      <c r="AA162" s="155"/>
      <c r="AB162" s="28" t="s">
        <v>127</v>
      </c>
      <c r="AC162" s="688">
        <f>AC161+(0.8*AK161)</f>
        <v>0.13215178918881909</v>
      </c>
      <c r="AD162" s="689"/>
      <c r="AE162" s="102" t="s">
        <v>351</v>
      </c>
      <c r="AF162" s="688">
        <f>AF161+(0.8*AN161)</f>
        <v>1.7435488378322859</v>
      </c>
      <c r="AG162" s="689"/>
      <c r="AH162" s="43" t="s">
        <v>333</v>
      </c>
      <c r="AI162" s="155"/>
      <c r="AJ162" s="155"/>
      <c r="AK162" s="155"/>
      <c r="AL162" s="155"/>
      <c r="AM162" s="155"/>
      <c r="AN162" s="155"/>
      <c r="AO162" s="156"/>
      <c r="AP162"/>
      <c r="AQ162"/>
      <c r="AR162" s="10"/>
    </row>
    <row r="163" spans="1:44" ht="18" customHeight="1">
      <c r="A163" s="159"/>
      <c r="B163" s="155"/>
      <c r="C163" s="155"/>
      <c r="D163" s="155"/>
      <c r="E163" s="155"/>
      <c r="F163" s="28" t="s">
        <v>127</v>
      </c>
      <c r="G163" s="703">
        <f>SQRT(G162^2+J162^2)</f>
        <v>1.7485498692608459</v>
      </c>
      <c r="H163" s="689"/>
      <c r="I163" s="278" t="s">
        <v>352</v>
      </c>
      <c r="J163" s="704">
        <f>DEGREES(ATAN(J162/G162))</f>
        <v>85.665570180505625</v>
      </c>
      <c r="K163" s="689"/>
      <c r="L163" s="43" t="s">
        <v>333</v>
      </c>
      <c r="M163" s="155" t="s">
        <v>1128</v>
      </c>
      <c r="N163" s="155"/>
      <c r="O163" s="155"/>
      <c r="P163" s="155"/>
      <c r="Q163" s="155"/>
      <c r="R163" s="155"/>
      <c r="S163" s="156"/>
      <c r="T163"/>
      <c r="U163"/>
      <c r="V163" s="10"/>
      <c r="W163" s="159"/>
      <c r="X163" s="155"/>
      <c r="Y163" s="155"/>
      <c r="Z163" s="155"/>
      <c r="AA163" s="155"/>
      <c r="AB163" s="28" t="s">
        <v>127</v>
      </c>
      <c r="AC163" s="703">
        <f>SQRT(AC162^2+AF162^2)</f>
        <v>1.7485498692608459</v>
      </c>
      <c r="AD163" s="689"/>
      <c r="AE163" s="278" t="s">
        <v>352</v>
      </c>
      <c r="AF163" s="704">
        <f>DEGREES(ATAN(AF162/AC162))</f>
        <v>85.665570180505625</v>
      </c>
      <c r="AG163" s="689"/>
      <c r="AH163" s="43" t="s">
        <v>333</v>
      </c>
      <c r="AI163" s="155" t="s">
        <v>1128</v>
      </c>
      <c r="AJ163" s="155"/>
      <c r="AK163" s="155"/>
      <c r="AL163" s="155"/>
      <c r="AM163" s="155"/>
      <c r="AN163" s="155"/>
      <c r="AO163" s="156"/>
      <c r="AP163"/>
      <c r="AQ163"/>
      <c r="AR163" s="10"/>
    </row>
    <row r="164" spans="1:44" ht="18" customHeight="1">
      <c r="A164" s="159"/>
      <c r="B164" s="155"/>
      <c r="C164" s="155"/>
      <c r="D164" s="155"/>
      <c r="E164" s="120" t="s">
        <v>353</v>
      </c>
      <c r="F164" s="28" t="s">
        <v>127</v>
      </c>
      <c r="G164" s="705">
        <f>J162/G162</f>
        <v>13.193531835888315</v>
      </c>
      <c r="H164" s="689"/>
      <c r="I164" s="155"/>
      <c r="J164" s="155"/>
      <c r="K164" s="124"/>
      <c r="L164" s="121"/>
      <c r="M164" s="406"/>
      <c r="N164" s="372"/>
      <c r="O164" s="376"/>
      <c r="P164" s="153"/>
      <c r="Q164" s="407"/>
      <c r="R164" s="375"/>
      <c r="S164" s="156"/>
      <c r="T164"/>
      <c r="U164"/>
      <c r="V164" s="10"/>
      <c r="W164" s="159"/>
      <c r="X164" s="155"/>
      <c r="Y164" s="155"/>
      <c r="Z164" s="155"/>
      <c r="AA164" s="120" t="s">
        <v>353</v>
      </c>
      <c r="AB164" s="28" t="s">
        <v>127</v>
      </c>
      <c r="AC164" s="705">
        <f>AF162/AC162</f>
        <v>13.193531835888315</v>
      </c>
      <c r="AD164" s="689"/>
      <c r="AE164" s="155"/>
      <c r="AF164" s="155"/>
      <c r="AG164" s="124"/>
      <c r="AH164" s="121"/>
      <c r="AI164" s="406"/>
      <c r="AJ164" s="372"/>
      <c r="AK164" s="376"/>
      <c r="AL164" s="153"/>
      <c r="AM164" s="407"/>
      <c r="AN164" s="375"/>
      <c r="AO164" s="156"/>
      <c r="AP164"/>
      <c r="AQ164"/>
      <c r="AR164" s="10"/>
    </row>
    <row r="165" spans="1:44" ht="18" customHeight="1">
      <c r="A165" s="159"/>
      <c r="B165" s="296" t="s">
        <v>373</v>
      </c>
      <c r="C165" s="397"/>
      <c r="D165" s="155"/>
      <c r="E165" s="397"/>
      <c r="F165" s="375"/>
      <c r="G165" s="375"/>
      <c r="H165" s="156"/>
      <c r="I165" s="156"/>
      <c r="J165" s="712" t="s">
        <v>1129</v>
      </c>
      <c r="K165" s="713"/>
      <c r="L165" s="713"/>
      <c r="M165" s="713"/>
      <c r="N165" s="713"/>
      <c r="O165" s="713"/>
      <c r="P165" s="713"/>
      <c r="Q165" s="713"/>
      <c r="R165" s="713"/>
      <c r="S165" s="713"/>
      <c r="T165" s="713"/>
      <c r="U165" s="713"/>
      <c r="V165" s="714"/>
      <c r="W165" s="159"/>
      <c r="X165" s="296" t="s">
        <v>373</v>
      </c>
      <c r="Y165" s="397"/>
      <c r="Z165" s="155"/>
      <c r="AA165" s="397"/>
      <c r="AB165" s="375"/>
      <c r="AC165" s="375"/>
      <c r="AD165" s="156"/>
      <c r="AE165" s="156"/>
      <c r="AF165" s="712" t="s">
        <v>1129</v>
      </c>
      <c r="AG165" s="713"/>
      <c r="AH165" s="713"/>
      <c r="AI165" s="713"/>
      <c r="AJ165" s="713"/>
      <c r="AK165" s="713"/>
      <c r="AL165" s="713"/>
      <c r="AM165" s="713"/>
      <c r="AN165" s="713"/>
      <c r="AO165" s="713"/>
      <c r="AP165" s="713"/>
      <c r="AQ165" s="713"/>
      <c r="AR165" s="714"/>
    </row>
    <row r="166" spans="1:44" ht="18" customHeight="1">
      <c r="A166" s="159"/>
      <c r="B166" s="47"/>
      <c r="C166" s="397"/>
      <c r="D166" s="155"/>
      <c r="E166" s="397"/>
      <c r="F166" s="375"/>
      <c r="G166" s="375"/>
      <c r="H166" s="156"/>
      <c r="I166" s="156"/>
      <c r="J166" s="713"/>
      <c r="K166" s="713"/>
      <c r="L166" s="713"/>
      <c r="M166" s="713"/>
      <c r="N166" s="713"/>
      <c r="O166" s="713"/>
      <c r="P166" s="713"/>
      <c r="Q166" s="713"/>
      <c r="R166" s="713"/>
      <c r="S166" s="713"/>
      <c r="T166" s="713"/>
      <c r="U166" s="713"/>
      <c r="V166" s="714"/>
      <c r="W166" s="159"/>
      <c r="X166" s="47"/>
      <c r="Y166" s="397"/>
      <c r="Z166" s="155"/>
      <c r="AA166" s="397"/>
      <c r="AB166" s="375"/>
      <c r="AC166" s="375"/>
      <c r="AD166" s="156"/>
      <c r="AE166" s="156"/>
      <c r="AF166" s="713"/>
      <c r="AG166" s="713"/>
      <c r="AH166" s="713"/>
      <c r="AI166" s="713"/>
      <c r="AJ166" s="713"/>
      <c r="AK166" s="713"/>
      <c r="AL166" s="713"/>
      <c r="AM166" s="713"/>
      <c r="AN166" s="713"/>
      <c r="AO166" s="713"/>
      <c r="AP166" s="713"/>
      <c r="AQ166" s="713"/>
      <c r="AR166" s="714"/>
    </row>
    <row r="167" spans="1:44" ht="18" customHeight="1">
      <c r="A167" s="159"/>
      <c r="B167" s="296" t="s">
        <v>373</v>
      </c>
      <c r="C167" s="397"/>
      <c r="D167" s="155"/>
      <c r="E167" s="397"/>
      <c r="F167" s="375"/>
      <c r="G167" s="375"/>
      <c r="H167" s="156"/>
      <c r="I167" s="156"/>
      <c r="J167" s="156"/>
      <c r="K167" s="156"/>
      <c r="L167" s="236" t="s">
        <v>127</v>
      </c>
      <c r="M167" s="706">
        <f>Q80</f>
        <v>132000</v>
      </c>
      <c r="N167" s="706"/>
      <c r="O167" s="229" t="s">
        <v>315</v>
      </c>
      <c r="P167" s="707">
        <f>Q81</f>
        <v>1</v>
      </c>
      <c r="Q167" s="708"/>
      <c r="R167" s="155"/>
      <c r="S167" s="156"/>
      <c r="T167"/>
      <c r="U167"/>
      <c r="V167" s="10"/>
      <c r="W167" s="159"/>
      <c r="X167" s="296" t="s">
        <v>373</v>
      </c>
      <c r="Y167" s="397"/>
      <c r="Z167" s="155"/>
      <c r="AA167" s="397"/>
      <c r="AB167" s="375"/>
      <c r="AC167" s="375"/>
      <c r="AD167" s="156"/>
      <c r="AE167" s="156"/>
      <c r="AF167" s="156"/>
      <c r="AG167" s="156"/>
      <c r="AH167" s="236" t="s">
        <v>127</v>
      </c>
      <c r="AI167" s="706">
        <f>AM80</f>
        <v>132000</v>
      </c>
      <c r="AJ167" s="706"/>
      <c r="AK167" s="229" t="s">
        <v>315</v>
      </c>
      <c r="AL167" s="707">
        <f>AM81</f>
        <v>1</v>
      </c>
      <c r="AM167" s="708"/>
      <c r="AN167" s="155"/>
      <c r="AO167" s="156"/>
      <c r="AP167"/>
      <c r="AQ167"/>
      <c r="AR167" s="10"/>
    </row>
    <row r="168" spans="1:44" ht="18" customHeight="1">
      <c r="A168" s="159"/>
      <c r="B168" s="156"/>
      <c r="C168" s="397"/>
      <c r="D168" s="375"/>
      <c r="E168" s="397"/>
      <c r="F168" s="375"/>
      <c r="G168" s="375"/>
      <c r="H168" s="156"/>
      <c r="I168" s="156"/>
      <c r="J168" s="156"/>
      <c r="K168" s="156"/>
      <c r="L168" s="236"/>
      <c r="M168" s="688">
        <f>+G163</f>
        <v>1.7485498692608459</v>
      </c>
      <c r="N168" s="688"/>
      <c r="O168" s="28" t="s">
        <v>315</v>
      </c>
      <c r="P168" s="689" t="s">
        <v>355</v>
      </c>
      <c r="Q168" s="689">
        <f>SQRT(3)</f>
        <v>1.7320508075688772</v>
      </c>
      <c r="R168" s="375"/>
      <c r="S168" s="156"/>
      <c r="T168"/>
      <c r="U168"/>
      <c r="V168" s="10"/>
      <c r="W168" s="159"/>
      <c r="X168" s="156"/>
      <c r="Y168" s="397"/>
      <c r="Z168" s="375"/>
      <c r="AA168" s="397"/>
      <c r="AB168" s="375"/>
      <c r="AC168" s="375"/>
      <c r="AD168" s="156"/>
      <c r="AE168" s="156"/>
      <c r="AF168" s="156"/>
      <c r="AG168" s="156"/>
      <c r="AH168" s="236"/>
      <c r="AI168" s="688">
        <f>+AC163</f>
        <v>1.7485498692608459</v>
      </c>
      <c r="AJ168" s="688"/>
      <c r="AK168" s="28" t="s">
        <v>315</v>
      </c>
      <c r="AL168" s="689" t="s">
        <v>355</v>
      </c>
      <c r="AM168" s="689">
        <f>SQRT(3)</f>
        <v>1.7320508075688772</v>
      </c>
      <c r="AN168" s="375"/>
      <c r="AO168" s="156"/>
      <c r="AP168"/>
      <c r="AQ168"/>
      <c r="AR168" s="10"/>
    </row>
    <row r="169" spans="1:44" s="14" customFormat="1" ht="18" customHeight="1">
      <c r="A169" s="159"/>
      <c r="B169" s="156"/>
      <c r="C169" s="397"/>
      <c r="D169" s="375"/>
      <c r="E169" s="397"/>
      <c r="F169" s="375"/>
      <c r="G169" s="375"/>
      <c r="H169" s="156"/>
      <c r="I169" s="156"/>
      <c r="J169" s="156"/>
      <c r="K169" s="156"/>
      <c r="L169" s="102" t="s">
        <v>127</v>
      </c>
      <c r="M169" s="709">
        <f>M167*P167/(M168*SQRT(3))</f>
        <v>43584.822413584639</v>
      </c>
      <c r="N169" s="710"/>
      <c r="O169" s="30" t="s">
        <v>8</v>
      </c>
      <c r="P169" s="121"/>
      <c r="Q169" s="121"/>
      <c r="R169" s="375"/>
      <c r="S169" s="156"/>
      <c r="T169"/>
      <c r="U169"/>
      <c r="V169" s="10"/>
      <c r="W169" s="159"/>
      <c r="X169" s="156"/>
      <c r="Y169" s="397"/>
      <c r="Z169" s="375"/>
      <c r="AA169" s="397"/>
      <c r="AB169" s="375"/>
      <c r="AC169" s="375"/>
      <c r="AD169" s="156"/>
      <c r="AE169" s="156"/>
      <c r="AF169" s="156"/>
      <c r="AG169" s="156"/>
      <c r="AH169" s="102" t="s">
        <v>127</v>
      </c>
      <c r="AI169" s="709">
        <f>AI167*AL167/(AI168*SQRT(3))</f>
        <v>43584.822413584639</v>
      </c>
      <c r="AJ169" s="710"/>
      <c r="AK169" s="30" t="s">
        <v>8</v>
      </c>
      <c r="AL169" s="121"/>
      <c r="AM169" s="121"/>
      <c r="AN169" s="375"/>
      <c r="AO169" s="156"/>
      <c r="AP169"/>
      <c r="AQ169"/>
      <c r="AR169" s="10"/>
    </row>
    <row r="170" spans="1:44" ht="18" customHeight="1">
      <c r="A170" s="159"/>
      <c r="B170" s="156"/>
      <c r="C170" s="397"/>
      <c r="D170" s="375"/>
      <c r="E170" s="397"/>
      <c r="F170" s="375"/>
      <c r="G170" s="375"/>
      <c r="H170" s="156"/>
      <c r="I170" s="156"/>
      <c r="J170" s="156"/>
      <c r="K170" s="156"/>
      <c r="L170" s="157"/>
      <c r="M170" s="420"/>
      <c r="N170" s="420"/>
      <c r="O170" s="121"/>
      <c r="P170" s="121"/>
      <c r="Q170" s="121"/>
      <c r="R170" s="375"/>
      <c r="S170" s="156"/>
      <c r="T170"/>
      <c r="U170"/>
      <c r="V170" s="10"/>
      <c r="W170" s="159"/>
      <c r="X170" s="156"/>
      <c r="Y170" s="397"/>
      <c r="Z170" s="375"/>
      <c r="AA170" s="397"/>
      <c r="AB170" s="375"/>
      <c r="AC170" s="375"/>
      <c r="AD170" s="156"/>
      <c r="AE170" s="156"/>
      <c r="AF170" s="156"/>
      <c r="AG170" s="156"/>
      <c r="AH170" s="157"/>
      <c r="AI170" s="420"/>
      <c r="AJ170" s="420"/>
      <c r="AK170" s="121"/>
      <c r="AL170" s="121"/>
      <c r="AM170" s="121"/>
      <c r="AN170" s="375"/>
      <c r="AO170" s="156"/>
      <c r="AP170"/>
      <c r="AQ170"/>
      <c r="AR170" s="10"/>
    </row>
    <row r="171" spans="1:44" ht="18" customHeight="1">
      <c r="A171" s="193" t="s">
        <v>374</v>
      </c>
      <c r="B171"/>
      <c r="C171" s="155"/>
      <c r="D171" s="397"/>
      <c r="E171" s="397"/>
      <c r="F171" s="397"/>
      <c r="G171" s="375"/>
      <c r="H171" s="375"/>
      <c r="I171" s="156"/>
      <c r="J171" s="156"/>
      <c r="K171" s="156"/>
      <c r="L171" s="156"/>
      <c r="M171" s="410"/>
      <c r="N171" s="411"/>
      <c r="O171" s="412"/>
      <c r="P171" s="413"/>
      <c r="Q171" s="157"/>
      <c r="R171" s="402"/>
      <c r="S171" s="414"/>
      <c r="T171"/>
      <c r="U171"/>
      <c r="V171" s="10"/>
      <c r="W171" s="193" t="s">
        <v>374</v>
      </c>
      <c r="X171"/>
      <c r="Y171" s="155"/>
      <c r="Z171" s="397"/>
      <c r="AA171" s="397"/>
      <c r="AB171" s="397"/>
      <c r="AC171" s="375"/>
      <c r="AD171" s="375"/>
      <c r="AE171" s="156"/>
      <c r="AF171" s="156"/>
      <c r="AG171" s="156"/>
      <c r="AH171" s="156"/>
      <c r="AI171" s="410"/>
      <c r="AJ171" s="411"/>
      <c r="AK171" s="412"/>
      <c r="AL171" s="413"/>
      <c r="AM171" s="157"/>
      <c r="AN171" s="402"/>
      <c r="AO171" s="414"/>
      <c r="AP171"/>
      <c r="AQ171"/>
      <c r="AR171" s="10"/>
    </row>
    <row r="172" spans="1:44" ht="18" customHeight="1">
      <c r="A172" s="396"/>
      <c r="B172" s="47" t="s">
        <v>357</v>
      </c>
      <c r="C172" s="156"/>
      <c r="D172" s="397"/>
      <c r="E172"/>
      <c r="F172" s="376"/>
      <c r="G172" s="102" t="s">
        <v>127</v>
      </c>
      <c r="H172" s="28">
        <v>2</v>
      </c>
      <c r="I172" s="28" t="s">
        <v>315</v>
      </c>
      <c r="J172" s="278" t="s">
        <v>318</v>
      </c>
      <c r="K172" s="28" t="s">
        <v>315</v>
      </c>
      <c r="L172" s="28" t="s">
        <v>319</v>
      </c>
      <c r="M172" s="28" t="s">
        <v>315</v>
      </c>
      <c r="N172" s="47" t="s">
        <v>320</v>
      </c>
      <c r="O172" s="376"/>
      <c r="P172" s="163"/>
      <c r="Q172" s="398"/>
      <c r="R172"/>
      <c r="S172" s="376"/>
      <c r="T172"/>
      <c r="U172"/>
      <c r="V172" s="10"/>
      <c r="W172" s="396"/>
      <c r="X172" s="47" t="s">
        <v>357</v>
      </c>
      <c r="Y172" s="156"/>
      <c r="Z172" s="397"/>
      <c r="AA172"/>
      <c r="AB172" s="376"/>
      <c r="AC172" s="102" t="s">
        <v>127</v>
      </c>
      <c r="AD172" s="28">
        <v>2</v>
      </c>
      <c r="AE172" s="28" t="s">
        <v>315</v>
      </c>
      <c r="AF172" s="278" t="s">
        <v>318</v>
      </c>
      <c r="AG172" s="28" t="s">
        <v>315</v>
      </c>
      <c r="AH172" s="28" t="s">
        <v>319</v>
      </c>
      <c r="AI172" s="28" t="s">
        <v>315</v>
      </c>
      <c r="AJ172" s="47" t="s">
        <v>320</v>
      </c>
      <c r="AK172" s="376"/>
      <c r="AL172" s="163"/>
      <c r="AM172" s="398"/>
      <c r="AN172"/>
      <c r="AO172" s="376"/>
      <c r="AP172"/>
      <c r="AQ172"/>
      <c r="AR172" s="10"/>
    </row>
    <row r="173" spans="1:44" ht="18" customHeight="1">
      <c r="A173" s="396"/>
      <c r="B173" s="47" t="s">
        <v>375</v>
      </c>
      <c r="C173" s="156"/>
      <c r="D173" s="375"/>
      <c r="E173" s="376"/>
      <c r="F173" s="376"/>
      <c r="G173"/>
      <c r="H173" s="376"/>
      <c r="I173" s="152"/>
      <c r="J173" s="152"/>
      <c r="K173" s="152"/>
      <c r="L173" s="152"/>
      <c r="M173"/>
      <c r="N173" s="376"/>
      <c r="O173" s="28" t="s">
        <v>322</v>
      </c>
      <c r="P173" s="102" t="s">
        <v>127</v>
      </c>
      <c r="Q173" s="692">
        <f>G164</f>
        <v>13.193531835888315</v>
      </c>
      <c r="R173" s="692"/>
      <c r="S173" s="372"/>
      <c r="T173"/>
      <c r="U173"/>
      <c r="V173" s="10"/>
      <c r="W173" s="396"/>
      <c r="X173" s="47" t="s">
        <v>375</v>
      </c>
      <c r="Y173" s="156"/>
      <c r="Z173" s="375"/>
      <c r="AA173" s="376"/>
      <c r="AB173" s="376"/>
      <c r="AC173"/>
      <c r="AD173" s="376"/>
      <c r="AE173" s="152"/>
      <c r="AF173" s="152"/>
      <c r="AG173" s="152"/>
      <c r="AH173" s="152"/>
      <c r="AI173"/>
      <c r="AJ173" s="376"/>
      <c r="AK173" s="28" t="s">
        <v>322</v>
      </c>
      <c r="AL173" s="102" t="s">
        <v>127</v>
      </c>
      <c r="AM173" s="692">
        <f>AC164</f>
        <v>13.193531835888315</v>
      </c>
      <c r="AN173" s="692"/>
      <c r="AO173" s="372"/>
      <c r="AP173"/>
      <c r="AQ173"/>
      <c r="AR173" s="10"/>
    </row>
    <row r="174" spans="1:44" ht="18" customHeight="1">
      <c r="A174" s="396"/>
      <c r="B174" s="47" t="s">
        <v>263</v>
      </c>
      <c r="C174" s="156"/>
      <c r="D174" s="397"/>
      <c r="E174" s="7"/>
      <c r="F174" s="7"/>
      <c r="G174"/>
      <c r="H174" s="376"/>
      <c r="I174" s="152"/>
      <c r="J174" s="152"/>
      <c r="K174" s="152"/>
      <c r="L174" s="152"/>
      <c r="M174"/>
      <c r="N174" s="376"/>
      <c r="O174" s="28" t="s">
        <v>319</v>
      </c>
      <c r="P174" s="102" t="s">
        <v>127</v>
      </c>
      <c r="Q174" s="694">
        <f>Q51</f>
        <v>50</v>
      </c>
      <c r="R174" s="689"/>
      <c r="S174" s="47" t="s">
        <v>264</v>
      </c>
      <c r="T174"/>
      <c r="U174"/>
      <c r="V174" s="10"/>
      <c r="W174" s="396"/>
      <c r="X174" s="47" t="s">
        <v>263</v>
      </c>
      <c r="Y174" s="156"/>
      <c r="Z174" s="397"/>
      <c r="AA174" s="7"/>
      <c r="AB174" s="7"/>
      <c r="AC174"/>
      <c r="AD174" s="376"/>
      <c r="AE174" s="152"/>
      <c r="AF174" s="152"/>
      <c r="AG174" s="152"/>
      <c r="AH174" s="152"/>
      <c r="AI174"/>
      <c r="AJ174" s="376"/>
      <c r="AK174" s="28" t="s">
        <v>319</v>
      </c>
      <c r="AL174" s="102" t="s">
        <v>127</v>
      </c>
      <c r="AM174" s="694">
        <f>AM51</f>
        <v>50</v>
      </c>
      <c r="AN174" s="689"/>
      <c r="AO174" s="47" t="s">
        <v>264</v>
      </c>
      <c r="AP174"/>
      <c r="AQ174"/>
      <c r="AR174" s="10"/>
    </row>
    <row r="175" spans="1:44" ht="18" customHeight="1">
      <c r="A175" s="396"/>
      <c r="B175" s="249" t="s">
        <v>340</v>
      </c>
      <c r="C175" s="156"/>
      <c r="D175" s="397"/>
      <c r="E175"/>
      <c r="F175" s="123"/>
      <c r="G175" s="28" t="s">
        <v>127</v>
      </c>
      <c r="H175" s="28" t="s">
        <v>341</v>
      </c>
      <c r="I175" s="399" t="s">
        <v>342</v>
      </c>
      <c r="J175" s="28">
        <v>2</v>
      </c>
      <c r="K175" s="28" t="s">
        <v>315</v>
      </c>
      <c r="L175" s="278" t="s">
        <v>318</v>
      </c>
      <c r="M175" s="400" t="s">
        <v>315</v>
      </c>
      <c r="N175" s="218" t="s">
        <v>319</v>
      </c>
      <c r="O175" s="376"/>
      <c r="P175" s="102" t="s">
        <v>127</v>
      </c>
      <c r="Q175" s="696">
        <f>(Q173*1000)/(J175*(22/7)*Q174)</f>
        <v>41.979419477826461</v>
      </c>
      <c r="R175" s="697"/>
      <c r="S175" s="47" t="s">
        <v>343</v>
      </c>
      <c r="T175"/>
      <c r="U175"/>
      <c r="V175" s="10"/>
      <c r="W175" s="396"/>
      <c r="X175" s="249" t="s">
        <v>340</v>
      </c>
      <c r="Y175" s="156"/>
      <c r="Z175" s="397"/>
      <c r="AA175"/>
      <c r="AB175" s="123"/>
      <c r="AC175" s="28" t="s">
        <v>127</v>
      </c>
      <c r="AD175" s="28" t="s">
        <v>341</v>
      </c>
      <c r="AE175" s="399" t="s">
        <v>342</v>
      </c>
      <c r="AF175" s="28">
        <v>2</v>
      </c>
      <c r="AG175" s="28" t="s">
        <v>315</v>
      </c>
      <c r="AH175" s="278" t="s">
        <v>318</v>
      </c>
      <c r="AI175" s="400" t="s">
        <v>315</v>
      </c>
      <c r="AJ175" s="218" t="s">
        <v>319</v>
      </c>
      <c r="AK175" s="376"/>
      <c r="AL175" s="102" t="s">
        <v>127</v>
      </c>
      <c r="AM175" s="696">
        <f>(AM173*1000)/(AF175*(22/7)*AM174)</f>
        <v>41.979419477826461</v>
      </c>
      <c r="AN175" s="697"/>
      <c r="AO175" s="47" t="s">
        <v>343</v>
      </c>
      <c r="AP175"/>
      <c r="AQ175"/>
      <c r="AR175" s="10"/>
    </row>
    <row r="176" spans="1:44" ht="18" customHeight="1">
      <c r="A176" s="9"/>
      <c r="B176"/>
      <c r="C176"/>
      <c r="D176"/>
      <c r="E176"/>
      <c r="F176"/>
      <c r="G176"/>
      <c r="H176"/>
      <c r="I176"/>
      <c r="J176"/>
      <c r="K176"/>
      <c r="L176"/>
      <c r="M176"/>
      <c r="N176"/>
      <c r="O176"/>
      <c r="P176"/>
      <c r="Q176"/>
      <c r="R176"/>
      <c r="S176"/>
      <c r="T176"/>
      <c r="U176"/>
      <c r="V176" s="10"/>
      <c r="W176" s="9"/>
      <c r="X176"/>
      <c r="Y176"/>
      <c r="Z176"/>
      <c r="AA176"/>
      <c r="AB176"/>
      <c r="AC176"/>
      <c r="AD176"/>
      <c r="AE176"/>
      <c r="AF176"/>
      <c r="AG176"/>
      <c r="AH176"/>
      <c r="AI176"/>
      <c r="AJ176"/>
      <c r="AK176"/>
      <c r="AL176"/>
      <c r="AM176"/>
      <c r="AN176"/>
      <c r="AO176"/>
      <c r="AP176"/>
      <c r="AQ176"/>
      <c r="AR176" s="10"/>
    </row>
    <row r="177" spans="1:44" ht="18" customHeight="1">
      <c r="A177" s="193" t="s">
        <v>376</v>
      </c>
      <c r="B177"/>
      <c r="C177"/>
      <c r="D177"/>
      <c r="E177"/>
      <c r="F177"/>
      <c r="G177"/>
      <c r="H177"/>
      <c r="I177"/>
      <c r="J177"/>
      <c r="K177"/>
      <c r="L177"/>
      <c r="M177"/>
      <c r="N177"/>
      <c r="O177"/>
      <c r="P177"/>
      <c r="Q177"/>
      <c r="R177"/>
      <c r="S177"/>
      <c r="T177"/>
      <c r="U177"/>
      <c r="V177" s="10"/>
      <c r="W177" s="193" t="s">
        <v>376</v>
      </c>
      <c r="X177"/>
      <c r="Y177"/>
      <c r="Z177"/>
      <c r="AA177"/>
      <c r="AB177"/>
      <c r="AC177"/>
      <c r="AD177"/>
      <c r="AE177"/>
      <c r="AF177"/>
      <c r="AG177"/>
      <c r="AH177"/>
      <c r="AI177"/>
      <c r="AJ177"/>
      <c r="AK177"/>
      <c r="AL177"/>
      <c r="AM177"/>
      <c r="AN177"/>
      <c r="AO177"/>
      <c r="AP177"/>
      <c r="AQ177"/>
      <c r="AR177" s="10"/>
    </row>
    <row r="178" spans="1:44" ht="18" customHeight="1">
      <c r="A178" s="184" t="s">
        <v>360</v>
      </c>
      <c r="B178"/>
      <c r="C178"/>
      <c r="D178"/>
      <c r="E178" s="421" t="s">
        <v>377</v>
      </c>
      <c r="F178" s="28" t="s">
        <v>127</v>
      </c>
      <c r="G178" s="155"/>
      <c r="H178" s="28" t="s">
        <v>310</v>
      </c>
      <c r="I178" s="102" t="s">
        <v>347</v>
      </c>
      <c r="J178" s="30" t="s">
        <v>369</v>
      </c>
      <c r="K178" s="27" t="s">
        <v>378</v>
      </c>
      <c r="L178" s="14" t="s">
        <v>379</v>
      </c>
      <c r="M178"/>
      <c r="N178"/>
      <c r="O178"/>
      <c r="P178"/>
      <c r="Q178"/>
      <c r="R178"/>
      <c r="S178"/>
      <c r="T178"/>
      <c r="U178"/>
      <c r="V178" s="10"/>
      <c r="W178" s="184" t="s">
        <v>360</v>
      </c>
      <c r="X178"/>
      <c r="Y178"/>
      <c r="Z178"/>
      <c r="AA178" s="421" t="s">
        <v>377</v>
      </c>
      <c r="AB178" s="28" t="s">
        <v>127</v>
      </c>
      <c r="AC178" s="155"/>
      <c r="AD178" s="28" t="s">
        <v>310</v>
      </c>
      <c r="AE178" s="102" t="s">
        <v>347</v>
      </c>
      <c r="AF178" s="30" t="s">
        <v>369</v>
      </c>
      <c r="AG178" s="27" t="s">
        <v>378</v>
      </c>
      <c r="AH178" s="14" t="s">
        <v>379</v>
      </c>
      <c r="AI178"/>
      <c r="AJ178"/>
      <c r="AK178"/>
      <c r="AL178"/>
      <c r="AM178"/>
      <c r="AN178"/>
      <c r="AO178"/>
      <c r="AP178"/>
      <c r="AQ178"/>
      <c r="AR178" s="10"/>
    </row>
    <row r="179" spans="1:44" ht="18" customHeight="1">
      <c r="A179" s="9"/>
      <c r="B179"/>
      <c r="C179"/>
      <c r="D179"/>
      <c r="E179"/>
      <c r="F179" s="250" t="s">
        <v>348</v>
      </c>
      <c r="G179" s="688">
        <f>N97</f>
        <v>0.10138858918881909</v>
      </c>
      <c r="H179" s="689"/>
      <c r="I179" s="102" t="s">
        <v>295</v>
      </c>
      <c r="J179" s="688">
        <f>Q97</f>
        <v>1.5208288378322858</v>
      </c>
      <c r="K179" s="689"/>
      <c r="L179" s="28" t="s">
        <v>371</v>
      </c>
      <c r="M179" s="27">
        <v>0.8</v>
      </c>
      <c r="N179" s="27" t="s">
        <v>372</v>
      </c>
      <c r="O179" s="711">
        <f>L74</f>
        <v>0.22620000000000001</v>
      </c>
      <c r="P179" s="684"/>
      <c r="Q179" s="102" t="s">
        <v>295</v>
      </c>
      <c r="R179" s="711">
        <f>O74</f>
        <v>0.10439999999999999</v>
      </c>
      <c r="S179" s="684"/>
      <c r="T179" s="14" t="s">
        <v>350</v>
      </c>
      <c r="U179"/>
      <c r="V179" s="10"/>
      <c r="W179" s="9"/>
      <c r="X179"/>
      <c r="Y179"/>
      <c r="Z179"/>
      <c r="AA179"/>
      <c r="AB179" s="250" t="s">
        <v>348</v>
      </c>
      <c r="AC179" s="688">
        <f>AJ97</f>
        <v>0.10138858918881909</v>
      </c>
      <c r="AD179" s="689"/>
      <c r="AE179" s="102" t="s">
        <v>295</v>
      </c>
      <c r="AF179" s="688">
        <f>AM97</f>
        <v>1.5208288378322858</v>
      </c>
      <c r="AG179" s="689"/>
      <c r="AH179" s="28" t="s">
        <v>371</v>
      </c>
      <c r="AI179" s="27">
        <v>0.8</v>
      </c>
      <c r="AJ179" s="27" t="s">
        <v>372</v>
      </c>
      <c r="AK179" s="711">
        <f>AH74</f>
        <v>0.22620000000000001</v>
      </c>
      <c r="AL179" s="684"/>
      <c r="AM179" s="102" t="s">
        <v>295</v>
      </c>
      <c r="AN179" s="711">
        <f>AK74</f>
        <v>0.10439999999999999</v>
      </c>
      <c r="AO179" s="684"/>
      <c r="AP179" s="14" t="s">
        <v>350</v>
      </c>
      <c r="AQ179"/>
      <c r="AR179" s="10"/>
    </row>
    <row r="180" spans="1:44" ht="18" customHeight="1">
      <c r="A180" s="159"/>
      <c r="B180"/>
      <c r="C180"/>
      <c r="D180"/>
      <c r="E180"/>
      <c r="F180" s="28" t="s">
        <v>127</v>
      </c>
      <c r="G180" s="688">
        <f>G179+(0.8*O179)</f>
        <v>0.28234858918881911</v>
      </c>
      <c r="H180" s="689"/>
      <c r="I180" s="102" t="s">
        <v>351</v>
      </c>
      <c r="J180" s="688">
        <f>J179+(0.8*R179)</f>
        <v>1.6043488378322859</v>
      </c>
      <c r="K180" s="689"/>
      <c r="L180" s="43" t="s">
        <v>333</v>
      </c>
      <c r="M180"/>
      <c r="N180"/>
      <c r="O180" s="155"/>
      <c r="P180" s="415"/>
      <c r="Q180" s="121"/>
      <c r="R180" s="414"/>
      <c r="S180"/>
      <c r="T180"/>
      <c r="U180"/>
      <c r="V180" s="10"/>
      <c r="W180" s="159"/>
      <c r="X180"/>
      <c r="Y180"/>
      <c r="Z180"/>
      <c r="AA180"/>
      <c r="AB180" s="28" t="s">
        <v>127</v>
      </c>
      <c r="AC180" s="688">
        <f>AC179+(0.8*AK179)</f>
        <v>0.28234858918881911</v>
      </c>
      <c r="AD180" s="689"/>
      <c r="AE180" s="102" t="s">
        <v>351</v>
      </c>
      <c r="AF180" s="688">
        <f>AF179+(0.8*AN179)</f>
        <v>1.6043488378322859</v>
      </c>
      <c r="AG180" s="689"/>
      <c r="AH180" s="43" t="s">
        <v>333</v>
      </c>
      <c r="AI180"/>
      <c r="AJ180"/>
      <c r="AK180" s="155"/>
      <c r="AL180" s="415"/>
      <c r="AM180" s="121"/>
      <c r="AN180" s="414"/>
      <c r="AO180"/>
      <c r="AP180"/>
      <c r="AQ180"/>
      <c r="AR180" s="10"/>
    </row>
    <row r="181" spans="1:44" ht="18" customHeight="1">
      <c r="A181" s="159"/>
      <c r="B181"/>
      <c r="C181"/>
      <c r="D181"/>
      <c r="E181"/>
      <c r="F181" s="28" t="s">
        <v>127</v>
      </c>
      <c r="G181" s="703">
        <f>SQRT(G180^2+J180^2)</f>
        <v>1.6290045792663452</v>
      </c>
      <c r="H181" s="689"/>
      <c r="I181" s="278" t="s">
        <v>352</v>
      </c>
      <c r="J181" s="704">
        <f>DEGREES(ATAN(J180/G180))</f>
        <v>80.018752878989744</v>
      </c>
      <c r="K181" s="689"/>
      <c r="L181" s="43" t="s">
        <v>333</v>
      </c>
      <c r="M181" s="155" t="s">
        <v>1130</v>
      </c>
      <c r="N181" s="155"/>
      <c r="O181" s="155"/>
      <c r="P181" s="415"/>
      <c r="Q181" s="121"/>
      <c r="R181" s="414"/>
      <c r="S181"/>
      <c r="T181"/>
      <c r="U181"/>
      <c r="V181" s="10"/>
      <c r="W181" s="159"/>
      <c r="X181"/>
      <c r="Y181"/>
      <c r="Z181"/>
      <c r="AA181"/>
      <c r="AB181" s="28" t="s">
        <v>127</v>
      </c>
      <c r="AC181" s="703">
        <f>SQRT(AC180^2+AF180^2)</f>
        <v>1.6290045792663452</v>
      </c>
      <c r="AD181" s="689"/>
      <c r="AE181" s="278" t="s">
        <v>352</v>
      </c>
      <c r="AF181" s="704">
        <f>DEGREES(ATAN(AF180/AC180))</f>
        <v>80.018752878989744</v>
      </c>
      <c r="AG181" s="689"/>
      <c r="AH181" s="43" t="s">
        <v>333</v>
      </c>
      <c r="AI181" s="155" t="s">
        <v>1130</v>
      </c>
      <c r="AJ181" s="155"/>
      <c r="AK181" s="155"/>
      <c r="AL181" s="415"/>
      <c r="AM181" s="121"/>
      <c r="AN181" s="414"/>
      <c r="AO181"/>
      <c r="AP181"/>
      <c r="AQ181"/>
      <c r="AR181" s="10"/>
    </row>
    <row r="182" spans="1:44" ht="18" customHeight="1">
      <c r="A182" s="184" t="s">
        <v>345</v>
      </c>
      <c r="B182"/>
      <c r="C182"/>
      <c r="D182"/>
      <c r="E182" s="421" t="s">
        <v>380</v>
      </c>
      <c r="F182" s="121" t="s">
        <v>127</v>
      </c>
      <c r="G182" s="689" t="s">
        <v>368</v>
      </c>
      <c r="H182" s="689"/>
      <c r="I182" s="102" t="s">
        <v>347</v>
      </c>
      <c r="J182" s="689" t="s">
        <v>381</v>
      </c>
      <c r="K182" s="689"/>
      <c r="L182" s="28" t="s">
        <v>347</v>
      </c>
      <c r="M182" s="689" t="s">
        <v>377</v>
      </c>
      <c r="N182" s="689"/>
      <c r="O182"/>
      <c r="P182"/>
      <c r="Q182"/>
      <c r="R182"/>
      <c r="S182"/>
      <c r="T182"/>
      <c r="U182"/>
      <c r="V182" s="10"/>
      <c r="W182" s="184" t="s">
        <v>345</v>
      </c>
      <c r="X182"/>
      <c r="Y182"/>
      <c r="Z182"/>
      <c r="AA182" s="421" t="s">
        <v>380</v>
      </c>
      <c r="AB182" s="121" t="s">
        <v>127</v>
      </c>
      <c r="AC182" s="689" t="s">
        <v>368</v>
      </c>
      <c r="AD182" s="689"/>
      <c r="AE182" s="102" t="s">
        <v>347</v>
      </c>
      <c r="AF182" s="689" t="s">
        <v>381</v>
      </c>
      <c r="AG182" s="689"/>
      <c r="AH182" s="28" t="s">
        <v>347</v>
      </c>
      <c r="AI182" s="689" t="s">
        <v>377</v>
      </c>
      <c r="AJ182" s="689"/>
      <c r="AK182"/>
      <c r="AL182"/>
      <c r="AM182"/>
      <c r="AN182"/>
      <c r="AO182"/>
      <c r="AP182"/>
      <c r="AQ182"/>
      <c r="AR182" s="10"/>
    </row>
    <row r="183" spans="1:44" ht="18" customHeight="1">
      <c r="A183" s="9"/>
      <c r="B183" s="250" t="s">
        <v>348</v>
      </c>
      <c r="C183" s="702">
        <f>G162</f>
        <v>0.13215178918881909</v>
      </c>
      <c r="D183" s="684"/>
      <c r="E183" s="191" t="s">
        <v>351</v>
      </c>
      <c r="F183" s="702">
        <f>J162</f>
        <v>1.7435488378322859</v>
      </c>
      <c r="G183" s="684"/>
      <c r="H183" s="27" t="s">
        <v>349</v>
      </c>
      <c r="I183" s="702">
        <f>G162</f>
        <v>0.13215178918881909</v>
      </c>
      <c r="J183" s="702"/>
      <c r="K183" s="191" t="s">
        <v>351</v>
      </c>
      <c r="L183" s="702">
        <f>J162</f>
        <v>1.7435488378322859</v>
      </c>
      <c r="M183" s="684"/>
      <c r="N183" s="27" t="s">
        <v>349</v>
      </c>
      <c r="O183" s="701">
        <f>G180</f>
        <v>0.28234858918881911</v>
      </c>
      <c r="P183" s="684"/>
      <c r="Q183" s="191" t="s">
        <v>351</v>
      </c>
      <c r="R183" s="701">
        <f>J180</f>
        <v>1.6043488378322859</v>
      </c>
      <c r="S183" s="684"/>
      <c r="T183" s="30" t="s">
        <v>350</v>
      </c>
      <c r="U183"/>
      <c r="V183" s="10"/>
      <c r="W183" s="9"/>
      <c r="X183" s="250" t="s">
        <v>348</v>
      </c>
      <c r="Y183" s="702">
        <f>AC162</f>
        <v>0.13215178918881909</v>
      </c>
      <c r="Z183" s="684"/>
      <c r="AA183" s="191" t="s">
        <v>351</v>
      </c>
      <c r="AB183" s="702">
        <f>AF162</f>
        <v>1.7435488378322859</v>
      </c>
      <c r="AC183" s="684"/>
      <c r="AD183" s="27" t="s">
        <v>349</v>
      </c>
      <c r="AE183" s="702">
        <f>AC162</f>
        <v>0.13215178918881909</v>
      </c>
      <c r="AF183" s="702"/>
      <c r="AG183" s="191" t="s">
        <v>351</v>
      </c>
      <c r="AH183" s="702">
        <f>AF162</f>
        <v>1.7435488378322859</v>
      </c>
      <c r="AI183" s="684"/>
      <c r="AJ183" s="27" t="s">
        <v>349</v>
      </c>
      <c r="AK183" s="701">
        <f>AC180</f>
        <v>0.28234858918881911</v>
      </c>
      <c r="AL183" s="684"/>
      <c r="AM183" s="191" t="s">
        <v>351</v>
      </c>
      <c r="AN183" s="701">
        <f>AF180</f>
        <v>1.6043488378322859</v>
      </c>
      <c r="AO183" s="684"/>
      <c r="AP183" s="30" t="s">
        <v>350</v>
      </c>
      <c r="AQ183"/>
      <c r="AR183" s="10"/>
    </row>
    <row r="184" spans="1:44" ht="18" customHeight="1">
      <c r="A184" s="9"/>
      <c r="B184" s="27" t="s">
        <v>127</v>
      </c>
      <c r="C184" s="702">
        <f>C183+I183+O183</f>
        <v>0.54665216756645729</v>
      </c>
      <c r="D184" s="684"/>
      <c r="E184" s="191" t="s">
        <v>351</v>
      </c>
      <c r="F184" s="702">
        <f>F183+L183+R183</f>
        <v>5.0914465134968578</v>
      </c>
      <c r="G184" s="684"/>
      <c r="H184"/>
      <c r="I184"/>
      <c r="J184"/>
      <c r="K184"/>
      <c r="L184"/>
      <c r="M184"/>
      <c r="N184"/>
      <c r="O184"/>
      <c r="P184"/>
      <c r="Q184"/>
      <c r="R184"/>
      <c r="S184"/>
      <c r="T184"/>
      <c r="U184"/>
      <c r="V184" s="10"/>
      <c r="W184" s="9"/>
      <c r="X184" s="27" t="s">
        <v>127</v>
      </c>
      <c r="Y184" s="702">
        <f>Y183+AE183+AK183</f>
        <v>0.54665216756645729</v>
      </c>
      <c r="Z184" s="684"/>
      <c r="AA184" s="191" t="s">
        <v>351</v>
      </c>
      <c r="AB184" s="702">
        <f>AB183+AH183+AN183</f>
        <v>5.0914465134968578</v>
      </c>
      <c r="AC184" s="684"/>
      <c r="AD184"/>
      <c r="AE184"/>
      <c r="AF184"/>
      <c r="AG184"/>
      <c r="AH184"/>
      <c r="AI184"/>
      <c r="AJ184"/>
      <c r="AK184"/>
      <c r="AL184"/>
      <c r="AM184"/>
      <c r="AN184"/>
      <c r="AO184"/>
      <c r="AP184"/>
      <c r="AQ184"/>
      <c r="AR184" s="10"/>
    </row>
    <row r="185" spans="1:44" ht="18" customHeight="1">
      <c r="A185" s="9"/>
      <c r="B185" s="28" t="s">
        <v>127</v>
      </c>
      <c r="C185" s="703">
        <f>SQRT(C184^2+F184^2)</f>
        <v>5.1207085634806848</v>
      </c>
      <c r="D185" s="689"/>
      <c r="E185" s="278" t="s">
        <v>352</v>
      </c>
      <c r="F185" s="704">
        <f>DEGREES(ATAN(F184/C184))</f>
        <v>83.871813067551713</v>
      </c>
      <c r="G185" s="689"/>
      <c r="H185" s="422" t="s">
        <v>333</v>
      </c>
      <c r="I185" t="s">
        <v>1132</v>
      </c>
      <c r="J185"/>
      <c r="K185"/>
      <c r="L185"/>
      <c r="M185"/>
      <c r="N185"/>
      <c r="O185"/>
      <c r="P185"/>
      <c r="Q185"/>
      <c r="R185"/>
      <c r="S185"/>
      <c r="T185"/>
      <c r="U185"/>
      <c r="V185" s="10"/>
      <c r="W185" s="9"/>
      <c r="X185" s="28" t="s">
        <v>127</v>
      </c>
      <c r="Y185" s="703">
        <f>SQRT(Y184^2+AB184^2)</f>
        <v>5.1207085634806848</v>
      </c>
      <c r="Z185" s="689"/>
      <c r="AA185" s="278" t="s">
        <v>352</v>
      </c>
      <c r="AB185" s="704">
        <f>DEGREES(ATAN(AB184/Y184))</f>
        <v>83.871813067551713</v>
      </c>
      <c r="AC185" s="689"/>
      <c r="AD185" s="422" t="s">
        <v>333</v>
      </c>
      <c r="AE185" t="s">
        <v>1132</v>
      </c>
      <c r="AF185"/>
      <c r="AG185"/>
      <c r="AH185"/>
      <c r="AI185"/>
      <c r="AJ185"/>
      <c r="AK185"/>
      <c r="AL185"/>
      <c r="AM185"/>
      <c r="AN185"/>
      <c r="AO185"/>
      <c r="AP185"/>
      <c r="AQ185"/>
      <c r="AR185" s="10"/>
    </row>
    <row r="186" spans="1:44" ht="18" customHeight="1">
      <c r="A186" s="9"/>
      <c r="B186"/>
      <c r="C186"/>
      <c r="D186"/>
      <c r="E186"/>
      <c r="F186"/>
      <c r="G186"/>
      <c r="H186"/>
      <c r="I186"/>
      <c r="J186"/>
      <c r="K186" s="120" t="s">
        <v>353</v>
      </c>
      <c r="L186" s="28" t="s">
        <v>127</v>
      </c>
      <c r="M186" s="705">
        <f>F184/C184</f>
        <v>9.3138687003886869</v>
      </c>
      <c r="N186" s="705"/>
      <c r="O186"/>
      <c r="P186"/>
      <c r="Q186"/>
      <c r="R186"/>
      <c r="S186"/>
      <c r="T186"/>
      <c r="U186"/>
      <c r="V186" s="10"/>
      <c r="W186" s="9"/>
      <c r="X186"/>
      <c r="Y186"/>
      <c r="Z186"/>
      <c r="AA186"/>
      <c r="AB186"/>
      <c r="AC186"/>
      <c r="AD186"/>
      <c r="AE186"/>
      <c r="AF186"/>
      <c r="AG186" s="120" t="s">
        <v>353</v>
      </c>
      <c r="AH186" s="28" t="s">
        <v>127</v>
      </c>
      <c r="AI186" s="705">
        <f>AB184/Y184</f>
        <v>9.3138687003886869</v>
      </c>
      <c r="AJ186" s="705"/>
      <c r="AK186"/>
      <c r="AL186"/>
      <c r="AM186"/>
      <c r="AN186"/>
      <c r="AO186"/>
      <c r="AP186"/>
      <c r="AQ186"/>
      <c r="AR186" s="10"/>
    </row>
    <row r="187" spans="1:44" ht="18" customHeight="1">
      <c r="A187" s="9"/>
      <c r="B187"/>
      <c r="C187"/>
      <c r="D187"/>
      <c r="E187"/>
      <c r="F187"/>
      <c r="G187"/>
      <c r="H187"/>
      <c r="I187"/>
      <c r="J187"/>
      <c r="K187"/>
      <c r="L187"/>
      <c r="M187"/>
      <c r="N187"/>
      <c r="O187"/>
      <c r="P187"/>
      <c r="Q187"/>
      <c r="R187"/>
      <c r="S187"/>
      <c r="T187"/>
      <c r="U187"/>
      <c r="V187" s="10"/>
      <c r="W187" s="9"/>
      <c r="X187"/>
      <c r="Y187"/>
      <c r="Z187"/>
      <c r="AA187"/>
      <c r="AB187"/>
      <c r="AC187"/>
      <c r="AD187"/>
      <c r="AE187"/>
      <c r="AF187"/>
      <c r="AG187"/>
      <c r="AH187"/>
      <c r="AI187"/>
      <c r="AJ187"/>
      <c r="AK187"/>
      <c r="AL187"/>
      <c r="AM187"/>
      <c r="AN187"/>
      <c r="AO187"/>
      <c r="AP187"/>
      <c r="AQ187"/>
      <c r="AR187" s="10"/>
    </row>
    <row r="188" spans="1:44" ht="18" customHeight="1">
      <c r="A188" s="9"/>
      <c r="B188" s="47" t="s">
        <v>382</v>
      </c>
      <c r="C188" s="397"/>
      <c r="D188" s="155"/>
      <c r="E188" s="397"/>
      <c r="F188" s="375"/>
      <c r="G188" s="375"/>
      <c r="H188" s="156"/>
      <c r="I188" s="156"/>
      <c r="J188" s="156"/>
      <c r="K188" s="156"/>
      <c r="L188" s="157" t="s">
        <v>127</v>
      </c>
      <c r="M188" s="706">
        <f>Q80</f>
        <v>132000</v>
      </c>
      <c r="N188" s="706"/>
      <c r="O188" s="229" t="s">
        <v>315</v>
      </c>
      <c r="P188" s="707">
        <f>Q81</f>
        <v>1</v>
      </c>
      <c r="Q188" s="708"/>
      <c r="R188" s="229" t="s">
        <v>315</v>
      </c>
      <c r="S188" s="229">
        <v>3</v>
      </c>
      <c r="T188"/>
      <c r="U188"/>
      <c r="V188" s="10"/>
      <c r="W188" s="9"/>
      <c r="X188" s="47" t="s">
        <v>382</v>
      </c>
      <c r="Y188" s="397"/>
      <c r="Z188" s="155"/>
      <c r="AA188" s="397"/>
      <c r="AB188" s="375"/>
      <c r="AC188" s="375"/>
      <c r="AD188" s="156"/>
      <c r="AE188" s="156"/>
      <c r="AF188" s="156"/>
      <c r="AG188" s="156"/>
      <c r="AH188" s="157" t="s">
        <v>127</v>
      </c>
      <c r="AI188" s="706">
        <f>AM80</f>
        <v>132000</v>
      </c>
      <c r="AJ188" s="706"/>
      <c r="AK188" s="229" t="s">
        <v>315</v>
      </c>
      <c r="AL188" s="707">
        <f>AM81</f>
        <v>1</v>
      </c>
      <c r="AM188" s="708"/>
      <c r="AN188" s="229" t="s">
        <v>315</v>
      </c>
      <c r="AO188" s="229">
        <v>3</v>
      </c>
      <c r="AP188"/>
      <c r="AQ188"/>
      <c r="AR188" s="10"/>
    </row>
    <row r="189" spans="1:44" ht="18" customHeight="1">
      <c r="A189" s="9"/>
      <c r="B189" s="156"/>
      <c r="C189" s="397"/>
      <c r="D189" s="375"/>
      <c r="E189" s="397"/>
      <c r="F189" s="375"/>
      <c r="G189" s="375"/>
      <c r="H189" s="156"/>
      <c r="I189" s="156"/>
      <c r="J189" s="156"/>
      <c r="K189" s="156"/>
      <c r="L189" s="157"/>
      <c r="M189" s="688">
        <f>+C185</f>
        <v>5.1207085634806848</v>
      </c>
      <c r="N189" s="688"/>
      <c r="O189" s="28" t="s">
        <v>315</v>
      </c>
      <c r="P189" s="689" t="s">
        <v>355</v>
      </c>
      <c r="Q189" s="689">
        <f>SQRT(3)</f>
        <v>1.7320508075688772</v>
      </c>
      <c r="R189" s="375"/>
      <c r="S189" s="156"/>
      <c r="T189"/>
      <c r="U189"/>
      <c r="V189" s="10"/>
      <c r="W189" s="9"/>
      <c r="X189" s="156"/>
      <c r="Y189" s="397"/>
      <c r="Z189" s="375"/>
      <c r="AA189" s="397"/>
      <c r="AB189" s="375"/>
      <c r="AC189" s="375"/>
      <c r="AD189" s="156"/>
      <c r="AE189" s="156"/>
      <c r="AF189" s="156"/>
      <c r="AG189" s="156"/>
      <c r="AH189" s="157"/>
      <c r="AI189" s="688">
        <f>+Y185</f>
        <v>5.1207085634806848</v>
      </c>
      <c r="AJ189" s="688"/>
      <c r="AK189" s="28" t="s">
        <v>315</v>
      </c>
      <c r="AL189" s="689" t="s">
        <v>355</v>
      </c>
      <c r="AM189" s="689">
        <f>SQRT(3)</f>
        <v>1.7320508075688772</v>
      </c>
      <c r="AN189" s="375"/>
      <c r="AO189" s="156"/>
      <c r="AP189"/>
      <c r="AQ189"/>
      <c r="AR189" s="10"/>
    </row>
    <row r="190" spans="1:44" ht="18" customHeight="1">
      <c r="A190" s="9"/>
      <c r="B190"/>
      <c r="C190"/>
      <c r="D190"/>
      <c r="E190"/>
      <c r="F190"/>
      <c r="G190"/>
      <c r="H190"/>
      <c r="I190"/>
      <c r="J190"/>
      <c r="K190"/>
      <c r="L190" s="102" t="s">
        <v>127</v>
      </c>
      <c r="M190" s="690">
        <f>(M188*P188*S188)/(M189*SQRT(3))</f>
        <v>44648.255952235893</v>
      </c>
      <c r="N190" s="691"/>
      <c r="O190" s="30" t="s">
        <v>8</v>
      </c>
      <c r="P190"/>
      <c r="Q190"/>
      <c r="R190"/>
      <c r="S190"/>
      <c r="T190"/>
      <c r="U190"/>
      <c r="V190" s="10"/>
      <c r="W190" s="9"/>
      <c r="X190"/>
      <c r="Y190"/>
      <c r="Z190"/>
      <c r="AA190"/>
      <c r="AB190"/>
      <c r="AC190"/>
      <c r="AD190"/>
      <c r="AE190"/>
      <c r="AF190"/>
      <c r="AG190"/>
      <c r="AH190" s="102" t="s">
        <v>127</v>
      </c>
      <c r="AI190" s="690">
        <f>(AI188*AL188*AO188)/(AI189*SQRT(3))</f>
        <v>44648.255952235893</v>
      </c>
      <c r="AJ190" s="691"/>
      <c r="AK190" s="30" t="s">
        <v>8</v>
      </c>
      <c r="AL190"/>
      <c r="AM190"/>
      <c r="AN190"/>
      <c r="AO190"/>
      <c r="AP190"/>
      <c r="AQ190"/>
      <c r="AR190" s="10"/>
    </row>
    <row r="191" spans="1:44" ht="18" customHeight="1">
      <c r="A191" s="193" t="s">
        <v>383</v>
      </c>
      <c r="B191"/>
      <c r="C191" s="155"/>
      <c r="D191" s="397"/>
      <c r="E191" s="397"/>
      <c r="F191" s="397"/>
      <c r="G191" s="375"/>
      <c r="H191" s="375"/>
      <c r="I191" s="156"/>
      <c r="J191" s="156"/>
      <c r="K191" s="156"/>
      <c r="L191" s="156"/>
      <c r="M191" s="410"/>
      <c r="N191" s="411"/>
      <c r="O191" s="412"/>
      <c r="P191" s="413"/>
      <c r="Q191" s="157"/>
      <c r="R191" s="402"/>
      <c r="S191" s="414"/>
      <c r="T191"/>
      <c r="U191"/>
      <c r="V191" s="10"/>
      <c r="W191" s="193" t="s">
        <v>383</v>
      </c>
      <c r="X191"/>
      <c r="Y191" s="155"/>
      <c r="Z191" s="397"/>
      <c r="AA191" s="397"/>
      <c r="AB191" s="397"/>
      <c r="AC191" s="375"/>
      <c r="AD191" s="375"/>
      <c r="AE191" s="156"/>
      <c r="AF191" s="156"/>
      <c r="AG191" s="156"/>
      <c r="AH191" s="156"/>
      <c r="AI191" s="410"/>
      <c r="AJ191" s="411"/>
      <c r="AK191" s="412"/>
      <c r="AL191" s="413"/>
      <c r="AM191" s="157"/>
      <c r="AN191" s="402"/>
      <c r="AO191" s="414"/>
      <c r="AP191"/>
      <c r="AQ191"/>
      <c r="AR191" s="10"/>
    </row>
    <row r="192" spans="1:44" ht="18" customHeight="1">
      <c r="A192" s="396"/>
      <c r="B192" s="47" t="s">
        <v>357</v>
      </c>
      <c r="C192" s="156"/>
      <c r="D192" s="397"/>
      <c r="E192"/>
      <c r="F192" s="376"/>
      <c r="G192" s="102" t="s">
        <v>127</v>
      </c>
      <c r="H192" s="28">
        <v>2</v>
      </c>
      <c r="I192" s="28" t="s">
        <v>315</v>
      </c>
      <c r="J192" s="278" t="s">
        <v>318</v>
      </c>
      <c r="K192" s="28" t="s">
        <v>315</v>
      </c>
      <c r="L192" s="28" t="s">
        <v>319</v>
      </c>
      <c r="M192" s="28" t="s">
        <v>315</v>
      </c>
      <c r="N192" s="47" t="s">
        <v>320</v>
      </c>
      <c r="O192" s="376"/>
      <c r="P192" s="163"/>
      <c r="Q192" s="398"/>
      <c r="R192"/>
      <c r="S192" s="376"/>
      <c r="T192"/>
      <c r="U192"/>
      <c r="V192" s="10"/>
      <c r="W192" s="396"/>
      <c r="X192" s="47" t="s">
        <v>357</v>
      </c>
      <c r="Y192" s="156"/>
      <c r="Z192" s="397"/>
      <c r="AA192"/>
      <c r="AB192" s="376"/>
      <c r="AC192" s="102" t="s">
        <v>127</v>
      </c>
      <c r="AD192" s="28">
        <v>2</v>
      </c>
      <c r="AE192" s="28" t="s">
        <v>315</v>
      </c>
      <c r="AF192" s="278" t="s">
        <v>318</v>
      </c>
      <c r="AG192" s="28" t="s">
        <v>315</v>
      </c>
      <c r="AH192" s="28" t="s">
        <v>319</v>
      </c>
      <c r="AI192" s="28" t="s">
        <v>315</v>
      </c>
      <c r="AJ192" s="47" t="s">
        <v>320</v>
      </c>
      <c r="AK192" s="376"/>
      <c r="AL192" s="163"/>
      <c r="AM192" s="398"/>
      <c r="AN192"/>
      <c r="AO192" s="376"/>
      <c r="AP192"/>
      <c r="AQ192"/>
      <c r="AR192" s="10"/>
    </row>
    <row r="193" spans="1:44" ht="18" customHeight="1">
      <c r="A193" s="396"/>
      <c r="B193" s="47" t="s">
        <v>358</v>
      </c>
      <c r="C193" s="156"/>
      <c r="D193" s="375"/>
      <c r="E193" s="376"/>
      <c r="F193" s="376"/>
      <c r="H193" s="376"/>
      <c r="I193" s="152"/>
      <c r="J193" s="152"/>
      <c r="K193" s="152"/>
      <c r="L193" s="152"/>
      <c r="M193"/>
      <c r="N193" s="376"/>
      <c r="O193" s="28" t="s">
        <v>322</v>
      </c>
      <c r="P193" s="102" t="s">
        <v>127</v>
      </c>
      <c r="Q193" s="692">
        <f>M186</f>
        <v>9.3138687003886869</v>
      </c>
      <c r="R193" s="693"/>
      <c r="S193" s="372"/>
      <c r="T193"/>
      <c r="U193"/>
      <c r="V193" s="10"/>
      <c r="W193" s="396"/>
      <c r="X193" s="47" t="s">
        <v>358</v>
      </c>
      <c r="Y193" s="156"/>
      <c r="Z193" s="375"/>
      <c r="AA193" s="376"/>
      <c r="AB193" s="376"/>
      <c r="AD193" s="376"/>
      <c r="AE193" s="152"/>
      <c r="AF193" s="152"/>
      <c r="AG193" s="152"/>
      <c r="AH193" s="152"/>
      <c r="AI193"/>
      <c r="AJ193" s="376"/>
      <c r="AK193" s="28" t="s">
        <v>322</v>
      </c>
      <c r="AL193" s="102" t="s">
        <v>127</v>
      </c>
      <c r="AM193" s="692">
        <f>AI186</f>
        <v>9.3138687003886869</v>
      </c>
      <c r="AN193" s="693"/>
      <c r="AO193" s="372"/>
      <c r="AP193"/>
      <c r="AQ193"/>
      <c r="AR193" s="10"/>
    </row>
    <row r="194" spans="1:44" ht="18" customHeight="1">
      <c r="A194" s="396"/>
      <c r="B194" s="47" t="s">
        <v>263</v>
      </c>
      <c r="C194" s="156"/>
      <c r="D194" s="397"/>
      <c r="E194" s="7"/>
      <c r="F194" s="7"/>
      <c r="H194" s="376"/>
      <c r="I194" s="152"/>
      <c r="J194" s="152"/>
      <c r="K194" s="152"/>
      <c r="L194" s="152"/>
      <c r="M194"/>
      <c r="N194" s="376"/>
      <c r="O194" s="28" t="s">
        <v>319</v>
      </c>
      <c r="P194" s="102" t="s">
        <v>127</v>
      </c>
      <c r="Q194" s="694">
        <f>Q51</f>
        <v>50</v>
      </c>
      <c r="R194" s="695"/>
      <c r="S194" s="47" t="s">
        <v>264</v>
      </c>
      <c r="T194"/>
      <c r="U194"/>
      <c r="V194" s="10"/>
      <c r="W194" s="396"/>
      <c r="X194" s="47" t="s">
        <v>263</v>
      </c>
      <c r="Y194" s="156"/>
      <c r="Z194" s="397"/>
      <c r="AA194" s="7"/>
      <c r="AB194" s="7"/>
      <c r="AD194" s="376"/>
      <c r="AE194" s="152"/>
      <c r="AF194" s="152"/>
      <c r="AG194" s="152"/>
      <c r="AH194" s="152"/>
      <c r="AI194"/>
      <c r="AJ194" s="376"/>
      <c r="AK194" s="28" t="s">
        <v>319</v>
      </c>
      <c r="AL194" s="102" t="s">
        <v>127</v>
      </c>
      <c r="AM194" s="694">
        <f>AM51</f>
        <v>50</v>
      </c>
      <c r="AN194" s="695"/>
      <c r="AO194" s="47" t="s">
        <v>264</v>
      </c>
      <c r="AP194"/>
      <c r="AQ194"/>
      <c r="AR194" s="10"/>
    </row>
    <row r="195" spans="1:44" ht="18" customHeight="1">
      <c r="A195" s="396"/>
      <c r="B195" s="249" t="s">
        <v>340</v>
      </c>
      <c r="C195" s="156"/>
      <c r="D195" s="397"/>
      <c r="E195"/>
      <c r="F195" s="123"/>
      <c r="G195" s="28" t="s">
        <v>127</v>
      </c>
      <c r="H195" s="28" t="s">
        <v>341</v>
      </c>
      <c r="I195" s="399" t="s">
        <v>342</v>
      </c>
      <c r="J195" s="28">
        <v>2</v>
      </c>
      <c r="K195" s="28" t="s">
        <v>315</v>
      </c>
      <c r="L195" s="278" t="s">
        <v>318</v>
      </c>
      <c r="M195" s="400" t="s">
        <v>315</v>
      </c>
      <c r="N195" s="218" t="s">
        <v>319</v>
      </c>
      <c r="O195" s="103"/>
      <c r="P195" s="102" t="s">
        <v>127</v>
      </c>
      <c r="Q195" s="696">
        <f>(Q193*1000)/(J195*(22/7)*Q194)</f>
        <v>29.635036773964003</v>
      </c>
      <c r="R195" s="697"/>
      <c r="S195" s="47" t="s">
        <v>343</v>
      </c>
      <c r="T195"/>
      <c r="U195"/>
      <c r="V195" s="10"/>
      <c r="W195" s="396"/>
      <c r="X195" s="249" t="s">
        <v>340</v>
      </c>
      <c r="Y195" s="156"/>
      <c r="Z195" s="397"/>
      <c r="AA195"/>
      <c r="AB195" s="123"/>
      <c r="AC195" s="28" t="s">
        <v>127</v>
      </c>
      <c r="AD195" s="28" t="s">
        <v>341</v>
      </c>
      <c r="AE195" s="399" t="s">
        <v>342</v>
      </c>
      <c r="AF195" s="28">
        <v>2</v>
      </c>
      <c r="AG195" s="28" t="s">
        <v>315</v>
      </c>
      <c r="AH195" s="278" t="s">
        <v>318</v>
      </c>
      <c r="AI195" s="400" t="s">
        <v>315</v>
      </c>
      <c r="AJ195" s="218" t="s">
        <v>319</v>
      </c>
      <c r="AK195" s="103"/>
      <c r="AL195" s="102" t="s">
        <v>127</v>
      </c>
      <c r="AM195" s="696">
        <f>(AM193*1000)/(AF195*(22/7)*AM194)</f>
        <v>29.635036773964003</v>
      </c>
      <c r="AN195" s="697"/>
      <c r="AO195" s="47" t="s">
        <v>343</v>
      </c>
      <c r="AP195"/>
      <c r="AQ195"/>
      <c r="AR195" s="10"/>
    </row>
    <row r="196" spans="1:44" ht="18" customHeight="1">
      <c r="A196" s="698" t="s">
        <v>1136</v>
      </c>
      <c r="B196" s="684"/>
      <c r="C196" s="684"/>
      <c r="D196" s="684"/>
      <c r="E196" s="684"/>
      <c r="F196" s="684"/>
      <c r="G196" s="684"/>
      <c r="H196" s="684"/>
      <c r="I196" s="684"/>
      <c r="J196" s="684"/>
      <c r="K196" s="684"/>
      <c r="L196" s="684"/>
      <c r="M196" s="684"/>
      <c r="N196" s="684"/>
      <c r="O196" s="684"/>
      <c r="P196" s="684"/>
      <c r="Q196" s="684"/>
      <c r="R196" s="684"/>
      <c r="S196" s="684"/>
      <c r="T196" s="684"/>
      <c r="U196" s="684"/>
      <c r="V196" s="699"/>
      <c r="W196" s="698" t="s">
        <v>1136</v>
      </c>
      <c r="X196" s="684"/>
      <c r="Y196" s="684"/>
      <c r="Z196" s="684"/>
      <c r="AA196" s="684"/>
      <c r="AB196" s="684"/>
      <c r="AC196" s="684"/>
      <c r="AD196" s="684"/>
      <c r="AE196" s="684"/>
      <c r="AF196" s="684"/>
      <c r="AG196" s="684"/>
      <c r="AH196" s="684"/>
      <c r="AI196" s="684"/>
      <c r="AJ196" s="684"/>
      <c r="AK196" s="684"/>
      <c r="AL196" s="684"/>
      <c r="AM196" s="684"/>
      <c r="AN196" s="684"/>
      <c r="AO196" s="684"/>
      <c r="AP196" s="684"/>
      <c r="AQ196" s="684"/>
      <c r="AR196" s="699"/>
    </row>
    <row r="197" spans="1:44" ht="18" customHeight="1">
      <c r="A197" s="685"/>
      <c r="B197" s="684"/>
      <c r="C197" s="684"/>
      <c r="D197" s="684"/>
      <c r="E197" s="684"/>
      <c r="F197" s="684"/>
      <c r="G197" s="684"/>
      <c r="H197" s="684"/>
      <c r="I197" s="684"/>
      <c r="J197" s="684"/>
      <c r="K197" s="684"/>
      <c r="L197" s="684"/>
      <c r="M197" s="684"/>
      <c r="N197" s="684"/>
      <c r="O197" s="684"/>
      <c r="P197" s="684"/>
      <c r="Q197" s="684"/>
      <c r="R197" s="684"/>
      <c r="S197" s="684"/>
      <c r="T197" s="684"/>
      <c r="U197" s="684"/>
      <c r="V197" s="699"/>
      <c r="W197" s="685"/>
      <c r="X197" s="684"/>
      <c r="Y197" s="684"/>
      <c r="Z197" s="684"/>
      <c r="AA197" s="684"/>
      <c r="AB197" s="684"/>
      <c r="AC197" s="684"/>
      <c r="AD197" s="684"/>
      <c r="AE197" s="684"/>
      <c r="AF197" s="684"/>
      <c r="AG197" s="684"/>
      <c r="AH197" s="684"/>
      <c r="AI197" s="684"/>
      <c r="AJ197" s="684"/>
      <c r="AK197" s="684"/>
      <c r="AL197" s="684"/>
      <c r="AM197" s="684"/>
      <c r="AN197" s="684"/>
      <c r="AO197" s="684"/>
      <c r="AP197" s="684"/>
      <c r="AQ197" s="684"/>
      <c r="AR197" s="699"/>
    </row>
    <row r="198" spans="1:44" ht="18" customHeight="1">
      <c r="A198" s="9"/>
      <c r="B198" s="156"/>
      <c r="C198" s="397"/>
      <c r="D198" s="375"/>
      <c r="E198" s="397"/>
      <c r="F198" s="375"/>
      <c r="G198" s="375"/>
      <c r="H198" s="156"/>
      <c r="I198" s="156"/>
      <c r="J198" s="156"/>
      <c r="K198" s="156"/>
      <c r="L198" s="157"/>
      <c r="M198" s="688">
        <f>+Y194</f>
        <v>0</v>
      </c>
      <c r="N198" s="688"/>
      <c r="O198" s="28" t="s">
        <v>315</v>
      </c>
      <c r="P198" s="689" t="s">
        <v>355</v>
      </c>
      <c r="Q198" s="689">
        <f>SQRT(3)</f>
        <v>1.7320508075688772</v>
      </c>
      <c r="R198" s="375"/>
      <c r="S198" s="156"/>
      <c r="T198"/>
      <c r="U198"/>
      <c r="V198" s="10"/>
    </row>
    <row r="199" spans="1:44" ht="21" customHeight="1">
      <c r="A199" s="9"/>
      <c r="B199"/>
      <c r="C199"/>
      <c r="D199"/>
      <c r="E199"/>
      <c r="F199"/>
      <c r="G199"/>
      <c r="H199"/>
      <c r="I199"/>
      <c r="J199"/>
      <c r="K199"/>
      <c r="L199" s="102" t="s">
        <v>127</v>
      </c>
      <c r="M199" s="690" t="e">
        <f>(AI197*AL197*AO197)/(M198*SQRT(3))</f>
        <v>#DIV/0!</v>
      </c>
      <c r="N199" s="691"/>
      <c r="O199" s="30" t="s">
        <v>8</v>
      </c>
      <c r="P199"/>
      <c r="Q199"/>
      <c r="R199"/>
      <c r="S199"/>
      <c r="T199"/>
      <c r="U199"/>
      <c r="V199" s="10"/>
    </row>
    <row r="200" spans="1:44" ht="18" customHeight="1">
      <c r="A200" s="193" t="s">
        <v>383</v>
      </c>
      <c r="B200"/>
      <c r="C200" s="155"/>
      <c r="D200" s="397"/>
      <c r="E200" s="397"/>
      <c r="F200" s="397"/>
      <c r="G200" s="375"/>
      <c r="H200" s="375"/>
      <c r="I200" s="156"/>
      <c r="J200" s="156"/>
      <c r="K200" s="156"/>
      <c r="L200" s="156"/>
      <c r="M200" s="410"/>
      <c r="N200" s="411"/>
      <c r="O200" s="412"/>
      <c r="P200" s="413"/>
      <c r="Q200" s="157"/>
      <c r="R200" s="402"/>
      <c r="S200" s="414"/>
      <c r="T200"/>
      <c r="U200"/>
      <c r="V200" s="10"/>
    </row>
    <row r="201" spans="1:44" ht="18" customHeight="1">
      <c r="A201" s="396"/>
      <c r="B201" s="47" t="s">
        <v>357</v>
      </c>
      <c r="C201" s="156"/>
      <c r="D201" s="397"/>
      <c r="E201"/>
      <c r="F201" s="376"/>
      <c r="G201" s="102" t="s">
        <v>127</v>
      </c>
      <c r="H201" s="28">
        <v>2</v>
      </c>
      <c r="I201" s="28" t="s">
        <v>315</v>
      </c>
      <c r="J201" s="278" t="s">
        <v>318</v>
      </c>
      <c r="K201" s="28" t="s">
        <v>315</v>
      </c>
      <c r="L201" s="28" t="s">
        <v>319</v>
      </c>
      <c r="M201" s="28" t="s">
        <v>315</v>
      </c>
      <c r="N201" s="47" t="s">
        <v>320</v>
      </c>
      <c r="O201" s="376"/>
      <c r="P201" s="163"/>
      <c r="Q201" s="398"/>
      <c r="R201"/>
      <c r="S201" s="376"/>
      <c r="T201"/>
      <c r="U201"/>
      <c r="V201" s="10"/>
    </row>
    <row r="202" spans="1:44" ht="18" customHeight="1">
      <c r="A202" s="396"/>
      <c r="B202" s="47" t="s">
        <v>358</v>
      </c>
      <c r="C202" s="156"/>
      <c r="D202" s="375"/>
      <c r="E202" s="376"/>
      <c r="F202" s="376"/>
      <c r="H202" s="376"/>
      <c r="I202" s="152"/>
      <c r="J202" s="152"/>
      <c r="K202" s="152"/>
      <c r="L202" s="152"/>
      <c r="M202"/>
      <c r="N202" s="376"/>
      <c r="O202" s="28" t="s">
        <v>322</v>
      </c>
      <c r="P202" s="102" t="s">
        <v>127</v>
      </c>
      <c r="Q202" s="692" t="str">
        <f>AI195</f>
        <v>x</v>
      </c>
      <c r="R202" s="693"/>
      <c r="S202" s="372"/>
      <c r="T202"/>
      <c r="U202"/>
      <c r="V202" s="10"/>
    </row>
    <row r="203" spans="1:44" ht="18" customHeight="1">
      <c r="A203" s="396"/>
      <c r="B203" s="47" t="s">
        <v>263</v>
      </c>
      <c r="C203" s="156"/>
      <c r="D203" s="397"/>
      <c r="E203" s="7"/>
      <c r="F203" s="7"/>
      <c r="H203" s="376"/>
      <c r="I203" s="152"/>
      <c r="J203" s="152"/>
      <c r="K203" s="152"/>
      <c r="L203" s="152"/>
      <c r="M203"/>
      <c r="N203" s="376"/>
      <c r="O203" s="28" t="s">
        <v>319</v>
      </c>
      <c r="P203" s="102" t="s">
        <v>127</v>
      </c>
      <c r="Q203" s="694">
        <f>AM52</f>
        <v>132</v>
      </c>
      <c r="R203" s="695"/>
      <c r="S203" s="47" t="s">
        <v>264</v>
      </c>
      <c r="T203"/>
      <c r="U203"/>
      <c r="V203" s="10"/>
    </row>
    <row r="204" spans="1:44" ht="18" customHeight="1">
      <c r="A204" s="396"/>
      <c r="B204" s="249" t="s">
        <v>340</v>
      </c>
      <c r="C204" s="156"/>
      <c r="D204" s="397"/>
      <c r="E204"/>
      <c r="F204" s="123"/>
      <c r="G204" s="28" t="s">
        <v>127</v>
      </c>
      <c r="H204" s="28" t="s">
        <v>341</v>
      </c>
      <c r="I204" s="399" t="s">
        <v>342</v>
      </c>
      <c r="J204" s="28">
        <v>2</v>
      </c>
      <c r="K204" s="28" t="s">
        <v>315</v>
      </c>
      <c r="L204" s="278" t="s">
        <v>318</v>
      </c>
      <c r="M204" s="400" t="s">
        <v>315</v>
      </c>
      <c r="N204" s="218" t="s">
        <v>319</v>
      </c>
      <c r="O204" s="103"/>
      <c r="P204" s="102" t="s">
        <v>127</v>
      </c>
      <c r="Q204" s="696" t="e">
        <f>(Q202*1000)/(J204*(22/7)*Q203)</f>
        <v>#VALUE!</v>
      </c>
      <c r="R204" s="697"/>
      <c r="S204" s="47" t="s">
        <v>343</v>
      </c>
      <c r="T204"/>
      <c r="U204"/>
      <c r="V204" s="10"/>
    </row>
    <row r="205" spans="1:44" ht="18" customHeight="1">
      <c r="A205" s="685" t="s">
        <v>1076</v>
      </c>
      <c r="B205" s="684"/>
      <c r="C205" s="684"/>
      <c r="D205" s="684"/>
      <c r="E205" s="684"/>
      <c r="F205" s="684"/>
      <c r="G205" s="684"/>
      <c r="H205" s="684"/>
      <c r="I205" s="684"/>
      <c r="J205" s="684"/>
      <c r="K205" s="684"/>
      <c r="L205" s="684"/>
      <c r="M205" s="684"/>
      <c r="N205" s="684"/>
      <c r="O205" s="684"/>
      <c r="P205" s="684"/>
      <c r="Q205" s="684"/>
      <c r="R205" s="684"/>
      <c r="S205" s="684"/>
      <c r="T205" s="684"/>
      <c r="U205" s="684"/>
      <c r="V205" s="699"/>
    </row>
    <row r="206" spans="1:44" ht="18" customHeight="1">
      <c r="A206" s="685"/>
      <c r="B206" s="684"/>
      <c r="C206" s="684"/>
      <c r="D206" s="684"/>
      <c r="E206" s="684"/>
      <c r="F206" s="684"/>
      <c r="G206" s="684"/>
      <c r="H206" s="684"/>
      <c r="I206" s="684"/>
      <c r="J206" s="684"/>
      <c r="K206" s="684"/>
      <c r="L206" s="684"/>
      <c r="M206" s="684"/>
      <c r="N206" s="684"/>
      <c r="O206" s="684"/>
      <c r="P206" s="684"/>
      <c r="Q206" s="684"/>
      <c r="R206" s="684"/>
      <c r="S206" s="684"/>
      <c r="T206" s="684"/>
      <c r="U206" s="684"/>
      <c r="V206" s="699"/>
    </row>
    <row r="207" spans="1:44" ht="18" customHeight="1">
      <c r="A207" s="184"/>
      <c r="V207" s="185"/>
    </row>
    <row r="208" spans="1:44" ht="18" customHeight="1">
      <c r="A208" s="184"/>
      <c r="B208" s="1099" t="s">
        <v>108</v>
      </c>
      <c r="C208" s="1100"/>
      <c r="D208" s="1099" t="s">
        <v>109</v>
      </c>
      <c r="E208" s="1101"/>
      <c r="F208" s="255"/>
      <c r="H208" s="689" t="s">
        <v>559</v>
      </c>
      <c r="I208" s="689"/>
      <c r="J208" s="689"/>
      <c r="K208" s="689"/>
      <c r="L208" s="689"/>
      <c r="M208" s="689"/>
      <c r="P208" s="186"/>
      <c r="S208" s="187" t="s">
        <v>387</v>
      </c>
      <c r="T208" s="1095" t="s">
        <v>560</v>
      </c>
      <c r="U208" s="1096"/>
      <c r="V208" s="185"/>
    </row>
    <row r="209" spans="1:22" ht="18" customHeight="1">
      <c r="A209" s="184"/>
      <c r="B209" s="1097"/>
      <c r="C209" s="1098"/>
      <c r="D209" s="1102"/>
      <c r="E209" s="1103"/>
      <c r="F209" s="255"/>
      <c r="T209" s="1095"/>
      <c r="U209" s="1096"/>
      <c r="V209" s="185"/>
    </row>
    <row r="210" spans="1:22" ht="18" customHeight="1">
      <c r="A210" s="184"/>
      <c r="H210" s="789" t="s">
        <v>390</v>
      </c>
      <c r="I210" s="789"/>
      <c r="J210" s="790" t="s">
        <v>391</v>
      </c>
      <c r="K210" s="790"/>
      <c r="L210" s="790" t="s">
        <v>392</v>
      </c>
      <c r="M210" s="790"/>
      <c r="T210" s="1095"/>
      <c r="U210" s="1096"/>
      <c r="V210" s="185"/>
    </row>
    <row r="211" spans="1:22" ht="18" customHeight="1">
      <c r="A211" s="184"/>
      <c r="B211" s="47" t="s">
        <v>393</v>
      </c>
      <c r="H211" s="791">
        <v>3000</v>
      </c>
      <c r="I211" s="792"/>
      <c r="J211" s="781">
        <v>2000</v>
      </c>
      <c r="K211" s="782"/>
      <c r="L211" s="781" t="s">
        <v>6</v>
      </c>
      <c r="M211" s="782"/>
      <c r="N211" s="191" t="s">
        <v>342</v>
      </c>
      <c r="O211" s="125">
        <v>1</v>
      </c>
      <c r="P211" s="27" t="s">
        <v>8</v>
      </c>
      <c r="R211" s="255"/>
      <c r="S211" s="255"/>
      <c r="T211" s="1095"/>
      <c r="U211" s="1096"/>
      <c r="V211" s="185"/>
    </row>
    <row r="212" spans="1:22" ht="18" customHeight="1">
      <c r="A212" s="184"/>
      <c r="B212" s="47" t="s">
        <v>394</v>
      </c>
      <c r="H212" s="293" t="s">
        <v>561</v>
      </c>
      <c r="I212" s="294">
        <v>20</v>
      </c>
      <c r="V212" s="185"/>
    </row>
    <row r="213" spans="1:22" ht="18" customHeight="1">
      <c r="A213" s="184"/>
      <c r="B213" s="47" t="s">
        <v>396</v>
      </c>
      <c r="G213" s="120" t="s">
        <v>497</v>
      </c>
      <c r="H213" s="1097">
        <v>20</v>
      </c>
      <c r="I213" s="1098"/>
      <c r="J213" s="192" t="s">
        <v>333</v>
      </c>
      <c r="V213" s="185"/>
    </row>
    <row r="214" spans="1:22" ht="18" customHeight="1">
      <c r="A214" s="184"/>
      <c r="B214" s="47" t="s">
        <v>562</v>
      </c>
      <c r="G214" s="120" t="s">
        <v>493</v>
      </c>
      <c r="H214" s="781">
        <v>7.5</v>
      </c>
      <c r="I214" s="782"/>
      <c r="J214" s="14" t="s">
        <v>157</v>
      </c>
      <c r="T214" s="295"/>
      <c r="U214" s="18"/>
      <c r="V214" s="185"/>
    </row>
    <row r="215" spans="1:22" ht="18" customHeight="1">
      <c r="A215" s="184"/>
      <c r="H215" s="14"/>
      <c r="V215" s="185"/>
    </row>
    <row r="216" spans="1:22" ht="18" customHeight="1">
      <c r="A216" s="193" t="s">
        <v>404</v>
      </c>
      <c r="V216" s="185"/>
    </row>
    <row r="217" spans="1:22" ht="18" customHeight="1">
      <c r="A217" s="184"/>
      <c r="V217" s="185"/>
    </row>
    <row r="218" spans="1:22" ht="18" customHeight="1">
      <c r="A218" s="184"/>
      <c r="B218" s="135" t="s">
        <v>405</v>
      </c>
      <c r="C218" s="273"/>
      <c r="D218" s="139" t="str">
        <f>T208</f>
        <v>7SJ85</v>
      </c>
      <c r="E218" s="227"/>
      <c r="F218" s="227"/>
      <c r="G218" s="227"/>
      <c r="H218" s="138"/>
      <c r="I218" s="260" t="s">
        <v>127</v>
      </c>
      <c r="J218" s="1104">
        <f>'CT-VT Burdens'!Q110</f>
        <v>0.02</v>
      </c>
      <c r="K218" s="1105"/>
      <c r="L218" s="3" t="s">
        <v>157</v>
      </c>
      <c r="N218" s="197" t="s">
        <v>510</v>
      </c>
      <c r="V218" s="185"/>
    </row>
    <row r="219" spans="1:22" ht="18" customHeight="1">
      <c r="A219" s="184"/>
      <c r="B219" s="96" t="s">
        <v>405</v>
      </c>
      <c r="D219" s="296">
        <f>T209</f>
        <v>0</v>
      </c>
      <c r="I219" s="177" t="s">
        <v>127</v>
      </c>
      <c r="J219" s="1106"/>
      <c r="K219" s="1107"/>
      <c r="L219" s="198" t="s">
        <v>157</v>
      </c>
      <c r="P219" s="244"/>
      <c r="V219" s="185"/>
    </row>
    <row r="220" spans="1:22" ht="18" customHeight="1">
      <c r="A220" s="184"/>
      <c r="B220" s="96" t="s">
        <v>405</v>
      </c>
      <c r="C220" s="14"/>
      <c r="D220" s="47">
        <f>T210</f>
        <v>0</v>
      </c>
      <c r="E220" s="14"/>
      <c r="G220" s="199"/>
      <c r="H220" s="27"/>
      <c r="I220" s="101" t="s">
        <v>127</v>
      </c>
      <c r="J220" s="1108"/>
      <c r="K220" s="788"/>
      <c r="L220" s="202" t="s">
        <v>157</v>
      </c>
      <c r="V220" s="185"/>
    </row>
    <row r="221" spans="1:22" ht="18" customHeight="1">
      <c r="A221" s="184"/>
      <c r="B221" s="96" t="s">
        <v>405</v>
      </c>
      <c r="C221" s="14"/>
      <c r="D221" s="47" t="s">
        <v>665</v>
      </c>
      <c r="E221" s="14"/>
      <c r="G221" s="199"/>
      <c r="H221" s="27"/>
      <c r="I221" s="101"/>
      <c r="J221" s="1108"/>
      <c r="K221" s="1104"/>
      <c r="L221" s="202" t="s">
        <v>157</v>
      </c>
      <c r="N221" s="120" t="s">
        <v>491</v>
      </c>
      <c r="O221" s="27" t="s">
        <v>127</v>
      </c>
      <c r="P221" s="27" t="s">
        <v>511</v>
      </c>
      <c r="Q221" s="27" t="s">
        <v>315</v>
      </c>
      <c r="R221" s="27" t="s">
        <v>511</v>
      </c>
      <c r="S221" s="27" t="s">
        <v>315</v>
      </c>
      <c r="T221" s="27" t="s">
        <v>420</v>
      </c>
      <c r="V221" s="185"/>
    </row>
    <row r="222" spans="1:22" ht="18" customHeight="1">
      <c r="A222" s="184"/>
      <c r="B222" s="184" t="s">
        <v>412</v>
      </c>
      <c r="C222" s="14"/>
      <c r="D222" s="14"/>
      <c r="E222" s="14"/>
      <c r="H222" s="27"/>
      <c r="I222" s="101" t="s">
        <v>127</v>
      </c>
      <c r="J222" s="1109">
        <f>'CT-VT Burdens'!S24</f>
        <v>1.0770224400000001</v>
      </c>
      <c r="K222" s="1110"/>
      <c r="L222" s="297" t="s">
        <v>157</v>
      </c>
      <c r="O222" s="27" t="s">
        <v>127</v>
      </c>
      <c r="P222" s="27">
        <f>O211</f>
        <v>1</v>
      </c>
      <c r="Q222" s="27" t="s">
        <v>315</v>
      </c>
      <c r="R222" s="27">
        <f>O211</f>
        <v>1</v>
      </c>
      <c r="S222" s="27" t="s">
        <v>315</v>
      </c>
      <c r="T222" s="27">
        <f>H213</f>
        <v>20</v>
      </c>
      <c r="V222" s="185"/>
    </row>
    <row r="223" spans="1:22" ht="18" customHeight="1">
      <c r="A223" s="184"/>
      <c r="B223" s="1" t="s">
        <v>413</v>
      </c>
      <c r="C223" s="2"/>
      <c r="D223" s="2"/>
      <c r="E223" s="2"/>
      <c r="F223" s="196"/>
      <c r="G223" s="196"/>
      <c r="H223" s="224" t="s">
        <v>512</v>
      </c>
      <c r="I223" s="183" t="s">
        <v>127</v>
      </c>
      <c r="J223" s="722">
        <f>SUM(J218:J222)</f>
        <v>1.0970224400000002</v>
      </c>
      <c r="K223" s="958"/>
      <c r="L223" s="3" t="s">
        <v>157</v>
      </c>
      <c r="O223" s="27" t="s">
        <v>127</v>
      </c>
      <c r="P223" s="795">
        <f>P222*R222*T222</f>
        <v>20</v>
      </c>
      <c r="Q223" s="684"/>
      <c r="R223" s="27" t="s">
        <v>157</v>
      </c>
      <c r="S223" s="27"/>
      <c r="T223" s="27"/>
      <c r="V223" s="185"/>
    </row>
    <row r="224" spans="1:22" ht="18" customHeight="1">
      <c r="A224" s="184"/>
      <c r="B224" s="47"/>
      <c r="C224" s="47"/>
      <c r="D224" s="47"/>
      <c r="E224" s="47"/>
      <c r="H224" s="27"/>
      <c r="I224" s="28"/>
      <c r="J224" s="199"/>
      <c r="L224" s="47"/>
      <c r="O224" s="27"/>
      <c r="P224" s="211"/>
      <c r="Q224" s="27"/>
      <c r="R224" s="204"/>
      <c r="S224" s="27"/>
      <c r="V224" s="185"/>
    </row>
    <row r="225" spans="1:22" ht="18" customHeight="1">
      <c r="A225" s="168"/>
      <c r="B225" s="5"/>
      <c r="C225" s="47" t="s">
        <v>543</v>
      </c>
      <c r="D225" s="14"/>
      <c r="E225" s="14"/>
      <c r="F225" s="14"/>
      <c r="G225" s="14"/>
      <c r="H225" s="279"/>
      <c r="I225" s="120"/>
      <c r="J225" s="279"/>
      <c r="K225" s="279"/>
      <c r="L225" s="14"/>
      <c r="M225" s="14"/>
      <c r="N225" s="14"/>
      <c r="O225" s="14"/>
      <c r="P225" s="14"/>
      <c r="Q225" s="120" t="s">
        <v>544</v>
      </c>
      <c r="R225" s="102" t="s">
        <v>127</v>
      </c>
      <c r="S225" s="689">
        <v>31500</v>
      </c>
      <c r="T225" s="689"/>
      <c r="U225" s="47" t="s">
        <v>8</v>
      </c>
      <c r="V225" s="97" t="s">
        <v>129</v>
      </c>
    </row>
    <row r="226" spans="1:22" ht="18" customHeight="1">
      <c r="A226" s="168"/>
      <c r="B226" s="5"/>
      <c r="C226" s="47" t="s">
        <v>545</v>
      </c>
      <c r="D226" s="14"/>
      <c r="E226" s="14"/>
      <c r="F226" s="18"/>
      <c r="G226" s="18"/>
      <c r="H226" s="279"/>
      <c r="I226" s="120"/>
      <c r="J226" s="279"/>
      <c r="K226" s="279"/>
      <c r="L226" s="14"/>
      <c r="M226" s="14"/>
      <c r="N226" s="14"/>
      <c r="O226" s="14"/>
      <c r="P226" s="14"/>
      <c r="Q226" s="120" t="s">
        <v>423</v>
      </c>
      <c r="R226" s="102" t="s">
        <v>127</v>
      </c>
      <c r="S226" s="689">
        <f>H211</f>
        <v>3000</v>
      </c>
      <c r="T226" s="689"/>
      <c r="U226" s="14" t="s">
        <v>8</v>
      </c>
      <c r="V226" s="185"/>
    </row>
    <row r="227" spans="1:22" ht="18" customHeight="1">
      <c r="A227" s="168"/>
      <c r="B227" s="5"/>
      <c r="C227" s="47" t="s">
        <v>547</v>
      </c>
      <c r="D227" s="14"/>
      <c r="E227" s="14"/>
      <c r="F227" s="18"/>
      <c r="G227" s="18"/>
      <c r="H227" s="279"/>
      <c r="I227" s="120"/>
      <c r="J227" s="279"/>
      <c r="K227" s="279"/>
      <c r="L227" s="14"/>
      <c r="M227" s="14"/>
      <c r="N227" s="14"/>
      <c r="O227" s="14"/>
      <c r="P227" s="14"/>
      <c r="Q227" s="120" t="s">
        <v>491</v>
      </c>
      <c r="R227" s="102" t="s">
        <v>127</v>
      </c>
      <c r="S227" s="692">
        <f>P223</f>
        <v>20</v>
      </c>
      <c r="T227" s="689"/>
      <c r="U227" s="14" t="s">
        <v>157</v>
      </c>
      <c r="V227" s="185"/>
    </row>
    <row r="228" spans="1:22" ht="18" customHeight="1">
      <c r="A228" s="168"/>
      <c r="B228" s="5"/>
      <c r="C228" s="47" t="s">
        <v>548</v>
      </c>
      <c r="D228" s="14"/>
      <c r="E228" s="14"/>
      <c r="F228" s="18"/>
      <c r="G228" s="18"/>
      <c r="H228" s="279"/>
      <c r="I228" s="120"/>
      <c r="J228" s="279"/>
      <c r="K228" s="279"/>
      <c r="L228" s="14"/>
      <c r="M228" s="14"/>
      <c r="N228" s="14"/>
      <c r="O228" s="14"/>
      <c r="P228" s="14"/>
      <c r="Q228" s="120" t="s">
        <v>512</v>
      </c>
      <c r="R228" s="102" t="s">
        <v>127</v>
      </c>
      <c r="S228" s="692">
        <f>J223</f>
        <v>1.0970224400000002</v>
      </c>
      <c r="T228" s="689"/>
      <c r="U228" s="14" t="s">
        <v>157</v>
      </c>
      <c r="V228" s="185"/>
    </row>
    <row r="229" spans="1:22" ht="18" customHeight="1">
      <c r="A229" s="168"/>
      <c r="B229" s="5"/>
      <c r="C229" s="47" t="s">
        <v>549</v>
      </c>
      <c r="D229" s="14"/>
      <c r="E229" s="14"/>
      <c r="F229" s="14"/>
      <c r="G229" s="14"/>
      <c r="H229" s="279"/>
      <c r="I229" s="120"/>
      <c r="J229" s="279"/>
      <c r="K229" s="279"/>
      <c r="L229" s="14"/>
      <c r="M229" s="14"/>
      <c r="N229" s="14"/>
      <c r="O229" s="14"/>
      <c r="P229" s="14"/>
      <c r="Q229" s="120" t="s">
        <v>511</v>
      </c>
      <c r="R229" s="102" t="s">
        <v>127</v>
      </c>
      <c r="S229" s="689">
        <f>O211</f>
        <v>1</v>
      </c>
      <c r="T229" s="689"/>
      <c r="U229" s="14" t="s">
        <v>8</v>
      </c>
      <c r="V229" s="185"/>
    </row>
    <row r="230" spans="1:22" ht="18" customHeight="1">
      <c r="A230" s="168"/>
      <c r="B230" s="5"/>
      <c r="C230" s="47" t="s">
        <v>550</v>
      </c>
      <c r="D230" s="14"/>
      <c r="E230" s="14"/>
      <c r="F230" s="14"/>
      <c r="G230" s="14"/>
      <c r="H230" s="279"/>
      <c r="I230" s="120"/>
      <c r="J230" s="279"/>
      <c r="K230" s="279"/>
      <c r="L230" s="14"/>
      <c r="M230" s="14"/>
      <c r="N230" s="14"/>
      <c r="O230" s="14"/>
      <c r="P230" s="14"/>
      <c r="Q230" s="120" t="s">
        <v>495</v>
      </c>
      <c r="R230" s="102" t="s">
        <v>127</v>
      </c>
      <c r="S230" s="689">
        <f>I212</f>
        <v>20</v>
      </c>
      <c r="T230" s="689"/>
      <c r="U230" s="47"/>
      <c r="V230" s="185"/>
    </row>
    <row r="231" spans="1:22" ht="18" customHeight="1">
      <c r="A231" s="299"/>
      <c r="B231" s="279"/>
      <c r="C231" s="47" t="s">
        <v>551</v>
      </c>
      <c r="D231" s="14"/>
      <c r="E231" s="14"/>
      <c r="F231" s="14"/>
      <c r="G231" s="14"/>
      <c r="H231" s="279"/>
      <c r="I231" s="120"/>
      <c r="J231" s="279"/>
      <c r="K231" s="279"/>
      <c r="L231" s="14"/>
      <c r="M231" s="14"/>
      <c r="N231" s="279"/>
      <c r="O231" s="279"/>
      <c r="P231" s="14"/>
      <c r="Q231" s="120" t="s">
        <v>493</v>
      </c>
      <c r="R231" s="102" t="s">
        <v>127</v>
      </c>
      <c r="S231" s="689">
        <f>H214</f>
        <v>7.5</v>
      </c>
      <c r="T231" s="689"/>
      <c r="U231" s="14" t="s">
        <v>157</v>
      </c>
      <c r="V231" s="300"/>
    </row>
    <row r="232" spans="1:22" ht="18" customHeight="1">
      <c r="A232" s="184"/>
      <c r="V232" s="185"/>
    </row>
    <row r="233" spans="1:22" ht="18" customHeight="1">
      <c r="A233" s="184"/>
      <c r="E233" s="244" t="s">
        <v>111</v>
      </c>
      <c r="F233" s="27" t="s">
        <v>127</v>
      </c>
      <c r="G233" s="689" t="s">
        <v>544</v>
      </c>
      <c r="H233" s="689"/>
      <c r="I233" s="191" t="s">
        <v>342</v>
      </c>
      <c r="J233" s="684" t="s">
        <v>423</v>
      </c>
      <c r="K233" s="684"/>
      <c r="V233" s="185"/>
    </row>
    <row r="234" spans="1:22" ht="18" customHeight="1">
      <c r="A234" s="184"/>
      <c r="F234" s="27" t="s">
        <v>127</v>
      </c>
      <c r="G234" s="684">
        <f>S225</f>
        <v>31500</v>
      </c>
      <c r="H234" s="684"/>
      <c r="I234" s="191" t="s">
        <v>342</v>
      </c>
      <c r="J234" s="684">
        <f>S226</f>
        <v>3000</v>
      </c>
      <c r="K234" s="684"/>
      <c r="V234" s="185"/>
    </row>
    <row r="235" spans="1:22" ht="18" customHeight="1">
      <c r="A235" s="184"/>
      <c r="F235" s="27" t="s">
        <v>127</v>
      </c>
      <c r="G235" s="795">
        <f>G234/J234</f>
        <v>10.5</v>
      </c>
      <c r="H235" s="795"/>
      <c r="I235" s="27"/>
      <c r="J235" s="27"/>
      <c r="K235" s="27"/>
      <c r="V235" s="185"/>
    </row>
    <row r="236" spans="1:22" ht="18" customHeight="1">
      <c r="A236" s="184"/>
      <c r="V236" s="185"/>
    </row>
    <row r="237" spans="1:22" ht="18" customHeight="1">
      <c r="A237" s="184"/>
      <c r="E237" s="244" t="s">
        <v>553</v>
      </c>
      <c r="F237" s="27" t="s">
        <v>127</v>
      </c>
      <c r="G237" s="27" t="s">
        <v>495</v>
      </c>
      <c r="H237" s="27" t="s">
        <v>554</v>
      </c>
      <c r="I237" s="120" t="s">
        <v>491</v>
      </c>
      <c r="J237" s="28" t="s">
        <v>347</v>
      </c>
      <c r="K237" s="120" t="s">
        <v>493</v>
      </c>
      <c r="L237" s="28" t="s">
        <v>539</v>
      </c>
      <c r="M237" s="120" t="s">
        <v>491</v>
      </c>
      <c r="N237" s="28" t="s">
        <v>347</v>
      </c>
      <c r="O237" s="120" t="s">
        <v>512</v>
      </c>
      <c r="P237" s="296" t="s">
        <v>350</v>
      </c>
      <c r="Q237" s="14"/>
      <c r="V237" s="185"/>
    </row>
    <row r="238" spans="1:22" ht="18" customHeight="1">
      <c r="A238" s="184"/>
      <c r="F238" s="27" t="s">
        <v>127</v>
      </c>
      <c r="G238" s="242">
        <f>S230</f>
        <v>20</v>
      </c>
      <c r="H238" s="245" t="s">
        <v>554</v>
      </c>
      <c r="I238" s="301">
        <f>S227</f>
        <v>20</v>
      </c>
      <c r="J238" s="245" t="s">
        <v>347</v>
      </c>
      <c r="K238" s="242">
        <f>S231</f>
        <v>7.5</v>
      </c>
      <c r="L238" s="245" t="s">
        <v>539</v>
      </c>
      <c r="M238" s="301">
        <f>S227</f>
        <v>20</v>
      </c>
      <c r="N238" s="245" t="s">
        <v>347</v>
      </c>
      <c r="O238" s="301">
        <f>S228</f>
        <v>1.0970224400000002</v>
      </c>
      <c r="P238" s="296" t="s">
        <v>350</v>
      </c>
      <c r="V238" s="185"/>
    </row>
    <row r="239" spans="1:22" ht="18" customHeight="1">
      <c r="A239" s="184"/>
      <c r="F239" s="27" t="s">
        <v>127</v>
      </c>
      <c r="G239" s="1111">
        <f>G238*((I238+K238)/(M238+O238))</f>
        <v>26.070029624521744</v>
      </c>
      <c r="H239" s="1111"/>
      <c r="I239" s="242"/>
      <c r="J239" s="242"/>
      <c r="K239" s="242"/>
      <c r="L239" s="242"/>
      <c r="M239" s="242"/>
      <c r="N239" s="242"/>
      <c r="O239" s="242"/>
      <c r="V239" s="185"/>
    </row>
    <row r="240" spans="1:22" ht="18" customHeight="1">
      <c r="A240" s="184"/>
      <c r="V240" s="185"/>
    </row>
    <row r="241" spans="1:22" ht="18" customHeight="1">
      <c r="A241" s="184"/>
      <c r="E241" s="244" t="s">
        <v>555</v>
      </c>
      <c r="F241" s="27" t="str">
        <f>IF(D242&gt;G242,"&gt;","&lt;")</f>
        <v>&gt;</v>
      </c>
      <c r="G241" s="296" t="s">
        <v>111</v>
      </c>
      <c r="V241" s="185"/>
    </row>
    <row r="242" spans="1:22" ht="18" customHeight="1">
      <c r="A242" s="184"/>
      <c r="D242" s="795">
        <f>G239</f>
        <v>26.070029624521744</v>
      </c>
      <c r="E242" s="795"/>
      <c r="F242" s="27" t="str">
        <f>F241</f>
        <v>&gt;</v>
      </c>
      <c r="G242" s="795">
        <f>G235</f>
        <v>10.5</v>
      </c>
      <c r="H242" s="795"/>
      <c r="V242" s="185"/>
    </row>
    <row r="243" spans="1:22" ht="18" customHeight="1">
      <c r="A243" s="184"/>
      <c r="E243" s="244" t="s">
        <v>478</v>
      </c>
      <c r="G243" s="18" t="str">
        <f>IF(F241="&gt;","Suitably Dimensioned","Under Dimensioned")</f>
        <v>Suitably Dimensioned</v>
      </c>
      <c r="V243" s="185"/>
    </row>
    <row r="244" spans="1:22" ht="18" customHeight="1">
      <c r="A244" s="184"/>
      <c r="V244" s="185"/>
    </row>
    <row r="245" spans="1:22" ht="18" customHeight="1">
      <c r="A245" s="184"/>
      <c r="V245" s="185"/>
    </row>
    <row r="246" spans="1:22" ht="18" customHeight="1">
      <c r="A246" s="184"/>
      <c r="J246" s="14" t="s">
        <v>259</v>
      </c>
      <c r="V246" s="185"/>
    </row>
    <row r="247" spans="1:22" ht="18" customHeight="1">
      <c r="A247" s="194"/>
      <c r="B247" s="195"/>
      <c r="C247" s="195"/>
      <c r="D247" s="195"/>
      <c r="E247" s="195"/>
      <c r="F247" s="195"/>
      <c r="G247" s="195"/>
      <c r="H247" s="195"/>
      <c r="I247" s="195"/>
      <c r="J247" s="195"/>
      <c r="K247" s="195"/>
      <c r="L247" s="195"/>
      <c r="M247" s="195"/>
      <c r="N247" s="195"/>
      <c r="O247" s="195"/>
      <c r="P247" s="195"/>
      <c r="Q247" s="224"/>
      <c r="R247" s="182"/>
      <c r="S247" s="225"/>
      <c r="T247" s="195"/>
      <c r="U247" s="195"/>
      <c r="V247" s="134"/>
    </row>
    <row r="248" spans="1:22" ht="18" hidden="1" customHeight="1">
      <c r="A248" s="226"/>
      <c r="B248" s="227"/>
      <c r="C248" s="227"/>
      <c r="D248" s="227"/>
      <c r="E248" s="227"/>
      <c r="F248" s="227"/>
      <c r="G248" s="227"/>
      <c r="H248" s="227"/>
      <c r="I248" s="227"/>
      <c r="J248" s="227"/>
      <c r="K248" s="227"/>
      <c r="L248" s="227"/>
      <c r="M248" s="227"/>
      <c r="N248" s="227"/>
      <c r="O248" s="227"/>
      <c r="P248" s="227"/>
      <c r="Q248" s="227"/>
      <c r="R248" s="227"/>
      <c r="S248" s="227"/>
      <c r="T248" s="227"/>
      <c r="U248" s="227"/>
      <c r="V248" s="228"/>
    </row>
    <row r="249" spans="1:22" ht="18" hidden="1" customHeight="1">
      <c r="A249" s="184"/>
      <c r="B249" s="835" t="str">
        <f>B208</f>
        <v>T1</v>
      </c>
      <c r="C249" s="836"/>
      <c r="D249" s="1112" t="str">
        <f>D208</f>
        <v>Core3</v>
      </c>
      <c r="E249" s="1113"/>
      <c r="F249" s="255"/>
      <c r="H249" s="684" t="str">
        <f>H208</f>
        <v>(OC +BCU)</v>
      </c>
      <c r="I249" s="684"/>
      <c r="J249" s="684"/>
      <c r="K249" s="684"/>
      <c r="L249" s="684"/>
      <c r="M249" s="684"/>
      <c r="P249" s="186"/>
      <c r="S249" s="187" t="s">
        <v>387</v>
      </c>
      <c r="T249" s="1116" t="str">
        <f>T208</f>
        <v>7SJ85</v>
      </c>
      <c r="U249" s="1117"/>
      <c r="V249" s="185"/>
    </row>
    <row r="250" spans="1:22" ht="18" hidden="1" customHeight="1">
      <c r="A250" s="184"/>
      <c r="B250" s="1118">
        <f>B209</f>
        <v>0</v>
      </c>
      <c r="C250" s="1118"/>
      <c r="D250" s="1114"/>
      <c r="E250" s="1115"/>
      <c r="F250" s="255"/>
      <c r="T250" s="1116">
        <f>T209</f>
        <v>0</v>
      </c>
      <c r="U250" s="1117"/>
      <c r="V250" s="185"/>
    </row>
    <row r="251" spans="1:22" ht="18" hidden="1" customHeight="1">
      <c r="A251" s="184"/>
      <c r="H251" s="708" t="s">
        <v>390</v>
      </c>
      <c r="I251" s="708"/>
      <c r="J251" s="789" t="s">
        <v>391</v>
      </c>
      <c r="K251" s="789"/>
      <c r="L251" s="708" t="s">
        <v>392</v>
      </c>
      <c r="M251" s="708"/>
      <c r="T251" s="1116">
        <f>T210</f>
        <v>0</v>
      </c>
      <c r="U251" s="1117"/>
      <c r="V251" s="185"/>
    </row>
    <row r="252" spans="1:22" ht="18" hidden="1" customHeight="1">
      <c r="A252" s="184"/>
      <c r="B252" s="47" t="s">
        <v>393</v>
      </c>
      <c r="H252" s="835">
        <f>H211</f>
        <v>3000</v>
      </c>
      <c r="I252" s="836"/>
      <c r="J252" s="1121">
        <f>J211</f>
        <v>2000</v>
      </c>
      <c r="K252" s="1122"/>
      <c r="L252" s="835" t="str">
        <f>L211</f>
        <v>-</v>
      </c>
      <c r="M252" s="836"/>
      <c r="N252" s="191" t="s">
        <v>342</v>
      </c>
      <c r="O252" s="488">
        <f>O211</f>
        <v>1</v>
      </c>
      <c r="P252" s="27" t="s">
        <v>8</v>
      </c>
      <c r="R252" s="255"/>
      <c r="S252" s="255"/>
      <c r="T252" s="1116">
        <f>T211</f>
        <v>0</v>
      </c>
      <c r="U252" s="1117"/>
      <c r="V252" s="185"/>
    </row>
    <row r="253" spans="1:22" ht="18" hidden="1" customHeight="1">
      <c r="A253" s="184"/>
      <c r="B253" s="47" t="s">
        <v>394</v>
      </c>
      <c r="J253" s="490" t="str">
        <f>H212</f>
        <v>5P</v>
      </c>
      <c r="K253" s="489">
        <f>I212</f>
        <v>20</v>
      </c>
      <c r="V253" s="185"/>
    </row>
    <row r="254" spans="1:22" ht="18" hidden="1" customHeight="1">
      <c r="A254" s="184"/>
      <c r="B254" s="47" t="s">
        <v>396</v>
      </c>
      <c r="I254" s="120" t="s">
        <v>497</v>
      </c>
      <c r="J254" s="1097">
        <v>5</v>
      </c>
      <c r="K254" s="1098"/>
      <c r="L254" s="192" t="s">
        <v>333</v>
      </c>
      <c r="V254" s="185"/>
    </row>
    <row r="255" spans="1:22" ht="18" hidden="1" customHeight="1">
      <c r="A255" s="184"/>
      <c r="B255" s="47" t="s">
        <v>562</v>
      </c>
      <c r="I255" s="120" t="s">
        <v>493</v>
      </c>
      <c r="J255" s="781">
        <v>5</v>
      </c>
      <c r="K255" s="782"/>
      <c r="L255" s="14" t="s">
        <v>157</v>
      </c>
      <c r="T255" s="295"/>
      <c r="U255" s="18"/>
      <c r="V255" s="185"/>
    </row>
    <row r="256" spans="1:22" ht="18" hidden="1" customHeight="1">
      <c r="A256" s="184"/>
      <c r="V256" s="185"/>
    </row>
    <row r="257" spans="1:22" ht="18" hidden="1" customHeight="1">
      <c r="A257" s="193" t="s">
        <v>404</v>
      </c>
      <c r="V257" s="185"/>
    </row>
    <row r="258" spans="1:22" ht="18" hidden="1" customHeight="1">
      <c r="A258" s="184"/>
      <c r="V258" s="185"/>
    </row>
    <row r="259" spans="1:22" ht="18" hidden="1" customHeight="1">
      <c r="A259" s="184"/>
      <c r="B259" s="135" t="s">
        <v>405</v>
      </c>
      <c r="C259" s="273"/>
      <c r="D259" s="139" t="str">
        <f>T249</f>
        <v>7SJ85</v>
      </c>
      <c r="E259" s="227"/>
      <c r="F259" s="227"/>
      <c r="G259" s="227"/>
      <c r="H259" s="138"/>
      <c r="I259" s="260" t="s">
        <v>127</v>
      </c>
      <c r="J259" s="722">
        <f>J218</f>
        <v>0.02</v>
      </c>
      <c r="K259" s="958"/>
      <c r="L259" s="3" t="s">
        <v>157</v>
      </c>
      <c r="N259" s="197" t="s">
        <v>510</v>
      </c>
      <c r="V259" s="185"/>
    </row>
    <row r="260" spans="1:22" ht="18" hidden="1" customHeight="1">
      <c r="A260" s="184"/>
      <c r="B260" s="96" t="s">
        <v>405</v>
      </c>
      <c r="D260" s="296">
        <f>T250</f>
        <v>0</v>
      </c>
      <c r="I260" s="177" t="s">
        <v>127</v>
      </c>
      <c r="J260" s="1119">
        <f>J219</f>
        <v>0</v>
      </c>
      <c r="K260" s="989"/>
      <c r="L260" s="198" t="s">
        <v>157</v>
      </c>
      <c r="P260" s="244"/>
      <c r="V260" s="185"/>
    </row>
    <row r="261" spans="1:22" ht="18" hidden="1" customHeight="1">
      <c r="A261" s="184"/>
      <c r="B261" s="96" t="s">
        <v>405</v>
      </c>
      <c r="C261" s="14"/>
      <c r="D261" s="47">
        <f>T251</f>
        <v>0</v>
      </c>
      <c r="E261" s="14"/>
      <c r="G261" s="199"/>
      <c r="H261" s="27"/>
      <c r="I261" s="101" t="s">
        <v>127</v>
      </c>
      <c r="J261" s="696">
        <f>J220</f>
        <v>0</v>
      </c>
      <c r="K261" s="820"/>
      <c r="L261" s="202" t="s">
        <v>157</v>
      </c>
      <c r="V261" s="185"/>
    </row>
    <row r="262" spans="1:22" ht="18" hidden="1" customHeight="1">
      <c r="A262" s="184"/>
      <c r="B262" s="96" t="s">
        <v>405</v>
      </c>
      <c r="C262" s="14"/>
      <c r="D262" s="47">
        <f>T252</f>
        <v>0</v>
      </c>
      <c r="E262" s="14"/>
      <c r="G262" s="199"/>
      <c r="H262" s="27"/>
      <c r="I262" s="101"/>
      <c r="J262" s="696">
        <f>J221</f>
        <v>0</v>
      </c>
      <c r="K262" s="820"/>
      <c r="L262" s="202" t="s">
        <v>157</v>
      </c>
      <c r="N262" s="120" t="s">
        <v>491</v>
      </c>
      <c r="O262" s="27" t="s">
        <v>127</v>
      </c>
      <c r="P262" s="27" t="s">
        <v>511</v>
      </c>
      <c r="Q262" s="27" t="s">
        <v>315</v>
      </c>
      <c r="R262" s="27" t="s">
        <v>511</v>
      </c>
      <c r="S262" s="27" t="s">
        <v>315</v>
      </c>
      <c r="T262" s="27" t="s">
        <v>420</v>
      </c>
      <c r="V262" s="185"/>
    </row>
    <row r="263" spans="1:22" ht="18" hidden="1" customHeight="1">
      <c r="A263" s="184"/>
      <c r="B263" s="184" t="s">
        <v>412</v>
      </c>
      <c r="C263" s="14"/>
      <c r="D263" s="14"/>
      <c r="E263" s="14"/>
      <c r="H263" s="27"/>
      <c r="I263" s="101" t="s">
        <v>127</v>
      </c>
      <c r="J263" s="1120">
        <f>J222</f>
        <v>1.0770224400000001</v>
      </c>
      <c r="K263" s="987"/>
      <c r="L263" s="297" t="s">
        <v>157</v>
      </c>
      <c r="O263" s="27" t="s">
        <v>127</v>
      </c>
      <c r="P263" s="27">
        <f>O252</f>
        <v>1</v>
      </c>
      <c r="Q263" s="27" t="s">
        <v>315</v>
      </c>
      <c r="R263" s="27">
        <f>O252</f>
        <v>1</v>
      </c>
      <c r="S263" s="27" t="s">
        <v>315</v>
      </c>
      <c r="T263" s="27">
        <f>J254</f>
        <v>5</v>
      </c>
      <c r="V263" s="185"/>
    </row>
    <row r="264" spans="1:22" ht="18" hidden="1" customHeight="1">
      <c r="A264" s="184"/>
      <c r="B264" s="1" t="s">
        <v>413</v>
      </c>
      <c r="C264" s="2"/>
      <c r="D264" s="2"/>
      <c r="E264" s="2"/>
      <c r="F264" s="196"/>
      <c r="G264" s="196"/>
      <c r="H264" s="224" t="s">
        <v>512</v>
      </c>
      <c r="I264" s="183" t="s">
        <v>127</v>
      </c>
      <c r="J264" s="722">
        <f>SUM(J259:J263)</f>
        <v>1.0970224400000002</v>
      </c>
      <c r="K264" s="958"/>
      <c r="L264" s="3" t="s">
        <v>157</v>
      </c>
      <c r="O264" s="27" t="s">
        <v>127</v>
      </c>
      <c r="P264" s="795">
        <f>P263*R263*T263</f>
        <v>5</v>
      </c>
      <c r="Q264" s="684"/>
      <c r="R264" s="27" t="s">
        <v>157</v>
      </c>
      <c r="S264" s="27"/>
      <c r="T264" s="27"/>
      <c r="V264" s="185"/>
    </row>
    <row r="265" spans="1:22" ht="18" hidden="1" customHeight="1">
      <c r="A265" s="184"/>
      <c r="B265" s="47"/>
      <c r="C265" s="47"/>
      <c r="D265" s="47"/>
      <c r="E265" s="47"/>
      <c r="H265" s="27"/>
      <c r="I265" s="28"/>
      <c r="J265" s="199"/>
      <c r="L265" s="47"/>
      <c r="O265" s="27"/>
      <c r="P265" s="211"/>
      <c r="Q265" s="27"/>
      <c r="R265" s="204"/>
      <c r="S265" s="27"/>
      <c r="V265" s="185"/>
    </row>
    <row r="266" spans="1:22" ht="18" hidden="1" customHeight="1">
      <c r="A266" s="168"/>
      <c r="B266" s="5"/>
      <c r="C266" s="47" t="s">
        <v>543</v>
      </c>
      <c r="D266" s="14"/>
      <c r="E266" s="14"/>
      <c r="F266" s="14"/>
      <c r="G266" s="14"/>
      <c r="H266" s="279"/>
      <c r="I266" s="120"/>
      <c r="J266" s="279"/>
      <c r="K266" s="279"/>
      <c r="L266" s="14"/>
      <c r="M266" s="14"/>
      <c r="N266" s="14"/>
      <c r="O266" s="14"/>
      <c r="P266" s="14"/>
      <c r="Q266" s="120" t="s">
        <v>544</v>
      </c>
      <c r="R266" s="102" t="s">
        <v>127</v>
      </c>
      <c r="S266" s="689">
        <f>S225</f>
        <v>31500</v>
      </c>
      <c r="T266" s="689"/>
      <c r="U266" s="47" t="s">
        <v>8</v>
      </c>
      <c r="V266" s="185"/>
    </row>
    <row r="267" spans="1:22" ht="18" hidden="1" customHeight="1">
      <c r="A267" s="168"/>
      <c r="B267" s="5"/>
      <c r="C267" s="47" t="s">
        <v>545</v>
      </c>
      <c r="D267" s="14"/>
      <c r="E267" s="14"/>
      <c r="F267" s="18"/>
      <c r="G267" s="18"/>
      <c r="H267" s="279"/>
      <c r="I267" s="120"/>
      <c r="J267" s="279"/>
      <c r="K267" s="279"/>
      <c r="L267" s="14"/>
      <c r="M267" s="14"/>
      <c r="N267" s="14"/>
      <c r="O267" s="14"/>
      <c r="P267" s="14"/>
      <c r="Q267" s="120" t="s">
        <v>423</v>
      </c>
      <c r="R267" s="102" t="s">
        <v>127</v>
      </c>
      <c r="S267" s="689">
        <f>J252</f>
        <v>2000</v>
      </c>
      <c r="T267" s="689"/>
      <c r="U267" s="14" t="s">
        <v>8</v>
      </c>
      <c r="V267" s="185"/>
    </row>
    <row r="268" spans="1:22" ht="18" hidden="1" customHeight="1">
      <c r="A268" s="168"/>
      <c r="B268" s="5"/>
      <c r="C268" s="47" t="s">
        <v>547</v>
      </c>
      <c r="D268" s="14"/>
      <c r="E268" s="14"/>
      <c r="F268" s="18"/>
      <c r="G268" s="18"/>
      <c r="H268" s="279"/>
      <c r="I268" s="120"/>
      <c r="J268" s="279"/>
      <c r="K268" s="279"/>
      <c r="L268" s="14"/>
      <c r="M268" s="14"/>
      <c r="N268" s="14"/>
      <c r="O268" s="14"/>
      <c r="P268" s="14"/>
      <c r="Q268" s="120" t="s">
        <v>491</v>
      </c>
      <c r="R268" s="102" t="s">
        <v>127</v>
      </c>
      <c r="S268" s="692">
        <f>P264</f>
        <v>5</v>
      </c>
      <c r="T268" s="689"/>
      <c r="U268" s="14" t="s">
        <v>157</v>
      </c>
      <c r="V268" s="185"/>
    </row>
    <row r="269" spans="1:22" ht="18" hidden="1" customHeight="1">
      <c r="A269" s="168"/>
      <c r="B269" s="5"/>
      <c r="C269" s="47" t="s">
        <v>548</v>
      </c>
      <c r="D269" s="14"/>
      <c r="E269" s="14"/>
      <c r="F269" s="18"/>
      <c r="G269" s="18"/>
      <c r="H269" s="279"/>
      <c r="I269" s="120"/>
      <c r="J269" s="279"/>
      <c r="K269" s="279"/>
      <c r="L269" s="14"/>
      <c r="M269" s="14"/>
      <c r="N269" s="14"/>
      <c r="O269" s="14"/>
      <c r="P269" s="14"/>
      <c r="Q269" s="120" t="s">
        <v>512</v>
      </c>
      <c r="R269" s="102" t="s">
        <v>127</v>
      </c>
      <c r="S269" s="692">
        <f>J264</f>
        <v>1.0970224400000002</v>
      </c>
      <c r="T269" s="689"/>
      <c r="U269" s="14" t="s">
        <v>157</v>
      </c>
      <c r="V269" s="185"/>
    </row>
    <row r="270" spans="1:22" ht="18" hidden="1" customHeight="1">
      <c r="A270" s="168"/>
      <c r="B270" s="5"/>
      <c r="C270" s="47" t="s">
        <v>549</v>
      </c>
      <c r="D270" s="14"/>
      <c r="E270" s="14"/>
      <c r="F270" s="14"/>
      <c r="G270" s="14"/>
      <c r="H270" s="279"/>
      <c r="I270" s="120"/>
      <c r="J270" s="279"/>
      <c r="K270" s="279"/>
      <c r="L270" s="14"/>
      <c r="M270" s="14"/>
      <c r="N270" s="14"/>
      <c r="O270" s="14"/>
      <c r="P270" s="14"/>
      <c r="Q270" s="120" t="s">
        <v>511</v>
      </c>
      <c r="R270" s="102" t="s">
        <v>127</v>
      </c>
      <c r="S270" s="689">
        <f>O252</f>
        <v>1</v>
      </c>
      <c r="T270" s="689"/>
      <c r="U270" s="14" t="s">
        <v>8</v>
      </c>
      <c r="V270" s="185"/>
    </row>
    <row r="271" spans="1:22" ht="18" hidden="1" customHeight="1">
      <c r="A271" s="168"/>
      <c r="B271" s="5"/>
      <c r="C271" s="47" t="s">
        <v>550</v>
      </c>
      <c r="D271" s="14"/>
      <c r="E271" s="14"/>
      <c r="F271" s="14"/>
      <c r="G271" s="14"/>
      <c r="H271" s="279"/>
      <c r="I271" s="120"/>
      <c r="J271" s="279"/>
      <c r="K271" s="279"/>
      <c r="L271" s="14"/>
      <c r="M271" s="14"/>
      <c r="N271" s="14"/>
      <c r="O271" s="14"/>
      <c r="P271" s="14"/>
      <c r="Q271" s="120" t="s">
        <v>495</v>
      </c>
      <c r="R271" s="102" t="s">
        <v>127</v>
      </c>
      <c r="S271" s="689">
        <f>K253</f>
        <v>20</v>
      </c>
      <c r="T271" s="689"/>
      <c r="U271" s="47"/>
      <c r="V271" s="185"/>
    </row>
    <row r="272" spans="1:22" ht="18" hidden="1" customHeight="1">
      <c r="A272" s="299"/>
      <c r="B272" s="279"/>
      <c r="C272" s="47" t="s">
        <v>551</v>
      </c>
      <c r="D272" s="14"/>
      <c r="E272" s="14"/>
      <c r="F272" s="14"/>
      <c r="G272" s="14"/>
      <c r="H272" s="279"/>
      <c r="I272" s="120"/>
      <c r="J272" s="279"/>
      <c r="K272" s="279"/>
      <c r="L272" s="14"/>
      <c r="M272" s="14"/>
      <c r="N272" s="279"/>
      <c r="O272" s="279"/>
      <c r="P272" s="14"/>
      <c r="Q272" s="120" t="s">
        <v>493</v>
      </c>
      <c r="R272" s="102" t="s">
        <v>127</v>
      </c>
      <c r="S272" s="689">
        <f>J255</f>
        <v>5</v>
      </c>
      <c r="T272" s="689"/>
      <c r="U272" s="14" t="s">
        <v>157</v>
      </c>
      <c r="V272" s="300"/>
    </row>
    <row r="273" spans="1:22" ht="18" hidden="1" customHeight="1">
      <c r="A273" s="184"/>
      <c r="V273" s="185"/>
    </row>
    <row r="274" spans="1:22" ht="18" hidden="1" customHeight="1">
      <c r="A274" s="184"/>
      <c r="E274" s="244" t="s">
        <v>111</v>
      </c>
      <c r="F274" s="27" t="s">
        <v>127</v>
      </c>
      <c r="G274" s="689" t="s">
        <v>544</v>
      </c>
      <c r="H274" s="689"/>
      <c r="I274" s="191" t="s">
        <v>342</v>
      </c>
      <c r="J274" s="684" t="s">
        <v>423</v>
      </c>
      <c r="K274" s="684"/>
      <c r="V274" s="185"/>
    </row>
    <row r="275" spans="1:22" ht="18" hidden="1" customHeight="1">
      <c r="A275" s="184"/>
      <c r="F275" s="27" t="s">
        <v>127</v>
      </c>
      <c r="G275" s="684">
        <f>S266</f>
        <v>31500</v>
      </c>
      <c r="H275" s="684"/>
      <c r="I275" s="191" t="s">
        <v>342</v>
      </c>
      <c r="J275" s="684">
        <f>S267</f>
        <v>2000</v>
      </c>
      <c r="K275" s="684"/>
      <c r="V275" s="185"/>
    </row>
    <row r="276" spans="1:22" ht="18" hidden="1" customHeight="1">
      <c r="A276" s="184"/>
      <c r="F276" s="27" t="s">
        <v>127</v>
      </c>
      <c r="G276" s="795">
        <f>G275/J275</f>
        <v>15.75</v>
      </c>
      <c r="H276" s="795"/>
      <c r="I276" s="27"/>
      <c r="J276" s="27"/>
      <c r="K276" s="27"/>
      <c r="V276" s="185"/>
    </row>
    <row r="277" spans="1:22" ht="18" hidden="1" customHeight="1">
      <c r="A277" s="184"/>
      <c r="V277" s="185"/>
    </row>
    <row r="278" spans="1:22" ht="18" hidden="1" customHeight="1">
      <c r="A278" s="184"/>
      <c r="E278" s="244" t="s">
        <v>553</v>
      </c>
      <c r="F278" s="27" t="s">
        <v>127</v>
      </c>
      <c r="G278" s="27" t="s">
        <v>495</v>
      </c>
      <c r="H278" s="27" t="s">
        <v>554</v>
      </c>
      <c r="I278" s="120" t="s">
        <v>491</v>
      </c>
      <c r="J278" s="28" t="s">
        <v>347</v>
      </c>
      <c r="K278" s="120" t="s">
        <v>493</v>
      </c>
      <c r="L278" s="28" t="s">
        <v>539</v>
      </c>
      <c r="M278" s="120" t="s">
        <v>491</v>
      </c>
      <c r="N278" s="28" t="s">
        <v>347</v>
      </c>
      <c r="O278" s="120" t="s">
        <v>512</v>
      </c>
      <c r="P278" s="296" t="s">
        <v>350</v>
      </c>
      <c r="V278" s="185"/>
    </row>
    <row r="279" spans="1:22" ht="18" hidden="1" customHeight="1">
      <c r="A279" s="184"/>
      <c r="F279" s="27" t="s">
        <v>127</v>
      </c>
      <c r="G279" s="242">
        <f>S271</f>
        <v>20</v>
      </c>
      <c r="H279" s="245" t="s">
        <v>554</v>
      </c>
      <c r="I279" s="301">
        <f>S268</f>
        <v>5</v>
      </c>
      <c r="J279" s="245" t="s">
        <v>347</v>
      </c>
      <c r="K279" s="242">
        <f>S272</f>
        <v>5</v>
      </c>
      <c r="L279" s="245" t="s">
        <v>539</v>
      </c>
      <c r="M279" s="301">
        <f>S268</f>
        <v>5</v>
      </c>
      <c r="N279" s="245" t="s">
        <v>347</v>
      </c>
      <c r="O279" s="301">
        <f>S269</f>
        <v>1.0970224400000002</v>
      </c>
      <c r="P279" s="296" t="s">
        <v>350</v>
      </c>
      <c r="V279" s="185"/>
    </row>
    <row r="280" spans="1:22" ht="18" hidden="1" customHeight="1">
      <c r="A280" s="184"/>
      <c r="F280" s="27" t="s">
        <v>127</v>
      </c>
      <c r="G280" s="1111">
        <f>G279*((I279+K279)/(M279+O279))</f>
        <v>32.802897146627529</v>
      </c>
      <c r="H280" s="1111"/>
      <c r="I280" s="242"/>
      <c r="J280" s="242"/>
      <c r="K280" s="242"/>
      <c r="L280" s="242"/>
      <c r="M280" s="242"/>
      <c r="N280" s="242"/>
      <c r="O280" s="242"/>
      <c r="V280" s="185"/>
    </row>
    <row r="281" spans="1:22" ht="18" hidden="1" customHeight="1">
      <c r="A281" s="184"/>
      <c r="V281" s="185"/>
    </row>
    <row r="282" spans="1:22" ht="18" hidden="1" customHeight="1">
      <c r="A282" s="184"/>
      <c r="E282" s="244" t="s">
        <v>555</v>
      </c>
      <c r="F282" s="27" t="str">
        <f>IF(D283&gt;G283,"&gt;","&lt;")</f>
        <v>&gt;</v>
      </c>
      <c r="G282" s="296" t="s">
        <v>111</v>
      </c>
      <c r="V282" s="185"/>
    </row>
    <row r="283" spans="1:22" ht="18" hidden="1" customHeight="1">
      <c r="A283" s="184"/>
      <c r="D283" s="795">
        <f>G280</f>
        <v>32.802897146627529</v>
      </c>
      <c r="E283" s="795"/>
      <c r="F283" s="27" t="str">
        <f>F282</f>
        <v>&gt;</v>
      </c>
      <c r="G283" s="795">
        <f>G276</f>
        <v>15.75</v>
      </c>
      <c r="H283" s="795"/>
      <c r="V283" s="185"/>
    </row>
    <row r="284" spans="1:22" ht="18" hidden="1" customHeight="1">
      <c r="A284" s="184"/>
      <c r="E284" s="244" t="s">
        <v>478</v>
      </c>
      <c r="G284" s="18" t="str">
        <f>IF(F282="&gt;","Suitably Dimentioned","Under Dimentioned")</f>
        <v>Suitably Dimentioned</v>
      </c>
      <c r="V284" s="185"/>
    </row>
    <row r="285" spans="1:22" ht="18" hidden="1" customHeight="1">
      <c r="A285" s="184"/>
      <c r="E285" s="244"/>
      <c r="G285" s="18"/>
      <c r="V285" s="185"/>
    </row>
    <row r="286" spans="1:22" ht="18" hidden="1" customHeight="1">
      <c r="A286" s="184"/>
      <c r="E286" s="244"/>
      <c r="G286" s="18"/>
      <c r="V286" s="185"/>
    </row>
    <row r="287" spans="1:22" ht="18" hidden="1" customHeight="1">
      <c r="A287" s="184"/>
      <c r="V287" s="185"/>
    </row>
    <row r="288" spans="1:22" ht="18" hidden="1" customHeight="1">
      <c r="A288" s="194"/>
      <c r="B288" s="195"/>
      <c r="C288" s="195"/>
      <c r="D288" s="195"/>
      <c r="E288" s="195"/>
      <c r="F288" s="195"/>
      <c r="G288" s="195"/>
      <c r="H288" s="195"/>
      <c r="I288" s="195"/>
      <c r="J288" s="195"/>
      <c r="K288" s="195"/>
      <c r="L288" s="195"/>
      <c r="M288" s="195"/>
      <c r="N288" s="195"/>
      <c r="O288" s="195"/>
      <c r="P288" s="195"/>
      <c r="Q288" s="224"/>
      <c r="R288" s="182"/>
      <c r="S288" s="225"/>
      <c r="T288" s="195"/>
      <c r="U288" s="195"/>
      <c r="V288" s="134"/>
    </row>
    <row r="289" spans="1:22" ht="18" hidden="1" customHeight="1">
      <c r="A289" s="226"/>
      <c r="B289" s="227"/>
      <c r="C289" s="227"/>
      <c r="D289" s="227"/>
      <c r="E289" s="227"/>
      <c r="F289" s="227"/>
      <c r="G289" s="227"/>
      <c r="H289" s="227"/>
      <c r="I289" s="227"/>
      <c r="J289" s="227"/>
      <c r="K289" s="227"/>
      <c r="L289" s="227"/>
      <c r="M289" s="227"/>
      <c r="N289" s="227"/>
      <c r="O289" s="227"/>
      <c r="P289" s="227"/>
      <c r="Q289" s="227"/>
      <c r="R289" s="227"/>
      <c r="S289" s="227"/>
      <c r="T289" s="227"/>
      <c r="U289" s="227"/>
      <c r="V289" s="228"/>
    </row>
    <row r="290" spans="1:22" ht="18" hidden="1" customHeight="1">
      <c r="A290" s="184"/>
      <c r="B290" s="854" t="str">
        <f>B249</f>
        <v>T1</v>
      </c>
      <c r="C290" s="831"/>
      <c r="D290" s="855" t="str">
        <f>D249</f>
        <v>Core3</v>
      </c>
      <c r="E290" s="856"/>
      <c r="F290" s="255"/>
      <c r="H290" s="684" t="str">
        <f>H249</f>
        <v>(OC +BCU)</v>
      </c>
      <c r="I290" s="684"/>
      <c r="J290" s="684"/>
      <c r="K290" s="684"/>
      <c r="L290" s="684"/>
      <c r="M290" s="684"/>
      <c r="P290" s="186"/>
      <c r="S290" s="187" t="s">
        <v>387</v>
      </c>
      <c r="T290" s="1123" t="str">
        <f>T249</f>
        <v>7SJ85</v>
      </c>
      <c r="U290" s="1124"/>
      <c r="V290" s="185"/>
    </row>
    <row r="291" spans="1:22" ht="18" hidden="1" customHeight="1">
      <c r="A291" s="184"/>
      <c r="B291" s="853">
        <f>B250</f>
        <v>0</v>
      </c>
      <c r="C291" s="853"/>
      <c r="D291" s="857"/>
      <c r="E291" s="858"/>
      <c r="F291" s="255"/>
      <c r="T291" s="1123">
        <f>T250</f>
        <v>0</v>
      </c>
      <c r="U291" s="1124"/>
      <c r="V291" s="185"/>
    </row>
    <row r="292" spans="1:22" ht="18" hidden="1" customHeight="1">
      <c r="A292" s="184"/>
      <c r="H292" s="708" t="s">
        <v>390</v>
      </c>
      <c r="I292" s="708"/>
      <c r="J292" s="708" t="s">
        <v>391</v>
      </c>
      <c r="K292" s="708"/>
      <c r="L292" s="789" t="s">
        <v>392</v>
      </c>
      <c r="M292" s="789"/>
      <c r="T292" s="1123">
        <f>T251</f>
        <v>0</v>
      </c>
      <c r="U292" s="1124"/>
      <c r="V292" s="185"/>
    </row>
    <row r="293" spans="1:22" ht="18" hidden="1" customHeight="1">
      <c r="A293" s="184"/>
      <c r="B293" s="47" t="s">
        <v>393</v>
      </c>
      <c r="H293" s="854">
        <f>H252</f>
        <v>3000</v>
      </c>
      <c r="I293" s="831"/>
      <c r="J293" s="854">
        <f>J252</f>
        <v>2000</v>
      </c>
      <c r="K293" s="831"/>
      <c r="L293" s="863" t="str">
        <f>L252</f>
        <v>-</v>
      </c>
      <c r="M293" s="864"/>
      <c r="N293" s="191" t="s">
        <v>342</v>
      </c>
      <c r="O293" s="256">
        <f>O252</f>
        <v>1</v>
      </c>
      <c r="P293" s="27" t="s">
        <v>8</v>
      </c>
      <c r="R293" s="255"/>
      <c r="S293" s="255"/>
      <c r="V293" s="185"/>
    </row>
    <row r="294" spans="1:22" ht="18" hidden="1" customHeight="1">
      <c r="A294" s="184"/>
      <c r="B294" s="47" t="s">
        <v>394</v>
      </c>
      <c r="L294" s="302" t="str">
        <f>J253</f>
        <v>5P</v>
      </c>
      <c r="M294" s="303">
        <f>K253</f>
        <v>20</v>
      </c>
      <c r="V294" s="185"/>
    </row>
    <row r="295" spans="1:22" ht="18" hidden="1" customHeight="1">
      <c r="A295" s="184"/>
      <c r="B295" s="47" t="s">
        <v>396</v>
      </c>
      <c r="K295" s="120" t="s">
        <v>497</v>
      </c>
      <c r="L295" s="1097" t="s">
        <v>6</v>
      </c>
      <c r="M295" s="1098"/>
      <c r="N295" s="192" t="s">
        <v>333</v>
      </c>
      <c r="V295" s="185"/>
    </row>
    <row r="296" spans="1:22" ht="18" hidden="1" customHeight="1">
      <c r="A296" s="184"/>
      <c r="B296" s="47" t="s">
        <v>562</v>
      </c>
      <c r="K296" s="120" t="s">
        <v>493</v>
      </c>
      <c r="L296" s="781" t="s">
        <v>6</v>
      </c>
      <c r="M296" s="782"/>
      <c r="N296" s="14" t="s">
        <v>157</v>
      </c>
      <c r="T296" s="295"/>
      <c r="U296" s="18"/>
      <c r="V296" s="185"/>
    </row>
    <row r="297" spans="1:22" ht="18" hidden="1" customHeight="1">
      <c r="A297" s="184"/>
      <c r="V297" s="185"/>
    </row>
    <row r="298" spans="1:22" ht="18" hidden="1" customHeight="1">
      <c r="A298" s="193" t="s">
        <v>404</v>
      </c>
      <c r="V298" s="185"/>
    </row>
    <row r="299" spans="1:22" ht="18" hidden="1" customHeight="1">
      <c r="A299" s="184"/>
      <c r="V299" s="185"/>
    </row>
    <row r="300" spans="1:22" ht="18" hidden="1" customHeight="1">
      <c r="A300" s="184"/>
      <c r="B300" s="135" t="s">
        <v>405</v>
      </c>
      <c r="C300" s="273"/>
      <c r="D300" s="139" t="str">
        <f>T290</f>
        <v>7SJ85</v>
      </c>
      <c r="E300" s="227"/>
      <c r="F300" s="227"/>
      <c r="G300" s="227"/>
      <c r="H300" s="138"/>
      <c r="I300" s="260" t="s">
        <v>127</v>
      </c>
      <c r="J300" s="722">
        <f>J259</f>
        <v>0.02</v>
      </c>
      <c r="K300" s="958"/>
      <c r="L300" s="3" t="s">
        <v>157</v>
      </c>
      <c r="N300" s="197" t="s">
        <v>510</v>
      </c>
      <c r="V300" s="185"/>
    </row>
    <row r="301" spans="1:22" ht="18" hidden="1" customHeight="1">
      <c r="A301" s="184"/>
      <c r="B301" s="96" t="s">
        <v>405</v>
      </c>
      <c r="D301" s="296">
        <f>T291</f>
        <v>0</v>
      </c>
      <c r="I301" s="177" t="s">
        <v>127</v>
      </c>
      <c r="J301" s="1119">
        <f>J260</f>
        <v>0</v>
      </c>
      <c r="K301" s="989"/>
      <c r="L301" s="198" t="s">
        <v>157</v>
      </c>
      <c r="P301" s="244"/>
      <c r="V301" s="185"/>
    </row>
    <row r="302" spans="1:22" ht="18" hidden="1" customHeight="1">
      <c r="A302" s="184"/>
      <c r="B302" s="96" t="s">
        <v>405</v>
      </c>
      <c r="C302" s="14"/>
      <c r="D302" s="47">
        <f>T292</f>
        <v>0</v>
      </c>
      <c r="E302" s="14"/>
      <c r="G302" s="199"/>
      <c r="H302" s="27"/>
      <c r="I302" s="101" t="s">
        <v>127</v>
      </c>
      <c r="J302" s="696">
        <f>J261</f>
        <v>0</v>
      </c>
      <c r="K302" s="820"/>
      <c r="L302" s="202" t="s">
        <v>157</v>
      </c>
      <c r="N302" s="120" t="s">
        <v>491</v>
      </c>
      <c r="O302" s="27" t="s">
        <v>127</v>
      </c>
      <c r="P302" s="27" t="s">
        <v>511</v>
      </c>
      <c r="Q302" s="27" t="s">
        <v>315</v>
      </c>
      <c r="R302" s="27" t="s">
        <v>511</v>
      </c>
      <c r="S302" s="27" t="s">
        <v>315</v>
      </c>
      <c r="T302" s="27" t="s">
        <v>420</v>
      </c>
      <c r="V302" s="185"/>
    </row>
    <row r="303" spans="1:22" ht="18" hidden="1" customHeight="1">
      <c r="A303" s="184"/>
      <c r="B303" s="184" t="s">
        <v>412</v>
      </c>
      <c r="C303" s="14"/>
      <c r="D303" s="14"/>
      <c r="E303" s="14"/>
      <c r="H303" s="27"/>
      <c r="I303" s="101" t="s">
        <v>127</v>
      </c>
      <c r="J303" s="1120">
        <f>J263</f>
        <v>1.0770224400000001</v>
      </c>
      <c r="K303" s="987"/>
      <c r="L303" s="297" t="s">
        <v>157</v>
      </c>
      <c r="O303" s="27" t="s">
        <v>127</v>
      </c>
      <c r="P303" s="27">
        <f>O293</f>
        <v>1</v>
      </c>
      <c r="Q303" s="27" t="s">
        <v>315</v>
      </c>
      <c r="R303" s="27">
        <f>O293</f>
        <v>1</v>
      </c>
      <c r="S303" s="27" t="s">
        <v>315</v>
      </c>
      <c r="T303" s="27" t="str">
        <f>L295</f>
        <v>-</v>
      </c>
      <c r="V303" s="185"/>
    </row>
    <row r="304" spans="1:22" ht="18" hidden="1" customHeight="1">
      <c r="A304" s="184"/>
      <c r="B304" s="1" t="s">
        <v>413</v>
      </c>
      <c r="C304" s="2"/>
      <c r="D304" s="2"/>
      <c r="E304" s="2"/>
      <c r="F304" s="196"/>
      <c r="G304" s="196"/>
      <c r="H304" s="224" t="s">
        <v>512</v>
      </c>
      <c r="I304" s="183" t="s">
        <v>127</v>
      </c>
      <c r="J304" s="722">
        <f>SUM(J300:J303)</f>
        <v>1.0970224400000002</v>
      </c>
      <c r="K304" s="958"/>
      <c r="L304" s="3" t="s">
        <v>157</v>
      </c>
      <c r="O304" s="27" t="s">
        <v>127</v>
      </c>
      <c r="P304" s="795" t="e">
        <f>P303*R303*T303</f>
        <v>#VALUE!</v>
      </c>
      <c r="Q304" s="684"/>
      <c r="R304" s="27" t="s">
        <v>157</v>
      </c>
      <c r="S304" s="27"/>
      <c r="T304" s="27"/>
      <c r="V304" s="185"/>
    </row>
    <row r="305" spans="1:22" ht="18" hidden="1" customHeight="1">
      <c r="A305" s="184"/>
      <c r="B305" s="47"/>
      <c r="C305" s="47"/>
      <c r="D305" s="47"/>
      <c r="E305" s="47"/>
      <c r="H305" s="27"/>
      <c r="I305" s="28"/>
      <c r="J305" s="199"/>
      <c r="L305" s="47"/>
      <c r="O305" s="27"/>
      <c r="P305" s="211"/>
      <c r="Q305" s="27"/>
      <c r="R305" s="204"/>
      <c r="S305" s="27"/>
      <c r="V305" s="185"/>
    </row>
    <row r="306" spans="1:22" ht="18" hidden="1" customHeight="1">
      <c r="A306" s="168"/>
      <c r="B306" s="5"/>
      <c r="C306" s="47" t="s">
        <v>543</v>
      </c>
      <c r="D306" s="14"/>
      <c r="E306" s="14"/>
      <c r="F306" s="14"/>
      <c r="G306" s="14"/>
      <c r="H306" s="279"/>
      <c r="I306" s="120"/>
      <c r="J306" s="279"/>
      <c r="K306" s="279"/>
      <c r="L306" s="14"/>
      <c r="M306" s="14"/>
      <c r="N306" s="14"/>
      <c r="O306" s="14"/>
      <c r="P306" s="14"/>
      <c r="Q306" s="120" t="s">
        <v>544</v>
      </c>
      <c r="R306" s="102" t="s">
        <v>127</v>
      </c>
      <c r="S306" s="689">
        <f>S266</f>
        <v>31500</v>
      </c>
      <c r="T306" s="689"/>
      <c r="U306" s="47" t="s">
        <v>8</v>
      </c>
      <c r="V306" s="185"/>
    </row>
    <row r="307" spans="1:22" ht="18" hidden="1" customHeight="1">
      <c r="A307" s="168"/>
      <c r="B307" s="5"/>
      <c r="C307" s="47" t="s">
        <v>545</v>
      </c>
      <c r="D307" s="14"/>
      <c r="E307" s="14"/>
      <c r="F307" s="18"/>
      <c r="G307" s="18"/>
      <c r="H307" s="279"/>
      <c r="I307" s="120"/>
      <c r="J307" s="279"/>
      <c r="K307" s="279"/>
      <c r="L307" s="14"/>
      <c r="M307" s="14"/>
      <c r="N307" s="14"/>
      <c r="O307" s="14"/>
      <c r="P307" s="14"/>
      <c r="Q307" s="120" t="s">
        <v>423</v>
      </c>
      <c r="R307" s="102" t="s">
        <v>127</v>
      </c>
      <c r="S307" s="689">
        <f>J293</f>
        <v>2000</v>
      </c>
      <c r="T307" s="689"/>
      <c r="U307" s="14" t="s">
        <v>8</v>
      </c>
      <c r="V307" s="185"/>
    </row>
    <row r="308" spans="1:22" ht="18" hidden="1" customHeight="1">
      <c r="A308" s="168"/>
      <c r="B308" s="5"/>
      <c r="C308" s="47" t="s">
        <v>547</v>
      </c>
      <c r="D308" s="14"/>
      <c r="E308" s="14"/>
      <c r="F308" s="18"/>
      <c r="G308" s="18"/>
      <c r="H308" s="279"/>
      <c r="I308" s="120"/>
      <c r="J308" s="279"/>
      <c r="K308" s="279"/>
      <c r="L308" s="14"/>
      <c r="M308" s="14"/>
      <c r="N308" s="14"/>
      <c r="O308" s="14"/>
      <c r="P308" s="14"/>
      <c r="Q308" s="120" t="s">
        <v>491</v>
      </c>
      <c r="R308" s="102" t="s">
        <v>127</v>
      </c>
      <c r="S308" s="692" t="e">
        <f>P304</f>
        <v>#VALUE!</v>
      </c>
      <c r="T308" s="689"/>
      <c r="U308" s="14" t="s">
        <v>157</v>
      </c>
      <c r="V308" s="185"/>
    </row>
    <row r="309" spans="1:22" ht="18" hidden="1" customHeight="1">
      <c r="A309" s="168"/>
      <c r="B309" s="5"/>
      <c r="C309" s="47" t="s">
        <v>548</v>
      </c>
      <c r="D309" s="14"/>
      <c r="E309" s="14"/>
      <c r="F309" s="18"/>
      <c r="G309" s="18"/>
      <c r="H309" s="279"/>
      <c r="I309" s="120"/>
      <c r="J309" s="279"/>
      <c r="K309" s="279"/>
      <c r="L309" s="14"/>
      <c r="M309" s="14"/>
      <c r="N309" s="14"/>
      <c r="O309" s="14"/>
      <c r="P309" s="14"/>
      <c r="Q309" s="120" t="s">
        <v>512</v>
      </c>
      <c r="R309" s="102" t="s">
        <v>127</v>
      </c>
      <c r="S309" s="692">
        <f>J304</f>
        <v>1.0970224400000002</v>
      </c>
      <c r="T309" s="689"/>
      <c r="U309" s="14" t="s">
        <v>157</v>
      </c>
      <c r="V309" s="185"/>
    </row>
    <row r="310" spans="1:22" ht="18" hidden="1" customHeight="1">
      <c r="A310" s="168"/>
      <c r="B310" s="5"/>
      <c r="C310" s="47" t="s">
        <v>549</v>
      </c>
      <c r="D310" s="14"/>
      <c r="E310" s="14"/>
      <c r="F310" s="14"/>
      <c r="G310" s="14"/>
      <c r="H310" s="279"/>
      <c r="I310" s="120"/>
      <c r="J310" s="279"/>
      <c r="K310" s="279"/>
      <c r="L310" s="14"/>
      <c r="M310" s="14"/>
      <c r="N310" s="14"/>
      <c r="O310" s="14"/>
      <c r="P310" s="14"/>
      <c r="Q310" s="120" t="s">
        <v>511</v>
      </c>
      <c r="R310" s="102" t="s">
        <v>127</v>
      </c>
      <c r="S310" s="689">
        <f>O293</f>
        <v>1</v>
      </c>
      <c r="T310" s="689"/>
      <c r="U310" s="14" t="s">
        <v>8</v>
      </c>
      <c r="V310" s="185"/>
    </row>
    <row r="311" spans="1:22" ht="18" hidden="1" customHeight="1">
      <c r="A311" s="168"/>
      <c r="B311" s="5"/>
      <c r="C311" s="47" t="s">
        <v>550</v>
      </c>
      <c r="D311" s="14"/>
      <c r="E311" s="14"/>
      <c r="F311" s="14"/>
      <c r="G311" s="14"/>
      <c r="H311" s="279"/>
      <c r="I311" s="120"/>
      <c r="J311" s="279"/>
      <c r="K311" s="279"/>
      <c r="L311" s="14"/>
      <c r="M311" s="14"/>
      <c r="N311" s="14"/>
      <c r="O311" s="14"/>
      <c r="P311" s="14"/>
      <c r="Q311" s="120" t="s">
        <v>495</v>
      </c>
      <c r="R311" s="102" t="s">
        <v>127</v>
      </c>
      <c r="S311" s="689">
        <f>M294</f>
        <v>20</v>
      </c>
      <c r="T311" s="689"/>
      <c r="U311" s="47"/>
      <c r="V311" s="185"/>
    </row>
    <row r="312" spans="1:22" ht="18" hidden="1" customHeight="1">
      <c r="A312" s="299"/>
      <c r="B312" s="279"/>
      <c r="C312" s="47" t="s">
        <v>551</v>
      </c>
      <c r="D312" s="14"/>
      <c r="E312" s="14"/>
      <c r="F312" s="14"/>
      <c r="G312" s="14"/>
      <c r="H312" s="279"/>
      <c r="I312" s="120"/>
      <c r="J312" s="279"/>
      <c r="K312" s="279"/>
      <c r="L312" s="14"/>
      <c r="M312" s="14"/>
      <c r="N312" s="279"/>
      <c r="O312" s="279"/>
      <c r="P312" s="14"/>
      <c r="Q312" s="120" t="s">
        <v>493</v>
      </c>
      <c r="R312" s="102" t="s">
        <v>127</v>
      </c>
      <c r="S312" s="689" t="str">
        <f>L296</f>
        <v>-</v>
      </c>
      <c r="T312" s="689"/>
      <c r="U312" s="14" t="s">
        <v>157</v>
      </c>
      <c r="V312" s="300"/>
    </row>
    <row r="313" spans="1:22" ht="18" hidden="1" customHeight="1">
      <c r="A313" s="184"/>
      <c r="V313" s="185"/>
    </row>
    <row r="314" spans="1:22" ht="18" hidden="1" customHeight="1">
      <c r="A314" s="184"/>
      <c r="E314" s="244" t="s">
        <v>111</v>
      </c>
      <c r="F314" s="27" t="s">
        <v>127</v>
      </c>
      <c r="G314" s="689" t="s">
        <v>544</v>
      </c>
      <c r="H314" s="689"/>
      <c r="I314" s="191" t="s">
        <v>342</v>
      </c>
      <c r="J314" s="684" t="s">
        <v>423</v>
      </c>
      <c r="K314" s="684"/>
      <c r="V314" s="185"/>
    </row>
    <row r="315" spans="1:22" ht="18" hidden="1" customHeight="1">
      <c r="A315" s="184"/>
      <c r="F315" s="27" t="s">
        <v>127</v>
      </c>
      <c r="G315" s="684">
        <f>S306</f>
        <v>31500</v>
      </c>
      <c r="H315" s="684"/>
      <c r="I315" s="191" t="s">
        <v>342</v>
      </c>
      <c r="J315" s="684">
        <f>S307</f>
        <v>2000</v>
      </c>
      <c r="K315" s="684"/>
      <c r="V315" s="185"/>
    </row>
    <row r="316" spans="1:22" ht="18" hidden="1" customHeight="1">
      <c r="A316" s="184"/>
      <c r="F316" s="27" t="s">
        <v>127</v>
      </c>
      <c r="G316" s="795">
        <f>G315/J315</f>
        <v>15.75</v>
      </c>
      <c r="H316" s="795"/>
      <c r="I316" s="27"/>
      <c r="J316" s="27"/>
      <c r="K316" s="27"/>
      <c r="V316" s="185"/>
    </row>
    <row r="317" spans="1:22" ht="18" hidden="1" customHeight="1">
      <c r="A317" s="184"/>
      <c r="V317" s="185"/>
    </row>
    <row r="318" spans="1:22" ht="18" hidden="1" customHeight="1">
      <c r="A318" s="184"/>
      <c r="E318" s="244" t="s">
        <v>553</v>
      </c>
      <c r="F318" s="27" t="s">
        <v>127</v>
      </c>
      <c r="G318" s="27" t="s">
        <v>495</v>
      </c>
      <c r="H318" s="27" t="s">
        <v>554</v>
      </c>
      <c r="I318" s="120" t="s">
        <v>491</v>
      </c>
      <c r="J318" s="28" t="s">
        <v>347</v>
      </c>
      <c r="K318" s="120" t="s">
        <v>493</v>
      </c>
      <c r="L318" s="28" t="s">
        <v>539</v>
      </c>
      <c r="M318" s="120" t="s">
        <v>491</v>
      </c>
      <c r="N318" s="28" t="s">
        <v>347</v>
      </c>
      <c r="O318" s="120" t="s">
        <v>512</v>
      </c>
      <c r="P318" s="296" t="s">
        <v>350</v>
      </c>
      <c r="V318" s="185"/>
    </row>
    <row r="319" spans="1:22" ht="18" hidden="1" customHeight="1">
      <c r="A319" s="184"/>
      <c r="F319" s="27" t="s">
        <v>127</v>
      </c>
      <c r="G319" s="242">
        <f>S311</f>
        <v>20</v>
      </c>
      <c r="H319" s="245" t="s">
        <v>554</v>
      </c>
      <c r="I319" s="301" t="e">
        <f>S308</f>
        <v>#VALUE!</v>
      </c>
      <c r="J319" s="245" t="s">
        <v>347</v>
      </c>
      <c r="K319" s="242" t="str">
        <f>S312</f>
        <v>-</v>
      </c>
      <c r="L319" s="245" t="s">
        <v>539</v>
      </c>
      <c r="M319" s="301" t="e">
        <f>S308</f>
        <v>#VALUE!</v>
      </c>
      <c r="N319" s="245" t="s">
        <v>347</v>
      </c>
      <c r="O319" s="301">
        <f>S309</f>
        <v>1.0970224400000002</v>
      </c>
      <c r="P319" s="296" t="s">
        <v>350</v>
      </c>
      <c r="V319" s="185"/>
    </row>
    <row r="320" spans="1:22" ht="18" hidden="1" customHeight="1">
      <c r="A320" s="184"/>
      <c r="F320" s="27" t="s">
        <v>127</v>
      </c>
      <c r="G320" s="1111" t="e">
        <f>G319*((I319+K319)/(M319+O319))</f>
        <v>#VALUE!</v>
      </c>
      <c r="H320" s="1111"/>
      <c r="I320" s="242"/>
      <c r="J320" s="242"/>
      <c r="K320" s="242"/>
      <c r="L320" s="242"/>
      <c r="M320" s="242"/>
      <c r="N320" s="242"/>
      <c r="O320" s="242"/>
      <c r="V320" s="185"/>
    </row>
    <row r="321" spans="1:22" ht="18" hidden="1" customHeight="1">
      <c r="A321" s="184"/>
      <c r="V321" s="185"/>
    </row>
    <row r="322" spans="1:22" ht="18" hidden="1" customHeight="1">
      <c r="A322" s="184"/>
      <c r="E322" s="244" t="s">
        <v>555</v>
      </c>
      <c r="F322" s="27" t="e">
        <f>IF(D323&gt;G323,"&gt;","&lt;")</f>
        <v>#VALUE!</v>
      </c>
      <c r="G322" s="296" t="s">
        <v>111</v>
      </c>
      <c r="V322" s="185"/>
    </row>
    <row r="323" spans="1:22" ht="18" hidden="1" customHeight="1">
      <c r="A323" s="184"/>
      <c r="D323" s="795" t="e">
        <f>G320</f>
        <v>#VALUE!</v>
      </c>
      <c r="E323" s="795"/>
      <c r="F323" s="27" t="e">
        <f>F322</f>
        <v>#VALUE!</v>
      </c>
      <c r="G323" s="795">
        <f>G316</f>
        <v>15.75</v>
      </c>
      <c r="H323" s="795"/>
      <c r="V323" s="185"/>
    </row>
    <row r="324" spans="1:22" ht="18" hidden="1" customHeight="1">
      <c r="A324" s="184"/>
      <c r="E324" s="244" t="s">
        <v>478</v>
      </c>
      <c r="G324" s="18" t="e">
        <f>IF(F322="&gt;","Suitably Dimentioned","Under Dimentioned")</f>
        <v>#VALUE!</v>
      </c>
      <c r="V324" s="185"/>
    </row>
    <row r="325" spans="1:22" ht="18" hidden="1" customHeight="1">
      <c r="A325" s="184"/>
      <c r="E325" s="244"/>
      <c r="G325" s="18"/>
      <c r="V325" s="185"/>
    </row>
    <row r="326" spans="1:22" ht="18" hidden="1" customHeight="1">
      <c r="A326" s="184"/>
      <c r="E326" s="244"/>
      <c r="G326" s="18"/>
      <c r="V326" s="185"/>
    </row>
    <row r="327" spans="1:22" ht="18" hidden="1" customHeight="1">
      <c r="A327" s="184"/>
      <c r="E327" s="244"/>
      <c r="G327" s="18"/>
      <c r="V327" s="185"/>
    </row>
    <row r="328" spans="1:22" ht="18" hidden="1" customHeight="1">
      <c r="A328" s="184"/>
      <c r="E328" s="244"/>
      <c r="G328" s="18"/>
      <c r="V328" s="185"/>
    </row>
    <row r="329" spans="1:22" ht="18" hidden="1" customHeight="1">
      <c r="A329" s="184"/>
      <c r="E329" s="244"/>
      <c r="G329" s="18"/>
      <c r="V329" s="185"/>
    </row>
    <row r="330" spans="1:22" ht="18" hidden="1" customHeight="1">
      <c r="A330" s="184"/>
      <c r="V330" s="185"/>
    </row>
    <row r="331" spans="1:22" ht="18" hidden="1" customHeight="1">
      <c r="A331" s="184"/>
      <c r="V331" s="185"/>
    </row>
    <row r="332" spans="1:22" ht="18" hidden="1" customHeight="1">
      <c r="A332" s="194"/>
      <c r="B332" s="195"/>
      <c r="C332" s="195"/>
      <c r="D332" s="195"/>
      <c r="E332" s="195"/>
      <c r="F332" s="195"/>
      <c r="G332" s="195"/>
      <c r="H332" s="195"/>
      <c r="I332" s="195"/>
      <c r="J332" s="195"/>
      <c r="K332" s="195"/>
      <c r="L332" s="195"/>
      <c r="M332" s="195"/>
      <c r="N332" s="195"/>
      <c r="O332" s="195"/>
      <c r="P332" s="195"/>
      <c r="Q332" s="224"/>
      <c r="R332" s="182"/>
      <c r="S332" s="225"/>
      <c r="T332" s="195"/>
      <c r="U332" s="195"/>
      <c r="V332" s="134" t="s">
        <v>552</v>
      </c>
    </row>
    <row r="333" spans="1:22" ht="18" customHeight="1">
      <c r="A333" s="226"/>
      <c r="B333" s="227"/>
      <c r="C333" s="227"/>
      <c r="D333" s="227"/>
      <c r="E333" s="227"/>
      <c r="F333" s="227"/>
      <c r="G333" s="227"/>
      <c r="H333" s="227"/>
      <c r="I333" s="227"/>
      <c r="J333" s="227"/>
      <c r="K333" s="227"/>
      <c r="L333" s="227"/>
      <c r="M333" s="227"/>
      <c r="N333" s="227"/>
      <c r="O333" s="227"/>
      <c r="P333" s="227"/>
      <c r="Q333" s="227"/>
      <c r="R333" s="227"/>
      <c r="S333" s="227"/>
      <c r="T333" s="227"/>
      <c r="U333" s="227"/>
      <c r="V333" s="228"/>
    </row>
    <row r="334" spans="1:22" ht="18" customHeight="1">
      <c r="A334" s="262" t="s">
        <v>532</v>
      </c>
      <c r="B334" s="14"/>
      <c r="C334" s="14"/>
      <c r="D334" s="120"/>
      <c r="E334" s="120"/>
      <c r="F334" s="18"/>
      <c r="G334" s="18"/>
      <c r="H334" s="14"/>
      <c r="I334" s="14"/>
      <c r="J334" s="14"/>
      <c r="K334" s="14"/>
      <c r="L334" s="14"/>
      <c r="M334" s="14"/>
      <c r="N334" s="14"/>
      <c r="O334" s="14"/>
      <c r="P334" s="28"/>
      <c r="Q334" s="120"/>
      <c r="R334" s="47"/>
      <c r="S334" s="206"/>
      <c r="T334" s="259"/>
      <c r="U334" s="14"/>
      <c r="V334" s="97"/>
    </row>
    <row r="335" spans="1:22" ht="18" customHeight="1">
      <c r="A335" s="955" t="s">
        <v>85</v>
      </c>
      <c r="B335" s="956"/>
      <c r="C335" s="957"/>
      <c r="D335" s="955" t="s">
        <v>86</v>
      </c>
      <c r="E335" s="956"/>
      <c r="F335" s="957"/>
      <c r="G335" s="955" t="s">
        <v>87</v>
      </c>
      <c r="H335" s="957"/>
      <c r="I335" s="955" t="s">
        <v>88</v>
      </c>
      <c r="J335" s="957"/>
      <c r="K335" s="955" t="s">
        <v>502</v>
      </c>
      <c r="L335" s="957"/>
      <c r="M335" s="955" t="s">
        <v>564</v>
      </c>
      <c r="N335" s="957"/>
      <c r="O335" s="955"/>
      <c r="P335" s="957"/>
      <c r="Q335" s="955" t="s">
        <v>505</v>
      </c>
      <c r="R335" s="957"/>
      <c r="S335" s="955" t="s">
        <v>93</v>
      </c>
      <c r="T335" s="956"/>
      <c r="U335" s="956"/>
      <c r="V335" s="957"/>
    </row>
    <row r="336" spans="1:22" ht="18" customHeight="1">
      <c r="A336" s="1125"/>
      <c r="B336" s="983"/>
      <c r="C336" s="1126"/>
      <c r="D336" s="1125"/>
      <c r="E336" s="983"/>
      <c r="F336" s="1126"/>
      <c r="G336" s="1125"/>
      <c r="H336" s="1126"/>
      <c r="I336" s="1125"/>
      <c r="J336" s="1126"/>
      <c r="K336" s="1125"/>
      <c r="L336" s="1126"/>
      <c r="M336" s="1125"/>
      <c r="N336" s="1126"/>
      <c r="O336" s="1125"/>
      <c r="P336" s="1126"/>
      <c r="Q336" s="1125"/>
      <c r="R336" s="1126"/>
      <c r="S336" s="1125"/>
      <c r="T336" s="983"/>
      <c r="U336" s="983"/>
      <c r="V336" s="1126"/>
    </row>
    <row r="337" spans="1:22" ht="18" customHeight="1">
      <c r="A337" s="1125"/>
      <c r="B337" s="983"/>
      <c r="C337" s="1126"/>
      <c r="D337" s="1125"/>
      <c r="E337" s="983"/>
      <c r="F337" s="1126"/>
      <c r="G337" s="1125"/>
      <c r="H337" s="1126"/>
      <c r="I337" s="1125"/>
      <c r="J337" s="1126"/>
      <c r="K337" s="1125"/>
      <c r="L337" s="1126"/>
      <c r="M337" s="1125"/>
      <c r="N337" s="1126"/>
      <c r="O337" s="1125"/>
      <c r="P337" s="1126"/>
      <c r="Q337" s="1125"/>
      <c r="R337" s="1126"/>
      <c r="S337" s="1125"/>
      <c r="T337" s="983"/>
      <c r="U337" s="983"/>
      <c r="V337" s="1126"/>
    </row>
    <row r="338" spans="1:22" ht="18" customHeight="1">
      <c r="A338" s="1047"/>
      <c r="B338" s="1048"/>
      <c r="C338" s="1049"/>
      <c r="D338" s="1047"/>
      <c r="E338" s="1048"/>
      <c r="F338" s="1049"/>
      <c r="G338" s="1047"/>
      <c r="H338" s="1049"/>
      <c r="I338" s="1047"/>
      <c r="J338" s="1049"/>
      <c r="K338" s="1047"/>
      <c r="L338" s="1049"/>
      <c r="M338" s="1047"/>
      <c r="N338" s="1049"/>
      <c r="O338" s="1047"/>
      <c r="P338" s="1049"/>
      <c r="Q338" s="1047"/>
      <c r="R338" s="1049"/>
      <c r="S338" s="1047"/>
      <c r="T338" s="1048"/>
      <c r="U338" s="1048"/>
      <c r="V338" s="1049"/>
    </row>
    <row r="339" spans="1:22" ht="18" customHeight="1">
      <c r="A339" s="765" t="str">
        <f>B290</f>
        <v>T1</v>
      </c>
      <c r="B339" s="765" t="str">
        <f>D290</f>
        <v>Core3</v>
      </c>
      <c r="C339" s="765"/>
      <c r="D339" s="870">
        <f>H293</f>
        <v>3000</v>
      </c>
      <c r="E339" s="870"/>
      <c r="F339" s="871">
        <f>O293</f>
        <v>1</v>
      </c>
      <c r="G339" s="961">
        <f>'CT-VT Burdens'!S21</f>
        <v>120</v>
      </c>
      <c r="H339" s="959">
        <f>'CT-VT Burdens'!S10</f>
        <v>6</v>
      </c>
      <c r="I339" s="1036" t="str">
        <f>L294</f>
        <v>5P</v>
      </c>
      <c r="J339" s="1019">
        <f>M294</f>
        <v>20</v>
      </c>
      <c r="K339" s="869">
        <f>H213</f>
        <v>20</v>
      </c>
      <c r="L339" s="869"/>
      <c r="M339" s="869">
        <f>H214</f>
        <v>7.5</v>
      </c>
      <c r="N339" s="869"/>
      <c r="O339" s="870" t="s">
        <v>6</v>
      </c>
      <c r="P339" s="870"/>
      <c r="Q339" s="879" t="str">
        <f>CONCATENATE(T208," ",T209," ",T210," ",T211)</f>
        <v xml:space="preserve">7SJ85   </v>
      </c>
      <c r="R339" s="879"/>
      <c r="S339" s="878" t="str">
        <f>G243</f>
        <v>Suitably Dimensioned</v>
      </c>
      <c r="T339" s="878"/>
      <c r="U339" s="878"/>
      <c r="V339" s="878"/>
    </row>
    <row r="340" spans="1:22" ht="18" customHeight="1">
      <c r="A340" s="765"/>
      <c r="B340" s="765"/>
      <c r="C340" s="765"/>
      <c r="D340" s="870">
        <f>J293</f>
        <v>2000</v>
      </c>
      <c r="E340" s="870"/>
      <c r="F340" s="872"/>
      <c r="G340" s="961"/>
      <c r="H340" s="959"/>
      <c r="I340" s="1127"/>
      <c r="J340" s="1020"/>
      <c r="K340" s="869">
        <f>J254</f>
        <v>5</v>
      </c>
      <c r="L340" s="869"/>
      <c r="M340" s="869">
        <f>J255</f>
        <v>5</v>
      </c>
      <c r="N340" s="869"/>
      <c r="O340" s="870" t="s">
        <v>6</v>
      </c>
      <c r="P340" s="870"/>
      <c r="Q340" s="879"/>
      <c r="R340" s="879"/>
      <c r="S340" s="878" t="str">
        <f>G284</f>
        <v>Suitably Dimentioned</v>
      </c>
      <c r="T340" s="878"/>
      <c r="U340" s="878"/>
      <c r="V340" s="878"/>
    </row>
    <row r="341" spans="1:22" ht="18" customHeight="1">
      <c r="A341" s="765"/>
      <c r="B341" s="765"/>
      <c r="C341" s="765"/>
      <c r="D341" s="870" t="s">
        <v>6</v>
      </c>
      <c r="E341" s="870"/>
      <c r="F341" s="873"/>
      <c r="G341" s="961"/>
      <c r="H341" s="959"/>
      <c r="I341" s="1128"/>
      <c r="J341" s="1021"/>
      <c r="K341" s="869" t="s">
        <v>6</v>
      </c>
      <c r="L341" s="869"/>
      <c r="M341" s="869" t="s">
        <v>6</v>
      </c>
      <c r="N341" s="869"/>
      <c r="O341" s="870" t="s">
        <v>6</v>
      </c>
      <c r="P341" s="870"/>
      <c r="Q341" s="879"/>
      <c r="R341" s="879"/>
      <c r="S341" s="878" t="s">
        <v>6</v>
      </c>
      <c r="T341" s="878"/>
      <c r="U341" s="878"/>
      <c r="V341" s="878"/>
    </row>
    <row r="342" spans="1:22" ht="18" customHeight="1">
      <c r="A342" s="184"/>
      <c r="V342" s="185"/>
    </row>
    <row r="343" spans="1:22" ht="18" customHeight="1">
      <c r="A343" s="184"/>
      <c r="V343" s="185"/>
    </row>
    <row r="344" spans="1:22" ht="18" customHeight="1">
      <c r="A344" s="184"/>
      <c r="V344" s="185"/>
    </row>
    <row r="345" spans="1:22" ht="18" customHeight="1">
      <c r="A345" s="184"/>
      <c r="V345" s="185"/>
    </row>
    <row r="346" spans="1:22" ht="18" customHeight="1">
      <c r="A346" s="184"/>
      <c r="V346" s="185"/>
    </row>
    <row r="347" spans="1:22" ht="18" customHeight="1">
      <c r="A347" s="184"/>
      <c r="V347" s="185"/>
    </row>
    <row r="348" spans="1:22" ht="18" customHeight="1">
      <c r="A348" s="184"/>
      <c r="V348" s="185"/>
    </row>
    <row r="349" spans="1:22" ht="18" customHeight="1">
      <c r="A349" s="184"/>
      <c r="V349" s="185"/>
    </row>
    <row r="350" spans="1:22" ht="18" customHeight="1">
      <c r="A350" s="184"/>
      <c r="V350" s="185"/>
    </row>
    <row r="351" spans="1:22" ht="18" customHeight="1">
      <c r="A351" s="184"/>
      <c r="V351" s="185"/>
    </row>
    <row r="352" spans="1:22" ht="18" customHeight="1">
      <c r="A352" s="184"/>
      <c r="V352" s="185"/>
    </row>
    <row r="353" spans="1:22" ht="18" customHeight="1">
      <c r="A353" s="184"/>
      <c r="V353" s="185"/>
    </row>
    <row r="354" spans="1:22" ht="18" customHeight="1">
      <c r="A354" s="184"/>
      <c r="V354" s="185"/>
    </row>
    <row r="355" spans="1:22" ht="18" customHeight="1">
      <c r="A355" s="184"/>
      <c r="V355" s="185"/>
    </row>
    <row r="356" spans="1:22" ht="18" customHeight="1">
      <c r="A356" s="184"/>
      <c r="V356" s="185"/>
    </row>
    <row r="357" spans="1:22" ht="18" customHeight="1">
      <c r="A357" s="184"/>
      <c r="V357" s="185"/>
    </row>
    <row r="358" spans="1:22" ht="18" customHeight="1">
      <c r="A358" s="184"/>
      <c r="V358" s="185"/>
    </row>
    <row r="359" spans="1:22" ht="18" customHeight="1">
      <c r="A359" s="184"/>
      <c r="V359" s="185"/>
    </row>
    <row r="360" spans="1:22" ht="18" customHeight="1">
      <c r="A360" s="184"/>
      <c r="V360" s="185"/>
    </row>
    <row r="361" spans="1:22" ht="18" customHeight="1">
      <c r="A361" s="184"/>
      <c r="V361" s="185"/>
    </row>
    <row r="362" spans="1:22" ht="18" customHeight="1">
      <c r="A362" s="184"/>
      <c r="V362" s="185"/>
    </row>
    <row r="363" spans="1:22" ht="18" customHeight="1">
      <c r="A363" s="184"/>
      <c r="V363" s="185"/>
    </row>
    <row r="364" spans="1:22" ht="18" customHeight="1">
      <c r="A364" s="184"/>
      <c r="V364" s="185"/>
    </row>
    <row r="365" spans="1:22" ht="18" customHeight="1">
      <c r="A365" s="184"/>
      <c r="V365" s="185"/>
    </row>
    <row r="366" spans="1:22" ht="18" customHeight="1">
      <c r="A366" s="184"/>
      <c r="V366" s="185"/>
    </row>
    <row r="367" spans="1:22" ht="18" customHeight="1">
      <c r="A367" s="184"/>
      <c r="V367" s="185"/>
    </row>
    <row r="368" spans="1:22" ht="18" customHeight="1">
      <c r="A368" s="184"/>
      <c r="V368" s="185"/>
    </row>
    <row r="369" spans="1:22" ht="18" customHeight="1">
      <c r="A369" s="184"/>
      <c r="V369" s="185"/>
    </row>
    <row r="370" spans="1:22" ht="18" customHeight="1">
      <c r="A370" s="184"/>
      <c r="V370" s="185"/>
    </row>
    <row r="371" spans="1:22" ht="18" customHeight="1">
      <c r="A371" s="184"/>
      <c r="V371" s="185"/>
    </row>
    <row r="372" spans="1:22" ht="18" customHeight="1">
      <c r="A372" s="184"/>
      <c r="V372" s="185"/>
    </row>
    <row r="373" spans="1:22" ht="18" customHeight="1">
      <c r="A373" s="194"/>
      <c r="B373" s="195"/>
      <c r="C373" s="195"/>
      <c r="D373" s="195"/>
      <c r="E373" s="195"/>
      <c r="F373" s="195"/>
      <c r="G373" s="195"/>
      <c r="H373" s="195"/>
      <c r="I373" s="195"/>
      <c r="J373" s="195"/>
      <c r="K373" s="195"/>
      <c r="L373" s="195"/>
      <c r="M373" s="195"/>
      <c r="N373" s="195"/>
      <c r="O373" s="195"/>
      <c r="P373" s="195"/>
      <c r="Q373" s="224"/>
      <c r="R373" s="182"/>
      <c r="S373" s="225"/>
      <c r="T373" s="195"/>
      <c r="U373" s="195"/>
      <c r="V373" s="134"/>
    </row>
  </sheetData>
  <mergeCells count="525">
    <mergeCell ref="M199:N199"/>
    <mergeCell ref="Q202:R202"/>
    <mergeCell ref="Q203:R203"/>
    <mergeCell ref="Q204:R204"/>
    <mergeCell ref="AC180:AD180"/>
    <mergeCell ref="AF180:AG180"/>
    <mergeCell ref="AC181:AD181"/>
    <mergeCell ref="AF181:AG181"/>
    <mergeCell ref="AC182:AD182"/>
    <mergeCell ref="AF182:AG182"/>
    <mergeCell ref="AI182:AJ182"/>
    <mergeCell ref="M198:N198"/>
    <mergeCell ref="P198:Q198"/>
    <mergeCell ref="G163:H163"/>
    <mergeCell ref="J163:K163"/>
    <mergeCell ref="G164:H164"/>
    <mergeCell ref="AM173:AN173"/>
    <mergeCell ref="AM174:AN174"/>
    <mergeCell ref="AM175:AN175"/>
    <mergeCell ref="AC179:AD179"/>
    <mergeCell ref="AF179:AG179"/>
    <mergeCell ref="AK179:AL179"/>
    <mergeCell ref="AN179:AO179"/>
    <mergeCell ref="AC163:AD163"/>
    <mergeCell ref="AF163:AG163"/>
    <mergeCell ref="AC164:AD164"/>
    <mergeCell ref="AF165:AR166"/>
    <mergeCell ref="AI167:AJ167"/>
    <mergeCell ref="AL167:AM167"/>
    <mergeCell ref="AI168:AJ168"/>
    <mergeCell ref="AL168:AM168"/>
    <mergeCell ref="AI169:AJ169"/>
    <mergeCell ref="AI145:AJ145"/>
    <mergeCell ref="AL145:AM145"/>
    <mergeCell ref="AI146:AJ146"/>
    <mergeCell ref="AL146:AM146"/>
    <mergeCell ref="J143:V144"/>
    <mergeCell ref="M145:N145"/>
    <mergeCell ref="P145:Q145"/>
    <mergeCell ref="M146:N146"/>
    <mergeCell ref="P146:Q146"/>
    <mergeCell ref="AC136:AD136"/>
    <mergeCell ref="AF136:AG136"/>
    <mergeCell ref="AC137:AD137"/>
    <mergeCell ref="AF137:AG137"/>
    <mergeCell ref="G136:H136"/>
    <mergeCell ref="J136:K136"/>
    <mergeCell ref="G137:H137"/>
    <mergeCell ref="J137:K137"/>
    <mergeCell ref="AF143:AR144"/>
    <mergeCell ref="W124:AR125"/>
    <mergeCell ref="Q110:R110"/>
    <mergeCell ref="G114:H114"/>
    <mergeCell ref="J114:K114"/>
    <mergeCell ref="AM128:AN128"/>
    <mergeCell ref="AM129:AN129"/>
    <mergeCell ref="AM131:AN131"/>
    <mergeCell ref="AC135:AD135"/>
    <mergeCell ref="AF135:AG135"/>
    <mergeCell ref="AI135:AJ135"/>
    <mergeCell ref="AL135:AM135"/>
    <mergeCell ref="E101:F101"/>
    <mergeCell ref="Q107:R107"/>
    <mergeCell ref="Q108:R108"/>
    <mergeCell ref="Q109:R109"/>
    <mergeCell ref="AI123:AJ123"/>
    <mergeCell ref="AC115:AD115"/>
    <mergeCell ref="AF115:AG115"/>
    <mergeCell ref="AC116:AI116"/>
    <mergeCell ref="AC117:AD117"/>
    <mergeCell ref="AF117:AG117"/>
    <mergeCell ref="AC118:AD118"/>
    <mergeCell ref="AF119:AR120"/>
    <mergeCell ref="AI121:AJ121"/>
    <mergeCell ref="AI122:AJ122"/>
    <mergeCell ref="AL122:AM122"/>
    <mergeCell ref="W70:AL70"/>
    <mergeCell ref="AH74:AI74"/>
    <mergeCell ref="AK74:AL74"/>
    <mergeCell ref="AF77:AO77"/>
    <mergeCell ref="AM78:AN78"/>
    <mergeCell ref="L68:M68"/>
    <mergeCell ref="O68:P68"/>
    <mergeCell ref="A70:P70"/>
    <mergeCell ref="L71:M71"/>
    <mergeCell ref="O71:P71"/>
    <mergeCell ref="AM62:AN62"/>
    <mergeCell ref="AM63:AN63"/>
    <mergeCell ref="AH65:AI65"/>
    <mergeCell ref="AK65:AL65"/>
    <mergeCell ref="AH66:AI66"/>
    <mergeCell ref="AK66:AL66"/>
    <mergeCell ref="AH67:AI67"/>
    <mergeCell ref="AK67:AL67"/>
    <mergeCell ref="AH68:AI68"/>
    <mergeCell ref="AK68:AL68"/>
    <mergeCell ref="AM52:AN52"/>
    <mergeCell ref="AM53:AN53"/>
    <mergeCell ref="W49:AF49"/>
    <mergeCell ref="AK49:AP50"/>
    <mergeCell ref="AM51:AN51"/>
    <mergeCell ref="AF56:AG56"/>
    <mergeCell ref="AM59:AN59"/>
    <mergeCell ref="AM60:AN60"/>
    <mergeCell ref="AM61:AN61"/>
    <mergeCell ref="AM54:AN54"/>
    <mergeCell ref="AO43:AP43"/>
    <mergeCell ref="AO45:AP45"/>
    <mergeCell ref="W46:AR46"/>
    <mergeCell ref="W47:AR48"/>
    <mergeCell ref="A37:V38"/>
    <mergeCell ref="Q42:R42"/>
    <mergeCell ref="S42:T42"/>
    <mergeCell ref="A43:L44"/>
    <mergeCell ref="Q43:R43"/>
    <mergeCell ref="S43:T43"/>
    <mergeCell ref="A45:L45"/>
    <mergeCell ref="Q45:R45"/>
    <mergeCell ref="S45:T45"/>
    <mergeCell ref="A46:V46"/>
    <mergeCell ref="A47:V48"/>
    <mergeCell ref="M339:N339"/>
    <mergeCell ref="O339:P339"/>
    <mergeCell ref="O341:P341"/>
    <mergeCell ref="M335:N338"/>
    <mergeCell ref="O335:P338"/>
    <mergeCell ref="Q335:R338"/>
    <mergeCell ref="S335:V338"/>
    <mergeCell ref="A339:A341"/>
    <mergeCell ref="B339:C341"/>
    <mergeCell ref="D339:E339"/>
    <mergeCell ref="F339:F341"/>
    <mergeCell ref="G339:G341"/>
    <mergeCell ref="S341:V341"/>
    <mergeCell ref="Q339:R341"/>
    <mergeCell ref="S339:V339"/>
    <mergeCell ref="D340:E340"/>
    <mergeCell ref="K340:L340"/>
    <mergeCell ref="M340:N340"/>
    <mergeCell ref="O340:P340"/>
    <mergeCell ref="S340:V340"/>
    <mergeCell ref="D341:E341"/>
    <mergeCell ref="K341:L341"/>
    <mergeCell ref="M341:N341"/>
    <mergeCell ref="H339:H341"/>
    <mergeCell ref="I339:I341"/>
    <mergeCell ref="J339:J341"/>
    <mergeCell ref="K339:L339"/>
    <mergeCell ref="D323:E323"/>
    <mergeCell ref="G323:H323"/>
    <mergeCell ref="A335:C338"/>
    <mergeCell ref="D335:F338"/>
    <mergeCell ref="G335:H338"/>
    <mergeCell ref="I335:J338"/>
    <mergeCell ref="G314:H314"/>
    <mergeCell ref="J314:K314"/>
    <mergeCell ref="G315:H315"/>
    <mergeCell ref="J315:K315"/>
    <mergeCell ref="G316:H316"/>
    <mergeCell ref="G320:H320"/>
    <mergeCell ref="K335:L338"/>
    <mergeCell ref="S307:T307"/>
    <mergeCell ref="S308:T308"/>
    <mergeCell ref="S309:T309"/>
    <mergeCell ref="S310:T310"/>
    <mergeCell ref="S311:T311"/>
    <mergeCell ref="S312:T312"/>
    <mergeCell ref="J301:K301"/>
    <mergeCell ref="J302:K302"/>
    <mergeCell ref="J303:K303"/>
    <mergeCell ref="J304:K304"/>
    <mergeCell ref="P304:Q304"/>
    <mergeCell ref="S306:T306"/>
    <mergeCell ref="H293:I293"/>
    <mergeCell ref="J293:K293"/>
    <mergeCell ref="L293:M293"/>
    <mergeCell ref="L295:M295"/>
    <mergeCell ref="L296:M296"/>
    <mergeCell ref="J300:K300"/>
    <mergeCell ref="T290:U290"/>
    <mergeCell ref="B291:C291"/>
    <mergeCell ref="T291:U291"/>
    <mergeCell ref="H292:I292"/>
    <mergeCell ref="J292:K292"/>
    <mergeCell ref="L292:M292"/>
    <mergeCell ref="T292:U292"/>
    <mergeCell ref="G276:H276"/>
    <mergeCell ref="G280:H280"/>
    <mergeCell ref="D283:E283"/>
    <mergeCell ref="G283:H283"/>
    <mergeCell ref="B290:C290"/>
    <mergeCell ref="D290:E291"/>
    <mergeCell ref="H290:M290"/>
    <mergeCell ref="S271:T271"/>
    <mergeCell ref="S272:T272"/>
    <mergeCell ref="G274:H274"/>
    <mergeCell ref="J274:K274"/>
    <mergeCell ref="G275:H275"/>
    <mergeCell ref="J275:K275"/>
    <mergeCell ref="P264:Q264"/>
    <mergeCell ref="S266:T266"/>
    <mergeCell ref="S267:T267"/>
    <mergeCell ref="S268:T268"/>
    <mergeCell ref="S269:T269"/>
    <mergeCell ref="S270:T270"/>
    <mergeCell ref="J259:K259"/>
    <mergeCell ref="J260:K260"/>
    <mergeCell ref="J261:K261"/>
    <mergeCell ref="J262:K262"/>
    <mergeCell ref="J263:K263"/>
    <mergeCell ref="J264:K264"/>
    <mergeCell ref="H252:I252"/>
    <mergeCell ref="J252:K252"/>
    <mergeCell ref="L252:M252"/>
    <mergeCell ref="T252:U252"/>
    <mergeCell ref="J254:K254"/>
    <mergeCell ref="J255:K255"/>
    <mergeCell ref="T249:U249"/>
    <mergeCell ref="B250:C250"/>
    <mergeCell ref="T250:U250"/>
    <mergeCell ref="H251:I251"/>
    <mergeCell ref="J251:K251"/>
    <mergeCell ref="L251:M251"/>
    <mergeCell ref="T251:U251"/>
    <mergeCell ref="G235:H235"/>
    <mergeCell ref="G239:H239"/>
    <mergeCell ref="D242:E242"/>
    <mergeCell ref="G242:H242"/>
    <mergeCell ref="B249:C249"/>
    <mergeCell ref="D249:E250"/>
    <mergeCell ref="H249:M249"/>
    <mergeCell ref="S230:T230"/>
    <mergeCell ref="S231:T231"/>
    <mergeCell ref="G233:H233"/>
    <mergeCell ref="J233:K233"/>
    <mergeCell ref="G234:H234"/>
    <mergeCell ref="J234:K234"/>
    <mergeCell ref="P223:Q223"/>
    <mergeCell ref="S225:T225"/>
    <mergeCell ref="S226:T226"/>
    <mergeCell ref="S227:T227"/>
    <mergeCell ref="S228:T228"/>
    <mergeCell ref="S229:T229"/>
    <mergeCell ref="J218:K218"/>
    <mergeCell ref="J219:K219"/>
    <mergeCell ref="J220:K220"/>
    <mergeCell ref="J221:K221"/>
    <mergeCell ref="J222:K222"/>
    <mergeCell ref="J223:K223"/>
    <mergeCell ref="H211:I211"/>
    <mergeCell ref="J211:K211"/>
    <mergeCell ref="L211:M211"/>
    <mergeCell ref="T211:U211"/>
    <mergeCell ref="H213:I213"/>
    <mergeCell ref="H214:I214"/>
    <mergeCell ref="B208:C209"/>
    <mergeCell ref="D208:E209"/>
    <mergeCell ref="H208:M208"/>
    <mergeCell ref="T208:U208"/>
    <mergeCell ref="T209:U209"/>
    <mergeCell ref="H210:I210"/>
    <mergeCell ref="J210:K210"/>
    <mergeCell ref="L210:M210"/>
    <mergeCell ref="T210:U210"/>
    <mergeCell ref="H2:N3"/>
    <mergeCell ref="AM5:AP6"/>
    <mergeCell ref="AQ5:AR6"/>
    <mergeCell ref="AO7:AP7"/>
    <mergeCell ref="AO17:AP17"/>
    <mergeCell ref="AM21:AP22"/>
    <mergeCell ref="AQ21:AR22"/>
    <mergeCell ref="AO25:AP25"/>
    <mergeCell ref="AO33:AP33"/>
    <mergeCell ref="AO8:AP8"/>
    <mergeCell ref="AO9:AP9"/>
    <mergeCell ref="AO10:AP10"/>
    <mergeCell ref="AO11:AP11"/>
    <mergeCell ref="AO12:AP12"/>
    <mergeCell ref="AO13:AP13"/>
    <mergeCell ref="AO18:AP18"/>
    <mergeCell ref="AO19:AP19"/>
    <mergeCell ref="AO26:AP26"/>
    <mergeCell ref="AO27:AP27"/>
    <mergeCell ref="AO28:AP28"/>
    <mergeCell ref="AM110:AN110"/>
    <mergeCell ref="AC114:AD114"/>
    <mergeCell ref="AF114:AG114"/>
    <mergeCell ref="AI114:AJ114"/>
    <mergeCell ref="AL114:AM114"/>
    <mergeCell ref="A205:V206"/>
    <mergeCell ref="AO29:AP29"/>
    <mergeCell ref="AO30:AP30"/>
    <mergeCell ref="AH71:AI71"/>
    <mergeCell ref="AK71:AL71"/>
    <mergeCell ref="AH72:AI72"/>
    <mergeCell ref="AK72:AL72"/>
    <mergeCell ref="AH73:AI73"/>
    <mergeCell ref="AK73:AL73"/>
    <mergeCell ref="AM82:AN82"/>
    <mergeCell ref="W37:AR38"/>
    <mergeCell ref="AM42:AN42"/>
    <mergeCell ref="AO42:AP42"/>
    <mergeCell ref="W43:AH44"/>
    <mergeCell ref="W45:AH45"/>
    <mergeCell ref="AM45:AN45"/>
    <mergeCell ref="AO34:AP34"/>
    <mergeCell ref="AO35:AP35"/>
    <mergeCell ref="AM43:AN43"/>
    <mergeCell ref="AJ97:AK97"/>
    <mergeCell ref="AL99:AM99"/>
    <mergeCell ref="AA100:AB100"/>
    <mergeCell ref="AD100:AE100"/>
    <mergeCell ref="AF100:AG100"/>
    <mergeCell ref="AA101:AB101"/>
    <mergeCell ref="AM107:AN107"/>
    <mergeCell ref="AM108:AN108"/>
    <mergeCell ref="AM109:AN109"/>
    <mergeCell ref="AM97:AN97"/>
    <mergeCell ref="W79:AR79"/>
    <mergeCell ref="AM80:AN80"/>
    <mergeCell ref="W83:AO83"/>
    <mergeCell ref="W85:AA86"/>
    <mergeCell ref="W87:AD87"/>
    <mergeCell ref="AM89:AN89"/>
    <mergeCell ref="AM92:AN92"/>
    <mergeCell ref="AM95:AN95"/>
    <mergeCell ref="AA96:AE96"/>
    <mergeCell ref="AM81:AN81"/>
    <mergeCell ref="AM88:AN88"/>
    <mergeCell ref="AM90:AN90"/>
    <mergeCell ref="AM91:AN91"/>
    <mergeCell ref="AM94:AN94"/>
    <mergeCell ref="Y140:Z140"/>
    <mergeCell ref="AB140:AC140"/>
    <mergeCell ref="AE140:AF140"/>
    <mergeCell ref="AH140:AI140"/>
    <mergeCell ref="AK140:AL140"/>
    <mergeCell ref="AN140:AO140"/>
    <mergeCell ref="Y141:Z141"/>
    <mergeCell ref="AB141:AC141"/>
    <mergeCell ref="Y142:Z142"/>
    <mergeCell ref="AB142:AC142"/>
    <mergeCell ref="AL142:AM142"/>
    <mergeCell ref="AI147:AJ147"/>
    <mergeCell ref="AM155:AN155"/>
    <mergeCell ref="AM156:AN156"/>
    <mergeCell ref="AM157:AN157"/>
    <mergeCell ref="AC161:AD161"/>
    <mergeCell ref="AF161:AG161"/>
    <mergeCell ref="AK161:AL161"/>
    <mergeCell ref="AN161:AO161"/>
    <mergeCell ref="AC162:AD162"/>
    <mergeCell ref="AF162:AG162"/>
    <mergeCell ref="Y183:Z183"/>
    <mergeCell ref="AB183:AC183"/>
    <mergeCell ref="AE183:AF183"/>
    <mergeCell ref="AH183:AI183"/>
    <mergeCell ref="AK183:AL183"/>
    <mergeCell ref="AN183:AO183"/>
    <mergeCell ref="Y184:Z184"/>
    <mergeCell ref="AB184:AC184"/>
    <mergeCell ref="Y185:Z185"/>
    <mergeCell ref="AB185:AC185"/>
    <mergeCell ref="AI186:AJ186"/>
    <mergeCell ref="AI188:AJ188"/>
    <mergeCell ref="AL188:AM188"/>
    <mergeCell ref="AI189:AJ189"/>
    <mergeCell ref="AL189:AM189"/>
    <mergeCell ref="AI190:AJ190"/>
    <mergeCell ref="AM193:AN193"/>
    <mergeCell ref="AM194:AN194"/>
    <mergeCell ref="AM195:AN195"/>
    <mergeCell ref="W196:AR197"/>
    <mergeCell ref="Q5:T6"/>
    <mergeCell ref="U5:V6"/>
    <mergeCell ref="S7:T7"/>
    <mergeCell ref="S8:T8"/>
    <mergeCell ref="S9:T9"/>
    <mergeCell ref="S10:T10"/>
    <mergeCell ref="S11:T11"/>
    <mergeCell ref="S12:T12"/>
    <mergeCell ref="S13:T13"/>
    <mergeCell ref="S17:T17"/>
    <mergeCell ref="S18:T18"/>
    <mergeCell ref="S19:T19"/>
    <mergeCell ref="Q21:T22"/>
    <mergeCell ref="U21:V22"/>
    <mergeCell ref="S25:T25"/>
    <mergeCell ref="S26:T26"/>
    <mergeCell ref="S27:T27"/>
    <mergeCell ref="S28:T28"/>
    <mergeCell ref="S29:T29"/>
    <mergeCell ref="S30:T30"/>
    <mergeCell ref="S33:T33"/>
    <mergeCell ref="S34:T34"/>
    <mergeCell ref="S35:T35"/>
    <mergeCell ref="A49:J49"/>
    <mergeCell ref="O49:T50"/>
    <mergeCell ref="Q51:R51"/>
    <mergeCell ref="Q52:R52"/>
    <mergeCell ref="Q53:R53"/>
    <mergeCell ref="Q54:R54"/>
    <mergeCell ref="J56:K56"/>
    <mergeCell ref="Q59:R59"/>
    <mergeCell ref="Q60:R60"/>
    <mergeCell ref="Q61:R61"/>
    <mergeCell ref="Q62:R62"/>
    <mergeCell ref="Q63:R63"/>
    <mergeCell ref="L65:M65"/>
    <mergeCell ref="O65:P65"/>
    <mergeCell ref="L66:M66"/>
    <mergeCell ref="O66:P66"/>
    <mergeCell ref="L67:M67"/>
    <mergeCell ref="O67:P67"/>
    <mergeCell ref="L72:M72"/>
    <mergeCell ref="O72:P72"/>
    <mergeCell ref="L73:M73"/>
    <mergeCell ref="O73:P73"/>
    <mergeCell ref="L74:M74"/>
    <mergeCell ref="O74:P74"/>
    <mergeCell ref="J77:S77"/>
    <mergeCell ref="Q78:R78"/>
    <mergeCell ref="A79:V79"/>
    <mergeCell ref="Q80:R80"/>
    <mergeCell ref="Q81:R81"/>
    <mergeCell ref="Q82:R82"/>
    <mergeCell ref="A83:S83"/>
    <mergeCell ref="A85:E86"/>
    <mergeCell ref="A87:H87"/>
    <mergeCell ref="Q88:R88"/>
    <mergeCell ref="Q89:R89"/>
    <mergeCell ref="Q90:R90"/>
    <mergeCell ref="Q91:R91"/>
    <mergeCell ref="Q92:R92"/>
    <mergeCell ref="Q94:R94"/>
    <mergeCell ref="Q95:R95"/>
    <mergeCell ref="E96:I96"/>
    <mergeCell ref="N97:O97"/>
    <mergeCell ref="Q97:R97"/>
    <mergeCell ref="P99:Q99"/>
    <mergeCell ref="E100:F100"/>
    <mergeCell ref="H100:I100"/>
    <mergeCell ref="J100:K100"/>
    <mergeCell ref="M114:N114"/>
    <mergeCell ref="P114:Q114"/>
    <mergeCell ref="G115:H115"/>
    <mergeCell ref="J115:K115"/>
    <mergeCell ref="G116:M116"/>
    <mergeCell ref="G117:H117"/>
    <mergeCell ref="J117:K117"/>
    <mergeCell ref="G118:H118"/>
    <mergeCell ref="J119:V120"/>
    <mergeCell ref="M121:N121"/>
    <mergeCell ref="M122:N122"/>
    <mergeCell ref="P122:Q122"/>
    <mergeCell ref="M123:N123"/>
    <mergeCell ref="A124:V125"/>
    <mergeCell ref="Q128:R128"/>
    <mergeCell ref="Q129:R129"/>
    <mergeCell ref="Q131:R131"/>
    <mergeCell ref="G135:H135"/>
    <mergeCell ref="J135:K135"/>
    <mergeCell ref="M135:N135"/>
    <mergeCell ref="P135:Q135"/>
    <mergeCell ref="C140:D140"/>
    <mergeCell ref="F140:G140"/>
    <mergeCell ref="I140:J140"/>
    <mergeCell ref="L140:M140"/>
    <mergeCell ref="O140:P140"/>
    <mergeCell ref="R140:S140"/>
    <mergeCell ref="C141:D141"/>
    <mergeCell ref="F141:G141"/>
    <mergeCell ref="C142:D142"/>
    <mergeCell ref="F142:G142"/>
    <mergeCell ref="P142:Q142"/>
    <mergeCell ref="M147:N147"/>
    <mergeCell ref="Q155:R155"/>
    <mergeCell ref="Q156:R156"/>
    <mergeCell ref="Q157:R157"/>
    <mergeCell ref="G161:H161"/>
    <mergeCell ref="J161:K161"/>
    <mergeCell ref="O161:P161"/>
    <mergeCell ref="R161:S161"/>
    <mergeCell ref="G162:H162"/>
    <mergeCell ref="J162:K162"/>
    <mergeCell ref="J165:V166"/>
    <mergeCell ref="M167:N167"/>
    <mergeCell ref="P167:Q167"/>
    <mergeCell ref="M168:N168"/>
    <mergeCell ref="P168:Q168"/>
    <mergeCell ref="M169:N169"/>
    <mergeCell ref="Q173:R173"/>
    <mergeCell ref="Q174:R174"/>
    <mergeCell ref="Q175:R175"/>
    <mergeCell ref="G179:H179"/>
    <mergeCell ref="J179:K179"/>
    <mergeCell ref="O179:P179"/>
    <mergeCell ref="R179:S179"/>
    <mergeCell ref="G180:H180"/>
    <mergeCell ref="J180:K180"/>
    <mergeCell ref="G181:H181"/>
    <mergeCell ref="J181:K181"/>
    <mergeCell ref="G182:H182"/>
    <mergeCell ref="J182:K182"/>
    <mergeCell ref="M182:N182"/>
    <mergeCell ref="C183:D183"/>
    <mergeCell ref="F183:G183"/>
    <mergeCell ref="I183:J183"/>
    <mergeCell ref="L183:M183"/>
    <mergeCell ref="O183:P183"/>
    <mergeCell ref="R183:S183"/>
    <mergeCell ref="C184:D184"/>
    <mergeCell ref="F184:G184"/>
    <mergeCell ref="C185:D185"/>
    <mergeCell ref="F185:G185"/>
    <mergeCell ref="A196:V197"/>
    <mergeCell ref="M186:N186"/>
    <mergeCell ref="M188:N188"/>
    <mergeCell ref="P188:Q188"/>
    <mergeCell ref="M189:N189"/>
    <mergeCell ref="P189:Q189"/>
    <mergeCell ref="M190:N190"/>
    <mergeCell ref="Q193:R193"/>
    <mergeCell ref="Q194:R194"/>
    <mergeCell ref="Q195:R195"/>
  </mergeCells>
  <conditionalFormatting sqref="G243 G284:G286 G324:G329">
    <cfRule type="cellIs" dxfId="219" priority="1" stopIfTrue="1" operator="equal">
      <formula>"Under Dimentioned"</formula>
    </cfRule>
  </conditionalFormatting>
  <dataValidations count="2">
    <dataValidation type="list" allowBlank="1" showInputMessage="1" showErrorMessage="1" sqref="D290 JV78 TR78 ADN78 ANJ78 AXF78 BHB78 BQX78 CAT78 CKP78 CUL78 DEH78 DOD78 DXZ78 EHV78 ERR78 FBN78 FLJ78 FVF78 GFB78 GOX78 GYT78 HIP78 HSL78 ICH78 IMD78 IVZ78 JFV78 JPR78 JZN78 KJJ78 KTF78 LDB78 LMX78 LWT78 MGP78 MQL78 NAH78 NKD78 NTZ78 ODV78 ONR78 OXN78 PHJ78 PRF78 QBB78 QKX78 QUT78 REP78 ROL78 RYH78 SID78 SRZ78 TBV78 TLR78 TVN78 UFJ78 UPF78 UZB78 VIX78 VST78 WCP78 WML78 WWH78 D65825 IZ65614 SV65614 ACR65614 AMN65614 AWJ65614 BGF65614 BQB65614 BZX65614 CJT65614 CTP65614 DDL65614 DNH65614 DXD65614 EGZ65614 EQV65614 FAR65614 FKN65614 FUJ65614 GEF65614 GOB65614 GXX65614 HHT65614 HRP65614 IBL65614 ILH65614 IVD65614 JEZ65614 JOV65614 JYR65614 KIN65614 KSJ65614 LCF65614 LMB65614 LVX65614 MFT65614 MPP65614 MZL65614 NJH65614 NTD65614 OCZ65614 OMV65614 OWR65614 PGN65614 PQJ65614 QAF65614 QKB65614 QTX65614 RDT65614 RNP65614 RXL65614 SHH65614 SRD65614 TAZ65614 TKV65614 TUR65614 UEN65614 UOJ65614 UYF65614 VIB65614 VRX65614 WBT65614 WLP65614 WVL65614 D131361 IZ131150 SV131150 ACR131150 AMN131150 AWJ131150 BGF131150 BQB131150 BZX131150 CJT131150 CTP131150 DDL131150 DNH131150 DXD131150 EGZ131150 EQV131150 FAR131150 FKN131150 FUJ131150 GEF131150 GOB131150 GXX131150 HHT131150 HRP131150 IBL131150 ILH131150 IVD131150 JEZ131150 JOV131150 JYR131150 KIN131150 KSJ131150 LCF131150 LMB131150 LVX131150 MFT131150 MPP131150 MZL131150 NJH131150 NTD131150 OCZ131150 OMV131150 OWR131150 PGN131150 PQJ131150 QAF131150 QKB131150 QTX131150 RDT131150 RNP131150 RXL131150 SHH131150 SRD131150 TAZ131150 TKV131150 TUR131150 UEN131150 UOJ131150 UYF131150 VIB131150 VRX131150 WBT131150 WLP131150 WVL131150 D196897 IZ196686 SV196686 ACR196686 AMN196686 AWJ196686 BGF196686 BQB196686 BZX196686 CJT196686 CTP196686 DDL196686 DNH196686 DXD196686 EGZ196686 EQV196686 FAR196686 FKN196686 FUJ196686 GEF196686 GOB196686 GXX196686 HHT196686 HRP196686 IBL196686 ILH196686 IVD196686 JEZ196686 JOV196686 JYR196686 KIN196686 KSJ196686 LCF196686 LMB196686 LVX196686 MFT196686 MPP196686 MZL196686 NJH196686 NTD196686 OCZ196686 OMV196686 OWR196686 PGN196686 PQJ196686 QAF196686 QKB196686 QTX196686 RDT196686 RNP196686 RXL196686 SHH196686 SRD196686 TAZ196686 TKV196686 TUR196686 UEN196686 UOJ196686 UYF196686 VIB196686 VRX196686 WBT196686 WLP196686 WVL196686 D262433 IZ262222 SV262222 ACR262222 AMN262222 AWJ262222 BGF262222 BQB262222 BZX262222 CJT262222 CTP262222 DDL262222 DNH262222 DXD262222 EGZ262222 EQV262222 FAR262222 FKN262222 FUJ262222 GEF262222 GOB262222 GXX262222 HHT262222 HRP262222 IBL262222 ILH262222 IVD262222 JEZ262222 JOV262222 JYR262222 KIN262222 KSJ262222 LCF262222 LMB262222 LVX262222 MFT262222 MPP262222 MZL262222 NJH262222 NTD262222 OCZ262222 OMV262222 OWR262222 PGN262222 PQJ262222 QAF262222 QKB262222 QTX262222 RDT262222 RNP262222 RXL262222 SHH262222 SRD262222 TAZ262222 TKV262222 TUR262222 UEN262222 UOJ262222 UYF262222 VIB262222 VRX262222 WBT262222 WLP262222 WVL262222 D327969 IZ327758 SV327758 ACR327758 AMN327758 AWJ327758 BGF327758 BQB327758 BZX327758 CJT327758 CTP327758 DDL327758 DNH327758 DXD327758 EGZ327758 EQV327758 FAR327758 FKN327758 FUJ327758 GEF327758 GOB327758 GXX327758 HHT327758 HRP327758 IBL327758 ILH327758 IVD327758 JEZ327758 JOV327758 JYR327758 KIN327758 KSJ327758 LCF327758 LMB327758 LVX327758 MFT327758 MPP327758 MZL327758 NJH327758 NTD327758 OCZ327758 OMV327758 OWR327758 PGN327758 PQJ327758 QAF327758 QKB327758 QTX327758 RDT327758 RNP327758 RXL327758 SHH327758 SRD327758 TAZ327758 TKV327758 TUR327758 UEN327758 UOJ327758 UYF327758 VIB327758 VRX327758 WBT327758 WLP327758 WVL327758 D393505 IZ393294 SV393294 ACR393294 AMN393294 AWJ393294 BGF393294 BQB393294 BZX393294 CJT393294 CTP393294 DDL393294 DNH393294 DXD393294 EGZ393294 EQV393294 FAR393294 FKN393294 FUJ393294 GEF393294 GOB393294 GXX393294 HHT393294 HRP393294 IBL393294 ILH393294 IVD393294 JEZ393294 JOV393294 JYR393294 KIN393294 KSJ393294 LCF393294 LMB393294 LVX393294 MFT393294 MPP393294 MZL393294 NJH393294 NTD393294 OCZ393294 OMV393294 OWR393294 PGN393294 PQJ393294 QAF393294 QKB393294 QTX393294 RDT393294 RNP393294 RXL393294 SHH393294 SRD393294 TAZ393294 TKV393294 TUR393294 UEN393294 UOJ393294 UYF393294 VIB393294 VRX393294 WBT393294 WLP393294 WVL393294 D459041 IZ458830 SV458830 ACR458830 AMN458830 AWJ458830 BGF458830 BQB458830 BZX458830 CJT458830 CTP458830 DDL458830 DNH458830 DXD458830 EGZ458830 EQV458830 FAR458830 FKN458830 FUJ458830 GEF458830 GOB458830 GXX458830 HHT458830 HRP458830 IBL458830 ILH458830 IVD458830 JEZ458830 JOV458830 JYR458830 KIN458830 KSJ458830 LCF458830 LMB458830 LVX458830 MFT458830 MPP458830 MZL458830 NJH458830 NTD458830 OCZ458830 OMV458830 OWR458830 PGN458830 PQJ458830 QAF458830 QKB458830 QTX458830 RDT458830 RNP458830 RXL458830 SHH458830 SRD458830 TAZ458830 TKV458830 TUR458830 UEN458830 UOJ458830 UYF458830 VIB458830 VRX458830 WBT458830 WLP458830 WVL458830 D524577 IZ524366 SV524366 ACR524366 AMN524366 AWJ524366 BGF524366 BQB524366 BZX524366 CJT524366 CTP524366 DDL524366 DNH524366 DXD524366 EGZ524366 EQV524366 FAR524366 FKN524366 FUJ524366 GEF524366 GOB524366 GXX524366 HHT524366 HRP524366 IBL524366 ILH524366 IVD524366 JEZ524366 JOV524366 JYR524366 KIN524366 KSJ524366 LCF524366 LMB524366 LVX524366 MFT524366 MPP524366 MZL524366 NJH524366 NTD524366 OCZ524366 OMV524366 OWR524366 PGN524366 PQJ524366 QAF524366 QKB524366 QTX524366 RDT524366 RNP524366 RXL524366 SHH524366 SRD524366 TAZ524366 TKV524366 TUR524366 UEN524366 UOJ524366 UYF524366 VIB524366 VRX524366 WBT524366 WLP524366 WVL524366 D590113 IZ589902 SV589902 ACR589902 AMN589902 AWJ589902 BGF589902 BQB589902 BZX589902 CJT589902 CTP589902 DDL589902 DNH589902 DXD589902 EGZ589902 EQV589902 FAR589902 FKN589902 FUJ589902 GEF589902 GOB589902 GXX589902 HHT589902 HRP589902 IBL589902 ILH589902 IVD589902 JEZ589902 JOV589902 JYR589902 KIN589902 KSJ589902 LCF589902 LMB589902 LVX589902 MFT589902 MPP589902 MZL589902 NJH589902 NTD589902 OCZ589902 OMV589902 OWR589902 PGN589902 PQJ589902 QAF589902 QKB589902 QTX589902 RDT589902 RNP589902 RXL589902 SHH589902 SRD589902 TAZ589902 TKV589902 TUR589902 UEN589902 UOJ589902 UYF589902 VIB589902 VRX589902 WBT589902 WLP589902 WVL589902 D655649 IZ655438 SV655438 ACR655438 AMN655438 AWJ655438 BGF655438 BQB655438 BZX655438 CJT655438 CTP655438 DDL655438 DNH655438 DXD655438 EGZ655438 EQV655438 FAR655438 FKN655438 FUJ655438 GEF655438 GOB655438 GXX655438 HHT655438 HRP655438 IBL655438 ILH655438 IVD655438 JEZ655438 JOV655438 JYR655438 KIN655438 KSJ655438 LCF655438 LMB655438 LVX655438 MFT655438 MPP655438 MZL655438 NJH655438 NTD655438 OCZ655438 OMV655438 OWR655438 PGN655438 PQJ655438 QAF655438 QKB655438 QTX655438 RDT655438 RNP655438 RXL655438 SHH655438 SRD655438 TAZ655438 TKV655438 TUR655438 UEN655438 UOJ655438 UYF655438 VIB655438 VRX655438 WBT655438 WLP655438 WVL655438 D721185 IZ720974 SV720974 ACR720974 AMN720974 AWJ720974 BGF720974 BQB720974 BZX720974 CJT720974 CTP720974 DDL720974 DNH720974 DXD720974 EGZ720974 EQV720974 FAR720974 FKN720974 FUJ720974 GEF720974 GOB720974 GXX720974 HHT720974 HRP720974 IBL720974 ILH720974 IVD720974 JEZ720974 JOV720974 JYR720974 KIN720974 KSJ720974 LCF720974 LMB720974 LVX720974 MFT720974 MPP720974 MZL720974 NJH720974 NTD720974 OCZ720974 OMV720974 OWR720974 PGN720974 PQJ720974 QAF720974 QKB720974 QTX720974 RDT720974 RNP720974 RXL720974 SHH720974 SRD720974 TAZ720974 TKV720974 TUR720974 UEN720974 UOJ720974 UYF720974 VIB720974 VRX720974 WBT720974 WLP720974 WVL720974 D786721 IZ786510 SV786510 ACR786510 AMN786510 AWJ786510 BGF786510 BQB786510 BZX786510 CJT786510 CTP786510 DDL786510 DNH786510 DXD786510 EGZ786510 EQV786510 FAR786510 FKN786510 FUJ786510 GEF786510 GOB786510 GXX786510 HHT786510 HRP786510 IBL786510 ILH786510 IVD786510 JEZ786510 JOV786510 JYR786510 KIN786510 KSJ786510 LCF786510 LMB786510 LVX786510 MFT786510 MPP786510 MZL786510 NJH786510 NTD786510 OCZ786510 OMV786510 OWR786510 PGN786510 PQJ786510 QAF786510 QKB786510 QTX786510 RDT786510 RNP786510 RXL786510 SHH786510 SRD786510 TAZ786510 TKV786510 TUR786510 UEN786510 UOJ786510 UYF786510 VIB786510 VRX786510 WBT786510 WLP786510 WVL786510 D852257 IZ852046 SV852046 ACR852046 AMN852046 AWJ852046 BGF852046 BQB852046 BZX852046 CJT852046 CTP852046 DDL852046 DNH852046 DXD852046 EGZ852046 EQV852046 FAR852046 FKN852046 FUJ852046 GEF852046 GOB852046 GXX852046 HHT852046 HRP852046 IBL852046 ILH852046 IVD852046 JEZ852046 JOV852046 JYR852046 KIN852046 KSJ852046 LCF852046 LMB852046 LVX852046 MFT852046 MPP852046 MZL852046 NJH852046 NTD852046 OCZ852046 OMV852046 OWR852046 PGN852046 PQJ852046 QAF852046 QKB852046 QTX852046 RDT852046 RNP852046 RXL852046 SHH852046 SRD852046 TAZ852046 TKV852046 TUR852046 UEN852046 UOJ852046 UYF852046 VIB852046 VRX852046 WBT852046 WLP852046 WVL852046 D917793 IZ917582 SV917582 ACR917582 AMN917582 AWJ917582 BGF917582 BQB917582 BZX917582 CJT917582 CTP917582 DDL917582 DNH917582 DXD917582 EGZ917582 EQV917582 FAR917582 FKN917582 FUJ917582 GEF917582 GOB917582 GXX917582 HHT917582 HRP917582 IBL917582 ILH917582 IVD917582 JEZ917582 JOV917582 JYR917582 KIN917582 KSJ917582 LCF917582 LMB917582 LVX917582 MFT917582 MPP917582 MZL917582 NJH917582 NTD917582 OCZ917582 OMV917582 OWR917582 PGN917582 PQJ917582 QAF917582 QKB917582 QTX917582 RDT917582 RNP917582 RXL917582 SHH917582 SRD917582 TAZ917582 TKV917582 TUR917582 UEN917582 UOJ917582 UYF917582 VIB917582 VRX917582 WBT917582 WLP917582 WVL917582 D983329 IZ983118 SV983118 ACR983118 AMN983118 AWJ983118 BGF983118 BQB983118 BZX983118 CJT983118 CTP983118 DDL983118 DNH983118 DXD983118 EGZ983118 EQV983118 FAR983118 FKN983118 FUJ983118 GEF983118 GOB983118 GXX983118 HHT983118 HRP983118 IBL983118 ILH983118 IVD983118 JEZ983118 JOV983118 JYR983118 KIN983118 KSJ983118 LCF983118 LMB983118 LVX983118 MFT983118 MPP983118 MZL983118 NJH983118 NTD983118 OCZ983118 OMV983118 OWR983118 PGN983118 PQJ983118 QAF983118 QKB983118 QTX983118 RDT983118 RNP983118 RXL983118 SHH983118 SRD983118 TAZ983118 TKV983118 TUR983118 UEN983118 UOJ983118 UYF983118 VIB983118 VRX983118 WBT983118 WLP983118 WVL983118 D208 JV7 TR7 ADN7 ANJ7 AXF7 BHB7 BQX7 CAT7 CKP7 CUL7 DEH7 DOD7 DXZ7 EHV7 ERR7 FBN7 FLJ7 FVF7 GFB7 GOX7 GYT7 HIP7 HSL7 ICH7 IMD7 IVZ7 JFV7 JPR7 JZN7 KJJ7 KTF7 LDB7 LMX7 LWT7 MGP7 MQL7 NAH7 NKD7 NTZ7 ODV7 ONR7 OXN7 PHJ7 PRF7 QBB7 QKX7 QUT7 REP7 ROL7 RYH7 SID7 SRZ7 TBV7 TLR7 TVN7 UFJ7 UPF7 UZB7 VIX7 VST7 WCP7 WML7 WWH7 D65741 IZ65530 SV65530 ACR65530 AMN65530 AWJ65530 BGF65530 BQB65530 BZX65530 CJT65530 CTP65530 DDL65530 DNH65530 DXD65530 EGZ65530 EQV65530 FAR65530 FKN65530 FUJ65530 GEF65530 GOB65530 GXX65530 HHT65530 HRP65530 IBL65530 ILH65530 IVD65530 JEZ65530 JOV65530 JYR65530 KIN65530 KSJ65530 LCF65530 LMB65530 LVX65530 MFT65530 MPP65530 MZL65530 NJH65530 NTD65530 OCZ65530 OMV65530 OWR65530 PGN65530 PQJ65530 QAF65530 QKB65530 QTX65530 RDT65530 RNP65530 RXL65530 SHH65530 SRD65530 TAZ65530 TKV65530 TUR65530 UEN65530 UOJ65530 UYF65530 VIB65530 VRX65530 WBT65530 WLP65530 WVL65530 D131277 IZ131066 SV131066 ACR131066 AMN131066 AWJ131066 BGF131066 BQB131066 BZX131066 CJT131066 CTP131066 DDL131066 DNH131066 DXD131066 EGZ131066 EQV131066 FAR131066 FKN131066 FUJ131066 GEF131066 GOB131066 GXX131066 HHT131066 HRP131066 IBL131066 ILH131066 IVD131066 JEZ131066 JOV131066 JYR131066 KIN131066 KSJ131066 LCF131066 LMB131066 LVX131066 MFT131066 MPP131066 MZL131066 NJH131066 NTD131066 OCZ131066 OMV131066 OWR131066 PGN131066 PQJ131066 QAF131066 QKB131066 QTX131066 RDT131066 RNP131066 RXL131066 SHH131066 SRD131066 TAZ131066 TKV131066 TUR131066 UEN131066 UOJ131066 UYF131066 VIB131066 VRX131066 WBT131066 WLP131066 WVL131066 D196813 IZ196602 SV196602 ACR196602 AMN196602 AWJ196602 BGF196602 BQB196602 BZX196602 CJT196602 CTP196602 DDL196602 DNH196602 DXD196602 EGZ196602 EQV196602 FAR196602 FKN196602 FUJ196602 GEF196602 GOB196602 GXX196602 HHT196602 HRP196602 IBL196602 ILH196602 IVD196602 JEZ196602 JOV196602 JYR196602 KIN196602 KSJ196602 LCF196602 LMB196602 LVX196602 MFT196602 MPP196602 MZL196602 NJH196602 NTD196602 OCZ196602 OMV196602 OWR196602 PGN196602 PQJ196602 QAF196602 QKB196602 QTX196602 RDT196602 RNP196602 RXL196602 SHH196602 SRD196602 TAZ196602 TKV196602 TUR196602 UEN196602 UOJ196602 UYF196602 VIB196602 VRX196602 WBT196602 WLP196602 WVL196602 D262349 IZ262138 SV262138 ACR262138 AMN262138 AWJ262138 BGF262138 BQB262138 BZX262138 CJT262138 CTP262138 DDL262138 DNH262138 DXD262138 EGZ262138 EQV262138 FAR262138 FKN262138 FUJ262138 GEF262138 GOB262138 GXX262138 HHT262138 HRP262138 IBL262138 ILH262138 IVD262138 JEZ262138 JOV262138 JYR262138 KIN262138 KSJ262138 LCF262138 LMB262138 LVX262138 MFT262138 MPP262138 MZL262138 NJH262138 NTD262138 OCZ262138 OMV262138 OWR262138 PGN262138 PQJ262138 QAF262138 QKB262138 QTX262138 RDT262138 RNP262138 RXL262138 SHH262138 SRD262138 TAZ262138 TKV262138 TUR262138 UEN262138 UOJ262138 UYF262138 VIB262138 VRX262138 WBT262138 WLP262138 WVL262138 D327885 IZ327674 SV327674 ACR327674 AMN327674 AWJ327674 BGF327674 BQB327674 BZX327674 CJT327674 CTP327674 DDL327674 DNH327674 DXD327674 EGZ327674 EQV327674 FAR327674 FKN327674 FUJ327674 GEF327674 GOB327674 GXX327674 HHT327674 HRP327674 IBL327674 ILH327674 IVD327674 JEZ327674 JOV327674 JYR327674 KIN327674 KSJ327674 LCF327674 LMB327674 LVX327674 MFT327674 MPP327674 MZL327674 NJH327674 NTD327674 OCZ327674 OMV327674 OWR327674 PGN327674 PQJ327674 QAF327674 QKB327674 QTX327674 RDT327674 RNP327674 RXL327674 SHH327674 SRD327674 TAZ327674 TKV327674 TUR327674 UEN327674 UOJ327674 UYF327674 VIB327674 VRX327674 WBT327674 WLP327674 WVL327674 D393421 IZ393210 SV393210 ACR393210 AMN393210 AWJ393210 BGF393210 BQB393210 BZX393210 CJT393210 CTP393210 DDL393210 DNH393210 DXD393210 EGZ393210 EQV393210 FAR393210 FKN393210 FUJ393210 GEF393210 GOB393210 GXX393210 HHT393210 HRP393210 IBL393210 ILH393210 IVD393210 JEZ393210 JOV393210 JYR393210 KIN393210 KSJ393210 LCF393210 LMB393210 LVX393210 MFT393210 MPP393210 MZL393210 NJH393210 NTD393210 OCZ393210 OMV393210 OWR393210 PGN393210 PQJ393210 QAF393210 QKB393210 QTX393210 RDT393210 RNP393210 RXL393210 SHH393210 SRD393210 TAZ393210 TKV393210 TUR393210 UEN393210 UOJ393210 UYF393210 VIB393210 VRX393210 WBT393210 WLP393210 WVL393210 D458957 IZ458746 SV458746 ACR458746 AMN458746 AWJ458746 BGF458746 BQB458746 BZX458746 CJT458746 CTP458746 DDL458746 DNH458746 DXD458746 EGZ458746 EQV458746 FAR458746 FKN458746 FUJ458746 GEF458746 GOB458746 GXX458746 HHT458746 HRP458746 IBL458746 ILH458746 IVD458746 JEZ458746 JOV458746 JYR458746 KIN458746 KSJ458746 LCF458746 LMB458746 LVX458746 MFT458746 MPP458746 MZL458746 NJH458746 NTD458746 OCZ458746 OMV458746 OWR458746 PGN458746 PQJ458746 QAF458746 QKB458746 QTX458746 RDT458746 RNP458746 RXL458746 SHH458746 SRD458746 TAZ458746 TKV458746 TUR458746 UEN458746 UOJ458746 UYF458746 VIB458746 VRX458746 WBT458746 WLP458746 WVL458746 D524493 IZ524282 SV524282 ACR524282 AMN524282 AWJ524282 BGF524282 BQB524282 BZX524282 CJT524282 CTP524282 DDL524282 DNH524282 DXD524282 EGZ524282 EQV524282 FAR524282 FKN524282 FUJ524282 GEF524282 GOB524282 GXX524282 HHT524282 HRP524282 IBL524282 ILH524282 IVD524282 JEZ524282 JOV524282 JYR524282 KIN524282 KSJ524282 LCF524282 LMB524282 LVX524282 MFT524282 MPP524282 MZL524282 NJH524282 NTD524282 OCZ524282 OMV524282 OWR524282 PGN524282 PQJ524282 QAF524282 QKB524282 QTX524282 RDT524282 RNP524282 RXL524282 SHH524282 SRD524282 TAZ524282 TKV524282 TUR524282 UEN524282 UOJ524282 UYF524282 VIB524282 VRX524282 WBT524282 WLP524282 WVL524282 D590029 IZ589818 SV589818 ACR589818 AMN589818 AWJ589818 BGF589818 BQB589818 BZX589818 CJT589818 CTP589818 DDL589818 DNH589818 DXD589818 EGZ589818 EQV589818 FAR589818 FKN589818 FUJ589818 GEF589818 GOB589818 GXX589818 HHT589818 HRP589818 IBL589818 ILH589818 IVD589818 JEZ589818 JOV589818 JYR589818 KIN589818 KSJ589818 LCF589818 LMB589818 LVX589818 MFT589818 MPP589818 MZL589818 NJH589818 NTD589818 OCZ589818 OMV589818 OWR589818 PGN589818 PQJ589818 QAF589818 QKB589818 QTX589818 RDT589818 RNP589818 RXL589818 SHH589818 SRD589818 TAZ589818 TKV589818 TUR589818 UEN589818 UOJ589818 UYF589818 VIB589818 VRX589818 WBT589818 WLP589818 WVL589818 D655565 IZ655354 SV655354 ACR655354 AMN655354 AWJ655354 BGF655354 BQB655354 BZX655354 CJT655354 CTP655354 DDL655354 DNH655354 DXD655354 EGZ655354 EQV655354 FAR655354 FKN655354 FUJ655354 GEF655354 GOB655354 GXX655354 HHT655354 HRP655354 IBL655354 ILH655354 IVD655354 JEZ655354 JOV655354 JYR655354 KIN655354 KSJ655354 LCF655354 LMB655354 LVX655354 MFT655354 MPP655354 MZL655354 NJH655354 NTD655354 OCZ655354 OMV655354 OWR655354 PGN655354 PQJ655354 QAF655354 QKB655354 QTX655354 RDT655354 RNP655354 RXL655354 SHH655354 SRD655354 TAZ655354 TKV655354 TUR655354 UEN655354 UOJ655354 UYF655354 VIB655354 VRX655354 WBT655354 WLP655354 WVL655354 D721101 IZ720890 SV720890 ACR720890 AMN720890 AWJ720890 BGF720890 BQB720890 BZX720890 CJT720890 CTP720890 DDL720890 DNH720890 DXD720890 EGZ720890 EQV720890 FAR720890 FKN720890 FUJ720890 GEF720890 GOB720890 GXX720890 HHT720890 HRP720890 IBL720890 ILH720890 IVD720890 JEZ720890 JOV720890 JYR720890 KIN720890 KSJ720890 LCF720890 LMB720890 LVX720890 MFT720890 MPP720890 MZL720890 NJH720890 NTD720890 OCZ720890 OMV720890 OWR720890 PGN720890 PQJ720890 QAF720890 QKB720890 QTX720890 RDT720890 RNP720890 RXL720890 SHH720890 SRD720890 TAZ720890 TKV720890 TUR720890 UEN720890 UOJ720890 UYF720890 VIB720890 VRX720890 WBT720890 WLP720890 WVL720890 D786637 IZ786426 SV786426 ACR786426 AMN786426 AWJ786426 BGF786426 BQB786426 BZX786426 CJT786426 CTP786426 DDL786426 DNH786426 DXD786426 EGZ786426 EQV786426 FAR786426 FKN786426 FUJ786426 GEF786426 GOB786426 GXX786426 HHT786426 HRP786426 IBL786426 ILH786426 IVD786426 JEZ786426 JOV786426 JYR786426 KIN786426 KSJ786426 LCF786426 LMB786426 LVX786426 MFT786426 MPP786426 MZL786426 NJH786426 NTD786426 OCZ786426 OMV786426 OWR786426 PGN786426 PQJ786426 QAF786426 QKB786426 QTX786426 RDT786426 RNP786426 RXL786426 SHH786426 SRD786426 TAZ786426 TKV786426 TUR786426 UEN786426 UOJ786426 UYF786426 VIB786426 VRX786426 WBT786426 WLP786426 WVL786426 D852173 IZ851962 SV851962 ACR851962 AMN851962 AWJ851962 BGF851962 BQB851962 BZX851962 CJT851962 CTP851962 DDL851962 DNH851962 DXD851962 EGZ851962 EQV851962 FAR851962 FKN851962 FUJ851962 GEF851962 GOB851962 GXX851962 HHT851962 HRP851962 IBL851962 ILH851962 IVD851962 JEZ851962 JOV851962 JYR851962 KIN851962 KSJ851962 LCF851962 LMB851962 LVX851962 MFT851962 MPP851962 MZL851962 NJH851962 NTD851962 OCZ851962 OMV851962 OWR851962 PGN851962 PQJ851962 QAF851962 QKB851962 QTX851962 RDT851962 RNP851962 RXL851962 SHH851962 SRD851962 TAZ851962 TKV851962 TUR851962 UEN851962 UOJ851962 UYF851962 VIB851962 VRX851962 WBT851962 WLP851962 WVL851962 D917709 IZ917498 SV917498 ACR917498 AMN917498 AWJ917498 BGF917498 BQB917498 BZX917498 CJT917498 CTP917498 DDL917498 DNH917498 DXD917498 EGZ917498 EQV917498 FAR917498 FKN917498 FUJ917498 GEF917498 GOB917498 GXX917498 HHT917498 HRP917498 IBL917498 ILH917498 IVD917498 JEZ917498 JOV917498 JYR917498 KIN917498 KSJ917498 LCF917498 LMB917498 LVX917498 MFT917498 MPP917498 MZL917498 NJH917498 NTD917498 OCZ917498 OMV917498 OWR917498 PGN917498 PQJ917498 QAF917498 QKB917498 QTX917498 RDT917498 RNP917498 RXL917498 SHH917498 SRD917498 TAZ917498 TKV917498 TUR917498 UEN917498 UOJ917498 UYF917498 VIB917498 VRX917498 WBT917498 WLP917498 WVL917498 D983245 IZ983034 SV983034 ACR983034 AMN983034 AWJ983034 BGF983034 BQB983034 BZX983034 CJT983034 CTP983034 DDL983034 DNH983034 DXD983034 EGZ983034 EQV983034 FAR983034 FKN983034 FUJ983034 GEF983034 GOB983034 GXX983034 HHT983034 HRP983034 IBL983034 ILH983034 IVD983034 JEZ983034 JOV983034 JYR983034 KIN983034 KSJ983034 LCF983034 LMB983034 LVX983034 MFT983034 MPP983034 MZL983034 NJH983034 NTD983034 OCZ983034 OMV983034 OWR983034 PGN983034 PQJ983034 QAF983034 QKB983034 QTX983034 RDT983034 RNP983034 RXL983034 SHH983034 SRD983034 TAZ983034 TKV983034 TUR983034 UEN983034 UOJ983034 UYF983034 VIB983034 VRX983034 WBT983034 WLP983034 WVL983034 D249 JV41:JV43 TR41:TR43 ADN41:ADN43 ANJ41:ANJ43 AXF41:AXF43 BHB41:BHB43 BQX41:BQX43 CAT41:CAT43 CKP41:CKP43 CUL41:CUL43 DEH41:DEH43 DOD41:DOD43 DXZ41:DXZ43 EHV41:EHV43 ERR41:ERR43 FBN41:FBN43 FLJ41:FLJ43 FVF41:FVF43 GFB41:GFB43 GOX41:GOX43 GYT41:GYT43 HIP41:HIP43 HSL41:HSL43 ICH41:ICH43 IMD41:IMD43 IVZ41:IVZ43 JFV41:JFV43 JPR41:JPR43 JZN41:JZN43 KJJ41:KJJ43 KTF41:KTF43 LDB41:LDB43 LMX41:LMX43 LWT41:LWT43 MGP41:MGP43 MQL41:MQL43 NAH41:NAH43 NKD41:NKD43 NTZ41:NTZ43 ODV41:ODV43 ONR41:ONR43 OXN41:OXN43 PHJ41:PHJ43 PRF41:PRF43 QBB41:QBB43 QKX41:QKX43 QUT41:QUT43 REP41:REP43 ROL41:ROL43 RYH41:RYH43 SID41:SID43 SRZ41:SRZ43 TBV41:TBV43 TLR41:TLR43 TVN41:TVN43 UFJ41:UFJ43 UPF41:UPF43 UZB41:UZB43 VIX41:VIX43 VST41:VST43 WCP41:WCP43 WML41:WML43 WWH41:WWH43 D65783 IZ65572 SV65572 ACR65572 AMN65572 AWJ65572 BGF65572 BQB65572 BZX65572 CJT65572 CTP65572 DDL65572 DNH65572 DXD65572 EGZ65572 EQV65572 FAR65572 FKN65572 FUJ65572 GEF65572 GOB65572 GXX65572 HHT65572 HRP65572 IBL65572 ILH65572 IVD65572 JEZ65572 JOV65572 JYR65572 KIN65572 KSJ65572 LCF65572 LMB65572 LVX65572 MFT65572 MPP65572 MZL65572 NJH65572 NTD65572 OCZ65572 OMV65572 OWR65572 PGN65572 PQJ65572 QAF65572 QKB65572 QTX65572 RDT65572 RNP65572 RXL65572 SHH65572 SRD65572 TAZ65572 TKV65572 TUR65572 UEN65572 UOJ65572 UYF65572 VIB65572 VRX65572 WBT65572 WLP65572 WVL65572 D131319 IZ131108 SV131108 ACR131108 AMN131108 AWJ131108 BGF131108 BQB131108 BZX131108 CJT131108 CTP131108 DDL131108 DNH131108 DXD131108 EGZ131108 EQV131108 FAR131108 FKN131108 FUJ131108 GEF131108 GOB131108 GXX131108 HHT131108 HRP131108 IBL131108 ILH131108 IVD131108 JEZ131108 JOV131108 JYR131108 KIN131108 KSJ131108 LCF131108 LMB131108 LVX131108 MFT131108 MPP131108 MZL131108 NJH131108 NTD131108 OCZ131108 OMV131108 OWR131108 PGN131108 PQJ131108 QAF131108 QKB131108 QTX131108 RDT131108 RNP131108 RXL131108 SHH131108 SRD131108 TAZ131108 TKV131108 TUR131108 UEN131108 UOJ131108 UYF131108 VIB131108 VRX131108 WBT131108 WLP131108 WVL131108 D196855 IZ196644 SV196644 ACR196644 AMN196644 AWJ196644 BGF196644 BQB196644 BZX196644 CJT196644 CTP196644 DDL196644 DNH196644 DXD196644 EGZ196644 EQV196644 FAR196644 FKN196644 FUJ196644 GEF196644 GOB196644 GXX196644 HHT196644 HRP196644 IBL196644 ILH196644 IVD196644 JEZ196644 JOV196644 JYR196644 KIN196644 KSJ196644 LCF196644 LMB196644 LVX196644 MFT196644 MPP196644 MZL196644 NJH196644 NTD196644 OCZ196644 OMV196644 OWR196644 PGN196644 PQJ196644 QAF196644 QKB196644 QTX196644 RDT196644 RNP196644 RXL196644 SHH196644 SRD196644 TAZ196644 TKV196644 TUR196644 UEN196644 UOJ196644 UYF196644 VIB196644 VRX196644 WBT196644 WLP196644 WVL196644 D262391 IZ262180 SV262180 ACR262180 AMN262180 AWJ262180 BGF262180 BQB262180 BZX262180 CJT262180 CTP262180 DDL262180 DNH262180 DXD262180 EGZ262180 EQV262180 FAR262180 FKN262180 FUJ262180 GEF262180 GOB262180 GXX262180 HHT262180 HRP262180 IBL262180 ILH262180 IVD262180 JEZ262180 JOV262180 JYR262180 KIN262180 KSJ262180 LCF262180 LMB262180 LVX262180 MFT262180 MPP262180 MZL262180 NJH262180 NTD262180 OCZ262180 OMV262180 OWR262180 PGN262180 PQJ262180 QAF262180 QKB262180 QTX262180 RDT262180 RNP262180 RXL262180 SHH262180 SRD262180 TAZ262180 TKV262180 TUR262180 UEN262180 UOJ262180 UYF262180 VIB262180 VRX262180 WBT262180 WLP262180 WVL262180 D327927 IZ327716 SV327716 ACR327716 AMN327716 AWJ327716 BGF327716 BQB327716 BZX327716 CJT327716 CTP327716 DDL327716 DNH327716 DXD327716 EGZ327716 EQV327716 FAR327716 FKN327716 FUJ327716 GEF327716 GOB327716 GXX327716 HHT327716 HRP327716 IBL327716 ILH327716 IVD327716 JEZ327716 JOV327716 JYR327716 KIN327716 KSJ327716 LCF327716 LMB327716 LVX327716 MFT327716 MPP327716 MZL327716 NJH327716 NTD327716 OCZ327716 OMV327716 OWR327716 PGN327716 PQJ327716 QAF327716 QKB327716 QTX327716 RDT327716 RNP327716 RXL327716 SHH327716 SRD327716 TAZ327716 TKV327716 TUR327716 UEN327716 UOJ327716 UYF327716 VIB327716 VRX327716 WBT327716 WLP327716 WVL327716 D393463 IZ393252 SV393252 ACR393252 AMN393252 AWJ393252 BGF393252 BQB393252 BZX393252 CJT393252 CTP393252 DDL393252 DNH393252 DXD393252 EGZ393252 EQV393252 FAR393252 FKN393252 FUJ393252 GEF393252 GOB393252 GXX393252 HHT393252 HRP393252 IBL393252 ILH393252 IVD393252 JEZ393252 JOV393252 JYR393252 KIN393252 KSJ393252 LCF393252 LMB393252 LVX393252 MFT393252 MPP393252 MZL393252 NJH393252 NTD393252 OCZ393252 OMV393252 OWR393252 PGN393252 PQJ393252 QAF393252 QKB393252 QTX393252 RDT393252 RNP393252 RXL393252 SHH393252 SRD393252 TAZ393252 TKV393252 TUR393252 UEN393252 UOJ393252 UYF393252 VIB393252 VRX393252 WBT393252 WLP393252 WVL393252 D458999 IZ458788 SV458788 ACR458788 AMN458788 AWJ458788 BGF458788 BQB458788 BZX458788 CJT458788 CTP458788 DDL458788 DNH458788 DXD458788 EGZ458788 EQV458788 FAR458788 FKN458788 FUJ458788 GEF458788 GOB458788 GXX458788 HHT458788 HRP458788 IBL458788 ILH458788 IVD458788 JEZ458788 JOV458788 JYR458788 KIN458788 KSJ458788 LCF458788 LMB458788 LVX458788 MFT458788 MPP458788 MZL458788 NJH458788 NTD458788 OCZ458788 OMV458788 OWR458788 PGN458788 PQJ458788 QAF458788 QKB458788 QTX458788 RDT458788 RNP458788 RXL458788 SHH458788 SRD458788 TAZ458788 TKV458788 TUR458788 UEN458788 UOJ458788 UYF458788 VIB458788 VRX458788 WBT458788 WLP458788 WVL458788 D524535 IZ524324 SV524324 ACR524324 AMN524324 AWJ524324 BGF524324 BQB524324 BZX524324 CJT524324 CTP524324 DDL524324 DNH524324 DXD524324 EGZ524324 EQV524324 FAR524324 FKN524324 FUJ524324 GEF524324 GOB524324 GXX524324 HHT524324 HRP524324 IBL524324 ILH524324 IVD524324 JEZ524324 JOV524324 JYR524324 KIN524324 KSJ524324 LCF524324 LMB524324 LVX524324 MFT524324 MPP524324 MZL524324 NJH524324 NTD524324 OCZ524324 OMV524324 OWR524324 PGN524324 PQJ524324 QAF524324 QKB524324 QTX524324 RDT524324 RNP524324 RXL524324 SHH524324 SRD524324 TAZ524324 TKV524324 TUR524324 UEN524324 UOJ524324 UYF524324 VIB524324 VRX524324 WBT524324 WLP524324 WVL524324 D590071 IZ589860 SV589860 ACR589860 AMN589860 AWJ589860 BGF589860 BQB589860 BZX589860 CJT589860 CTP589860 DDL589860 DNH589860 DXD589860 EGZ589860 EQV589860 FAR589860 FKN589860 FUJ589860 GEF589860 GOB589860 GXX589860 HHT589860 HRP589860 IBL589860 ILH589860 IVD589860 JEZ589860 JOV589860 JYR589860 KIN589860 KSJ589860 LCF589860 LMB589860 LVX589860 MFT589860 MPP589860 MZL589860 NJH589860 NTD589860 OCZ589860 OMV589860 OWR589860 PGN589860 PQJ589860 QAF589860 QKB589860 QTX589860 RDT589860 RNP589860 RXL589860 SHH589860 SRD589860 TAZ589860 TKV589860 TUR589860 UEN589860 UOJ589860 UYF589860 VIB589860 VRX589860 WBT589860 WLP589860 WVL589860 D655607 IZ655396 SV655396 ACR655396 AMN655396 AWJ655396 BGF655396 BQB655396 BZX655396 CJT655396 CTP655396 DDL655396 DNH655396 DXD655396 EGZ655396 EQV655396 FAR655396 FKN655396 FUJ655396 GEF655396 GOB655396 GXX655396 HHT655396 HRP655396 IBL655396 ILH655396 IVD655396 JEZ655396 JOV655396 JYR655396 KIN655396 KSJ655396 LCF655396 LMB655396 LVX655396 MFT655396 MPP655396 MZL655396 NJH655396 NTD655396 OCZ655396 OMV655396 OWR655396 PGN655396 PQJ655396 QAF655396 QKB655396 QTX655396 RDT655396 RNP655396 RXL655396 SHH655396 SRD655396 TAZ655396 TKV655396 TUR655396 UEN655396 UOJ655396 UYF655396 VIB655396 VRX655396 WBT655396 WLP655396 WVL655396 D721143 IZ720932 SV720932 ACR720932 AMN720932 AWJ720932 BGF720932 BQB720932 BZX720932 CJT720932 CTP720932 DDL720932 DNH720932 DXD720932 EGZ720932 EQV720932 FAR720932 FKN720932 FUJ720932 GEF720932 GOB720932 GXX720932 HHT720932 HRP720932 IBL720932 ILH720932 IVD720932 JEZ720932 JOV720932 JYR720932 KIN720932 KSJ720932 LCF720932 LMB720932 LVX720932 MFT720932 MPP720932 MZL720932 NJH720932 NTD720932 OCZ720932 OMV720932 OWR720932 PGN720932 PQJ720932 QAF720932 QKB720932 QTX720932 RDT720932 RNP720932 RXL720932 SHH720932 SRD720932 TAZ720932 TKV720932 TUR720932 UEN720932 UOJ720932 UYF720932 VIB720932 VRX720932 WBT720932 WLP720932 WVL720932 D786679 IZ786468 SV786468 ACR786468 AMN786468 AWJ786468 BGF786468 BQB786468 BZX786468 CJT786468 CTP786468 DDL786468 DNH786468 DXD786468 EGZ786468 EQV786468 FAR786468 FKN786468 FUJ786468 GEF786468 GOB786468 GXX786468 HHT786468 HRP786468 IBL786468 ILH786468 IVD786468 JEZ786468 JOV786468 JYR786468 KIN786468 KSJ786468 LCF786468 LMB786468 LVX786468 MFT786468 MPP786468 MZL786468 NJH786468 NTD786468 OCZ786468 OMV786468 OWR786468 PGN786468 PQJ786468 QAF786468 QKB786468 QTX786468 RDT786468 RNP786468 RXL786468 SHH786468 SRD786468 TAZ786468 TKV786468 TUR786468 UEN786468 UOJ786468 UYF786468 VIB786468 VRX786468 WBT786468 WLP786468 WVL786468 D852215 IZ852004 SV852004 ACR852004 AMN852004 AWJ852004 BGF852004 BQB852004 BZX852004 CJT852004 CTP852004 DDL852004 DNH852004 DXD852004 EGZ852004 EQV852004 FAR852004 FKN852004 FUJ852004 GEF852004 GOB852004 GXX852004 HHT852004 HRP852004 IBL852004 ILH852004 IVD852004 JEZ852004 JOV852004 JYR852004 KIN852004 KSJ852004 LCF852004 LMB852004 LVX852004 MFT852004 MPP852004 MZL852004 NJH852004 NTD852004 OCZ852004 OMV852004 OWR852004 PGN852004 PQJ852004 QAF852004 QKB852004 QTX852004 RDT852004 RNP852004 RXL852004 SHH852004 SRD852004 TAZ852004 TKV852004 TUR852004 UEN852004 UOJ852004 UYF852004 VIB852004 VRX852004 WBT852004 WLP852004 WVL852004 D917751 IZ917540 SV917540 ACR917540 AMN917540 AWJ917540 BGF917540 BQB917540 BZX917540 CJT917540 CTP917540 DDL917540 DNH917540 DXD917540 EGZ917540 EQV917540 FAR917540 FKN917540 FUJ917540 GEF917540 GOB917540 GXX917540 HHT917540 HRP917540 IBL917540 ILH917540 IVD917540 JEZ917540 JOV917540 JYR917540 KIN917540 KSJ917540 LCF917540 LMB917540 LVX917540 MFT917540 MPP917540 MZL917540 NJH917540 NTD917540 OCZ917540 OMV917540 OWR917540 PGN917540 PQJ917540 QAF917540 QKB917540 QTX917540 RDT917540 RNP917540 RXL917540 SHH917540 SRD917540 TAZ917540 TKV917540 TUR917540 UEN917540 UOJ917540 UYF917540 VIB917540 VRX917540 WBT917540 WLP917540 WVL917540 D983287 IZ983076 SV983076 ACR983076 AMN983076 AWJ983076 BGF983076 BQB983076 BZX983076 CJT983076 CTP983076 DDL983076 DNH983076 DXD983076 EGZ983076 EQV983076 FAR983076 FKN983076 FUJ983076 GEF983076 GOB983076 GXX983076 HHT983076 HRP983076 IBL983076 ILH983076 IVD983076 JEZ983076 JOV983076 JYR983076 KIN983076 KSJ983076 LCF983076 LMB983076 LVX983076 MFT983076 MPP983076 MZL983076 NJH983076 NTD983076 OCZ983076 OMV983076 OWR983076 PGN983076 PQJ983076 QAF983076 QKB983076 QTX983076 RDT983076 RNP983076 RXL983076 SHH983076 SRD983076 TAZ983076 TKV983076 TUR983076 UEN983076 UOJ983076 UYF983076 VIB983076 VRX983076 WBT983076 WLP983076 WVL983076" xr:uid="{D2A82016-9EB7-4F7E-924D-F92AC8C83FCE}">
      <formula1>"Core1,Core2,Core3"</formula1>
    </dataValidation>
    <dataValidation type="list" allowBlank="1" showInputMessage="1" showErrorMessage="1" sqref="AC56 G56" xr:uid="{328C46B2-CD7B-41BE-B4DE-F9295976A4E8}">
      <formula1>"AL, CU,"</formula1>
    </dataValidation>
  </dataValidations>
  <printOptions horizontalCentered="1" verticalCentered="1"/>
  <pageMargins left="0.5" right="0.5" top="0.5" bottom="0.5" header="0" footer="0"/>
  <pageSetup paperSize="9" scale="91" orientation="portrait" r:id="rId1"/>
  <headerFooter alignWithMargins="0"/>
  <rowBreaks count="4" manualBreakCount="4">
    <brk id="42" min="24" max="43" man="1"/>
    <brk id="163" min="22" max="43" man="1"/>
    <brk id="206" max="21" man="1"/>
    <brk id="332" min="2" max="21"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3A39-E41C-4765-8BB0-4C8ADF9D6EF7}">
  <sheetPr>
    <tabColor rgb="FF00B050"/>
  </sheetPr>
  <dimension ref="A1:AC735"/>
  <sheetViews>
    <sheetView showZeros="0" view="pageBreakPreview" zoomScale="130" zoomScaleNormal="100" zoomScaleSheetLayoutView="130" workbookViewId="0">
      <selection activeCell="X21" sqref="X21"/>
    </sheetView>
  </sheetViews>
  <sheetFormatPr defaultColWidth="4.33203125" defaultRowHeight="18" customHeight="1"/>
  <cols>
    <col min="1" max="11" width="4.33203125" style="30"/>
    <col min="12" max="13" width="4.5546875" style="30" customWidth="1"/>
    <col min="14" max="14" width="4.33203125" style="30" customWidth="1"/>
    <col min="15" max="16384" width="4.33203125" style="30"/>
  </cols>
  <sheetData>
    <row r="1" spans="1:29" ht="18" customHeight="1">
      <c r="A1" s="920" t="s">
        <v>0</v>
      </c>
      <c r="B1" s="921"/>
      <c r="C1" s="921"/>
      <c r="D1" s="921"/>
      <c r="E1" s="921"/>
      <c r="F1" s="921"/>
      <c r="G1" s="922"/>
      <c r="H1" s="906" t="str">
        <f>[3]Title!H1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[3]Title!H2</f>
        <v>CALCULATION</v>
      </c>
      <c r="I2" s="934"/>
      <c r="J2" s="934"/>
      <c r="K2" s="934"/>
      <c r="L2" s="934"/>
      <c r="M2" s="934"/>
      <c r="N2" s="935"/>
      <c r="O2" s="885" t="str">
        <f>Title!O2</f>
        <v>Date</v>
      </c>
      <c r="P2" s="886"/>
      <c r="Q2" s="887"/>
      <c r="R2" s="936">
        <f>Title!R2</f>
        <v>46134</v>
      </c>
      <c r="S2" s="932"/>
      <c r="T2" s="932"/>
      <c r="U2" s="932"/>
      <c r="V2" s="933"/>
      <c r="W2" s="14"/>
      <c r="X2" s="14"/>
    </row>
    <row r="3" spans="1:29"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[3]Title!A5</f>
        <v>Prep. By</v>
      </c>
      <c r="B5" s="943"/>
      <c r="C5" s="25" t="str">
        <f>[3]Title!C5</f>
        <v>PK</v>
      </c>
      <c r="D5" s="880" t="str">
        <f>[3]Title!D5</f>
        <v>Checked By</v>
      </c>
      <c r="E5" s="881"/>
      <c r="F5" s="943"/>
      <c r="G5" s="25" t="str">
        <f>[3]Title!G5</f>
        <v>RN</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108</v>
      </c>
      <c r="C7" s="782"/>
      <c r="D7" s="781" t="s">
        <v>506</v>
      </c>
      <c r="E7" s="782"/>
      <c r="F7" s="186"/>
      <c r="G7" s="684" t="s">
        <v>1044</v>
      </c>
      <c r="H7" s="684"/>
      <c r="I7" s="684"/>
      <c r="J7" s="684"/>
      <c r="K7" s="684"/>
      <c r="L7" s="684"/>
      <c r="M7" s="684"/>
      <c r="N7" s="684"/>
      <c r="O7" s="684"/>
      <c r="P7" s="186"/>
      <c r="S7" s="187" t="s">
        <v>387</v>
      </c>
      <c r="T7" s="1161" t="s">
        <v>205</v>
      </c>
      <c r="U7" s="1162"/>
      <c r="V7" s="185"/>
    </row>
    <row r="8" spans="1:29" ht="18" customHeight="1">
      <c r="A8" s="184"/>
      <c r="F8" s="255"/>
      <c r="T8" s="1161"/>
      <c r="U8" s="1162"/>
      <c r="V8" s="185"/>
    </row>
    <row r="9" spans="1:29" ht="18" customHeight="1">
      <c r="A9" s="1191"/>
      <c r="B9" s="1192"/>
      <c r="C9" s="1192"/>
      <c r="D9" s="684"/>
      <c r="H9" s="789" t="s">
        <v>390</v>
      </c>
      <c r="I9" s="789"/>
      <c r="J9" s="708" t="s">
        <v>391</v>
      </c>
      <c r="K9" s="708"/>
      <c r="L9" s="708" t="s">
        <v>392</v>
      </c>
      <c r="M9" s="708"/>
      <c r="V9" s="185"/>
    </row>
    <row r="10" spans="1:29" ht="18" customHeight="1">
      <c r="A10" s="184"/>
      <c r="B10" s="47" t="s">
        <v>393</v>
      </c>
      <c r="H10" s="791">
        <v>3200</v>
      </c>
      <c r="I10" s="792"/>
      <c r="J10" s="781">
        <v>600</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16</v>
      </c>
      <c r="I12" s="782"/>
      <c r="J12" s="192" t="s">
        <v>333</v>
      </c>
      <c r="V12" s="185"/>
    </row>
    <row r="13" spans="1:29" ht="18" customHeight="1">
      <c r="A13" s="184"/>
      <c r="B13" s="47" t="s">
        <v>398</v>
      </c>
      <c r="G13" s="120" t="s">
        <v>498</v>
      </c>
      <c r="H13" s="781">
        <v>1600</v>
      </c>
      <c r="I13" s="782"/>
      <c r="J13" s="14" t="s">
        <v>305</v>
      </c>
      <c r="V13" s="185"/>
      <c r="W13" s="30" t="s">
        <v>400</v>
      </c>
      <c r="AB13" s="785">
        <f>D57</f>
        <v>107.36</v>
      </c>
      <c r="AC13" s="786"/>
    </row>
    <row r="14" spans="1:29" ht="18" customHeight="1">
      <c r="A14" s="184"/>
      <c r="B14" s="14" t="s">
        <v>401</v>
      </c>
      <c r="G14" s="120" t="s">
        <v>402</v>
      </c>
      <c r="H14" s="781">
        <v>10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7UT85</v>
      </c>
      <c r="E18" s="196"/>
      <c r="F18" s="196"/>
      <c r="G18" s="196"/>
      <c r="H18" s="182" t="s">
        <v>406</v>
      </c>
      <c r="I18" s="183" t="s">
        <v>127</v>
      </c>
      <c r="J18" s="1193">
        <f>'CT-VT Burdens'!Q119</f>
        <v>0.1</v>
      </c>
      <c r="K18" s="1105"/>
      <c r="L18" s="3" t="s">
        <v>157</v>
      </c>
      <c r="V18" s="185"/>
    </row>
    <row r="19" spans="1:22" ht="18" customHeight="1">
      <c r="A19" s="184"/>
      <c r="B19" s="184" t="s">
        <v>405</v>
      </c>
      <c r="D19" s="30">
        <f>T8</f>
        <v>0</v>
      </c>
      <c r="H19" s="27"/>
      <c r="I19" s="177" t="s">
        <v>127</v>
      </c>
      <c r="J19" s="1194"/>
      <c r="K19" s="1107"/>
      <c r="L19" s="198" t="s">
        <v>157</v>
      </c>
      <c r="V19" s="185"/>
    </row>
    <row r="20" spans="1:22" ht="18" customHeight="1">
      <c r="A20" s="184"/>
      <c r="B20" s="184" t="s">
        <v>405</v>
      </c>
      <c r="D20" s="30">
        <f>T9</f>
        <v>0</v>
      </c>
      <c r="E20" s="14"/>
      <c r="G20" s="199"/>
      <c r="H20" s="27"/>
      <c r="I20" s="177" t="s">
        <v>127</v>
      </c>
      <c r="J20" s="1108"/>
      <c r="K20" s="788"/>
      <c r="L20" s="202" t="s">
        <v>157</v>
      </c>
      <c r="V20" s="185"/>
    </row>
    <row r="21" spans="1:22" ht="18" customHeight="1">
      <c r="A21" s="184"/>
      <c r="B21" s="184" t="s">
        <v>412</v>
      </c>
      <c r="H21" s="27" t="s">
        <v>599</v>
      </c>
      <c r="I21" s="177" t="s">
        <v>127</v>
      </c>
      <c r="J21" s="793">
        <f>'CT-VT Burdens'!S24</f>
        <v>1.0770224400000001</v>
      </c>
      <c r="K21" s="1156"/>
      <c r="L21" s="203" t="s">
        <v>157</v>
      </c>
      <c r="V21" s="185"/>
    </row>
    <row r="22" spans="1:22" ht="18" customHeight="1">
      <c r="A22" s="184"/>
      <c r="B22" s="205" t="s">
        <v>413</v>
      </c>
      <c r="C22" s="206"/>
      <c r="D22" s="206"/>
      <c r="E22" s="206"/>
      <c r="F22" s="207"/>
      <c r="G22" s="207"/>
      <c r="H22" s="190" t="s">
        <v>409</v>
      </c>
      <c r="I22" s="208" t="s">
        <v>127</v>
      </c>
      <c r="J22" s="766">
        <f>J19+J21</f>
        <v>1.0770224400000001</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S53</f>
        <v>1</v>
      </c>
      <c r="G26" s="27" t="s">
        <v>315</v>
      </c>
      <c r="H26" s="27">
        <f>S53</f>
        <v>1</v>
      </c>
      <c r="I26" s="30" t="s">
        <v>350</v>
      </c>
      <c r="J26" s="199"/>
      <c r="L26" s="47"/>
      <c r="N26" s="27" t="s">
        <v>127</v>
      </c>
      <c r="O26" s="204">
        <f>J22</f>
        <v>1.0770224400000001</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1.0770224400000001</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t="s">
        <v>668</v>
      </c>
      <c r="C29" s="47"/>
      <c r="D29" s="47"/>
      <c r="E29" s="47"/>
      <c r="H29" s="27"/>
      <c r="I29" s="28"/>
      <c r="J29" s="199"/>
      <c r="L29" s="28" t="s">
        <v>127</v>
      </c>
      <c r="M29" s="795">
        <f>D27</f>
        <v>0.1</v>
      </c>
      <c r="N29" s="795"/>
      <c r="O29" s="27" t="s">
        <v>347</v>
      </c>
      <c r="P29" s="795">
        <f>O27</f>
        <v>1.0770224400000001</v>
      </c>
      <c r="Q29" s="795"/>
      <c r="R29" s="211" t="s">
        <v>127</v>
      </c>
      <c r="S29" s="795">
        <f>M29+P29</f>
        <v>1.1770224400000002</v>
      </c>
      <c r="T29" s="795"/>
      <c r="U29" s="192" t="s">
        <v>333</v>
      </c>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2" s="14" customFormat="1" ht="18" customHeight="1">
      <c r="A33" s="96"/>
      <c r="B33" s="47" t="s">
        <v>605</v>
      </c>
      <c r="C33" s="5"/>
      <c r="D33" s="5"/>
      <c r="E33" s="5"/>
      <c r="M33" s="120" t="s">
        <v>606</v>
      </c>
      <c r="N33" s="103" t="s">
        <v>607</v>
      </c>
      <c r="O33" s="1154">
        <v>132</v>
      </c>
      <c r="P33" s="831"/>
      <c r="Q33" s="14" t="s">
        <v>163</v>
      </c>
      <c r="S33" s="214"/>
      <c r="T33" s="18"/>
      <c r="U33" s="18"/>
      <c r="V33" s="97"/>
    </row>
    <row r="34" spans="1:22" s="14" customFormat="1" ht="18" customHeight="1">
      <c r="A34" s="216"/>
      <c r="B34" s="212"/>
      <c r="C34" s="212"/>
      <c r="D34" s="212"/>
      <c r="E34" s="212"/>
      <c r="T34" s="18"/>
      <c r="U34" s="18"/>
      <c r="V34" s="97"/>
    </row>
    <row r="35" spans="1:22"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2"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132</v>
      </c>
      <c r="R36" s="47" t="s">
        <v>350</v>
      </c>
      <c r="T36" s="18"/>
      <c r="U36" s="18"/>
      <c r="V36" s="97"/>
    </row>
    <row r="37" spans="1:22" s="14" customFormat="1" ht="18" customHeight="1">
      <c r="A37" s="216"/>
      <c r="B37" s="212"/>
      <c r="C37" s="212"/>
      <c r="D37" s="212"/>
      <c r="E37" s="212"/>
      <c r="F37" s="212"/>
      <c r="G37" s="212"/>
      <c r="I37" s="28" t="s">
        <v>127</v>
      </c>
      <c r="J37" s="692">
        <f>(O31*1000)/(SQRT(3)*O33)</f>
        <v>437.38656756789834</v>
      </c>
      <c r="K37" s="692"/>
      <c r="L37" s="14" t="s">
        <v>8</v>
      </c>
      <c r="M37" s="120"/>
      <c r="N37" s="120"/>
      <c r="O37" s="120"/>
      <c r="T37" s="18"/>
      <c r="U37" s="18"/>
      <c r="V37" s="97"/>
    </row>
    <row r="38" spans="1:22" s="14" customFormat="1" ht="18" customHeight="1">
      <c r="A38" s="147" t="s">
        <v>669</v>
      </c>
      <c r="B38" s="5"/>
      <c r="C38" s="5"/>
      <c r="D38" s="5"/>
      <c r="E38" s="5"/>
      <c r="F38" s="212"/>
      <c r="G38" s="212"/>
      <c r="H38" s="5"/>
      <c r="I38" s="5"/>
      <c r="J38" s="5"/>
      <c r="K38" s="5"/>
      <c r="L38" s="103"/>
      <c r="M38" s="103"/>
      <c r="N38" s="103"/>
      <c r="O38" s="103"/>
      <c r="P38" s="212"/>
      <c r="Q38" s="213"/>
      <c r="U38" s="18"/>
      <c r="V38" s="97"/>
    </row>
    <row r="39" spans="1:22" s="14" customFormat="1" ht="18" customHeight="1">
      <c r="A39" s="147"/>
      <c r="B39" s="5"/>
      <c r="C39" s="5"/>
      <c r="D39" s="5"/>
      <c r="E39" s="5"/>
      <c r="F39" s="212"/>
      <c r="G39" s="212"/>
      <c r="H39" s="5"/>
      <c r="I39" s="5"/>
      <c r="J39" s="5"/>
      <c r="K39" s="5"/>
      <c r="L39" s="103"/>
      <c r="M39" s="103"/>
      <c r="N39" s="103"/>
      <c r="O39" s="103"/>
      <c r="P39" s="212"/>
      <c r="Q39" s="213"/>
      <c r="S39" s="214"/>
      <c r="T39" s="18"/>
      <c r="U39" s="18"/>
      <c r="V39" s="97"/>
    </row>
    <row r="40" spans="1:22" ht="18" customHeight="1">
      <c r="A40" s="184" t="s">
        <v>670</v>
      </c>
      <c r="B40" s="14"/>
      <c r="C40" s="14"/>
      <c r="D40" s="14"/>
      <c r="E40" s="14"/>
      <c r="M40" s="120"/>
      <c r="N40" s="27" t="s">
        <v>127</v>
      </c>
      <c r="O40" s="689">
        <v>50000</v>
      </c>
      <c r="P40" s="716"/>
      <c r="Q40" s="461" t="s">
        <v>8</v>
      </c>
      <c r="R40" s="221"/>
      <c r="S40" s="214"/>
      <c r="V40" s="185"/>
    </row>
    <row r="41" spans="1:22" ht="18" customHeight="1">
      <c r="A41" s="184"/>
      <c r="B41" s="14"/>
      <c r="C41" s="14"/>
      <c r="D41" s="14"/>
      <c r="E41" s="14"/>
      <c r="M41" s="120"/>
      <c r="N41" s="27"/>
      <c r="O41" s="28"/>
      <c r="P41" s="14"/>
      <c r="Q41" s="461"/>
      <c r="R41" s="221"/>
      <c r="S41" s="214"/>
      <c r="V41" s="185"/>
    </row>
    <row r="42" spans="1:22" ht="18" customHeight="1">
      <c r="A42" s="184"/>
      <c r="B42" s="689" t="s">
        <v>473</v>
      </c>
      <c r="C42" s="1150" t="s">
        <v>652</v>
      </c>
      <c r="D42" s="279"/>
      <c r="E42" s="279"/>
      <c r="F42" s="279"/>
      <c r="G42" s="802">
        <v>0.4</v>
      </c>
      <c r="H42" s="1153" t="s">
        <v>315</v>
      </c>
      <c r="I42" s="790" t="s">
        <v>671</v>
      </c>
      <c r="J42" s="1147"/>
      <c r="K42" s="1147"/>
      <c r="L42" s="1147"/>
      <c r="M42" s="1147"/>
      <c r="N42" s="689" t="s">
        <v>672</v>
      </c>
      <c r="O42" s="708" t="s">
        <v>420</v>
      </c>
      <c r="P42" s="689" t="s">
        <v>347</v>
      </c>
      <c r="Q42" s="790" t="s">
        <v>673</v>
      </c>
      <c r="R42" s="708" t="s">
        <v>674</v>
      </c>
      <c r="S42" s="790" t="s">
        <v>482</v>
      </c>
      <c r="T42" s="14"/>
      <c r="U42" s="729" t="s">
        <v>653</v>
      </c>
      <c r="V42" s="185"/>
    </row>
    <row r="43" spans="1:22" ht="18" customHeight="1">
      <c r="A43" s="96"/>
      <c r="B43" s="689"/>
      <c r="C43" s="689"/>
      <c r="D43" s="279"/>
      <c r="E43" s="279"/>
      <c r="F43" s="279"/>
      <c r="G43" s="802"/>
      <c r="H43" s="689"/>
      <c r="I43" s="1190" t="s">
        <v>483</v>
      </c>
      <c r="J43" s="1189"/>
      <c r="K43" s="1189"/>
      <c r="L43" s="1189"/>
      <c r="M43" s="1189"/>
      <c r="N43" s="689"/>
      <c r="O43" s="689"/>
      <c r="P43" s="689"/>
      <c r="Q43" s="689"/>
      <c r="R43" s="689"/>
      <c r="S43" s="689"/>
      <c r="T43" s="14"/>
      <c r="U43" s="689"/>
      <c r="V43" s="185"/>
    </row>
    <row r="44" spans="1:22" ht="18" customHeight="1">
      <c r="A44" s="96"/>
      <c r="B44" s="5"/>
      <c r="C44" s="5"/>
      <c r="D44" s="5"/>
      <c r="E44" s="5"/>
      <c r="M44" s="120"/>
      <c r="N44" s="28"/>
      <c r="O44" s="689"/>
      <c r="P44" s="716"/>
      <c r="Q44" s="241"/>
      <c r="R44" s="14"/>
      <c r="S44" s="21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84"/>
      <c r="B47" s="47" t="s">
        <v>675</v>
      </c>
      <c r="C47" s="14"/>
      <c r="D47" s="14"/>
      <c r="E47" s="14"/>
      <c r="F47" s="18"/>
      <c r="G47" s="18"/>
      <c r="H47" s="14"/>
      <c r="I47" s="120"/>
      <c r="J47" s="14"/>
      <c r="K47" s="14"/>
      <c r="M47" s="14"/>
      <c r="N47" s="14"/>
      <c r="P47" s="30" t="s">
        <v>483</v>
      </c>
      <c r="R47" s="234" t="s">
        <v>127</v>
      </c>
      <c r="S47" s="684">
        <f>H10</f>
        <v>3200</v>
      </c>
      <c r="T47" s="684"/>
      <c r="U47" s="30" t="s">
        <v>8</v>
      </c>
      <c r="V47" s="185"/>
    </row>
    <row r="48" spans="1:22" ht="18" customHeight="1">
      <c r="A48" s="184"/>
      <c r="B48" s="47" t="s">
        <v>655</v>
      </c>
      <c r="C48" s="14"/>
      <c r="D48" s="14"/>
      <c r="E48" s="14"/>
      <c r="F48" s="18"/>
      <c r="G48" s="18"/>
      <c r="H48" s="14"/>
      <c r="I48" s="120"/>
      <c r="J48" s="14"/>
      <c r="K48" s="14"/>
      <c r="M48" s="14"/>
      <c r="N48" s="14"/>
      <c r="P48" s="14" t="s">
        <v>420</v>
      </c>
      <c r="R48" s="234" t="s">
        <v>127</v>
      </c>
      <c r="S48" s="684">
        <f>H12</f>
        <v>16</v>
      </c>
      <c r="T48" s="684"/>
      <c r="U48" s="192" t="s">
        <v>333</v>
      </c>
      <c r="V48" s="185"/>
    </row>
    <row r="49" spans="1:22" ht="18" customHeight="1">
      <c r="A49" s="184"/>
      <c r="B49" s="47" t="s">
        <v>676</v>
      </c>
      <c r="C49" s="14"/>
      <c r="D49" s="14"/>
      <c r="E49" s="14"/>
      <c r="F49" s="18"/>
      <c r="G49" s="18"/>
      <c r="H49" s="14"/>
      <c r="I49" s="120"/>
      <c r="J49" s="14"/>
      <c r="K49" s="14"/>
      <c r="M49" s="14"/>
      <c r="N49" s="14"/>
      <c r="P49" s="30" t="s">
        <v>673</v>
      </c>
      <c r="R49" s="234" t="s">
        <v>127</v>
      </c>
      <c r="S49" s="795">
        <f>S29</f>
        <v>1.1770224400000002</v>
      </c>
      <c r="T49" s="795"/>
      <c r="U49" s="192" t="s">
        <v>333</v>
      </c>
      <c r="V49" s="185"/>
    </row>
    <row r="50" spans="1:22" ht="18" customHeight="1">
      <c r="A50" s="184"/>
      <c r="B50" s="296" t="s">
        <v>677</v>
      </c>
      <c r="C50" s="14"/>
      <c r="D50" s="14"/>
      <c r="E50" s="14"/>
      <c r="F50" s="14"/>
      <c r="G50" s="14"/>
      <c r="H50" s="14"/>
      <c r="I50" s="120"/>
      <c r="J50" s="14"/>
      <c r="K50" s="14"/>
      <c r="M50" s="14"/>
      <c r="N50" s="14"/>
      <c r="P50" s="14" t="s">
        <v>411</v>
      </c>
      <c r="R50" s="234" t="s">
        <v>127</v>
      </c>
      <c r="S50" s="684">
        <f>O10</f>
        <v>1</v>
      </c>
      <c r="T50" s="684"/>
      <c r="U50" s="30" t="s">
        <v>8</v>
      </c>
      <c r="V50" s="185"/>
    </row>
    <row r="51" spans="1:22" ht="18" customHeight="1">
      <c r="A51" s="184"/>
      <c r="B51" s="47" t="s">
        <v>678</v>
      </c>
      <c r="C51" s="14"/>
      <c r="D51" s="14"/>
      <c r="E51" s="14"/>
      <c r="F51" s="14"/>
      <c r="G51" s="14"/>
      <c r="H51" s="14"/>
      <c r="I51" s="120"/>
      <c r="J51" s="14"/>
      <c r="K51" s="14"/>
      <c r="M51" s="14"/>
      <c r="N51" s="14"/>
      <c r="P51" s="244" t="s">
        <v>671</v>
      </c>
      <c r="R51" s="234" t="s">
        <v>127</v>
      </c>
      <c r="S51" s="684">
        <f>O40</f>
        <v>50000</v>
      </c>
      <c r="T51" s="684"/>
      <c r="U51" s="30" t="s">
        <v>8</v>
      </c>
      <c r="V51" s="185"/>
    </row>
    <row r="52" spans="1:22" ht="18" customHeight="1">
      <c r="A52" s="184"/>
      <c r="B52" s="296" t="s">
        <v>679</v>
      </c>
      <c r="C52" s="14"/>
      <c r="D52" s="14"/>
      <c r="E52" s="14"/>
      <c r="F52" s="14"/>
      <c r="G52" s="14"/>
      <c r="H52" s="14"/>
      <c r="I52" s="120"/>
      <c r="J52" s="14"/>
      <c r="K52" s="14"/>
      <c r="M52" s="14"/>
      <c r="N52" s="14"/>
      <c r="P52" s="120" t="s">
        <v>680</v>
      </c>
      <c r="R52" s="234" t="s">
        <v>127</v>
      </c>
      <c r="S52" s="795">
        <f>J37</f>
        <v>437.38656756789834</v>
      </c>
      <c r="T52" s="684"/>
      <c r="U52" s="30" t="s">
        <v>8</v>
      </c>
      <c r="V52" s="185"/>
    </row>
    <row r="53" spans="1:22" ht="18" customHeight="1">
      <c r="A53" s="184"/>
      <c r="B53" s="47" t="s">
        <v>659</v>
      </c>
      <c r="C53" s="14"/>
      <c r="D53" s="14"/>
      <c r="E53" s="14"/>
      <c r="F53" s="14"/>
      <c r="G53" s="14"/>
      <c r="H53" s="14"/>
      <c r="I53" s="120"/>
      <c r="J53" s="14"/>
      <c r="K53" s="14"/>
      <c r="M53" s="14"/>
      <c r="N53" s="14"/>
      <c r="P53" s="120" t="s">
        <v>660</v>
      </c>
      <c r="R53" s="234" t="s">
        <v>127</v>
      </c>
      <c r="S53" s="684">
        <f>'[3]CT-VT Burdens'!S18</f>
        <v>1</v>
      </c>
      <c r="T53" s="684"/>
      <c r="U53" s="30" t="s">
        <v>8</v>
      </c>
      <c r="V53" s="185"/>
    </row>
    <row r="54" spans="1:22" ht="18" customHeight="1">
      <c r="A54" s="96"/>
      <c r="B54" s="14"/>
      <c r="C54" s="14"/>
      <c r="D54" s="235"/>
      <c r="E54" s="14"/>
      <c r="F54" s="28"/>
      <c r="G54" s="249"/>
      <c r="H54" s="28"/>
      <c r="I54" s="251"/>
      <c r="J54" s="14"/>
      <c r="K54" s="280"/>
      <c r="M54" s="47"/>
      <c r="N54" s="268"/>
      <c r="P54" s="281"/>
      <c r="R54" s="234"/>
      <c r="S54" s="1148"/>
      <c r="T54" s="723"/>
      <c r="V54" s="185"/>
    </row>
    <row r="55" spans="1:22" s="279" customFormat="1" ht="18" customHeight="1">
      <c r="A55" s="277"/>
      <c r="B55" s="689" t="s">
        <v>473</v>
      </c>
      <c r="C55" s="1150" t="s">
        <v>652</v>
      </c>
      <c r="G55" s="802">
        <f>G42</f>
        <v>0.4</v>
      </c>
      <c r="H55" s="1151" t="s">
        <v>315</v>
      </c>
      <c r="I55" s="829">
        <f>O40</f>
        <v>50000</v>
      </c>
      <c r="J55" s="1152"/>
      <c r="K55" s="1152"/>
      <c r="L55" s="1152"/>
      <c r="M55" s="1152"/>
      <c r="N55" s="689" t="s">
        <v>672</v>
      </c>
      <c r="O55" s="708">
        <f>S48</f>
        <v>16</v>
      </c>
      <c r="P55" s="689" t="s">
        <v>347</v>
      </c>
      <c r="Q55" s="829">
        <f>S49</f>
        <v>1.1770224400000002</v>
      </c>
      <c r="R55" s="708" t="s">
        <v>674</v>
      </c>
      <c r="S55" s="708">
        <f>S50</f>
        <v>1</v>
      </c>
      <c r="T55" s="14"/>
      <c r="U55" s="729" t="s">
        <v>653</v>
      </c>
      <c r="V55" s="185"/>
    </row>
    <row r="56" spans="1:22" s="279" customFormat="1" ht="18" customHeight="1">
      <c r="A56" s="277"/>
      <c r="B56" s="689"/>
      <c r="C56" s="689"/>
      <c r="G56" s="802"/>
      <c r="H56" s="684"/>
      <c r="I56" s="1189">
        <f>H10</f>
        <v>3200</v>
      </c>
      <c r="J56" s="1189"/>
      <c r="K56" s="1189"/>
      <c r="L56" s="1189"/>
      <c r="M56" s="1189"/>
      <c r="N56" s="689"/>
      <c r="O56" s="689"/>
      <c r="P56" s="689"/>
      <c r="Q56" s="689"/>
      <c r="R56" s="689"/>
      <c r="S56" s="689"/>
      <c r="T56" s="14"/>
      <c r="U56" s="689"/>
      <c r="V56" s="185"/>
    </row>
    <row r="57" spans="1:22" ht="18" customHeight="1">
      <c r="A57" s="96"/>
      <c r="B57" s="14"/>
      <c r="C57" s="27" t="s">
        <v>127</v>
      </c>
      <c r="D57" s="812">
        <f>ROUNDUP(G55*(I55/(I56)*(O55+Q55)*S55),2)</f>
        <v>107.36</v>
      </c>
      <c r="E57" s="813"/>
      <c r="F57" s="30" t="s">
        <v>305</v>
      </c>
      <c r="G57" s="14"/>
      <c r="H57" s="14"/>
      <c r="I57" s="14"/>
      <c r="J57" s="14"/>
      <c r="K57" s="14"/>
      <c r="L57" s="14"/>
      <c r="M57" s="14"/>
      <c r="N57" s="14"/>
      <c r="R57" s="234"/>
      <c r="S57" s="204"/>
      <c r="V57" s="185"/>
    </row>
    <row r="58" spans="1:22" ht="18" customHeight="1">
      <c r="A58" s="96"/>
      <c r="B58" s="14"/>
      <c r="G58" s="14"/>
      <c r="H58" s="14"/>
      <c r="I58" s="14"/>
      <c r="J58" s="14"/>
      <c r="K58" s="14"/>
      <c r="L58" s="14"/>
      <c r="M58" s="14"/>
      <c r="N58" s="14"/>
      <c r="R58" s="234"/>
      <c r="S58" s="204"/>
      <c r="V58" s="185"/>
    </row>
    <row r="59" spans="1:22" ht="18" hidden="1" customHeight="1">
      <c r="A59" s="96"/>
      <c r="B59" s="14"/>
      <c r="G59" s="27"/>
      <c r="M59" s="14"/>
      <c r="N59" s="14"/>
      <c r="R59" s="234"/>
      <c r="S59" s="204"/>
      <c r="V59" s="185"/>
    </row>
    <row r="60" spans="1:22" ht="18" hidden="1" customHeight="1">
      <c r="A60" s="96"/>
      <c r="B60" s="14"/>
      <c r="G60" s="27"/>
      <c r="H60" s="204"/>
      <c r="M60" s="14"/>
      <c r="N60" s="14"/>
      <c r="R60" s="234"/>
      <c r="S60" s="204"/>
      <c r="V60" s="185"/>
    </row>
    <row r="61" spans="1:22" ht="18" hidden="1" customHeight="1">
      <c r="A61" s="96"/>
      <c r="B61" s="14"/>
      <c r="F61" s="244"/>
      <c r="H61" s="18"/>
      <c r="M61" s="14"/>
      <c r="N61" s="14"/>
      <c r="R61" s="234"/>
      <c r="S61" s="204"/>
      <c r="V61" s="185"/>
    </row>
    <row r="62" spans="1:22" ht="18" hidden="1" customHeight="1">
      <c r="A62" s="96"/>
      <c r="B62" s="14"/>
      <c r="G62" s="14"/>
      <c r="H62" s="14"/>
      <c r="I62" s="14"/>
      <c r="J62" s="14"/>
      <c r="K62" s="14"/>
      <c r="L62" s="14"/>
      <c r="M62" s="14"/>
      <c r="N62" s="14"/>
      <c r="R62" s="234"/>
      <c r="S62" s="204"/>
      <c r="V62" s="185"/>
    </row>
    <row r="63" spans="1:22" ht="18" customHeight="1">
      <c r="A63" s="184" t="s">
        <v>612</v>
      </c>
      <c r="B63" s="14"/>
      <c r="C63" s="14"/>
      <c r="D63" s="14"/>
      <c r="E63" s="14"/>
      <c r="M63" s="120" t="s">
        <v>613</v>
      </c>
      <c r="N63" s="28" t="s">
        <v>127</v>
      </c>
      <c r="O63" s="689" t="s">
        <v>609</v>
      </c>
      <c r="P63" s="716"/>
      <c r="Q63" s="245" t="s">
        <v>681</v>
      </c>
      <c r="R63" s="805" t="str">
        <f>B32</f>
        <v>Percentage Impedance</v>
      </c>
      <c r="S63" s="805"/>
      <c r="T63" s="805"/>
      <c r="U63" s="805"/>
      <c r="V63" s="968"/>
    </row>
    <row r="64" spans="1:22" ht="18" customHeight="1">
      <c r="A64" s="96"/>
      <c r="B64" s="5"/>
      <c r="C64" s="5"/>
      <c r="D64" s="5"/>
      <c r="E64" s="5"/>
      <c r="M64" s="250"/>
      <c r="N64" s="28" t="s">
        <v>127</v>
      </c>
      <c r="O64" s="692">
        <f>J37</f>
        <v>437.38656756789834</v>
      </c>
      <c r="P64" s="716"/>
      <c r="Q64" s="245" t="s">
        <v>342</v>
      </c>
      <c r="R64" s="221">
        <f>O32%</f>
        <v>0.25</v>
      </c>
      <c r="S64" s="214"/>
      <c r="V64" s="185"/>
    </row>
    <row r="65" spans="1:22" ht="18" customHeight="1">
      <c r="A65" s="96"/>
      <c r="B65" s="5"/>
      <c r="C65" s="5"/>
      <c r="D65" s="5"/>
      <c r="E65" s="5"/>
      <c r="M65" s="120" t="s">
        <v>613</v>
      </c>
      <c r="N65" s="28" t="s">
        <v>127</v>
      </c>
      <c r="O65" s="689">
        <f>O64/R64</f>
        <v>1749.5462702715934</v>
      </c>
      <c r="P65" s="716"/>
      <c r="Q65" s="241" t="s">
        <v>8</v>
      </c>
      <c r="R65" s="14"/>
      <c r="S65" s="214"/>
      <c r="V65" s="185"/>
    </row>
    <row r="66" spans="1:22" ht="18" customHeight="1">
      <c r="A66" s="96"/>
      <c r="B66" s="5"/>
      <c r="C66" s="5"/>
      <c r="D66" s="5"/>
      <c r="E66" s="5"/>
      <c r="M66" s="120"/>
      <c r="N66" s="28"/>
      <c r="O66" s="28"/>
      <c r="P66" s="14"/>
      <c r="Q66" s="241"/>
      <c r="R66" s="14"/>
      <c r="S66" s="214"/>
      <c r="V66" s="185"/>
    </row>
    <row r="67" spans="1:22" s="279" customFormat="1" ht="18" customHeight="1">
      <c r="A67" s="277"/>
      <c r="B67" s="689" t="s">
        <v>473</v>
      </c>
      <c r="C67" s="1150" t="s">
        <v>652</v>
      </c>
      <c r="G67" s="802">
        <v>1.6</v>
      </c>
      <c r="H67" s="1153" t="s">
        <v>315</v>
      </c>
      <c r="I67" s="790" t="s">
        <v>682</v>
      </c>
      <c r="J67" s="1147"/>
      <c r="K67" s="1147"/>
      <c r="L67" s="1147"/>
      <c r="M67" s="1147"/>
      <c r="N67" s="689" t="s">
        <v>672</v>
      </c>
      <c r="O67" s="708" t="s">
        <v>420</v>
      </c>
      <c r="P67" s="689" t="s">
        <v>347</v>
      </c>
      <c r="Q67" s="790" t="s">
        <v>673</v>
      </c>
      <c r="R67" s="708" t="s">
        <v>674</v>
      </c>
      <c r="S67" s="790" t="s">
        <v>482</v>
      </c>
      <c r="T67" s="14"/>
      <c r="U67" s="726" t="s">
        <v>683</v>
      </c>
      <c r="V67" s="185"/>
    </row>
    <row r="68" spans="1:22" s="279" customFormat="1" ht="18" customHeight="1">
      <c r="A68" s="277"/>
      <c r="B68" s="689"/>
      <c r="C68" s="689"/>
      <c r="G68" s="802"/>
      <c r="H68" s="689"/>
      <c r="I68" s="1190" t="s">
        <v>483</v>
      </c>
      <c r="J68" s="1189"/>
      <c r="K68" s="1189"/>
      <c r="L68" s="1189"/>
      <c r="M68" s="1189"/>
      <c r="N68" s="689"/>
      <c r="O68" s="689"/>
      <c r="P68" s="689"/>
      <c r="Q68" s="689"/>
      <c r="R68" s="689"/>
      <c r="S68" s="689"/>
      <c r="T68" s="14"/>
      <c r="U68" s="689"/>
      <c r="V68" s="185"/>
    </row>
    <row r="69" spans="1:22" ht="18" customHeight="1">
      <c r="A69" s="184"/>
      <c r="V69" s="185"/>
    </row>
    <row r="70" spans="1:22" ht="18" customHeight="1">
      <c r="A70" s="184"/>
      <c r="B70" s="47" t="s">
        <v>675</v>
      </c>
      <c r="C70" s="14"/>
      <c r="D70" s="14"/>
      <c r="E70" s="14"/>
      <c r="F70" s="18"/>
      <c r="G70" s="18"/>
      <c r="H70" s="14"/>
      <c r="I70" s="120"/>
      <c r="J70" s="14"/>
      <c r="K70" s="14"/>
      <c r="M70" s="14"/>
      <c r="N70" s="14"/>
      <c r="P70" s="30" t="s">
        <v>483</v>
      </c>
      <c r="R70" s="234" t="s">
        <v>127</v>
      </c>
      <c r="S70" s="684">
        <f>H10</f>
        <v>3200</v>
      </c>
      <c r="T70" s="684"/>
      <c r="U70" s="30" t="s">
        <v>8</v>
      </c>
      <c r="V70" s="185"/>
    </row>
    <row r="71" spans="1:22" ht="18" customHeight="1">
      <c r="A71" s="184"/>
      <c r="B71" s="47" t="s">
        <v>655</v>
      </c>
      <c r="C71" s="14"/>
      <c r="D71" s="14"/>
      <c r="E71" s="14"/>
      <c r="F71" s="18"/>
      <c r="G71" s="18"/>
      <c r="H71" s="14"/>
      <c r="I71" s="120"/>
      <c r="J71" s="14"/>
      <c r="K71" s="14"/>
      <c r="M71" s="14"/>
      <c r="N71" s="14"/>
      <c r="P71" s="14" t="s">
        <v>420</v>
      </c>
      <c r="R71" s="234" t="s">
        <v>127</v>
      </c>
      <c r="S71" s="684">
        <f>H12</f>
        <v>16</v>
      </c>
      <c r="T71" s="684"/>
      <c r="U71" s="192" t="s">
        <v>333</v>
      </c>
      <c r="V71" s="185"/>
    </row>
    <row r="72" spans="1:22" ht="18" customHeight="1">
      <c r="A72" s="184"/>
      <c r="B72" s="47" t="s">
        <v>676</v>
      </c>
      <c r="C72" s="14"/>
      <c r="D72" s="14"/>
      <c r="E72" s="14"/>
      <c r="F72" s="18"/>
      <c r="G72" s="18"/>
      <c r="H72" s="14"/>
      <c r="I72" s="120"/>
      <c r="J72" s="14"/>
      <c r="K72" s="14"/>
      <c r="M72" s="14"/>
      <c r="N72" s="14"/>
      <c r="P72" s="30" t="s">
        <v>673</v>
      </c>
      <c r="R72" s="234" t="s">
        <v>127</v>
      </c>
      <c r="S72" s="795">
        <f>S29</f>
        <v>1.1770224400000002</v>
      </c>
      <c r="T72" s="795"/>
      <c r="U72" s="192" t="s">
        <v>333</v>
      </c>
      <c r="V72" s="185"/>
    </row>
    <row r="73" spans="1:22" ht="18" customHeight="1">
      <c r="A73" s="184"/>
      <c r="B73" s="296" t="s">
        <v>677</v>
      </c>
      <c r="C73" s="14"/>
      <c r="D73" s="14"/>
      <c r="E73" s="14"/>
      <c r="F73" s="14"/>
      <c r="G73" s="14"/>
      <c r="H73" s="14"/>
      <c r="I73" s="120"/>
      <c r="J73" s="14"/>
      <c r="K73" s="14"/>
      <c r="M73" s="14"/>
      <c r="N73" s="14"/>
      <c r="P73" s="14" t="s">
        <v>411</v>
      </c>
      <c r="R73" s="234" t="s">
        <v>127</v>
      </c>
      <c r="S73" s="684">
        <f>O10</f>
        <v>1</v>
      </c>
      <c r="T73" s="684"/>
      <c r="U73" s="30" t="s">
        <v>8</v>
      </c>
      <c r="V73" s="185"/>
    </row>
    <row r="74" spans="1:22" ht="18" customHeight="1">
      <c r="A74" s="184"/>
      <c r="B74" s="47" t="s">
        <v>678</v>
      </c>
      <c r="C74" s="14"/>
      <c r="D74" s="14"/>
      <c r="E74" s="14"/>
      <c r="F74" s="14"/>
      <c r="G74" s="14"/>
      <c r="H74" s="14"/>
      <c r="I74" s="120"/>
      <c r="J74" s="14"/>
      <c r="K74" s="14"/>
      <c r="M74" s="14"/>
      <c r="N74" s="14"/>
      <c r="P74" s="244" t="s">
        <v>682</v>
      </c>
      <c r="R74" s="234" t="s">
        <v>127</v>
      </c>
      <c r="S74" s="684">
        <f>O65</f>
        <v>1749.5462702715934</v>
      </c>
      <c r="T74" s="684"/>
      <c r="U74" s="30" t="s">
        <v>8</v>
      </c>
      <c r="V74" s="185"/>
    </row>
    <row r="75" spans="1:22" ht="18" customHeight="1">
      <c r="A75" s="184"/>
      <c r="B75" s="296" t="s">
        <v>679</v>
      </c>
      <c r="C75" s="14"/>
      <c r="D75" s="14"/>
      <c r="E75" s="14"/>
      <c r="F75" s="14"/>
      <c r="G75" s="14"/>
      <c r="H75" s="14"/>
      <c r="I75" s="120"/>
      <c r="J75" s="14"/>
      <c r="K75" s="14"/>
      <c r="M75" s="14"/>
      <c r="N75" s="14"/>
      <c r="P75" s="120" t="s">
        <v>680</v>
      </c>
      <c r="R75" s="234" t="s">
        <v>127</v>
      </c>
      <c r="S75" s="795">
        <f>J37</f>
        <v>437.38656756789834</v>
      </c>
      <c r="T75" s="684"/>
      <c r="U75" s="30" t="s">
        <v>8</v>
      </c>
      <c r="V75" s="185"/>
    </row>
    <row r="76" spans="1:22" ht="18" customHeight="1">
      <c r="A76" s="184"/>
      <c r="B76" s="47" t="s">
        <v>659</v>
      </c>
      <c r="C76" s="14"/>
      <c r="D76" s="14"/>
      <c r="E76" s="14"/>
      <c r="F76" s="14"/>
      <c r="G76" s="14"/>
      <c r="H76" s="14"/>
      <c r="I76" s="120"/>
      <c r="J76" s="14"/>
      <c r="K76" s="14"/>
      <c r="M76" s="14"/>
      <c r="N76" s="14"/>
      <c r="P76" s="120" t="s">
        <v>660</v>
      </c>
      <c r="R76" s="234" t="s">
        <v>127</v>
      </c>
      <c r="S76" s="684">
        <f>O10</f>
        <v>1</v>
      </c>
      <c r="T76" s="684"/>
      <c r="U76" s="30" t="s">
        <v>8</v>
      </c>
      <c r="V76" s="185"/>
    </row>
    <row r="77" spans="1:22" ht="18" customHeight="1">
      <c r="A77" s="96"/>
      <c r="B77" s="14"/>
      <c r="C77" s="14"/>
      <c r="D77" s="235"/>
      <c r="E77" s="14"/>
      <c r="F77" s="28"/>
      <c r="G77" s="249"/>
      <c r="H77" s="28"/>
      <c r="I77" s="251"/>
      <c r="J77" s="14"/>
      <c r="K77" s="280"/>
      <c r="M77" s="47"/>
      <c r="N77" s="268"/>
      <c r="P77" s="281"/>
      <c r="R77" s="234"/>
      <c r="S77" s="1148"/>
      <c r="T77" s="723"/>
      <c r="V77" s="185"/>
    </row>
    <row r="78" spans="1:22" s="279" customFormat="1" ht="18" customHeight="1">
      <c r="A78" s="277"/>
      <c r="B78" s="689" t="s">
        <v>473</v>
      </c>
      <c r="C78" s="1150" t="s">
        <v>652</v>
      </c>
      <c r="G78" s="802">
        <f>G67</f>
        <v>1.6</v>
      </c>
      <c r="H78" s="1151" t="s">
        <v>315</v>
      </c>
      <c r="I78" s="829">
        <f>O65</f>
        <v>1749.5462702715934</v>
      </c>
      <c r="J78" s="1152"/>
      <c r="K78" s="1152"/>
      <c r="L78" s="1152"/>
      <c r="M78" s="1152"/>
      <c r="N78" s="689" t="s">
        <v>672</v>
      </c>
      <c r="O78" s="708">
        <f>S71</f>
        <v>16</v>
      </c>
      <c r="P78" s="689" t="s">
        <v>347</v>
      </c>
      <c r="Q78" s="829">
        <f>S72</f>
        <v>1.1770224400000002</v>
      </c>
      <c r="R78" s="708" t="s">
        <v>674</v>
      </c>
      <c r="S78" s="708">
        <f>S73</f>
        <v>1</v>
      </c>
      <c r="T78" s="14"/>
      <c r="U78" s="726" t="s">
        <v>683</v>
      </c>
      <c r="V78" s="185"/>
    </row>
    <row r="79" spans="1:22" s="279" customFormat="1" ht="18" customHeight="1">
      <c r="A79" s="277"/>
      <c r="B79" s="689"/>
      <c r="C79" s="689"/>
      <c r="G79" s="802"/>
      <c r="H79" s="684"/>
      <c r="I79" s="1189">
        <f>H10</f>
        <v>3200</v>
      </c>
      <c r="J79" s="1189"/>
      <c r="K79" s="1189"/>
      <c r="L79" s="1189"/>
      <c r="M79" s="1189"/>
      <c r="N79" s="689"/>
      <c r="O79" s="689"/>
      <c r="P79" s="689"/>
      <c r="Q79" s="689"/>
      <c r="R79" s="689"/>
      <c r="S79" s="689"/>
      <c r="T79" s="14"/>
      <c r="U79" s="689"/>
      <c r="V79" s="185"/>
    </row>
    <row r="80" spans="1:22" ht="18" customHeight="1">
      <c r="A80" s="96"/>
      <c r="B80" s="14"/>
      <c r="C80" s="27" t="s">
        <v>127</v>
      </c>
      <c r="D80" s="812">
        <f>ROUNDUP(G78*(I78/(I79)*(O78+Q78)*S78),2)</f>
        <v>15.03</v>
      </c>
      <c r="E80" s="813"/>
      <c r="F80" s="30" t="s">
        <v>305</v>
      </c>
      <c r="G80" s="14"/>
      <c r="H80" s="14"/>
      <c r="I80" s="14"/>
      <c r="J80" s="14"/>
      <c r="K80" s="14"/>
      <c r="L80" s="14"/>
      <c r="M80" s="14"/>
      <c r="N80" s="14"/>
      <c r="R80" s="234"/>
      <c r="S80" s="204"/>
      <c r="V80" s="185"/>
    </row>
    <row r="81" spans="1:27" ht="18" customHeight="1">
      <c r="A81" s="184" t="s">
        <v>684</v>
      </c>
      <c r="B81" s="14"/>
      <c r="G81" s="14"/>
      <c r="H81" s="14"/>
      <c r="I81" s="14"/>
      <c r="J81" s="14"/>
      <c r="K81" s="14"/>
      <c r="L81" s="14"/>
      <c r="M81" s="14"/>
      <c r="N81" s="14"/>
      <c r="R81" s="234"/>
      <c r="S81" s="204"/>
      <c r="U81" s="726" t="s">
        <v>685</v>
      </c>
      <c r="V81" s="185"/>
    </row>
    <row r="82" spans="1:27" ht="18" customHeight="1">
      <c r="A82" s="184"/>
      <c r="E82" s="30" t="s">
        <v>473</v>
      </c>
      <c r="F82" s="278" t="s">
        <v>652</v>
      </c>
      <c r="G82" s="28">
        <v>20</v>
      </c>
      <c r="H82" s="27" t="s">
        <v>315</v>
      </c>
      <c r="I82" s="27" t="s">
        <v>482</v>
      </c>
      <c r="J82" s="27" t="s">
        <v>372</v>
      </c>
      <c r="K82" s="27" t="s">
        <v>420</v>
      </c>
      <c r="L82" s="27" t="s">
        <v>347</v>
      </c>
      <c r="M82" s="27" t="s">
        <v>673</v>
      </c>
      <c r="N82" s="27" t="s">
        <v>350</v>
      </c>
      <c r="R82" s="234"/>
      <c r="S82" s="204"/>
      <c r="U82" s="689"/>
      <c r="V82" s="185"/>
    </row>
    <row r="83" spans="1:27" ht="18" customHeight="1">
      <c r="A83" s="184"/>
      <c r="B83" s="47" t="s">
        <v>655</v>
      </c>
      <c r="C83" s="14"/>
      <c r="D83" s="14"/>
      <c r="E83" s="14"/>
      <c r="F83" s="18"/>
      <c r="G83" s="18"/>
      <c r="H83" s="14"/>
      <c r="I83" s="120"/>
      <c r="J83" s="14"/>
      <c r="K83" s="14"/>
      <c r="M83" s="14"/>
      <c r="N83" s="14"/>
      <c r="P83" s="14" t="s">
        <v>420</v>
      </c>
      <c r="R83" s="234" t="s">
        <v>127</v>
      </c>
      <c r="S83" s="684">
        <f>H12</f>
        <v>16</v>
      </c>
      <c r="T83" s="684"/>
      <c r="U83" s="192" t="s">
        <v>333</v>
      </c>
      <c r="V83" s="185"/>
    </row>
    <row r="84" spans="1:27" ht="18" customHeight="1">
      <c r="A84" s="184"/>
      <c r="B84" s="47" t="s">
        <v>676</v>
      </c>
      <c r="C84" s="14"/>
      <c r="D84" s="14"/>
      <c r="E84" s="14"/>
      <c r="F84" s="18"/>
      <c r="G84" s="18"/>
      <c r="H84" s="14"/>
      <c r="I84" s="120"/>
      <c r="J84" s="14"/>
      <c r="K84" s="14"/>
      <c r="M84" s="14"/>
      <c r="N84" s="14"/>
      <c r="P84" s="30" t="s">
        <v>673</v>
      </c>
      <c r="R84" s="234" t="s">
        <v>127</v>
      </c>
      <c r="S84" s="795">
        <f>S29</f>
        <v>1.1770224400000002</v>
      </c>
      <c r="T84" s="795"/>
      <c r="U84" s="192" t="s">
        <v>333</v>
      </c>
      <c r="V84" s="185"/>
    </row>
    <row r="85" spans="1:27" ht="18" customHeight="1">
      <c r="A85" s="184"/>
      <c r="B85" s="296" t="s">
        <v>677</v>
      </c>
      <c r="C85" s="14"/>
      <c r="D85" s="14"/>
      <c r="E85" s="14"/>
      <c r="F85" s="14"/>
      <c r="G85" s="14"/>
      <c r="H85" s="14"/>
      <c r="I85" s="120"/>
      <c r="J85" s="14"/>
      <c r="K85" s="14"/>
      <c r="M85" s="14"/>
      <c r="N85" s="14"/>
      <c r="P85" s="30" t="s">
        <v>482</v>
      </c>
      <c r="R85" s="234" t="s">
        <v>127</v>
      </c>
      <c r="S85" s="684">
        <v>1</v>
      </c>
      <c r="T85" s="684"/>
      <c r="U85" s="30" t="s">
        <v>8</v>
      </c>
      <c r="V85" s="185"/>
    </row>
    <row r="86" spans="1:27" ht="18" customHeight="1">
      <c r="A86" s="184"/>
      <c r="B86" s="296"/>
      <c r="C86" s="14"/>
      <c r="D86" s="14"/>
      <c r="E86" s="14"/>
      <c r="F86" s="14"/>
      <c r="G86" s="14"/>
      <c r="H86" s="14"/>
      <c r="I86" s="120"/>
      <c r="J86" s="14"/>
      <c r="K86" s="14"/>
      <c r="M86" s="14"/>
      <c r="N86" s="14"/>
      <c r="R86" s="234"/>
      <c r="S86" s="27"/>
      <c r="T86" s="27"/>
      <c r="V86" s="185"/>
    </row>
    <row r="87" spans="1:27" ht="18" customHeight="1">
      <c r="A87" s="193"/>
      <c r="B87" s="14"/>
      <c r="E87" s="30" t="s">
        <v>473</v>
      </c>
      <c r="F87" s="278" t="s">
        <v>652</v>
      </c>
      <c r="G87" s="28">
        <f>G82</f>
        <v>20</v>
      </c>
      <c r="H87" s="28" t="str">
        <f>H82</f>
        <v>x</v>
      </c>
      <c r="I87" s="28">
        <f>S85</f>
        <v>1</v>
      </c>
      <c r="J87" s="27" t="s">
        <v>372</v>
      </c>
      <c r="K87" s="28">
        <f>S83</f>
        <v>16</v>
      </c>
      <c r="L87" s="27" t="s">
        <v>347</v>
      </c>
      <c r="M87" s="218">
        <f>S84</f>
        <v>1.1770224400000002</v>
      </c>
      <c r="N87" s="28" t="str">
        <f>N82</f>
        <v>)</v>
      </c>
      <c r="R87" s="234"/>
      <c r="S87" s="204"/>
      <c r="V87" s="185"/>
    </row>
    <row r="88" spans="1:27" ht="18" customHeight="1">
      <c r="A88" s="193"/>
      <c r="B88" s="14"/>
      <c r="C88" s="278"/>
      <c r="F88" s="30" t="s">
        <v>127</v>
      </c>
      <c r="G88" s="1188">
        <f>ROUNDUP(G87*I87*(K87+M87),2)</f>
        <v>343.55</v>
      </c>
      <c r="H88" s="1188"/>
      <c r="I88" s="28"/>
      <c r="J88" s="27"/>
      <c r="K88" s="28"/>
      <c r="L88" s="27"/>
      <c r="M88" s="218"/>
      <c r="N88" s="28"/>
      <c r="R88" s="234"/>
      <c r="S88" s="204"/>
      <c r="V88" s="185"/>
    </row>
    <row r="89" spans="1:27" ht="18" customHeight="1">
      <c r="A89" s="508"/>
      <c r="B89" s="195"/>
      <c r="C89" s="623"/>
      <c r="D89" s="196"/>
      <c r="E89" s="196"/>
      <c r="F89" s="196"/>
      <c r="G89" s="624"/>
      <c r="H89" s="624"/>
      <c r="I89" s="182"/>
      <c r="J89" s="307"/>
      <c r="K89" s="182"/>
      <c r="L89" s="307"/>
      <c r="M89" s="509"/>
      <c r="N89" s="182"/>
      <c r="O89" s="196"/>
      <c r="P89" s="196"/>
      <c r="Q89" s="196"/>
      <c r="R89" s="591"/>
      <c r="S89" s="518"/>
      <c r="T89" s="196"/>
      <c r="U89" s="196"/>
      <c r="V89" s="291"/>
    </row>
    <row r="90" spans="1:27" ht="18" customHeight="1">
      <c r="A90" s="383"/>
      <c r="B90" s="273"/>
      <c r="C90" s="625"/>
      <c r="D90" s="227"/>
      <c r="E90" s="227"/>
      <c r="F90" s="227"/>
      <c r="G90" s="138"/>
      <c r="H90" s="138"/>
      <c r="I90" s="138"/>
      <c r="J90" s="311"/>
      <c r="K90" s="138"/>
      <c r="L90" s="311"/>
      <c r="M90" s="626"/>
      <c r="N90" s="138"/>
      <c r="O90" s="227"/>
      <c r="P90" s="227"/>
      <c r="Q90" s="227"/>
      <c r="R90" s="605"/>
      <c r="S90" s="627"/>
      <c r="T90" s="227"/>
      <c r="U90" s="227"/>
      <c r="V90" s="228"/>
    </row>
    <row r="91" spans="1:27" ht="18" customHeight="1">
      <c r="A91" s="96"/>
      <c r="B91" s="14"/>
      <c r="D91" s="30" t="s">
        <v>527</v>
      </c>
      <c r="E91" s="14"/>
      <c r="F91" s="279"/>
      <c r="G91" s="14"/>
      <c r="H91" s="14"/>
      <c r="I91" s="279"/>
      <c r="J91" s="14"/>
      <c r="K91" s="14"/>
      <c r="L91" s="30" t="s">
        <v>473</v>
      </c>
      <c r="M91" s="505" t="s">
        <v>529</v>
      </c>
      <c r="N91" s="30" t="str">
        <f>CONCATENATE(Y91,X91,D57,Z91,D80,Z91,G88,AA91)</f>
        <v>max(107.36,15.03,343.55)</v>
      </c>
      <c r="R91" s="234"/>
      <c r="S91" s="204"/>
      <c r="V91" s="185"/>
      <c r="X91" s="30" t="s">
        <v>419</v>
      </c>
      <c r="Y91" s="30" t="s">
        <v>530</v>
      </c>
      <c r="Z91" s="30" t="s">
        <v>531</v>
      </c>
      <c r="AA91" s="30" t="s">
        <v>350</v>
      </c>
    </row>
    <row r="92" spans="1:27" ht="18" customHeight="1">
      <c r="A92" s="96"/>
      <c r="B92" s="14"/>
      <c r="D92" s="14"/>
      <c r="E92" s="14"/>
      <c r="F92" s="279"/>
      <c r="G92" s="14"/>
      <c r="H92" s="14"/>
      <c r="I92" s="279"/>
      <c r="J92" s="14"/>
      <c r="K92" s="14"/>
      <c r="L92" s="30" t="s">
        <v>473</v>
      </c>
      <c r="M92" s="505" t="s">
        <v>529</v>
      </c>
      <c r="N92" s="1072">
        <f>MAX(D80,D57,G88)</f>
        <v>343.55</v>
      </c>
      <c r="O92" s="1072"/>
      <c r="R92" s="234"/>
      <c r="S92" s="204"/>
      <c r="V92" s="185"/>
    </row>
    <row r="93" spans="1:27" ht="18" customHeight="1">
      <c r="A93" s="96"/>
      <c r="B93" s="14"/>
      <c r="G93" s="14"/>
      <c r="H93" s="14"/>
      <c r="I93" s="14"/>
      <c r="J93" s="14"/>
      <c r="K93" s="1185">
        <f>H13</f>
        <v>1600</v>
      </c>
      <c r="L93" s="1185"/>
      <c r="M93" s="505" t="s">
        <v>529</v>
      </c>
      <c r="N93" s="1072">
        <f>N92</f>
        <v>343.55</v>
      </c>
      <c r="O93" s="1072"/>
      <c r="R93" s="234"/>
      <c r="S93" s="204"/>
      <c r="V93" s="185"/>
    </row>
    <row r="94" spans="1:27" ht="18" customHeight="1">
      <c r="A94" s="96"/>
      <c r="B94" s="14"/>
      <c r="F94" s="14"/>
      <c r="G94" s="14"/>
      <c r="H94" s="14"/>
      <c r="I94" s="14"/>
      <c r="J94" s="14"/>
      <c r="K94" s="14"/>
      <c r="L94" s="14"/>
      <c r="M94" s="14"/>
      <c r="N94" s="14"/>
      <c r="O94" s="154"/>
      <c r="P94" s="14"/>
      <c r="R94" s="234"/>
      <c r="S94" s="204"/>
      <c r="V94" s="185"/>
    </row>
    <row r="95" spans="1:27" ht="18" customHeight="1">
      <c r="A95" s="96"/>
      <c r="B95" s="14"/>
      <c r="D95"/>
      <c r="E95"/>
      <c r="F95" s="244" t="s">
        <v>478</v>
      </c>
      <c r="G95"/>
      <c r="H95" s="18" t="str">
        <f>IF(K93&gt;N93,"Suitably Dimensioned","Under Dimensioned")</f>
        <v>Suitably Dimensioned</v>
      </c>
      <c r="I95"/>
      <c r="J95"/>
      <c r="K95"/>
      <c r="L95"/>
      <c r="N95" s="14"/>
      <c r="R95" s="234"/>
      <c r="S95" s="204"/>
      <c r="V95" s="185"/>
    </row>
    <row r="96" spans="1:27" ht="18" customHeight="1">
      <c r="A96" s="96"/>
      <c r="B96" s="14"/>
      <c r="D96"/>
      <c r="E96"/>
      <c r="F96" s="244"/>
      <c r="G96"/>
      <c r="H96" s="18"/>
      <c r="I96"/>
      <c r="J96"/>
      <c r="K96"/>
      <c r="L96"/>
      <c r="N96" s="14"/>
      <c r="R96" s="234"/>
      <c r="S96" s="204"/>
      <c r="V96" s="185"/>
    </row>
    <row r="97" spans="1:22" ht="18" customHeight="1">
      <c r="A97" s="96"/>
      <c r="B97" s="14"/>
      <c r="D97"/>
      <c r="E97"/>
      <c r="F97" s="244"/>
      <c r="G97"/>
      <c r="H97" s="18"/>
      <c r="I97"/>
      <c r="J97"/>
      <c r="K97"/>
      <c r="L97"/>
      <c r="N97" s="14"/>
      <c r="R97" s="234"/>
      <c r="S97" s="204"/>
      <c r="V97" s="185"/>
    </row>
    <row r="98" spans="1:22" ht="18" customHeight="1">
      <c r="A98" s="96"/>
      <c r="B98" s="14"/>
      <c r="D98"/>
      <c r="E98"/>
      <c r="F98" s="244"/>
      <c r="G98"/>
      <c r="H98" s="18"/>
      <c r="I98"/>
      <c r="J98"/>
      <c r="K98"/>
      <c r="L98"/>
      <c r="N98" s="14"/>
      <c r="R98" s="234"/>
      <c r="S98" s="204"/>
      <c r="V98" s="185"/>
    </row>
    <row r="99" spans="1:22" ht="18" customHeight="1">
      <c r="A99" s="96"/>
      <c r="B99" s="14"/>
      <c r="D99"/>
      <c r="E99"/>
      <c r="F99" s="244"/>
      <c r="G99"/>
      <c r="H99" s="18"/>
      <c r="I99"/>
      <c r="J99"/>
      <c r="K99"/>
      <c r="L99"/>
      <c r="N99" s="14"/>
      <c r="R99" s="234"/>
      <c r="S99" s="204"/>
      <c r="V99" s="185"/>
    </row>
    <row r="100" spans="1:22" ht="18" customHeight="1">
      <c r="A100" s="96"/>
      <c r="B100" s="14"/>
      <c r="D100"/>
      <c r="E100"/>
      <c r="F100" s="244"/>
      <c r="G100"/>
      <c r="H100" s="18"/>
      <c r="I100"/>
      <c r="J100"/>
      <c r="K100"/>
      <c r="L100"/>
      <c r="N100" s="14"/>
      <c r="R100" s="234"/>
      <c r="S100" s="204"/>
      <c r="V100" s="185"/>
    </row>
    <row r="101" spans="1:22" ht="18" customHeight="1">
      <c r="A101" s="96"/>
      <c r="B101" s="14"/>
      <c r="D101"/>
      <c r="E101"/>
      <c r="F101" s="244"/>
      <c r="G101"/>
      <c r="H101" s="18"/>
      <c r="I101"/>
      <c r="J101"/>
      <c r="K101"/>
      <c r="L101"/>
      <c r="N101" s="14"/>
      <c r="R101" s="234"/>
      <c r="S101" s="204"/>
      <c r="V101" s="185"/>
    </row>
    <row r="102" spans="1:22" ht="18" customHeight="1">
      <c r="A102" s="96"/>
      <c r="B102" s="14"/>
      <c r="D102"/>
      <c r="E102"/>
      <c r="F102" s="244"/>
      <c r="G102"/>
      <c r="H102" s="18"/>
      <c r="I102"/>
      <c r="J102"/>
      <c r="K102"/>
      <c r="L102"/>
      <c r="N102" s="14"/>
      <c r="R102" s="234"/>
      <c r="S102" s="204"/>
      <c r="V102" s="185"/>
    </row>
    <row r="103" spans="1:22" ht="18" customHeight="1">
      <c r="A103" s="96"/>
      <c r="B103" s="14"/>
      <c r="D103"/>
      <c r="E103"/>
      <c r="F103" s="244"/>
      <c r="G103"/>
      <c r="H103" s="18"/>
      <c r="I103"/>
      <c r="J103"/>
      <c r="K103"/>
      <c r="L103"/>
      <c r="N103" s="14"/>
      <c r="R103" s="234"/>
      <c r="S103" s="204"/>
      <c r="V103" s="185"/>
    </row>
    <row r="104" spans="1:22" ht="18" customHeight="1">
      <c r="A104" s="96"/>
      <c r="B104" s="14"/>
      <c r="D104"/>
      <c r="E104"/>
      <c r="F104" s="244"/>
      <c r="G104"/>
      <c r="H104" s="18"/>
      <c r="I104"/>
      <c r="J104"/>
      <c r="K104"/>
      <c r="L104"/>
      <c r="N104" s="14"/>
      <c r="R104" s="234"/>
      <c r="S104" s="204"/>
      <c r="V104" s="185"/>
    </row>
    <row r="105" spans="1:22" ht="18" customHeight="1">
      <c r="A105" s="96"/>
      <c r="B105" s="14"/>
      <c r="D105"/>
      <c r="E105"/>
      <c r="F105" s="244"/>
      <c r="G105"/>
      <c r="H105" s="18"/>
      <c r="I105"/>
      <c r="J105"/>
      <c r="K105"/>
      <c r="L105"/>
      <c r="N105" s="14"/>
      <c r="R105" s="234"/>
      <c r="S105" s="204"/>
      <c r="V105" s="185"/>
    </row>
    <row r="106" spans="1:22" ht="18" customHeight="1">
      <c r="A106" s="96"/>
      <c r="B106" s="14"/>
      <c r="D106"/>
      <c r="E106"/>
      <c r="F106" s="244"/>
      <c r="G106"/>
      <c r="H106" s="18"/>
      <c r="I106"/>
      <c r="J106"/>
      <c r="K106"/>
      <c r="L106"/>
      <c r="N106" s="14"/>
      <c r="R106" s="234"/>
      <c r="S106" s="204"/>
      <c r="V106" s="185"/>
    </row>
    <row r="107" spans="1:22" ht="18" customHeight="1">
      <c r="A107" s="96"/>
      <c r="B107" s="14"/>
      <c r="D107"/>
      <c r="E107"/>
      <c r="F107" s="244"/>
      <c r="G107"/>
      <c r="H107" s="18"/>
      <c r="I107"/>
      <c r="J107"/>
      <c r="K107"/>
      <c r="L107"/>
      <c r="N107" s="14"/>
      <c r="R107" s="234"/>
      <c r="S107" s="204"/>
      <c r="V107" s="185"/>
    </row>
    <row r="108" spans="1:22" ht="18" customHeight="1">
      <c r="A108" s="96"/>
      <c r="B108" s="14"/>
      <c r="D108"/>
      <c r="E108"/>
      <c r="F108" s="244"/>
      <c r="G108"/>
      <c r="H108" s="18"/>
      <c r="I108"/>
      <c r="J108"/>
      <c r="K108"/>
      <c r="L108"/>
      <c r="N108" s="14"/>
      <c r="R108" s="234"/>
      <c r="S108" s="204"/>
      <c r="V108" s="185"/>
    </row>
    <row r="109" spans="1:22" ht="18" customHeight="1">
      <c r="A109" s="96"/>
      <c r="B109" s="14"/>
      <c r="D109"/>
      <c r="E109"/>
      <c r="F109" s="244"/>
      <c r="G109"/>
      <c r="H109" s="18"/>
      <c r="I109"/>
      <c r="J109"/>
      <c r="K109"/>
      <c r="L109"/>
      <c r="N109" s="14"/>
      <c r="R109" s="234"/>
      <c r="S109" s="204"/>
      <c r="V109" s="185"/>
    </row>
    <row r="110" spans="1:22" ht="18" customHeight="1">
      <c r="A110" s="96"/>
      <c r="B110" s="14"/>
      <c r="D110"/>
      <c r="E110"/>
      <c r="F110" s="244"/>
      <c r="G110"/>
      <c r="H110" s="18"/>
      <c r="I110"/>
      <c r="J110"/>
      <c r="K110"/>
      <c r="L110"/>
      <c r="N110" s="14"/>
      <c r="R110" s="234"/>
      <c r="S110" s="204"/>
      <c r="V110" s="185"/>
    </row>
    <row r="111" spans="1:22" ht="18" customHeight="1">
      <c r="A111" s="96"/>
      <c r="B111" s="14"/>
      <c r="D111"/>
      <c r="E111"/>
      <c r="F111" s="244"/>
      <c r="G111"/>
      <c r="H111" s="18"/>
      <c r="I111"/>
      <c r="J111"/>
      <c r="K111"/>
      <c r="L111"/>
      <c r="N111" s="14"/>
      <c r="R111" s="234"/>
      <c r="S111" s="204"/>
      <c r="V111" s="185"/>
    </row>
    <row r="112" spans="1:22" ht="18" customHeight="1">
      <c r="A112" s="96"/>
      <c r="B112" s="14"/>
      <c r="D112"/>
      <c r="E112"/>
      <c r="F112" s="244"/>
      <c r="G112"/>
      <c r="H112" s="18"/>
      <c r="I112"/>
      <c r="J112"/>
      <c r="K112"/>
      <c r="L112"/>
      <c r="N112" s="14"/>
      <c r="R112" s="234"/>
      <c r="S112" s="204"/>
      <c r="V112" s="185"/>
    </row>
    <row r="113" spans="1:22" ht="18" customHeight="1">
      <c r="A113" s="96"/>
      <c r="B113" s="14"/>
      <c r="D113"/>
      <c r="E113"/>
      <c r="F113" s="244"/>
      <c r="G113"/>
      <c r="H113" s="18"/>
      <c r="I113"/>
      <c r="J113"/>
      <c r="K113"/>
      <c r="L113"/>
      <c r="N113" s="14"/>
      <c r="R113" s="234"/>
      <c r="S113" s="204"/>
      <c r="V113" s="185"/>
    </row>
    <row r="114" spans="1:22" ht="18" customHeight="1">
      <c r="A114" s="96"/>
      <c r="B114" s="14"/>
      <c r="D114"/>
      <c r="E114"/>
      <c r="F114" s="244"/>
      <c r="G114"/>
      <c r="H114" s="18"/>
      <c r="I114"/>
      <c r="J114"/>
      <c r="K114"/>
      <c r="L114"/>
      <c r="N114" s="14"/>
      <c r="R114" s="234"/>
      <c r="S114" s="204"/>
      <c r="V114" s="185"/>
    </row>
    <row r="115" spans="1:22" ht="18" customHeight="1">
      <c r="A115" s="96"/>
      <c r="B115" s="14"/>
      <c r="D115"/>
      <c r="E115"/>
      <c r="F115" s="244"/>
      <c r="G115"/>
      <c r="H115" s="18"/>
      <c r="I115"/>
      <c r="J115"/>
      <c r="K115"/>
      <c r="L115"/>
      <c r="N115" s="14"/>
      <c r="R115" s="234"/>
      <c r="S115" s="204"/>
      <c r="V115" s="185"/>
    </row>
    <row r="116" spans="1:22" ht="18" customHeight="1">
      <c r="A116" s="96"/>
      <c r="B116" s="14"/>
      <c r="D116"/>
      <c r="E116"/>
      <c r="F116" s="244"/>
      <c r="G116"/>
      <c r="H116" s="18"/>
      <c r="I116"/>
      <c r="J116"/>
      <c r="K116"/>
      <c r="L116"/>
      <c r="N116" s="14"/>
      <c r="R116" s="234"/>
      <c r="S116" s="204"/>
      <c r="V116" s="185"/>
    </row>
    <row r="117" spans="1:22" ht="18" customHeight="1">
      <c r="A117" s="96"/>
      <c r="B117" s="14"/>
      <c r="D117"/>
      <c r="E117"/>
      <c r="F117" s="244"/>
      <c r="G117"/>
      <c r="H117" s="18"/>
      <c r="I117"/>
      <c r="J117"/>
      <c r="K117"/>
      <c r="L117"/>
      <c r="N117" s="14"/>
      <c r="R117" s="234"/>
      <c r="S117" s="204"/>
      <c r="V117" s="185"/>
    </row>
    <row r="118" spans="1:22" ht="18" customHeight="1">
      <c r="A118" s="96"/>
      <c r="B118" s="14"/>
      <c r="D118"/>
      <c r="E118"/>
      <c r="F118" s="244"/>
      <c r="G118"/>
      <c r="H118" s="18"/>
      <c r="I118"/>
      <c r="J118"/>
      <c r="K118"/>
      <c r="L118"/>
      <c r="N118" s="14"/>
      <c r="R118" s="234"/>
      <c r="S118" s="204"/>
      <c r="V118" s="185"/>
    </row>
    <row r="119" spans="1:22" ht="18" customHeight="1">
      <c r="A119" s="96"/>
      <c r="B119" s="14"/>
      <c r="D119"/>
      <c r="E119"/>
      <c r="F119" s="244"/>
      <c r="G119"/>
      <c r="H119" s="18"/>
      <c r="I119"/>
      <c r="J119"/>
      <c r="K119"/>
      <c r="L119"/>
      <c r="N119" s="14"/>
      <c r="R119" s="234"/>
      <c r="S119" s="204"/>
      <c r="V119" s="185"/>
    </row>
    <row r="120" spans="1:22" ht="18" customHeight="1">
      <c r="A120" s="96"/>
      <c r="B120" s="14"/>
      <c r="D120"/>
      <c r="E120"/>
      <c r="F120" s="244"/>
      <c r="G120"/>
      <c r="H120" s="18"/>
      <c r="I120"/>
      <c r="J120"/>
      <c r="K120"/>
      <c r="L120"/>
      <c r="N120" s="14"/>
      <c r="R120" s="234"/>
      <c r="S120" s="204"/>
      <c r="V120" s="185"/>
    </row>
    <row r="121" spans="1:22" ht="18" customHeight="1">
      <c r="A121" s="96"/>
      <c r="B121" s="14"/>
      <c r="D121"/>
      <c r="E121"/>
      <c r="F121" s="244"/>
      <c r="G121"/>
      <c r="H121" s="18"/>
      <c r="I121"/>
      <c r="J121"/>
      <c r="K121"/>
      <c r="L121"/>
      <c r="N121" s="14"/>
      <c r="R121" s="234"/>
      <c r="S121" s="204"/>
      <c r="V121" s="185"/>
    </row>
    <row r="122" spans="1:22" ht="18" customHeight="1">
      <c r="A122" s="96"/>
      <c r="B122" s="14"/>
      <c r="D122"/>
      <c r="E122"/>
      <c r="F122" s="244"/>
      <c r="G122"/>
      <c r="H122" s="18"/>
      <c r="I122"/>
      <c r="J122"/>
      <c r="K122"/>
      <c r="L122"/>
      <c r="N122" s="14"/>
      <c r="R122" s="234"/>
      <c r="S122" s="204"/>
      <c r="V122" s="185"/>
    </row>
    <row r="123" spans="1:22" ht="18" customHeight="1">
      <c r="A123" s="96"/>
      <c r="B123" s="14"/>
      <c r="D123"/>
      <c r="E123"/>
      <c r="F123" s="244"/>
      <c r="G123"/>
      <c r="H123" s="18"/>
      <c r="I123"/>
      <c r="J123"/>
      <c r="K123"/>
      <c r="L123"/>
      <c r="N123" s="14"/>
      <c r="R123" s="234"/>
      <c r="S123" s="204"/>
      <c r="V123" s="185"/>
    </row>
    <row r="124" spans="1:22" ht="18" customHeight="1">
      <c r="A124" s="96"/>
      <c r="B124" s="14"/>
      <c r="D124"/>
      <c r="E124"/>
      <c r="F124" s="244"/>
      <c r="G124"/>
      <c r="H124" s="18"/>
      <c r="I124"/>
      <c r="J124"/>
      <c r="K124"/>
      <c r="L124"/>
      <c r="N124" s="14"/>
      <c r="R124" s="234"/>
      <c r="S124" s="204"/>
      <c r="V124" s="185"/>
    </row>
    <row r="125" spans="1:22" ht="18" customHeight="1">
      <c r="A125" s="96"/>
      <c r="B125" s="14"/>
      <c r="D125"/>
      <c r="E125"/>
      <c r="F125" s="244"/>
      <c r="G125"/>
      <c r="H125" s="18"/>
      <c r="I125"/>
      <c r="J125"/>
      <c r="K125"/>
      <c r="L125"/>
      <c r="N125" s="14"/>
      <c r="R125" s="234"/>
      <c r="S125" s="204"/>
      <c r="V125" s="185"/>
    </row>
    <row r="126" spans="1:22" ht="18" customHeight="1">
      <c r="A126" s="96"/>
      <c r="B126" s="14"/>
      <c r="D126"/>
      <c r="E126"/>
      <c r="F126" s="244"/>
      <c r="G126"/>
      <c r="H126" s="18"/>
      <c r="I126"/>
      <c r="J126"/>
      <c r="K126"/>
      <c r="L126"/>
      <c r="N126" s="14"/>
      <c r="R126" s="234"/>
      <c r="S126" s="204"/>
      <c r="V126" s="185"/>
    </row>
    <row r="127" spans="1:22" ht="18" customHeight="1">
      <c r="A127" s="96"/>
      <c r="B127" s="14"/>
      <c r="D127"/>
      <c r="E127"/>
      <c r="F127" s="244"/>
      <c r="G127"/>
      <c r="H127" s="18"/>
      <c r="I127"/>
      <c r="J127"/>
      <c r="K127"/>
      <c r="L127"/>
      <c r="N127" s="14"/>
      <c r="R127" s="234"/>
      <c r="S127" s="204"/>
      <c r="V127" s="185"/>
    </row>
    <row r="128" spans="1:22" ht="18" customHeight="1">
      <c r="A128" s="96"/>
      <c r="B128" s="14"/>
      <c r="D128"/>
      <c r="E128"/>
      <c r="F128" s="244"/>
      <c r="G128"/>
      <c r="H128" s="18"/>
      <c r="I128"/>
      <c r="J128"/>
      <c r="K128"/>
      <c r="L128"/>
      <c r="N128" s="14"/>
      <c r="R128" s="234"/>
      <c r="S128" s="204"/>
      <c r="V128" s="185"/>
    </row>
    <row r="129" spans="1:29" ht="18" customHeight="1">
      <c r="A129" s="194"/>
      <c r="B129" s="195"/>
      <c r="C129" s="196"/>
      <c r="D129" s="423"/>
      <c r="E129" s="423"/>
      <c r="F129" s="306"/>
      <c r="G129" s="423"/>
      <c r="H129" s="510"/>
      <c r="I129" s="423"/>
      <c r="J129" s="423"/>
      <c r="K129" s="423"/>
      <c r="L129" s="423"/>
      <c r="M129" s="196"/>
      <c r="N129" s="195"/>
      <c r="O129" s="196"/>
      <c r="P129" s="196"/>
      <c r="Q129" s="196"/>
      <c r="R129" s="591"/>
      <c r="S129" s="518"/>
      <c r="T129" s="196"/>
      <c r="U129" s="196"/>
      <c r="V129" s="291"/>
    </row>
    <row r="130" spans="1:29" ht="18" customHeight="1">
      <c r="A130" s="226"/>
      <c r="B130" s="196"/>
      <c r="C130" s="227"/>
      <c r="D130" s="196"/>
      <c r="E130" s="227"/>
      <c r="F130" s="227"/>
      <c r="G130" s="227"/>
      <c r="H130" s="227"/>
      <c r="I130" s="227"/>
      <c r="J130" s="227"/>
      <c r="K130" s="227"/>
      <c r="L130" s="227"/>
      <c r="M130" s="227"/>
      <c r="N130" s="227"/>
      <c r="O130" s="227"/>
      <c r="P130" s="227"/>
      <c r="Q130" s="227"/>
      <c r="R130" s="227"/>
      <c r="S130" s="227"/>
      <c r="T130" s="227"/>
      <c r="U130" s="227"/>
      <c r="V130" s="228"/>
    </row>
    <row r="131" spans="1:29" ht="18" customHeight="1">
      <c r="A131" s="184"/>
      <c r="B131" s="854" t="str">
        <f>B7</f>
        <v>T1</v>
      </c>
      <c r="C131" s="831"/>
      <c r="D131" s="587" t="s">
        <v>506</v>
      </c>
      <c r="E131" s="555"/>
      <c r="F131" s="186"/>
      <c r="H131" s="684" t="str">
        <f>G7</f>
        <v>(Multi Func. Trans. Prtn + FMS + HV REF)</v>
      </c>
      <c r="I131" s="684"/>
      <c r="J131" s="684"/>
      <c r="K131" s="684"/>
      <c r="L131" s="684"/>
      <c r="M131" s="684"/>
      <c r="P131" s="186"/>
      <c r="S131" s="187" t="s">
        <v>387</v>
      </c>
      <c r="T131" s="1161" t="s">
        <v>205</v>
      </c>
      <c r="U131" s="1162"/>
      <c r="V131" s="185"/>
    </row>
    <row r="132" spans="1:29" ht="18" customHeight="1">
      <c r="A132" s="184"/>
      <c r="B132" s="30">
        <f>B8</f>
        <v>0</v>
      </c>
      <c r="F132" s="287"/>
      <c r="T132" s="1161"/>
      <c r="U132" s="1162"/>
      <c r="V132" s="185"/>
    </row>
    <row r="133" spans="1:29" ht="18" customHeight="1">
      <c r="A133" s="184"/>
      <c r="H133" s="708" t="s">
        <v>390</v>
      </c>
      <c r="I133" s="708"/>
      <c r="J133" s="789" t="s">
        <v>391</v>
      </c>
      <c r="K133" s="789"/>
      <c r="L133" s="708" t="s">
        <v>392</v>
      </c>
      <c r="M133" s="708"/>
      <c r="T133" s="30">
        <f>T9</f>
        <v>0</v>
      </c>
      <c r="V133" s="185"/>
    </row>
    <row r="134" spans="1:29" ht="18" customHeight="1">
      <c r="A134" s="184"/>
      <c r="B134" s="47" t="s">
        <v>393</v>
      </c>
      <c r="H134" s="854">
        <f>H10</f>
        <v>3200</v>
      </c>
      <c r="I134" s="831"/>
      <c r="J134" s="863">
        <f>J10</f>
        <v>600</v>
      </c>
      <c r="K134" s="864"/>
      <c r="L134" s="854" t="str">
        <f>L10</f>
        <v>-</v>
      </c>
      <c r="M134" s="831"/>
      <c r="N134" s="102" t="s">
        <v>342</v>
      </c>
      <c r="O134" s="256">
        <f>O10</f>
        <v>1</v>
      </c>
      <c r="P134" s="27" t="s">
        <v>8</v>
      </c>
      <c r="V134" s="185"/>
    </row>
    <row r="135" spans="1:29" ht="18" customHeight="1">
      <c r="A135" s="184"/>
      <c r="B135" s="47" t="s">
        <v>394</v>
      </c>
      <c r="H135" s="14"/>
      <c r="I135" s="14"/>
      <c r="J135" s="854" t="str">
        <f>H11</f>
        <v>PX</v>
      </c>
      <c r="K135" s="776"/>
      <c r="L135" s="14"/>
      <c r="M135" s="14"/>
      <c r="V135" s="185"/>
    </row>
    <row r="136" spans="1:29" ht="18" customHeight="1">
      <c r="A136" s="184"/>
      <c r="B136" s="47" t="s">
        <v>396</v>
      </c>
      <c r="I136" s="120" t="s">
        <v>497</v>
      </c>
      <c r="J136" s="781">
        <v>3</v>
      </c>
      <c r="K136" s="782"/>
      <c r="L136" s="192" t="s">
        <v>333</v>
      </c>
      <c r="V136" s="185"/>
    </row>
    <row r="137" spans="1:29" ht="18" customHeight="1">
      <c r="A137" s="184"/>
      <c r="B137" s="47" t="s">
        <v>398</v>
      </c>
      <c r="I137" s="120" t="s">
        <v>498</v>
      </c>
      <c r="J137" s="781">
        <v>400</v>
      </c>
      <c r="K137" s="782"/>
      <c r="L137" s="14" t="s">
        <v>305</v>
      </c>
      <c r="V137" s="185"/>
      <c r="W137" s="30" t="s">
        <v>400</v>
      </c>
      <c r="AB137" s="785">
        <f>D248</f>
        <v>0</v>
      </c>
      <c r="AC137" s="786"/>
    </row>
    <row r="138" spans="1:29" ht="18" customHeight="1">
      <c r="A138" s="184"/>
      <c r="B138" s="14" t="s">
        <v>401</v>
      </c>
      <c r="I138" s="120" t="s">
        <v>402</v>
      </c>
      <c r="J138" s="781">
        <v>30</v>
      </c>
      <c r="K138" s="782"/>
      <c r="L138" s="30" t="s">
        <v>403</v>
      </c>
      <c r="V138" s="185"/>
    </row>
    <row r="139" spans="1:29" ht="18" customHeight="1">
      <c r="A139" s="96"/>
      <c r="V139" s="185"/>
    </row>
    <row r="140" spans="1:29" ht="18" customHeight="1">
      <c r="A140" s="193" t="s">
        <v>404</v>
      </c>
      <c r="V140" s="185"/>
    </row>
    <row r="141" spans="1:29" ht="18" customHeight="1">
      <c r="A141" s="184"/>
      <c r="V141" s="185"/>
    </row>
    <row r="142" spans="1:29" ht="18" customHeight="1">
      <c r="A142" s="184"/>
      <c r="B142" s="194" t="s">
        <v>405</v>
      </c>
      <c r="C142" s="195"/>
      <c r="D142" s="195" t="str">
        <f>T131</f>
        <v>7UT85</v>
      </c>
      <c r="E142" s="196"/>
      <c r="F142" s="196"/>
      <c r="G142" s="196"/>
      <c r="H142" s="182" t="s">
        <v>406</v>
      </c>
      <c r="I142" s="183" t="s">
        <v>127</v>
      </c>
      <c r="J142" s="766">
        <f>J18</f>
        <v>0.1</v>
      </c>
      <c r="K142" s="958"/>
      <c r="L142" s="3" t="s">
        <v>157</v>
      </c>
      <c r="V142" s="185"/>
    </row>
    <row r="143" spans="1:29" ht="18" customHeight="1">
      <c r="A143" s="184"/>
      <c r="B143" s="184" t="s">
        <v>405</v>
      </c>
      <c r="D143" s="30">
        <f>T132</f>
        <v>0</v>
      </c>
      <c r="H143" s="27"/>
      <c r="I143" s="177" t="s">
        <v>127</v>
      </c>
      <c r="J143" s="861">
        <f>J19</f>
        <v>0</v>
      </c>
      <c r="K143" s="989"/>
      <c r="L143" s="198" t="s">
        <v>157</v>
      </c>
      <c r="V143" s="185"/>
    </row>
    <row r="144" spans="1:29" ht="18" customHeight="1">
      <c r="A144" s="184"/>
      <c r="B144" s="184" t="s">
        <v>405</v>
      </c>
      <c r="D144" s="30">
        <f>T133</f>
        <v>0</v>
      </c>
      <c r="E144" s="14"/>
      <c r="G144" s="199"/>
      <c r="H144" s="27"/>
      <c r="I144" s="177" t="s">
        <v>127</v>
      </c>
      <c r="J144" s="696">
        <f>J20</f>
        <v>0</v>
      </c>
      <c r="K144" s="820"/>
      <c r="L144" s="202" t="s">
        <v>157</v>
      </c>
      <c r="V144" s="185"/>
    </row>
    <row r="145" spans="1:22" ht="18" customHeight="1">
      <c r="A145" s="184"/>
      <c r="B145" s="184" t="s">
        <v>412</v>
      </c>
      <c r="H145" s="27" t="s">
        <v>599</v>
      </c>
      <c r="I145" s="177" t="s">
        <v>127</v>
      </c>
      <c r="J145" s="861">
        <f>J21</f>
        <v>1.0770224400000001</v>
      </c>
      <c r="K145" s="989"/>
      <c r="L145" s="203" t="s">
        <v>157</v>
      </c>
      <c r="V145" s="185"/>
    </row>
    <row r="146" spans="1:22" ht="18" customHeight="1">
      <c r="A146" s="184"/>
      <c r="B146" s="205" t="s">
        <v>413</v>
      </c>
      <c r="C146" s="206"/>
      <c r="D146" s="206"/>
      <c r="E146" s="206"/>
      <c r="F146" s="207"/>
      <c r="G146" s="207"/>
      <c r="H146" s="190" t="s">
        <v>409</v>
      </c>
      <c r="I146" s="208" t="s">
        <v>127</v>
      </c>
      <c r="J146" s="766">
        <f>J143+J145</f>
        <v>1.0770224400000001</v>
      </c>
      <c r="K146" s="958"/>
      <c r="L146" s="210" t="s">
        <v>157</v>
      </c>
      <c r="V146" s="185"/>
    </row>
    <row r="147" spans="1:22" ht="18" customHeight="1">
      <c r="A147" s="184"/>
      <c r="B147" s="47"/>
      <c r="C147" s="47"/>
      <c r="D147" s="47"/>
      <c r="E147" s="47"/>
      <c r="H147" s="27"/>
      <c r="I147" s="28"/>
      <c r="J147" s="199"/>
      <c r="L147" s="47"/>
      <c r="O147" s="27"/>
      <c r="P147" s="211"/>
      <c r="Q147" s="211"/>
      <c r="R147" s="192"/>
      <c r="V147" s="185"/>
    </row>
    <row r="148" spans="1:22" ht="18" customHeight="1">
      <c r="A148" s="184"/>
      <c r="B148" s="197" t="s">
        <v>648</v>
      </c>
      <c r="L148" s="47"/>
      <c r="M148" s="197" t="s">
        <v>407</v>
      </c>
      <c r="V148" s="185"/>
    </row>
    <row r="149" spans="1:22" ht="18" customHeight="1">
      <c r="A149" s="184"/>
      <c r="B149" s="27" t="s">
        <v>649</v>
      </c>
      <c r="C149" s="27" t="s">
        <v>127</v>
      </c>
      <c r="D149" s="30" t="s">
        <v>406</v>
      </c>
      <c r="E149" s="271" t="s">
        <v>410</v>
      </c>
      <c r="F149" s="27" t="s">
        <v>146</v>
      </c>
      <c r="G149" s="28" t="s">
        <v>315</v>
      </c>
      <c r="H149" s="218" t="s">
        <v>146</v>
      </c>
      <c r="I149" s="30" t="s">
        <v>350</v>
      </c>
      <c r="J149" s="199"/>
      <c r="L149" s="47"/>
      <c r="M149" s="30" t="s">
        <v>408</v>
      </c>
      <c r="N149" s="27" t="s">
        <v>127</v>
      </c>
      <c r="O149" s="30" t="s">
        <v>409</v>
      </c>
      <c r="P149" s="191" t="s">
        <v>410</v>
      </c>
      <c r="Q149" s="244" t="s">
        <v>411</v>
      </c>
      <c r="R149" s="27" t="s">
        <v>315</v>
      </c>
      <c r="S149" s="30" t="s">
        <v>411</v>
      </c>
      <c r="T149" s="30" t="s">
        <v>350</v>
      </c>
      <c r="V149" s="185"/>
    </row>
    <row r="150" spans="1:22" ht="18" customHeight="1">
      <c r="A150" s="184"/>
      <c r="B150" s="47"/>
      <c r="C150" s="27" t="s">
        <v>127</v>
      </c>
      <c r="D150" s="204">
        <f>J142</f>
        <v>0.1</v>
      </c>
      <c r="E150" s="191" t="s">
        <v>410</v>
      </c>
      <c r="F150" s="27">
        <f>F26</f>
        <v>1</v>
      </c>
      <c r="G150" s="27" t="s">
        <v>315</v>
      </c>
      <c r="H150" s="27">
        <f>H26</f>
        <v>1</v>
      </c>
      <c r="I150" s="30" t="s">
        <v>350</v>
      </c>
      <c r="J150" s="199"/>
      <c r="L150" s="47"/>
      <c r="N150" s="27" t="s">
        <v>127</v>
      </c>
      <c r="O150" s="204">
        <f>J146</f>
        <v>1.0770224400000001</v>
      </c>
      <c r="P150" s="191" t="s">
        <v>410</v>
      </c>
      <c r="Q150" s="27">
        <f>O134</f>
        <v>1</v>
      </c>
      <c r="R150" s="27" t="s">
        <v>315</v>
      </c>
      <c r="S150" s="27">
        <f>O134</f>
        <v>1</v>
      </c>
      <c r="T150" s="30" t="s">
        <v>350</v>
      </c>
      <c r="V150" s="185"/>
    </row>
    <row r="151" spans="1:22" ht="18" customHeight="1">
      <c r="A151" s="184"/>
      <c r="B151" s="47"/>
      <c r="C151" s="27" t="s">
        <v>127</v>
      </c>
      <c r="D151" s="795">
        <f>D150/(F150*H150)</f>
        <v>0.1</v>
      </c>
      <c r="E151" s="795"/>
      <c r="F151" s="192" t="s">
        <v>333</v>
      </c>
      <c r="J151" s="199"/>
      <c r="L151" s="47"/>
      <c r="N151" s="27" t="s">
        <v>127</v>
      </c>
      <c r="O151" s="795">
        <f>O150/(Q150*S150)</f>
        <v>1.0770224400000001</v>
      </c>
      <c r="P151" s="795"/>
      <c r="Q151" s="192" t="s">
        <v>333</v>
      </c>
      <c r="V151" s="185"/>
    </row>
    <row r="152" spans="1:22" ht="18" customHeight="1">
      <c r="A152" s="184"/>
      <c r="B152" s="47"/>
      <c r="C152" s="47"/>
      <c r="D152" s="47"/>
      <c r="E152" s="47"/>
      <c r="H152" s="27"/>
      <c r="I152" s="28"/>
      <c r="J152" s="199"/>
      <c r="L152" s="47"/>
      <c r="O152" s="27"/>
      <c r="P152" s="211"/>
      <c r="Q152" s="211"/>
      <c r="R152" s="192"/>
      <c r="V152" s="185"/>
    </row>
    <row r="153" spans="1:22" ht="18" customHeight="1">
      <c r="A153" s="184"/>
      <c r="B153" s="47" t="s">
        <v>668</v>
      </c>
      <c r="C153" s="47"/>
      <c r="D153" s="47"/>
      <c r="E153" s="47"/>
      <c r="H153" s="27"/>
      <c r="I153" s="28"/>
      <c r="J153" s="199"/>
      <c r="L153" s="28" t="s">
        <v>127</v>
      </c>
      <c r="M153" s="795">
        <f>D151</f>
        <v>0.1</v>
      </c>
      <c r="N153" s="795"/>
      <c r="O153" s="27" t="s">
        <v>347</v>
      </c>
      <c r="P153" s="795">
        <f>O151</f>
        <v>1.0770224400000001</v>
      </c>
      <c r="Q153" s="795"/>
      <c r="R153" s="211" t="s">
        <v>127</v>
      </c>
      <c r="S153" s="795">
        <f>M153+P153</f>
        <v>1.1770224400000002</v>
      </c>
      <c r="T153" s="795"/>
      <c r="U153" s="192" t="s">
        <v>333</v>
      </c>
      <c r="V153" s="185"/>
    </row>
    <row r="154" spans="1:22" s="14" customFormat="1" ht="18" customHeight="1">
      <c r="A154" s="193" t="s">
        <v>600</v>
      </c>
      <c r="B154" s="5"/>
      <c r="C154" s="5"/>
      <c r="D154" s="5"/>
      <c r="E154" s="5"/>
      <c r="F154" s="5"/>
      <c r="G154" s="5"/>
      <c r="H154" s="212"/>
      <c r="I154" s="212"/>
      <c r="J154" s="5"/>
      <c r="K154" s="5"/>
      <c r="L154" s="5"/>
      <c r="M154" s="5"/>
      <c r="N154" s="5"/>
      <c r="O154" s="5"/>
      <c r="P154" s="103"/>
      <c r="Q154" s="212"/>
      <c r="R154" s="213"/>
      <c r="S154" s="214"/>
      <c r="T154" s="18"/>
      <c r="U154" s="18"/>
      <c r="V154" s="97"/>
    </row>
    <row r="155" spans="1:22" s="14" customFormat="1" ht="18" customHeight="1">
      <c r="A155" s="96"/>
      <c r="B155" s="47" t="s">
        <v>601</v>
      </c>
      <c r="C155" s="5"/>
      <c r="D155" s="5"/>
      <c r="E155" s="5"/>
      <c r="I155" s="215"/>
      <c r="M155" s="5"/>
      <c r="N155" s="103" t="s">
        <v>127</v>
      </c>
      <c r="O155" s="1154">
        <f>O31</f>
        <v>100</v>
      </c>
      <c r="P155" s="831"/>
      <c r="Q155" s="14" t="s">
        <v>602</v>
      </c>
      <c r="S155" s="214"/>
      <c r="T155" s="18"/>
      <c r="U155" s="18"/>
      <c r="V155" s="97"/>
    </row>
    <row r="156" spans="1:22" s="14" customFormat="1" ht="18" customHeight="1">
      <c r="A156" s="96"/>
      <c r="B156" s="47" t="s">
        <v>603</v>
      </c>
      <c r="C156" s="5"/>
      <c r="D156" s="5"/>
      <c r="E156" s="5"/>
      <c r="I156" s="215"/>
      <c r="M156" s="5"/>
      <c r="N156" s="103" t="s">
        <v>127</v>
      </c>
      <c r="O156" s="1154">
        <f>O32</f>
        <v>25</v>
      </c>
      <c r="P156" s="831"/>
      <c r="Q156" s="14" t="s">
        <v>604</v>
      </c>
      <c r="S156" s="214"/>
      <c r="T156" s="18"/>
      <c r="U156" s="18"/>
      <c r="V156" s="97"/>
    </row>
    <row r="157" spans="1:22" s="14" customFormat="1" ht="18" customHeight="1">
      <c r="A157" s="96"/>
      <c r="B157" s="47" t="s">
        <v>605</v>
      </c>
      <c r="C157" s="5"/>
      <c r="D157" s="5"/>
      <c r="E157" s="5"/>
      <c r="M157" s="120" t="s">
        <v>606</v>
      </c>
      <c r="N157" s="103" t="s">
        <v>607</v>
      </c>
      <c r="O157" s="1154">
        <f>O33</f>
        <v>132</v>
      </c>
      <c r="P157" s="831"/>
      <c r="Q157" s="14" t="s">
        <v>163</v>
      </c>
      <c r="S157" s="214"/>
      <c r="T157" s="18"/>
      <c r="U157" s="18"/>
      <c r="V157" s="97"/>
    </row>
    <row r="158" spans="1:22" s="14" customFormat="1" ht="18" customHeight="1">
      <c r="A158" s="216"/>
      <c r="B158" s="212"/>
      <c r="C158" s="212"/>
      <c r="D158" s="212"/>
      <c r="E158" s="212"/>
      <c r="T158" s="18"/>
      <c r="U158" s="18"/>
      <c r="V158" s="97"/>
    </row>
    <row r="159" spans="1:22" s="14" customFormat="1" ht="18" customHeight="1">
      <c r="A159" s="272" t="s">
        <v>608</v>
      </c>
      <c r="B159" s="213"/>
      <c r="C159" s="213"/>
      <c r="D159" s="213"/>
      <c r="E159" s="213"/>
      <c r="H159" s="120" t="s">
        <v>609</v>
      </c>
      <c r="I159" s="28" t="s">
        <v>127</v>
      </c>
      <c r="J159" s="689" t="s">
        <v>610</v>
      </c>
      <c r="K159" s="689"/>
      <c r="L159" s="28" t="s">
        <v>315</v>
      </c>
      <c r="M159" s="217">
        <v>1000</v>
      </c>
      <c r="N159" s="102" t="s">
        <v>342</v>
      </c>
      <c r="O159" s="28" t="s">
        <v>611</v>
      </c>
      <c r="P159" s="28" t="s">
        <v>315</v>
      </c>
      <c r="Q159" s="28" t="s">
        <v>606</v>
      </c>
      <c r="R159" s="47" t="s">
        <v>350</v>
      </c>
      <c r="T159" s="18"/>
      <c r="U159" s="18"/>
      <c r="V159" s="97"/>
    </row>
    <row r="160" spans="1:22" s="14" customFormat="1" ht="18" customHeight="1">
      <c r="A160" s="216"/>
      <c r="B160" s="213"/>
      <c r="C160" s="213"/>
      <c r="D160" s="213"/>
      <c r="E160" s="213"/>
      <c r="F160" s="212"/>
      <c r="G160" s="212"/>
      <c r="H160" s="28"/>
      <c r="I160" s="28" t="s">
        <v>127</v>
      </c>
      <c r="J160" s="689">
        <f>O155</f>
        <v>100</v>
      </c>
      <c r="K160" s="689"/>
      <c r="L160" s="28" t="s">
        <v>315</v>
      </c>
      <c r="M160" s="217">
        <v>1000</v>
      </c>
      <c r="N160" s="102" t="s">
        <v>342</v>
      </c>
      <c r="O160" s="28" t="s">
        <v>611</v>
      </c>
      <c r="P160" s="28" t="s">
        <v>315</v>
      </c>
      <c r="Q160" s="28">
        <f>O157</f>
        <v>132</v>
      </c>
      <c r="R160" s="47" t="s">
        <v>350</v>
      </c>
      <c r="T160" s="18"/>
      <c r="U160" s="18"/>
      <c r="V160" s="97"/>
    </row>
    <row r="161" spans="1:22" s="14" customFormat="1" ht="18" customHeight="1">
      <c r="A161" s="216"/>
      <c r="B161" s="212"/>
      <c r="C161" s="212"/>
      <c r="D161" s="212"/>
      <c r="E161" s="212"/>
      <c r="F161" s="212"/>
      <c r="G161" s="212"/>
      <c r="I161" s="28" t="s">
        <v>127</v>
      </c>
      <c r="J161" s="692">
        <f>(O155*1000)/(SQRT(3)*O157)</f>
        <v>437.38656756789834</v>
      </c>
      <c r="K161" s="692"/>
      <c r="L161" s="14" t="s">
        <v>8</v>
      </c>
      <c r="M161" s="120"/>
      <c r="N161" s="120"/>
      <c r="O161" s="120"/>
      <c r="T161" s="18"/>
      <c r="U161" s="18"/>
      <c r="V161" s="97"/>
    </row>
    <row r="162" spans="1:22" s="14" customFormat="1" ht="18" customHeight="1">
      <c r="A162" s="216"/>
      <c r="B162" s="212"/>
      <c r="C162" s="212"/>
      <c r="D162" s="212"/>
      <c r="E162" s="212"/>
      <c r="G162" s="212"/>
      <c r="H162" s="28"/>
      <c r="I162" s="103"/>
      <c r="J162" s="28"/>
      <c r="M162" s="212"/>
      <c r="N162" s="219"/>
      <c r="O162" s="212"/>
      <c r="T162" s="18"/>
      <c r="U162" s="18"/>
      <c r="V162" s="97"/>
    </row>
    <row r="163" spans="1:22" s="14" customFormat="1" ht="18" hidden="1" customHeight="1">
      <c r="A163" s="147" t="s">
        <v>629</v>
      </c>
      <c r="B163" s="5"/>
      <c r="C163" s="5"/>
      <c r="D163" s="5"/>
      <c r="E163" s="5"/>
      <c r="F163" s="212"/>
      <c r="G163" s="212"/>
      <c r="H163" s="5"/>
      <c r="I163" s="5"/>
      <c r="J163" s="5"/>
      <c r="K163" s="5"/>
      <c r="L163" s="103"/>
      <c r="M163" s="103"/>
      <c r="N163" s="103"/>
      <c r="O163" s="103"/>
      <c r="P163" s="212"/>
      <c r="Q163" s="213"/>
      <c r="S163" s="220"/>
      <c r="T163" s="18"/>
      <c r="U163" s="18"/>
      <c r="V163" s="97"/>
    </row>
    <row r="164" spans="1:22" s="14" customFormat="1" ht="18" customHeight="1">
      <c r="A164" s="147" t="s">
        <v>669</v>
      </c>
      <c r="B164" s="5"/>
      <c r="C164" s="5"/>
      <c r="D164" s="5"/>
      <c r="E164" s="5"/>
      <c r="F164" s="212"/>
      <c r="G164" s="212"/>
      <c r="H164" s="5"/>
      <c r="I164" s="5"/>
      <c r="J164" s="5"/>
      <c r="K164" s="5"/>
      <c r="L164" s="103"/>
      <c r="M164" s="103"/>
      <c r="N164" s="103"/>
      <c r="O164" s="103"/>
      <c r="P164" s="212"/>
      <c r="Q164" s="213"/>
      <c r="U164" s="18"/>
      <c r="V164" s="97"/>
    </row>
    <row r="165" spans="1:22" ht="18" customHeight="1">
      <c r="A165" s="184" t="s">
        <v>670</v>
      </c>
      <c r="B165" s="14"/>
      <c r="C165" s="14"/>
      <c r="D165" s="14"/>
      <c r="E165" s="14"/>
      <c r="M165" s="120"/>
      <c r="N165" s="27" t="s">
        <v>127</v>
      </c>
      <c r="O165" s="689">
        <v>50000</v>
      </c>
      <c r="P165" s="716"/>
      <c r="Q165" s="461" t="s">
        <v>8</v>
      </c>
      <c r="R165" s="221"/>
      <c r="S165" s="214"/>
      <c r="V165" s="185"/>
    </row>
    <row r="166" spans="1:22" ht="18" customHeight="1">
      <c r="A166" s="184"/>
      <c r="B166" s="14"/>
      <c r="C166" s="14"/>
      <c r="D166" s="14"/>
      <c r="E166" s="14"/>
      <c r="M166" s="120"/>
      <c r="N166" s="27"/>
      <c r="O166" s="28"/>
      <c r="P166" s="14"/>
      <c r="Q166" s="461"/>
      <c r="R166" s="221"/>
      <c r="S166" s="214"/>
      <c r="V166" s="185"/>
    </row>
    <row r="167" spans="1:22" ht="18" customHeight="1">
      <c r="A167" s="184"/>
      <c r="B167" s="689" t="s">
        <v>473</v>
      </c>
      <c r="C167" s="1150" t="s">
        <v>652</v>
      </c>
      <c r="D167" s="279"/>
      <c r="E167" s="279"/>
      <c r="F167" s="279"/>
      <c r="G167" s="802">
        <v>0.4</v>
      </c>
      <c r="H167" s="1153" t="s">
        <v>315</v>
      </c>
      <c r="I167" s="790" t="s">
        <v>671</v>
      </c>
      <c r="J167" s="1147"/>
      <c r="K167" s="1147"/>
      <c r="L167" s="1147"/>
      <c r="M167" s="1147"/>
      <c r="N167" s="689" t="s">
        <v>672</v>
      </c>
      <c r="O167" s="708" t="s">
        <v>420</v>
      </c>
      <c r="P167" s="689" t="s">
        <v>347</v>
      </c>
      <c r="Q167" s="790" t="s">
        <v>673</v>
      </c>
      <c r="R167" s="708" t="s">
        <v>674</v>
      </c>
      <c r="S167" s="790" t="s">
        <v>482</v>
      </c>
      <c r="T167" s="14"/>
      <c r="U167" s="729" t="s">
        <v>653</v>
      </c>
      <c r="V167" s="185"/>
    </row>
    <row r="168" spans="1:22" ht="18" customHeight="1">
      <c r="A168" s="96"/>
      <c r="B168" s="689"/>
      <c r="C168" s="689"/>
      <c r="D168" s="279"/>
      <c r="E168" s="279"/>
      <c r="F168" s="279"/>
      <c r="G168" s="802"/>
      <c r="H168" s="689"/>
      <c r="I168" s="1190" t="s">
        <v>483</v>
      </c>
      <c r="J168" s="1189"/>
      <c r="K168" s="1189"/>
      <c r="L168" s="1189"/>
      <c r="M168" s="1189"/>
      <c r="N168" s="689"/>
      <c r="O168" s="689"/>
      <c r="P168" s="689"/>
      <c r="Q168" s="689"/>
      <c r="R168" s="689"/>
      <c r="S168" s="689"/>
      <c r="T168" s="14"/>
      <c r="U168" s="689"/>
      <c r="V168" s="185"/>
    </row>
    <row r="169" spans="1:22" ht="18" customHeight="1">
      <c r="A169" s="96"/>
      <c r="B169" s="5"/>
      <c r="C169" s="5"/>
      <c r="D169" s="5"/>
      <c r="E169" s="5"/>
      <c r="M169" s="120"/>
      <c r="N169" s="28"/>
      <c r="O169" s="689"/>
      <c r="P169" s="716"/>
      <c r="Q169" s="241"/>
      <c r="R169" s="14"/>
      <c r="S169" s="214"/>
      <c r="V169" s="185"/>
    </row>
    <row r="170" spans="1:22" s="14" customFormat="1" ht="18"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customHeight="1">
      <c r="A171" s="184"/>
      <c r="B171" s="47" t="s">
        <v>675</v>
      </c>
      <c r="C171" s="14"/>
      <c r="D171" s="14"/>
      <c r="E171" s="14"/>
      <c r="F171" s="18"/>
      <c r="G171" s="18"/>
      <c r="H171" s="14"/>
      <c r="I171" s="120"/>
      <c r="J171" s="14"/>
      <c r="K171" s="14"/>
      <c r="M171" s="14"/>
      <c r="N171" s="14"/>
      <c r="P171" s="30" t="s">
        <v>483</v>
      </c>
      <c r="R171" s="234" t="s">
        <v>127</v>
      </c>
      <c r="S171" s="684">
        <f>J134</f>
        <v>600</v>
      </c>
      <c r="T171" s="684"/>
      <c r="U171" s="30" t="s">
        <v>8</v>
      </c>
      <c r="V171" s="185"/>
    </row>
    <row r="172" spans="1:22" ht="18" customHeight="1">
      <c r="A172" s="184"/>
      <c r="B172" s="47" t="s">
        <v>655</v>
      </c>
      <c r="C172" s="14"/>
      <c r="D172" s="14"/>
      <c r="E172" s="14"/>
      <c r="F172" s="18"/>
      <c r="G172" s="18"/>
      <c r="H172" s="14"/>
      <c r="I172" s="120"/>
      <c r="J172" s="14"/>
      <c r="K172" s="14"/>
      <c r="M172" s="14"/>
      <c r="N172" s="14"/>
      <c r="P172" s="14" t="s">
        <v>420</v>
      </c>
      <c r="R172" s="234" t="s">
        <v>127</v>
      </c>
      <c r="S172" s="684">
        <f>J136</f>
        <v>3</v>
      </c>
      <c r="T172" s="684"/>
      <c r="U172" s="192" t="s">
        <v>333</v>
      </c>
      <c r="V172" s="185"/>
    </row>
    <row r="173" spans="1:22" ht="18" customHeight="1">
      <c r="A173" s="184"/>
      <c r="B173" s="47" t="s">
        <v>676</v>
      </c>
      <c r="C173" s="14"/>
      <c r="D173" s="14"/>
      <c r="E173" s="14"/>
      <c r="F173" s="18"/>
      <c r="G173" s="18"/>
      <c r="H173" s="14"/>
      <c r="I173" s="120"/>
      <c r="J173" s="14"/>
      <c r="K173" s="14"/>
      <c r="M173" s="14"/>
      <c r="N173" s="14"/>
      <c r="P173" s="30" t="s">
        <v>673</v>
      </c>
      <c r="R173" s="234" t="s">
        <v>127</v>
      </c>
      <c r="S173" s="795">
        <f>S153</f>
        <v>1.1770224400000002</v>
      </c>
      <c r="T173" s="795"/>
      <c r="U173" s="192" t="s">
        <v>333</v>
      </c>
      <c r="V173" s="185"/>
    </row>
    <row r="174" spans="1:22" ht="18" customHeight="1">
      <c r="A174" s="184"/>
      <c r="B174" s="296" t="s">
        <v>677</v>
      </c>
      <c r="C174" s="14"/>
      <c r="D174" s="14"/>
      <c r="E174" s="14"/>
      <c r="F174" s="14"/>
      <c r="G174" s="14"/>
      <c r="H174" s="14"/>
      <c r="I174" s="120"/>
      <c r="J174" s="14"/>
      <c r="K174" s="14"/>
      <c r="M174" s="14"/>
      <c r="N174" s="14"/>
      <c r="P174" s="14" t="s">
        <v>411</v>
      </c>
      <c r="R174" s="234" t="s">
        <v>127</v>
      </c>
      <c r="S174" s="684">
        <f>O134</f>
        <v>1</v>
      </c>
      <c r="T174" s="684"/>
      <c r="U174" s="30" t="s">
        <v>8</v>
      </c>
      <c r="V174" s="185"/>
    </row>
    <row r="175" spans="1:22" ht="18" customHeight="1">
      <c r="A175" s="184"/>
      <c r="B175" s="47" t="s">
        <v>678</v>
      </c>
      <c r="C175" s="14"/>
      <c r="D175" s="14"/>
      <c r="E175" s="14"/>
      <c r="F175" s="14"/>
      <c r="G175" s="14"/>
      <c r="H175" s="14"/>
      <c r="I175" s="120"/>
      <c r="J175" s="14"/>
      <c r="K175" s="14"/>
      <c r="M175" s="14"/>
      <c r="N175" s="14"/>
      <c r="P175" s="244" t="s">
        <v>671</v>
      </c>
      <c r="R175" s="234" t="s">
        <v>127</v>
      </c>
      <c r="S175" s="684">
        <f>O165</f>
        <v>50000</v>
      </c>
      <c r="T175" s="684"/>
      <c r="U175" s="30" t="s">
        <v>8</v>
      </c>
      <c r="V175" s="185"/>
    </row>
    <row r="176" spans="1:22" ht="18" customHeight="1">
      <c r="A176" s="184"/>
      <c r="B176" s="296" t="s">
        <v>679</v>
      </c>
      <c r="C176" s="14"/>
      <c r="D176" s="14"/>
      <c r="E176" s="14"/>
      <c r="F176" s="14"/>
      <c r="G176" s="14"/>
      <c r="H176" s="14"/>
      <c r="I176" s="120"/>
      <c r="J176" s="14"/>
      <c r="K176" s="14"/>
      <c r="M176" s="14"/>
      <c r="N176" s="14"/>
      <c r="P176" s="120" t="s">
        <v>680</v>
      </c>
      <c r="R176" s="234" t="s">
        <v>127</v>
      </c>
      <c r="S176" s="795">
        <f>J161</f>
        <v>437.38656756789834</v>
      </c>
      <c r="T176" s="684"/>
      <c r="U176" s="30" t="s">
        <v>8</v>
      </c>
      <c r="V176" s="185"/>
    </row>
    <row r="177" spans="1:22" ht="18" customHeight="1">
      <c r="A177" s="184"/>
      <c r="B177" s="47" t="s">
        <v>659</v>
      </c>
      <c r="C177" s="14"/>
      <c r="D177" s="14"/>
      <c r="E177" s="14"/>
      <c r="F177" s="14"/>
      <c r="G177" s="14"/>
      <c r="H177" s="14"/>
      <c r="I177" s="120"/>
      <c r="J177" s="14"/>
      <c r="K177" s="14"/>
      <c r="M177" s="14"/>
      <c r="N177" s="14"/>
      <c r="P177" s="120" t="s">
        <v>660</v>
      </c>
      <c r="R177" s="234" t="s">
        <v>127</v>
      </c>
      <c r="S177" s="684">
        <f>O134</f>
        <v>1</v>
      </c>
      <c r="T177" s="684"/>
      <c r="U177" s="30" t="s">
        <v>8</v>
      </c>
      <c r="V177" s="185"/>
    </row>
    <row r="178" spans="1:22" ht="18" customHeight="1">
      <c r="A178" s="96"/>
      <c r="B178" s="14"/>
      <c r="C178" s="14"/>
      <c r="D178" s="235"/>
      <c r="E178" s="14"/>
      <c r="F178" s="28"/>
      <c r="G178" s="249"/>
      <c r="H178" s="28"/>
      <c r="I178" s="251"/>
      <c r="J178" s="14"/>
      <c r="K178" s="280"/>
      <c r="M178" s="47"/>
      <c r="N178" s="268"/>
      <c r="P178" s="281"/>
      <c r="R178" s="234"/>
      <c r="S178" s="1148"/>
      <c r="T178" s="723"/>
      <c r="V178" s="185"/>
    </row>
    <row r="179" spans="1:22" s="279" customFormat="1" ht="18" customHeight="1">
      <c r="A179" s="277"/>
      <c r="B179" s="689" t="s">
        <v>473</v>
      </c>
      <c r="C179" s="1150" t="s">
        <v>652</v>
      </c>
      <c r="G179" s="802">
        <f>G167</f>
        <v>0.4</v>
      </c>
      <c r="H179" s="1151" t="s">
        <v>315</v>
      </c>
      <c r="I179" s="829">
        <f>O165</f>
        <v>50000</v>
      </c>
      <c r="J179" s="1152"/>
      <c r="K179" s="1152"/>
      <c r="L179" s="1152"/>
      <c r="M179" s="1152"/>
      <c r="N179" s="689" t="s">
        <v>672</v>
      </c>
      <c r="O179" s="708">
        <f>S172</f>
        <v>3</v>
      </c>
      <c r="P179" s="689" t="s">
        <v>347</v>
      </c>
      <c r="Q179" s="829">
        <f>S173</f>
        <v>1.1770224400000002</v>
      </c>
      <c r="R179" s="708" t="s">
        <v>674</v>
      </c>
      <c r="S179" s="708">
        <f>S174</f>
        <v>1</v>
      </c>
      <c r="T179" s="14"/>
      <c r="U179" s="729" t="s">
        <v>653</v>
      </c>
      <c r="V179" s="185"/>
    </row>
    <row r="180" spans="1:22" s="279" customFormat="1" ht="18" customHeight="1">
      <c r="A180" s="277"/>
      <c r="B180" s="689"/>
      <c r="C180" s="689"/>
      <c r="G180" s="802"/>
      <c r="H180" s="684"/>
      <c r="I180" s="1189">
        <f>J134</f>
        <v>600</v>
      </c>
      <c r="J180" s="1189"/>
      <c r="K180" s="1189"/>
      <c r="L180" s="1189"/>
      <c r="M180" s="1189"/>
      <c r="N180" s="689"/>
      <c r="O180" s="689"/>
      <c r="P180" s="689"/>
      <c r="Q180" s="689"/>
      <c r="R180" s="689"/>
      <c r="S180" s="689"/>
      <c r="T180" s="14"/>
      <c r="U180" s="689"/>
      <c r="V180" s="185"/>
    </row>
    <row r="181" spans="1:22" ht="18" customHeight="1">
      <c r="A181" s="96"/>
      <c r="B181" s="14"/>
      <c r="C181" s="27" t="s">
        <v>127</v>
      </c>
      <c r="D181" s="812">
        <f>ROUNDUP(G179*(I179/(I180)*(O179+Q179)*S179),2)</f>
        <v>139.23999999999998</v>
      </c>
      <c r="E181" s="813"/>
      <c r="F181" s="30" t="s">
        <v>305</v>
      </c>
      <c r="G181" s="14"/>
      <c r="H181" s="14"/>
      <c r="I181" s="14"/>
      <c r="J181" s="14"/>
      <c r="K181" s="14"/>
      <c r="L181" s="14"/>
      <c r="M181" s="14"/>
      <c r="N181" s="14"/>
      <c r="R181" s="234"/>
      <c r="S181" s="204"/>
      <c r="V181" s="185"/>
    </row>
    <row r="182" spans="1:22" ht="18" customHeight="1">
      <c r="A182" s="96"/>
      <c r="B182" s="14"/>
      <c r="G182" s="14"/>
      <c r="H182" s="14"/>
      <c r="I182" s="14"/>
      <c r="J182" s="14"/>
      <c r="K182" s="14"/>
      <c r="L182" s="14"/>
      <c r="M182" s="14"/>
      <c r="N182" s="14"/>
      <c r="R182" s="234"/>
      <c r="S182" s="204"/>
      <c r="V182" s="185"/>
    </row>
    <row r="183" spans="1:22" ht="18" hidden="1" customHeight="1">
      <c r="A183" s="96"/>
      <c r="B183" s="14"/>
      <c r="G183" s="27"/>
      <c r="M183" s="14"/>
      <c r="N183" s="14"/>
      <c r="R183" s="234"/>
      <c r="S183" s="204"/>
      <c r="V183" s="185"/>
    </row>
    <row r="184" spans="1:22" ht="18" hidden="1" customHeight="1">
      <c r="A184" s="96"/>
      <c r="B184" s="14"/>
      <c r="G184" s="27"/>
      <c r="H184" s="204"/>
      <c r="M184" s="14"/>
      <c r="N184" s="14"/>
      <c r="R184" s="234"/>
      <c r="S184" s="204"/>
      <c r="V184" s="185"/>
    </row>
    <row r="185" spans="1:22" ht="18" hidden="1" customHeight="1">
      <c r="A185" s="96"/>
      <c r="B185" s="14"/>
      <c r="F185" s="244"/>
      <c r="H185" s="18"/>
      <c r="M185" s="14"/>
      <c r="N185" s="14"/>
      <c r="R185" s="234"/>
      <c r="S185" s="204"/>
      <c r="V185" s="185"/>
    </row>
    <row r="186" spans="1:22" ht="18" hidden="1" customHeight="1">
      <c r="A186" s="96"/>
      <c r="B186" s="14"/>
      <c r="G186" s="14"/>
      <c r="H186" s="14"/>
      <c r="I186" s="14"/>
      <c r="J186" s="14"/>
      <c r="K186" s="14"/>
      <c r="L186" s="14"/>
      <c r="M186" s="14"/>
      <c r="N186" s="14"/>
      <c r="R186" s="234"/>
      <c r="S186" s="204"/>
      <c r="V186" s="185"/>
    </row>
    <row r="187" spans="1:22" ht="18" customHeight="1">
      <c r="A187" s="184" t="s">
        <v>612</v>
      </c>
      <c r="B187" s="14"/>
      <c r="C187" s="14"/>
      <c r="D187" s="14"/>
      <c r="E187" s="14"/>
      <c r="M187" s="120" t="s">
        <v>613</v>
      </c>
      <c r="N187" s="28" t="s">
        <v>127</v>
      </c>
      <c r="O187" s="689" t="s">
        <v>609</v>
      </c>
      <c r="P187" s="716"/>
      <c r="Q187" s="245" t="s">
        <v>681</v>
      </c>
      <c r="R187" s="805" t="str">
        <f>B156</f>
        <v>Percentage Impedance</v>
      </c>
      <c r="S187" s="805"/>
      <c r="T187" s="805"/>
      <c r="U187" s="805"/>
      <c r="V187" s="968"/>
    </row>
    <row r="188" spans="1:22" ht="18" customHeight="1">
      <c r="A188" s="96"/>
      <c r="B188" s="5"/>
      <c r="C188" s="5"/>
      <c r="D188" s="5"/>
      <c r="E188" s="5"/>
      <c r="M188" s="250"/>
      <c r="N188" s="28" t="s">
        <v>127</v>
      </c>
      <c r="O188" s="692">
        <f>J161</f>
        <v>437.38656756789834</v>
      </c>
      <c r="P188" s="716"/>
      <c r="Q188" s="245" t="s">
        <v>342</v>
      </c>
      <c r="R188" s="221">
        <f>O156%</f>
        <v>0.25</v>
      </c>
      <c r="S188" s="214"/>
      <c r="V188" s="185"/>
    </row>
    <row r="189" spans="1:22" ht="18" customHeight="1">
      <c r="A189" s="96"/>
      <c r="B189" s="5"/>
      <c r="C189" s="5"/>
      <c r="D189" s="5"/>
      <c r="E189" s="5"/>
      <c r="M189" s="120" t="s">
        <v>613</v>
      </c>
      <c r="N189" s="28" t="s">
        <v>127</v>
      </c>
      <c r="O189" s="689">
        <f>O188/R188</f>
        <v>1749.5462702715934</v>
      </c>
      <c r="P189" s="716"/>
      <c r="Q189" s="241" t="s">
        <v>8</v>
      </c>
      <c r="R189" s="14"/>
      <c r="S189" s="214"/>
      <c r="V189" s="185"/>
    </row>
    <row r="190" spans="1:22" ht="18" customHeight="1">
      <c r="A190" s="96"/>
      <c r="B190" s="5"/>
      <c r="C190" s="5"/>
      <c r="D190" s="5"/>
      <c r="E190" s="5"/>
      <c r="M190" s="120"/>
      <c r="N190" s="28"/>
      <c r="O190" s="28"/>
      <c r="P190" s="14"/>
      <c r="Q190" s="241"/>
      <c r="R190" s="14"/>
      <c r="S190" s="214"/>
      <c r="V190" s="185"/>
    </row>
    <row r="191" spans="1:22" s="279" customFormat="1" ht="18" customHeight="1">
      <c r="A191" s="277"/>
      <c r="B191" s="689" t="s">
        <v>473</v>
      </c>
      <c r="C191" s="1150" t="s">
        <v>652</v>
      </c>
      <c r="G191" s="802">
        <v>1.6</v>
      </c>
      <c r="H191" s="1153" t="s">
        <v>315</v>
      </c>
      <c r="I191" s="790" t="s">
        <v>682</v>
      </c>
      <c r="J191" s="1147"/>
      <c r="K191" s="1147"/>
      <c r="L191" s="1147"/>
      <c r="M191" s="1147"/>
      <c r="N191" s="689" t="s">
        <v>672</v>
      </c>
      <c r="O191" s="708" t="s">
        <v>420</v>
      </c>
      <c r="P191" s="689" t="s">
        <v>347</v>
      </c>
      <c r="Q191" s="790" t="s">
        <v>673</v>
      </c>
      <c r="R191" s="708" t="s">
        <v>674</v>
      </c>
      <c r="S191" s="790" t="s">
        <v>482</v>
      </c>
      <c r="T191" s="14"/>
      <c r="U191" s="726" t="s">
        <v>683</v>
      </c>
      <c r="V191" s="185"/>
    </row>
    <row r="192" spans="1:22" s="279" customFormat="1" ht="18" customHeight="1">
      <c r="A192" s="277"/>
      <c r="B192" s="689"/>
      <c r="C192" s="689"/>
      <c r="G192" s="802"/>
      <c r="H192" s="689"/>
      <c r="I192" s="1190" t="s">
        <v>483</v>
      </c>
      <c r="J192" s="1189"/>
      <c r="K192" s="1189"/>
      <c r="L192" s="1189"/>
      <c r="M192" s="1189"/>
      <c r="N192" s="689"/>
      <c r="O192" s="689"/>
      <c r="P192" s="689"/>
      <c r="Q192" s="689"/>
      <c r="R192" s="689"/>
      <c r="S192" s="689"/>
      <c r="T192" s="14"/>
      <c r="U192" s="689"/>
      <c r="V192" s="185"/>
    </row>
    <row r="193" spans="1:22" ht="18" customHeight="1">
      <c r="A193" s="184"/>
      <c r="V193" s="185"/>
    </row>
    <row r="194" spans="1:22" ht="18" customHeight="1">
      <c r="A194" s="184"/>
      <c r="B194" s="47" t="s">
        <v>675</v>
      </c>
      <c r="C194" s="14"/>
      <c r="D194" s="14"/>
      <c r="E194" s="14"/>
      <c r="F194" s="18"/>
      <c r="G194" s="18"/>
      <c r="H194" s="14"/>
      <c r="I194" s="120"/>
      <c r="J194" s="14"/>
      <c r="K194" s="14"/>
      <c r="M194" s="14"/>
      <c r="N194" s="14"/>
      <c r="P194" s="30" t="s">
        <v>483</v>
      </c>
      <c r="R194" s="234" t="s">
        <v>127</v>
      </c>
      <c r="S194" s="684">
        <f>J134</f>
        <v>600</v>
      </c>
      <c r="T194" s="684"/>
      <c r="U194" s="30" t="s">
        <v>8</v>
      </c>
      <c r="V194" s="185"/>
    </row>
    <row r="195" spans="1:22" ht="18" customHeight="1">
      <c r="A195" s="184"/>
      <c r="B195" s="47" t="s">
        <v>655</v>
      </c>
      <c r="C195" s="14"/>
      <c r="D195" s="14"/>
      <c r="E195" s="14"/>
      <c r="F195" s="18"/>
      <c r="G195" s="18"/>
      <c r="H195" s="14"/>
      <c r="I195" s="120"/>
      <c r="J195" s="14"/>
      <c r="K195" s="14"/>
      <c r="M195" s="14"/>
      <c r="N195" s="14"/>
      <c r="P195" s="14" t="s">
        <v>420</v>
      </c>
      <c r="R195" s="234" t="s">
        <v>127</v>
      </c>
      <c r="S195" s="684">
        <f>J136</f>
        <v>3</v>
      </c>
      <c r="T195" s="684"/>
      <c r="U195" s="192" t="s">
        <v>333</v>
      </c>
      <c r="V195" s="185"/>
    </row>
    <row r="196" spans="1:22" ht="18" customHeight="1">
      <c r="A196" s="184"/>
      <c r="B196" s="47" t="s">
        <v>676</v>
      </c>
      <c r="C196" s="14"/>
      <c r="D196" s="14"/>
      <c r="E196" s="14"/>
      <c r="F196" s="18"/>
      <c r="G196" s="18"/>
      <c r="H196" s="14"/>
      <c r="I196" s="120"/>
      <c r="J196" s="14"/>
      <c r="K196" s="14"/>
      <c r="M196" s="14"/>
      <c r="N196" s="14"/>
      <c r="P196" s="30" t="s">
        <v>673</v>
      </c>
      <c r="R196" s="234" t="s">
        <v>127</v>
      </c>
      <c r="S196" s="795">
        <f>S153</f>
        <v>1.1770224400000002</v>
      </c>
      <c r="T196" s="795"/>
      <c r="U196" s="192" t="s">
        <v>333</v>
      </c>
      <c r="V196" s="185"/>
    </row>
    <row r="197" spans="1:22" ht="18" customHeight="1">
      <c r="A197" s="184"/>
      <c r="B197" s="296" t="s">
        <v>677</v>
      </c>
      <c r="C197" s="14"/>
      <c r="D197" s="14"/>
      <c r="E197" s="14"/>
      <c r="F197" s="14"/>
      <c r="G197" s="14"/>
      <c r="H197" s="14"/>
      <c r="I197" s="120"/>
      <c r="J197" s="14"/>
      <c r="K197" s="14"/>
      <c r="M197" s="14"/>
      <c r="N197" s="14"/>
      <c r="P197" s="14" t="s">
        <v>411</v>
      </c>
      <c r="R197" s="234" t="s">
        <v>127</v>
      </c>
      <c r="S197" s="684">
        <f>O134</f>
        <v>1</v>
      </c>
      <c r="T197" s="684"/>
      <c r="U197" s="30" t="s">
        <v>8</v>
      </c>
      <c r="V197" s="185"/>
    </row>
    <row r="198" spans="1:22" ht="18" customHeight="1">
      <c r="A198" s="184"/>
      <c r="B198" s="47" t="s">
        <v>678</v>
      </c>
      <c r="C198" s="14"/>
      <c r="D198" s="14"/>
      <c r="E198" s="14"/>
      <c r="F198" s="14"/>
      <c r="G198" s="14"/>
      <c r="H198" s="14"/>
      <c r="I198" s="120"/>
      <c r="J198" s="14"/>
      <c r="K198" s="14"/>
      <c r="M198" s="14"/>
      <c r="N198" s="14"/>
      <c r="P198" s="244" t="s">
        <v>682</v>
      </c>
      <c r="R198" s="234" t="s">
        <v>127</v>
      </c>
      <c r="S198" s="684">
        <f>O189</f>
        <v>1749.5462702715934</v>
      </c>
      <c r="T198" s="684"/>
      <c r="U198" s="30" t="s">
        <v>8</v>
      </c>
      <c r="V198" s="185"/>
    </row>
    <row r="199" spans="1:22" ht="18" customHeight="1">
      <c r="A199" s="184"/>
      <c r="B199" s="296" t="s">
        <v>679</v>
      </c>
      <c r="C199" s="14"/>
      <c r="D199" s="14"/>
      <c r="E199" s="14"/>
      <c r="F199" s="14"/>
      <c r="G199" s="14"/>
      <c r="H199" s="14"/>
      <c r="I199" s="120"/>
      <c r="J199" s="14"/>
      <c r="K199" s="14"/>
      <c r="M199" s="14"/>
      <c r="N199" s="14"/>
      <c r="P199" s="120" t="s">
        <v>680</v>
      </c>
      <c r="R199" s="234" t="s">
        <v>127</v>
      </c>
      <c r="S199" s="795">
        <f>J161</f>
        <v>437.38656756789834</v>
      </c>
      <c r="T199" s="684"/>
      <c r="U199" s="30" t="s">
        <v>8</v>
      </c>
      <c r="V199" s="185"/>
    </row>
    <row r="200" spans="1:22" ht="18" customHeight="1">
      <c r="A200" s="184"/>
      <c r="B200" s="47" t="s">
        <v>659</v>
      </c>
      <c r="C200" s="14"/>
      <c r="D200" s="14"/>
      <c r="E200" s="14"/>
      <c r="F200" s="14"/>
      <c r="G200" s="14"/>
      <c r="H200" s="14"/>
      <c r="I200" s="120"/>
      <c r="J200" s="14"/>
      <c r="K200" s="14"/>
      <c r="M200" s="14"/>
      <c r="N200" s="14"/>
      <c r="P200" s="120" t="s">
        <v>660</v>
      </c>
      <c r="R200" s="234" t="s">
        <v>127</v>
      </c>
      <c r="S200" s="684">
        <f>S197</f>
        <v>1</v>
      </c>
      <c r="T200" s="684"/>
      <c r="U200" s="30" t="s">
        <v>8</v>
      </c>
      <c r="V200" s="185"/>
    </row>
    <row r="201" spans="1:22" ht="18" customHeight="1">
      <c r="A201" s="96"/>
      <c r="B201" s="14"/>
      <c r="C201" s="14"/>
      <c r="D201" s="235"/>
      <c r="E201" s="14"/>
      <c r="F201" s="28"/>
      <c r="G201" s="249"/>
      <c r="H201" s="28"/>
      <c r="I201" s="251"/>
      <c r="J201" s="14"/>
      <c r="K201" s="280"/>
      <c r="M201" s="47"/>
      <c r="N201" s="268"/>
      <c r="P201" s="281"/>
      <c r="R201" s="234"/>
      <c r="S201" s="1148"/>
      <c r="T201" s="723"/>
      <c r="V201" s="185"/>
    </row>
    <row r="202" spans="1:22" s="279" customFormat="1" ht="18" customHeight="1">
      <c r="A202" s="277"/>
      <c r="B202" s="689" t="s">
        <v>473</v>
      </c>
      <c r="C202" s="1150" t="s">
        <v>652</v>
      </c>
      <c r="G202" s="802">
        <f>G191</f>
        <v>1.6</v>
      </c>
      <c r="H202" s="1151" t="s">
        <v>315</v>
      </c>
      <c r="I202" s="829">
        <f>O189</f>
        <v>1749.5462702715934</v>
      </c>
      <c r="J202" s="1152"/>
      <c r="K202" s="1152"/>
      <c r="L202" s="1152"/>
      <c r="M202" s="1152"/>
      <c r="N202" s="689" t="s">
        <v>672</v>
      </c>
      <c r="O202" s="708">
        <f>S195</f>
        <v>3</v>
      </c>
      <c r="P202" s="689" t="s">
        <v>347</v>
      </c>
      <c r="Q202" s="829">
        <f>S196</f>
        <v>1.1770224400000002</v>
      </c>
      <c r="R202" s="708" t="s">
        <v>674</v>
      </c>
      <c r="S202" s="708">
        <f>S197</f>
        <v>1</v>
      </c>
      <c r="T202" s="14"/>
      <c r="U202" s="726" t="s">
        <v>683</v>
      </c>
      <c r="V202" s="185"/>
    </row>
    <row r="203" spans="1:22" s="279" customFormat="1" ht="18" customHeight="1">
      <c r="A203" s="277"/>
      <c r="B203" s="689"/>
      <c r="C203" s="689"/>
      <c r="G203" s="802"/>
      <c r="H203" s="684"/>
      <c r="I203" s="1189">
        <f>S194</f>
        <v>600</v>
      </c>
      <c r="J203" s="1189"/>
      <c r="K203" s="1189"/>
      <c r="L203" s="1189"/>
      <c r="M203" s="1189"/>
      <c r="N203" s="689"/>
      <c r="O203" s="689"/>
      <c r="P203" s="689"/>
      <c r="Q203" s="689"/>
      <c r="R203" s="689"/>
      <c r="S203" s="689"/>
      <c r="T203" s="14"/>
      <c r="U203" s="689"/>
      <c r="V203" s="185"/>
    </row>
    <row r="204" spans="1:22" ht="18" customHeight="1">
      <c r="A204" s="96"/>
      <c r="B204" s="14"/>
      <c r="C204" s="27" t="s">
        <v>127</v>
      </c>
      <c r="D204" s="812">
        <f>ROUNDUP(G202*(I202/(I203)*(O202+Q202)*S202),2)</f>
        <v>19.490000000000002</v>
      </c>
      <c r="E204" s="813"/>
      <c r="F204" s="30" t="s">
        <v>305</v>
      </c>
      <c r="G204" s="14"/>
      <c r="H204" s="14"/>
      <c r="I204" s="14"/>
      <c r="J204" s="14"/>
      <c r="K204" s="14"/>
      <c r="L204" s="14"/>
      <c r="M204" s="14"/>
      <c r="N204" s="14"/>
      <c r="R204" s="234"/>
      <c r="S204" s="204"/>
      <c r="V204" s="185"/>
    </row>
    <row r="205" spans="1:22" ht="18" customHeight="1">
      <c r="A205" s="96"/>
      <c r="B205" s="14"/>
      <c r="G205" s="14"/>
      <c r="H205" s="14"/>
      <c r="I205" s="14"/>
      <c r="J205" s="14"/>
      <c r="K205" s="14"/>
      <c r="L205" s="14"/>
      <c r="M205" s="14"/>
      <c r="N205" s="14"/>
      <c r="R205" s="234"/>
      <c r="S205" s="204"/>
      <c r="V205" s="185"/>
    </row>
    <row r="206" spans="1:22" ht="18" customHeight="1">
      <c r="A206" s="184" t="s">
        <v>684</v>
      </c>
      <c r="B206" s="14"/>
      <c r="G206" s="14"/>
      <c r="H206" s="14"/>
      <c r="I206" s="14"/>
      <c r="J206" s="14"/>
      <c r="K206" s="14"/>
      <c r="L206" s="14"/>
      <c r="M206" s="14"/>
      <c r="N206" s="14"/>
      <c r="R206" s="234"/>
      <c r="S206" s="204"/>
      <c r="U206" s="726" t="s">
        <v>685</v>
      </c>
      <c r="V206" s="185"/>
    </row>
    <row r="207" spans="1:22" ht="18" customHeight="1">
      <c r="A207" s="184"/>
      <c r="E207" s="30" t="s">
        <v>473</v>
      </c>
      <c r="F207" s="278" t="s">
        <v>652</v>
      </c>
      <c r="G207" s="28">
        <v>20</v>
      </c>
      <c r="H207" s="27" t="s">
        <v>315</v>
      </c>
      <c r="I207" s="27" t="s">
        <v>482</v>
      </c>
      <c r="J207" s="27" t="s">
        <v>372</v>
      </c>
      <c r="K207" s="27" t="s">
        <v>420</v>
      </c>
      <c r="L207" s="27" t="s">
        <v>347</v>
      </c>
      <c r="M207" s="27" t="s">
        <v>673</v>
      </c>
      <c r="N207" s="27" t="s">
        <v>350</v>
      </c>
      <c r="R207" s="234"/>
      <c r="S207" s="204"/>
      <c r="U207" s="689"/>
      <c r="V207" s="185"/>
    </row>
    <row r="208" spans="1:22" ht="18" customHeight="1">
      <c r="A208" s="184"/>
      <c r="B208" s="47" t="s">
        <v>655</v>
      </c>
      <c r="C208" s="14"/>
      <c r="D208" s="14"/>
      <c r="E208" s="14"/>
      <c r="F208" s="18"/>
      <c r="G208" s="18"/>
      <c r="H208" s="14"/>
      <c r="I208" s="120"/>
      <c r="J208" s="14"/>
      <c r="K208" s="14"/>
      <c r="M208" s="14"/>
      <c r="N208" s="14"/>
      <c r="P208" s="14" t="s">
        <v>420</v>
      </c>
      <c r="R208" s="234" t="s">
        <v>127</v>
      </c>
      <c r="S208" s="684">
        <f>J136</f>
        <v>3</v>
      </c>
      <c r="T208" s="684"/>
      <c r="U208" s="192" t="s">
        <v>333</v>
      </c>
      <c r="V208" s="185"/>
    </row>
    <row r="209" spans="1:27" ht="18" customHeight="1">
      <c r="A209" s="184"/>
      <c r="B209" s="47" t="s">
        <v>676</v>
      </c>
      <c r="C209" s="14"/>
      <c r="D209" s="14"/>
      <c r="E209" s="14"/>
      <c r="F209" s="18"/>
      <c r="G209" s="18"/>
      <c r="H209" s="14"/>
      <c r="I209" s="120"/>
      <c r="J209" s="14"/>
      <c r="K209" s="14"/>
      <c r="M209" s="14"/>
      <c r="N209" s="14"/>
      <c r="P209" s="30" t="s">
        <v>673</v>
      </c>
      <c r="R209" s="234" t="s">
        <v>127</v>
      </c>
      <c r="S209" s="795">
        <f>S153</f>
        <v>1.1770224400000002</v>
      </c>
      <c r="T209" s="795"/>
      <c r="U209" s="192" t="s">
        <v>333</v>
      </c>
      <c r="V209" s="185"/>
    </row>
    <row r="210" spans="1:27" ht="18" customHeight="1">
      <c r="A210" s="184"/>
      <c r="B210" s="296" t="s">
        <v>677</v>
      </c>
      <c r="C210" s="14"/>
      <c r="D210" s="14"/>
      <c r="E210" s="14"/>
      <c r="F210" s="14"/>
      <c r="G210" s="14"/>
      <c r="H210" s="14"/>
      <c r="I210" s="120"/>
      <c r="J210" s="14"/>
      <c r="K210" s="14"/>
      <c r="M210" s="14"/>
      <c r="N210" s="14"/>
      <c r="P210" s="30" t="s">
        <v>482</v>
      </c>
      <c r="R210" s="234" t="s">
        <v>127</v>
      </c>
      <c r="S210" s="684">
        <v>1</v>
      </c>
      <c r="T210" s="684"/>
      <c r="U210" s="30" t="s">
        <v>8</v>
      </c>
      <c r="V210" s="185"/>
    </row>
    <row r="211" spans="1:27" ht="18" customHeight="1">
      <c r="A211" s="184"/>
      <c r="B211" s="296"/>
      <c r="C211" s="14"/>
      <c r="D211" s="14"/>
      <c r="E211" s="14"/>
      <c r="F211" s="14"/>
      <c r="G211" s="14"/>
      <c r="H211" s="14"/>
      <c r="I211" s="120"/>
      <c r="J211" s="14"/>
      <c r="K211" s="14"/>
      <c r="M211" s="14"/>
      <c r="N211" s="14"/>
      <c r="R211" s="234"/>
      <c r="S211" s="27"/>
      <c r="T211" s="27"/>
      <c r="V211" s="185"/>
    </row>
    <row r="212" spans="1:27" ht="18" customHeight="1">
      <c r="A212" s="193"/>
      <c r="B212" s="14"/>
      <c r="E212" s="30" t="s">
        <v>473</v>
      </c>
      <c r="F212" s="278" t="s">
        <v>652</v>
      </c>
      <c r="G212" s="28">
        <f>G207</f>
        <v>20</v>
      </c>
      <c r="H212" s="28" t="str">
        <f>H207</f>
        <v>x</v>
      </c>
      <c r="I212" s="28">
        <f>S210</f>
        <v>1</v>
      </c>
      <c r="J212" s="27" t="s">
        <v>372</v>
      </c>
      <c r="K212" s="28">
        <f>S208</f>
        <v>3</v>
      </c>
      <c r="L212" s="27" t="s">
        <v>347</v>
      </c>
      <c r="M212" s="218">
        <f>S209</f>
        <v>1.1770224400000002</v>
      </c>
      <c r="N212" s="28" t="str">
        <f>N207</f>
        <v>)</v>
      </c>
      <c r="R212" s="234"/>
      <c r="S212" s="204"/>
      <c r="V212" s="185"/>
    </row>
    <row r="213" spans="1:27" ht="18" customHeight="1">
      <c r="A213" s="193"/>
      <c r="B213" s="14"/>
      <c r="C213" s="278"/>
      <c r="F213" s="30" t="s">
        <v>127</v>
      </c>
      <c r="G213" s="1188">
        <f>ROUNDUP(G212*I212*(K212+M212),2)</f>
        <v>83.550000000000011</v>
      </c>
      <c r="H213" s="1188"/>
      <c r="I213" s="28"/>
      <c r="J213" s="27"/>
      <c r="K213" s="28"/>
      <c r="L213" s="27"/>
      <c r="M213" s="218"/>
      <c r="N213" s="28"/>
      <c r="R213" s="234"/>
      <c r="S213" s="204"/>
      <c r="V213" s="185"/>
    </row>
    <row r="214" spans="1:27" ht="18" customHeight="1">
      <c r="A214" s="508"/>
      <c r="B214" s="195"/>
      <c r="C214" s="623"/>
      <c r="D214" s="196"/>
      <c r="E214" s="196"/>
      <c r="F214" s="196"/>
      <c r="G214" s="624"/>
      <c r="H214" s="624"/>
      <c r="I214" s="182"/>
      <c r="J214" s="307"/>
      <c r="K214" s="182"/>
      <c r="L214" s="307"/>
      <c r="M214" s="509"/>
      <c r="N214" s="182"/>
      <c r="O214" s="196"/>
      <c r="P214" s="196"/>
      <c r="Q214" s="196"/>
      <c r="R214" s="591"/>
      <c r="S214" s="518"/>
      <c r="T214" s="196"/>
      <c r="U214" s="196"/>
      <c r="V214" s="291"/>
    </row>
    <row r="215" spans="1:27" ht="18" customHeight="1">
      <c r="A215" s="383"/>
      <c r="B215" s="273"/>
      <c r="C215" s="625"/>
      <c r="D215" s="227"/>
      <c r="E215" s="227"/>
      <c r="F215" s="227"/>
      <c r="G215" s="138"/>
      <c r="H215" s="138"/>
      <c r="I215" s="138"/>
      <c r="J215" s="311"/>
      <c r="K215" s="138"/>
      <c r="L215" s="311"/>
      <c r="M215" s="626"/>
      <c r="N215" s="138"/>
      <c r="O215" s="227"/>
      <c r="P215" s="227"/>
      <c r="Q215" s="227"/>
      <c r="R215" s="605"/>
      <c r="S215" s="627"/>
      <c r="T215" s="227"/>
      <c r="U215" s="227"/>
      <c r="V215" s="228"/>
    </row>
    <row r="216" spans="1:27" ht="18" customHeight="1">
      <c r="A216" s="96"/>
      <c r="B216" s="14"/>
      <c r="D216" s="30" t="s">
        <v>527</v>
      </c>
      <c r="E216" s="14"/>
      <c r="F216" s="279"/>
      <c r="G216" s="14"/>
      <c r="H216" s="14"/>
      <c r="I216" s="279"/>
      <c r="J216" s="14"/>
      <c r="K216" s="14"/>
      <c r="L216" s="30" t="s">
        <v>473</v>
      </c>
      <c r="M216" s="505" t="s">
        <v>529</v>
      </c>
      <c r="N216" s="30" t="str">
        <f>CONCATENATE(Y216,X216,D181,Z216,D204,Z216,G213,AA216)</f>
        <v>max(139.24,19.49,83.55)</v>
      </c>
      <c r="R216" s="234"/>
      <c r="S216" s="204"/>
      <c r="V216" s="185"/>
      <c r="X216" s="30" t="s">
        <v>419</v>
      </c>
      <c r="Y216" s="30" t="s">
        <v>530</v>
      </c>
      <c r="Z216" s="30" t="s">
        <v>531</v>
      </c>
      <c r="AA216" s="30" t="s">
        <v>350</v>
      </c>
    </row>
    <row r="217" spans="1:27" ht="18" customHeight="1">
      <c r="A217" s="96"/>
      <c r="B217" s="14"/>
      <c r="D217" s="14"/>
      <c r="E217" s="14"/>
      <c r="F217" s="279"/>
      <c r="G217" s="14"/>
      <c r="H217" s="14"/>
      <c r="I217" s="279"/>
      <c r="J217" s="14"/>
      <c r="K217" s="14"/>
      <c r="L217" s="30" t="s">
        <v>473</v>
      </c>
      <c r="M217" s="505" t="s">
        <v>529</v>
      </c>
      <c r="N217" s="1072">
        <f>MAX(D204,D181,G213)</f>
        <v>139.23999999999998</v>
      </c>
      <c r="O217" s="1072"/>
      <c r="R217" s="234"/>
      <c r="S217" s="204"/>
      <c r="V217" s="185"/>
    </row>
    <row r="218" spans="1:27" ht="18" customHeight="1">
      <c r="A218" s="96"/>
      <c r="B218" s="14"/>
      <c r="G218" s="14"/>
      <c r="H218" s="14"/>
      <c r="I218" s="14"/>
      <c r="J218" s="14"/>
      <c r="K218" s="1185">
        <f>J137</f>
        <v>400</v>
      </c>
      <c r="L218" s="1185"/>
      <c r="M218" s="505" t="s">
        <v>529</v>
      </c>
      <c r="N218" s="1072">
        <f>N217</f>
        <v>139.23999999999998</v>
      </c>
      <c r="O218" s="1072"/>
      <c r="R218" s="234"/>
      <c r="S218" s="204"/>
      <c r="V218" s="185"/>
    </row>
    <row r="219" spans="1:27" ht="18" customHeight="1">
      <c r="A219" s="96"/>
      <c r="B219" s="14"/>
      <c r="F219" s="14"/>
      <c r="G219" s="14"/>
      <c r="H219" s="14"/>
      <c r="I219" s="14"/>
      <c r="J219" s="14"/>
      <c r="K219" s="14"/>
      <c r="L219" s="14"/>
      <c r="M219" s="14"/>
      <c r="N219" s="14"/>
      <c r="O219" s="154"/>
      <c r="P219" s="14"/>
      <c r="R219" s="234"/>
      <c r="S219" s="204"/>
      <c r="V219" s="185"/>
    </row>
    <row r="220" spans="1:27" ht="18" customHeight="1">
      <c r="A220" s="96"/>
      <c r="B220" s="14"/>
      <c r="D220"/>
      <c r="E220"/>
      <c r="F220" s="244" t="s">
        <v>478</v>
      </c>
      <c r="G220"/>
      <c r="H220" s="18" t="str">
        <f>IF(K218&gt;N218,"Suitably Dimensioned","Under Dimensioned")</f>
        <v>Suitably Dimensioned</v>
      </c>
      <c r="I220"/>
      <c r="J220"/>
      <c r="K220"/>
      <c r="L220"/>
      <c r="N220" s="14"/>
      <c r="R220" s="234"/>
      <c r="S220" s="204"/>
      <c r="V220" s="185"/>
    </row>
    <row r="221" spans="1:27" ht="18" customHeight="1">
      <c r="A221" s="96"/>
      <c r="B221" s="14"/>
      <c r="C221" s="14"/>
      <c r="D221" s="14"/>
      <c r="E221" s="14"/>
      <c r="M221" s="120"/>
      <c r="N221" s="28"/>
      <c r="O221" s="689"/>
      <c r="P221" s="716"/>
      <c r="Q221" s="245"/>
      <c r="R221" s="1186"/>
      <c r="S221" s="1186"/>
      <c r="T221" s="1186"/>
      <c r="U221" s="1186"/>
      <c r="V221" s="1187"/>
    </row>
    <row r="222" spans="1:27" ht="18" customHeight="1">
      <c r="A222" s="96"/>
      <c r="B222" s="5"/>
      <c r="C222" s="5"/>
      <c r="D222" s="5"/>
      <c r="E222" s="5"/>
      <c r="M222" s="250"/>
      <c r="N222" s="28"/>
      <c r="O222" s="689"/>
      <c r="P222" s="716"/>
      <c r="Q222" s="245"/>
      <c r="R222" s="221"/>
      <c r="S222" s="186"/>
      <c r="V222" s="185"/>
    </row>
    <row r="223" spans="1:27" ht="18" customHeight="1">
      <c r="A223" s="96"/>
      <c r="B223" s="5"/>
      <c r="C223" s="5"/>
      <c r="D223" s="5"/>
      <c r="E223" s="5"/>
      <c r="M223" s="120"/>
      <c r="N223" s="28"/>
      <c r="O223" s="689"/>
      <c r="P223" s="716"/>
      <c r="Q223" s="241"/>
      <c r="R223" s="14"/>
      <c r="S223" s="186"/>
      <c r="V223" s="185"/>
    </row>
    <row r="224" spans="1:27" ht="18" customHeight="1">
      <c r="A224" s="96"/>
      <c r="B224" s="5"/>
      <c r="C224" s="5"/>
      <c r="D224" s="5"/>
      <c r="E224" s="5"/>
      <c r="M224" s="120"/>
      <c r="N224" s="28"/>
      <c r="O224" s="28"/>
      <c r="P224" s="14"/>
      <c r="Q224" s="241"/>
      <c r="R224" s="14"/>
      <c r="S224" s="186"/>
      <c r="V224" s="185"/>
    </row>
    <row r="225" spans="1:22" ht="18" customHeight="1">
      <c r="A225" s="96"/>
      <c r="B225" s="5"/>
      <c r="C225" s="5"/>
      <c r="D225" s="5"/>
      <c r="E225" s="5"/>
      <c r="M225" s="120"/>
      <c r="N225" s="28"/>
      <c r="O225" s="28"/>
      <c r="P225" s="14"/>
      <c r="Q225" s="241"/>
      <c r="R225" s="14"/>
      <c r="S225" s="186"/>
      <c r="V225" s="185"/>
    </row>
    <row r="226" spans="1:22" ht="18" customHeight="1">
      <c r="A226" s="96"/>
      <c r="B226" s="5"/>
      <c r="C226" s="5"/>
      <c r="D226" s="5"/>
      <c r="E226" s="5"/>
      <c r="M226" s="120"/>
      <c r="N226" s="28"/>
      <c r="O226" s="28"/>
      <c r="P226" s="14"/>
      <c r="Q226" s="241"/>
      <c r="R226" s="14"/>
      <c r="S226" s="186"/>
      <c r="V226" s="185"/>
    </row>
    <row r="227" spans="1:22" ht="18" customHeight="1">
      <c r="A227" s="96"/>
      <c r="B227" s="5"/>
      <c r="C227" s="5"/>
      <c r="D227" s="5"/>
      <c r="E227" s="5"/>
      <c r="M227" s="120"/>
      <c r="N227" s="28"/>
      <c r="O227" s="28"/>
      <c r="P227" s="14"/>
      <c r="Q227" s="241"/>
      <c r="R227" s="14"/>
      <c r="S227" s="186"/>
      <c r="V227" s="185"/>
    </row>
    <row r="228" spans="1:22" ht="18" customHeight="1">
      <c r="A228" s="96"/>
      <c r="B228" s="5"/>
      <c r="C228" s="5"/>
      <c r="D228" s="5"/>
      <c r="E228" s="5"/>
      <c r="M228" s="120"/>
      <c r="N228" s="28"/>
      <c r="O228" s="28"/>
      <c r="P228" s="14"/>
      <c r="Q228" s="241"/>
      <c r="R228" s="14"/>
      <c r="S228" s="186"/>
      <c r="V228" s="185"/>
    </row>
    <row r="229" spans="1:22" s="14" customFormat="1" ht="18" hidden="1" customHeight="1">
      <c r="A229" s="194"/>
      <c r="B229" s="195"/>
      <c r="C229" s="195"/>
      <c r="D229" s="195"/>
      <c r="E229" s="195"/>
      <c r="F229" s="195"/>
      <c r="G229" s="195"/>
      <c r="H229" s="195"/>
      <c r="I229" s="195"/>
      <c r="J229" s="195"/>
      <c r="K229" s="195"/>
      <c r="L229" s="195"/>
      <c r="M229" s="195"/>
      <c r="N229" s="195"/>
      <c r="O229" s="195"/>
      <c r="P229" s="195"/>
      <c r="Q229" s="224"/>
      <c r="R229" s="182"/>
      <c r="S229" s="225"/>
      <c r="T229" s="195"/>
      <c r="U229" s="195"/>
      <c r="V229" s="134" t="s">
        <v>552</v>
      </c>
    </row>
    <row r="230" spans="1:22" s="14" customFormat="1" ht="18" hidden="1" customHeight="1">
      <c r="A230" s="135"/>
      <c r="B230" s="273"/>
      <c r="C230" s="273"/>
      <c r="D230" s="273"/>
      <c r="E230" s="273"/>
      <c r="F230" s="273"/>
      <c r="G230" s="273"/>
      <c r="H230" s="273"/>
      <c r="I230" s="273"/>
      <c r="J230" s="273"/>
      <c r="K230" s="273"/>
      <c r="L230" s="273"/>
      <c r="M230" s="273"/>
      <c r="N230" s="273"/>
      <c r="O230" s="273"/>
      <c r="P230" s="273"/>
      <c r="Q230" s="274"/>
      <c r="R230" s="138"/>
      <c r="S230" s="275"/>
      <c r="T230" s="273"/>
      <c r="U230" s="273"/>
      <c r="V230" s="276"/>
    </row>
    <row r="231" spans="1:22" ht="18" hidden="1" customHeight="1">
      <c r="A231" s="96" t="s">
        <v>686</v>
      </c>
      <c r="V231" s="185"/>
    </row>
    <row r="232" spans="1:22" ht="18" hidden="1" customHeight="1">
      <c r="A232" s="184"/>
      <c r="V232" s="185"/>
    </row>
    <row r="233" spans="1:22" s="279" customFormat="1" ht="18" hidden="1" customHeight="1">
      <c r="A233" s="277"/>
      <c r="B233" s="689" t="s">
        <v>473</v>
      </c>
      <c r="C233" s="1150" t="s">
        <v>652</v>
      </c>
      <c r="G233" s="802" t="s">
        <v>687</v>
      </c>
      <c r="H233" s="1153" t="s">
        <v>315</v>
      </c>
      <c r="I233" s="708" t="s">
        <v>688</v>
      </c>
      <c r="J233" s="1147"/>
      <c r="K233" s="1147"/>
      <c r="L233" s="1147"/>
      <c r="M233" s="1147"/>
      <c r="N233" s="689" t="s">
        <v>672</v>
      </c>
      <c r="O233" s="708" t="s">
        <v>420</v>
      </c>
      <c r="P233" s="689" t="s">
        <v>347</v>
      </c>
      <c r="Q233" s="708" t="s">
        <v>689</v>
      </c>
      <c r="R233" s="708" t="s">
        <v>674</v>
      </c>
      <c r="S233" s="708" t="s">
        <v>411</v>
      </c>
      <c r="T233" s="14"/>
      <c r="U233" s="729" t="s">
        <v>653</v>
      </c>
      <c r="V233" s="185"/>
    </row>
    <row r="234" spans="1:22" s="279" customFormat="1" ht="18" hidden="1" customHeight="1">
      <c r="A234" s="277"/>
      <c r="B234" s="689"/>
      <c r="C234" s="689"/>
      <c r="G234" s="802"/>
      <c r="H234" s="689"/>
      <c r="I234" s="689">
        <v>1.3</v>
      </c>
      <c r="J234" s="689"/>
      <c r="K234" s="28" t="s">
        <v>315</v>
      </c>
      <c r="L234" s="689" t="s">
        <v>423</v>
      </c>
      <c r="M234" s="689"/>
      <c r="N234" s="689"/>
      <c r="O234" s="689"/>
      <c r="P234" s="689"/>
      <c r="Q234" s="689"/>
      <c r="R234" s="689"/>
      <c r="S234" s="689"/>
      <c r="T234" s="14"/>
      <c r="U234" s="689"/>
      <c r="V234" s="185"/>
    </row>
    <row r="235" spans="1:22" ht="18" hidden="1" customHeight="1">
      <c r="A235" s="184"/>
      <c r="V235" s="185"/>
    </row>
    <row r="236" spans="1:22" ht="18" hidden="1" customHeight="1">
      <c r="A236" s="184"/>
      <c r="B236" s="47" t="s">
        <v>654</v>
      </c>
      <c r="C236" s="14"/>
      <c r="D236" s="14"/>
      <c r="E236" s="14"/>
      <c r="F236" s="18"/>
      <c r="G236" s="18"/>
      <c r="H236" s="14"/>
      <c r="I236" s="120"/>
      <c r="J236" s="14"/>
      <c r="K236" s="14"/>
      <c r="M236" s="14"/>
      <c r="N236" s="14"/>
      <c r="P236" s="14" t="s">
        <v>423</v>
      </c>
      <c r="R236" s="234" t="s">
        <v>127</v>
      </c>
      <c r="S236" s="684">
        <f>J134</f>
        <v>600</v>
      </c>
      <c r="T236" s="684"/>
      <c r="U236" s="30" t="s">
        <v>8</v>
      </c>
      <c r="V236" s="185"/>
    </row>
    <row r="237" spans="1:22" ht="18" hidden="1" customHeight="1">
      <c r="A237" s="184"/>
      <c r="B237" s="47" t="s">
        <v>655</v>
      </c>
      <c r="C237" s="14"/>
      <c r="D237" s="14"/>
      <c r="E237" s="14"/>
      <c r="F237" s="18"/>
      <c r="G237" s="18"/>
      <c r="H237" s="14"/>
      <c r="I237" s="120"/>
      <c r="J237" s="14"/>
      <c r="K237" s="14"/>
      <c r="M237" s="14"/>
      <c r="N237" s="14"/>
      <c r="P237" s="14" t="s">
        <v>420</v>
      </c>
      <c r="R237" s="234" t="s">
        <v>127</v>
      </c>
      <c r="S237" s="684">
        <f>J136</f>
        <v>3</v>
      </c>
      <c r="T237" s="684"/>
      <c r="U237" s="192" t="s">
        <v>333</v>
      </c>
      <c r="V237" s="185"/>
    </row>
    <row r="238" spans="1:22" ht="18" hidden="1" customHeight="1">
      <c r="A238" s="184"/>
      <c r="B238" s="47" t="s">
        <v>676</v>
      </c>
      <c r="C238" s="14"/>
      <c r="D238" s="14"/>
      <c r="E238" s="14"/>
      <c r="F238" s="18"/>
      <c r="G238" s="18"/>
      <c r="H238" s="14"/>
      <c r="I238" s="120"/>
      <c r="J238" s="14"/>
      <c r="K238" s="14"/>
      <c r="M238" s="14"/>
      <c r="N238" s="14"/>
      <c r="P238" s="14" t="s">
        <v>690</v>
      </c>
      <c r="R238" s="234" t="s">
        <v>127</v>
      </c>
      <c r="S238" s="795">
        <f>S153</f>
        <v>1.1770224400000002</v>
      </c>
      <c r="T238" s="795"/>
      <c r="U238" s="192" t="s">
        <v>333</v>
      </c>
      <c r="V238" s="185"/>
    </row>
    <row r="239" spans="1:22" ht="18" hidden="1" customHeight="1">
      <c r="A239" s="184"/>
      <c r="B239" s="47" t="s">
        <v>691</v>
      </c>
      <c r="C239" s="14"/>
      <c r="D239" s="14"/>
      <c r="E239" s="14"/>
      <c r="F239" s="14"/>
      <c r="G239" s="14"/>
      <c r="H239" s="14"/>
      <c r="I239" s="120"/>
      <c r="J239" s="14"/>
      <c r="K239" s="14"/>
      <c r="M239" s="14"/>
      <c r="N239" s="14"/>
      <c r="P239" s="14" t="s">
        <v>411</v>
      </c>
      <c r="R239" s="234" t="s">
        <v>127</v>
      </c>
      <c r="S239" s="684">
        <f>O134</f>
        <v>1</v>
      </c>
      <c r="T239" s="684"/>
      <c r="U239" s="30" t="s">
        <v>8</v>
      </c>
      <c r="V239" s="185"/>
    </row>
    <row r="240" spans="1:22" ht="18" hidden="1" customHeight="1">
      <c r="A240" s="184"/>
      <c r="B240" s="47" t="s">
        <v>678</v>
      </c>
      <c r="C240" s="14"/>
      <c r="D240" s="14"/>
      <c r="E240" s="14"/>
      <c r="F240" s="14"/>
      <c r="G240" s="14"/>
      <c r="H240" s="14"/>
      <c r="I240" s="120"/>
      <c r="J240" s="14"/>
      <c r="K240" s="14"/>
      <c r="M240" s="14"/>
      <c r="N240" s="14"/>
      <c r="P240" s="120" t="s">
        <v>688</v>
      </c>
      <c r="R240" s="234" t="s">
        <v>127</v>
      </c>
      <c r="S240" s="684">
        <f>O223</f>
        <v>0</v>
      </c>
      <c r="T240" s="684"/>
      <c r="U240" s="30" t="s">
        <v>8</v>
      </c>
      <c r="V240" s="185"/>
    </row>
    <row r="241" spans="1:22" ht="18" hidden="1" customHeight="1">
      <c r="A241" s="184"/>
      <c r="B241" s="47" t="s">
        <v>692</v>
      </c>
      <c r="C241" s="14"/>
      <c r="D241" s="14"/>
      <c r="E241" s="14"/>
      <c r="F241" s="14"/>
      <c r="G241" s="14"/>
      <c r="H241" s="14"/>
      <c r="I241" s="120"/>
      <c r="J241" s="14"/>
      <c r="K241" s="14"/>
      <c r="M241" s="14"/>
      <c r="N241" s="14"/>
      <c r="P241" s="120" t="s">
        <v>680</v>
      </c>
      <c r="R241" s="234" t="s">
        <v>127</v>
      </c>
      <c r="S241" s="795">
        <f>J161</f>
        <v>437.38656756789834</v>
      </c>
      <c r="T241" s="684"/>
      <c r="U241" s="30" t="s">
        <v>8</v>
      </c>
      <c r="V241" s="185"/>
    </row>
    <row r="242" spans="1:22" ht="18" hidden="1" customHeight="1">
      <c r="A242" s="184"/>
      <c r="B242" s="47" t="s">
        <v>659</v>
      </c>
      <c r="C242" s="14"/>
      <c r="D242" s="14"/>
      <c r="E242" s="14"/>
      <c r="F242" s="14"/>
      <c r="G242" s="14"/>
      <c r="H242" s="14"/>
      <c r="I242" s="120"/>
      <c r="J242" s="14"/>
      <c r="K242" s="14"/>
      <c r="M242" s="14"/>
      <c r="N242" s="14"/>
      <c r="P242" s="120" t="s">
        <v>660</v>
      </c>
      <c r="R242" s="234" t="s">
        <v>127</v>
      </c>
      <c r="S242" s="684">
        <f>S53</f>
        <v>1</v>
      </c>
      <c r="T242" s="684"/>
      <c r="U242" s="30" t="s">
        <v>8</v>
      </c>
      <c r="V242" s="185"/>
    </row>
    <row r="243" spans="1:22" ht="18" hidden="1" customHeight="1">
      <c r="A243" s="96"/>
      <c r="B243" s="14"/>
      <c r="C243" s="14"/>
      <c r="D243" s="235"/>
      <c r="E243" s="14"/>
      <c r="F243" s="28"/>
      <c r="G243" s="249"/>
      <c r="H243" s="28"/>
      <c r="I243" s="251"/>
      <c r="J243" s="14"/>
      <c r="K243" s="280"/>
      <c r="M243" s="47"/>
      <c r="N243" s="268"/>
      <c r="P243" s="281"/>
      <c r="R243" s="234"/>
      <c r="S243" s="1148"/>
      <c r="T243" s="723"/>
      <c r="V243" s="185"/>
    </row>
    <row r="244" spans="1:22" ht="18" hidden="1" customHeight="1">
      <c r="A244" s="272" t="s">
        <v>693</v>
      </c>
      <c r="B244" s="14"/>
      <c r="C244" s="14"/>
      <c r="D244" s="14"/>
      <c r="E244" s="14"/>
      <c r="F244" s="14"/>
      <c r="G244" s="14"/>
      <c r="H244" s="28">
        <v>3</v>
      </c>
      <c r="I244" s="47" t="s">
        <v>694</v>
      </c>
      <c r="J244" s="14"/>
      <c r="K244" s="14"/>
      <c r="M244" s="14" t="s">
        <v>337</v>
      </c>
      <c r="N244" s="14"/>
      <c r="P244" s="120"/>
      <c r="R244" s="234"/>
      <c r="S244" s="1149"/>
      <c r="T244" s="723"/>
      <c r="V244" s="185"/>
    </row>
    <row r="245" spans="1:22" ht="18" hidden="1" customHeight="1">
      <c r="A245" s="272"/>
      <c r="B245" s="14"/>
      <c r="C245" s="14"/>
      <c r="D245" s="14"/>
      <c r="E245" s="14"/>
      <c r="F245" s="14"/>
      <c r="G245" s="14"/>
      <c r="H245" s="28"/>
      <c r="I245" s="47"/>
      <c r="J245" s="14"/>
      <c r="K245" s="14"/>
      <c r="M245" s="14"/>
      <c r="N245" s="14"/>
      <c r="P245" s="120"/>
      <c r="R245" s="234"/>
      <c r="S245" s="282"/>
      <c r="V245" s="185"/>
    </row>
    <row r="246" spans="1:22" s="279" customFormat="1" ht="18" hidden="1" customHeight="1">
      <c r="A246" s="277"/>
      <c r="B246" s="689" t="s">
        <v>473</v>
      </c>
      <c r="C246" s="1150" t="s">
        <v>652</v>
      </c>
      <c r="G246" s="802">
        <f>H244</f>
        <v>3</v>
      </c>
      <c r="H246" s="1151" t="s">
        <v>315</v>
      </c>
      <c r="I246" s="829">
        <f>S240</f>
        <v>0</v>
      </c>
      <c r="J246" s="1152"/>
      <c r="K246" s="1152"/>
      <c r="L246" s="1152"/>
      <c r="M246" s="1152"/>
      <c r="N246" s="689" t="s">
        <v>672</v>
      </c>
      <c r="O246" s="708">
        <f>S237</f>
        <v>3</v>
      </c>
      <c r="P246" s="689" t="s">
        <v>347</v>
      </c>
      <c r="Q246" s="829">
        <f>S238</f>
        <v>1.1770224400000002</v>
      </c>
      <c r="R246" s="708" t="s">
        <v>674</v>
      </c>
      <c r="S246" s="708">
        <f>S239</f>
        <v>1</v>
      </c>
      <c r="T246" s="14"/>
      <c r="U246" s="729" t="s">
        <v>653</v>
      </c>
      <c r="V246" s="185"/>
    </row>
    <row r="247" spans="1:22" s="279" customFormat="1" ht="18" hidden="1" customHeight="1">
      <c r="A247" s="277"/>
      <c r="B247" s="689"/>
      <c r="C247" s="689"/>
      <c r="G247" s="802"/>
      <c r="H247" s="684"/>
      <c r="I247" s="689">
        <v>1.3</v>
      </c>
      <c r="J247" s="684"/>
      <c r="K247" s="28" t="s">
        <v>315</v>
      </c>
      <c r="L247" s="689">
        <f>S236</f>
        <v>600</v>
      </c>
      <c r="M247" s="684"/>
      <c r="N247" s="689"/>
      <c r="O247" s="689"/>
      <c r="P247" s="689"/>
      <c r="Q247" s="689"/>
      <c r="R247" s="689"/>
      <c r="S247" s="689"/>
      <c r="T247" s="14"/>
      <c r="U247" s="689"/>
      <c r="V247" s="185"/>
    </row>
    <row r="248" spans="1:22" ht="18" hidden="1" customHeight="1">
      <c r="A248" s="96"/>
      <c r="B248" s="14"/>
      <c r="C248" s="27" t="s">
        <v>127</v>
      </c>
      <c r="D248" s="812">
        <f>G246*(I246/(I247*L247)*(O246+Q246)*S246)</f>
        <v>0</v>
      </c>
      <c r="E248" s="813"/>
      <c r="F248" s="30" t="s">
        <v>305</v>
      </c>
      <c r="G248" s="14"/>
      <c r="H248" s="14"/>
      <c r="I248" s="14"/>
      <c r="J248" s="14"/>
      <c r="K248" s="14"/>
      <c r="L248" s="14"/>
      <c r="M248" s="14"/>
      <c r="N248" s="14"/>
      <c r="R248" s="234"/>
      <c r="S248" s="204"/>
      <c r="V248" s="185"/>
    </row>
    <row r="249" spans="1:22" ht="18" hidden="1" customHeight="1">
      <c r="A249" s="96"/>
      <c r="B249" s="14"/>
      <c r="G249" s="14"/>
      <c r="H249" s="14"/>
      <c r="I249" s="14"/>
      <c r="J249" s="14"/>
      <c r="K249" s="14"/>
      <c r="L249" s="14"/>
      <c r="M249" s="14"/>
      <c r="N249" s="14"/>
      <c r="R249" s="234"/>
      <c r="S249" s="204"/>
      <c r="V249" s="185"/>
    </row>
    <row r="250" spans="1:22" ht="18" hidden="1" customHeight="1">
      <c r="A250" s="96"/>
      <c r="B250" s="14"/>
      <c r="D250" s="30" t="s">
        <v>475</v>
      </c>
      <c r="G250" s="27" t="str">
        <f>IF(E251&gt;H251,"&gt;","&lt;")</f>
        <v>&gt;</v>
      </c>
      <c r="H250" s="30" t="s">
        <v>477</v>
      </c>
      <c r="M250" s="14"/>
      <c r="N250" s="14"/>
      <c r="R250" s="234"/>
      <c r="S250" s="204"/>
      <c r="V250" s="185"/>
    </row>
    <row r="251" spans="1:22" ht="18" hidden="1" customHeight="1">
      <c r="A251" s="96"/>
      <c r="B251" s="14"/>
      <c r="E251" s="684">
        <f>J137</f>
        <v>400</v>
      </c>
      <c r="F251" s="684"/>
      <c r="G251" s="27" t="str">
        <f>G250</f>
        <v>&gt;</v>
      </c>
      <c r="H251" s="795">
        <f>D248</f>
        <v>0</v>
      </c>
      <c r="I251" s="684"/>
      <c r="M251" s="14"/>
      <c r="N251" s="14"/>
      <c r="R251" s="234"/>
      <c r="S251" s="204"/>
      <c r="V251" s="185"/>
    </row>
    <row r="252" spans="1:22" ht="18" hidden="1" customHeight="1">
      <c r="A252" s="96"/>
      <c r="B252" s="14"/>
      <c r="F252" s="244" t="s">
        <v>478</v>
      </c>
      <c r="H252" s="18" t="str">
        <f>IF(G250="&gt;","Suitably Dimentioned","Under Dimentioned")</f>
        <v>Suitably Dimentioned</v>
      </c>
      <c r="M252" s="14"/>
      <c r="N252" s="14"/>
      <c r="R252" s="234"/>
      <c r="S252" s="204"/>
      <c r="V252" s="185"/>
    </row>
    <row r="253" spans="1:22" ht="18" hidden="1" customHeight="1">
      <c r="A253" s="96"/>
      <c r="B253" s="14"/>
      <c r="G253" s="14"/>
      <c r="H253" s="14"/>
      <c r="I253" s="14"/>
      <c r="J253" s="14"/>
      <c r="K253" s="14"/>
      <c r="L253" s="14"/>
      <c r="M253" s="14"/>
      <c r="N253" s="14"/>
      <c r="R253" s="234"/>
      <c r="S253" s="204"/>
      <c r="V253" s="185"/>
    </row>
    <row r="254" spans="1:22" ht="18" hidden="1" customHeight="1">
      <c r="A254" s="193" t="s">
        <v>695</v>
      </c>
      <c r="B254" s="14"/>
      <c r="G254" s="14"/>
      <c r="H254" s="14"/>
      <c r="I254" s="14"/>
      <c r="J254" s="14"/>
      <c r="K254" s="14"/>
      <c r="L254" s="14"/>
      <c r="M254" s="14"/>
      <c r="N254" s="14"/>
      <c r="R254" s="234"/>
      <c r="S254" s="204"/>
      <c r="V254" s="185"/>
    </row>
    <row r="255" spans="1:22" ht="18" hidden="1" customHeight="1">
      <c r="A255" s="96"/>
      <c r="B255" s="14"/>
      <c r="D255" s="802" t="s">
        <v>696</v>
      </c>
      <c r="E255" s="716"/>
      <c r="F255" s="689" t="s">
        <v>127</v>
      </c>
      <c r="G255" s="708" t="s">
        <v>423</v>
      </c>
      <c r="H255" s="1147"/>
      <c r="I255" s="689" t="s">
        <v>315</v>
      </c>
      <c r="J255" s="708" t="s">
        <v>697</v>
      </c>
      <c r="K255" s="1147"/>
      <c r="L255" s="14"/>
      <c r="M255" s="14"/>
      <c r="N255" s="14"/>
      <c r="R255" s="234"/>
      <c r="S255" s="204"/>
      <c r="V255" s="185"/>
    </row>
    <row r="256" spans="1:22" ht="18" hidden="1" customHeight="1">
      <c r="A256" s="96"/>
      <c r="B256" s="14"/>
      <c r="D256" s="716"/>
      <c r="E256" s="716"/>
      <c r="F256" s="689"/>
      <c r="G256" s="689" t="s">
        <v>680</v>
      </c>
      <c r="H256" s="716"/>
      <c r="I256" s="689"/>
      <c r="J256" s="689" t="s">
        <v>411</v>
      </c>
      <c r="K256" s="716"/>
      <c r="L256" s="14"/>
      <c r="M256" s="14"/>
      <c r="N256" s="14"/>
      <c r="R256" s="234"/>
      <c r="S256" s="204"/>
      <c r="V256" s="185"/>
    </row>
    <row r="257" spans="1:22" ht="18" hidden="1" customHeight="1">
      <c r="A257" s="96"/>
      <c r="B257" s="14"/>
      <c r="G257" s="14"/>
      <c r="H257" s="14"/>
      <c r="I257" s="14"/>
      <c r="J257" s="14"/>
      <c r="K257" s="14"/>
      <c r="L257" s="14"/>
      <c r="M257" s="14"/>
      <c r="N257" s="14"/>
      <c r="R257" s="234"/>
      <c r="S257" s="204"/>
      <c r="V257" s="185"/>
    </row>
    <row r="258" spans="1:22" ht="18" hidden="1" customHeight="1">
      <c r="A258" s="96"/>
      <c r="B258" s="14"/>
      <c r="F258" s="689" t="s">
        <v>127</v>
      </c>
      <c r="G258" s="708">
        <f>S236</f>
        <v>600</v>
      </c>
      <c r="H258" s="1147"/>
      <c r="I258" s="689" t="s">
        <v>315</v>
      </c>
      <c r="J258" s="708">
        <f>S242</f>
        <v>1</v>
      </c>
      <c r="K258" s="1147"/>
      <c r="L258" s="14"/>
      <c r="M258" s="14"/>
      <c r="N258" s="14"/>
      <c r="R258" s="234"/>
      <c r="S258" s="204"/>
      <c r="V258" s="185"/>
    </row>
    <row r="259" spans="1:22" ht="18" hidden="1" customHeight="1">
      <c r="A259" s="96"/>
      <c r="B259" s="14"/>
      <c r="F259" s="689"/>
      <c r="G259" s="692">
        <f>J161</f>
        <v>437.38656756789834</v>
      </c>
      <c r="H259" s="716"/>
      <c r="I259" s="689"/>
      <c r="J259" s="689">
        <f>S239</f>
        <v>1</v>
      </c>
      <c r="K259" s="716"/>
      <c r="L259" s="14"/>
      <c r="M259" s="14"/>
      <c r="N259" s="14"/>
      <c r="R259" s="234"/>
      <c r="S259" s="204"/>
      <c r="V259" s="185"/>
    </row>
    <row r="260" spans="1:22" ht="18" hidden="1" customHeight="1">
      <c r="A260" s="96"/>
      <c r="B260" s="14"/>
      <c r="G260" s="14"/>
      <c r="H260" s="14"/>
      <c r="I260" s="14"/>
      <c r="J260" s="14"/>
      <c r="K260" s="14"/>
      <c r="L260" s="14"/>
      <c r="M260" s="14"/>
      <c r="N260" s="14"/>
      <c r="R260" s="234"/>
      <c r="S260" s="204"/>
      <c r="V260" s="185"/>
    </row>
    <row r="261" spans="1:22" ht="18" hidden="1" customHeight="1">
      <c r="A261" s="96"/>
      <c r="B261" s="14"/>
      <c r="F261" s="27" t="s">
        <v>127</v>
      </c>
      <c r="G261" s="716">
        <f>(G258/G259)*(J258/J259)</f>
        <v>1.3717842395945508</v>
      </c>
      <c r="H261" s="716"/>
      <c r="I261" s="14"/>
      <c r="J261" s="14"/>
      <c r="K261" s="14"/>
      <c r="L261" s="14"/>
      <c r="M261" s="14"/>
      <c r="N261" s="14"/>
      <c r="R261" s="234"/>
      <c r="S261" s="204"/>
      <c r="V261" s="185"/>
    </row>
    <row r="262" spans="1:22" ht="18" hidden="1" customHeight="1">
      <c r="A262" s="96"/>
      <c r="B262" s="14"/>
      <c r="G262" s="14"/>
      <c r="H262" s="14"/>
      <c r="I262" s="14"/>
      <c r="J262" s="14"/>
      <c r="K262" s="14"/>
      <c r="L262" s="14"/>
      <c r="M262" s="14"/>
      <c r="N262" s="14"/>
      <c r="R262" s="234"/>
      <c r="S262" s="204"/>
      <c r="V262" s="185"/>
    </row>
    <row r="263" spans="1:22" ht="18" hidden="1" customHeight="1">
      <c r="A263" s="96"/>
      <c r="B263" s="14"/>
      <c r="D263" s="283" t="s">
        <v>698</v>
      </c>
      <c r="E263" s="284" t="s">
        <v>699</v>
      </c>
      <c r="F263" s="689" t="s">
        <v>696</v>
      </c>
      <c r="G263" s="716"/>
      <c r="H263" s="716"/>
      <c r="I263" s="284" t="s">
        <v>699</v>
      </c>
      <c r="J263" s="28">
        <v>4</v>
      </c>
      <c r="L263" s="279"/>
      <c r="M263" s="120" t="s">
        <v>700</v>
      </c>
      <c r="N263" s="47" t="s">
        <v>701</v>
      </c>
      <c r="O263" s="279"/>
      <c r="P263" s="236"/>
      <c r="Q263" s="236"/>
      <c r="R263" s="234"/>
      <c r="S263" s="204"/>
      <c r="V263" s="185"/>
    </row>
    <row r="264" spans="1:22" ht="18" hidden="1" customHeight="1">
      <c r="A264" s="96"/>
      <c r="B264" s="14"/>
      <c r="D264" s="218">
        <v>0.25</v>
      </c>
      <c r="E264" s="284" t="str">
        <f>IF(D264&lt;=G261,"≤","&gt;")</f>
        <v>≤</v>
      </c>
      <c r="F264" s="688">
        <f>G261</f>
        <v>1.3717842395945508</v>
      </c>
      <c r="G264" s="1145"/>
      <c r="H264" s="688"/>
      <c r="I264" s="284" t="str">
        <f>IF(G261&lt;=J263,"≤","&gt;")</f>
        <v>≤</v>
      </c>
      <c r="J264" s="28">
        <f>J263</f>
        <v>4</v>
      </c>
      <c r="L264" s="279"/>
      <c r="M264" s="120"/>
      <c r="N264" s="213"/>
      <c r="O264" s="279"/>
      <c r="P264" s="236"/>
      <c r="Q264" s="236"/>
      <c r="R264" s="234"/>
      <c r="S264" s="204"/>
      <c r="V264" s="185"/>
    </row>
    <row r="265" spans="1:22" ht="18" hidden="1" customHeight="1">
      <c r="A265" s="96"/>
      <c r="B265" s="14"/>
      <c r="G265" s="14"/>
      <c r="H265" s="14"/>
      <c r="I265" s="14"/>
      <c r="J265" s="14"/>
      <c r="K265" s="14"/>
      <c r="L265" s="14"/>
      <c r="M265" s="14"/>
      <c r="N265" s="14"/>
      <c r="R265" s="234"/>
      <c r="S265" s="204"/>
      <c r="V265" s="185"/>
    </row>
    <row r="266" spans="1:22" ht="18" hidden="1" customHeight="1">
      <c r="A266" s="96"/>
      <c r="B266" s="14" t="s">
        <v>702</v>
      </c>
      <c r="G266" s="14"/>
      <c r="H266" s="18" t="str">
        <f>IF(AND(E264="≤",I264="≤")=TRUE,"OK","Not OK")</f>
        <v>OK</v>
      </c>
      <c r="I266" s="14"/>
      <c r="J266" s="14"/>
      <c r="K266" s="14"/>
      <c r="L266" s="14"/>
      <c r="M266" s="14"/>
      <c r="N266" s="14"/>
      <c r="R266" s="234"/>
      <c r="S266" s="204"/>
      <c r="V266" s="185"/>
    </row>
    <row r="267" spans="1:22" ht="18" hidden="1" customHeight="1">
      <c r="A267" s="96"/>
      <c r="B267" s="14"/>
      <c r="G267" s="14"/>
      <c r="H267" s="18"/>
      <c r="I267" s="14"/>
      <c r="J267" s="14"/>
      <c r="K267" s="14"/>
      <c r="L267" s="14"/>
      <c r="M267" s="14"/>
      <c r="N267" s="14"/>
      <c r="R267" s="234"/>
      <c r="S267" s="204"/>
      <c r="V267" s="185"/>
    </row>
    <row r="268" spans="1:22" ht="18" hidden="1" customHeight="1">
      <c r="A268" s="96"/>
      <c r="B268" s="14"/>
      <c r="G268" s="14"/>
      <c r="H268" s="18"/>
      <c r="I268" s="14"/>
      <c r="J268" s="14"/>
      <c r="K268" s="14"/>
      <c r="L268" s="14"/>
      <c r="M268" s="14"/>
      <c r="N268" s="14"/>
      <c r="R268" s="234"/>
      <c r="S268" s="204"/>
      <c r="V268" s="185"/>
    </row>
    <row r="269" spans="1:22" ht="18" hidden="1" customHeight="1">
      <c r="A269" s="96"/>
      <c r="B269" s="14"/>
      <c r="G269" s="14"/>
      <c r="H269" s="18"/>
      <c r="I269" s="14"/>
      <c r="J269" s="14"/>
      <c r="K269" s="14"/>
      <c r="L269" s="14"/>
      <c r="M269" s="14"/>
      <c r="N269" s="14"/>
      <c r="R269" s="234"/>
      <c r="S269" s="204"/>
      <c r="V269" s="185"/>
    </row>
    <row r="270" spans="1:22" ht="18" hidden="1" customHeight="1">
      <c r="A270" s="96"/>
      <c r="B270" s="14"/>
      <c r="G270" s="14"/>
      <c r="H270" s="18"/>
      <c r="I270" s="14"/>
      <c r="J270" s="14"/>
      <c r="K270" s="14"/>
      <c r="L270" s="14"/>
      <c r="M270" s="14"/>
      <c r="N270" s="14"/>
      <c r="R270" s="234"/>
      <c r="S270" s="204"/>
      <c r="V270" s="185"/>
    </row>
    <row r="271" spans="1:22" ht="18" hidden="1" customHeight="1">
      <c r="A271" s="96"/>
      <c r="B271" s="14"/>
      <c r="G271" s="14"/>
      <c r="H271" s="18"/>
      <c r="I271" s="14"/>
      <c r="J271" s="14"/>
      <c r="K271" s="14"/>
      <c r="L271" s="14"/>
      <c r="M271" s="14"/>
      <c r="N271" s="14"/>
      <c r="R271" s="234"/>
      <c r="S271" s="204"/>
      <c r="V271" s="185"/>
    </row>
    <row r="272" spans="1:22" ht="18" hidden="1" customHeight="1">
      <c r="A272" s="96"/>
      <c r="B272" s="14"/>
      <c r="G272" s="14"/>
      <c r="H272" s="14"/>
      <c r="I272" s="14"/>
      <c r="J272" s="14"/>
      <c r="K272" s="14"/>
      <c r="L272" s="14"/>
      <c r="M272" s="14"/>
      <c r="N272" s="14"/>
      <c r="R272" s="234"/>
      <c r="S272" s="204"/>
      <c r="V272" s="185"/>
    </row>
    <row r="273" spans="1:29" s="14" customFormat="1" ht="18" hidden="1" customHeight="1">
      <c r="A273" s="194"/>
      <c r="B273" s="195"/>
      <c r="C273" s="195"/>
      <c r="D273" s="195"/>
      <c r="E273" s="195"/>
      <c r="F273" s="195"/>
      <c r="G273" s="195"/>
      <c r="H273" s="195"/>
      <c r="I273" s="195"/>
      <c r="J273" s="195"/>
      <c r="K273" s="195"/>
      <c r="L273" s="195"/>
      <c r="M273" s="195"/>
      <c r="N273" s="195"/>
      <c r="O273" s="195"/>
      <c r="P273" s="195"/>
      <c r="Q273" s="224"/>
      <c r="R273" s="182"/>
      <c r="S273" s="225"/>
      <c r="T273" s="195"/>
      <c r="U273" s="195"/>
      <c r="V273" s="134" t="s">
        <v>552</v>
      </c>
    </row>
    <row r="274" spans="1:29" ht="18" hidden="1" customHeight="1">
      <c r="A274" s="226"/>
      <c r="B274" s="227"/>
      <c r="C274" s="227"/>
      <c r="D274" s="227"/>
      <c r="E274" s="227"/>
      <c r="F274" s="227"/>
      <c r="G274" s="227"/>
      <c r="H274" s="227"/>
      <c r="I274" s="227"/>
      <c r="J274" s="227"/>
      <c r="K274" s="227"/>
      <c r="L274" s="227"/>
      <c r="M274" s="227"/>
      <c r="N274" s="227"/>
      <c r="O274" s="227"/>
      <c r="P274" s="227"/>
      <c r="Q274" s="227"/>
      <c r="R274" s="227"/>
      <c r="S274" s="227"/>
      <c r="T274" s="227"/>
      <c r="U274" s="227"/>
      <c r="V274" s="228"/>
    </row>
    <row r="275" spans="1:29" ht="18" hidden="1" customHeight="1">
      <c r="A275" s="184"/>
      <c r="B275" s="854" t="str">
        <f>B131</f>
        <v>T1</v>
      </c>
      <c r="C275" s="831"/>
      <c r="D275" s="855" t="str">
        <f>D131</f>
        <v>Core2</v>
      </c>
      <c r="E275" s="856"/>
      <c r="F275" s="186" t="s">
        <v>631</v>
      </c>
      <c r="H275" s="684" t="str">
        <f>H131</f>
        <v>(Multi Func. Trans. Prtn + FMS + HV REF)</v>
      </c>
      <c r="I275" s="684"/>
      <c r="J275" s="684"/>
      <c r="K275" s="684"/>
      <c r="L275" s="684"/>
      <c r="M275" s="684"/>
      <c r="P275" s="186"/>
      <c r="S275" s="187" t="s">
        <v>387</v>
      </c>
      <c r="T275" s="1154" t="str">
        <f>T131</f>
        <v>7UT85</v>
      </c>
      <c r="U275" s="1155"/>
      <c r="V275" s="185"/>
    </row>
    <row r="276" spans="1:29" ht="18" hidden="1" customHeight="1">
      <c r="A276" s="184"/>
      <c r="B276" s="853">
        <f>B132</f>
        <v>0</v>
      </c>
      <c r="C276" s="853"/>
      <c r="D276" s="857"/>
      <c r="E276" s="858"/>
      <c r="F276" s="287"/>
      <c r="T276" s="1154">
        <f>T132</f>
        <v>0</v>
      </c>
      <c r="U276" s="1155"/>
      <c r="V276" s="185"/>
    </row>
    <row r="277" spans="1:29" ht="18" hidden="1" customHeight="1">
      <c r="A277" s="184"/>
      <c r="H277" s="708" t="s">
        <v>390</v>
      </c>
      <c r="I277" s="708"/>
      <c r="J277" s="708" t="s">
        <v>391</v>
      </c>
      <c r="K277" s="708"/>
      <c r="L277" s="789" t="s">
        <v>392</v>
      </c>
      <c r="M277" s="789"/>
      <c r="T277" s="1154">
        <f>T133</f>
        <v>0</v>
      </c>
      <c r="U277" s="1155"/>
      <c r="V277" s="185"/>
    </row>
    <row r="278" spans="1:29" ht="18" hidden="1" customHeight="1">
      <c r="A278" s="184"/>
      <c r="B278" s="47" t="s">
        <v>393</v>
      </c>
      <c r="H278" s="854">
        <f>H134</f>
        <v>3200</v>
      </c>
      <c r="I278" s="831"/>
      <c r="J278" s="854">
        <f>J134</f>
        <v>600</v>
      </c>
      <c r="K278" s="831"/>
      <c r="L278" s="863" t="str">
        <f>L134</f>
        <v>-</v>
      </c>
      <c r="M278" s="864"/>
      <c r="N278" s="102" t="s">
        <v>342</v>
      </c>
      <c r="O278" s="256">
        <f>O134</f>
        <v>1</v>
      </c>
      <c r="P278" s="27" t="s">
        <v>8</v>
      </c>
      <c r="V278" s="185"/>
    </row>
    <row r="279" spans="1:29" ht="18" hidden="1" customHeight="1">
      <c r="A279" s="184"/>
      <c r="B279" s="47" t="s">
        <v>394</v>
      </c>
      <c r="H279" s="14"/>
      <c r="I279" s="14"/>
      <c r="L279" s="854" t="str">
        <f>J135</f>
        <v>PX</v>
      </c>
      <c r="M279" s="776"/>
      <c r="V279" s="185"/>
    </row>
    <row r="280" spans="1:29" ht="18" hidden="1" customHeight="1">
      <c r="A280" s="184"/>
      <c r="B280" s="47" t="s">
        <v>396</v>
      </c>
      <c r="K280" s="120" t="s">
        <v>497</v>
      </c>
      <c r="L280" s="781">
        <v>3</v>
      </c>
      <c r="M280" s="782"/>
      <c r="N280" s="192" t="s">
        <v>333</v>
      </c>
      <c r="V280" s="185"/>
    </row>
    <row r="281" spans="1:29" ht="18" hidden="1" customHeight="1">
      <c r="A281" s="184"/>
      <c r="B281" s="47" t="s">
        <v>398</v>
      </c>
      <c r="K281" s="120" t="s">
        <v>498</v>
      </c>
      <c r="L281" s="781">
        <v>200</v>
      </c>
      <c r="M281" s="782"/>
      <c r="N281" s="14" t="s">
        <v>305</v>
      </c>
      <c r="V281" s="185"/>
      <c r="W281" s="30" t="s">
        <v>400</v>
      </c>
      <c r="AB281" s="785" t="e">
        <f>D336</f>
        <v>#VALUE!</v>
      </c>
      <c r="AC281" s="786"/>
    </row>
    <row r="282" spans="1:29" ht="18" hidden="1" customHeight="1">
      <c r="A282" s="184"/>
      <c r="B282" s="14" t="s">
        <v>401</v>
      </c>
      <c r="K282" s="120" t="s">
        <v>402</v>
      </c>
      <c r="L282" s="781">
        <v>50</v>
      </c>
      <c r="M282" s="782"/>
      <c r="N282" s="30" t="s">
        <v>403</v>
      </c>
      <c r="V282" s="185"/>
    </row>
    <row r="283" spans="1:29" ht="18" hidden="1" customHeight="1">
      <c r="A283" s="96"/>
      <c r="V283" s="185"/>
    </row>
    <row r="284" spans="1:29" ht="18" hidden="1" customHeight="1">
      <c r="A284" s="193" t="s">
        <v>404</v>
      </c>
      <c r="V284" s="185"/>
    </row>
    <row r="285" spans="1:29" ht="18" hidden="1" customHeight="1">
      <c r="A285" s="184"/>
      <c r="V285" s="185"/>
    </row>
    <row r="286" spans="1:29" ht="18" hidden="1" customHeight="1">
      <c r="A286" s="184"/>
      <c r="B286" s="194" t="s">
        <v>405</v>
      </c>
      <c r="C286" s="195"/>
      <c r="D286" s="195" t="str">
        <f>T275</f>
        <v>7UT85</v>
      </c>
      <c r="E286" s="196"/>
      <c r="F286" s="196"/>
      <c r="G286" s="196"/>
      <c r="H286" s="182" t="s">
        <v>406</v>
      </c>
      <c r="I286" s="183" t="s">
        <v>127</v>
      </c>
      <c r="J286" s="766">
        <f>J142</f>
        <v>0.1</v>
      </c>
      <c r="K286" s="958"/>
      <c r="L286" s="3" t="s">
        <v>157</v>
      </c>
      <c r="V286" s="185"/>
    </row>
    <row r="287" spans="1:29" ht="18" hidden="1" customHeight="1">
      <c r="A287" s="184"/>
      <c r="B287" s="184" t="s">
        <v>405</v>
      </c>
      <c r="D287" s="30">
        <f>T276</f>
        <v>0</v>
      </c>
      <c r="H287" s="27"/>
      <c r="I287" s="177" t="s">
        <v>127</v>
      </c>
      <c r="J287" s="861">
        <f>J143</f>
        <v>0</v>
      </c>
      <c r="K287" s="989"/>
      <c r="L287" s="198" t="s">
        <v>157</v>
      </c>
      <c r="V287" s="185"/>
    </row>
    <row r="288" spans="1:29" ht="18" hidden="1" customHeight="1">
      <c r="A288" s="184"/>
      <c r="B288" s="184" t="s">
        <v>405</v>
      </c>
      <c r="D288" s="30">
        <f>T277</f>
        <v>0</v>
      </c>
      <c r="E288" s="14"/>
      <c r="G288" s="199"/>
      <c r="H288" s="27"/>
      <c r="I288" s="177" t="s">
        <v>127</v>
      </c>
      <c r="J288" s="696">
        <f>J144</f>
        <v>0</v>
      </c>
      <c r="K288" s="820"/>
      <c r="L288" s="202" t="s">
        <v>157</v>
      </c>
      <c r="V288" s="185"/>
    </row>
    <row r="289" spans="1:22" ht="18" hidden="1" customHeight="1">
      <c r="A289" s="184"/>
      <c r="B289" s="184" t="s">
        <v>412</v>
      </c>
      <c r="H289" s="27" t="s">
        <v>599</v>
      </c>
      <c r="I289" s="177" t="s">
        <v>127</v>
      </c>
      <c r="J289" s="861">
        <f>J145</f>
        <v>1.0770224400000001</v>
      </c>
      <c r="K289" s="989"/>
      <c r="L289" s="203" t="s">
        <v>157</v>
      </c>
      <c r="V289" s="185"/>
    </row>
    <row r="290" spans="1:22" ht="18" hidden="1" customHeight="1">
      <c r="A290" s="184"/>
      <c r="B290" s="205" t="s">
        <v>413</v>
      </c>
      <c r="C290" s="206"/>
      <c r="D290" s="206"/>
      <c r="E290" s="206"/>
      <c r="F290" s="207"/>
      <c r="G290" s="207"/>
      <c r="H290" s="190" t="s">
        <v>409</v>
      </c>
      <c r="I290" s="208" t="s">
        <v>127</v>
      </c>
      <c r="J290" s="766">
        <f>J287+J289</f>
        <v>1.0770224400000001</v>
      </c>
      <c r="K290" s="958"/>
      <c r="L290" s="210" t="s">
        <v>157</v>
      </c>
      <c r="V290" s="185"/>
    </row>
    <row r="291" spans="1:22" ht="18" hidden="1" customHeight="1">
      <c r="A291" s="184"/>
      <c r="B291" s="47"/>
      <c r="C291" s="47"/>
      <c r="D291" s="47"/>
      <c r="E291" s="47"/>
      <c r="H291" s="27"/>
      <c r="I291" s="28"/>
      <c r="J291" s="199"/>
      <c r="L291" s="47"/>
      <c r="O291" s="27"/>
      <c r="P291" s="211"/>
      <c r="Q291" s="211"/>
      <c r="R291" s="192"/>
      <c r="V291" s="185"/>
    </row>
    <row r="292" spans="1:22" ht="18" hidden="1" customHeight="1">
      <c r="A292" s="184"/>
      <c r="B292" s="197" t="s">
        <v>648</v>
      </c>
      <c r="L292" s="47"/>
      <c r="M292" s="197" t="s">
        <v>407</v>
      </c>
      <c r="V292" s="185"/>
    </row>
    <row r="293" spans="1:22" ht="18" hidden="1" customHeight="1">
      <c r="A293" s="184"/>
      <c r="B293" s="27" t="s">
        <v>649</v>
      </c>
      <c r="C293" s="27" t="s">
        <v>127</v>
      </c>
      <c r="D293" s="30" t="s">
        <v>406</v>
      </c>
      <c r="E293" s="271" t="s">
        <v>410</v>
      </c>
      <c r="F293" s="27" t="s">
        <v>146</v>
      </c>
      <c r="G293" s="28" t="s">
        <v>315</v>
      </c>
      <c r="H293" s="218" t="s">
        <v>146</v>
      </c>
      <c r="I293" s="30" t="s">
        <v>350</v>
      </c>
      <c r="J293" s="199"/>
      <c r="L293" s="47"/>
      <c r="M293" s="30" t="s">
        <v>408</v>
      </c>
      <c r="N293" s="27" t="s">
        <v>127</v>
      </c>
      <c r="O293" s="30" t="s">
        <v>409</v>
      </c>
      <c r="P293" s="191" t="s">
        <v>410</v>
      </c>
      <c r="Q293" s="244" t="s">
        <v>411</v>
      </c>
      <c r="R293" s="27" t="s">
        <v>315</v>
      </c>
      <c r="S293" s="30" t="s">
        <v>411</v>
      </c>
      <c r="T293" s="30" t="s">
        <v>350</v>
      </c>
      <c r="V293" s="185"/>
    </row>
    <row r="294" spans="1:22" ht="18" hidden="1" customHeight="1">
      <c r="A294" s="184"/>
      <c r="B294" s="47"/>
      <c r="C294" s="27" t="s">
        <v>127</v>
      </c>
      <c r="D294" s="204">
        <f>J286</f>
        <v>0.1</v>
      </c>
      <c r="E294" s="191" t="s">
        <v>410</v>
      </c>
      <c r="F294" s="27">
        <f>F150</f>
        <v>1</v>
      </c>
      <c r="G294" s="27" t="s">
        <v>315</v>
      </c>
      <c r="H294" s="27">
        <f>H150</f>
        <v>1</v>
      </c>
      <c r="I294" s="30" t="s">
        <v>350</v>
      </c>
      <c r="J294" s="199"/>
      <c r="L294" s="47"/>
      <c r="N294" s="27" t="s">
        <v>127</v>
      </c>
      <c r="O294" s="204">
        <f>J290</f>
        <v>1.0770224400000001</v>
      </c>
      <c r="P294" s="191" t="s">
        <v>410</v>
      </c>
      <c r="Q294" s="27">
        <f>O278</f>
        <v>1</v>
      </c>
      <c r="R294" s="27" t="s">
        <v>315</v>
      </c>
      <c r="S294" s="27">
        <f>O278</f>
        <v>1</v>
      </c>
      <c r="T294" s="30" t="s">
        <v>350</v>
      </c>
      <c r="V294" s="185"/>
    </row>
    <row r="295" spans="1:22" ht="18" hidden="1" customHeight="1">
      <c r="A295" s="184"/>
      <c r="B295" s="47"/>
      <c r="C295" s="27" t="s">
        <v>127</v>
      </c>
      <c r="D295" s="795">
        <f>D294/(F294*H294)</f>
        <v>0.1</v>
      </c>
      <c r="E295" s="795"/>
      <c r="F295" s="192" t="s">
        <v>333</v>
      </c>
      <c r="J295" s="199"/>
      <c r="L295" s="47"/>
      <c r="N295" s="27" t="s">
        <v>127</v>
      </c>
      <c r="O295" s="795">
        <f>O294/(Q294*S294)</f>
        <v>1.0770224400000001</v>
      </c>
      <c r="P295" s="795"/>
      <c r="Q295" s="192" t="s">
        <v>333</v>
      </c>
      <c r="V295" s="185"/>
    </row>
    <row r="296" spans="1:22" ht="18" hidden="1" customHeight="1">
      <c r="A296" s="184"/>
      <c r="B296" s="47"/>
      <c r="C296" s="47"/>
      <c r="D296" s="47"/>
      <c r="E296" s="47"/>
      <c r="H296" s="27"/>
      <c r="I296" s="28"/>
      <c r="J296" s="199"/>
      <c r="L296" s="47"/>
      <c r="O296" s="27"/>
      <c r="P296" s="211"/>
      <c r="Q296" s="211"/>
      <c r="R296" s="192"/>
      <c r="V296" s="185"/>
    </row>
    <row r="297" spans="1:22" ht="18" hidden="1" customHeight="1">
      <c r="A297" s="184"/>
      <c r="B297" s="47" t="s">
        <v>668</v>
      </c>
      <c r="C297" s="47"/>
      <c r="D297" s="47"/>
      <c r="E297" s="47"/>
      <c r="H297" s="27"/>
      <c r="I297" s="28"/>
      <c r="J297" s="199"/>
      <c r="L297" s="28" t="s">
        <v>127</v>
      </c>
      <c r="M297" s="795">
        <f>D295</f>
        <v>0.1</v>
      </c>
      <c r="N297" s="795"/>
      <c r="O297" s="27" t="s">
        <v>347</v>
      </c>
      <c r="P297" s="795">
        <f>O295</f>
        <v>1.0770224400000001</v>
      </c>
      <c r="Q297" s="795"/>
      <c r="R297" s="211" t="s">
        <v>127</v>
      </c>
      <c r="S297" s="795">
        <f>M297+P297</f>
        <v>1.1770224400000002</v>
      </c>
      <c r="T297" s="795"/>
      <c r="U297" s="192" t="s">
        <v>333</v>
      </c>
      <c r="V297" s="185"/>
    </row>
    <row r="298" spans="1:22" s="14" customFormat="1" ht="18" hidden="1" customHeight="1">
      <c r="A298" s="193" t="s">
        <v>600</v>
      </c>
      <c r="B298" s="5"/>
      <c r="C298" s="5"/>
      <c r="D298" s="5"/>
      <c r="E298" s="5"/>
      <c r="F298" s="5"/>
      <c r="G298" s="5"/>
      <c r="H298" s="212"/>
      <c r="I298" s="212"/>
      <c r="J298" s="5"/>
      <c r="K298" s="5"/>
      <c r="L298" s="5"/>
      <c r="M298" s="5"/>
      <c r="N298" s="5"/>
      <c r="O298" s="5"/>
      <c r="P298" s="103"/>
      <c r="Q298" s="212"/>
      <c r="R298" s="213"/>
      <c r="S298" s="214"/>
      <c r="T298" s="18"/>
      <c r="U298" s="18"/>
      <c r="V298" s="97"/>
    </row>
    <row r="299" spans="1:22" s="14" customFormat="1" ht="18" hidden="1" customHeight="1">
      <c r="A299" s="96"/>
      <c r="B299" s="47" t="s">
        <v>601</v>
      </c>
      <c r="C299" s="5"/>
      <c r="D299" s="5"/>
      <c r="E299" s="5"/>
      <c r="I299" s="215"/>
      <c r="M299" s="5"/>
      <c r="N299" s="103" t="s">
        <v>127</v>
      </c>
      <c r="O299" s="1154">
        <f>O155</f>
        <v>100</v>
      </c>
      <c r="P299" s="831"/>
      <c r="Q299" s="14" t="s">
        <v>602</v>
      </c>
      <c r="S299" s="214"/>
      <c r="T299" s="18"/>
      <c r="U299" s="18"/>
      <c r="V299" s="97"/>
    </row>
    <row r="300" spans="1:22" s="14" customFormat="1" ht="18" hidden="1" customHeight="1">
      <c r="A300" s="96"/>
      <c r="B300" s="47" t="s">
        <v>603</v>
      </c>
      <c r="C300" s="5"/>
      <c r="D300" s="5"/>
      <c r="E300" s="5"/>
      <c r="I300" s="215"/>
      <c r="M300" s="5"/>
      <c r="N300" s="103" t="s">
        <v>127</v>
      </c>
      <c r="O300" s="1154">
        <f>O156</f>
        <v>25</v>
      </c>
      <c r="P300" s="831"/>
      <c r="Q300" s="14" t="s">
        <v>604</v>
      </c>
      <c r="S300" s="214"/>
      <c r="T300" s="18"/>
      <c r="U300" s="18"/>
      <c r="V300" s="97"/>
    </row>
    <row r="301" spans="1:22" s="14" customFormat="1" ht="18" hidden="1" customHeight="1">
      <c r="A301" s="96"/>
      <c r="B301" s="47" t="s">
        <v>605</v>
      </c>
      <c r="C301" s="5"/>
      <c r="D301" s="5"/>
      <c r="E301" s="5"/>
      <c r="M301" s="120" t="s">
        <v>606</v>
      </c>
      <c r="N301" s="103" t="s">
        <v>607</v>
      </c>
      <c r="O301" s="1154">
        <f>O157</f>
        <v>132</v>
      </c>
      <c r="P301" s="831"/>
      <c r="Q301" s="14" t="s">
        <v>163</v>
      </c>
      <c r="S301" s="214"/>
      <c r="T301" s="18"/>
      <c r="U301" s="18"/>
      <c r="V301" s="97"/>
    </row>
    <row r="302" spans="1:22" s="14" customFormat="1" ht="18" hidden="1" customHeight="1">
      <c r="A302" s="216"/>
      <c r="B302" s="212"/>
      <c r="C302" s="212"/>
      <c r="D302" s="212"/>
      <c r="E302" s="212"/>
      <c r="T302" s="18"/>
      <c r="U302" s="18"/>
      <c r="V302" s="97"/>
    </row>
    <row r="303" spans="1:22" s="14" customFormat="1" ht="18" hidden="1" customHeight="1">
      <c r="A303" s="272" t="s">
        <v>608</v>
      </c>
      <c r="B303" s="213"/>
      <c r="C303" s="213"/>
      <c r="D303" s="213"/>
      <c r="E303" s="213"/>
      <c r="H303" s="120" t="s">
        <v>609</v>
      </c>
      <c r="I303" s="28" t="s">
        <v>127</v>
      </c>
      <c r="J303" s="689" t="s">
        <v>610</v>
      </c>
      <c r="K303" s="689"/>
      <c r="L303" s="28" t="s">
        <v>315</v>
      </c>
      <c r="M303" s="217">
        <v>1000</v>
      </c>
      <c r="N303" s="102" t="s">
        <v>342</v>
      </c>
      <c r="O303" s="28" t="s">
        <v>611</v>
      </c>
      <c r="P303" s="28" t="s">
        <v>315</v>
      </c>
      <c r="Q303" s="28" t="s">
        <v>606</v>
      </c>
      <c r="R303" s="47" t="s">
        <v>350</v>
      </c>
      <c r="T303" s="18"/>
      <c r="U303" s="18"/>
      <c r="V303" s="97"/>
    </row>
    <row r="304" spans="1:22" s="14" customFormat="1" ht="18" hidden="1" customHeight="1">
      <c r="A304" s="216"/>
      <c r="B304" s="213"/>
      <c r="C304" s="213"/>
      <c r="D304" s="213"/>
      <c r="E304" s="213"/>
      <c r="F304" s="212"/>
      <c r="G304" s="212"/>
      <c r="H304" s="28"/>
      <c r="I304" s="28" t="s">
        <v>127</v>
      </c>
      <c r="J304" s="689">
        <f>O299</f>
        <v>100</v>
      </c>
      <c r="K304" s="689"/>
      <c r="L304" s="28" t="s">
        <v>315</v>
      </c>
      <c r="M304" s="217">
        <v>1000</v>
      </c>
      <c r="N304" s="102" t="s">
        <v>342</v>
      </c>
      <c r="O304" s="28" t="s">
        <v>611</v>
      </c>
      <c r="P304" s="28" t="s">
        <v>315</v>
      </c>
      <c r="Q304" s="28">
        <f>O301</f>
        <v>132</v>
      </c>
      <c r="R304" s="47" t="s">
        <v>350</v>
      </c>
      <c r="T304" s="18"/>
      <c r="U304" s="18"/>
      <c r="V304" s="97"/>
    </row>
    <row r="305" spans="1:22" s="14" customFormat="1" ht="18" hidden="1" customHeight="1">
      <c r="A305" s="216"/>
      <c r="B305" s="212"/>
      <c r="C305" s="212"/>
      <c r="D305" s="212"/>
      <c r="E305" s="212"/>
      <c r="F305" s="212"/>
      <c r="G305" s="212"/>
      <c r="I305" s="28" t="s">
        <v>127</v>
      </c>
      <c r="J305" s="692">
        <f>(O299*1000)/(SQRT(3)*O301)</f>
        <v>437.38656756789834</v>
      </c>
      <c r="K305" s="692"/>
      <c r="L305" s="14" t="s">
        <v>8</v>
      </c>
      <c r="M305" s="120"/>
      <c r="N305" s="120"/>
      <c r="O305" s="120"/>
      <c r="T305" s="18"/>
      <c r="U305" s="18"/>
      <c r="V305" s="97"/>
    </row>
    <row r="306" spans="1:22" s="14" customFormat="1" ht="18" hidden="1" customHeight="1">
      <c r="A306" s="216"/>
      <c r="B306" s="212"/>
      <c r="C306" s="212"/>
      <c r="D306" s="212"/>
      <c r="E306" s="212"/>
      <c r="G306" s="212"/>
      <c r="H306" s="28"/>
      <c r="I306" s="103"/>
      <c r="J306" s="28"/>
      <c r="M306" s="212"/>
      <c r="N306" s="219"/>
      <c r="O306" s="212"/>
      <c r="T306" s="18"/>
      <c r="U306" s="18"/>
      <c r="V306" s="97"/>
    </row>
    <row r="307" spans="1:22" s="14" customFormat="1" ht="18" hidden="1" customHeight="1">
      <c r="A307" s="147" t="s">
        <v>629</v>
      </c>
      <c r="B307" s="5"/>
      <c r="C307" s="5"/>
      <c r="D307" s="5"/>
      <c r="E307" s="5"/>
      <c r="F307" s="212"/>
      <c r="G307" s="212"/>
      <c r="H307" s="5"/>
      <c r="I307" s="5"/>
      <c r="J307" s="5"/>
      <c r="K307" s="5"/>
      <c r="L307" s="103"/>
      <c r="M307" s="103"/>
      <c r="N307" s="103"/>
      <c r="O307" s="103"/>
      <c r="P307" s="212"/>
      <c r="Q307" s="213"/>
      <c r="S307" s="220"/>
      <c r="T307" s="18"/>
      <c r="U307" s="18"/>
      <c r="V307" s="97"/>
    </row>
    <row r="308" spans="1:22" s="14" customFormat="1" ht="18" hidden="1" customHeight="1">
      <c r="A308" s="147"/>
      <c r="B308" s="5"/>
      <c r="C308" s="5"/>
      <c r="D308" s="5"/>
      <c r="E308" s="5"/>
      <c r="F308" s="212"/>
      <c r="G308" s="212"/>
      <c r="H308" s="5"/>
      <c r="I308" s="5"/>
      <c r="J308" s="5"/>
      <c r="K308" s="5"/>
      <c r="L308" s="103"/>
      <c r="M308" s="103"/>
      <c r="N308" s="103"/>
      <c r="O308" s="103"/>
      <c r="P308" s="212"/>
      <c r="Q308" s="213"/>
      <c r="S308" s="214"/>
      <c r="T308" s="18"/>
      <c r="U308" s="18"/>
      <c r="V308" s="97"/>
    </row>
    <row r="309" spans="1:22" ht="18" hidden="1" customHeight="1">
      <c r="A309" s="96" t="s">
        <v>632</v>
      </c>
      <c r="B309" s="14"/>
      <c r="C309" s="14"/>
      <c r="D309" s="14"/>
      <c r="E309" s="14"/>
      <c r="M309" s="120" t="s">
        <v>613</v>
      </c>
      <c r="N309" s="28" t="s">
        <v>127</v>
      </c>
      <c r="O309" s="689" t="s">
        <v>609</v>
      </c>
      <c r="P309" s="716"/>
      <c r="Q309" s="221" t="s">
        <v>630</v>
      </c>
      <c r="R309" s="221">
        <v>16</v>
      </c>
      <c r="S309" s="214"/>
      <c r="V309" s="185"/>
    </row>
    <row r="310" spans="1:22" ht="18" hidden="1" customHeight="1">
      <c r="A310" s="96"/>
      <c r="B310" s="5"/>
      <c r="C310" s="5"/>
      <c r="D310" s="5"/>
      <c r="E310" s="5"/>
      <c r="M310" s="250"/>
      <c r="N310" s="28" t="s">
        <v>127</v>
      </c>
      <c r="O310" s="689">
        <f>+J305</f>
        <v>437.38656756789834</v>
      </c>
      <c r="P310" s="716"/>
      <c r="Q310" s="221" t="s">
        <v>630</v>
      </c>
      <c r="R310" s="221">
        <v>16</v>
      </c>
      <c r="S310" s="214"/>
      <c r="V310" s="185"/>
    </row>
    <row r="311" spans="1:22" ht="18" hidden="1" customHeight="1">
      <c r="A311" s="96"/>
      <c r="B311" s="5"/>
      <c r="C311" s="5"/>
      <c r="D311" s="5"/>
      <c r="E311" s="5"/>
      <c r="M311" s="120" t="s">
        <v>613</v>
      </c>
      <c r="N311" s="28" t="s">
        <v>127</v>
      </c>
      <c r="O311" s="689">
        <f>O310*R310</f>
        <v>6998.1850810863734</v>
      </c>
      <c r="P311" s="716"/>
      <c r="Q311" s="241" t="s">
        <v>8</v>
      </c>
      <c r="R311" s="14"/>
      <c r="S311" s="214"/>
      <c r="V311" s="185"/>
    </row>
    <row r="312" spans="1:22" ht="18" hidden="1" customHeight="1">
      <c r="A312" s="96"/>
      <c r="B312" s="5"/>
      <c r="C312" s="5"/>
      <c r="D312" s="5"/>
      <c r="E312" s="5"/>
      <c r="M312" s="120"/>
      <c r="N312" s="28"/>
      <c r="O312" s="28"/>
      <c r="P312" s="14"/>
      <c r="Q312" s="241"/>
      <c r="R312" s="14"/>
      <c r="S312" s="214"/>
      <c r="V312" s="185"/>
    </row>
    <row r="313" spans="1:22" ht="18" hidden="1" customHeight="1">
      <c r="A313" s="96"/>
      <c r="B313" s="5"/>
      <c r="C313" s="5"/>
      <c r="D313" s="5"/>
      <c r="E313" s="5"/>
      <c r="M313" s="120"/>
      <c r="N313" s="28"/>
      <c r="O313" s="28"/>
      <c r="P313" s="14"/>
      <c r="Q313" s="241"/>
      <c r="R313" s="14"/>
      <c r="S313" s="214"/>
      <c r="V313" s="185"/>
    </row>
    <row r="314" spans="1:22" ht="18" hidden="1" customHeight="1">
      <c r="A314" s="96"/>
      <c r="B314" s="5"/>
      <c r="C314" s="5"/>
      <c r="D314" s="5"/>
      <c r="E314" s="5"/>
      <c r="M314" s="120"/>
      <c r="N314" s="28"/>
      <c r="O314" s="28"/>
      <c r="P314" s="14"/>
      <c r="Q314" s="241"/>
      <c r="R314" s="14"/>
      <c r="S314" s="214"/>
      <c r="V314" s="185"/>
    </row>
    <row r="315" spans="1:22" ht="18" hidden="1" customHeight="1">
      <c r="A315" s="96"/>
      <c r="B315" s="5"/>
      <c r="C315" s="5"/>
      <c r="D315" s="5"/>
      <c r="E315" s="5"/>
      <c r="M315" s="120"/>
      <c r="N315" s="28"/>
      <c r="O315" s="28"/>
      <c r="P315" s="14"/>
      <c r="Q315" s="241"/>
      <c r="R315" s="14"/>
      <c r="S315" s="214"/>
      <c r="V315" s="185"/>
    </row>
    <row r="316" spans="1:22" ht="18" hidden="1" customHeight="1">
      <c r="A316" s="96"/>
      <c r="B316" s="5"/>
      <c r="C316" s="5"/>
      <c r="D316" s="5"/>
      <c r="E316" s="5"/>
      <c r="M316" s="120"/>
      <c r="N316" s="28"/>
      <c r="O316" s="28"/>
      <c r="P316" s="14"/>
      <c r="Q316" s="241"/>
      <c r="R316" s="14"/>
      <c r="S316" s="214"/>
      <c r="V316" s="185"/>
    </row>
    <row r="317" spans="1:22" s="14" customFormat="1" ht="18" hidden="1" customHeight="1">
      <c r="A317" s="194"/>
      <c r="B317" s="195"/>
      <c r="C317" s="195"/>
      <c r="D317" s="195"/>
      <c r="E317" s="195"/>
      <c r="F317" s="195"/>
      <c r="G317" s="195"/>
      <c r="H317" s="195"/>
      <c r="I317" s="195"/>
      <c r="J317" s="195"/>
      <c r="K317" s="195"/>
      <c r="L317" s="195"/>
      <c r="M317" s="195"/>
      <c r="N317" s="195"/>
      <c r="O317" s="195"/>
      <c r="P317" s="195"/>
      <c r="Q317" s="224"/>
      <c r="R317" s="182"/>
      <c r="S317" s="225"/>
      <c r="T317" s="195"/>
      <c r="U317" s="195"/>
      <c r="V317" s="134" t="s">
        <v>552</v>
      </c>
    </row>
    <row r="318" spans="1:22" s="14" customFormat="1" ht="18" hidden="1" customHeight="1">
      <c r="A318" s="135"/>
      <c r="B318" s="273"/>
      <c r="C318" s="273"/>
      <c r="D318" s="273"/>
      <c r="E318" s="273"/>
      <c r="F318" s="273"/>
      <c r="G318" s="273"/>
      <c r="H318" s="273"/>
      <c r="I318" s="273"/>
      <c r="J318" s="273"/>
      <c r="K318" s="273"/>
      <c r="L318" s="273"/>
      <c r="M318" s="273"/>
      <c r="N318" s="273"/>
      <c r="O318" s="273"/>
      <c r="P318" s="273"/>
      <c r="Q318" s="274"/>
      <c r="R318" s="138"/>
      <c r="S318" s="275"/>
      <c r="T318" s="273"/>
      <c r="U318" s="273"/>
      <c r="V318" s="276"/>
    </row>
    <row r="319" spans="1:22" ht="18" hidden="1" customHeight="1">
      <c r="A319" s="96" t="s">
        <v>686</v>
      </c>
      <c r="V319" s="185"/>
    </row>
    <row r="320" spans="1:22" ht="18" hidden="1" customHeight="1">
      <c r="A320" s="184"/>
      <c r="V320" s="185"/>
    </row>
    <row r="321" spans="1:22" s="279" customFormat="1" ht="18" hidden="1" customHeight="1">
      <c r="A321" s="277"/>
      <c r="B321" s="689" t="s">
        <v>473</v>
      </c>
      <c r="C321" s="1150" t="s">
        <v>652</v>
      </c>
      <c r="G321" s="802" t="s">
        <v>687</v>
      </c>
      <c r="H321" s="1153" t="s">
        <v>315</v>
      </c>
      <c r="I321" s="708" t="s">
        <v>688</v>
      </c>
      <c r="J321" s="1147"/>
      <c r="K321" s="1147"/>
      <c r="L321" s="1147"/>
      <c r="M321" s="1147"/>
      <c r="N321" s="689" t="s">
        <v>672</v>
      </c>
      <c r="O321" s="708" t="s">
        <v>420</v>
      </c>
      <c r="P321" s="689" t="s">
        <v>347</v>
      </c>
      <c r="Q321" s="708" t="s">
        <v>689</v>
      </c>
      <c r="R321" s="708" t="s">
        <v>674</v>
      </c>
      <c r="S321" s="708" t="s">
        <v>411</v>
      </c>
      <c r="T321" s="14"/>
      <c r="U321" s="729" t="s">
        <v>653</v>
      </c>
      <c r="V321" s="185"/>
    </row>
    <row r="322" spans="1:22" s="279" customFormat="1" ht="18" hidden="1" customHeight="1">
      <c r="A322" s="277"/>
      <c r="B322" s="689"/>
      <c r="C322" s="689"/>
      <c r="G322" s="802"/>
      <c r="H322" s="689"/>
      <c r="I322" s="689">
        <v>1.3</v>
      </c>
      <c r="J322" s="689"/>
      <c r="K322" s="28" t="s">
        <v>315</v>
      </c>
      <c r="L322" s="689" t="s">
        <v>423</v>
      </c>
      <c r="M322" s="689"/>
      <c r="N322" s="689"/>
      <c r="O322" s="689"/>
      <c r="P322" s="689"/>
      <c r="Q322" s="689"/>
      <c r="R322" s="689"/>
      <c r="S322" s="689"/>
      <c r="T322" s="14"/>
      <c r="U322" s="689"/>
      <c r="V322" s="185"/>
    </row>
    <row r="323" spans="1:22" ht="18" hidden="1" customHeight="1">
      <c r="A323" s="184"/>
      <c r="V323" s="185"/>
    </row>
    <row r="324" spans="1:22" ht="18" hidden="1" customHeight="1">
      <c r="A324" s="184"/>
      <c r="B324" s="47" t="s">
        <v>654</v>
      </c>
      <c r="C324" s="14"/>
      <c r="D324" s="14"/>
      <c r="E324" s="14"/>
      <c r="F324" s="18"/>
      <c r="G324" s="18"/>
      <c r="H324" s="14"/>
      <c r="I324" s="120"/>
      <c r="J324" s="14"/>
      <c r="K324" s="14"/>
      <c r="M324" s="14"/>
      <c r="N324" s="14"/>
      <c r="P324" s="14" t="s">
        <v>423</v>
      </c>
      <c r="R324" s="234" t="s">
        <v>127</v>
      </c>
      <c r="S324" s="684" t="str">
        <f>L278</f>
        <v>-</v>
      </c>
      <c r="T324" s="684"/>
      <c r="U324" s="30" t="s">
        <v>8</v>
      </c>
      <c r="V324" s="185"/>
    </row>
    <row r="325" spans="1:22" ht="18" hidden="1" customHeight="1">
      <c r="A325" s="184"/>
      <c r="B325" s="47" t="s">
        <v>655</v>
      </c>
      <c r="C325" s="14"/>
      <c r="D325" s="14"/>
      <c r="E325" s="14"/>
      <c r="F325" s="18"/>
      <c r="G325" s="18"/>
      <c r="H325" s="14"/>
      <c r="I325" s="120"/>
      <c r="J325" s="14"/>
      <c r="K325" s="14"/>
      <c r="M325" s="14"/>
      <c r="N325" s="14"/>
      <c r="P325" s="14" t="s">
        <v>420</v>
      </c>
      <c r="R325" s="234" t="s">
        <v>127</v>
      </c>
      <c r="S325" s="684">
        <f>L280</f>
        <v>3</v>
      </c>
      <c r="T325" s="684"/>
      <c r="U325" s="192" t="s">
        <v>333</v>
      </c>
      <c r="V325" s="185"/>
    </row>
    <row r="326" spans="1:22" ht="18" hidden="1" customHeight="1">
      <c r="A326" s="184"/>
      <c r="B326" s="47" t="s">
        <v>676</v>
      </c>
      <c r="C326" s="14"/>
      <c r="D326" s="14"/>
      <c r="E326" s="14"/>
      <c r="F326" s="18"/>
      <c r="G326" s="18"/>
      <c r="H326" s="14"/>
      <c r="I326" s="120"/>
      <c r="J326" s="14"/>
      <c r="K326" s="14"/>
      <c r="M326" s="14"/>
      <c r="N326" s="14"/>
      <c r="P326" s="14" t="s">
        <v>689</v>
      </c>
      <c r="R326" s="234" t="s">
        <v>127</v>
      </c>
      <c r="S326" s="795">
        <f>S297</f>
        <v>1.1770224400000002</v>
      </c>
      <c r="T326" s="795"/>
      <c r="U326" s="192" t="s">
        <v>333</v>
      </c>
      <c r="V326" s="185"/>
    </row>
    <row r="327" spans="1:22" ht="18" hidden="1" customHeight="1">
      <c r="A327" s="184"/>
      <c r="B327" s="47" t="s">
        <v>691</v>
      </c>
      <c r="C327" s="14"/>
      <c r="D327" s="14"/>
      <c r="E327" s="14"/>
      <c r="F327" s="14"/>
      <c r="G327" s="14"/>
      <c r="H327" s="14"/>
      <c r="I327" s="120"/>
      <c r="J327" s="14"/>
      <c r="K327" s="14"/>
      <c r="M327" s="14"/>
      <c r="N327" s="14"/>
      <c r="P327" s="14" t="s">
        <v>411</v>
      </c>
      <c r="R327" s="234" t="s">
        <v>127</v>
      </c>
      <c r="S327" s="684">
        <f>O278</f>
        <v>1</v>
      </c>
      <c r="T327" s="684"/>
      <c r="U327" s="30" t="s">
        <v>8</v>
      </c>
      <c r="V327" s="185"/>
    </row>
    <row r="328" spans="1:22" ht="18" hidden="1" customHeight="1">
      <c r="A328" s="184"/>
      <c r="B328" s="47" t="s">
        <v>678</v>
      </c>
      <c r="C328" s="14"/>
      <c r="D328" s="14"/>
      <c r="E328" s="14"/>
      <c r="F328" s="14"/>
      <c r="G328" s="14"/>
      <c r="H328" s="14"/>
      <c r="I328" s="120"/>
      <c r="J328" s="14"/>
      <c r="K328" s="14"/>
      <c r="M328" s="14"/>
      <c r="N328" s="14"/>
      <c r="P328" s="120" t="s">
        <v>688</v>
      </c>
      <c r="R328" s="234" t="s">
        <v>127</v>
      </c>
      <c r="S328" s="684">
        <f>O311</f>
        <v>6998.1850810863734</v>
      </c>
      <c r="T328" s="684"/>
      <c r="U328" s="30" t="s">
        <v>8</v>
      </c>
      <c r="V328" s="185"/>
    </row>
    <row r="329" spans="1:22" ht="18" hidden="1" customHeight="1">
      <c r="A329" s="184"/>
      <c r="B329" s="47" t="s">
        <v>692</v>
      </c>
      <c r="C329" s="14"/>
      <c r="D329" s="14"/>
      <c r="E329" s="14"/>
      <c r="F329" s="14"/>
      <c r="G329" s="14"/>
      <c r="H329" s="14"/>
      <c r="I329" s="120"/>
      <c r="J329" s="14"/>
      <c r="K329" s="14"/>
      <c r="M329" s="14"/>
      <c r="N329" s="14"/>
      <c r="P329" s="120" t="s">
        <v>680</v>
      </c>
      <c r="R329" s="234" t="s">
        <v>127</v>
      </c>
      <c r="S329" s="795">
        <f>J305</f>
        <v>437.38656756789834</v>
      </c>
      <c r="T329" s="684"/>
      <c r="U329" s="30" t="s">
        <v>8</v>
      </c>
      <c r="V329" s="185"/>
    </row>
    <row r="330" spans="1:22" ht="18" hidden="1" customHeight="1">
      <c r="A330" s="184"/>
      <c r="B330" s="47" t="s">
        <v>659</v>
      </c>
      <c r="C330" s="14"/>
      <c r="D330" s="14"/>
      <c r="E330" s="14"/>
      <c r="F330" s="14"/>
      <c r="G330" s="14"/>
      <c r="H330" s="14"/>
      <c r="I330" s="120"/>
      <c r="J330" s="14"/>
      <c r="K330" s="14"/>
      <c r="M330" s="14"/>
      <c r="N330" s="14"/>
      <c r="P330" s="120" t="s">
        <v>660</v>
      </c>
      <c r="R330" s="234" t="s">
        <v>127</v>
      </c>
      <c r="S330" s="684">
        <f>S242</f>
        <v>1</v>
      </c>
      <c r="T330" s="684"/>
      <c r="U330" s="30" t="s">
        <v>8</v>
      </c>
      <c r="V330" s="185"/>
    </row>
    <row r="331" spans="1:22" ht="18" hidden="1" customHeight="1">
      <c r="A331" s="96"/>
      <c r="B331" s="14"/>
      <c r="C331" s="14"/>
      <c r="D331" s="235"/>
      <c r="E331" s="14"/>
      <c r="F331" s="28"/>
      <c r="G331" s="249"/>
      <c r="H331" s="28"/>
      <c r="I331" s="251"/>
      <c r="J331" s="14"/>
      <c r="K331" s="280"/>
      <c r="M331" s="47"/>
      <c r="N331" s="268"/>
      <c r="P331" s="281"/>
      <c r="R331" s="234"/>
      <c r="S331" s="1148"/>
      <c r="T331" s="723"/>
      <c r="V331" s="185"/>
    </row>
    <row r="332" spans="1:22" ht="18" hidden="1" customHeight="1">
      <c r="A332" s="272" t="s">
        <v>693</v>
      </c>
      <c r="B332" s="14"/>
      <c r="C332" s="14"/>
      <c r="D332" s="14"/>
      <c r="E332" s="14"/>
      <c r="F332" s="14"/>
      <c r="G332" s="14"/>
      <c r="H332" s="28">
        <v>3</v>
      </c>
      <c r="I332" s="47" t="s">
        <v>694</v>
      </c>
      <c r="J332" s="14"/>
      <c r="K332" s="14"/>
      <c r="M332" s="14" t="s">
        <v>337</v>
      </c>
      <c r="N332" s="14"/>
      <c r="P332" s="120"/>
      <c r="R332" s="234"/>
      <c r="S332" s="1149"/>
      <c r="T332" s="723"/>
      <c r="V332" s="185"/>
    </row>
    <row r="333" spans="1:22" ht="18" hidden="1" customHeight="1">
      <c r="A333" s="272"/>
      <c r="B333" s="14"/>
      <c r="C333" s="14"/>
      <c r="D333" s="14"/>
      <c r="E333" s="14"/>
      <c r="F333" s="14"/>
      <c r="G333" s="14"/>
      <c r="H333" s="28"/>
      <c r="I333" s="47"/>
      <c r="J333" s="14"/>
      <c r="K333" s="14"/>
      <c r="M333" s="14"/>
      <c r="N333" s="14"/>
      <c r="P333" s="120"/>
      <c r="R333" s="234"/>
      <c r="S333" s="282"/>
      <c r="V333" s="185"/>
    </row>
    <row r="334" spans="1:22" s="279" customFormat="1" ht="18" hidden="1" customHeight="1">
      <c r="A334" s="277"/>
      <c r="B334" s="689" t="s">
        <v>703</v>
      </c>
      <c r="C334" s="1150" t="s">
        <v>652</v>
      </c>
      <c r="G334" s="802">
        <f>H332</f>
        <v>3</v>
      </c>
      <c r="H334" s="1151" t="s">
        <v>315</v>
      </c>
      <c r="I334" s="829">
        <f>S328</f>
        <v>6998.1850810863734</v>
      </c>
      <c r="J334" s="1152"/>
      <c r="K334" s="1152"/>
      <c r="L334" s="1152"/>
      <c r="M334" s="1152"/>
      <c r="N334" s="689" t="s">
        <v>672</v>
      </c>
      <c r="O334" s="708">
        <f>S325</f>
        <v>3</v>
      </c>
      <c r="P334" s="689" t="s">
        <v>347</v>
      </c>
      <c r="Q334" s="829">
        <f>S326</f>
        <v>1.1770224400000002</v>
      </c>
      <c r="R334" s="708" t="s">
        <v>674</v>
      </c>
      <c r="S334" s="708">
        <f>S327</f>
        <v>1</v>
      </c>
      <c r="T334" s="14"/>
      <c r="U334" s="729" t="s">
        <v>653</v>
      </c>
      <c r="V334" s="185"/>
    </row>
    <row r="335" spans="1:22" s="279" customFormat="1" ht="18" hidden="1" customHeight="1">
      <c r="A335" s="277"/>
      <c r="B335" s="689"/>
      <c r="C335" s="689"/>
      <c r="G335" s="802"/>
      <c r="H335" s="684"/>
      <c r="I335" s="689">
        <v>1.3</v>
      </c>
      <c r="J335" s="684"/>
      <c r="K335" s="28" t="s">
        <v>315</v>
      </c>
      <c r="L335" s="689" t="str">
        <f>S324</f>
        <v>-</v>
      </c>
      <c r="M335" s="684"/>
      <c r="N335" s="689"/>
      <c r="O335" s="689"/>
      <c r="P335" s="689"/>
      <c r="Q335" s="689"/>
      <c r="R335" s="689"/>
      <c r="S335" s="689"/>
      <c r="T335" s="14"/>
      <c r="U335" s="689"/>
      <c r="V335" s="185"/>
    </row>
    <row r="336" spans="1:22" ht="18" hidden="1" customHeight="1">
      <c r="A336" s="96"/>
      <c r="B336" s="14"/>
      <c r="C336" s="27" t="s">
        <v>127</v>
      </c>
      <c r="D336" s="812" t="e">
        <f>G334*(I334/(I335*L335)*(O334+Q334)*S334)</f>
        <v>#VALUE!</v>
      </c>
      <c r="E336" s="813"/>
      <c r="F336" s="30" t="s">
        <v>305</v>
      </c>
      <c r="G336" s="14"/>
      <c r="H336" s="14"/>
      <c r="I336" s="14"/>
      <c r="J336" s="14"/>
      <c r="K336" s="14"/>
      <c r="L336" s="14"/>
      <c r="M336" s="14"/>
      <c r="N336" s="14"/>
      <c r="R336" s="234"/>
      <c r="S336" s="204"/>
      <c r="V336" s="185"/>
    </row>
    <row r="337" spans="1:22" ht="18" hidden="1" customHeight="1">
      <c r="A337" s="96"/>
      <c r="B337" s="14"/>
      <c r="G337" s="14"/>
      <c r="H337" s="14"/>
      <c r="I337" s="14"/>
      <c r="J337" s="14"/>
      <c r="K337" s="14"/>
      <c r="L337" s="14"/>
      <c r="M337" s="14"/>
      <c r="N337" s="14"/>
      <c r="R337" s="234"/>
      <c r="S337" s="204"/>
      <c r="V337" s="185"/>
    </row>
    <row r="338" spans="1:22" ht="18" hidden="1" customHeight="1">
      <c r="A338" s="96"/>
      <c r="B338" s="14"/>
      <c r="D338" s="30" t="s">
        <v>475</v>
      </c>
      <c r="G338" s="27" t="e">
        <f>IF(E339&gt;H339,"&gt;","&lt;")</f>
        <v>#VALUE!</v>
      </c>
      <c r="H338" s="30" t="s">
        <v>477</v>
      </c>
      <c r="M338" s="14"/>
      <c r="N338" s="14"/>
      <c r="R338" s="234"/>
      <c r="S338" s="204"/>
      <c r="V338" s="185"/>
    </row>
    <row r="339" spans="1:22" ht="18" hidden="1" customHeight="1">
      <c r="A339" s="96"/>
      <c r="B339" s="14"/>
      <c r="E339" s="684">
        <f>L281</f>
        <v>200</v>
      </c>
      <c r="F339" s="684"/>
      <c r="G339" s="27" t="e">
        <f>G338</f>
        <v>#VALUE!</v>
      </c>
      <c r="H339" s="795" t="e">
        <f>D336</f>
        <v>#VALUE!</v>
      </c>
      <c r="I339" s="684"/>
      <c r="M339" s="14"/>
      <c r="N339" s="14"/>
      <c r="R339" s="234"/>
      <c r="S339" s="204"/>
      <c r="V339" s="185"/>
    </row>
    <row r="340" spans="1:22" ht="18" hidden="1" customHeight="1">
      <c r="A340" s="96"/>
      <c r="B340" s="14"/>
      <c r="F340" s="244" t="s">
        <v>478</v>
      </c>
      <c r="H340" s="18" t="e">
        <f>IF(G338="&gt;","Suitably Dimentioned","Under Dimentioned")</f>
        <v>#VALUE!</v>
      </c>
      <c r="M340" s="14"/>
      <c r="N340" s="14"/>
      <c r="R340" s="234"/>
      <c r="S340" s="204"/>
      <c r="V340" s="185"/>
    </row>
    <row r="341" spans="1:22" ht="18" hidden="1" customHeight="1">
      <c r="A341" s="96"/>
      <c r="B341" s="14"/>
      <c r="G341" s="14"/>
      <c r="H341" s="14"/>
      <c r="I341" s="14"/>
      <c r="J341" s="14"/>
      <c r="K341" s="14"/>
      <c r="L341" s="14"/>
      <c r="M341" s="14"/>
      <c r="N341" s="14"/>
      <c r="R341" s="234"/>
      <c r="S341" s="204"/>
      <c r="V341" s="185"/>
    </row>
    <row r="342" spans="1:22" ht="18" hidden="1" customHeight="1">
      <c r="A342" s="193" t="s">
        <v>695</v>
      </c>
      <c r="B342" s="14"/>
      <c r="G342" s="14"/>
      <c r="H342" s="14"/>
      <c r="I342" s="14"/>
      <c r="J342" s="14"/>
      <c r="K342" s="14"/>
      <c r="L342" s="14"/>
      <c r="M342" s="14"/>
      <c r="N342" s="14"/>
      <c r="R342" s="234"/>
      <c r="S342" s="204"/>
      <c r="V342" s="185"/>
    </row>
    <row r="343" spans="1:22" ht="18" hidden="1" customHeight="1">
      <c r="A343" s="96"/>
      <c r="B343" s="14"/>
      <c r="D343" s="802" t="s">
        <v>696</v>
      </c>
      <c r="E343" s="716"/>
      <c r="F343" s="689" t="s">
        <v>127</v>
      </c>
      <c r="G343" s="708" t="s">
        <v>423</v>
      </c>
      <c r="H343" s="1147"/>
      <c r="I343" s="689" t="s">
        <v>315</v>
      </c>
      <c r="J343" s="708" t="s">
        <v>697</v>
      </c>
      <c r="K343" s="1147"/>
      <c r="L343" s="14"/>
      <c r="M343" s="14"/>
      <c r="N343" s="14"/>
      <c r="R343" s="234"/>
      <c r="S343" s="204"/>
      <c r="V343" s="185"/>
    </row>
    <row r="344" spans="1:22" ht="18" hidden="1" customHeight="1">
      <c r="A344" s="96"/>
      <c r="B344" s="14"/>
      <c r="D344" s="716"/>
      <c r="E344" s="716"/>
      <c r="F344" s="689"/>
      <c r="G344" s="689" t="s">
        <v>680</v>
      </c>
      <c r="H344" s="716"/>
      <c r="I344" s="689"/>
      <c r="J344" s="689" t="s">
        <v>411</v>
      </c>
      <c r="K344" s="716"/>
      <c r="L344" s="14"/>
      <c r="M344" s="14"/>
      <c r="N344" s="14"/>
      <c r="R344" s="234"/>
      <c r="S344" s="204"/>
      <c r="V344" s="185"/>
    </row>
    <row r="345" spans="1:22" ht="18" hidden="1" customHeight="1">
      <c r="A345" s="96"/>
      <c r="B345" s="14"/>
      <c r="D345" s="14"/>
      <c r="E345" s="14"/>
      <c r="F345" s="14"/>
      <c r="G345" s="14"/>
      <c r="H345" s="14"/>
      <c r="I345" s="14"/>
      <c r="J345" s="14"/>
      <c r="K345" s="14"/>
      <c r="L345" s="14"/>
      <c r="M345" s="14"/>
      <c r="N345" s="14"/>
      <c r="R345" s="234"/>
      <c r="S345" s="204"/>
      <c r="V345" s="185"/>
    </row>
    <row r="346" spans="1:22" ht="18" hidden="1" customHeight="1">
      <c r="A346" s="96"/>
      <c r="B346" s="14"/>
      <c r="D346" s="14"/>
      <c r="E346" s="14"/>
      <c r="F346" s="689" t="s">
        <v>127</v>
      </c>
      <c r="G346" s="708" t="str">
        <f>S324</f>
        <v>-</v>
      </c>
      <c r="H346" s="1147"/>
      <c r="I346" s="689" t="s">
        <v>315</v>
      </c>
      <c r="J346" s="708">
        <f>S330</f>
        <v>1</v>
      </c>
      <c r="K346" s="1147"/>
      <c r="L346" s="14"/>
      <c r="M346" s="14"/>
      <c r="N346" s="14"/>
      <c r="R346" s="234"/>
      <c r="S346" s="204"/>
      <c r="V346" s="185"/>
    </row>
    <row r="347" spans="1:22" ht="18" hidden="1" customHeight="1">
      <c r="A347" s="96"/>
      <c r="B347" s="14"/>
      <c r="D347" s="14"/>
      <c r="E347" s="14"/>
      <c r="F347" s="689"/>
      <c r="G347" s="692">
        <f>J305</f>
        <v>437.38656756789834</v>
      </c>
      <c r="H347" s="716"/>
      <c r="I347" s="689"/>
      <c r="J347" s="689">
        <f>S327</f>
        <v>1</v>
      </c>
      <c r="K347" s="716"/>
      <c r="L347" s="14"/>
      <c r="M347" s="14"/>
      <c r="N347" s="14"/>
      <c r="R347" s="234"/>
      <c r="S347" s="204"/>
      <c r="V347" s="185"/>
    </row>
    <row r="348" spans="1:22" ht="18" hidden="1" customHeight="1">
      <c r="A348" s="96"/>
      <c r="B348" s="14"/>
      <c r="D348" s="14"/>
      <c r="E348" s="14"/>
      <c r="F348" s="14"/>
      <c r="G348" s="14"/>
      <c r="H348" s="14"/>
      <c r="I348" s="14"/>
      <c r="J348" s="14"/>
      <c r="K348" s="14"/>
      <c r="L348" s="14"/>
      <c r="M348" s="14"/>
      <c r="N348" s="14"/>
      <c r="R348" s="234"/>
      <c r="S348" s="204"/>
      <c r="V348" s="185"/>
    </row>
    <row r="349" spans="1:22" ht="18" hidden="1" customHeight="1">
      <c r="A349" s="96"/>
      <c r="B349" s="14"/>
      <c r="D349" s="14"/>
      <c r="E349" s="14"/>
      <c r="F349" s="28" t="s">
        <v>127</v>
      </c>
      <c r="G349" s="716" t="e">
        <f>(G346/G347)*(J346/J347)</f>
        <v>#VALUE!</v>
      </c>
      <c r="H349" s="716"/>
      <c r="I349" s="14"/>
      <c r="J349" s="14"/>
      <c r="K349" s="14"/>
      <c r="L349" s="14"/>
      <c r="M349" s="14"/>
      <c r="N349" s="14"/>
      <c r="R349" s="234"/>
      <c r="S349" s="204"/>
      <c r="V349" s="185"/>
    </row>
    <row r="350" spans="1:22" ht="18" hidden="1" customHeight="1">
      <c r="A350" s="96"/>
      <c r="B350" s="14"/>
      <c r="G350" s="14"/>
      <c r="H350" s="14"/>
      <c r="I350" s="14"/>
      <c r="J350" s="14"/>
      <c r="K350" s="14"/>
      <c r="L350" s="14"/>
      <c r="M350" s="14"/>
      <c r="N350" s="14"/>
      <c r="R350" s="234"/>
      <c r="S350" s="204"/>
      <c r="V350" s="185"/>
    </row>
    <row r="351" spans="1:22" ht="18" hidden="1" customHeight="1">
      <c r="A351" s="96"/>
      <c r="B351" s="14"/>
      <c r="D351" s="283" t="s">
        <v>698</v>
      </c>
      <c r="E351" s="284" t="s">
        <v>699</v>
      </c>
      <c r="F351" s="689" t="s">
        <v>696</v>
      </c>
      <c r="G351" s="716"/>
      <c r="H351" s="716"/>
      <c r="I351" s="284" t="s">
        <v>699</v>
      </c>
      <c r="J351" s="28">
        <v>4</v>
      </c>
      <c r="L351" s="279"/>
      <c r="M351" s="120" t="s">
        <v>700</v>
      </c>
      <c r="N351" s="47" t="s">
        <v>701</v>
      </c>
      <c r="O351" s="279"/>
      <c r="P351" s="236"/>
      <c r="Q351" s="236"/>
      <c r="R351" s="234"/>
      <c r="S351" s="204"/>
      <c r="V351" s="185"/>
    </row>
    <row r="352" spans="1:22" ht="18" hidden="1" customHeight="1">
      <c r="A352" s="96"/>
      <c r="B352" s="14"/>
      <c r="D352" s="218">
        <v>0.25</v>
      </c>
      <c r="E352" s="284" t="e">
        <f>IF(D352&lt;=G349,"≤","&gt;")</f>
        <v>#VALUE!</v>
      </c>
      <c r="F352" s="688" t="e">
        <f>G349</f>
        <v>#VALUE!</v>
      </c>
      <c r="G352" s="1145"/>
      <c r="H352" s="688"/>
      <c r="I352" s="284" t="e">
        <f>IF(G349&lt;=J351,"≤","&gt;")</f>
        <v>#VALUE!</v>
      </c>
      <c r="J352" s="28">
        <f>J351</f>
        <v>4</v>
      </c>
      <c r="L352" s="279"/>
      <c r="M352" s="120"/>
      <c r="N352" s="213"/>
      <c r="O352" s="279"/>
      <c r="P352" s="236"/>
      <c r="Q352" s="236"/>
      <c r="R352" s="234"/>
      <c r="S352" s="204"/>
      <c r="V352" s="185"/>
    </row>
    <row r="353" spans="1:22" ht="18" hidden="1" customHeight="1">
      <c r="A353" s="96"/>
      <c r="B353" s="14"/>
      <c r="G353" s="14"/>
      <c r="H353" s="14"/>
      <c r="I353" s="14"/>
      <c r="J353" s="14"/>
      <c r="K353" s="14"/>
      <c r="L353" s="14"/>
      <c r="M353" s="14"/>
      <c r="N353" s="14"/>
      <c r="R353" s="234"/>
      <c r="S353" s="204"/>
      <c r="V353" s="185"/>
    </row>
    <row r="354" spans="1:22" ht="18" hidden="1" customHeight="1">
      <c r="A354" s="96"/>
      <c r="B354" s="14" t="s">
        <v>702</v>
      </c>
      <c r="G354" s="14"/>
      <c r="H354" s="18" t="e">
        <f>IF(AND(E352="≤",I352="≤")=TRUE,"OK","Not OK")</f>
        <v>#VALUE!</v>
      </c>
      <c r="I354" s="14"/>
      <c r="J354" s="14"/>
      <c r="K354" s="14"/>
      <c r="L354" s="14"/>
      <c r="M354" s="14"/>
      <c r="N354" s="14"/>
      <c r="R354" s="234"/>
      <c r="S354" s="204"/>
      <c r="V354" s="185"/>
    </row>
    <row r="355" spans="1:22" ht="18" hidden="1" customHeight="1">
      <c r="A355" s="96"/>
      <c r="B355" s="14"/>
      <c r="G355" s="14"/>
      <c r="H355" s="18"/>
      <c r="I355" s="14"/>
      <c r="J355" s="14"/>
      <c r="K355" s="14"/>
      <c r="L355" s="14"/>
      <c r="M355" s="14"/>
      <c r="N355" s="14"/>
      <c r="R355" s="234"/>
      <c r="S355" s="204"/>
      <c r="V355" s="185"/>
    </row>
    <row r="356" spans="1:22" ht="18" hidden="1" customHeight="1">
      <c r="A356" s="96"/>
      <c r="B356" s="14"/>
      <c r="G356" s="14"/>
      <c r="H356" s="18"/>
      <c r="I356" s="14"/>
      <c r="J356" s="14"/>
      <c r="K356" s="14"/>
      <c r="L356" s="14"/>
      <c r="M356" s="14"/>
      <c r="N356" s="14"/>
      <c r="R356" s="234"/>
      <c r="S356" s="204"/>
      <c r="V356" s="185"/>
    </row>
    <row r="357" spans="1:22" ht="18" hidden="1" customHeight="1">
      <c r="A357" s="96"/>
      <c r="B357" s="14"/>
      <c r="G357" s="14"/>
      <c r="H357" s="18"/>
      <c r="I357" s="14"/>
      <c r="J357" s="14"/>
      <c r="K357" s="14"/>
      <c r="L357" s="14"/>
      <c r="M357" s="14"/>
      <c r="N357" s="14"/>
      <c r="R357" s="234"/>
      <c r="S357" s="204"/>
      <c r="V357" s="185"/>
    </row>
    <row r="358" spans="1:22" ht="18" hidden="1" customHeight="1">
      <c r="A358" s="96"/>
      <c r="B358" s="14"/>
      <c r="G358" s="14"/>
      <c r="H358" s="18"/>
      <c r="I358" s="14"/>
      <c r="J358" s="14"/>
      <c r="K358" s="14"/>
      <c r="L358" s="14"/>
      <c r="M358" s="14"/>
      <c r="N358" s="14"/>
      <c r="R358" s="234"/>
      <c r="S358" s="204"/>
      <c r="V358" s="185"/>
    </row>
    <row r="359" spans="1:22" ht="18" hidden="1" customHeight="1">
      <c r="A359" s="96"/>
      <c r="B359" s="14"/>
      <c r="G359" s="14"/>
      <c r="H359" s="18"/>
      <c r="I359" s="14"/>
      <c r="J359" s="14"/>
      <c r="K359" s="14"/>
      <c r="L359" s="14"/>
      <c r="M359" s="14"/>
      <c r="N359" s="14"/>
      <c r="R359" s="234"/>
      <c r="S359" s="204"/>
      <c r="V359" s="185"/>
    </row>
    <row r="360" spans="1:22" ht="18" hidden="1" customHeight="1">
      <c r="A360" s="96"/>
      <c r="B360" s="14"/>
      <c r="G360" s="14"/>
      <c r="H360" s="14"/>
      <c r="I360" s="14"/>
      <c r="J360" s="14"/>
      <c r="K360" s="14"/>
      <c r="L360" s="14"/>
      <c r="M360" s="14"/>
      <c r="N360" s="14"/>
      <c r="R360" s="234"/>
      <c r="S360" s="204"/>
      <c r="V360" s="185"/>
    </row>
    <row r="361" spans="1:22" s="14" customFormat="1" ht="18" customHeight="1">
      <c r="A361" s="96"/>
      <c r="Q361" s="120"/>
      <c r="R361" s="28"/>
      <c r="S361" s="204"/>
      <c r="T361" s="204"/>
      <c r="V361" s="381"/>
    </row>
    <row r="362" spans="1:22" s="14" customFormat="1" ht="18" customHeight="1">
      <c r="A362" s="96"/>
      <c r="Q362" s="120"/>
      <c r="R362" s="28"/>
      <c r="S362" s="204"/>
      <c r="T362" s="204"/>
      <c r="V362" s="381"/>
    </row>
    <row r="363" spans="1:22" ht="18" customHeight="1">
      <c r="A363" s="96"/>
      <c r="B363" s="14"/>
      <c r="C363" s="14"/>
      <c r="D363" s="120"/>
      <c r="E363" s="120"/>
      <c r="F363" s="18"/>
      <c r="G363" s="18"/>
      <c r="H363" s="14"/>
      <c r="I363" s="14"/>
      <c r="J363" s="14"/>
      <c r="K363" s="14"/>
      <c r="L363" s="14"/>
      <c r="M363" s="14"/>
      <c r="N363" s="14"/>
      <c r="O363" s="14"/>
      <c r="P363" s="28"/>
      <c r="Q363" s="120"/>
      <c r="R363" s="47"/>
      <c r="S363" s="47"/>
      <c r="T363" s="14"/>
      <c r="U363" s="14"/>
      <c r="V363" s="97"/>
    </row>
    <row r="364" spans="1:22" ht="18" customHeight="1">
      <c r="A364" s="1125"/>
      <c r="B364" s="983"/>
      <c r="C364" s="1135"/>
      <c r="D364" s="983"/>
      <c r="E364" s="983"/>
      <c r="F364" s="983"/>
      <c r="G364" s="983"/>
      <c r="H364" s="983"/>
      <c r="I364" s="983"/>
      <c r="J364" s="983"/>
      <c r="K364" s="983"/>
      <c r="L364" s="983"/>
      <c r="M364" s="983"/>
      <c r="N364" s="983"/>
      <c r="O364" s="983"/>
      <c r="P364" s="983"/>
      <c r="Q364" s="983"/>
      <c r="R364" s="983"/>
      <c r="S364" s="983"/>
      <c r="T364" s="983"/>
      <c r="U364" s="983"/>
      <c r="V364" s="1126"/>
    </row>
    <row r="365" spans="1:22" ht="18" customHeight="1">
      <c r="A365" s="1125"/>
      <c r="B365" s="983"/>
      <c r="C365" s="1135"/>
      <c r="D365" s="983"/>
      <c r="E365" s="983"/>
      <c r="F365" s="983"/>
      <c r="G365" s="983"/>
      <c r="H365" s="983"/>
      <c r="I365" s="983"/>
      <c r="J365" s="983"/>
      <c r="K365" s="983"/>
      <c r="L365" s="983"/>
      <c r="M365" s="983"/>
      <c r="N365" s="983"/>
      <c r="O365" s="983"/>
      <c r="P365" s="983"/>
      <c r="Q365" s="983"/>
      <c r="R365" s="983"/>
      <c r="S365" s="983"/>
      <c r="T365" s="983"/>
      <c r="U365" s="983"/>
      <c r="V365" s="1126"/>
    </row>
    <row r="366" spans="1:22" ht="18" customHeight="1">
      <c r="A366" s="1125"/>
      <c r="B366" s="983"/>
      <c r="C366" s="1135"/>
      <c r="D366" s="983"/>
      <c r="E366" s="983"/>
      <c r="F366" s="983"/>
      <c r="G366" s="983"/>
      <c r="H366" s="983"/>
      <c r="I366" s="983"/>
      <c r="J366" s="983"/>
      <c r="K366" s="983"/>
      <c r="L366" s="983"/>
      <c r="M366" s="983"/>
      <c r="N366" s="983"/>
      <c r="O366" s="983"/>
      <c r="P366" s="983"/>
      <c r="Q366" s="983"/>
      <c r="R366" s="983"/>
      <c r="S366" s="983"/>
      <c r="T366" s="983"/>
      <c r="U366" s="983"/>
      <c r="V366" s="1126"/>
    </row>
    <row r="367" spans="1:22" ht="18" customHeight="1">
      <c r="A367" s="1125"/>
      <c r="B367" s="983"/>
      <c r="C367" s="1135"/>
      <c r="D367" s="983"/>
      <c r="E367" s="983"/>
      <c r="F367" s="983"/>
      <c r="G367" s="983"/>
      <c r="H367" s="983"/>
      <c r="I367" s="983"/>
      <c r="J367" s="983"/>
      <c r="K367" s="983"/>
      <c r="L367" s="983"/>
      <c r="M367" s="983"/>
      <c r="N367" s="983"/>
      <c r="O367" s="983"/>
      <c r="P367" s="983"/>
      <c r="Q367" s="983"/>
      <c r="R367" s="983"/>
      <c r="S367" s="983"/>
      <c r="T367" s="983"/>
      <c r="U367" s="983"/>
      <c r="V367" s="1126"/>
    </row>
    <row r="368" spans="1:22" ht="18" customHeight="1">
      <c r="A368" s="837"/>
      <c r="B368" s="689"/>
      <c r="C368" s="689"/>
      <c r="D368" s="805"/>
      <c r="E368" s="805"/>
      <c r="F368" s="805"/>
      <c r="G368" s="805"/>
      <c r="H368" s="1184"/>
      <c r="I368" s="1184"/>
      <c r="J368" s="1184"/>
      <c r="K368" s="1135"/>
      <c r="L368" s="1135"/>
      <c r="M368" s="1135"/>
      <c r="N368" s="1135"/>
      <c r="O368" s="805"/>
      <c r="P368" s="805"/>
      <c r="Q368" s="980"/>
      <c r="R368" s="980"/>
      <c r="S368" s="993"/>
      <c r="T368" s="805"/>
      <c r="U368" s="805"/>
      <c r="V368" s="968"/>
    </row>
    <row r="369" spans="1:22" ht="18" customHeight="1">
      <c r="A369" s="837"/>
      <c r="B369" s="689"/>
      <c r="C369" s="689"/>
      <c r="D369" s="993"/>
      <c r="E369" s="805"/>
      <c r="F369" s="805"/>
      <c r="G369" s="805"/>
      <c r="H369" s="805"/>
      <c r="I369" s="1184"/>
      <c r="J369" s="1184"/>
      <c r="K369" s="727"/>
      <c r="L369" s="1135"/>
      <c r="M369" s="727"/>
      <c r="N369" s="1135"/>
      <c r="O369" s="993"/>
      <c r="P369" s="805"/>
      <c r="Q369" s="980"/>
      <c r="R369" s="980"/>
      <c r="S369" s="993"/>
      <c r="T369" s="805"/>
      <c r="U369" s="805"/>
      <c r="V369" s="968"/>
    </row>
    <row r="370" spans="1:22" ht="18" customHeight="1">
      <c r="A370" s="837"/>
      <c r="B370" s="689"/>
      <c r="C370" s="689"/>
      <c r="D370" s="993"/>
      <c r="E370" s="805"/>
      <c r="F370" s="805"/>
      <c r="G370" s="805"/>
      <c r="H370" s="805"/>
      <c r="I370" s="1184"/>
      <c r="J370" s="1184"/>
      <c r="K370" s="727"/>
      <c r="L370" s="1135"/>
      <c r="M370" s="727"/>
      <c r="N370" s="1135"/>
      <c r="O370" s="993"/>
      <c r="P370" s="805"/>
      <c r="Q370" s="980"/>
      <c r="R370" s="980"/>
      <c r="S370" s="805"/>
      <c r="T370" s="805"/>
      <c r="U370" s="805"/>
      <c r="V370" s="968"/>
    </row>
    <row r="371" spans="1:22" ht="18" customHeight="1">
      <c r="A371" s="184"/>
      <c r="V371" s="185"/>
    </row>
    <row r="372" spans="1:22" ht="18" customHeight="1">
      <c r="A372" s="184"/>
      <c r="V372" s="185"/>
    </row>
    <row r="373" spans="1:22" ht="18" customHeight="1">
      <c r="A373" s="184"/>
      <c r="V373" s="185"/>
    </row>
    <row r="374" spans="1:22" ht="18" customHeight="1">
      <c r="A374" s="184"/>
      <c r="V374" s="185"/>
    </row>
    <row r="375" spans="1:22" ht="18" customHeight="1">
      <c r="A375" s="184"/>
      <c r="V375" s="185"/>
    </row>
    <row r="376" spans="1:22" ht="18" customHeight="1">
      <c r="A376" s="184"/>
      <c r="V376" s="185"/>
    </row>
    <row r="377" spans="1:22" ht="18" customHeight="1">
      <c r="A377" s="184"/>
      <c r="V377" s="185"/>
    </row>
    <row r="378" spans="1:22" ht="18" customHeight="1">
      <c r="A378" s="184"/>
      <c r="V378" s="185"/>
    </row>
    <row r="379" spans="1:22" ht="18" customHeight="1">
      <c r="A379" s="184"/>
      <c r="V379" s="185"/>
    </row>
    <row r="380" spans="1:22" ht="18" customHeight="1">
      <c r="A380" s="184"/>
      <c r="V380" s="185"/>
    </row>
    <row r="381" spans="1:22" ht="18" customHeight="1">
      <c r="A381" s="184"/>
      <c r="V381" s="185"/>
    </row>
    <row r="382" spans="1:22" ht="18" customHeight="1">
      <c r="A382" s="184"/>
      <c r="V382" s="185"/>
    </row>
    <row r="383" spans="1:22" ht="18" customHeight="1">
      <c r="A383" s="184"/>
      <c r="V383" s="185"/>
    </row>
    <row r="384" spans="1:22" ht="18" customHeight="1">
      <c r="A384" s="184"/>
      <c r="V384" s="185"/>
    </row>
    <row r="385" spans="1:29" ht="18" customHeight="1">
      <c r="A385" s="184"/>
      <c r="V385" s="185"/>
    </row>
    <row r="386" spans="1:29" ht="18" customHeight="1">
      <c r="A386" s="290"/>
      <c r="B386" s="196"/>
      <c r="C386" s="196"/>
      <c r="D386" s="196"/>
      <c r="E386" s="196"/>
      <c r="F386" s="196"/>
      <c r="G386" s="196"/>
      <c r="H386" s="196"/>
      <c r="I386" s="196"/>
      <c r="J386" s="196"/>
      <c r="K386" s="196"/>
      <c r="L386" s="196"/>
      <c r="M386" s="196"/>
      <c r="N386" s="196"/>
      <c r="O386" s="196"/>
      <c r="P386" s="196"/>
      <c r="Q386" s="196"/>
      <c r="R386" s="196"/>
      <c r="S386" s="196"/>
      <c r="T386" s="196"/>
      <c r="U386" s="196"/>
      <c r="V386" s="291"/>
    </row>
    <row r="387" spans="1:29" s="14" customFormat="1" ht="18" hidden="1" customHeight="1">
      <c r="A387" s="194"/>
      <c r="B387" s="195"/>
      <c r="C387" s="195"/>
      <c r="D387" s="195"/>
      <c r="E387" s="195"/>
      <c r="F387" s="195"/>
      <c r="G387" s="195"/>
      <c r="H387" s="195"/>
      <c r="I387" s="195"/>
      <c r="J387" s="195"/>
      <c r="K387" s="195"/>
      <c r="L387" s="195"/>
      <c r="M387" s="195"/>
      <c r="N387" s="195"/>
      <c r="O387" s="195"/>
      <c r="P387" s="195"/>
      <c r="Q387" s="224"/>
      <c r="R387" s="182"/>
      <c r="S387" s="225"/>
      <c r="T387" s="195"/>
      <c r="U387" s="195"/>
      <c r="V387" s="134"/>
    </row>
    <row r="388" spans="1:29" ht="18" hidden="1" customHeight="1">
      <c r="A388" s="1178" t="str">
        <f>A1</f>
        <v>HITACHI</v>
      </c>
      <c r="B388" s="1179"/>
      <c r="C388" s="1179"/>
      <c r="D388" s="1179"/>
      <c r="E388" s="1179"/>
      <c r="F388" s="1179"/>
      <c r="G388" s="1180"/>
      <c r="H388" s="906" t="str">
        <f>H1</f>
        <v>CT / VT</v>
      </c>
      <c r="I388" s="929"/>
      <c r="J388" s="929"/>
      <c r="K388" s="929"/>
      <c r="L388" s="929"/>
      <c r="M388" s="929"/>
      <c r="N388" s="930"/>
      <c r="O388" s="885" t="str">
        <f>O1</f>
        <v>Contract No.</v>
      </c>
      <c r="P388" s="886"/>
      <c r="Q388" s="887"/>
      <c r="R388" s="1166" t="str">
        <f>R1</f>
        <v>N-19957.2-DF4W</v>
      </c>
      <c r="S388" s="1167"/>
      <c r="T388" s="1167"/>
      <c r="U388" s="1167"/>
      <c r="V388" s="1168"/>
    </row>
    <row r="389" spans="1:29" ht="18" hidden="1" customHeight="1">
      <c r="A389" s="1181"/>
      <c r="B389" s="1182"/>
      <c r="C389" s="1182"/>
      <c r="D389" s="1182"/>
      <c r="E389" s="1182"/>
      <c r="F389" s="1182"/>
      <c r="G389" s="1183"/>
      <c r="H389" s="909" t="str">
        <f>H2</f>
        <v>CALCULATION</v>
      </c>
      <c r="I389" s="934"/>
      <c r="J389" s="934"/>
      <c r="K389" s="934"/>
      <c r="L389" s="934"/>
      <c r="M389" s="934"/>
      <c r="N389" s="935"/>
      <c r="O389" s="885" t="str">
        <f>O2</f>
        <v>Date</v>
      </c>
      <c r="P389" s="886"/>
      <c r="Q389" s="887"/>
      <c r="R389" s="1166">
        <f>R2</f>
        <v>46134</v>
      </c>
      <c r="S389" s="1167"/>
      <c r="T389" s="1167"/>
      <c r="U389" s="1167"/>
      <c r="V389" s="1168"/>
    </row>
    <row r="390" spans="1:29" ht="18" hidden="1" customHeight="1">
      <c r="A390" s="955">
        <f>A3</f>
        <v>0</v>
      </c>
      <c r="B390" s="956"/>
      <c r="C390" s="956"/>
      <c r="D390" s="956"/>
      <c r="E390" s="956"/>
      <c r="F390" s="956"/>
      <c r="G390" s="957"/>
      <c r="H390" s="1172" t="str">
        <f>H3</f>
        <v xml:space="preserve">132/33kV SUBSTATION DF4W    AT AL DHAFRA AREA </v>
      </c>
      <c r="I390" s="1173"/>
      <c r="J390" s="1173"/>
      <c r="K390" s="1173"/>
      <c r="L390" s="1173"/>
      <c r="M390" s="1173"/>
      <c r="N390" s="1174"/>
      <c r="O390" s="885" t="str">
        <f>O3</f>
        <v>Document No.</v>
      </c>
      <c r="P390" s="886"/>
      <c r="Q390" s="887"/>
      <c r="R390" s="1166" t="str">
        <f>R3</f>
        <v>-</v>
      </c>
      <c r="S390" s="1167"/>
      <c r="T390" s="1167"/>
      <c r="U390" s="1167"/>
      <c r="V390" s="1168"/>
    </row>
    <row r="391" spans="1:29" ht="18" hidden="1" customHeight="1">
      <c r="A391" s="1047"/>
      <c r="B391" s="1048"/>
      <c r="C391" s="1048"/>
      <c r="D391" s="1048"/>
      <c r="E391" s="1048"/>
      <c r="F391" s="1048"/>
      <c r="G391" s="1049"/>
      <c r="H391" s="1175"/>
      <c r="I391" s="1176"/>
      <c r="J391" s="1176"/>
      <c r="K391" s="1176"/>
      <c r="L391" s="1176"/>
      <c r="M391" s="1176"/>
      <c r="N391" s="1177"/>
      <c r="O391" s="885" t="str">
        <f>O4</f>
        <v>Revision No.</v>
      </c>
      <c r="P391" s="886"/>
      <c r="Q391" s="887"/>
      <c r="R391" s="1166" t="str">
        <f>R4</f>
        <v>A</v>
      </c>
      <c r="S391" s="1167"/>
      <c r="T391" s="1167"/>
      <c r="U391" s="1167"/>
      <c r="V391" s="1168"/>
    </row>
    <row r="392" spans="1:29" ht="18" hidden="1" customHeight="1">
      <c r="A392" s="880" t="str">
        <f>A5</f>
        <v>Prep. By</v>
      </c>
      <c r="B392" s="943"/>
      <c r="C392" s="292" t="str">
        <f>C5</f>
        <v>PK</v>
      </c>
      <c r="D392" s="880" t="str">
        <f>D5</f>
        <v>Checked By</v>
      </c>
      <c r="E392" s="881"/>
      <c r="F392" s="943"/>
      <c r="G392" s="292" t="str">
        <f>G5</f>
        <v>RN</v>
      </c>
      <c r="H392" s="1163" t="str">
        <f>H5</f>
        <v>132kV_100MVA TR. FEEDERS</v>
      </c>
      <c r="I392" s="1164"/>
      <c r="J392" s="1164"/>
      <c r="K392" s="1164"/>
      <c r="L392" s="1164"/>
      <c r="M392" s="1164"/>
      <c r="N392" s="1165"/>
      <c r="O392" s="947" t="str">
        <f>O5</f>
        <v>Contractor</v>
      </c>
      <c r="P392" s="948"/>
      <c r="Q392" s="949"/>
      <c r="R392" s="1166" t="str">
        <f>R5</f>
        <v>HITACHI</v>
      </c>
      <c r="S392" s="1167"/>
      <c r="T392" s="1167"/>
      <c r="U392" s="1167"/>
      <c r="V392" s="1168"/>
    </row>
    <row r="393" spans="1:29" ht="18" hidden="1" customHeight="1">
      <c r="A393" s="226"/>
      <c r="B393" s="227"/>
      <c r="C393" s="227"/>
      <c r="D393" s="227"/>
      <c r="E393" s="227"/>
      <c r="F393" s="227"/>
      <c r="G393" s="227"/>
      <c r="H393" s="227"/>
      <c r="I393" s="227"/>
      <c r="J393" s="227"/>
      <c r="K393" s="227"/>
      <c r="L393" s="227"/>
      <c r="M393" s="227"/>
      <c r="N393" s="227"/>
      <c r="O393" s="227"/>
      <c r="P393" s="227"/>
      <c r="Q393" s="227"/>
      <c r="R393" s="227"/>
      <c r="S393" s="227"/>
      <c r="T393" s="227"/>
      <c r="U393" s="227"/>
      <c r="V393" s="228"/>
    </row>
    <row r="394" spans="1:29" ht="18" hidden="1" customHeight="1">
      <c r="A394" s="184"/>
      <c r="B394" s="781" t="s">
        <v>663</v>
      </c>
      <c r="C394" s="782"/>
      <c r="D394" s="1099" t="s">
        <v>109</v>
      </c>
      <c r="E394" s="1169"/>
      <c r="F394" s="186" t="s">
        <v>636</v>
      </c>
      <c r="H394" s="684" t="str">
        <f>H275</f>
        <v>(Multi Func. Trans. Prtn + FMS + HV REF)</v>
      </c>
      <c r="I394" s="684"/>
      <c r="J394" s="684"/>
      <c r="K394" s="684"/>
      <c r="L394" s="684"/>
      <c r="M394" s="684"/>
      <c r="P394" s="186"/>
      <c r="S394" s="187" t="s">
        <v>387</v>
      </c>
      <c r="T394" s="1161" t="str">
        <f>T275</f>
        <v>7UT85</v>
      </c>
      <c r="U394" s="1162"/>
      <c r="V394" s="185"/>
    </row>
    <row r="395" spans="1:29" ht="18" hidden="1" customHeight="1">
      <c r="A395" s="184"/>
      <c r="B395" s="743" t="s">
        <v>664</v>
      </c>
      <c r="C395" s="743"/>
      <c r="D395" s="1170"/>
      <c r="E395" s="1171"/>
      <c r="F395" s="255"/>
      <c r="T395" s="1161"/>
      <c r="U395" s="1162"/>
      <c r="V395" s="185"/>
    </row>
    <row r="396" spans="1:29" ht="18" hidden="1" customHeight="1">
      <c r="A396" s="184"/>
      <c r="H396" s="789" t="s">
        <v>390</v>
      </c>
      <c r="I396" s="789"/>
      <c r="J396" s="708" t="s">
        <v>391</v>
      </c>
      <c r="K396" s="708"/>
      <c r="L396" s="708" t="s">
        <v>392</v>
      </c>
      <c r="M396" s="708"/>
      <c r="T396" s="1161"/>
      <c r="U396" s="1162"/>
      <c r="V396" s="185"/>
    </row>
    <row r="397" spans="1:29" ht="18" hidden="1" customHeight="1">
      <c r="A397" s="184"/>
      <c r="B397" s="47" t="s">
        <v>393</v>
      </c>
      <c r="H397" s="791">
        <v>5000</v>
      </c>
      <c r="I397" s="792"/>
      <c r="J397" s="781">
        <v>4000</v>
      </c>
      <c r="K397" s="782"/>
      <c r="L397" s="781">
        <v>3000</v>
      </c>
      <c r="M397" s="782"/>
      <c r="N397" s="191" t="s">
        <v>342</v>
      </c>
      <c r="O397" s="125">
        <v>1</v>
      </c>
      <c r="P397" s="27" t="s">
        <v>8</v>
      </c>
      <c r="V397" s="185"/>
    </row>
    <row r="398" spans="1:29" ht="18" hidden="1" customHeight="1">
      <c r="A398" s="184"/>
      <c r="B398" s="47" t="s">
        <v>394</v>
      </c>
      <c r="H398" s="781" t="s">
        <v>395</v>
      </c>
      <c r="I398" s="788"/>
      <c r="V398" s="185"/>
    </row>
    <row r="399" spans="1:29" ht="18" hidden="1" customHeight="1">
      <c r="A399" s="184"/>
      <c r="B399" s="47" t="s">
        <v>396</v>
      </c>
      <c r="G399" s="120" t="s">
        <v>497</v>
      </c>
      <c r="H399" s="781">
        <v>20</v>
      </c>
      <c r="I399" s="782"/>
      <c r="J399" s="192" t="s">
        <v>333</v>
      </c>
      <c r="V399" s="185"/>
    </row>
    <row r="400" spans="1:29" ht="18" hidden="1" customHeight="1">
      <c r="A400" s="184"/>
      <c r="B400" s="47" t="s">
        <v>398</v>
      </c>
      <c r="G400" s="120" t="s">
        <v>498</v>
      </c>
      <c r="H400" s="781">
        <v>1000</v>
      </c>
      <c r="I400" s="782"/>
      <c r="J400" s="14" t="s">
        <v>305</v>
      </c>
      <c r="V400" s="185"/>
      <c r="W400" s="30" t="s">
        <v>400</v>
      </c>
      <c r="AB400" s="785">
        <f>D450</f>
        <v>68.400333462202781</v>
      </c>
      <c r="AC400" s="786"/>
    </row>
    <row r="401" spans="1:22" ht="18" hidden="1" customHeight="1">
      <c r="A401" s="184"/>
      <c r="B401" s="14" t="s">
        <v>401</v>
      </c>
      <c r="G401" s="120" t="s">
        <v>402</v>
      </c>
      <c r="H401" s="781">
        <v>20</v>
      </c>
      <c r="I401" s="782"/>
      <c r="J401" s="30" t="s">
        <v>403</v>
      </c>
      <c r="V401" s="185"/>
    </row>
    <row r="402" spans="1:22" ht="18" hidden="1" customHeight="1">
      <c r="A402" s="96"/>
      <c r="V402" s="185"/>
    </row>
    <row r="403" spans="1:22" ht="18" hidden="1" customHeight="1">
      <c r="A403" s="193" t="s">
        <v>404</v>
      </c>
      <c r="V403" s="185"/>
    </row>
    <row r="404" spans="1:22" ht="18" hidden="1" customHeight="1">
      <c r="A404" s="184"/>
      <c r="V404" s="185"/>
    </row>
    <row r="405" spans="1:22" ht="18" hidden="1" customHeight="1">
      <c r="A405" s="184"/>
      <c r="B405" s="194" t="s">
        <v>405</v>
      </c>
      <c r="C405" s="195"/>
      <c r="D405" s="195" t="str">
        <f>T394</f>
        <v>7UT85</v>
      </c>
      <c r="E405" s="196"/>
      <c r="F405" s="196"/>
      <c r="G405" s="196"/>
      <c r="H405" s="182" t="s">
        <v>406</v>
      </c>
      <c r="I405" s="183" t="s">
        <v>127</v>
      </c>
      <c r="J405" s="1159">
        <f>J286</f>
        <v>0.1</v>
      </c>
      <c r="K405" s="1160"/>
      <c r="L405" s="3" t="s">
        <v>157</v>
      </c>
      <c r="V405" s="185"/>
    </row>
    <row r="406" spans="1:22" ht="18" hidden="1" customHeight="1">
      <c r="A406" s="184"/>
      <c r="B406" s="184" t="s">
        <v>405</v>
      </c>
      <c r="D406" s="30">
        <f>T395</f>
        <v>0</v>
      </c>
      <c r="H406" s="27"/>
      <c r="I406" s="177" t="s">
        <v>127</v>
      </c>
      <c r="J406" s="793"/>
      <c r="K406" s="1156"/>
      <c r="L406" s="198" t="s">
        <v>157</v>
      </c>
      <c r="V406" s="185"/>
    </row>
    <row r="407" spans="1:22" ht="18" hidden="1" customHeight="1">
      <c r="A407" s="184"/>
      <c r="B407" s="184" t="s">
        <v>405</v>
      </c>
      <c r="D407" s="30">
        <f>T396</f>
        <v>0</v>
      </c>
      <c r="E407" s="14"/>
      <c r="G407" s="199"/>
      <c r="H407" s="27"/>
      <c r="I407" s="177" t="s">
        <v>127</v>
      </c>
      <c r="J407" s="1157"/>
      <c r="K407" s="1158"/>
      <c r="L407" s="202" t="s">
        <v>157</v>
      </c>
      <c r="V407" s="185"/>
    </row>
    <row r="408" spans="1:22" ht="18" hidden="1" customHeight="1">
      <c r="A408" s="184"/>
      <c r="B408" s="184" t="s">
        <v>412</v>
      </c>
      <c r="H408" s="27" t="s">
        <v>599</v>
      </c>
      <c r="I408" s="177" t="s">
        <v>127</v>
      </c>
      <c r="J408" s="861">
        <f>J289</f>
        <v>1.0770224400000001</v>
      </c>
      <c r="K408" s="989"/>
      <c r="L408" s="203" t="s">
        <v>157</v>
      </c>
      <c r="V408" s="185"/>
    </row>
    <row r="409" spans="1:22" ht="18" hidden="1" customHeight="1">
      <c r="A409" s="184"/>
      <c r="B409" s="205" t="s">
        <v>413</v>
      </c>
      <c r="C409" s="206"/>
      <c r="D409" s="206"/>
      <c r="E409" s="206"/>
      <c r="F409" s="207"/>
      <c r="G409" s="207"/>
      <c r="H409" s="190" t="s">
        <v>409</v>
      </c>
      <c r="I409" s="208" t="s">
        <v>127</v>
      </c>
      <c r="J409" s="766">
        <f>J406+J408</f>
        <v>1.0770224400000001</v>
      </c>
      <c r="K409" s="958"/>
      <c r="L409" s="210" t="s">
        <v>157</v>
      </c>
      <c r="V409" s="185"/>
    </row>
    <row r="410" spans="1:22" ht="18" hidden="1" customHeight="1">
      <c r="A410" s="184"/>
      <c r="B410" s="47"/>
      <c r="C410" s="47"/>
      <c r="D410" s="47"/>
      <c r="E410" s="47"/>
      <c r="H410" s="27"/>
      <c r="I410" s="28"/>
      <c r="J410" s="199"/>
      <c r="L410" s="47"/>
      <c r="O410" s="27"/>
      <c r="P410" s="211"/>
      <c r="Q410" s="211"/>
      <c r="R410" s="192"/>
      <c r="V410" s="185"/>
    </row>
    <row r="411" spans="1:22" ht="18" hidden="1" customHeight="1">
      <c r="A411" s="184"/>
      <c r="B411" s="197" t="s">
        <v>648</v>
      </c>
      <c r="L411" s="47"/>
      <c r="M411" s="197" t="s">
        <v>407</v>
      </c>
      <c r="V411" s="185"/>
    </row>
    <row r="412" spans="1:22" s="14" customFormat="1" ht="18" hidden="1" customHeight="1">
      <c r="A412" s="184"/>
      <c r="B412" s="27" t="s">
        <v>649</v>
      </c>
      <c r="C412" s="27" t="s">
        <v>127</v>
      </c>
      <c r="D412" s="30" t="s">
        <v>406</v>
      </c>
      <c r="E412" s="271" t="s">
        <v>410</v>
      </c>
      <c r="F412" s="27" t="s">
        <v>146</v>
      </c>
      <c r="G412" s="28" t="s">
        <v>315</v>
      </c>
      <c r="H412" s="218" t="s">
        <v>146</v>
      </c>
      <c r="I412" s="30" t="s">
        <v>350</v>
      </c>
      <c r="J412" s="199"/>
      <c r="K412" s="30"/>
      <c r="L412" s="47"/>
      <c r="M412" s="30" t="s">
        <v>408</v>
      </c>
      <c r="N412" s="27" t="s">
        <v>127</v>
      </c>
      <c r="O412" s="30" t="s">
        <v>409</v>
      </c>
      <c r="P412" s="191" t="s">
        <v>410</v>
      </c>
      <c r="Q412" s="244" t="s">
        <v>411</v>
      </c>
      <c r="R412" s="27" t="s">
        <v>315</v>
      </c>
      <c r="S412" s="30" t="s">
        <v>411</v>
      </c>
      <c r="T412" s="30" t="s">
        <v>350</v>
      </c>
      <c r="U412" s="30"/>
      <c r="V412" s="185"/>
    </row>
    <row r="413" spans="1:22" s="14" customFormat="1" ht="18" hidden="1" customHeight="1">
      <c r="A413" s="184"/>
      <c r="B413" s="47"/>
      <c r="C413" s="27" t="s">
        <v>127</v>
      </c>
      <c r="D413" s="204">
        <f>J405</f>
        <v>0.1</v>
      </c>
      <c r="E413" s="191" t="s">
        <v>410</v>
      </c>
      <c r="F413" s="27">
        <f>F150</f>
        <v>1</v>
      </c>
      <c r="G413" s="27" t="s">
        <v>315</v>
      </c>
      <c r="H413" s="27">
        <f>H150</f>
        <v>1</v>
      </c>
      <c r="I413" s="30" t="s">
        <v>350</v>
      </c>
      <c r="J413" s="199"/>
      <c r="K413" s="30"/>
      <c r="L413" s="47"/>
      <c r="M413" s="30"/>
      <c r="N413" s="27" t="s">
        <v>127</v>
      </c>
      <c r="O413" s="204">
        <f>J409</f>
        <v>1.0770224400000001</v>
      </c>
      <c r="P413" s="191" t="s">
        <v>410</v>
      </c>
      <c r="Q413" s="27">
        <f>O397</f>
        <v>1</v>
      </c>
      <c r="R413" s="27" t="s">
        <v>315</v>
      </c>
      <c r="S413" s="27">
        <f>O397</f>
        <v>1</v>
      </c>
      <c r="T413" s="30" t="s">
        <v>350</v>
      </c>
      <c r="U413" s="30"/>
      <c r="V413" s="185"/>
    </row>
    <row r="414" spans="1:22" s="14" customFormat="1" ht="18" hidden="1" customHeight="1">
      <c r="A414" s="184"/>
      <c r="B414" s="47"/>
      <c r="C414" s="27" t="s">
        <v>127</v>
      </c>
      <c r="D414" s="795">
        <f>D413/(F413*H413)</f>
        <v>0.1</v>
      </c>
      <c r="E414" s="795"/>
      <c r="F414" s="192" t="s">
        <v>333</v>
      </c>
      <c r="G414" s="30"/>
      <c r="H414" s="30"/>
      <c r="I414" s="30"/>
      <c r="J414" s="199"/>
      <c r="K414" s="30"/>
      <c r="L414" s="47"/>
      <c r="M414" s="30"/>
      <c r="N414" s="27" t="s">
        <v>127</v>
      </c>
      <c r="O414" s="795">
        <f>O413/(Q413*S413)</f>
        <v>1.0770224400000001</v>
      </c>
      <c r="P414" s="795"/>
      <c r="Q414" s="192" t="s">
        <v>333</v>
      </c>
      <c r="R414" s="30"/>
      <c r="S414" s="30"/>
      <c r="T414" s="30"/>
      <c r="U414" s="30"/>
      <c r="V414" s="185"/>
    </row>
    <row r="415" spans="1:22" s="14" customFormat="1" ht="18" hidden="1" customHeight="1">
      <c r="A415" s="184"/>
      <c r="B415" s="47"/>
      <c r="C415" s="47"/>
      <c r="D415" s="47"/>
      <c r="E415" s="47"/>
      <c r="F415" s="30"/>
      <c r="G415" s="30"/>
      <c r="H415" s="27"/>
      <c r="I415" s="28"/>
      <c r="J415" s="199"/>
      <c r="K415" s="30"/>
      <c r="L415" s="47"/>
      <c r="M415" s="30"/>
      <c r="N415" s="30"/>
      <c r="O415" s="27"/>
      <c r="P415" s="211"/>
      <c r="Q415" s="211"/>
      <c r="R415" s="192"/>
      <c r="S415" s="30"/>
      <c r="T415" s="30"/>
      <c r="U415" s="30"/>
      <c r="V415" s="185"/>
    </row>
    <row r="416" spans="1:22" s="14" customFormat="1" ht="18" hidden="1" customHeight="1">
      <c r="A416" s="184"/>
      <c r="B416" s="47" t="s">
        <v>668</v>
      </c>
      <c r="C416" s="47"/>
      <c r="D416" s="47"/>
      <c r="E416" s="47"/>
      <c r="F416" s="30"/>
      <c r="G416" s="30"/>
      <c r="H416" s="27"/>
      <c r="I416" s="28"/>
      <c r="J416" s="199"/>
      <c r="K416" s="30"/>
      <c r="L416" s="47" t="s">
        <v>127</v>
      </c>
      <c r="M416" s="204">
        <f>D414</f>
        <v>0.1</v>
      </c>
      <c r="N416" s="27" t="s">
        <v>347</v>
      </c>
      <c r="O416" s="211">
        <f>O414</f>
        <v>1.0770224400000001</v>
      </c>
      <c r="P416" s="211" t="s">
        <v>127</v>
      </c>
      <c r="Q416" s="211">
        <f>M416+O416</f>
        <v>1.1770224400000002</v>
      </c>
      <c r="R416" s="192" t="s">
        <v>333</v>
      </c>
      <c r="S416" s="30"/>
      <c r="T416" s="30"/>
      <c r="U416" s="30"/>
      <c r="V416" s="185"/>
    </row>
    <row r="417" spans="1:22" s="14" customFormat="1" ht="18" hidden="1" customHeight="1">
      <c r="A417" s="193" t="s">
        <v>600</v>
      </c>
      <c r="B417" s="5"/>
      <c r="C417" s="5"/>
      <c r="D417" s="5"/>
      <c r="E417" s="5"/>
      <c r="F417" s="5"/>
      <c r="G417" s="5"/>
      <c r="H417" s="212"/>
      <c r="I417" s="212"/>
      <c r="J417" s="5"/>
      <c r="K417" s="5"/>
      <c r="L417" s="5"/>
      <c r="M417" s="5"/>
      <c r="N417" s="5"/>
      <c r="O417" s="5"/>
      <c r="P417" s="103"/>
      <c r="Q417" s="212"/>
      <c r="R417" s="213"/>
      <c r="S417" s="214"/>
      <c r="T417" s="18"/>
      <c r="U417" s="18"/>
      <c r="V417" s="97"/>
    </row>
    <row r="418" spans="1:22" s="14" customFormat="1" ht="18" hidden="1" customHeight="1">
      <c r="A418" s="96"/>
      <c r="B418" s="47" t="s">
        <v>601</v>
      </c>
      <c r="C418" s="5"/>
      <c r="D418" s="5"/>
      <c r="E418" s="5"/>
      <c r="I418" s="215"/>
      <c r="M418" s="5"/>
      <c r="N418" s="103" t="s">
        <v>127</v>
      </c>
      <c r="O418" s="1154">
        <f>O155</f>
        <v>100</v>
      </c>
      <c r="P418" s="831"/>
      <c r="Q418" s="14" t="s">
        <v>602</v>
      </c>
      <c r="S418" s="214"/>
      <c r="T418" s="18"/>
      <c r="U418" s="18"/>
      <c r="V418" s="97"/>
    </row>
    <row r="419" spans="1:22" s="14" customFormat="1" ht="18" hidden="1" customHeight="1">
      <c r="A419" s="96"/>
      <c r="B419" s="47" t="s">
        <v>603</v>
      </c>
      <c r="C419" s="5"/>
      <c r="D419" s="5"/>
      <c r="E419" s="5"/>
      <c r="I419" s="215"/>
      <c r="M419" s="5"/>
      <c r="N419" s="103" t="s">
        <v>127</v>
      </c>
      <c r="O419" s="1154">
        <f>O156</f>
        <v>25</v>
      </c>
      <c r="P419" s="831"/>
      <c r="Q419" s="14" t="s">
        <v>604</v>
      </c>
      <c r="S419" s="214"/>
      <c r="T419" s="18"/>
      <c r="U419" s="18"/>
      <c r="V419" s="97"/>
    </row>
    <row r="420" spans="1:22" s="14" customFormat="1" ht="18" hidden="1" customHeight="1">
      <c r="A420" s="96"/>
      <c r="B420" s="47" t="s">
        <v>605</v>
      </c>
      <c r="C420" s="5"/>
      <c r="D420" s="5"/>
      <c r="E420" s="5"/>
      <c r="M420" s="120" t="s">
        <v>606</v>
      </c>
      <c r="N420" s="103" t="s">
        <v>607</v>
      </c>
      <c r="O420" s="1154">
        <f>'[3]Parameters &amp; Fault Cal.'!Q12</f>
        <v>132</v>
      </c>
      <c r="P420" s="831"/>
      <c r="Q420" s="14" t="s">
        <v>163</v>
      </c>
      <c r="S420" s="214"/>
      <c r="T420" s="18"/>
      <c r="U420" s="18"/>
      <c r="V420" s="97"/>
    </row>
    <row r="421" spans="1:22" s="14" customFormat="1" ht="18" hidden="1" customHeight="1">
      <c r="A421" s="216"/>
      <c r="B421" s="212"/>
      <c r="C421" s="212"/>
      <c r="D421" s="212"/>
      <c r="E421" s="212"/>
      <c r="T421" s="18"/>
      <c r="U421" s="18"/>
      <c r="V421" s="97"/>
    </row>
    <row r="422" spans="1:22" s="14" customFormat="1" ht="18" hidden="1" customHeight="1">
      <c r="A422" s="272" t="s">
        <v>608</v>
      </c>
      <c r="B422" s="213"/>
      <c r="C422" s="213"/>
      <c r="D422" s="213"/>
      <c r="E422" s="213"/>
      <c r="H422" s="120" t="s">
        <v>609</v>
      </c>
      <c r="I422" s="28" t="s">
        <v>127</v>
      </c>
      <c r="J422" s="689" t="s">
        <v>610</v>
      </c>
      <c r="K422" s="689"/>
      <c r="L422" s="28" t="s">
        <v>315</v>
      </c>
      <c r="M422" s="217">
        <v>1000</v>
      </c>
      <c r="N422" s="102" t="s">
        <v>342</v>
      </c>
      <c r="O422" s="28" t="s">
        <v>611</v>
      </c>
      <c r="P422" s="28" t="s">
        <v>315</v>
      </c>
      <c r="Q422" s="28" t="s">
        <v>606</v>
      </c>
      <c r="R422" s="47" t="s">
        <v>350</v>
      </c>
      <c r="T422" s="18"/>
      <c r="U422" s="18"/>
      <c r="V422" s="97"/>
    </row>
    <row r="423" spans="1:22" ht="18" hidden="1" customHeight="1">
      <c r="A423" s="216"/>
      <c r="B423" s="213"/>
      <c r="C423" s="213"/>
      <c r="D423" s="213"/>
      <c r="E423" s="213"/>
      <c r="F423" s="212"/>
      <c r="G423" s="212"/>
      <c r="H423" s="28"/>
      <c r="I423" s="28" t="s">
        <v>127</v>
      </c>
      <c r="J423" s="689">
        <f>O418</f>
        <v>100</v>
      </c>
      <c r="K423" s="689"/>
      <c r="L423" s="28" t="s">
        <v>315</v>
      </c>
      <c r="M423" s="217">
        <v>1000</v>
      </c>
      <c r="N423" s="102" t="s">
        <v>342</v>
      </c>
      <c r="O423" s="28" t="s">
        <v>611</v>
      </c>
      <c r="P423" s="28" t="s">
        <v>315</v>
      </c>
      <c r="Q423" s="28">
        <f>O420</f>
        <v>132</v>
      </c>
      <c r="R423" s="47" t="s">
        <v>350</v>
      </c>
      <c r="S423" s="14"/>
      <c r="T423" s="18"/>
      <c r="U423" s="18"/>
      <c r="V423" s="97"/>
    </row>
    <row r="424" spans="1:22" ht="18" hidden="1" customHeight="1">
      <c r="A424" s="216"/>
      <c r="B424" s="212"/>
      <c r="C424" s="212"/>
      <c r="D424" s="212"/>
      <c r="E424" s="212"/>
      <c r="F424" s="212"/>
      <c r="G424" s="212"/>
      <c r="H424" s="14"/>
      <c r="I424" s="28" t="s">
        <v>127</v>
      </c>
      <c r="J424" s="692">
        <f>(O418*1000)/(SQRT(3)*O420)</f>
        <v>437.38656756789834</v>
      </c>
      <c r="K424" s="692"/>
      <c r="L424" s="14" t="s">
        <v>8</v>
      </c>
      <c r="M424" s="120"/>
      <c r="N424" s="120"/>
      <c r="O424" s="120"/>
      <c r="P424" s="14"/>
      <c r="Q424" s="14"/>
      <c r="R424" s="14"/>
      <c r="S424" s="14"/>
      <c r="T424" s="18"/>
      <c r="U424" s="18"/>
      <c r="V424" s="97"/>
    </row>
    <row r="425" spans="1:22" ht="18" hidden="1" customHeight="1">
      <c r="A425" s="216"/>
      <c r="B425" s="212"/>
      <c r="C425" s="212"/>
      <c r="D425" s="212"/>
      <c r="E425" s="212"/>
      <c r="F425" s="14"/>
      <c r="G425" s="212"/>
      <c r="H425" s="28"/>
      <c r="I425" s="103"/>
      <c r="J425" s="28"/>
      <c r="K425" s="14"/>
      <c r="L425" s="14"/>
      <c r="M425" s="212"/>
      <c r="N425" s="219"/>
      <c r="O425" s="212"/>
      <c r="P425" s="14"/>
      <c r="Q425" s="14"/>
      <c r="R425" s="14"/>
      <c r="S425" s="14"/>
      <c r="T425" s="18"/>
      <c r="U425" s="18"/>
      <c r="V425" s="97"/>
    </row>
    <row r="426" spans="1:22" s="14" customFormat="1" ht="18" hidden="1" customHeight="1">
      <c r="A426" s="147" t="s">
        <v>629</v>
      </c>
      <c r="B426" s="5"/>
      <c r="C426" s="5"/>
      <c r="D426" s="5"/>
      <c r="E426" s="5"/>
      <c r="F426" s="212"/>
      <c r="G426" s="212"/>
      <c r="H426" s="5"/>
      <c r="I426" s="5"/>
      <c r="J426" s="5"/>
      <c r="K426" s="5"/>
      <c r="L426" s="103"/>
      <c r="M426" s="103"/>
      <c r="N426" s="103"/>
      <c r="O426" s="103"/>
      <c r="P426" s="212"/>
      <c r="Q426" s="213"/>
      <c r="S426" s="220"/>
      <c r="T426" s="18"/>
      <c r="U426" s="18"/>
      <c r="V426" s="97"/>
    </row>
    <row r="427" spans="1:22" s="14" customFormat="1" ht="18" hidden="1" customHeight="1">
      <c r="A427" s="147"/>
      <c r="B427" s="5"/>
      <c r="C427" s="5"/>
      <c r="D427" s="5"/>
      <c r="E427" s="5"/>
      <c r="F427" s="212"/>
      <c r="G427" s="212"/>
      <c r="H427" s="5"/>
      <c r="I427" s="5"/>
      <c r="J427" s="5"/>
      <c r="K427" s="5"/>
      <c r="L427" s="103"/>
      <c r="M427" s="103"/>
      <c r="N427" s="103"/>
      <c r="O427" s="103"/>
      <c r="P427" s="212"/>
      <c r="Q427" s="213"/>
      <c r="S427" s="214"/>
      <c r="T427" s="18"/>
      <c r="U427" s="18"/>
      <c r="V427" s="97"/>
    </row>
    <row r="428" spans="1:22" ht="18" hidden="1" customHeight="1">
      <c r="A428" s="96" t="s">
        <v>612</v>
      </c>
      <c r="B428" s="14"/>
      <c r="C428" s="14"/>
      <c r="D428" s="14"/>
      <c r="E428" s="14"/>
      <c r="M428" s="120" t="s">
        <v>613</v>
      </c>
      <c r="N428" s="28" t="s">
        <v>127</v>
      </c>
      <c r="O428" s="689" t="s">
        <v>609</v>
      </c>
      <c r="P428" s="716"/>
      <c r="Q428" s="221" t="s">
        <v>630</v>
      </c>
      <c r="R428" s="221">
        <v>16</v>
      </c>
      <c r="S428" s="186"/>
      <c r="V428" s="185"/>
    </row>
    <row r="429" spans="1:22" ht="18" hidden="1" customHeight="1">
      <c r="A429" s="96"/>
      <c r="B429" s="5"/>
      <c r="C429" s="5"/>
      <c r="D429" s="5"/>
      <c r="E429" s="5"/>
      <c r="M429" s="250"/>
      <c r="N429" s="28" t="s">
        <v>127</v>
      </c>
      <c r="O429" s="689">
        <f>+J424</f>
        <v>437.38656756789834</v>
      </c>
      <c r="P429" s="716"/>
      <c r="Q429" s="221" t="s">
        <v>630</v>
      </c>
      <c r="R429" s="221">
        <v>16</v>
      </c>
      <c r="S429" s="186"/>
      <c r="V429" s="185"/>
    </row>
    <row r="430" spans="1:22" s="279" customFormat="1" ht="18" hidden="1" customHeight="1">
      <c r="A430" s="96"/>
      <c r="B430" s="5"/>
      <c r="C430" s="5"/>
      <c r="D430" s="5"/>
      <c r="E430" s="5"/>
      <c r="F430" s="30"/>
      <c r="G430" s="30"/>
      <c r="H430" s="30"/>
      <c r="I430" s="30"/>
      <c r="J430" s="30"/>
      <c r="K430" s="30"/>
      <c r="L430" s="30"/>
      <c r="M430" s="120" t="s">
        <v>613</v>
      </c>
      <c r="N430" s="28" t="s">
        <v>127</v>
      </c>
      <c r="O430" s="689">
        <f>O429*R429</f>
        <v>6998.1850810863734</v>
      </c>
      <c r="P430" s="716"/>
      <c r="Q430" s="241" t="s">
        <v>8</v>
      </c>
      <c r="R430" s="14"/>
      <c r="S430" s="186"/>
      <c r="T430" s="30"/>
      <c r="U430" s="30"/>
      <c r="V430" s="185"/>
    </row>
    <row r="431" spans="1:22" s="279" customFormat="1" ht="18" hidden="1" customHeight="1">
      <c r="A431" s="194"/>
      <c r="B431" s="195"/>
      <c r="C431" s="195"/>
      <c r="D431" s="195"/>
      <c r="E431" s="195"/>
      <c r="F431" s="195"/>
      <c r="G431" s="195"/>
      <c r="H431" s="195"/>
      <c r="I431" s="195"/>
      <c r="J431" s="195"/>
      <c r="K431" s="195"/>
      <c r="L431" s="195"/>
      <c r="M431" s="195"/>
      <c r="N431" s="195"/>
      <c r="O431" s="195"/>
      <c r="P431" s="195"/>
      <c r="Q431" s="224"/>
      <c r="R431" s="182"/>
      <c r="S431" s="225"/>
      <c r="T431" s="195"/>
      <c r="U431" s="195"/>
      <c r="V431" s="134" t="s">
        <v>552</v>
      </c>
    </row>
    <row r="432" spans="1:22" ht="18" hidden="1" customHeight="1">
      <c r="A432" s="135"/>
      <c r="B432" s="273"/>
      <c r="C432" s="273"/>
      <c r="D432" s="273"/>
      <c r="E432" s="273"/>
      <c r="F432" s="273"/>
      <c r="G432" s="273"/>
      <c r="H432" s="273"/>
      <c r="I432" s="273"/>
      <c r="J432" s="273"/>
      <c r="K432" s="273"/>
      <c r="L432" s="273"/>
      <c r="M432" s="273"/>
      <c r="N432" s="273"/>
      <c r="O432" s="273"/>
      <c r="P432" s="273"/>
      <c r="Q432" s="274"/>
      <c r="R432" s="138"/>
      <c r="S432" s="275"/>
      <c r="T432" s="273"/>
      <c r="U432" s="273"/>
      <c r="V432" s="276"/>
    </row>
    <row r="433" spans="1:22" ht="18" hidden="1" customHeight="1">
      <c r="A433" s="96" t="s">
        <v>686</v>
      </c>
      <c r="V433" s="185"/>
    </row>
    <row r="434" spans="1:22" ht="18" hidden="1" customHeight="1">
      <c r="A434" s="184"/>
      <c r="V434" s="185"/>
    </row>
    <row r="435" spans="1:22" ht="18" hidden="1" customHeight="1">
      <c r="A435" s="277"/>
      <c r="B435" s="689" t="s">
        <v>473</v>
      </c>
      <c r="C435" s="1150" t="s">
        <v>652</v>
      </c>
      <c r="D435" s="279"/>
      <c r="E435" s="279"/>
      <c r="F435" s="279"/>
      <c r="G435" s="802" t="s">
        <v>687</v>
      </c>
      <c r="H435" s="1153" t="s">
        <v>315</v>
      </c>
      <c r="I435" s="708" t="s">
        <v>688</v>
      </c>
      <c r="J435" s="1147"/>
      <c r="K435" s="1147"/>
      <c r="L435" s="1147"/>
      <c r="M435" s="1147"/>
      <c r="N435" s="689" t="s">
        <v>672</v>
      </c>
      <c r="O435" s="708" t="s">
        <v>420</v>
      </c>
      <c r="P435" s="689" t="s">
        <v>347</v>
      </c>
      <c r="Q435" s="708" t="s">
        <v>689</v>
      </c>
      <c r="R435" s="708" t="s">
        <v>674</v>
      </c>
      <c r="S435" s="708" t="s">
        <v>411</v>
      </c>
      <c r="T435" s="14"/>
      <c r="U435" s="729" t="s">
        <v>653</v>
      </c>
      <c r="V435" s="185"/>
    </row>
    <row r="436" spans="1:22" ht="18" hidden="1" customHeight="1">
      <c r="A436" s="277"/>
      <c r="B436" s="689"/>
      <c r="C436" s="689"/>
      <c r="D436" s="279"/>
      <c r="E436" s="279"/>
      <c r="F436" s="279"/>
      <c r="G436" s="802"/>
      <c r="H436" s="689"/>
      <c r="I436" s="689">
        <v>1.3</v>
      </c>
      <c r="J436" s="689"/>
      <c r="K436" s="28" t="s">
        <v>315</v>
      </c>
      <c r="L436" s="689" t="s">
        <v>423</v>
      </c>
      <c r="M436" s="689"/>
      <c r="N436" s="689"/>
      <c r="O436" s="689"/>
      <c r="P436" s="689"/>
      <c r="Q436" s="689"/>
      <c r="R436" s="689"/>
      <c r="S436" s="689"/>
      <c r="T436" s="14"/>
      <c r="U436" s="689"/>
      <c r="V436" s="185"/>
    </row>
    <row r="437" spans="1:22" ht="18" hidden="1" customHeight="1">
      <c r="A437" s="184"/>
      <c r="V437" s="185"/>
    </row>
    <row r="438" spans="1:22" ht="18" hidden="1" customHeight="1">
      <c r="A438" s="184"/>
      <c r="B438" s="47" t="s">
        <v>654</v>
      </c>
      <c r="C438" s="14"/>
      <c r="D438" s="14"/>
      <c r="E438" s="14"/>
      <c r="F438" s="18"/>
      <c r="G438" s="18"/>
      <c r="H438" s="14"/>
      <c r="I438" s="120"/>
      <c r="J438" s="14"/>
      <c r="K438" s="14"/>
      <c r="M438" s="14"/>
      <c r="N438" s="14"/>
      <c r="P438" s="14" t="s">
        <v>423</v>
      </c>
      <c r="R438" s="234" t="s">
        <v>127</v>
      </c>
      <c r="S438" s="684">
        <f>H397</f>
        <v>5000</v>
      </c>
      <c r="T438" s="684"/>
      <c r="U438" s="30" t="s">
        <v>8</v>
      </c>
      <c r="V438" s="185"/>
    </row>
    <row r="439" spans="1:22" ht="18" hidden="1" customHeight="1">
      <c r="A439" s="184"/>
      <c r="B439" s="47" t="s">
        <v>655</v>
      </c>
      <c r="C439" s="14"/>
      <c r="D439" s="14"/>
      <c r="E439" s="14"/>
      <c r="F439" s="18"/>
      <c r="G439" s="18"/>
      <c r="H439" s="14"/>
      <c r="I439" s="120"/>
      <c r="J439" s="14"/>
      <c r="K439" s="14"/>
      <c r="M439" s="14"/>
      <c r="N439" s="14"/>
      <c r="P439" s="14" t="s">
        <v>420</v>
      </c>
      <c r="R439" s="234" t="s">
        <v>127</v>
      </c>
      <c r="S439" s="684">
        <f>H399</f>
        <v>20</v>
      </c>
      <c r="T439" s="684"/>
      <c r="U439" s="192" t="s">
        <v>333</v>
      </c>
      <c r="V439" s="185"/>
    </row>
    <row r="440" spans="1:22" ht="18" hidden="1" customHeight="1">
      <c r="A440" s="184"/>
      <c r="B440" s="47" t="s">
        <v>676</v>
      </c>
      <c r="C440" s="14"/>
      <c r="D440" s="14"/>
      <c r="E440" s="14"/>
      <c r="F440" s="18"/>
      <c r="G440" s="18"/>
      <c r="H440" s="14"/>
      <c r="I440" s="120"/>
      <c r="J440" s="14"/>
      <c r="K440" s="14"/>
      <c r="M440" s="14"/>
      <c r="N440" s="14"/>
      <c r="P440" s="14" t="s">
        <v>690</v>
      </c>
      <c r="R440" s="234" t="s">
        <v>127</v>
      </c>
      <c r="S440" s="795">
        <f>Q416</f>
        <v>1.1770224400000002</v>
      </c>
      <c r="T440" s="795"/>
      <c r="U440" s="192" t="s">
        <v>333</v>
      </c>
      <c r="V440" s="185"/>
    </row>
    <row r="441" spans="1:22" ht="18" hidden="1" customHeight="1">
      <c r="A441" s="184"/>
      <c r="B441" s="47" t="s">
        <v>691</v>
      </c>
      <c r="C441" s="14"/>
      <c r="D441" s="14"/>
      <c r="E441" s="14"/>
      <c r="F441" s="14"/>
      <c r="G441" s="14"/>
      <c r="H441" s="14"/>
      <c r="I441" s="120"/>
      <c r="J441" s="14"/>
      <c r="K441" s="14"/>
      <c r="M441" s="14"/>
      <c r="N441" s="14"/>
      <c r="P441" s="14" t="s">
        <v>411</v>
      </c>
      <c r="R441" s="234" t="s">
        <v>127</v>
      </c>
      <c r="S441" s="684">
        <f>O397</f>
        <v>1</v>
      </c>
      <c r="T441" s="684"/>
      <c r="U441" s="30" t="s">
        <v>8</v>
      </c>
      <c r="V441" s="185"/>
    </row>
    <row r="442" spans="1:22" ht="18" hidden="1" customHeight="1">
      <c r="A442" s="184"/>
      <c r="B442" s="47" t="s">
        <v>678</v>
      </c>
      <c r="C442" s="14"/>
      <c r="D442" s="14"/>
      <c r="E442" s="14"/>
      <c r="F442" s="14"/>
      <c r="G442" s="14"/>
      <c r="H442" s="14"/>
      <c r="I442" s="120"/>
      <c r="J442" s="14"/>
      <c r="K442" s="14"/>
      <c r="M442" s="14"/>
      <c r="N442" s="14"/>
      <c r="P442" s="120" t="s">
        <v>688</v>
      </c>
      <c r="R442" s="234" t="s">
        <v>127</v>
      </c>
      <c r="S442" s="684">
        <f>O430</f>
        <v>6998.1850810863734</v>
      </c>
      <c r="T442" s="684"/>
      <c r="U442" s="30" t="s">
        <v>8</v>
      </c>
      <c r="V442" s="185"/>
    </row>
    <row r="443" spans="1:22" s="279" customFormat="1" ht="18" hidden="1" customHeight="1">
      <c r="A443" s="184"/>
      <c r="B443" s="47" t="s">
        <v>692</v>
      </c>
      <c r="C443" s="14"/>
      <c r="D443" s="14"/>
      <c r="E443" s="14"/>
      <c r="F443" s="14"/>
      <c r="G443" s="14"/>
      <c r="H443" s="14"/>
      <c r="I443" s="120"/>
      <c r="J443" s="14"/>
      <c r="K443" s="14"/>
      <c r="L443" s="30"/>
      <c r="M443" s="14"/>
      <c r="N443" s="14"/>
      <c r="O443" s="30"/>
      <c r="P443" s="120" t="s">
        <v>680</v>
      </c>
      <c r="Q443" s="30"/>
      <c r="R443" s="234" t="s">
        <v>127</v>
      </c>
      <c r="S443" s="795">
        <f>J424</f>
        <v>437.38656756789834</v>
      </c>
      <c r="T443" s="684"/>
      <c r="U443" s="30" t="s">
        <v>8</v>
      </c>
      <c r="V443" s="185"/>
    </row>
    <row r="444" spans="1:22" s="279" customFormat="1" ht="18" hidden="1" customHeight="1">
      <c r="A444" s="184"/>
      <c r="B444" s="47" t="s">
        <v>659</v>
      </c>
      <c r="C444" s="14"/>
      <c r="D444" s="14"/>
      <c r="E444" s="14"/>
      <c r="F444" s="14"/>
      <c r="G444" s="14"/>
      <c r="H444" s="14"/>
      <c r="I444" s="120"/>
      <c r="J444" s="14"/>
      <c r="K444" s="14"/>
      <c r="L444" s="30"/>
      <c r="M444" s="14"/>
      <c r="N444" s="14"/>
      <c r="O444" s="30"/>
      <c r="P444" s="120" t="s">
        <v>660</v>
      </c>
      <c r="Q444" s="30"/>
      <c r="R444" s="234" t="s">
        <v>127</v>
      </c>
      <c r="S444" s="684">
        <f>S242</f>
        <v>1</v>
      </c>
      <c r="T444" s="684"/>
      <c r="U444" s="30" t="s">
        <v>8</v>
      </c>
      <c r="V444" s="185"/>
    </row>
    <row r="445" spans="1:22" ht="18" hidden="1" customHeight="1">
      <c r="A445" s="96"/>
      <c r="B445" s="14"/>
      <c r="C445" s="14"/>
      <c r="D445" s="235"/>
      <c r="E445" s="14"/>
      <c r="F445" s="28"/>
      <c r="G445" s="249"/>
      <c r="H445" s="28"/>
      <c r="I445" s="251"/>
      <c r="J445" s="14"/>
      <c r="K445" s="280"/>
      <c r="M445" s="47"/>
      <c r="N445" s="268"/>
      <c r="P445" s="281"/>
      <c r="R445" s="234"/>
      <c r="S445" s="1148"/>
      <c r="T445" s="723"/>
      <c r="V445" s="185"/>
    </row>
    <row r="446" spans="1:22" ht="18" hidden="1" customHeight="1">
      <c r="A446" s="272" t="s">
        <v>693</v>
      </c>
      <c r="B446" s="14"/>
      <c r="C446" s="14"/>
      <c r="D446" s="14"/>
      <c r="E446" s="14"/>
      <c r="F446" s="14"/>
      <c r="G446" s="14"/>
      <c r="H446" s="28">
        <v>3</v>
      </c>
      <c r="I446" s="47" t="s">
        <v>694</v>
      </c>
      <c r="J446" s="14"/>
      <c r="K446" s="14"/>
      <c r="M446" s="14" t="s">
        <v>337</v>
      </c>
      <c r="N446" s="14"/>
      <c r="P446" s="120"/>
      <c r="R446" s="234"/>
      <c r="S446" s="1149"/>
      <c r="T446" s="723"/>
      <c r="V446" s="185"/>
    </row>
    <row r="447" spans="1:22" ht="18" hidden="1" customHeight="1">
      <c r="A447" s="272"/>
      <c r="B447" s="14"/>
      <c r="C447" s="14"/>
      <c r="D447" s="14"/>
      <c r="E447" s="14"/>
      <c r="F447" s="14"/>
      <c r="G447" s="14"/>
      <c r="H447" s="28"/>
      <c r="I447" s="47"/>
      <c r="J447" s="14"/>
      <c r="K447" s="14"/>
      <c r="M447" s="14"/>
      <c r="N447" s="14"/>
      <c r="P447" s="120"/>
      <c r="R447" s="234"/>
      <c r="S447" s="282"/>
      <c r="V447" s="185"/>
    </row>
    <row r="448" spans="1:22" ht="18" hidden="1" customHeight="1">
      <c r="A448" s="277"/>
      <c r="B448" s="689" t="s">
        <v>703</v>
      </c>
      <c r="C448" s="1150" t="s">
        <v>652</v>
      </c>
      <c r="D448" s="279"/>
      <c r="E448" s="279"/>
      <c r="F448" s="279"/>
      <c r="G448" s="802">
        <f>H446</f>
        <v>3</v>
      </c>
      <c r="H448" s="1151" t="s">
        <v>315</v>
      </c>
      <c r="I448" s="829">
        <f>S442</f>
        <v>6998.1850810863734</v>
      </c>
      <c r="J448" s="1152"/>
      <c r="K448" s="1152"/>
      <c r="L448" s="1152"/>
      <c r="M448" s="1152"/>
      <c r="N448" s="689" t="s">
        <v>672</v>
      </c>
      <c r="O448" s="708">
        <f>S439</f>
        <v>20</v>
      </c>
      <c r="P448" s="689" t="s">
        <v>347</v>
      </c>
      <c r="Q448" s="829">
        <f>S440</f>
        <v>1.1770224400000002</v>
      </c>
      <c r="R448" s="708" t="s">
        <v>674</v>
      </c>
      <c r="S448" s="708">
        <f>S441</f>
        <v>1</v>
      </c>
      <c r="T448" s="14"/>
      <c r="U448" s="729" t="s">
        <v>653</v>
      </c>
      <c r="V448" s="185"/>
    </row>
    <row r="449" spans="1:22" ht="18" hidden="1" customHeight="1">
      <c r="A449" s="277"/>
      <c r="B449" s="689"/>
      <c r="C449" s="689"/>
      <c r="D449" s="279"/>
      <c r="E449" s="279"/>
      <c r="F449" s="279"/>
      <c r="G449" s="802"/>
      <c r="H449" s="684"/>
      <c r="I449" s="689">
        <v>1.3</v>
      </c>
      <c r="J449" s="684"/>
      <c r="K449" s="28" t="s">
        <v>315</v>
      </c>
      <c r="L449" s="689">
        <f>S438</f>
        <v>5000</v>
      </c>
      <c r="M449" s="684"/>
      <c r="N449" s="689"/>
      <c r="O449" s="689"/>
      <c r="P449" s="689"/>
      <c r="Q449" s="689"/>
      <c r="R449" s="689"/>
      <c r="S449" s="689"/>
      <c r="T449" s="14"/>
      <c r="U449" s="689"/>
      <c r="V449" s="185"/>
    </row>
    <row r="450" spans="1:22" ht="18" hidden="1" customHeight="1">
      <c r="A450" s="96"/>
      <c r="B450" s="14"/>
      <c r="C450" s="27" t="s">
        <v>127</v>
      </c>
      <c r="D450" s="812">
        <f>G448*(I448/(I449*L449)*(O448+Q448)*S448)</f>
        <v>68.400333462202781</v>
      </c>
      <c r="E450" s="813"/>
      <c r="F450" s="30" t="s">
        <v>305</v>
      </c>
      <c r="G450" s="14"/>
      <c r="H450" s="14"/>
      <c r="I450" s="14"/>
      <c r="J450" s="14"/>
      <c r="K450" s="14"/>
      <c r="L450" s="14"/>
      <c r="M450" s="14"/>
      <c r="N450" s="14"/>
      <c r="R450" s="234"/>
      <c r="S450" s="204"/>
      <c r="V450" s="185"/>
    </row>
    <row r="451" spans="1:22" ht="18" hidden="1" customHeight="1">
      <c r="A451" s="96"/>
      <c r="B451" s="14"/>
      <c r="G451" s="14"/>
      <c r="H451" s="14"/>
      <c r="I451" s="14"/>
      <c r="J451" s="14"/>
      <c r="K451" s="14"/>
      <c r="L451" s="14"/>
      <c r="M451" s="14"/>
      <c r="N451" s="14"/>
      <c r="R451" s="234"/>
      <c r="S451" s="204"/>
      <c r="V451" s="185"/>
    </row>
    <row r="452" spans="1:22" ht="18" hidden="1" customHeight="1">
      <c r="A452" s="96"/>
      <c r="B452" s="14"/>
      <c r="D452" s="30" t="s">
        <v>475</v>
      </c>
      <c r="G452" s="27" t="str">
        <f>IF(E453&gt;H453,"&gt;","&lt;")</f>
        <v>&gt;</v>
      </c>
      <c r="H452" s="30" t="s">
        <v>477</v>
      </c>
      <c r="M452" s="14"/>
      <c r="N452" s="14"/>
      <c r="R452" s="234"/>
      <c r="S452" s="204"/>
      <c r="V452" s="185"/>
    </row>
    <row r="453" spans="1:22" ht="18" hidden="1" customHeight="1">
      <c r="A453" s="96"/>
      <c r="B453" s="14"/>
      <c r="E453" s="684">
        <f>H400</f>
        <v>1000</v>
      </c>
      <c r="F453" s="684"/>
      <c r="G453" s="27" t="str">
        <f>G452</f>
        <v>&gt;</v>
      </c>
      <c r="H453" s="795">
        <f>D450</f>
        <v>68.400333462202781</v>
      </c>
      <c r="I453" s="684"/>
      <c r="M453" s="14"/>
      <c r="N453" s="14"/>
      <c r="R453" s="234"/>
      <c r="S453" s="204"/>
      <c r="V453" s="185"/>
    </row>
    <row r="454" spans="1:22" ht="18" hidden="1" customHeight="1">
      <c r="A454" s="96"/>
      <c r="B454" s="14"/>
      <c r="F454" s="244" t="s">
        <v>478</v>
      </c>
      <c r="H454" s="18" t="str">
        <f>IF(G452="&gt;","Suitably Dimentioned","Under Dimentioned")</f>
        <v>Suitably Dimentioned</v>
      </c>
      <c r="M454" s="14"/>
      <c r="N454" s="14"/>
      <c r="R454" s="234"/>
      <c r="S454" s="204"/>
      <c r="V454" s="185"/>
    </row>
    <row r="455" spans="1:22" ht="18" hidden="1" customHeight="1">
      <c r="A455" s="96"/>
      <c r="B455" s="14"/>
      <c r="G455" s="14"/>
      <c r="H455" s="14"/>
      <c r="I455" s="14"/>
      <c r="J455" s="14"/>
      <c r="K455" s="14"/>
      <c r="L455" s="14"/>
      <c r="M455" s="14"/>
      <c r="N455" s="14"/>
      <c r="R455" s="234"/>
      <c r="S455" s="204"/>
      <c r="V455" s="185"/>
    </row>
    <row r="456" spans="1:22" ht="18" hidden="1" customHeight="1">
      <c r="A456" s="193" t="s">
        <v>695</v>
      </c>
      <c r="B456" s="14"/>
      <c r="G456" s="14"/>
      <c r="H456" s="14"/>
      <c r="I456" s="14"/>
      <c r="J456" s="14"/>
      <c r="K456" s="14"/>
      <c r="L456" s="14"/>
      <c r="M456" s="14"/>
      <c r="N456" s="14"/>
      <c r="R456" s="234"/>
      <c r="S456" s="204"/>
      <c r="V456" s="185"/>
    </row>
    <row r="457" spans="1:22" ht="18" hidden="1" customHeight="1">
      <c r="A457" s="96"/>
      <c r="B457" s="14"/>
      <c r="D457" s="802" t="s">
        <v>696</v>
      </c>
      <c r="E457" s="716"/>
      <c r="F457" s="689" t="s">
        <v>127</v>
      </c>
      <c r="G457" s="708" t="s">
        <v>423</v>
      </c>
      <c r="H457" s="1147"/>
      <c r="I457" s="689" t="s">
        <v>315</v>
      </c>
      <c r="J457" s="708" t="s">
        <v>697</v>
      </c>
      <c r="K457" s="1147"/>
      <c r="L457" s="14"/>
      <c r="M457" s="14"/>
      <c r="N457" s="14"/>
      <c r="R457" s="234"/>
      <c r="S457" s="204"/>
      <c r="V457" s="185"/>
    </row>
    <row r="458" spans="1:22" ht="18" hidden="1" customHeight="1">
      <c r="A458" s="96"/>
      <c r="B458" s="14"/>
      <c r="D458" s="716"/>
      <c r="E458" s="716"/>
      <c r="F458" s="689"/>
      <c r="G458" s="689" t="s">
        <v>680</v>
      </c>
      <c r="H458" s="716"/>
      <c r="I458" s="689"/>
      <c r="J458" s="689" t="s">
        <v>411</v>
      </c>
      <c r="K458" s="716"/>
      <c r="L458" s="14"/>
      <c r="M458" s="14"/>
      <c r="N458" s="14"/>
      <c r="R458" s="234"/>
      <c r="S458" s="204"/>
      <c r="V458" s="185"/>
    </row>
    <row r="459" spans="1:22" ht="18" hidden="1" customHeight="1">
      <c r="A459" s="96"/>
      <c r="B459" s="14"/>
      <c r="D459" s="14"/>
      <c r="E459" s="14"/>
      <c r="F459" s="14"/>
      <c r="G459" s="14"/>
      <c r="H459" s="14"/>
      <c r="I459" s="14"/>
      <c r="J459" s="14"/>
      <c r="K459" s="14"/>
      <c r="L459" s="14"/>
      <c r="M459" s="14"/>
      <c r="N459" s="14"/>
      <c r="R459" s="234"/>
      <c r="S459" s="204"/>
      <c r="V459" s="185"/>
    </row>
    <row r="460" spans="1:22" ht="18" hidden="1" customHeight="1">
      <c r="A460" s="96"/>
      <c r="B460" s="14"/>
      <c r="D460" s="14"/>
      <c r="E460" s="14"/>
      <c r="F460" s="689" t="s">
        <v>127</v>
      </c>
      <c r="G460" s="708">
        <f>S438</f>
        <v>5000</v>
      </c>
      <c r="H460" s="1147"/>
      <c r="I460" s="689" t="s">
        <v>315</v>
      </c>
      <c r="J460" s="708">
        <f>S444</f>
        <v>1</v>
      </c>
      <c r="K460" s="1147"/>
      <c r="L460" s="14"/>
      <c r="M460" s="14"/>
      <c r="N460" s="14"/>
      <c r="R460" s="234"/>
      <c r="S460" s="204"/>
      <c r="V460" s="185"/>
    </row>
    <row r="461" spans="1:22" ht="18" hidden="1" customHeight="1">
      <c r="A461" s="96"/>
      <c r="B461" s="14"/>
      <c r="D461" s="14"/>
      <c r="E461" s="14"/>
      <c r="F461" s="689"/>
      <c r="G461" s="692">
        <f>J424</f>
        <v>437.38656756789834</v>
      </c>
      <c r="H461" s="716"/>
      <c r="I461" s="689"/>
      <c r="J461" s="689">
        <f>S441</f>
        <v>1</v>
      </c>
      <c r="K461" s="716"/>
      <c r="L461" s="14"/>
      <c r="M461" s="14"/>
      <c r="N461" s="14"/>
      <c r="R461" s="234"/>
      <c r="S461" s="204"/>
      <c r="V461" s="185"/>
    </row>
    <row r="462" spans="1:22" ht="18" hidden="1" customHeight="1">
      <c r="A462" s="96"/>
      <c r="B462" s="14"/>
      <c r="D462" s="14"/>
      <c r="E462" s="14"/>
      <c r="F462" s="14"/>
      <c r="G462" s="14"/>
      <c r="H462" s="14"/>
      <c r="I462" s="14"/>
      <c r="J462" s="14"/>
      <c r="K462" s="14"/>
      <c r="L462" s="14"/>
      <c r="M462" s="14"/>
      <c r="N462" s="14"/>
      <c r="R462" s="234"/>
      <c r="S462" s="204"/>
      <c r="V462" s="185"/>
    </row>
    <row r="463" spans="1:22" ht="18" hidden="1" customHeight="1">
      <c r="A463" s="96"/>
      <c r="B463" s="14"/>
      <c r="D463" s="14"/>
      <c r="E463" s="14"/>
      <c r="F463" s="28" t="s">
        <v>127</v>
      </c>
      <c r="G463" s="716">
        <f>(G460/G461)*(J460/J461)</f>
        <v>11.43153532995459</v>
      </c>
      <c r="H463" s="716"/>
      <c r="I463" s="14"/>
      <c r="J463" s="14"/>
      <c r="K463" s="14"/>
      <c r="L463" s="14"/>
      <c r="M463" s="14"/>
      <c r="N463" s="14"/>
      <c r="R463" s="234"/>
      <c r="S463" s="204"/>
      <c r="V463" s="185"/>
    </row>
    <row r="464" spans="1:22" ht="18" hidden="1" customHeight="1">
      <c r="A464" s="96"/>
      <c r="B464" s="14"/>
      <c r="G464" s="14"/>
      <c r="H464" s="14"/>
      <c r="I464" s="14"/>
      <c r="J464" s="14"/>
      <c r="K464" s="14"/>
      <c r="L464" s="14"/>
      <c r="M464" s="14"/>
      <c r="N464" s="14"/>
      <c r="R464" s="234"/>
      <c r="S464" s="204"/>
      <c r="V464" s="185"/>
    </row>
    <row r="465" spans="1:22" s="14" customFormat="1" ht="18" hidden="1" customHeight="1">
      <c r="A465" s="96"/>
      <c r="C465" s="30"/>
      <c r="D465" s="283" t="s">
        <v>698</v>
      </c>
      <c r="E465" s="284" t="s">
        <v>699</v>
      </c>
      <c r="F465" s="689" t="s">
        <v>696</v>
      </c>
      <c r="G465" s="716"/>
      <c r="H465" s="716"/>
      <c r="I465" s="284" t="s">
        <v>699</v>
      </c>
      <c r="J465" s="28">
        <v>4</v>
      </c>
      <c r="K465" s="30"/>
      <c r="L465" s="279"/>
      <c r="M465" s="120" t="s">
        <v>700</v>
      </c>
      <c r="N465" s="47" t="s">
        <v>701</v>
      </c>
      <c r="O465" s="279"/>
      <c r="P465" s="236"/>
      <c r="Q465" s="236"/>
      <c r="R465" s="234"/>
      <c r="S465" s="204"/>
      <c r="T465" s="30"/>
      <c r="U465" s="30"/>
      <c r="V465" s="185"/>
    </row>
    <row r="466" spans="1:22" ht="18" hidden="1" customHeight="1">
      <c r="A466" s="96"/>
      <c r="B466" s="14"/>
      <c r="D466" s="218">
        <v>0.25</v>
      </c>
      <c r="E466" s="284" t="str">
        <f>IF(D466&lt;=G463,"≤","&gt;")</f>
        <v>≤</v>
      </c>
      <c r="F466" s="688">
        <f>G463</f>
        <v>11.43153532995459</v>
      </c>
      <c r="G466" s="1145"/>
      <c r="H466" s="688"/>
      <c r="I466" s="284" t="str">
        <f>IF(G463&lt;=J465,"≤","&gt;")</f>
        <v>&gt;</v>
      </c>
      <c r="J466" s="28">
        <f>J465</f>
        <v>4</v>
      </c>
      <c r="L466" s="279"/>
      <c r="M466" s="120"/>
      <c r="N466" s="213"/>
      <c r="O466" s="279"/>
      <c r="P466" s="236"/>
      <c r="Q466" s="236"/>
      <c r="R466" s="234"/>
      <c r="S466" s="204"/>
      <c r="V466" s="185"/>
    </row>
    <row r="467" spans="1:22" ht="18" hidden="1" customHeight="1">
      <c r="A467" s="96"/>
      <c r="B467" s="14"/>
      <c r="G467" s="14"/>
      <c r="H467" s="14"/>
      <c r="I467" s="14"/>
      <c r="J467" s="14"/>
      <c r="K467" s="14"/>
      <c r="L467" s="14"/>
      <c r="M467" s="14"/>
      <c r="N467" s="14"/>
      <c r="R467" s="234"/>
      <c r="S467" s="204"/>
      <c r="V467" s="185"/>
    </row>
    <row r="468" spans="1:22" ht="18" hidden="1" customHeight="1">
      <c r="A468" s="96"/>
      <c r="B468" s="14" t="s">
        <v>702</v>
      </c>
      <c r="G468" s="14"/>
      <c r="H468" s="18" t="str">
        <f>IF(AND(E466="≤",I466="≤")=TRUE,"OK","Not OK")</f>
        <v>Not OK</v>
      </c>
      <c r="I468" s="14"/>
      <c r="J468" s="14"/>
      <c r="K468" s="14"/>
      <c r="L468" s="14"/>
      <c r="M468" s="14"/>
      <c r="N468" s="14"/>
      <c r="R468" s="234"/>
      <c r="S468" s="204"/>
      <c r="V468" s="185"/>
    </row>
    <row r="469" spans="1:22" ht="18" hidden="1" customHeight="1">
      <c r="A469" s="96"/>
      <c r="B469" s="14"/>
      <c r="G469" s="14"/>
      <c r="H469" s="18"/>
      <c r="I469" s="14"/>
      <c r="J469" s="14"/>
      <c r="K469" s="14"/>
      <c r="L469" s="14"/>
      <c r="M469" s="14"/>
      <c r="N469" s="14"/>
      <c r="R469" s="234"/>
      <c r="S469" s="204"/>
      <c r="V469" s="185"/>
    </row>
    <row r="470" spans="1:22" ht="18" hidden="1" customHeight="1">
      <c r="A470" s="96"/>
      <c r="B470" s="14"/>
      <c r="G470" s="14"/>
      <c r="H470" s="18"/>
      <c r="I470" s="14"/>
      <c r="J470" s="14"/>
      <c r="K470" s="14"/>
      <c r="L470" s="14"/>
      <c r="M470" s="14"/>
      <c r="N470" s="14"/>
      <c r="R470" s="234"/>
      <c r="S470" s="204"/>
      <c r="V470" s="185"/>
    </row>
    <row r="471" spans="1:22" ht="18" hidden="1" customHeight="1">
      <c r="A471" s="96"/>
      <c r="B471" s="14"/>
      <c r="G471" s="14"/>
      <c r="H471" s="18"/>
      <c r="I471" s="14"/>
      <c r="J471" s="14"/>
      <c r="K471" s="14"/>
      <c r="L471" s="14"/>
      <c r="M471" s="14"/>
      <c r="N471" s="14"/>
      <c r="R471" s="234"/>
      <c r="S471" s="204"/>
      <c r="V471" s="185"/>
    </row>
    <row r="472" spans="1:22" ht="18" hidden="1" customHeight="1">
      <c r="A472" s="96"/>
      <c r="B472" s="14"/>
      <c r="G472" s="14"/>
      <c r="H472" s="18"/>
      <c r="I472" s="14"/>
      <c r="J472" s="14"/>
      <c r="K472" s="14"/>
      <c r="L472" s="14"/>
      <c r="M472" s="14"/>
      <c r="N472" s="14"/>
      <c r="R472" s="234"/>
      <c r="S472" s="204"/>
      <c r="V472" s="185"/>
    </row>
    <row r="473" spans="1:22" ht="18" hidden="1" customHeight="1">
      <c r="A473" s="96"/>
      <c r="B473" s="14"/>
      <c r="G473" s="14"/>
      <c r="H473" s="18"/>
      <c r="I473" s="14"/>
      <c r="J473" s="14"/>
      <c r="K473" s="14"/>
      <c r="L473" s="14"/>
      <c r="M473" s="14"/>
      <c r="N473" s="14"/>
      <c r="R473" s="234"/>
      <c r="S473" s="204"/>
      <c r="V473" s="185"/>
    </row>
    <row r="474" spans="1:22" ht="18" hidden="1" customHeight="1">
      <c r="A474" s="96"/>
      <c r="B474" s="14"/>
      <c r="G474" s="14"/>
      <c r="H474" s="14"/>
      <c r="I474" s="14"/>
      <c r="J474" s="14"/>
      <c r="K474" s="14"/>
      <c r="L474" s="14"/>
      <c r="M474" s="14"/>
      <c r="N474" s="14"/>
      <c r="R474" s="234"/>
      <c r="S474" s="204"/>
      <c r="V474" s="185"/>
    </row>
    <row r="475" spans="1:22" ht="18" hidden="1" customHeight="1">
      <c r="A475" s="194"/>
      <c r="B475" s="195"/>
      <c r="C475" s="195"/>
      <c r="D475" s="195"/>
      <c r="E475" s="195"/>
      <c r="F475" s="195"/>
      <c r="G475" s="195"/>
      <c r="H475" s="195"/>
      <c r="I475" s="195"/>
      <c r="J475" s="195"/>
      <c r="K475" s="195"/>
      <c r="L475" s="195"/>
      <c r="M475" s="195"/>
      <c r="N475" s="195"/>
      <c r="O475" s="195"/>
      <c r="P475" s="195"/>
      <c r="Q475" s="224"/>
      <c r="R475" s="182"/>
      <c r="S475" s="225"/>
      <c r="T475" s="195"/>
      <c r="U475" s="195"/>
      <c r="V475" s="134" t="s">
        <v>552</v>
      </c>
    </row>
    <row r="476" spans="1:22" ht="18" hidden="1" customHeight="1">
      <c r="A476" s="226"/>
      <c r="B476" s="227"/>
      <c r="C476" s="227"/>
      <c r="D476" s="227"/>
      <c r="E476" s="227"/>
      <c r="F476" s="227"/>
      <c r="G476" s="227"/>
      <c r="H476" s="227"/>
      <c r="I476" s="227"/>
      <c r="J476" s="227"/>
      <c r="K476" s="227"/>
      <c r="L476" s="227"/>
      <c r="M476" s="227"/>
      <c r="N476" s="227"/>
      <c r="O476" s="227"/>
      <c r="P476" s="227"/>
      <c r="Q476" s="227"/>
      <c r="R476" s="227"/>
      <c r="S476" s="227"/>
      <c r="T476" s="227"/>
      <c r="U476" s="227"/>
      <c r="V476" s="228"/>
    </row>
    <row r="477" spans="1:22" ht="18" hidden="1" customHeight="1">
      <c r="A477" s="184"/>
      <c r="B477" s="854" t="str">
        <f>B394</f>
        <v>CT1L1</v>
      </c>
      <c r="C477" s="831"/>
      <c r="D477" s="855" t="str">
        <f>D394</f>
        <v>Core3</v>
      </c>
      <c r="E477" s="856"/>
      <c r="F477" s="186" t="s">
        <v>636</v>
      </c>
      <c r="H477" s="684" t="str">
        <f>H394</f>
        <v>(Multi Func. Trans. Prtn + FMS + HV REF)</v>
      </c>
      <c r="I477" s="684"/>
      <c r="J477" s="684"/>
      <c r="K477" s="684"/>
      <c r="L477" s="684"/>
      <c r="M477" s="684"/>
      <c r="P477" s="186"/>
      <c r="S477" s="187" t="s">
        <v>387</v>
      </c>
      <c r="T477" s="1154" t="str">
        <f>T394</f>
        <v>7UT85</v>
      </c>
      <c r="U477" s="1155"/>
      <c r="V477" s="185"/>
    </row>
    <row r="478" spans="1:22" ht="18" hidden="1" customHeight="1">
      <c r="A478" s="184"/>
      <c r="B478" s="853" t="str">
        <f>B395</f>
        <v>CT1L2</v>
      </c>
      <c r="C478" s="853"/>
      <c r="D478" s="857"/>
      <c r="E478" s="858"/>
      <c r="F478" s="255"/>
      <c r="T478" s="1154">
        <f>T395</f>
        <v>0</v>
      </c>
      <c r="U478" s="1155"/>
      <c r="V478" s="185"/>
    </row>
    <row r="479" spans="1:22" ht="18" hidden="1" customHeight="1">
      <c r="A479" s="184"/>
      <c r="H479" s="708" t="s">
        <v>390</v>
      </c>
      <c r="I479" s="708"/>
      <c r="J479" s="789" t="s">
        <v>391</v>
      </c>
      <c r="K479" s="789"/>
      <c r="L479" s="708" t="s">
        <v>392</v>
      </c>
      <c r="M479" s="708"/>
      <c r="T479" s="1154">
        <f>T396</f>
        <v>0</v>
      </c>
      <c r="U479" s="1155"/>
      <c r="V479" s="185"/>
    </row>
    <row r="480" spans="1:22" ht="18" hidden="1" customHeight="1">
      <c r="A480" s="184"/>
      <c r="B480" s="47" t="s">
        <v>393</v>
      </c>
      <c r="H480" s="854">
        <f>H397</f>
        <v>5000</v>
      </c>
      <c r="I480" s="831"/>
      <c r="J480" s="863">
        <f>J397</f>
        <v>4000</v>
      </c>
      <c r="K480" s="864"/>
      <c r="L480" s="854">
        <f>L397</f>
        <v>3000</v>
      </c>
      <c r="M480" s="831"/>
      <c r="N480" s="102" t="s">
        <v>342</v>
      </c>
      <c r="O480" s="256">
        <f>O397</f>
        <v>1</v>
      </c>
      <c r="P480" s="27" t="s">
        <v>8</v>
      </c>
      <c r="V480" s="185"/>
    </row>
    <row r="481" spans="1:29" ht="18" hidden="1" customHeight="1">
      <c r="A481" s="184"/>
      <c r="B481" s="47" t="s">
        <v>394</v>
      </c>
      <c r="H481" s="14"/>
      <c r="I481" s="14"/>
      <c r="J481" s="854" t="str">
        <f>H398</f>
        <v>PX</v>
      </c>
      <c r="K481" s="776"/>
      <c r="L481" s="14"/>
      <c r="M481" s="14"/>
      <c r="V481" s="185"/>
    </row>
    <row r="482" spans="1:29" ht="18" hidden="1" customHeight="1">
      <c r="A482" s="184"/>
      <c r="B482" s="47" t="s">
        <v>396</v>
      </c>
      <c r="I482" s="120" t="s">
        <v>497</v>
      </c>
      <c r="J482" s="781">
        <v>15</v>
      </c>
      <c r="K482" s="782"/>
      <c r="L482" s="192" t="s">
        <v>333</v>
      </c>
      <c r="V482" s="185"/>
    </row>
    <row r="483" spans="1:29" ht="18" hidden="1" customHeight="1">
      <c r="A483" s="184"/>
      <c r="B483" s="47" t="s">
        <v>398</v>
      </c>
      <c r="I483" s="120" t="s">
        <v>498</v>
      </c>
      <c r="J483" s="781">
        <v>800</v>
      </c>
      <c r="K483" s="782"/>
      <c r="L483" s="14" t="s">
        <v>305</v>
      </c>
      <c r="V483" s="185"/>
      <c r="W483" s="30" t="s">
        <v>400</v>
      </c>
      <c r="AB483" s="785">
        <f>D538</f>
        <v>65.313344478465865</v>
      </c>
      <c r="AC483" s="786"/>
    </row>
    <row r="484" spans="1:29" ht="18" hidden="1" customHeight="1">
      <c r="A484" s="184"/>
      <c r="B484" s="14" t="s">
        <v>401</v>
      </c>
      <c r="I484" s="120" t="s">
        <v>402</v>
      </c>
      <c r="J484" s="781">
        <v>40</v>
      </c>
      <c r="K484" s="782"/>
      <c r="L484" s="30" t="s">
        <v>403</v>
      </c>
      <c r="V484" s="185"/>
    </row>
    <row r="485" spans="1:29" ht="18" hidden="1" customHeight="1">
      <c r="A485" s="96"/>
      <c r="V485" s="185"/>
    </row>
    <row r="486" spans="1:29" ht="18" hidden="1" customHeight="1">
      <c r="A486" s="193" t="s">
        <v>404</v>
      </c>
      <c r="V486" s="185"/>
    </row>
    <row r="487" spans="1:29" ht="18" hidden="1" customHeight="1">
      <c r="A487" s="184"/>
      <c r="V487" s="185"/>
    </row>
    <row r="488" spans="1:29" ht="18" hidden="1" customHeight="1">
      <c r="A488" s="184"/>
      <c r="B488" s="194" t="s">
        <v>405</v>
      </c>
      <c r="C488" s="195"/>
      <c r="D488" s="195" t="str">
        <f>T477</f>
        <v>7UT85</v>
      </c>
      <c r="E488" s="196"/>
      <c r="F488" s="196"/>
      <c r="G488" s="196"/>
      <c r="H488" s="182" t="s">
        <v>406</v>
      </c>
      <c r="I488" s="183" t="s">
        <v>127</v>
      </c>
      <c r="J488" s="766">
        <f>J405</f>
        <v>0.1</v>
      </c>
      <c r="K488" s="958"/>
      <c r="L488" s="3" t="s">
        <v>157</v>
      </c>
      <c r="V488" s="185"/>
    </row>
    <row r="489" spans="1:29" ht="18" hidden="1" customHeight="1">
      <c r="A489" s="184"/>
      <c r="B489" s="184" t="s">
        <v>405</v>
      </c>
      <c r="D489" s="30">
        <f>T478</f>
        <v>0</v>
      </c>
      <c r="H489" s="27"/>
      <c r="I489" s="177" t="s">
        <v>127</v>
      </c>
      <c r="J489" s="766">
        <f>J406</f>
        <v>0</v>
      </c>
      <c r="K489" s="958"/>
      <c r="L489" s="198" t="s">
        <v>157</v>
      </c>
      <c r="V489" s="185"/>
    </row>
    <row r="490" spans="1:29" ht="18" hidden="1" customHeight="1">
      <c r="A490" s="184"/>
      <c r="B490" s="184" t="s">
        <v>405</v>
      </c>
      <c r="D490" s="30">
        <f>T479</f>
        <v>0</v>
      </c>
      <c r="E490" s="14"/>
      <c r="G490" s="199"/>
      <c r="H490" s="27"/>
      <c r="I490" s="177" t="s">
        <v>127</v>
      </c>
      <c r="J490" s="766">
        <f>J407</f>
        <v>0</v>
      </c>
      <c r="K490" s="958"/>
      <c r="L490" s="202" t="s">
        <v>157</v>
      </c>
      <c r="V490" s="185"/>
    </row>
    <row r="491" spans="1:29" ht="18" hidden="1" customHeight="1">
      <c r="A491" s="184"/>
      <c r="B491" s="184" t="s">
        <v>412</v>
      </c>
      <c r="H491" s="27" t="s">
        <v>599</v>
      </c>
      <c r="I491" s="177" t="s">
        <v>127</v>
      </c>
      <c r="J491" s="766">
        <f>J408</f>
        <v>1.0770224400000001</v>
      </c>
      <c r="K491" s="958"/>
      <c r="L491" s="203" t="s">
        <v>157</v>
      </c>
      <c r="V491" s="185"/>
    </row>
    <row r="492" spans="1:29" ht="18" hidden="1" customHeight="1">
      <c r="A492" s="184"/>
      <c r="B492" s="205" t="s">
        <v>413</v>
      </c>
      <c r="C492" s="206"/>
      <c r="D492" s="206"/>
      <c r="E492" s="206"/>
      <c r="F492" s="207"/>
      <c r="G492" s="207"/>
      <c r="H492" s="190" t="s">
        <v>409</v>
      </c>
      <c r="I492" s="208" t="s">
        <v>127</v>
      </c>
      <c r="J492" s="766">
        <f>J489+J491</f>
        <v>1.0770224400000001</v>
      </c>
      <c r="K492" s="958"/>
      <c r="L492" s="210" t="s">
        <v>157</v>
      </c>
      <c r="V492" s="185"/>
    </row>
    <row r="493" spans="1:29" ht="18" hidden="1" customHeight="1">
      <c r="A493" s="184"/>
      <c r="B493" s="47"/>
      <c r="C493" s="47"/>
      <c r="D493" s="47"/>
      <c r="E493" s="47"/>
      <c r="H493" s="27"/>
      <c r="I493" s="28"/>
      <c r="J493" s="199"/>
      <c r="L493" s="47"/>
      <c r="O493" s="27"/>
      <c r="P493" s="211"/>
      <c r="Q493" s="211"/>
      <c r="R493" s="192"/>
      <c r="V493" s="185"/>
    </row>
    <row r="494" spans="1:29" ht="18" hidden="1" customHeight="1">
      <c r="A494" s="184"/>
      <c r="B494" s="197" t="s">
        <v>648</v>
      </c>
      <c r="L494" s="47"/>
      <c r="M494" s="197" t="s">
        <v>407</v>
      </c>
      <c r="V494" s="185"/>
    </row>
    <row r="495" spans="1:29" s="14" customFormat="1" ht="18" hidden="1" customHeight="1">
      <c r="A495" s="184"/>
      <c r="B495" s="27" t="s">
        <v>649</v>
      </c>
      <c r="C495" s="27" t="s">
        <v>127</v>
      </c>
      <c r="D495" s="30" t="s">
        <v>406</v>
      </c>
      <c r="E495" s="271" t="s">
        <v>410</v>
      </c>
      <c r="F495" s="27" t="s">
        <v>146</v>
      </c>
      <c r="G495" s="28" t="s">
        <v>315</v>
      </c>
      <c r="H495" s="218" t="s">
        <v>146</v>
      </c>
      <c r="I495" s="30" t="s">
        <v>350</v>
      </c>
      <c r="J495" s="199"/>
      <c r="K495" s="30"/>
      <c r="L495" s="47"/>
      <c r="M495" s="30" t="s">
        <v>408</v>
      </c>
      <c r="N495" s="27" t="s">
        <v>127</v>
      </c>
      <c r="O495" s="30" t="s">
        <v>409</v>
      </c>
      <c r="P495" s="191" t="s">
        <v>410</v>
      </c>
      <c r="Q495" s="244" t="s">
        <v>411</v>
      </c>
      <c r="R495" s="27" t="s">
        <v>315</v>
      </c>
      <c r="S495" s="30" t="s">
        <v>411</v>
      </c>
      <c r="T495" s="30" t="s">
        <v>350</v>
      </c>
      <c r="U495" s="30"/>
      <c r="V495" s="185"/>
    </row>
    <row r="496" spans="1:29" s="14" customFormat="1" ht="18" hidden="1" customHeight="1">
      <c r="A496" s="184"/>
      <c r="B496" s="47"/>
      <c r="C496" s="27" t="s">
        <v>127</v>
      </c>
      <c r="D496" s="204">
        <f>J488</f>
        <v>0.1</v>
      </c>
      <c r="E496" s="191" t="s">
        <v>410</v>
      </c>
      <c r="F496" s="27">
        <f>F413</f>
        <v>1</v>
      </c>
      <c r="G496" s="27" t="s">
        <v>315</v>
      </c>
      <c r="H496" s="27">
        <f>H413</f>
        <v>1</v>
      </c>
      <c r="I496" s="30" t="s">
        <v>350</v>
      </c>
      <c r="J496" s="199"/>
      <c r="K496" s="30"/>
      <c r="L496" s="47"/>
      <c r="M496" s="30"/>
      <c r="N496" s="27" t="s">
        <v>127</v>
      </c>
      <c r="O496" s="204">
        <f>J492</f>
        <v>1.0770224400000001</v>
      </c>
      <c r="P496" s="191" t="s">
        <v>410</v>
      </c>
      <c r="Q496" s="27">
        <f>O480</f>
        <v>1</v>
      </c>
      <c r="R496" s="27" t="s">
        <v>315</v>
      </c>
      <c r="S496" s="27">
        <f>O480</f>
        <v>1</v>
      </c>
      <c r="T496" s="30" t="s">
        <v>350</v>
      </c>
      <c r="U496" s="30"/>
      <c r="V496" s="185"/>
    </row>
    <row r="497" spans="1:22" s="14" customFormat="1" ht="18" hidden="1" customHeight="1">
      <c r="A497" s="184"/>
      <c r="B497" s="47"/>
      <c r="C497" s="27" t="s">
        <v>127</v>
      </c>
      <c r="D497" s="795">
        <f>D496/(F496*H496)</f>
        <v>0.1</v>
      </c>
      <c r="E497" s="795"/>
      <c r="F497" s="192" t="s">
        <v>333</v>
      </c>
      <c r="G497" s="30"/>
      <c r="H497" s="30"/>
      <c r="I497" s="30"/>
      <c r="J497" s="199"/>
      <c r="K497" s="30"/>
      <c r="L497" s="47"/>
      <c r="M497" s="30"/>
      <c r="N497" s="27" t="s">
        <v>127</v>
      </c>
      <c r="O497" s="795">
        <f>O496/(Q496*S496)</f>
        <v>1.0770224400000001</v>
      </c>
      <c r="P497" s="795"/>
      <c r="Q497" s="192" t="s">
        <v>333</v>
      </c>
      <c r="R497" s="30"/>
      <c r="S497" s="30"/>
      <c r="T497" s="30"/>
      <c r="U497" s="30"/>
      <c r="V497" s="185"/>
    </row>
    <row r="498" spans="1:22" s="14" customFormat="1" ht="18" hidden="1" customHeight="1">
      <c r="A498" s="184"/>
      <c r="B498" s="47"/>
      <c r="C498" s="47"/>
      <c r="D498" s="47"/>
      <c r="E498" s="47"/>
      <c r="F498" s="30"/>
      <c r="G498" s="30"/>
      <c r="H498" s="27"/>
      <c r="I498" s="28"/>
      <c r="J498" s="199"/>
      <c r="K498" s="30"/>
      <c r="L498" s="47"/>
      <c r="M498" s="30"/>
      <c r="N498" s="30"/>
      <c r="O498" s="27"/>
      <c r="P498" s="211"/>
      <c r="Q498" s="211"/>
      <c r="R498" s="192"/>
      <c r="S498" s="30"/>
      <c r="T498" s="30"/>
      <c r="U498" s="30"/>
      <c r="V498" s="185"/>
    </row>
    <row r="499" spans="1:22" s="14" customFormat="1" ht="18" hidden="1" customHeight="1">
      <c r="A499" s="184"/>
      <c r="B499" s="47" t="s">
        <v>668</v>
      </c>
      <c r="C499" s="47"/>
      <c r="D499" s="47"/>
      <c r="E499" s="47"/>
      <c r="F499" s="30"/>
      <c r="G499" s="30"/>
      <c r="H499" s="27"/>
      <c r="I499" s="28"/>
      <c r="J499" s="199"/>
      <c r="K499" s="30"/>
      <c r="L499" s="47" t="s">
        <v>127</v>
      </c>
      <c r="M499" s="204">
        <f>D497</f>
        <v>0.1</v>
      </c>
      <c r="N499" s="27" t="s">
        <v>347</v>
      </c>
      <c r="O499" s="211">
        <f>O497</f>
        <v>1.0770224400000001</v>
      </c>
      <c r="P499" s="211" t="s">
        <v>127</v>
      </c>
      <c r="Q499" s="211">
        <f>M499+O499</f>
        <v>1.1770224400000002</v>
      </c>
      <c r="R499" s="192" t="s">
        <v>333</v>
      </c>
      <c r="S499" s="30"/>
      <c r="T499" s="30"/>
      <c r="U499" s="30"/>
      <c r="V499" s="185"/>
    </row>
    <row r="500" spans="1:22" s="14" customFormat="1" ht="18" hidden="1" customHeight="1">
      <c r="A500" s="193" t="s">
        <v>600</v>
      </c>
      <c r="B500" s="5"/>
      <c r="C500" s="5"/>
      <c r="D500" s="5"/>
      <c r="E500" s="5"/>
      <c r="F500" s="5"/>
      <c r="G500" s="5"/>
      <c r="H500" s="212"/>
      <c r="I500" s="212"/>
      <c r="J500" s="5"/>
      <c r="K500" s="5"/>
      <c r="L500" s="5"/>
      <c r="M500" s="5"/>
      <c r="N500" s="5"/>
      <c r="O500" s="5"/>
      <c r="P500" s="103"/>
      <c r="Q500" s="212"/>
      <c r="R500" s="213"/>
      <c r="S500" s="214"/>
      <c r="T500" s="18"/>
      <c r="U500" s="18"/>
      <c r="V500" s="97"/>
    </row>
    <row r="501" spans="1:22" s="14" customFormat="1" ht="18" hidden="1" customHeight="1">
      <c r="A501" s="96"/>
      <c r="B501" s="47" t="s">
        <v>601</v>
      </c>
      <c r="C501" s="5"/>
      <c r="D501" s="5"/>
      <c r="E501" s="5"/>
      <c r="I501" s="215"/>
      <c r="M501" s="5"/>
      <c r="N501" s="103" t="s">
        <v>127</v>
      </c>
      <c r="O501" s="1154">
        <f>O418</f>
        <v>100</v>
      </c>
      <c r="P501" s="831"/>
      <c r="Q501" s="14" t="s">
        <v>602</v>
      </c>
      <c r="S501" s="214"/>
      <c r="T501" s="18"/>
      <c r="U501" s="18"/>
      <c r="V501" s="97"/>
    </row>
    <row r="502" spans="1:22" s="14" customFormat="1" ht="18" hidden="1" customHeight="1">
      <c r="A502" s="96"/>
      <c r="B502" s="47" t="s">
        <v>603</v>
      </c>
      <c r="C502" s="5"/>
      <c r="D502" s="5"/>
      <c r="E502" s="5"/>
      <c r="I502" s="215"/>
      <c r="M502" s="5"/>
      <c r="N502" s="103" t="s">
        <v>127</v>
      </c>
      <c r="O502" s="1154">
        <f>O419</f>
        <v>25</v>
      </c>
      <c r="P502" s="831"/>
      <c r="Q502" s="14" t="s">
        <v>604</v>
      </c>
      <c r="S502" s="214"/>
      <c r="T502" s="18"/>
      <c r="U502" s="18"/>
      <c r="V502" s="97"/>
    </row>
    <row r="503" spans="1:22" s="14" customFormat="1" ht="18" hidden="1" customHeight="1">
      <c r="A503" s="96"/>
      <c r="B503" s="47" t="s">
        <v>605</v>
      </c>
      <c r="C503" s="5"/>
      <c r="D503" s="5"/>
      <c r="E503" s="5"/>
      <c r="M503" s="120" t="s">
        <v>606</v>
      </c>
      <c r="N503" s="103" t="s">
        <v>607</v>
      </c>
      <c r="O503" s="1154">
        <f>O420</f>
        <v>132</v>
      </c>
      <c r="P503" s="831"/>
      <c r="Q503" s="14" t="s">
        <v>163</v>
      </c>
      <c r="S503" s="214"/>
      <c r="T503" s="18"/>
      <c r="U503" s="18"/>
      <c r="V503" s="97"/>
    </row>
    <row r="504" spans="1:22" s="14" customFormat="1" ht="18" hidden="1" customHeight="1">
      <c r="A504" s="216"/>
      <c r="B504" s="212"/>
      <c r="C504" s="212"/>
      <c r="D504" s="212"/>
      <c r="E504" s="212"/>
      <c r="T504" s="18"/>
      <c r="U504" s="18"/>
      <c r="V504" s="97"/>
    </row>
    <row r="505" spans="1:22" s="14" customFormat="1" ht="18" hidden="1" customHeight="1">
      <c r="A505" s="272" t="s">
        <v>608</v>
      </c>
      <c r="B505" s="213"/>
      <c r="C505" s="213"/>
      <c r="D505" s="213"/>
      <c r="E505" s="213"/>
      <c r="H505" s="120" t="s">
        <v>609</v>
      </c>
      <c r="I505" s="28" t="s">
        <v>127</v>
      </c>
      <c r="J505" s="689" t="s">
        <v>610</v>
      </c>
      <c r="K505" s="689"/>
      <c r="L505" s="28" t="s">
        <v>315</v>
      </c>
      <c r="M505" s="217">
        <v>1000</v>
      </c>
      <c r="N505" s="102" t="s">
        <v>342</v>
      </c>
      <c r="O505" s="28" t="s">
        <v>611</v>
      </c>
      <c r="P505" s="28" t="s">
        <v>315</v>
      </c>
      <c r="Q505" s="28" t="s">
        <v>606</v>
      </c>
      <c r="R505" s="47" t="s">
        <v>350</v>
      </c>
      <c r="T505" s="18"/>
      <c r="U505" s="18"/>
      <c r="V505" s="97"/>
    </row>
    <row r="506" spans="1:22" ht="18" hidden="1" customHeight="1">
      <c r="A506" s="216"/>
      <c r="B506" s="213"/>
      <c r="C506" s="213"/>
      <c r="D506" s="213"/>
      <c r="E506" s="213"/>
      <c r="F506" s="212"/>
      <c r="G506" s="212"/>
      <c r="H506" s="28"/>
      <c r="I506" s="28" t="s">
        <v>127</v>
      </c>
      <c r="J506" s="689">
        <f>O501</f>
        <v>100</v>
      </c>
      <c r="K506" s="689"/>
      <c r="L506" s="28" t="s">
        <v>315</v>
      </c>
      <c r="M506" s="217">
        <v>1000</v>
      </c>
      <c r="N506" s="102" t="s">
        <v>342</v>
      </c>
      <c r="O506" s="28" t="s">
        <v>611</v>
      </c>
      <c r="P506" s="28" t="s">
        <v>315</v>
      </c>
      <c r="Q506" s="28">
        <f>O503</f>
        <v>132</v>
      </c>
      <c r="R506" s="47" t="s">
        <v>350</v>
      </c>
      <c r="S506" s="14"/>
      <c r="T506" s="18"/>
      <c r="U506" s="18"/>
      <c r="V506" s="97"/>
    </row>
    <row r="507" spans="1:22" ht="18" hidden="1" customHeight="1">
      <c r="A507" s="216"/>
      <c r="B507" s="212"/>
      <c r="C507" s="212"/>
      <c r="D507" s="212"/>
      <c r="E507" s="212"/>
      <c r="F507" s="212"/>
      <c r="G507" s="212"/>
      <c r="H507" s="14"/>
      <c r="I507" s="28" t="s">
        <v>127</v>
      </c>
      <c r="J507" s="692">
        <f>(O501*1000)/(SQRT(3)*O503)</f>
        <v>437.38656756789834</v>
      </c>
      <c r="K507" s="692"/>
      <c r="L507" s="14" t="s">
        <v>8</v>
      </c>
      <c r="M507" s="120"/>
      <c r="N507" s="120"/>
      <c r="O507" s="120"/>
      <c r="P507" s="14"/>
      <c r="Q507" s="14"/>
      <c r="R507" s="14"/>
      <c r="S507" s="14"/>
      <c r="T507" s="18"/>
      <c r="U507" s="18"/>
      <c r="V507" s="97"/>
    </row>
    <row r="508" spans="1:22" ht="18" hidden="1" customHeight="1">
      <c r="A508" s="216"/>
      <c r="B508" s="212"/>
      <c r="C508" s="212"/>
      <c r="D508" s="212"/>
      <c r="E508" s="212"/>
      <c r="F508" s="14"/>
      <c r="G508" s="212"/>
      <c r="H508" s="28"/>
      <c r="I508" s="103"/>
      <c r="J508" s="28"/>
      <c r="K508" s="14"/>
      <c r="L508" s="14"/>
      <c r="M508" s="212"/>
      <c r="N508" s="219"/>
      <c r="O508" s="212"/>
      <c r="P508" s="14"/>
      <c r="Q508" s="14"/>
      <c r="R508" s="14"/>
      <c r="S508" s="14"/>
      <c r="T508" s="18"/>
      <c r="U508" s="18"/>
      <c r="V508" s="97"/>
    </row>
    <row r="509" spans="1:22" s="14" customFormat="1" ht="18" hidden="1" customHeight="1">
      <c r="A509" s="147" t="s">
        <v>629</v>
      </c>
      <c r="B509" s="5"/>
      <c r="C509" s="5"/>
      <c r="D509" s="5"/>
      <c r="E509" s="5"/>
      <c r="F509" s="212"/>
      <c r="G509" s="212"/>
      <c r="H509" s="5"/>
      <c r="I509" s="5"/>
      <c r="J509" s="5"/>
      <c r="K509" s="5"/>
      <c r="L509" s="103"/>
      <c r="M509" s="103"/>
      <c r="N509" s="103"/>
      <c r="O509" s="103"/>
      <c r="P509" s="212"/>
      <c r="Q509" s="213"/>
      <c r="S509" s="220"/>
      <c r="T509" s="18"/>
      <c r="U509" s="18"/>
      <c r="V509" s="97"/>
    </row>
    <row r="510" spans="1:22" s="14" customFormat="1" ht="18" hidden="1" customHeight="1">
      <c r="A510" s="147"/>
      <c r="B510" s="5"/>
      <c r="C510" s="5"/>
      <c r="D510" s="5"/>
      <c r="E510" s="5"/>
      <c r="F510" s="212"/>
      <c r="G510" s="212"/>
      <c r="H510" s="5"/>
      <c r="I510" s="5"/>
      <c r="J510" s="5"/>
      <c r="K510" s="5"/>
      <c r="L510" s="103"/>
      <c r="M510" s="103"/>
      <c r="N510" s="103"/>
      <c r="O510" s="103"/>
      <c r="P510" s="212"/>
      <c r="Q510" s="213"/>
      <c r="S510" s="214"/>
      <c r="T510" s="18"/>
      <c r="U510" s="18"/>
      <c r="V510" s="97"/>
    </row>
    <row r="511" spans="1:22" ht="18" hidden="1" customHeight="1">
      <c r="A511" s="96" t="s">
        <v>612</v>
      </c>
      <c r="B511" s="14"/>
      <c r="C511" s="14"/>
      <c r="D511" s="14"/>
      <c r="E511" s="14"/>
      <c r="M511" s="120" t="s">
        <v>613</v>
      </c>
      <c r="N511" s="28" t="s">
        <v>127</v>
      </c>
      <c r="O511" s="689" t="s">
        <v>609</v>
      </c>
      <c r="P511" s="716"/>
      <c r="Q511" s="221" t="s">
        <v>630</v>
      </c>
      <c r="R511" s="221">
        <v>16</v>
      </c>
      <c r="S511" s="214"/>
      <c r="V511" s="185"/>
    </row>
    <row r="512" spans="1:22" ht="18" hidden="1" customHeight="1">
      <c r="A512" s="96"/>
      <c r="B512" s="5"/>
      <c r="C512" s="5"/>
      <c r="D512" s="5"/>
      <c r="E512" s="5"/>
      <c r="M512" s="250"/>
      <c r="N512" s="28" t="s">
        <v>127</v>
      </c>
      <c r="O512" s="689">
        <f>+J507</f>
        <v>437.38656756789834</v>
      </c>
      <c r="P512" s="716"/>
      <c r="Q512" s="221" t="s">
        <v>630</v>
      </c>
      <c r="R512" s="221">
        <v>16</v>
      </c>
      <c r="S512" s="214"/>
      <c r="V512" s="185"/>
    </row>
    <row r="513" spans="1:22" s="279" customFormat="1" ht="18" hidden="1" customHeight="1">
      <c r="A513" s="96"/>
      <c r="B513" s="5"/>
      <c r="C513" s="5"/>
      <c r="D513" s="5"/>
      <c r="E513" s="5"/>
      <c r="F513" s="30"/>
      <c r="G513" s="30"/>
      <c r="H513" s="30"/>
      <c r="I513" s="30"/>
      <c r="J513" s="30"/>
      <c r="K513" s="30"/>
      <c r="L513" s="30"/>
      <c r="M513" s="120" t="s">
        <v>613</v>
      </c>
      <c r="N513" s="28" t="s">
        <v>127</v>
      </c>
      <c r="O513" s="689">
        <f>O512*R512</f>
        <v>6998.1850810863734</v>
      </c>
      <c r="P513" s="716"/>
      <c r="Q513" s="241" t="s">
        <v>8</v>
      </c>
      <c r="R513" s="14"/>
      <c r="S513" s="214"/>
      <c r="T513" s="30"/>
      <c r="U513" s="30"/>
      <c r="V513" s="185"/>
    </row>
    <row r="514" spans="1:22" s="279" customFormat="1" ht="18" hidden="1" customHeight="1">
      <c r="A514" s="96"/>
      <c r="B514" s="5"/>
      <c r="C514" s="5"/>
      <c r="D514" s="5"/>
      <c r="E514" s="5"/>
      <c r="F514" s="30"/>
      <c r="G514" s="30"/>
      <c r="H514" s="30"/>
      <c r="I514" s="30"/>
      <c r="J514" s="30"/>
      <c r="K514" s="30"/>
      <c r="L514" s="30"/>
      <c r="M514" s="120"/>
      <c r="N514" s="28"/>
      <c r="O514" s="28"/>
      <c r="P514" s="14"/>
      <c r="Q514" s="241"/>
      <c r="R514" s="14"/>
      <c r="S514" s="214"/>
      <c r="T514" s="30"/>
      <c r="U514" s="30"/>
      <c r="V514" s="185"/>
    </row>
    <row r="515" spans="1:22" s="279" customFormat="1" ht="18" hidden="1" customHeight="1">
      <c r="A515" s="96"/>
      <c r="B515" s="5"/>
      <c r="C515" s="5"/>
      <c r="D515" s="5"/>
      <c r="E515" s="5"/>
      <c r="F515" s="30"/>
      <c r="G515" s="30"/>
      <c r="H515" s="30"/>
      <c r="I515" s="30"/>
      <c r="J515" s="30"/>
      <c r="K515" s="30"/>
      <c r="L515" s="30"/>
      <c r="M515" s="120"/>
      <c r="N515" s="28"/>
      <c r="O515" s="28"/>
      <c r="P515" s="14"/>
      <c r="Q515" s="241"/>
      <c r="R515" s="14"/>
      <c r="S515" s="214"/>
      <c r="T515" s="30"/>
      <c r="U515" s="30"/>
      <c r="V515" s="185"/>
    </row>
    <row r="516" spans="1:22" s="279" customFormat="1" ht="18" hidden="1" customHeight="1">
      <c r="A516" s="96"/>
      <c r="B516" s="5"/>
      <c r="C516" s="5"/>
      <c r="D516" s="5"/>
      <c r="E516" s="5"/>
      <c r="F516" s="30"/>
      <c r="G516" s="30"/>
      <c r="H516" s="30"/>
      <c r="I516" s="30"/>
      <c r="J516" s="30"/>
      <c r="K516" s="30"/>
      <c r="L516" s="30"/>
      <c r="M516" s="120"/>
      <c r="N516" s="28"/>
      <c r="O516" s="28"/>
      <c r="P516" s="14"/>
      <c r="Q516" s="241"/>
      <c r="R516" s="14"/>
      <c r="S516" s="214"/>
      <c r="T516" s="30"/>
      <c r="U516" s="30"/>
      <c r="V516" s="185"/>
    </row>
    <row r="517" spans="1:22" s="279" customFormat="1" ht="18" hidden="1" customHeight="1">
      <c r="A517" s="96"/>
      <c r="B517" s="5"/>
      <c r="C517" s="5"/>
      <c r="D517" s="5"/>
      <c r="E517" s="5"/>
      <c r="F517" s="30"/>
      <c r="G517" s="30"/>
      <c r="H517" s="30"/>
      <c r="I517" s="30"/>
      <c r="J517" s="30"/>
      <c r="K517" s="30"/>
      <c r="L517" s="30"/>
      <c r="M517" s="120"/>
      <c r="N517" s="28"/>
      <c r="O517" s="28"/>
      <c r="P517" s="14"/>
      <c r="Q517" s="241"/>
      <c r="R517" s="14"/>
      <c r="S517" s="214"/>
      <c r="T517" s="30"/>
      <c r="U517" s="30"/>
      <c r="V517" s="185"/>
    </row>
    <row r="518" spans="1:22" s="279" customFormat="1" ht="18" hidden="1" customHeight="1">
      <c r="A518" s="96"/>
      <c r="B518" s="5"/>
      <c r="C518" s="5"/>
      <c r="D518" s="5"/>
      <c r="E518" s="5"/>
      <c r="F518" s="30"/>
      <c r="G518" s="30"/>
      <c r="H518" s="30"/>
      <c r="I518" s="30"/>
      <c r="J518" s="30"/>
      <c r="K518" s="30"/>
      <c r="L518" s="30"/>
      <c r="M518" s="120"/>
      <c r="N518" s="28"/>
      <c r="O518" s="28"/>
      <c r="P518" s="14"/>
      <c r="Q518" s="241"/>
      <c r="R518" s="14"/>
      <c r="S518" s="214"/>
      <c r="T518" s="30"/>
      <c r="U518" s="30"/>
      <c r="V518" s="185"/>
    </row>
    <row r="519" spans="1:22" s="279" customFormat="1" ht="18" hidden="1" customHeight="1">
      <c r="A519" s="194"/>
      <c r="B519" s="195"/>
      <c r="C519" s="195"/>
      <c r="D519" s="195"/>
      <c r="E519" s="195"/>
      <c r="F519" s="195"/>
      <c r="G519" s="195"/>
      <c r="H519" s="195"/>
      <c r="I519" s="195"/>
      <c r="J519" s="195"/>
      <c r="K519" s="195"/>
      <c r="L519" s="195"/>
      <c r="M519" s="195"/>
      <c r="N519" s="195"/>
      <c r="O519" s="195"/>
      <c r="P519" s="195"/>
      <c r="Q519" s="224"/>
      <c r="R519" s="182"/>
      <c r="S519" s="225"/>
      <c r="T519" s="195"/>
      <c r="U519" s="195"/>
      <c r="V519" s="134" t="s">
        <v>552</v>
      </c>
    </row>
    <row r="520" spans="1:22" ht="18" hidden="1" customHeight="1">
      <c r="A520" s="135"/>
      <c r="B520" s="273"/>
      <c r="C520" s="273"/>
      <c r="D520" s="273"/>
      <c r="E520" s="273"/>
      <c r="F520" s="273"/>
      <c r="G520" s="273"/>
      <c r="H520" s="273"/>
      <c r="I520" s="273"/>
      <c r="J520" s="273"/>
      <c r="K520" s="273"/>
      <c r="L520" s="273"/>
      <c r="M520" s="273"/>
      <c r="N520" s="273"/>
      <c r="O520" s="273"/>
      <c r="P520" s="273"/>
      <c r="Q520" s="274"/>
      <c r="R520" s="138"/>
      <c r="S520" s="275"/>
      <c r="T520" s="273"/>
      <c r="U520" s="273"/>
      <c r="V520" s="276"/>
    </row>
    <row r="521" spans="1:22" ht="18" hidden="1" customHeight="1">
      <c r="A521" s="96" t="s">
        <v>686</v>
      </c>
      <c r="V521" s="185"/>
    </row>
    <row r="522" spans="1:22" ht="18" hidden="1" customHeight="1">
      <c r="A522" s="184"/>
      <c r="V522" s="185"/>
    </row>
    <row r="523" spans="1:22" ht="18" hidden="1" customHeight="1">
      <c r="A523" s="277"/>
      <c r="B523" s="689" t="s">
        <v>473</v>
      </c>
      <c r="C523" s="1150" t="s">
        <v>652</v>
      </c>
      <c r="D523" s="279"/>
      <c r="E523" s="279"/>
      <c r="F523" s="279"/>
      <c r="G523" s="802" t="s">
        <v>687</v>
      </c>
      <c r="H523" s="1153" t="s">
        <v>315</v>
      </c>
      <c r="I523" s="708" t="s">
        <v>688</v>
      </c>
      <c r="J523" s="1147"/>
      <c r="K523" s="1147"/>
      <c r="L523" s="1147"/>
      <c r="M523" s="1147"/>
      <c r="N523" s="689" t="s">
        <v>672</v>
      </c>
      <c r="O523" s="708" t="s">
        <v>420</v>
      </c>
      <c r="P523" s="689" t="s">
        <v>347</v>
      </c>
      <c r="Q523" s="708" t="s">
        <v>689</v>
      </c>
      <c r="R523" s="708" t="s">
        <v>674</v>
      </c>
      <c r="S523" s="708" t="s">
        <v>411</v>
      </c>
      <c r="T523" s="14"/>
      <c r="U523" s="729" t="s">
        <v>653</v>
      </c>
      <c r="V523" s="185"/>
    </row>
    <row r="524" spans="1:22" ht="18" hidden="1" customHeight="1">
      <c r="A524" s="277"/>
      <c r="B524" s="689"/>
      <c r="C524" s="689"/>
      <c r="D524" s="279"/>
      <c r="E524" s="279"/>
      <c r="F524" s="279"/>
      <c r="G524" s="802"/>
      <c r="H524" s="689"/>
      <c r="I524" s="689">
        <v>1.3</v>
      </c>
      <c r="J524" s="689"/>
      <c r="K524" s="28" t="s">
        <v>315</v>
      </c>
      <c r="L524" s="689" t="s">
        <v>423</v>
      </c>
      <c r="M524" s="689"/>
      <c r="N524" s="689"/>
      <c r="O524" s="689"/>
      <c r="P524" s="689"/>
      <c r="Q524" s="689"/>
      <c r="R524" s="689"/>
      <c r="S524" s="689"/>
      <c r="T524" s="14"/>
      <c r="U524" s="689"/>
      <c r="V524" s="185"/>
    </row>
    <row r="525" spans="1:22" ht="18" hidden="1" customHeight="1">
      <c r="A525" s="184"/>
      <c r="V525" s="185"/>
    </row>
    <row r="526" spans="1:22" ht="18" hidden="1" customHeight="1">
      <c r="A526" s="184"/>
      <c r="B526" s="47" t="s">
        <v>654</v>
      </c>
      <c r="C526" s="14"/>
      <c r="D526" s="14"/>
      <c r="E526" s="14"/>
      <c r="F526" s="18"/>
      <c r="G526" s="18"/>
      <c r="H526" s="14"/>
      <c r="I526" s="120"/>
      <c r="J526" s="14"/>
      <c r="K526" s="14"/>
      <c r="M526" s="14"/>
      <c r="N526" s="14"/>
      <c r="P526" s="14" t="s">
        <v>423</v>
      </c>
      <c r="R526" s="234" t="s">
        <v>127</v>
      </c>
      <c r="S526" s="684">
        <f>J480</f>
        <v>4000</v>
      </c>
      <c r="T526" s="684"/>
      <c r="U526" s="30" t="s">
        <v>8</v>
      </c>
      <c r="V526" s="185"/>
    </row>
    <row r="527" spans="1:22" ht="18" hidden="1" customHeight="1">
      <c r="A527" s="184"/>
      <c r="B527" s="47" t="s">
        <v>655</v>
      </c>
      <c r="C527" s="14"/>
      <c r="D527" s="14"/>
      <c r="E527" s="14"/>
      <c r="F527" s="18"/>
      <c r="G527" s="18"/>
      <c r="H527" s="14"/>
      <c r="I527" s="120"/>
      <c r="J527" s="14"/>
      <c r="K527" s="14"/>
      <c r="M527" s="14"/>
      <c r="N527" s="14"/>
      <c r="P527" s="14" t="s">
        <v>420</v>
      </c>
      <c r="R527" s="234" t="s">
        <v>127</v>
      </c>
      <c r="S527" s="684">
        <f>J482</f>
        <v>15</v>
      </c>
      <c r="T527" s="684"/>
      <c r="U527" s="192" t="s">
        <v>333</v>
      </c>
      <c r="V527" s="185"/>
    </row>
    <row r="528" spans="1:22" ht="18" hidden="1" customHeight="1">
      <c r="A528" s="184"/>
      <c r="B528" s="47" t="s">
        <v>676</v>
      </c>
      <c r="C528" s="14"/>
      <c r="D528" s="14"/>
      <c r="E528" s="14"/>
      <c r="F528" s="18"/>
      <c r="G528" s="18"/>
      <c r="H528" s="14"/>
      <c r="I528" s="120"/>
      <c r="J528" s="14"/>
      <c r="K528" s="14"/>
      <c r="M528" s="14"/>
      <c r="N528" s="14"/>
      <c r="P528" s="14" t="s">
        <v>690</v>
      </c>
      <c r="R528" s="234" t="s">
        <v>127</v>
      </c>
      <c r="S528" s="795">
        <f>Q499</f>
        <v>1.1770224400000002</v>
      </c>
      <c r="T528" s="795"/>
      <c r="U528" s="192" t="s">
        <v>333</v>
      </c>
      <c r="V528" s="185"/>
    </row>
    <row r="529" spans="1:22" ht="18" hidden="1" customHeight="1">
      <c r="A529" s="184"/>
      <c r="B529" s="47" t="s">
        <v>691</v>
      </c>
      <c r="C529" s="14"/>
      <c r="D529" s="14"/>
      <c r="E529" s="14"/>
      <c r="F529" s="14"/>
      <c r="G529" s="14"/>
      <c r="H529" s="14"/>
      <c r="I529" s="120"/>
      <c r="J529" s="14"/>
      <c r="K529" s="14"/>
      <c r="M529" s="14"/>
      <c r="N529" s="14"/>
      <c r="P529" s="14" t="s">
        <v>411</v>
      </c>
      <c r="R529" s="234" t="s">
        <v>127</v>
      </c>
      <c r="S529" s="684">
        <f>O480</f>
        <v>1</v>
      </c>
      <c r="T529" s="684"/>
      <c r="U529" s="30" t="s">
        <v>8</v>
      </c>
      <c r="V529" s="185"/>
    </row>
    <row r="530" spans="1:22" ht="18" hidden="1" customHeight="1">
      <c r="A530" s="184"/>
      <c r="B530" s="47" t="s">
        <v>678</v>
      </c>
      <c r="C530" s="14"/>
      <c r="D530" s="14"/>
      <c r="E530" s="14"/>
      <c r="F530" s="14"/>
      <c r="G530" s="14"/>
      <c r="H530" s="14"/>
      <c r="I530" s="120"/>
      <c r="J530" s="14"/>
      <c r="K530" s="14"/>
      <c r="M530" s="14"/>
      <c r="N530" s="14"/>
      <c r="P530" s="120" t="s">
        <v>688</v>
      </c>
      <c r="R530" s="234" t="s">
        <v>127</v>
      </c>
      <c r="S530" s="684">
        <f>O513</f>
        <v>6998.1850810863734</v>
      </c>
      <c r="T530" s="684"/>
      <c r="U530" s="30" t="s">
        <v>8</v>
      </c>
      <c r="V530" s="185"/>
    </row>
    <row r="531" spans="1:22" s="279" customFormat="1" ht="18" hidden="1" customHeight="1">
      <c r="A531" s="184"/>
      <c r="B531" s="47" t="s">
        <v>692</v>
      </c>
      <c r="C531" s="14"/>
      <c r="D531" s="14"/>
      <c r="E531" s="14"/>
      <c r="F531" s="14"/>
      <c r="G531" s="14"/>
      <c r="H531" s="14"/>
      <c r="I531" s="120"/>
      <c r="J531" s="14"/>
      <c r="K531" s="14"/>
      <c r="L531" s="30"/>
      <c r="M531" s="14"/>
      <c r="N531" s="14"/>
      <c r="O531" s="30"/>
      <c r="P531" s="120" t="s">
        <v>680</v>
      </c>
      <c r="Q531" s="30"/>
      <c r="R531" s="234" t="s">
        <v>127</v>
      </c>
      <c r="S531" s="795">
        <f>J507</f>
        <v>437.38656756789834</v>
      </c>
      <c r="T531" s="684"/>
      <c r="U531" s="30" t="s">
        <v>8</v>
      </c>
      <c r="V531" s="185"/>
    </row>
    <row r="532" spans="1:22" s="279" customFormat="1" ht="18" hidden="1" customHeight="1">
      <c r="A532" s="184"/>
      <c r="B532" s="47" t="s">
        <v>659</v>
      </c>
      <c r="C532" s="14"/>
      <c r="D532" s="14"/>
      <c r="E532" s="14"/>
      <c r="F532" s="14"/>
      <c r="G532" s="14"/>
      <c r="H532" s="14"/>
      <c r="I532" s="120"/>
      <c r="J532" s="14"/>
      <c r="K532" s="14"/>
      <c r="L532" s="30"/>
      <c r="M532" s="14"/>
      <c r="N532" s="14"/>
      <c r="O532" s="30"/>
      <c r="P532" s="120" t="s">
        <v>660</v>
      </c>
      <c r="Q532" s="30"/>
      <c r="R532" s="234" t="s">
        <v>127</v>
      </c>
      <c r="S532" s="684">
        <f>S444</f>
        <v>1</v>
      </c>
      <c r="T532" s="684"/>
      <c r="U532" s="30" t="s">
        <v>8</v>
      </c>
      <c r="V532" s="185"/>
    </row>
    <row r="533" spans="1:22" ht="18" hidden="1" customHeight="1">
      <c r="A533" s="96"/>
      <c r="B533" s="14"/>
      <c r="C533" s="14"/>
      <c r="D533" s="235"/>
      <c r="E533" s="14"/>
      <c r="F533" s="28"/>
      <c r="G533" s="249"/>
      <c r="H533" s="28"/>
      <c r="I533" s="251"/>
      <c r="J533" s="14"/>
      <c r="K533" s="280"/>
      <c r="M533" s="47"/>
      <c r="N533" s="268"/>
      <c r="P533" s="281"/>
      <c r="R533" s="234"/>
      <c r="S533" s="1148"/>
      <c r="T533" s="723"/>
      <c r="V533" s="185"/>
    </row>
    <row r="534" spans="1:22" ht="18" hidden="1" customHeight="1">
      <c r="A534" s="272" t="s">
        <v>693</v>
      </c>
      <c r="B534" s="14"/>
      <c r="C534" s="14"/>
      <c r="D534" s="14"/>
      <c r="E534" s="14"/>
      <c r="F534" s="14"/>
      <c r="G534" s="14"/>
      <c r="H534" s="28">
        <v>3</v>
      </c>
      <c r="I534" s="47" t="s">
        <v>694</v>
      </c>
      <c r="J534" s="14"/>
      <c r="K534" s="14"/>
      <c r="M534" s="14" t="s">
        <v>337</v>
      </c>
      <c r="N534" s="14"/>
      <c r="P534" s="120"/>
      <c r="R534" s="234"/>
      <c r="S534" s="1149"/>
      <c r="T534" s="723"/>
      <c r="V534" s="185"/>
    </row>
    <row r="535" spans="1:22" ht="18" hidden="1" customHeight="1">
      <c r="A535" s="272"/>
      <c r="B535" s="14"/>
      <c r="C535" s="14"/>
      <c r="D535" s="14"/>
      <c r="E535" s="14"/>
      <c r="F535" s="14"/>
      <c r="G535" s="14"/>
      <c r="H535" s="28"/>
      <c r="I535" s="47"/>
      <c r="J535" s="14"/>
      <c r="K535" s="14"/>
      <c r="M535" s="14"/>
      <c r="N535" s="14"/>
      <c r="P535" s="120"/>
      <c r="R535" s="234"/>
      <c r="S535" s="282"/>
      <c r="V535" s="185"/>
    </row>
    <row r="536" spans="1:22" ht="18" hidden="1" customHeight="1">
      <c r="A536" s="277"/>
      <c r="B536" s="689" t="s">
        <v>473</v>
      </c>
      <c r="C536" s="1150" t="s">
        <v>652</v>
      </c>
      <c r="D536" s="279"/>
      <c r="E536" s="279"/>
      <c r="F536" s="279"/>
      <c r="G536" s="802">
        <f>H534</f>
        <v>3</v>
      </c>
      <c r="H536" s="1151" t="s">
        <v>315</v>
      </c>
      <c r="I536" s="829">
        <f>S530</f>
        <v>6998.1850810863734</v>
      </c>
      <c r="J536" s="1152"/>
      <c r="K536" s="1152"/>
      <c r="L536" s="1152"/>
      <c r="M536" s="1152"/>
      <c r="N536" s="689" t="s">
        <v>672</v>
      </c>
      <c r="O536" s="708">
        <f>S527</f>
        <v>15</v>
      </c>
      <c r="P536" s="689" t="s">
        <v>347</v>
      </c>
      <c r="Q536" s="829">
        <f>S528</f>
        <v>1.1770224400000002</v>
      </c>
      <c r="R536" s="708" t="s">
        <v>674</v>
      </c>
      <c r="S536" s="708">
        <f>S529</f>
        <v>1</v>
      </c>
      <c r="T536" s="14"/>
      <c r="U536" s="729" t="s">
        <v>653</v>
      </c>
      <c r="V536" s="185"/>
    </row>
    <row r="537" spans="1:22" ht="18" hidden="1" customHeight="1">
      <c r="A537" s="277"/>
      <c r="B537" s="689"/>
      <c r="C537" s="689"/>
      <c r="D537" s="279"/>
      <c r="E537" s="279"/>
      <c r="F537" s="279"/>
      <c r="G537" s="802"/>
      <c r="H537" s="684"/>
      <c r="I537" s="689">
        <v>1.3</v>
      </c>
      <c r="J537" s="684"/>
      <c r="K537" s="28" t="s">
        <v>315</v>
      </c>
      <c r="L537" s="689">
        <f>S526</f>
        <v>4000</v>
      </c>
      <c r="M537" s="684"/>
      <c r="N537" s="689"/>
      <c r="O537" s="689"/>
      <c r="P537" s="689"/>
      <c r="Q537" s="689"/>
      <c r="R537" s="689"/>
      <c r="S537" s="689"/>
      <c r="T537" s="14"/>
      <c r="U537" s="689"/>
      <c r="V537" s="185"/>
    </row>
    <row r="538" spans="1:22" ht="18" hidden="1" customHeight="1">
      <c r="A538" s="96"/>
      <c r="B538" s="14"/>
      <c r="C538" s="27" t="s">
        <v>127</v>
      </c>
      <c r="D538" s="812">
        <f>G536*(I536/(I537*L537)*(O536+Q536)*S536)</f>
        <v>65.313344478465865</v>
      </c>
      <c r="E538" s="813"/>
      <c r="F538" s="30" t="s">
        <v>305</v>
      </c>
      <c r="G538" s="14"/>
      <c r="H538" s="14"/>
      <c r="I538" s="14"/>
      <c r="J538" s="14"/>
      <c r="K538" s="14"/>
      <c r="L538" s="14"/>
      <c r="M538" s="14"/>
      <c r="N538" s="14"/>
      <c r="R538" s="234"/>
      <c r="S538" s="204"/>
      <c r="V538" s="185"/>
    </row>
    <row r="539" spans="1:22" ht="18" hidden="1" customHeight="1">
      <c r="A539" s="96"/>
      <c r="B539" s="14"/>
      <c r="G539" s="14"/>
      <c r="H539" s="14"/>
      <c r="I539" s="14"/>
      <c r="J539" s="14"/>
      <c r="K539" s="14"/>
      <c r="L539" s="14"/>
      <c r="M539" s="14"/>
      <c r="N539" s="14"/>
      <c r="R539" s="234"/>
      <c r="S539" s="204"/>
      <c r="V539" s="185"/>
    </row>
    <row r="540" spans="1:22" ht="18" hidden="1" customHeight="1">
      <c r="A540" s="96"/>
      <c r="B540" s="14"/>
      <c r="D540" s="30" t="s">
        <v>475</v>
      </c>
      <c r="G540" s="27" t="str">
        <f>IF(E541&gt;H541,"&gt;","&lt;")</f>
        <v>&gt;</v>
      </c>
      <c r="H540" s="30" t="s">
        <v>477</v>
      </c>
      <c r="M540" s="14"/>
      <c r="N540" s="14"/>
      <c r="R540" s="234"/>
      <c r="S540" s="204"/>
      <c r="V540" s="185"/>
    </row>
    <row r="541" spans="1:22" ht="18" hidden="1" customHeight="1">
      <c r="A541" s="96"/>
      <c r="B541" s="14"/>
      <c r="E541" s="684">
        <f>J483</f>
        <v>800</v>
      </c>
      <c r="F541" s="684"/>
      <c r="G541" s="27" t="str">
        <f>G540</f>
        <v>&gt;</v>
      </c>
      <c r="H541" s="795">
        <f>D538</f>
        <v>65.313344478465865</v>
      </c>
      <c r="I541" s="684"/>
      <c r="M541" s="14"/>
      <c r="N541" s="14"/>
      <c r="R541" s="234"/>
      <c r="S541" s="204"/>
      <c r="V541" s="185"/>
    </row>
    <row r="542" spans="1:22" ht="18" hidden="1" customHeight="1">
      <c r="A542" s="96"/>
      <c r="B542" s="14"/>
      <c r="F542" s="244" t="s">
        <v>478</v>
      </c>
      <c r="H542" s="18" t="str">
        <f>IF(G540="&gt;","Suitably Dimentioned","Under Dimentioned")</f>
        <v>Suitably Dimentioned</v>
      </c>
      <c r="M542" s="14"/>
      <c r="N542" s="14"/>
      <c r="R542" s="234"/>
      <c r="S542" s="204"/>
      <c r="V542" s="185"/>
    </row>
    <row r="543" spans="1:22" ht="18" hidden="1" customHeight="1">
      <c r="A543" s="96"/>
      <c r="B543" s="14"/>
      <c r="G543" s="14"/>
      <c r="H543" s="14"/>
      <c r="I543" s="14"/>
      <c r="J543" s="14"/>
      <c r="K543" s="14"/>
      <c r="L543" s="14"/>
      <c r="M543" s="14"/>
      <c r="N543" s="14"/>
      <c r="R543" s="234"/>
      <c r="S543" s="204"/>
      <c r="V543" s="185"/>
    </row>
    <row r="544" spans="1:22" ht="18" hidden="1" customHeight="1">
      <c r="A544" s="193" t="s">
        <v>695</v>
      </c>
      <c r="B544" s="14"/>
      <c r="G544" s="14"/>
      <c r="H544" s="14"/>
      <c r="I544" s="14"/>
      <c r="J544" s="14"/>
      <c r="K544" s="14"/>
      <c r="L544" s="14"/>
      <c r="M544" s="14"/>
      <c r="N544" s="14"/>
      <c r="R544" s="234"/>
      <c r="S544" s="204"/>
      <c r="V544" s="185"/>
    </row>
    <row r="545" spans="1:22" ht="18" hidden="1" customHeight="1">
      <c r="A545" s="96"/>
      <c r="B545" s="14"/>
      <c r="D545" s="802" t="s">
        <v>696</v>
      </c>
      <c r="E545" s="716"/>
      <c r="F545" s="689" t="s">
        <v>127</v>
      </c>
      <c r="G545" s="708" t="s">
        <v>423</v>
      </c>
      <c r="H545" s="1147"/>
      <c r="I545" s="689" t="s">
        <v>315</v>
      </c>
      <c r="J545" s="708" t="s">
        <v>697</v>
      </c>
      <c r="K545" s="1147"/>
      <c r="L545" s="14"/>
      <c r="M545" s="14"/>
      <c r="N545" s="14"/>
      <c r="R545" s="234"/>
      <c r="S545" s="204"/>
      <c r="V545" s="185"/>
    </row>
    <row r="546" spans="1:22" ht="18" hidden="1" customHeight="1">
      <c r="A546" s="96"/>
      <c r="B546" s="14"/>
      <c r="D546" s="716"/>
      <c r="E546" s="716"/>
      <c r="F546" s="689"/>
      <c r="G546" s="689" t="s">
        <v>680</v>
      </c>
      <c r="H546" s="716"/>
      <c r="I546" s="689"/>
      <c r="J546" s="689" t="s">
        <v>411</v>
      </c>
      <c r="K546" s="716"/>
      <c r="L546" s="14"/>
      <c r="M546" s="14"/>
      <c r="N546" s="14"/>
      <c r="R546" s="234"/>
      <c r="S546" s="204"/>
      <c r="V546" s="185"/>
    </row>
    <row r="547" spans="1:22" ht="18" hidden="1" customHeight="1">
      <c r="A547" s="96"/>
      <c r="B547" s="14"/>
      <c r="D547" s="14"/>
      <c r="E547" s="14"/>
      <c r="F547" s="14"/>
      <c r="G547" s="14"/>
      <c r="H547" s="14"/>
      <c r="I547" s="14"/>
      <c r="J547" s="14"/>
      <c r="K547" s="14"/>
      <c r="L547" s="14"/>
      <c r="M547" s="14"/>
      <c r="N547" s="14"/>
      <c r="R547" s="234"/>
      <c r="S547" s="204"/>
      <c r="V547" s="185"/>
    </row>
    <row r="548" spans="1:22" ht="18" hidden="1" customHeight="1">
      <c r="A548" s="96"/>
      <c r="B548" s="14"/>
      <c r="D548" s="14"/>
      <c r="E548" s="14"/>
      <c r="F548" s="689" t="s">
        <v>127</v>
      </c>
      <c r="G548" s="708">
        <f>S526</f>
        <v>4000</v>
      </c>
      <c r="H548" s="1147"/>
      <c r="I548" s="689" t="s">
        <v>315</v>
      </c>
      <c r="J548" s="708">
        <f>S532</f>
        <v>1</v>
      </c>
      <c r="K548" s="1147"/>
      <c r="L548" s="14"/>
      <c r="M548" s="14"/>
      <c r="N548" s="14"/>
      <c r="R548" s="234"/>
      <c r="S548" s="204"/>
      <c r="V548" s="185"/>
    </row>
    <row r="549" spans="1:22" ht="18" hidden="1" customHeight="1">
      <c r="A549" s="96"/>
      <c r="B549" s="14"/>
      <c r="D549" s="14"/>
      <c r="E549" s="14"/>
      <c r="F549" s="689"/>
      <c r="G549" s="692">
        <f>J507</f>
        <v>437.38656756789834</v>
      </c>
      <c r="H549" s="716"/>
      <c r="I549" s="689"/>
      <c r="J549" s="689">
        <f>S529</f>
        <v>1</v>
      </c>
      <c r="K549" s="716"/>
      <c r="L549" s="14"/>
      <c r="M549" s="14"/>
      <c r="N549" s="14"/>
      <c r="R549" s="234"/>
      <c r="S549" s="204"/>
      <c r="V549" s="185"/>
    </row>
    <row r="550" spans="1:22" ht="18" hidden="1" customHeight="1">
      <c r="A550" s="96"/>
      <c r="B550" s="14"/>
      <c r="D550" s="14"/>
      <c r="E550" s="14"/>
      <c r="F550" s="14"/>
      <c r="G550" s="14"/>
      <c r="H550" s="14"/>
      <c r="I550" s="14"/>
      <c r="J550" s="14"/>
      <c r="K550" s="14"/>
      <c r="L550" s="14"/>
      <c r="M550" s="14"/>
      <c r="N550" s="14"/>
      <c r="R550" s="234"/>
      <c r="S550" s="204"/>
      <c r="V550" s="185"/>
    </row>
    <row r="551" spans="1:22" ht="18" hidden="1" customHeight="1">
      <c r="A551" s="96"/>
      <c r="B551" s="14"/>
      <c r="D551" s="14"/>
      <c r="E551" s="14"/>
      <c r="F551" s="28" t="s">
        <v>127</v>
      </c>
      <c r="G551" s="716">
        <f>(G548/G549)*(J548/J549)</f>
        <v>9.1452282639636717</v>
      </c>
      <c r="H551" s="716"/>
      <c r="I551" s="14"/>
      <c r="J551" s="14"/>
      <c r="K551" s="14"/>
      <c r="L551" s="14"/>
      <c r="M551" s="14"/>
      <c r="N551" s="14"/>
      <c r="R551" s="234"/>
      <c r="S551" s="204"/>
      <c r="V551" s="185"/>
    </row>
    <row r="552" spans="1:22" ht="18" hidden="1" customHeight="1">
      <c r="A552" s="96"/>
      <c r="B552" s="14"/>
      <c r="G552" s="14"/>
      <c r="H552" s="14"/>
      <c r="I552" s="14"/>
      <c r="J552" s="14"/>
      <c r="K552" s="14"/>
      <c r="L552" s="14"/>
      <c r="M552" s="14"/>
      <c r="N552" s="14"/>
      <c r="R552" s="234"/>
      <c r="S552" s="204"/>
      <c r="V552" s="185"/>
    </row>
    <row r="553" spans="1:22" s="14" customFormat="1" ht="18" hidden="1" customHeight="1">
      <c r="A553" s="96"/>
      <c r="C553" s="30"/>
      <c r="D553" s="283" t="s">
        <v>698</v>
      </c>
      <c r="E553" s="284" t="s">
        <v>699</v>
      </c>
      <c r="F553" s="689" t="s">
        <v>696</v>
      </c>
      <c r="G553" s="716"/>
      <c r="H553" s="716"/>
      <c r="I553" s="284" t="s">
        <v>699</v>
      </c>
      <c r="J553" s="28">
        <v>4</v>
      </c>
      <c r="K553" s="30"/>
      <c r="L553" s="279"/>
      <c r="M553" s="120" t="s">
        <v>700</v>
      </c>
      <c r="N553" s="47" t="s">
        <v>701</v>
      </c>
      <c r="O553" s="279"/>
      <c r="P553" s="236"/>
      <c r="Q553" s="236"/>
      <c r="R553" s="234"/>
      <c r="S553" s="204"/>
      <c r="T553" s="30"/>
      <c r="U553" s="30"/>
      <c r="V553" s="185"/>
    </row>
    <row r="554" spans="1:22" ht="18" hidden="1" customHeight="1">
      <c r="A554" s="96"/>
      <c r="B554" s="14"/>
      <c r="D554" s="218">
        <v>0.25</v>
      </c>
      <c r="E554" s="284" t="str">
        <f>IF(D554&lt;=G551,"≤","&gt;")</f>
        <v>≤</v>
      </c>
      <c r="F554" s="688">
        <f>G551</f>
        <v>9.1452282639636717</v>
      </c>
      <c r="G554" s="1145"/>
      <c r="H554" s="688"/>
      <c r="I554" s="284" t="str">
        <f>IF(G551&lt;=J553,"≤","&gt;")</f>
        <v>&gt;</v>
      </c>
      <c r="J554" s="28">
        <f>J553</f>
        <v>4</v>
      </c>
      <c r="L554" s="279"/>
      <c r="M554" s="120"/>
      <c r="N554" s="213"/>
      <c r="O554" s="279"/>
      <c r="P554" s="236"/>
      <c r="Q554" s="236"/>
      <c r="R554" s="234"/>
      <c r="S554" s="204"/>
      <c r="V554" s="185"/>
    </row>
    <row r="555" spans="1:22" ht="18" hidden="1" customHeight="1">
      <c r="A555" s="96"/>
      <c r="B555" s="14"/>
      <c r="G555" s="14"/>
      <c r="H555" s="14"/>
      <c r="I555" s="14"/>
      <c r="J555" s="14"/>
      <c r="K555" s="14"/>
      <c r="L555" s="14"/>
      <c r="M555" s="14"/>
      <c r="N555" s="14"/>
      <c r="R555" s="234"/>
      <c r="S555" s="204"/>
      <c r="V555" s="185"/>
    </row>
    <row r="556" spans="1:22" ht="18" hidden="1" customHeight="1">
      <c r="A556" s="96"/>
      <c r="B556" s="14" t="s">
        <v>702</v>
      </c>
      <c r="G556" s="14"/>
      <c r="H556" s="18" t="str">
        <f>IF(AND(E554="≤",I554="≤")=TRUE,"OK","Not OK")</f>
        <v>Not OK</v>
      </c>
      <c r="I556" s="14"/>
      <c r="J556" s="14"/>
      <c r="K556" s="14"/>
      <c r="L556" s="14"/>
      <c r="M556" s="14"/>
      <c r="N556" s="14"/>
      <c r="R556" s="234"/>
      <c r="S556" s="204"/>
      <c r="V556" s="185"/>
    </row>
    <row r="557" spans="1:22" ht="18" hidden="1" customHeight="1">
      <c r="A557" s="96"/>
      <c r="B557" s="14"/>
      <c r="G557" s="14"/>
      <c r="H557" s="18"/>
      <c r="I557" s="14"/>
      <c r="J557" s="14"/>
      <c r="K557" s="14"/>
      <c r="L557" s="14"/>
      <c r="M557" s="14"/>
      <c r="N557" s="14"/>
      <c r="R557" s="234"/>
      <c r="S557" s="204"/>
      <c r="V557" s="185"/>
    </row>
    <row r="558" spans="1:22" ht="18" hidden="1" customHeight="1">
      <c r="A558" s="96"/>
      <c r="B558" s="14"/>
      <c r="G558" s="14"/>
      <c r="H558" s="18"/>
      <c r="I558" s="14"/>
      <c r="J558" s="14"/>
      <c r="K558" s="14"/>
      <c r="L558" s="14"/>
      <c r="M558" s="14"/>
      <c r="N558" s="14"/>
      <c r="R558" s="234"/>
      <c r="S558" s="204"/>
      <c r="V558" s="185"/>
    </row>
    <row r="559" spans="1:22" ht="18" hidden="1" customHeight="1">
      <c r="A559" s="96"/>
      <c r="B559" s="14"/>
      <c r="G559" s="14"/>
      <c r="H559" s="18"/>
      <c r="I559" s="14"/>
      <c r="J559" s="14"/>
      <c r="K559" s="14"/>
      <c r="L559" s="14"/>
      <c r="M559" s="14"/>
      <c r="N559" s="14"/>
      <c r="R559" s="234"/>
      <c r="S559" s="204"/>
      <c r="V559" s="185"/>
    </row>
    <row r="560" spans="1:22" ht="18" hidden="1" customHeight="1">
      <c r="A560" s="96"/>
      <c r="B560" s="14"/>
      <c r="G560" s="14"/>
      <c r="H560" s="18"/>
      <c r="I560" s="14"/>
      <c r="J560" s="14"/>
      <c r="K560" s="14"/>
      <c r="L560" s="14"/>
      <c r="M560" s="14"/>
      <c r="N560" s="14"/>
      <c r="R560" s="234"/>
      <c r="S560" s="204"/>
      <c r="V560" s="185"/>
    </row>
    <row r="561" spans="1:29" ht="18" hidden="1" customHeight="1">
      <c r="A561" s="96"/>
      <c r="B561" s="14"/>
      <c r="G561" s="14"/>
      <c r="H561" s="18"/>
      <c r="I561" s="14"/>
      <c r="J561" s="14"/>
      <c r="K561" s="14"/>
      <c r="L561" s="14"/>
      <c r="M561" s="14"/>
      <c r="N561" s="14"/>
      <c r="R561" s="234"/>
      <c r="S561" s="204"/>
      <c r="V561" s="185"/>
    </row>
    <row r="562" spans="1:29" ht="18" hidden="1" customHeight="1">
      <c r="A562" s="96"/>
      <c r="B562" s="14"/>
      <c r="G562" s="14"/>
      <c r="H562" s="14"/>
      <c r="I562" s="14"/>
      <c r="J562" s="14"/>
      <c r="K562" s="14"/>
      <c r="L562" s="14"/>
      <c r="M562" s="14"/>
      <c r="N562" s="14"/>
      <c r="R562" s="234"/>
      <c r="S562" s="204"/>
      <c r="V562" s="185"/>
    </row>
    <row r="563" spans="1:29" ht="18" hidden="1" customHeight="1">
      <c r="A563" s="194"/>
      <c r="B563" s="195"/>
      <c r="C563" s="195"/>
      <c r="D563" s="195"/>
      <c r="E563" s="195"/>
      <c r="F563" s="195"/>
      <c r="G563" s="195"/>
      <c r="H563" s="195"/>
      <c r="I563" s="195"/>
      <c r="J563" s="195"/>
      <c r="K563" s="195"/>
      <c r="L563" s="195"/>
      <c r="M563" s="195"/>
      <c r="N563" s="195"/>
      <c r="O563" s="195"/>
      <c r="P563" s="195"/>
      <c r="Q563" s="224"/>
      <c r="R563" s="182"/>
      <c r="S563" s="225"/>
      <c r="T563" s="195"/>
      <c r="U563" s="195"/>
      <c r="V563" s="134" t="s">
        <v>552</v>
      </c>
    </row>
    <row r="564" spans="1:29" ht="18" hidden="1" customHeight="1">
      <c r="A564" s="226"/>
      <c r="B564" s="227"/>
      <c r="C564" s="227"/>
      <c r="D564" s="227"/>
      <c r="E564" s="227"/>
      <c r="F564" s="227"/>
      <c r="G564" s="227"/>
      <c r="H564" s="227"/>
      <c r="I564" s="227"/>
      <c r="J564" s="227"/>
      <c r="K564" s="227"/>
      <c r="L564" s="227"/>
      <c r="M564" s="227"/>
      <c r="N564" s="227"/>
      <c r="O564" s="227"/>
      <c r="P564" s="227"/>
      <c r="Q564" s="227"/>
      <c r="R564" s="227"/>
      <c r="S564" s="227"/>
      <c r="T564" s="227"/>
      <c r="U564" s="227"/>
      <c r="V564" s="228"/>
    </row>
    <row r="565" spans="1:29" ht="18" hidden="1" customHeight="1">
      <c r="A565" s="184"/>
      <c r="B565" s="854" t="str">
        <f>B477</f>
        <v>CT1L1</v>
      </c>
      <c r="C565" s="831"/>
      <c r="D565" s="855" t="str">
        <f>D477</f>
        <v>Core3</v>
      </c>
      <c r="E565" s="856"/>
      <c r="F565" s="186" t="s">
        <v>636</v>
      </c>
      <c r="H565" s="684" t="str">
        <f>H477</f>
        <v>(Multi Func. Trans. Prtn + FMS + HV REF)</v>
      </c>
      <c r="I565" s="684"/>
      <c r="J565" s="684"/>
      <c r="K565" s="684"/>
      <c r="L565" s="684"/>
      <c r="M565" s="684"/>
      <c r="P565" s="186"/>
      <c r="S565" s="187" t="s">
        <v>387</v>
      </c>
      <c r="T565" s="1154" t="str">
        <f>T477</f>
        <v>7UT85</v>
      </c>
      <c r="U565" s="1155"/>
      <c r="V565" s="185"/>
    </row>
    <row r="566" spans="1:29" ht="18" hidden="1" customHeight="1">
      <c r="A566" s="184"/>
      <c r="B566" s="853" t="str">
        <f>B478</f>
        <v>CT1L2</v>
      </c>
      <c r="C566" s="853"/>
      <c r="D566" s="857"/>
      <c r="E566" s="858"/>
      <c r="F566" s="255"/>
      <c r="T566" s="1154">
        <f>T478</f>
        <v>0</v>
      </c>
      <c r="U566" s="1155"/>
      <c r="V566" s="185"/>
    </row>
    <row r="567" spans="1:29" ht="18" hidden="1" customHeight="1">
      <c r="A567" s="184"/>
      <c r="H567" s="708" t="s">
        <v>390</v>
      </c>
      <c r="I567" s="708"/>
      <c r="J567" s="708" t="s">
        <v>391</v>
      </c>
      <c r="K567" s="708"/>
      <c r="L567" s="789" t="s">
        <v>392</v>
      </c>
      <c r="M567" s="789"/>
      <c r="T567" s="1154">
        <f>T479</f>
        <v>0</v>
      </c>
      <c r="U567" s="1155"/>
      <c r="V567" s="185"/>
    </row>
    <row r="568" spans="1:29" ht="18" hidden="1" customHeight="1">
      <c r="A568" s="184"/>
      <c r="B568" s="47" t="s">
        <v>393</v>
      </c>
      <c r="H568" s="854">
        <f>H480</f>
        <v>5000</v>
      </c>
      <c r="I568" s="831"/>
      <c r="J568" s="854">
        <f>J480</f>
        <v>4000</v>
      </c>
      <c r="K568" s="831"/>
      <c r="L568" s="863">
        <f>L480</f>
        <v>3000</v>
      </c>
      <c r="M568" s="864"/>
      <c r="N568" s="102" t="s">
        <v>342</v>
      </c>
      <c r="O568" s="256">
        <f>O480</f>
        <v>1</v>
      </c>
      <c r="P568" s="27" t="s">
        <v>8</v>
      </c>
      <c r="V568" s="185"/>
    </row>
    <row r="569" spans="1:29" ht="18" hidden="1" customHeight="1">
      <c r="A569" s="184"/>
      <c r="B569" s="47" t="s">
        <v>394</v>
      </c>
      <c r="H569" s="14"/>
      <c r="I569" s="14"/>
      <c r="L569" s="854" t="str">
        <f>J481</f>
        <v>PX</v>
      </c>
      <c r="M569" s="776"/>
      <c r="V569" s="185"/>
    </row>
    <row r="570" spans="1:29" ht="18" hidden="1" customHeight="1">
      <c r="A570" s="184"/>
      <c r="B570" s="47" t="s">
        <v>396</v>
      </c>
      <c r="K570" s="120" t="s">
        <v>497</v>
      </c>
      <c r="L570" s="781">
        <v>10</v>
      </c>
      <c r="M570" s="782"/>
      <c r="N570" s="192" t="s">
        <v>333</v>
      </c>
      <c r="V570" s="185"/>
    </row>
    <row r="571" spans="1:29" ht="18" hidden="1" customHeight="1">
      <c r="A571" s="184"/>
      <c r="B571" s="47" t="s">
        <v>398</v>
      </c>
      <c r="K571" s="120" t="s">
        <v>498</v>
      </c>
      <c r="L571" s="781">
        <v>800</v>
      </c>
      <c r="M571" s="782"/>
      <c r="N571" s="14" t="s">
        <v>305</v>
      </c>
      <c r="V571" s="185"/>
      <c r="W571" s="30" t="s">
        <v>400</v>
      </c>
      <c r="AB571" s="785">
        <f>D626</f>
        <v>60.168362838904322</v>
      </c>
      <c r="AC571" s="786"/>
    </row>
    <row r="572" spans="1:29" ht="18" hidden="1" customHeight="1">
      <c r="A572" s="184"/>
      <c r="B572" s="14" t="s">
        <v>401</v>
      </c>
      <c r="K572" s="120" t="s">
        <v>402</v>
      </c>
      <c r="L572" s="781">
        <v>50</v>
      </c>
      <c r="M572" s="782"/>
      <c r="N572" s="30" t="s">
        <v>403</v>
      </c>
      <c r="V572" s="185"/>
    </row>
    <row r="573" spans="1:29" ht="18" hidden="1" customHeight="1">
      <c r="A573" s="96"/>
      <c r="V573" s="185"/>
    </row>
    <row r="574" spans="1:29" ht="18" hidden="1" customHeight="1">
      <c r="A574" s="193" t="s">
        <v>404</v>
      </c>
      <c r="V574" s="185"/>
    </row>
    <row r="575" spans="1:29" ht="18" hidden="1" customHeight="1">
      <c r="A575" s="184"/>
      <c r="V575" s="185"/>
    </row>
    <row r="576" spans="1:29" ht="18" hidden="1" customHeight="1">
      <c r="A576" s="184"/>
      <c r="B576" s="194" t="s">
        <v>405</v>
      </c>
      <c r="C576" s="195"/>
      <c r="D576" s="195" t="str">
        <f>T565</f>
        <v>7UT85</v>
      </c>
      <c r="E576" s="196"/>
      <c r="F576" s="196"/>
      <c r="G576" s="196"/>
      <c r="H576" s="182" t="s">
        <v>406</v>
      </c>
      <c r="I576" s="183" t="s">
        <v>127</v>
      </c>
      <c r="J576" s="766">
        <f>J488</f>
        <v>0.1</v>
      </c>
      <c r="K576" s="958"/>
      <c r="L576" s="3" t="s">
        <v>157</v>
      </c>
      <c r="V576" s="185"/>
    </row>
    <row r="577" spans="1:22" ht="18" hidden="1" customHeight="1">
      <c r="A577" s="184"/>
      <c r="B577" s="184" t="s">
        <v>405</v>
      </c>
      <c r="D577" s="30">
        <f>T566</f>
        <v>0</v>
      </c>
      <c r="H577" s="27"/>
      <c r="I577" s="177" t="s">
        <v>127</v>
      </c>
      <c r="J577" s="766">
        <f>J489</f>
        <v>0</v>
      </c>
      <c r="K577" s="958"/>
      <c r="L577" s="198" t="s">
        <v>157</v>
      </c>
      <c r="V577" s="185"/>
    </row>
    <row r="578" spans="1:22" ht="18" hidden="1" customHeight="1">
      <c r="A578" s="184"/>
      <c r="B578" s="184" t="s">
        <v>405</v>
      </c>
      <c r="D578" s="30">
        <f>T567</f>
        <v>0</v>
      </c>
      <c r="E578" s="14"/>
      <c r="G578" s="199"/>
      <c r="H578" s="27"/>
      <c r="I578" s="177" t="s">
        <v>127</v>
      </c>
      <c r="J578" s="766">
        <f>J490</f>
        <v>0</v>
      </c>
      <c r="K578" s="958"/>
      <c r="L578" s="202" t="s">
        <v>157</v>
      </c>
      <c r="V578" s="185"/>
    </row>
    <row r="579" spans="1:22" ht="18" hidden="1" customHeight="1">
      <c r="A579" s="184"/>
      <c r="B579" s="184" t="s">
        <v>412</v>
      </c>
      <c r="H579" s="27" t="s">
        <v>599</v>
      </c>
      <c r="I579" s="177" t="s">
        <v>127</v>
      </c>
      <c r="J579" s="766">
        <f>J491</f>
        <v>1.0770224400000001</v>
      </c>
      <c r="K579" s="958"/>
      <c r="L579" s="203" t="s">
        <v>157</v>
      </c>
      <c r="V579" s="185"/>
    </row>
    <row r="580" spans="1:22" ht="18" hidden="1" customHeight="1">
      <c r="A580" s="184"/>
      <c r="B580" s="205" t="s">
        <v>413</v>
      </c>
      <c r="C580" s="206"/>
      <c r="D580" s="206"/>
      <c r="E580" s="206"/>
      <c r="F580" s="207"/>
      <c r="G580" s="207"/>
      <c r="H580" s="190" t="s">
        <v>409</v>
      </c>
      <c r="I580" s="208" t="s">
        <v>127</v>
      </c>
      <c r="J580" s="766">
        <f>J577+J579</f>
        <v>1.0770224400000001</v>
      </c>
      <c r="K580" s="958"/>
      <c r="L580" s="210" t="s">
        <v>157</v>
      </c>
      <c r="V580" s="185"/>
    </row>
    <row r="581" spans="1:22" ht="18" hidden="1" customHeight="1">
      <c r="A581" s="184"/>
      <c r="B581" s="47"/>
      <c r="C581" s="47"/>
      <c r="D581" s="47"/>
      <c r="E581" s="47"/>
      <c r="H581" s="27"/>
      <c r="I581" s="28"/>
      <c r="J581" s="199"/>
      <c r="L581" s="47"/>
      <c r="O581" s="27"/>
      <c r="P581" s="211"/>
      <c r="Q581" s="211"/>
      <c r="R581" s="192"/>
      <c r="V581" s="185"/>
    </row>
    <row r="582" spans="1:22" ht="18" hidden="1" customHeight="1">
      <c r="A582" s="184"/>
      <c r="B582" s="197" t="s">
        <v>648</v>
      </c>
      <c r="L582" s="47"/>
      <c r="M582" s="197" t="s">
        <v>407</v>
      </c>
      <c r="V582" s="185"/>
    </row>
    <row r="583" spans="1:22" s="14" customFormat="1" ht="18" hidden="1" customHeight="1">
      <c r="A583" s="184"/>
      <c r="B583" s="27" t="s">
        <v>649</v>
      </c>
      <c r="C583" s="27" t="s">
        <v>127</v>
      </c>
      <c r="D583" s="30" t="s">
        <v>406</v>
      </c>
      <c r="E583" s="271" t="s">
        <v>410</v>
      </c>
      <c r="F583" s="27" t="s">
        <v>146</v>
      </c>
      <c r="G583" s="28" t="s">
        <v>315</v>
      </c>
      <c r="H583" s="218" t="s">
        <v>146</v>
      </c>
      <c r="I583" s="30" t="s">
        <v>350</v>
      </c>
      <c r="J583" s="199"/>
      <c r="K583" s="30"/>
      <c r="L583" s="47"/>
      <c r="M583" s="30" t="s">
        <v>408</v>
      </c>
      <c r="N583" s="27" t="s">
        <v>127</v>
      </c>
      <c r="O583" s="30" t="s">
        <v>409</v>
      </c>
      <c r="P583" s="191" t="s">
        <v>410</v>
      </c>
      <c r="Q583" s="244" t="s">
        <v>411</v>
      </c>
      <c r="R583" s="27" t="s">
        <v>315</v>
      </c>
      <c r="S583" s="30" t="s">
        <v>411</v>
      </c>
      <c r="T583" s="30" t="s">
        <v>350</v>
      </c>
      <c r="U583" s="30"/>
      <c r="V583" s="185"/>
    </row>
    <row r="584" spans="1:22" s="14" customFormat="1" ht="18" hidden="1" customHeight="1">
      <c r="A584" s="184"/>
      <c r="B584" s="47"/>
      <c r="C584" s="27" t="s">
        <v>127</v>
      </c>
      <c r="D584" s="204">
        <f>J576</f>
        <v>0.1</v>
      </c>
      <c r="E584" s="191" t="s">
        <v>410</v>
      </c>
      <c r="F584" s="27">
        <f>F496</f>
        <v>1</v>
      </c>
      <c r="G584" s="27" t="s">
        <v>315</v>
      </c>
      <c r="H584" s="27">
        <f>H496</f>
        <v>1</v>
      </c>
      <c r="I584" s="30" t="s">
        <v>350</v>
      </c>
      <c r="J584" s="199"/>
      <c r="K584" s="30"/>
      <c r="L584" s="47"/>
      <c r="M584" s="30"/>
      <c r="N584" s="27" t="s">
        <v>127</v>
      </c>
      <c r="O584" s="204">
        <f>J580</f>
        <v>1.0770224400000001</v>
      </c>
      <c r="P584" s="191" t="s">
        <v>410</v>
      </c>
      <c r="Q584" s="27">
        <f>O568</f>
        <v>1</v>
      </c>
      <c r="R584" s="27" t="s">
        <v>315</v>
      </c>
      <c r="S584" s="27">
        <f>O568</f>
        <v>1</v>
      </c>
      <c r="T584" s="30" t="s">
        <v>350</v>
      </c>
      <c r="U584" s="30"/>
      <c r="V584" s="185"/>
    </row>
    <row r="585" spans="1:22" s="14" customFormat="1" ht="18" hidden="1" customHeight="1">
      <c r="A585" s="184"/>
      <c r="B585" s="47"/>
      <c r="C585" s="27" t="s">
        <v>127</v>
      </c>
      <c r="D585" s="795">
        <f>D584/(F584*H584)</f>
        <v>0.1</v>
      </c>
      <c r="E585" s="795"/>
      <c r="F585" s="192" t="s">
        <v>333</v>
      </c>
      <c r="G585" s="30"/>
      <c r="H585" s="30"/>
      <c r="I585" s="30"/>
      <c r="J585" s="199"/>
      <c r="K585" s="30"/>
      <c r="L585" s="47"/>
      <c r="M585" s="30"/>
      <c r="N585" s="27" t="s">
        <v>127</v>
      </c>
      <c r="O585" s="795">
        <f>O584/(Q584*S584)</f>
        <v>1.0770224400000001</v>
      </c>
      <c r="P585" s="795"/>
      <c r="Q585" s="192" t="s">
        <v>333</v>
      </c>
      <c r="R585" s="30"/>
      <c r="S585" s="30"/>
      <c r="T585" s="30"/>
      <c r="U585" s="30"/>
      <c r="V585" s="185"/>
    </row>
    <row r="586" spans="1:22" s="14" customFormat="1" ht="18" hidden="1" customHeight="1">
      <c r="A586" s="184"/>
      <c r="B586" s="47"/>
      <c r="C586" s="47"/>
      <c r="D586" s="47"/>
      <c r="E586" s="47"/>
      <c r="F586" s="30"/>
      <c r="G586" s="30"/>
      <c r="H586" s="27"/>
      <c r="I586" s="28"/>
      <c r="J586" s="199"/>
      <c r="K586" s="30"/>
      <c r="L586" s="47"/>
      <c r="M586" s="30"/>
      <c r="N586" s="30"/>
      <c r="O586" s="27"/>
      <c r="P586" s="211"/>
      <c r="Q586" s="211"/>
      <c r="R586" s="192"/>
      <c r="S586" s="30"/>
      <c r="T586" s="30"/>
      <c r="U586" s="30"/>
      <c r="V586" s="185"/>
    </row>
    <row r="587" spans="1:22" s="14" customFormat="1" ht="18" hidden="1" customHeight="1">
      <c r="A587" s="184"/>
      <c r="B587" s="47" t="s">
        <v>668</v>
      </c>
      <c r="C587" s="47"/>
      <c r="D587" s="47"/>
      <c r="E587" s="47"/>
      <c r="F587" s="30"/>
      <c r="G587" s="30"/>
      <c r="H587" s="27"/>
      <c r="I587" s="28"/>
      <c r="J587" s="199"/>
      <c r="K587" s="30"/>
      <c r="L587" s="47" t="s">
        <v>127</v>
      </c>
      <c r="M587" s="204">
        <f>D585</f>
        <v>0.1</v>
      </c>
      <c r="N587" s="27" t="s">
        <v>347</v>
      </c>
      <c r="O587" s="211">
        <f>O585</f>
        <v>1.0770224400000001</v>
      </c>
      <c r="P587" s="211" t="s">
        <v>127</v>
      </c>
      <c r="Q587" s="211">
        <f>M587+O587</f>
        <v>1.1770224400000002</v>
      </c>
      <c r="R587" s="192" t="s">
        <v>333</v>
      </c>
      <c r="S587" s="30"/>
      <c r="T587" s="30"/>
      <c r="U587" s="30"/>
      <c r="V587" s="185"/>
    </row>
    <row r="588" spans="1:22" s="14" customFormat="1" ht="18" hidden="1" customHeight="1">
      <c r="A588" s="193" t="s">
        <v>600</v>
      </c>
      <c r="B588" s="5"/>
      <c r="C588" s="5"/>
      <c r="D588" s="5"/>
      <c r="E588" s="5"/>
      <c r="F588" s="5"/>
      <c r="G588" s="5"/>
      <c r="H588" s="212"/>
      <c r="I588" s="212"/>
      <c r="J588" s="5"/>
      <c r="K588" s="5"/>
      <c r="L588" s="5"/>
      <c r="M588" s="5"/>
      <c r="N588" s="5"/>
      <c r="O588" s="5"/>
      <c r="P588" s="103"/>
      <c r="Q588" s="212"/>
      <c r="R588" s="213"/>
      <c r="S588" s="214"/>
      <c r="T588" s="18"/>
      <c r="U588" s="18"/>
      <c r="V588" s="97"/>
    </row>
    <row r="589" spans="1:22" s="14" customFormat="1" ht="18" hidden="1" customHeight="1">
      <c r="A589" s="96"/>
      <c r="B589" s="47" t="s">
        <v>601</v>
      </c>
      <c r="C589" s="5"/>
      <c r="D589" s="5"/>
      <c r="E589" s="5"/>
      <c r="I589" s="215"/>
      <c r="M589" s="5"/>
      <c r="N589" s="103" t="s">
        <v>127</v>
      </c>
      <c r="O589" s="1154">
        <f>O501</f>
        <v>100</v>
      </c>
      <c r="P589" s="831"/>
      <c r="Q589" s="14" t="s">
        <v>602</v>
      </c>
      <c r="S589" s="214"/>
      <c r="T589" s="18"/>
      <c r="U589" s="18"/>
      <c r="V589" s="97"/>
    </row>
    <row r="590" spans="1:22" s="14" customFormat="1" ht="18" hidden="1" customHeight="1">
      <c r="A590" s="96"/>
      <c r="B590" s="47" t="s">
        <v>603</v>
      </c>
      <c r="C590" s="5"/>
      <c r="D590" s="5"/>
      <c r="E590" s="5"/>
      <c r="I590" s="215"/>
      <c r="M590" s="5"/>
      <c r="N590" s="103" t="s">
        <v>127</v>
      </c>
      <c r="O590" s="1154">
        <f>O502</f>
        <v>25</v>
      </c>
      <c r="P590" s="831"/>
      <c r="Q590" s="14" t="s">
        <v>604</v>
      </c>
      <c r="S590" s="214"/>
      <c r="T590" s="18"/>
      <c r="U590" s="18"/>
      <c r="V590" s="97"/>
    </row>
    <row r="591" spans="1:22" s="14" customFormat="1" ht="18" hidden="1" customHeight="1">
      <c r="A591" s="96"/>
      <c r="B591" s="47" t="s">
        <v>605</v>
      </c>
      <c r="C591" s="5"/>
      <c r="D591" s="5"/>
      <c r="E591" s="5"/>
      <c r="M591" s="120" t="s">
        <v>606</v>
      </c>
      <c r="N591" s="103" t="s">
        <v>607</v>
      </c>
      <c r="O591" s="1154">
        <f>O503</f>
        <v>132</v>
      </c>
      <c r="P591" s="831"/>
      <c r="Q591" s="14" t="s">
        <v>163</v>
      </c>
      <c r="S591" s="214"/>
      <c r="T591" s="18"/>
      <c r="U591" s="18"/>
      <c r="V591" s="97"/>
    </row>
    <row r="592" spans="1:22" s="14" customFormat="1" ht="18" hidden="1" customHeight="1">
      <c r="A592" s="216"/>
      <c r="B592" s="212"/>
      <c r="C592" s="212"/>
      <c r="D592" s="212"/>
      <c r="E592" s="212"/>
      <c r="T592" s="18"/>
      <c r="U592" s="18"/>
      <c r="V592" s="97"/>
    </row>
    <row r="593" spans="1:22" s="14" customFormat="1" ht="18" hidden="1" customHeight="1">
      <c r="A593" s="272" t="s">
        <v>608</v>
      </c>
      <c r="B593" s="213"/>
      <c r="C593" s="213"/>
      <c r="D593" s="213"/>
      <c r="E593" s="213"/>
      <c r="H593" s="120" t="s">
        <v>609</v>
      </c>
      <c r="I593" s="28" t="s">
        <v>127</v>
      </c>
      <c r="J593" s="689" t="s">
        <v>610</v>
      </c>
      <c r="K593" s="689"/>
      <c r="L593" s="28" t="s">
        <v>315</v>
      </c>
      <c r="M593" s="217">
        <v>1000</v>
      </c>
      <c r="N593" s="102" t="s">
        <v>342</v>
      </c>
      <c r="O593" s="28" t="s">
        <v>611</v>
      </c>
      <c r="P593" s="28" t="s">
        <v>315</v>
      </c>
      <c r="Q593" s="28" t="s">
        <v>606</v>
      </c>
      <c r="R593" s="47" t="s">
        <v>350</v>
      </c>
      <c r="T593" s="18"/>
      <c r="U593" s="18"/>
      <c r="V593" s="97"/>
    </row>
    <row r="594" spans="1:22" ht="18" hidden="1" customHeight="1">
      <c r="A594" s="216"/>
      <c r="B594" s="213"/>
      <c r="C594" s="213"/>
      <c r="D594" s="213"/>
      <c r="E594" s="213"/>
      <c r="F594" s="212"/>
      <c r="G594" s="212"/>
      <c r="H594" s="28"/>
      <c r="I594" s="28" t="s">
        <v>127</v>
      </c>
      <c r="J594" s="689">
        <f>O589</f>
        <v>100</v>
      </c>
      <c r="K594" s="689"/>
      <c r="L594" s="28" t="s">
        <v>315</v>
      </c>
      <c r="M594" s="217">
        <v>1000</v>
      </c>
      <c r="N594" s="102" t="s">
        <v>342</v>
      </c>
      <c r="O594" s="28" t="s">
        <v>611</v>
      </c>
      <c r="P594" s="28" t="s">
        <v>315</v>
      </c>
      <c r="Q594" s="28">
        <f>O591</f>
        <v>132</v>
      </c>
      <c r="R594" s="47" t="s">
        <v>350</v>
      </c>
      <c r="S594" s="14"/>
      <c r="T594" s="18"/>
      <c r="U594" s="18"/>
      <c r="V594" s="97"/>
    </row>
    <row r="595" spans="1:22" ht="18" hidden="1" customHeight="1">
      <c r="A595" s="216"/>
      <c r="B595" s="212"/>
      <c r="C595" s="212"/>
      <c r="D595" s="212"/>
      <c r="E595" s="212"/>
      <c r="F595" s="212"/>
      <c r="G595" s="212"/>
      <c r="H595" s="14"/>
      <c r="I595" s="28" t="s">
        <v>127</v>
      </c>
      <c r="J595" s="692">
        <f>(O589*1000)/(SQRT(3)*O591)</f>
        <v>437.38656756789834</v>
      </c>
      <c r="K595" s="692"/>
      <c r="L595" s="14" t="s">
        <v>8</v>
      </c>
      <c r="M595" s="120"/>
      <c r="N595" s="120"/>
      <c r="O595" s="120"/>
      <c r="P595" s="14"/>
      <c r="Q595" s="14"/>
      <c r="R595" s="14"/>
      <c r="S595" s="14"/>
      <c r="T595" s="18"/>
      <c r="U595" s="18"/>
      <c r="V595" s="97"/>
    </row>
    <row r="596" spans="1:22" ht="18" hidden="1" customHeight="1">
      <c r="A596" s="216"/>
      <c r="B596" s="212"/>
      <c r="C596" s="212"/>
      <c r="D596" s="212"/>
      <c r="E596" s="212"/>
      <c r="F596" s="14"/>
      <c r="G596" s="212"/>
      <c r="H596" s="28"/>
      <c r="I596" s="103"/>
      <c r="J596" s="28"/>
      <c r="K596" s="14"/>
      <c r="L596" s="14"/>
      <c r="M596" s="212"/>
      <c r="N596" s="219"/>
      <c r="O596" s="212"/>
      <c r="P596" s="14"/>
      <c r="Q596" s="14"/>
      <c r="R596" s="14"/>
      <c r="S596" s="14"/>
      <c r="T596" s="18"/>
      <c r="U596" s="18"/>
      <c r="V596" s="97"/>
    </row>
    <row r="597" spans="1:22" s="14" customFormat="1" ht="18" hidden="1" customHeight="1">
      <c r="A597" s="147" t="s">
        <v>629</v>
      </c>
      <c r="B597" s="5"/>
      <c r="C597" s="5"/>
      <c r="D597" s="5"/>
      <c r="E597" s="5"/>
      <c r="F597" s="212"/>
      <c r="G597" s="212"/>
      <c r="H597" s="5"/>
      <c r="I597" s="5"/>
      <c r="J597" s="5"/>
      <c r="K597" s="5"/>
      <c r="L597" s="103"/>
      <c r="M597" s="103"/>
      <c r="N597" s="103"/>
      <c r="O597" s="103"/>
      <c r="P597" s="212"/>
      <c r="Q597" s="213"/>
      <c r="S597" s="220"/>
      <c r="T597" s="18"/>
      <c r="U597" s="18"/>
      <c r="V597" s="97"/>
    </row>
    <row r="598" spans="1:22" s="14" customFormat="1" ht="18" hidden="1" customHeight="1">
      <c r="A598" s="147"/>
      <c r="B598" s="5"/>
      <c r="C598" s="5"/>
      <c r="D598" s="5"/>
      <c r="E598" s="5"/>
      <c r="F598" s="212"/>
      <c r="G598" s="212"/>
      <c r="H598" s="5"/>
      <c r="I598" s="5"/>
      <c r="J598" s="5"/>
      <c r="K598" s="5"/>
      <c r="L598" s="103"/>
      <c r="M598" s="103"/>
      <c r="N598" s="103"/>
      <c r="O598" s="103"/>
      <c r="P598" s="212"/>
      <c r="Q598" s="213"/>
      <c r="S598" s="214"/>
      <c r="T598" s="18"/>
      <c r="U598" s="18"/>
      <c r="V598" s="97"/>
    </row>
    <row r="599" spans="1:22" ht="18" hidden="1" customHeight="1">
      <c r="A599" s="96" t="s">
        <v>612</v>
      </c>
      <c r="B599" s="14"/>
      <c r="C599" s="14"/>
      <c r="D599" s="14"/>
      <c r="E599" s="14"/>
      <c r="M599" s="120" t="s">
        <v>613</v>
      </c>
      <c r="N599" s="28" t="s">
        <v>127</v>
      </c>
      <c r="O599" s="689" t="s">
        <v>609</v>
      </c>
      <c r="P599" s="716"/>
      <c r="Q599" s="221" t="s">
        <v>630</v>
      </c>
      <c r="R599" s="221">
        <v>16</v>
      </c>
      <c r="S599" s="186"/>
      <c r="V599" s="185"/>
    </row>
    <row r="600" spans="1:22" ht="18" hidden="1" customHeight="1">
      <c r="A600" s="96"/>
      <c r="B600" s="5"/>
      <c r="C600" s="5"/>
      <c r="D600" s="5"/>
      <c r="E600" s="5"/>
      <c r="M600" s="250"/>
      <c r="N600" s="28" t="s">
        <v>127</v>
      </c>
      <c r="O600" s="689">
        <f>+J595</f>
        <v>437.38656756789834</v>
      </c>
      <c r="P600" s="716"/>
      <c r="Q600" s="221" t="s">
        <v>630</v>
      </c>
      <c r="R600" s="221">
        <v>16</v>
      </c>
      <c r="S600" s="186"/>
      <c r="V600" s="185"/>
    </row>
    <row r="601" spans="1:22" s="279" customFormat="1" ht="18" hidden="1" customHeight="1">
      <c r="A601" s="96"/>
      <c r="B601" s="5"/>
      <c r="C601" s="5"/>
      <c r="D601" s="5"/>
      <c r="E601" s="5"/>
      <c r="F601" s="30"/>
      <c r="G601" s="30"/>
      <c r="H601" s="30"/>
      <c r="I601" s="30"/>
      <c r="J601" s="30"/>
      <c r="K601" s="30"/>
      <c r="L601" s="30"/>
      <c r="M601" s="120" t="s">
        <v>613</v>
      </c>
      <c r="N601" s="28" t="s">
        <v>127</v>
      </c>
      <c r="O601" s="689">
        <f>O600*R600</f>
        <v>6998.1850810863734</v>
      </c>
      <c r="P601" s="716"/>
      <c r="Q601" s="241" t="s">
        <v>8</v>
      </c>
      <c r="R601" s="14"/>
      <c r="S601" s="186"/>
      <c r="T601" s="30"/>
      <c r="U601" s="30"/>
      <c r="V601" s="185"/>
    </row>
    <row r="602" spans="1:22" s="279" customFormat="1" ht="18" hidden="1" customHeight="1">
      <c r="A602" s="96"/>
      <c r="B602" s="5"/>
      <c r="C602" s="5"/>
      <c r="D602" s="5"/>
      <c r="E602" s="5"/>
      <c r="F602" s="30"/>
      <c r="G602" s="30"/>
      <c r="H602" s="30"/>
      <c r="I602" s="30"/>
      <c r="J602" s="30"/>
      <c r="K602" s="30"/>
      <c r="L602" s="30"/>
      <c r="M602" s="120"/>
      <c r="N602" s="28"/>
      <c r="O602" s="28"/>
      <c r="P602" s="14"/>
      <c r="Q602" s="241"/>
      <c r="R602" s="14"/>
      <c r="S602" s="186"/>
      <c r="T602" s="30"/>
      <c r="U602" s="30"/>
      <c r="V602" s="185"/>
    </row>
    <row r="603" spans="1:22" s="279" customFormat="1" ht="18" hidden="1" customHeight="1">
      <c r="A603" s="96"/>
      <c r="B603" s="5"/>
      <c r="C603" s="5"/>
      <c r="D603" s="5"/>
      <c r="E603" s="5"/>
      <c r="F603" s="30"/>
      <c r="G603" s="30"/>
      <c r="H603" s="30"/>
      <c r="I603" s="30"/>
      <c r="J603" s="30"/>
      <c r="K603" s="30"/>
      <c r="L603" s="30"/>
      <c r="M603" s="120"/>
      <c r="N603" s="28"/>
      <c r="O603" s="28"/>
      <c r="P603" s="14"/>
      <c r="Q603" s="241"/>
      <c r="R603" s="14"/>
      <c r="S603" s="186"/>
      <c r="T603" s="30"/>
      <c r="U603" s="30"/>
      <c r="V603" s="185"/>
    </row>
    <row r="604" spans="1:22" s="279" customFormat="1" ht="18" hidden="1" customHeight="1">
      <c r="A604" s="96"/>
      <c r="B604" s="5"/>
      <c r="C604" s="5"/>
      <c r="D604" s="5"/>
      <c r="E604" s="5"/>
      <c r="F604" s="30"/>
      <c r="G604" s="30"/>
      <c r="H604" s="30"/>
      <c r="I604" s="30"/>
      <c r="J604" s="30"/>
      <c r="K604" s="30"/>
      <c r="L604" s="30"/>
      <c r="M604" s="120"/>
      <c r="N604" s="28"/>
      <c r="O604" s="28"/>
      <c r="P604" s="14"/>
      <c r="Q604" s="241"/>
      <c r="R604" s="14"/>
      <c r="S604" s="186"/>
      <c r="T604" s="30"/>
      <c r="U604" s="30"/>
      <c r="V604" s="185"/>
    </row>
    <row r="605" spans="1:22" s="279" customFormat="1" ht="18" hidden="1" customHeight="1">
      <c r="A605" s="96"/>
      <c r="B605" s="5"/>
      <c r="C605" s="5"/>
      <c r="D605" s="5"/>
      <c r="E605" s="5"/>
      <c r="F605" s="30"/>
      <c r="G605" s="30"/>
      <c r="H605" s="30"/>
      <c r="I605" s="30"/>
      <c r="J605" s="30"/>
      <c r="K605" s="30"/>
      <c r="L605" s="30"/>
      <c r="M605" s="120"/>
      <c r="N605" s="28"/>
      <c r="O605" s="28"/>
      <c r="P605" s="14"/>
      <c r="Q605" s="241"/>
      <c r="R605" s="14"/>
      <c r="S605" s="186"/>
      <c r="T605" s="30"/>
      <c r="U605" s="30"/>
      <c r="V605" s="185"/>
    </row>
    <row r="606" spans="1:22" s="279" customFormat="1" ht="18" hidden="1" customHeight="1">
      <c r="A606" s="96"/>
      <c r="B606" s="5"/>
      <c r="C606" s="5"/>
      <c r="D606" s="5"/>
      <c r="E606" s="5"/>
      <c r="F606" s="30"/>
      <c r="G606" s="30"/>
      <c r="H606" s="30"/>
      <c r="I606" s="30"/>
      <c r="J606" s="30"/>
      <c r="K606" s="30"/>
      <c r="L606" s="30"/>
      <c r="M606" s="120"/>
      <c r="N606" s="28"/>
      <c r="O606" s="28"/>
      <c r="P606" s="14"/>
      <c r="Q606" s="241"/>
      <c r="R606" s="14"/>
      <c r="S606" s="186"/>
      <c r="T606" s="30"/>
      <c r="U606" s="30"/>
      <c r="V606" s="185"/>
    </row>
    <row r="607" spans="1:22" s="279" customFormat="1" ht="18" hidden="1" customHeight="1">
      <c r="A607" s="194"/>
      <c r="B607" s="195"/>
      <c r="C607" s="195"/>
      <c r="D607" s="195"/>
      <c r="E607" s="195"/>
      <c r="F607" s="195"/>
      <c r="G607" s="195"/>
      <c r="H607" s="195"/>
      <c r="I607" s="195"/>
      <c r="J607" s="195"/>
      <c r="K607" s="195"/>
      <c r="L607" s="195"/>
      <c r="M607" s="195"/>
      <c r="N607" s="195"/>
      <c r="O607" s="195"/>
      <c r="P607" s="195"/>
      <c r="Q607" s="224"/>
      <c r="R607" s="182"/>
      <c r="S607" s="225"/>
      <c r="T607" s="195"/>
      <c r="U607" s="195"/>
      <c r="V607" s="134" t="s">
        <v>552</v>
      </c>
    </row>
    <row r="608" spans="1:22" ht="18" hidden="1" customHeight="1">
      <c r="A608" s="135"/>
      <c r="B608" s="273"/>
      <c r="C608" s="273"/>
      <c r="D608" s="273"/>
      <c r="E608" s="273"/>
      <c r="F608" s="273"/>
      <c r="G608" s="273"/>
      <c r="H608" s="273"/>
      <c r="I608" s="273"/>
      <c r="J608" s="273"/>
      <c r="K608" s="273"/>
      <c r="L608" s="273"/>
      <c r="M608" s="273"/>
      <c r="N608" s="273"/>
      <c r="O608" s="273"/>
      <c r="P608" s="273"/>
      <c r="Q608" s="274"/>
      <c r="R608" s="138"/>
      <c r="S608" s="275"/>
      <c r="T608" s="273"/>
      <c r="U608" s="273"/>
      <c r="V608" s="276"/>
    </row>
    <row r="609" spans="1:22" ht="18" hidden="1" customHeight="1">
      <c r="A609" s="96" t="s">
        <v>686</v>
      </c>
      <c r="V609" s="185"/>
    </row>
    <row r="610" spans="1:22" ht="18" hidden="1" customHeight="1">
      <c r="A610" s="184"/>
      <c r="V610" s="185"/>
    </row>
    <row r="611" spans="1:22" ht="18" hidden="1" customHeight="1">
      <c r="A611" s="277"/>
      <c r="B611" s="689" t="s">
        <v>473</v>
      </c>
      <c r="C611" s="1150" t="s">
        <v>652</v>
      </c>
      <c r="D611" s="279"/>
      <c r="E611" s="279"/>
      <c r="F611" s="279"/>
      <c r="G611" s="802" t="s">
        <v>687</v>
      </c>
      <c r="H611" s="1153" t="s">
        <v>315</v>
      </c>
      <c r="I611" s="708" t="s">
        <v>688</v>
      </c>
      <c r="J611" s="1147"/>
      <c r="K611" s="1147"/>
      <c r="L611" s="1147"/>
      <c r="M611" s="1147"/>
      <c r="N611" s="689" t="s">
        <v>672</v>
      </c>
      <c r="O611" s="708" t="s">
        <v>420</v>
      </c>
      <c r="P611" s="689" t="s">
        <v>347</v>
      </c>
      <c r="Q611" s="708" t="s">
        <v>689</v>
      </c>
      <c r="R611" s="708" t="s">
        <v>674</v>
      </c>
      <c r="S611" s="708" t="s">
        <v>411</v>
      </c>
      <c r="T611" s="14"/>
      <c r="U611" s="729" t="s">
        <v>653</v>
      </c>
      <c r="V611" s="185"/>
    </row>
    <row r="612" spans="1:22" ht="18" hidden="1" customHeight="1">
      <c r="A612" s="277"/>
      <c r="B612" s="689"/>
      <c r="C612" s="689"/>
      <c r="D612" s="279"/>
      <c r="E612" s="279"/>
      <c r="F612" s="279"/>
      <c r="G612" s="802"/>
      <c r="H612" s="689"/>
      <c r="I612" s="689">
        <v>1.3</v>
      </c>
      <c r="J612" s="689"/>
      <c r="K612" s="28" t="s">
        <v>315</v>
      </c>
      <c r="L612" s="689" t="s">
        <v>423</v>
      </c>
      <c r="M612" s="689"/>
      <c r="N612" s="689"/>
      <c r="O612" s="689"/>
      <c r="P612" s="689"/>
      <c r="Q612" s="689"/>
      <c r="R612" s="689"/>
      <c r="S612" s="689"/>
      <c r="T612" s="14"/>
      <c r="U612" s="689"/>
      <c r="V612" s="185"/>
    </row>
    <row r="613" spans="1:22" ht="18" hidden="1" customHeight="1">
      <c r="A613" s="184"/>
      <c r="V613" s="185"/>
    </row>
    <row r="614" spans="1:22" ht="18" hidden="1" customHeight="1">
      <c r="A614" s="184"/>
      <c r="B614" s="47" t="s">
        <v>654</v>
      </c>
      <c r="C614" s="14"/>
      <c r="D614" s="14"/>
      <c r="E614" s="14"/>
      <c r="F614" s="18"/>
      <c r="G614" s="18"/>
      <c r="H614" s="14"/>
      <c r="I614" s="120"/>
      <c r="J614" s="14"/>
      <c r="K614" s="14"/>
      <c r="M614" s="14"/>
      <c r="N614" s="14"/>
      <c r="P614" s="14" t="s">
        <v>423</v>
      </c>
      <c r="R614" s="234" t="s">
        <v>127</v>
      </c>
      <c r="S614" s="684">
        <f>L568</f>
        <v>3000</v>
      </c>
      <c r="T614" s="684"/>
      <c r="U614" s="30" t="s">
        <v>8</v>
      </c>
      <c r="V614" s="185"/>
    </row>
    <row r="615" spans="1:22" ht="18" hidden="1" customHeight="1">
      <c r="A615" s="184"/>
      <c r="B615" s="47" t="s">
        <v>655</v>
      </c>
      <c r="C615" s="14"/>
      <c r="D615" s="14"/>
      <c r="E615" s="14"/>
      <c r="F615" s="18"/>
      <c r="G615" s="18"/>
      <c r="H615" s="14"/>
      <c r="I615" s="120"/>
      <c r="J615" s="14"/>
      <c r="K615" s="14"/>
      <c r="M615" s="14"/>
      <c r="N615" s="14"/>
      <c r="P615" s="14" t="s">
        <v>420</v>
      </c>
      <c r="R615" s="234" t="s">
        <v>127</v>
      </c>
      <c r="S615" s="684">
        <f>L570</f>
        <v>10</v>
      </c>
      <c r="T615" s="684"/>
      <c r="U615" s="192" t="s">
        <v>333</v>
      </c>
      <c r="V615" s="185"/>
    </row>
    <row r="616" spans="1:22" ht="18" hidden="1" customHeight="1">
      <c r="A616" s="184"/>
      <c r="B616" s="47" t="s">
        <v>676</v>
      </c>
      <c r="C616" s="14"/>
      <c r="D616" s="14"/>
      <c r="E616" s="14"/>
      <c r="F616" s="18"/>
      <c r="G616" s="18"/>
      <c r="H616" s="14"/>
      <c r="I616" s="120"/>
      <c r="J616" s="14"/>
      <c r="K616" s="14"/>
      <c r="M616" s="14"/>
      <c r="N616" s="14"/>
      <c r="P616" s="14" t="s">
        <v>690</v>
      </c>
      <c r="R616" s="234" t="s">
        <v>127</v>
      </c>
      <c r="S616" s="795">
        <f>Q587</f>
        <v>1.1770224400000002</v>
      </c>
      <c r="T616" s="795"/>
      <c r="U616" s="192" t="s">
        <v>333</v>
      </c>
      <c r="V616" s="185"/>
    </row>
    <row r="617" spans="1:22" ht="18" hidden="1" customHeight="1">
      <c r="A617" s="184"/>
      <c r="B617" s="47" t="s">
        <v>691</v>
      </c>
      <c r="C617" s="14"/>
      <c r="D617" s="14"/>
      <c r="E617" s="14"/>
      <c r="F617" s="14"/>
      <c r="G617" s="14"/>
      <c r="H617" s="14"/>
      <c r="I617" s="120"/>
      <c r="J617" s="14"/>
      <c r="K617" s="14"/>
      <c r="M617" s="14"/>
      <c r="N617" s="14"/>
      <c r="P617" s="14" t="s">
        <v>411</v>
      </c>
      <c r="R617" s="234" t="s">
        <v>127</v>
      </c>
      <c r="S617" s="684">
        <f>O568</f>
        <v>1</v>
      </c>
      <c r="T617" s="684"/>
      <c r="U617" s="30" t="s">
        <v>8</v>
      </c>
      <c r="V617" s="185"/>
    </row>
    <row r="618" spans="1:22" ht="18" hidden="1" customHeight="1">
      <c r="A618" s="184"/>
      <c r="B618" s="47" t="s">
        <v>678</v>
      </c>
      <c r="C618" s="14"/>
      <c r="D618" s="14"/>
      <c r="E618" s="14"/>
      <c r="F618" s="14"/>
      <c r="G618" s="14"/>
      <c r="H618" s="14"/>
      <c r="I618" s="120"/>
      <c r="J618" s="14"/>
      <c r="K618" s="14"/>
      <c r="M618" s="14"/>
      <c r="N618" s="14"/>
      <c r="P618" s="120" t="s">
        <v>688</v>
      </c>
      <c r="R618" s="234" t="s">
        <v>127</v>
      </c>
      <c r="S618" s="684">
        <f>O601</f>
        <v>6998.1850810863734</v>
      </c>
      <c r="T618" s="684"/>
      <c r="U618" s="30" t="s">
        <v>8</v>
      </c>
      <c r="V618" s="185"/>
    </row>
    <row r="619" spans="1:22" s="279" customFormat="1" ht="18" hidden="1" customHeight="1">
      <c r="A619" s="184"/>
      <c r="B619" s="47" t="s">
        <v>692</v>
      </c>
      <c r="C619" s="14"/>
      <c r="D619" s="14"/>
      <c r="E619" s="14"/>
      <c r="F619" s="14"/>
      <c r="G619" s="14"/>
      <c r="H619" s="14"/>
      <c r="I619" s="120"/>
      <c r="J619" s="14"/>
      <c r="K619" s="14"/>
      <c r="L619" s="30"/>
      <c r="M619" s="14"/>
      <c r="N619" s="14"/>
      <c r="O619" s="30"/>
      <c r="P619" s="120" t="s">
        <v>680</v>
      </c>
      <c r="Q619" s="30"/>
      <c r="R619" s="234" t="s">
        <v>127</v>
      </c>
      <c r="S619" s="795">
        <f>J595</f>
        <v>437.38656756789834</v>
      </c>
      <c r="T619" s="684"/>
      <c r="U619" s="30" t="s">
        <v>8</v>
      </c>
      <c r="V619" s="185"/>
    </row>
    <row r="620" spans="1:22" s="279" customFormat="1" ht="18" hidden="1" customHeight="1">
      <c r="A620" s="184"/>
      <c r="B620" s="47" t="s">
        <v>659</v>
      </c>
      <c r="C620" s="14"/>
      <c r="D620" s="14"/>
      <c r="E620" s="14"/>
      <c r="F620" s="14"/>
      <c r="G620" s="14"/>
      <c r="H620" s="14"/>
      <c r="I620" s="120"/>
      <c r="J620" s="14"/>
      <c r="K620" s="14"/>
      <c r="L620" s="30"/>
      <c r="M620" s="14"/>
      <c r="N620" s="14"/>
      <c r="O620" s="30"/>
      <c r="P620" s="120" t="s">
        <v>660</v>
      </c>
      <c r="Q620" s="30"/>
      <c r="R620" s="234" t="s">
        <v>127</v>
      </c>
      <c r="S620" s="684">
        <f>S532</f>
        <v>1</v>
      </c>
      <c r="T620" s="684"/>
      <c r="U620" s="30" t="s">
        <v>8</v>
      </c>
      <c r="V620" s="185"/>
    </row>
    <row r="621" spans="1:22" ht="18" hidden="1" customHeight="1">
      <c r="A621" s="96"/>
      <c r="B621" s="14"/>
      <c r="C621" s="14"/>
      <c r="D621" s="235"/>
      <c r="E621" s="14"/>
      <c r="F621" s="28"/>
      <c r="G621" s="249"/>
      <c r="H621" s="28"/>
      <c r="I621" s="251"/>
      <c r="J621" s="14"/>
      <c r="K621" s="280"/>
      <c r="M621" s="47"/>
      <c r="N621" s="268"/>
      <c r="P621" s="281"/>
      <c r="R621" s="234"/>
      <c r="S621" s="1148"/>
      <c r="T621" s="723"/>
      <c r="V621" s="185"/>
    </row>
    <row r="622" spans="1:22" ht="18" hidden="1" customHeight="1">
      <c r="A622" s="272" t="s">
        <v>693</v>
      </c>
      <c r="B622" s="14"/>
      <c r="C622" s="14"/>
      <c r="D622" s="14"/>
      <c r="E622" s="14"/>
      <c r="F622" s="14"/>
      <c r="G622" s="14"/>
      <c r="H622" s="28">
        <v>3</v>
      </c>
      <c r="I622" s="47" t="s">
        <v>694</v>
      </c>
      <c r="J622" s="14"/>
      <c r="K622" s="14"/>
      <c r="M622" s="14" t="s">
        <v>337</v>
      </c>
      <c r="N622" s="14"/>
      <c r="P622" s="120"/>
      <c r="R622" s="234"/>
      <c r="S622" s="1149"/>
      <c r="T622" s="723"/>
      <c r="V622" s="185"/>
    </row>
    <row r="623" spans="1:22" ht="18" hidden="1" customHeight="1">
      <c r="A623" s="272"/>
      <c r="B623" s="14"/>
      <c r="C623" s="14"/>
      <c r="D623" s="14"/>
      <c r="E623" s="14"/>
      <c r="F623" s="14"/>
      <c r="G623" s="14"/>
      <c r="H623" s="28"/>
      <c r="I623" s="47"/>
      <c r="J623" s="14"/>
      <c r="K623" s="14"/>
      <c r="M623" s="14"/>
      <c r="N623" s="14"/>
      <c r="P623" s="120"/>
      <c r="R623" s="234"/>
      <c r="S623" s="282"/>
      <c r="V623" s="185"/>
    </row>
    <row r="624" spans="1:22" ht="18" hidden="1" customHeight="1">
      <c r="A624" s="277"/>
      <c r="B624" s="689" t="s">
        <v>703</v>
      </c>
      <c r="C624" s="1150" t="s">
        <v>652</v>
      </c>
      <c r="D624" s="279"/>
      <c r="E624" s="279"/>
      <c r="F624" s="279"/>
      <c r="G624" s="802">
        <f>H622</f>
        <v>3</v>
      </c>
      <c r="H624" s="1151" t="s">
        <v>315</v>
      </c>
      <c r="I624" s="829">
        <f>S618</f>
        <v>6998.1850810863734</v>
      </c>
      <c r="J624" s="1152"/>
      <c r="K624" s="1152"/>
      <c r="L624" s="1152"/>
      <c r="M624" s="1152"/>
      <c r="N624" s="689" t="s">
        <v>672</v>
      </c>
      <c r="O624" s="708">
        <f>S615</f>
        <v>10</v>
      </c>
      <c r="P624" s="689" t="s">
        <v>347</v>
      </c>
      <c r="Q624" s="829">
        <f>S616</f>
        <v>1.1770224400000002</v>
      </c>
      <c r="R624" s="708" t="s">
        <v>674</v>
      </c>
      <c r="S624" s="708">
        <f>S617</f>
        <v>1</v>
      </c>
      <c r="T624" s="14"/>
      <c r="U624" s="729" t="s">
        <v>653</v>
      </c>
      <c r="V624" s="185"/>
    </row>
    <row r="625" spans="1:22" ht="18" hidden="1" customHeight="1">
      <c r="A625" s="277"/>
      <c r="B625" s="689"/>
      <c r="C625" s="689"/>
      <c r="D625" s="279"/>
      <c r="E625" s="279"/>
      <c r="F625" s="279"/>
      <c r="G625" s="802"/>
      <c r="H625" s="684"/>
      <c r="I625" s="689">
        <v>1.3</v>
      </c>
      <c r="J625" s="684"/>
      <c r="K625" s="28" t="s">
        <v>315</v>
      </c>
      <c r="L625" s="689">
        <f>S614</f>
        <v>3000</v>
      </c>
      <c r="M625" s="684"/>
      <c r="N625" s="689"/>
      <c r="O625" s="689"/>
      <c r="P625" s="689"/>
      <c r="Q625" s="689"/>
      <c r="R625" s="689"/>
      <c r="S625" s="689"/>
      <c r="T625" s="14"/>
      <c r="U625" s="689"/>
      <c r="V625" s="185"/>
    </row>
    <row r="626" spans="1:22" ht="18" hidden="1" customHeight="1">
      <c r="A626" s="96"/>
      <c r="B626" s="14"/>
      <c r="C626" s="27" t="s">
        <v>127</v>
      </c>
      <c r="D626" s="812">
        <f>G624*(I624/(I625*L625)*(O624+Q624)*S624)</f>
        <v>60.168362838904322</v>
      </c>
      <c r="E626" s="813"/>
      <c r="F626" s="30" t="s">
        <v>305</v>
      </c>
      <c r="G626" s="14"/>
      <c r="H626" s="14"/>
      <c r="I626" s="14"/>
      <c r="J626" s="14"/>
      <c r="K626" s="14"/>
      <c r="L626" s="14"/>
      <c r="M626" s="14"/>
      <c r="N626" s="14"/>
      <c r="R626" s="234"/>
      <c r="S626" s="204"/>
      <c r="V626" s="185"/>
    </row>
    <row r="627" spans="1:22" ht="18" hidden="1" customHeight="1">
      <c r="A627" s="96"/>
      <c r="B627" s="14"/>
      <c r="G627" s="14"/>
      <c r="H627" s="14"/>
      <c r="I627" s="14"/>
      <c r="J627" s="14"/>
      <c r="K627" s="14"/>
      <c r="L627" s="14"/>
      <c r="M627" s="14"/>
      <c r="N627" s="14"/>
      <c r="R627" s="234"/>
      <c r="S627" s="204"/>
      <c r="V627" s="185"/>
    </row>
    <row r="628" spans="1:22" ht="18" hidden="1" customHeight="1">
      <c r="A628" s="96"/>
      <c r="B628" s="14"/>
      <c r="D628" s="30" t="s">
        <v>475</v>
      </c>
      <c r="G628" s="27" t="str">
        <f>IF(E629&gt;H629,"&gt;","&lt;")</f>
        <v>&gt;</v>
      </c>
      <c r="H628" s="30" t="s">
        <v>477</v>
      </c>
      <c r="M628" s="14"/>
      <c r="N628" s="14"/>
      <c r="R628" s="234"/>
      <c r="S628" s="204"/>
      <c r="V628" s="185"/>
    </row>
    <row r="629" spans="1:22" ht="18" hidden="1" customHeight="1">
      <c r="A629" s="96"/>
      <c r="B629" s="14"/>
      <c r="E629" s="684">
        <f>L571</f>
        <v>800</v>
      </c>
      <c r="F629" s="684"/>
      <c r="G629" s="27" t="str">
        <f>G628</f>
        <v>&gt;</v>
      </c>
      <c r="H629" s="795">
        <f>D626</f>
        <v>60.168362838904322</v>
      </c>
      <c r="I629" s="684"/>
      <c r="M629" s="14"/>
      <c r="N629" s="14"/>
      <c r="R629" s="234"/>
      <c r="S629" s="204"/>
      <c r="V629" s="185"/>
    </row>
    <row r="630" spans="1:22" ht="18" hidden="1" customHeight="1">
      <c r="A630" s="96"/>
      <c r="B630" s="14"/>
      <c r="F630" s="244" t="s">
        <v>478</v>
      </c>
      <c r="H630" s="18" t="str">
        <f>IF(G628="&gt;","Suitably Dimentioned","Under Dimentioned")</f>
        <v>Suitably Dimentioned</v>
      </c>
      <c r="M630" s="14"/>
      <c r="N630" s="14"/>
      <c r="R630" s="234"/>
      <c r="S630" s="204"/>
      <c r="V630" s="185"/>
    </row>
    <row r="631" spans="1:22" ht="18" hidden="1" customHeight="1">
      <c r="A631" s="96"/>
      <c r="B631" s="14"/>
      <c r="G631" s="14"/>
      <c r="H631" s="14"/>
      <c r="I631" s="14"/>
      <c r="J631" s="14"/>
      <c r="K631" s="14"/>
      <c r="L631" s="14"/>
      <c r="M631" s="14"/>
      <c r="N631" s="14"/>
      <c r="R631" s="234"/>
      <c r="S631" s="204"/>
      <c r="V631" s="185"/>
    </row>
    <row r="632" spans="1:22" ht="18" hidden="1" customHeight="1">
      <c r="A632" s="193" t="s">
        <v>695</v>
      </c>
      <c r="B632" s="14"/>
      <c r="G632" s="14"/>
      <c r="H632" s="14"/>
      <c r="I632" s="14"/>
      <c r="J632" s="14"/>
      <c r="K632" s="14"/>
      <c r="L632" s="14"/>
      <c r="M632" s="14"/>
      <c r="N632" s="14"/>
      <c r="R632" s="234"/>
      <c r="S632" s="204"/>
      <c r="V632" s="185"/>
    </row>
    <row r="633" spans="1:22" ht="18" hidden="1" customHeight="1">
      <c r="A633" s="96"/>
      <c r="B633" s="14"/>
      <c r="D633" s="802" t="s">
        <v>696</v>
      </c>
      <c r="E633" s="716"/>
      <c r="F633" s="689" t="s">
        <v>127</v>
      </c>
      <c r="G633" s="708" t="s">
        <v>423</v>
      </c>
      <c r="H633" s="1147"/>
      <c r="I633" s="689" t="s">
        <v>315</v>
      </c>
      <c r="J633" s="708" t="s">
        <v>697</v>
      </c>
      <c r="K633" s="1147"/>
      <c r="L633" s="14"/>
      <c r="M633" s="14"/>
      <c r="N633" s="14"/>
      <c r="R633" s="234"/>
      <c r="S633" s="204"/>
      <c r="V633" s="185"/>
    </row>
    <row r="634" spans="1:22" ht="18" hidden="1" customHeight="1">
      <c r="A634" s="96"/>
      <c r="B634" s="14"/>
      <c r="D634" s="716"/>
      <c r="E634" s="716"/>
      <c r="F634" s="689"/>
      <c r="G634" s="689" t="s">
        <v>680</v>
      </c>
      <c r="H634" s="716"/>
      <c r="I634" s="689"/>
      <c r="J634" s="689" t="s">
        <v>411</v>
      </c>
      <c r="K634" s="716"/>
      <c r="L634" s="14"/>
      <c r="M634" s="14"/>
      <c r="N634" s="14"/>
      <c r="R634" s="234"/>
      <c r="S634" s="204"/>
      <c r="V634" s="185"/>
    </row>
    <row r="635" spans="1:22" ht="18" hidden="1" customHeight="1">
      <c r="A635" s="96"/>
      <c r="B635" s="14"/>
      <c r="D635" s="14"/>
      <c r="E635" s="14"/>
      <c r="F635" s="14"/>
      <c r="G635" s="14"/>
      <c r="H635" s="14"/>
      <c r="I635" s="14"/>
      <c r="J635" s="14"/>
      <c r="K635" s="14"/>
      <c r="L635" s="14"/>
      <c r="M635" s="14"/>
      <c r="N635" s="14"/>
      <c r="R635" s="234"/>
      <c r="S635" s="204"/>
      <c r="V635" s="185"/>
    </row>
    <row r="636" spans="1:22" ht="18" hidden="1" customHeight="1">
      <c r="A636" s="96"/>
      <c r="B636" s="14"/>
      <c r="D636" s="14"/>
      <c r="E636" s="14"/>
      <c r="F636" s="689" t="s">
        <v>127</v>
      </c>
      <c r="G636" s="708">
        <f>S614</f>
        <v>3000</v>
      </c>
      <c r="H636" s="1147"/>
      <c r="I636" s="689" t="s">
        <v>315</v>
      </c>
      <c r="J636" s="708">
        <f>S620</f>
        <v>1</v>
      </c>
      <c r="K636" s="1147"/>
      <c r="L636" s="14"/>
      <c r="M636" s="14"/>
      <c r="N636" s="14"/>
      <c r="R636" s="234"/>
      <c r="S636" s="204"/>
      <c r="V636" s="185"/>
    </row>
    <row r="637" spans="1:22" ht="18" hidden="1" customHeight="1">
      <c r="A637" s="96"/>
      <c r="B637" s="14"/>
      <c r="D637" s="14"/>
      <c r="E637" s="14"/>
      <c r="F637" s="689"/>
      <c r="G637" s="692">
        <f>J595</f>
        <v>437.38656756789834</v>
      </c>
      <c r="H637" s="716"/>
      <c r="I637" s="689"/>
      <c r="J637" s="689">
        <f>S617</f>
        <v>1</v>
      </c>
      <c r="K637" s="716"/>
      <c r="L637" s="14"/>
      <c r="M637" s="14"/>
      <c r="N637" s="14"/>
      <c r="R637" s="234"/>
      <c r="S637" s="204"/>
      <c r="V637" s="185"/>
    </row>
    <row r="638" spans="1:22" ht="18" hidden="1" customHeight="1">
      <c r="A638" s="96"/>
      <c r="B638" s="14"/>
      <c r="D638" s="14"/>
      <c r="E638" s="14"/>
      <c r="F638" s="14"/>
      <c r="G638" s="14"/>
      <c r="H638" s="14"/>
      <c r="I638" s="14"/>
      <c r="J638" s="14"/>
      <c r="K638" s="14"/>
      <c r="L638" s="14"/>
      <c r="M638" s="14"/>
      <c r="N638" s="14"/>
      <c r="R638" s="234"/>
      <c r="S638" s="204"/>
      <c r="V638" s="185"/>
    </row>
    <row r="639" spans="1:22" ht="18" hidden="1" customHeight="1">
      <c r="A639" s="96"/>
      <c r="B639" s="14"/>
      <c r="D639" s="14"/>
      <c r="E639" s="14"/>
      <c r="F639" s="28" t="s">
        <v>127</v>
      </c>
      <c r="G639" s="689">
        <f>(G636/G637)*(J636/J637)</f>
        <v>6.8589211979727533</v>
      </c>
      <c r="H639" s="689"/>
      <c r="I639" s="14"/>
      <c r="J639" s="14"/>
      <c r="K639" s="14"/>
      <c r="L639" s="14"/>
      <c r="M639" s="14"/>
      <c r="N639" s="14"/>
      <c r="R639" s="234"/>
      <c r="S639" s="204"/>
      <c r="V639" s="185"/>
    </row>
    <row r="640" spans="1:22" ht="18" hidden="1" customHeight="1">
      <c r="A640" s="96"/>
      <c r="B640" s="14"/>
      <c r="G640" s="14"/>
      <c r="H640" s="14"/>
      <c r="I640" s="14"/>
      <c r="J640" s="14"/>
      <c r="K640" s="14"/>
      <c r="L640" s="14"/>
      <c r="M640" s="14"/>
      <c r="N640" s="14"/>
      <c r="R640" s="234"/>
      <c r="S640" s="204"/>
      <c r="V640" s="185"/>
    </row>
    <row r="641" spans="1:22" s="14" customFormat="1" ht="18" hidden="1" customHeight="1">
      <c r="A641" s="96"/>
      <c r="C641" s="30"/>
      <c r="D641" s="283" t="s">
        <v>698</v>
      </c>
      <c r="E641" s="284" t="s">
        <v>699</v>
      </c>
      <c r="F641" s="689" t="s">
        <v>696</v>
      </c>
      <c r="G641" s="716"/>
      <c r="H641" s="716"/>
      <c r="I641" s="284" t="s">
        <v>699</v>
      </c>
      <c r="J641" s="28">
        <v>4</v>
      </c>
      <c r="K641" s="30"/>
      <c r="L641" s="279"/>
      <c r="M641" s="120" t="s">
        <v>700</v>
      </c>
      <c r="N641" s="47" t="s">
        <v>701</v>
      </c>
      <c r="O641" s="279"/>
      <c r="P641" s="236"/>
      <c r="Q641" s="236"/>
      <c r="R641" s="234"/>
      <c r="S641" s="204"/>
      <c r="T641" s="30"/>
      <c r="U641" s="30"/>
      <c r="V641" s="185"/>
    </row>
    <row r="642" spans="1:22" ht="18" hidden="1" customHeight="1">
      <c r="A642" s="96"/>
      <c r="B642" s="14"/>
      <c r="D642" s="218">
        <v>0.25</v>
      </c>
      <c r="E642" s="284" t="str">
        <f>IF(D642&lt;=G639,"≤","&gt;")</f>
        <v>≤</v>
      </c>
      <c r="F642" s="688">
        <f>G639</f>
        <v>6.8589211979727533</v>
      </c>
      <c r="G642" s="1145"/>
      <c r="H642" s="688"/>
      <c r="I642" s="284" t="str">
        <f>IF(G639&lt;=J641,"≤","&gt;")</f>
        <v>&gt;</v>
      </c>
      <c r="J642" s="28">
        <f>J641</f>
        <v>4</v>
      </c>
      <c r="L642" s="279"/>
      <c r="M642" s="120"/>
      <c r="N642" s="213"/>
      <c r="O642" s="279"/>
      <c r="P642" s="236"/>
      <c r="Q642" s="236"/>
      <c r="R642" s="234"/>
      <c r="S642" s="204"/>
      <c r="V642" s="185"/>
    </row>
    <row r="643" spans="1:22" ht="18" hidden="1" customHeight="1">
      <c r="A643" s="96"/>
      <c r="B643" s="14"/>
      <c r="G643" s="14"/>
      <c r="H643" s="14"/>
      <c r="I643" s="14"/>
      <c r="J643" s="14"/>
      <c r="K643" s="14"/>
      <c r="L643" s="14"/>
      <c r="M643" s="14"/>
      <c r="N643" s="14"/>
      <c r="R643" s="234"/>
      <c r="S643" s="204"/>
      <c r="V643" s="185"/>
    </row>
    <row r="644" spans="1:22" ht="18" hidden="1" customHeight="1">
      <c r="A644" s="96"/>
      <c r="B644" s="14" t="s">
        <v>702</v>
      </c>
      <c r="G644" s="14"/>
      <c r="H644" s="18" t="str">
        <f>IF(AND(E642="≤",I642="≤")=TRUE,"OK","Not OK")</f>
        <v>Not OK</v>
      </c>
      <c r="I644" s="14"/>
      <c r="J644" s="14"/>
      <c r="K644" s="14"/>
      <c r="L644" s="14"/>
      <c r="M644" s="14"/>
      <c r="N644" s="14"/>
      <c r="R644" s="234"/>
      <c r="S644" s="204"/>
      <c r="V644" s="185"/>
    </row>
    <row r="645" spans="1:22" ht="18" hidden="1" customHeight="1">
      <c r="A645" s="96"/>
      <c r="B645" s="14"/>
      <c r="G645" s="14"/>
      <c r="H645" s="18"/>
      <c r="I645" s="14"/>
      <c r="J645" s="14"/>
      <c r="K645" s="14"/>
      <c r="L645" s="14"/>
      <c r="M645" s="14"/>
      <c r="N645" s="14"/>
      <c r="R645" s="234"/>
      <c r="S645" s="204"/>
      <c r="V645" s="185"/>
    </row>
    <row r="646" spans="1:22" ht="18" hidden="1" customHeight="1">
      <c r="A646" s="96"/>
      <c r="B646" s="14"/>
      <c r="G646" s="14"/>
      <c r="H646" s="18"/>
      <c r="I646" s="14"/>
      <c r="J646" s="14"/>
      <c r="K646" s="14"/>
      <c r="L646" s="14"/>
      <c r="M646" s="14"/>
      <c r="N646" s="14"/>
      <c r="R646" s="234"/>
      <c r="S646" s="204"/>
      <c r="V646" s="185"/>
    </row>
    <row r="647" spans="1:22" ht="18" hidden="1" customHeight="1">
      <c r="A647" s="96"/>
      <c r="B647" s="14"/>
      <c r="G647" s="14"/>
      <c r="H647" s="18"/>
      <c r="I647" s="14"/>
      <c r="J647" s="14"/>
      <c r="K647" s="14"/>
      <c r="L647" s="14"/>
      <c r="M647" s="14"/>
      <c r="N647" s="14"/>
      <c r="R647" s="234"/>
      <c r="S647" s="204"/>
      <c r="V647" s="185"/>
    </row>
    <row r="648" spans="1:22" ht="18" hidden="1" customHeight="1">
      <c r="A648" s="96"/>
      <c r="B648" s="14"/>
      <c r="G648" s="14"/>
      <c r="H648" s="18"/>
      <c r="I648" s="14"/>
      <c r="J648" s="14"/>
      <c r="K648" s="14"/>
      <c r="L648" s="14"/>
      <c r="M648" s="14"/>
      <c r="N648" s="14"/>
      <c r="R648" s="234"/>
      <c r="S648" s="204"/>
      <c r="V648" s="185"/>
    </row>
    <row r="649" spans="1:22" ht="18" hidden="1" customHeight="1">
      <c r="A649" s="96"/>
      <c r="B649" s="14"/>
      <c r="G649" s="14"/>
      <c r="H649" s="18"/>
      <c r="I649" s="14"/>
      <c r="J649" s="14"/>
      <c r="K649" s="14"/>
      <c r="L649" s="14"/>
      <c r="M649" s="14"/>
      <c r="N649" s="14"/>
      <c r="R649" s="234"/>
      <c r="S649" s="204"/>
      <c r="V649" s="185"/>
    </row>
    <row r="650" spans="1:22" ht="18" hidden="1" customHeight="1">
      <c r="A650" s="96"/>
      <c r="B650" s="14"/>
      <c r="G650" s="14"/>
      <c r="H650" s="14"/>
      <c r="I650" s="14"/>
      <c r="J650" s="14"/>
      <c r="K650" s="14"/>
      <c r="L650" s="14"/>
      <c r="M650" s="14"/>
      <c r="N650" s="14"/>
      <c r="R650" s="234"/>
      <c r="S650" s="204"/>
      <c r="V650" s="185"/>
    </row>
    <row r="651" spans="1:22" ht="18" hidden="1" customHeight="1">
      <c r="A651" s="194"/>
      <c r="B651" s="195"/>
      <c r="C651" s="195"/>
      <c r="D651" s="195"/>
      <c r="E651" s="195"/>
      <c r="F651" s="195"/>
      <c r="G651" s="195"/>
      <c r="H651" s="195"/>
      <c r="I651" s="195"/>
      <c r="J651" s="195"/>
      <c r="K651" s="195"/>
      <c r="L651" s="195"/>
      <c r="M651" s="195"/>
      <c r="N651" s="195"/>
      <c r="O651" s="195"/>
      <c r="P651" s="195"/>
      <c r="Q651" s="224"/>
      <c r="R651" s="182"/>
      <c r="S651" s="225"/>
      <c r="T651" s="195"/>
      <c r="U651" s="195"/>
      <c r="V651" s="134" t="s">
        <v>552</v>
      </c>
    </row>
    <row r="652" spans="1:22" ht="18" hidden="1" customHeight="1">
      <c r="A652" s="226"/>
      <c r="B652" s="227"/>
      <c r="C652" s="227"/>
      <c r="D652" s="227"/>
      <c r="E652" s="227"/>
      <c r="F652" s="227"/>
      <c r="G652" s="227"/>
      <c r="H652" s="227"/>
      <c r="I652" s="227"/>
      <c r="J652" s="227"/>
      <c r="K652" s="227"/>
      <c r="L652" s="227"/>
      <c r="M652" s="227"/>
      <c r="N652" s="227"/>
      <c r="O652" s="227"/>
      <c r="P652" s="227"/>
      <c r="Q652" s="227"/>
      <c r="R652" s="227"/>
      <c r="S652" s="227"/>
      <c r="T652" s="227"/>
      <c r="U652" s="227"/>
      <c r="V652" s="228"/>
    </row>
    <row r="653" spans="1:22" ht="18" hidden="1" customHeight="1">
      <c r="A653" s="262" t="s">
        <v>532</v>
      </c>
      <c r="B653" s="14"/>
      <c r="C653" s="14"/>
      <c r="D653" s="120"/>
      <c r="E653" s="120"/>
      <c r="F653" s="18"/>
      <c r="G653" s="18"/>
      <c r="H653" s="14"/>
      <c r="I653" s="14"/>
      <c r="J653" s="14"/>
      <c r="K653" s="14"/>
      <c r="L653" s="14"/>
      <c r="M653" s="14"/>
      <c r="N653" s="14"/>
      <c r="O653" s="14"/>
      <c r="P653" s="28"/>
      <c r="Q653" s="120"/>
      <c r="R653" s="47"/>
      <c r="S653" s="206"/>
      <c r="T653" s="259"/>
      <c r="U653" s="14"/>
      <c r="V653" s="97"/>
    </row>
    <row r="654" spans="1:22" ht="18" hidden="1" customHeight="1">
      <c r="A654" s="955" t="s">
        <v>85</v>
      </c>
      <c r="B654" s="956"/>
      <c r="C654" s="1132"/>
      <c r="D654" s="955" t="s">
        <v>86</v>
      </c>
      <c r="E654" s="1146"/>
      <c r="F654" s="1146"/>
      <c r="G654" s="1132"/>
      <c r="H654" s="955" t="s">
        <v>87</v>
      </c>
      <c r="I654" s="957"/>
      <c r="J654" s="955" t="s">
        <v>88</v>
      </c>
      <c r="K654" s="1132"/>
      <c r="L654" s="955" t="s">
        <v>502</v>
      </c>
      <c r="M654" s="956"/>
      <c r="N654" s="957" t="s">
        <v>556</v>
      </c>
      <c r="O654" s="955" t="s">
        <v>557</v>
      </c>
      <c r="P654" s="956"/>
      <c r="Q654" s="1132"/>
      <c r="R654" s="955" t="s">
        <v>558</v>
      </c>
      <c r="S654" s="1135"/>
      <c r="T654" s="1133"/>
      <c r="U654" s="955" t="s">
        <v>505</v>
      </c>
      <c r="V654" s="1139"/>
    </row>
    <row r="655" spans="1:22" ht="18" hidden="1" customHeight="1">
      <c r="A655" s="1125"/>
      <c r="B655" s="983"/>
      <c r="C655" s="1133"/>
      <c r="D655" s="1136"/>
      <c r="E655" s="1135"/>
      <c r="F655" s="1135"/>
      <c r="G655" s="1133"/>
      <c r="H655" s="1125"/>
      <c r="I655" s="1126"/>
      <c r="J655" s="1136"/>
      <c r="K655" s="1133"/>
      <c r="L655" s="1125"/>
      <c r="M655" s="983"/>
      <c r="N655" s="1126"/>
      <c r="O655" s="1125"/>
      <c r="P655" s="983"/>
      <c r="Q655" s="1133"/>
      <c r="R655" s="1136"/>
      <c r="S655" s="1135"/>
      <c r="T655" s="1133"/>
      <c r="U655" s="1140"/>
      <c r="V655" s="1141"/>
    </row>
    <row r="656" spans="1:22" ht="18" hidden="1" customHeight="1">
      <c r="A656" s="1047"/>
      <c r="B656" s="1048"/>
      <c r="C656" s="1134"/>
      <c r="D656" s="1137"/>
      <c r="E656" s="1138"/>
      <c r="F656" s="1138"/>
      <c r="G656" s="1134"/>
      <c r="H656" s="1047"/>
      <c r="I656" s="1049"/>
      <c r="J656" s="1137"/>
      <c r="K656" s="1134"/>
      <c r="L656" s="1047"/>
      <c r="M656" s="1048"/>
      <c r="N656" s="1049"/>
      <c r="O656" s="1047"/>
      <c r="P656" s="1048"/>
      <c r="Q656" s="1134"/>
      <c r="R656" s="1137"/>
      <c r="S656" s="1138"/>
      <c r="T656" s="1134"/>
      <c r="U656" s="1142"/>
      <c r="V656" s="1143"/>
    </row>
    <row r="657" spans="1:22" ht="18" hidden="1" customHeight="1">
      <c r="A657" s="765" t="str">
        <f>B565</f>
        <v>CT1L1</v>
      </c>
      <c r="B657" s="1144" t="str">
        <f>B566</f>
        <v>CT1L2</v>
      </c>
      <c r="C657" s="871" t="str">
        <f>D565</f>
        <v>Core3</v>
      </c>
      <c r="D657" s="871">
        <f>H480</f>
        <v>5000</v>
      </c>
      <c r="E657" s="871">
        <f>J480</f>
        <v>4000</v>
      </c>
      <c r="F657" s="871">
        <f>L568</f>
        <v>3000</v>
      </c>
      <c r="G657" s="871">
        <f>O480</f>
        <v>1</v>
      </c>
      <c r="H657" s="871">
        <f>'[3]CT-VT Burdens'!S19</f>
        <v>100</v>
      </c>
      <c r="I657" s="1036">
        <f>'[3]CT-VT Burdens'!S10</f>
        <v>4</v>
      </c>
      <c r="J657" s="869" t="str">
        <f>J481</f>
        <v>PX</v>
      </c>
      <c r="K657" s="869"/>
      <c r="L657" s="871">
        <f>H399</f>
        <v>20</v>
      </c>
      <c r="M657" s="871">
        <f>J482</f>
        <v>15</v>
      </c>
      <c r="N657" s="871">
        <f>L570</f>
        <v>10</v>
      </c>
      <c r="O657" s="871">
        <f>H400</f>
        <v>1000</v>
      </c>
      <c r="P657" s="871">
        <f>J483</f>
        <v>800</v>
      </c>
      <c r="Q657" s="871">
        <f>L571</f>
        <v>800</v>
      </c>
      <c r="R657" s="871">
        <f>H401</f>
        <v>20</v>
      </c>
      <c r="S657" s="871">
        <f>J484</f>
        <v>40</v>
      </c>
      <c r="T657" s="871">
        <f>L572</f>
        <v>50</v>
      </c>
      <c r="U657" s="775" t="str">
        <f>D488</f>
        <v>7UT85</v>
      </c>
      <c r="V657" s="776"/>
    </row>
    <row r="658" spans="1:22" ht="18" hidden="1" customHeight="1">
      <c r="A658" s="765" t="str">
        <f>B566</f>
        <v>CT1L2</v>
      </c>
      <c r="B658" s="1144">
        <f>A567</f>
        <v>0</v>
      </c>
      <c r="C658" s="1130"/>
      <c r="D658" s="1130"/>
      <c r="E658" s="1130"/>
      <c r="F658" s="1130"/>
      <c r="G658" s="1130"/>
      <c r="H658" s="1130"/>
      <c r="I658" s="1130"/>
      <c r="J658" s="1129"/>
      <c r="K658" s="1129"/>
      <c r="L658" s="1130"/>
      <c r="M658" s="1130"/>
      <c r="N658" s="1130"/>
      <c r="O658" s="1130"/>
      <c r="P658" s="1130"/>
      <c r="Q658" s="1130"/>
      <c r="R658" s="1130"/>
      <c r="S658" s="1130"/>
      <c r="T658" s="1130"/>
      <c r="U658" s="775"/>
      <c r="V658" s="776"/>
    </row>
    <row r="659" spans="1:22" ht="18" hidden="1" customHeight="1">
      <c r="A659" s="765">
        <f>A567</f>
        <v>0</v>
      </c>
      <c r="B659" s="1144" t="str">
        <f>B568</f>
        <v>CT Ratio:</v>
      </c>
      <c r="C659" s="1131"/>
      <c r="D659" s="1131"/>
      <c r="E659" s="1131"/>
      <c r="F659" s="1131"/>
      <c r="G659" s="1131"/>
      <c r="H659" s="1131"/>
      <c r="I659" s="1131"/>
      <c r="J659" s="1129"/>
      <c r="K659" s="1129"/>
      <c r="L659" s="1131"/>
      <c r="M659" s="1131"/>
      <c r="N659" s="1131"/>
      <c r="O659" s="1131"/>
      <c r="P659" s="1131"/>
      <c r="Q659" s="1131"/>
      <c r="R659" s="1131"/>
      <c r="S659" s="1131"/>
      <c r="T659" s="1131"/>
      <c r="U659" s="775"/>
      <c r="V659" s="776"/>
    </row>
    <row r="660" spans="1:22" ht="18" hidden="1" customHeight="1">
      <c r="A660" s="184"/>
      <c r="V660" s="185"/>
    </row>
    <row r="661" spans="1:22" ht="18" hidden="1" customHeight="1">
      <c r="A661" s="184"/>
      <c r="V661" s="185"/>
    </row>
    <row r="662" spans="1:22" ht="18" hidden="1" customHeight="1">
      <c r="A662" s="184"/>
      <c r="V662" s="185"/>
    </row>
    <row r="663" spans="1:22" ht="18" hidden="1" customHeight="1">
      <c r="A663" s="184"/>
      <c r="V663" s="185"/>
    </row>
    <row r="664" spans="1:22" ht="18" hidden="1" customHeight="1">
      <c r="A664" s="184"/>
      <c r="V664" s="185"/>
    </row>
    <row r="665" spans="1:22" ht="18" hidden="1" customHeight="1">
      <c r="A665" s="184"/>
      <c r="V665" s="185"/>
    </row>
    <row r="666" spans="1:22" ht="18" hidden="1" customHeight="1">
      <c r="A666" s="184"/>
      <c r="V666" s="185"/>
    </row>
    <row r="667" spans="1:22" ht="18" hidden="1" customHeight="1">
      <c r="A667" s="184"/>
      <c r="V667" s="185"/>
    </row>
    <row r="668" spans="1:22" ht="18" hidden="1" customHeight="1">
      <c r="A668" s="184"/>
      <c r="V668" s="185"/>
    </row>
    <row r="669" spans="1:22" ht="18" hidden="1" customHeight="1">
      <c r="A669" s="184"/>
      <c r="V669" s="185"/>
    </row>
    <row r="670" spans="1:22" ht="18" hidden="1" customHeight="1">
      <c r="A670" s="184"/>
      <c r="V670" s="185"/>
    </row>
    <row r="671" spans="1:22" ht="18" hidden="1" customHeight="1">
      <c r="A671" s="184"/>
      <c r="V671" s="185"/>
    </row>
    <row r="672" spans="1:22" ht="18" hidden="1" customHeight="1">
      <c r="A672" s="184"/>
      <c r="V672" s="185"/>
    </row>
    <row r="673" spans="1:22" ht="18" hidden="1" customHeight="1">
      <c r="A673" s="184"/>
      <c r="V673" s="185"/>
    </row>
    <row r="674" spans="1:22" ht="18" hidden="1" customHeight="1">
      <c r="A674" s="184"/>
      <c r="V674" s="185"/>
    </row>
    <row r="675" spans="1:22" ht="18" hidden="1" customHeight="1">
      <c r="A675" s="184"/>
      <c r="V675" s="185"/>
    </row>
    <row r="676" spans="1:22" ht="18" hidden="1" customHeight="1">
      <c r="A676" s="184"/>
      <c r="V676" s="185"/>
    </row>
    <row r="677" spans="1:22" ht="18" hidden="1" customHeight="1">
      <c r="A677" s="184"/>
      <c r="V677" s="185"/>
    </row>
    <row r="678" spans="1:22" ht="18" hidden="1" customHeight="1">
      <c r="A678" s="184"/>
      <c r="V678" s="185"/>
    </row>
    <row r="679" spans="1:22" ht="18" hidden="1" customHeight="1">
      <c r="A679" s="184"/>
      <c r="V679" s="185"/>
    </row>
    <row r="680" spans="1:22" ht="18" hidden="1" customHeight="1">
      <c r="A680" s="184"/>
      <c r="V680" s="185"/>
    </row>
    <row r="681" spans="1:22" ht="18" hidden="1" customHeight="1">
      <c r="A681" s="184"/>
      <c r="V681" s="185"/>
    </row>
    <row r="682" spans="1:22" ht="18" hidden="1" customHeight="1">
      <c r="A682" s="184"/>
      <c r="V682" s="185"/>
    </row>
    <row r="683" spans="1:22" ht="18" hidden="1" customHeight="1">
      <c r="A683" s="184"/>
      <c r="V683" s="185"/>
    </row>
    <row r="684" spans="1:22" ht="18" hidden="1" customHeight="1">
      <c r="A684" s="184"/>
      <c r="V684" s="185"/>
    </row>
    <row r="685" spans="1:22" ht="18" hidden="1" customHeight="1">
      <c r="A685" s="184"/>
      <c r="V685" s="185"/>
    </row>
    <row r="686" spans="1:22" ht="18" hidden="1" customHeight="1">
      <c r="A686" s="184"/>
      <c r="V686" s="185"/>
    </row>
    <row r="687" spans="1:22" ht="18" hidden="1" customHeight="1">
      <c r="A687" s="184"/>
      <c r="V687" s="185"/>
    </row>
    <row r="688" spans="1:22" ht="18" hidden="1" customHeight="1">
      <c r="A688" s="184"/>
      <c r="V688" s="185"/>
    </row>
    <row r="689" spans="1:22" ht="18" hidden="1" customHeight="1">
      <c r="A689" s="184"/>
      <c r="V689" s="185"/>
    </row>
    <row r="690" spans="1:22" s="14" customFormat="1" ht="18" hidden="1" customHeight="1">
      <c r="A690" s="184"/>
      <c r="B690" s="30"/>
      <c r="C690" s="30"/>
      <c r="D690" s="30"/>
      <c r="E690" s="30"/>
      <c r="F690" s="30"/>
      <c r="G690" s="30"/>
      <c r="H690" s="30"/>
      <c r="I690" s="30"/>
      <c r="J690" s="30"/>
      <c r="K690" s="30"/>
      <c r="L690" s="30"/>
      <c r="M690" s="30"/>
      <c r="N690" s="30"/>
      <c r="O690" s="30"/>
      <c r="P690" s="30"/>
      <c r="Q690" s="30"/>
      <c r="R690" s="30"/>
      <c r="S690" s="30"/>
      <c r="T690" s="30"/>
      <c r="U690" s="30"/>
      <c r="V690" s="185"/>
    </row>
    <row r="691" spans="1:22" ht="18" hidden="1" customHeight="1">
      <c r="A691" s="184"/>
      <c r="V691" s="185"/>
    </row>
    <row r="692" spans="1:22" ht="18" hidden="1" customHeight="1">
      <c r="A692" s="184"/>
      <c r="V692" s="185"/>
    </row>
    <row r="693" spans="1:22" ht="18" hidden="1" customHeight="1">
      <c r="A693" s="184"/>
      <c r="V693" s="185"/>
    </row>
    <row r="694" spans="1:22" ht="18" hidden="1" customHeight="1">
      <c r="A694" s="184"/>
      <c r="V694" s="185"/>
    </row>
    <row r="695" spans="1:22" ht="18" hidden="1" customHeight="1">
      <c r="A695" s="194"/>
      <c r="B695" s="195"/>
      <c r="C695" s="195"/>
      <c r="D695" s="195"/>
      <c r="E695" s="195"/>
      <c r="F695" s="195"/>
      <c r="G695" s="195"/>
      <c r="H695" s="195"/>
      <c r="I695" s="195"/>
      <c r="J695" s="195"/>
      <c r="K695" s="195"/>
      <c r="L695" s="195"/>
      <c r="M695" s="195"/>
      <c r="N695" s="195"/>
      <c r="O695" s="195"/>
      <c r="P695" s="195"/>
      <c r="Q695" s="224"/>
      <c r="R695" s="182"/>
      <c r="S695" s="225"/>
      <c r="T695" s="195"/>
      <c r="U695" s="195"/>
      <c r="V695" s="134" t="s">
        <v>552</v>
      </c>
    </row>
    <row r="696" spans="1:22" ht="18" customHeight="1">
      <c r="A696" s="226"/>
      <c r="B696" s="227"/>
      <c r="C696" s="227"/>
      <c r="D696" s="227"/>
      <c r="E696" s="227"/>
      <c r="F696" s="227"/>
      <c r="G696" s="227"/>
      <c r="H696" s="227"/>
      <c r="I696" s="227"/>
      <c r="J696" s="227"/>
      <c r="K696" s="227"/>
      <c r="L696" s="227"/>
      <c r="M696" s="227"/>
      <c r="N696" s="227"/>
      <c r="O696" s="227"/>
      <c r="P696" s="227"/>
      <c r="Q696" s="227"/>
      <c r="R696" s="227"/>
      <c r="S696" s="227"/>
      <c r="T696" s="227"/>
      <c r="U696" s="227"/>
      <c r="V696" s="228"/>
    </row>
    <row r="697" spans="1:22" ht="18" customHeight="1">
      <c r="A697" s="262" t="s">
        <v>532</v>
      </c>
      <c r="B697" s="14"/>
      <c r="C697" s="14"/>
      <c r="D697" s="120"/>
      <c r="E697" s="120"/>
      <c r="F697" s="18"/>
      <c r="G697" s="18"/>
      <c r="H697" s="14"/>
      <c r="I697" s="14"/>
      <c r="J697" s="14"/>
      <c r="K697" s="14"/>
      <c r="L697" s="14"/>
      <c r="M697" s="14"/>
      <c r="N697" s="14"/>
      <c r="O697" s="14"/>
      <c r="P697" s="28"/>
      <c r="Q697" s="120"/>
      <c r="R697" s="47"/>
      <c r="S697" s="206"/>
      <c r="T697" s="259"/>
      <c r="U697" s="14"/>
      <c r="V697" s="97"/>
    </row>
    <row r="698" spans="1:22" ht="18" customHeight="1">
      <c r="A698" s="868" t="s">
        <v>85</v>
      </c>
      <c r="B698" s="868"/>
      <c r="C698" s="869"/>
      <c r="D698" s="868" t="s">
        <v>86</v>
      </c>
      <c r="E698" s="868"/>
      <c r="F698" s="868"/>
      <c r="G698" s="868" t="s">
        <v>87</v>
      </c>
      <c r="H698" s="868"/>
      <c r="I698" s="868" t="s">
        <v>88</v>
      </c>
      <c r="J698" s="868"/>
      <c r="K698" s="868" t="s">
        <v>502</v>
      </c>
      <c r="L698" s="868"/>
      <c r="M698" s="868" t="s">
        <v>503</v>
      </c>
      <c r="N698" s="868"/>
      <c r="O698" s="868" t="s">
        <v>504</v>
      </c>
      <c r="P698" s="868"/>
      <c r="Q698" s="868" t="s">
        <v>505</v>
      </c>
      <c r="R698" s="868"/>
      <c r="S698" s="868" t="s">
        <v>93</v>
      </c>
      <c r="T698" s="868"/>
      <c r="U698" s="868"/>
      <c r="V698" s="868"/>
    </row>
    <row r="699" spans="1:22" ht="18" customHeight="1">
      <c r="A699" s="868"/>
      <c r="B699" s="868"/>
      <c r="C699" s="869"/>
      <c r="D699" s="868"/>
      <c r="E699" s="868"/>
      <c r="F699" s="868"/>
      <c r="G699" s="868"/>
      <c r="H699" s="868"/>
      <c r="I699" s="868"/>
      <c r="J699" s="868"/>
      <c r="K699" s="868"/>
      <c r="L699" s="868"/>
      <c r="M699" s="868"/>
      <c r="N699" s="868"/>
      <c r="O699" s="868"/>
      <c r="P699" s="868"/>
      <c r="Q699" s="868"/>
      <c r="R699" s="868"/>
      <c r="S699" s="868"/>
      <c r="T699" s="868"/>
      <c r="U699" s="868"/>
      <c r="V699" s="868"/>
    </row>
    <row r="700" spans="1:22" ht="18" customHeight="1">
      <c r="A700" s="868"/>
      <c r="B700" s="868"/>
      <c r="C700" s="869"/>
      <c r="D700" s="868"/>
      <c r="E700" s="868"/>
      <c r="F700" s="868"/>
      <c r="G700" s="868"/>
      <c r="H700" s="868"/>
      <c r="I700" s="868"/>
      <c r="J700" s="868"/>
      <c r="K700" s="868"/>
      <c r="L700" s="868"/>
      <c r="M700" s="868"/>
      <c r="N700" s="868"/>
      <c r="O700" s="868"/>
      <c r="P700" s="868"/>
      <c r="Q700" s="868"/>
      <c r="R700" s="868"/>
      <c r="S700" s="868"/>
      <c r="T700" s="868"/>
      <c r="U700" s="868"/>
      <c r="V700" s="868"/>
    </row>
    <row r="701" spans="1:22" ht="18" customHeight="1">
      <c r="A701" s="868"/>
      <c r="B701" s="868"/>
      <c r="C701" s="869"/>
      <c r="D701" s="868"/>
      <c r="E701" s="868"/>
      <c r="F701" s="868"/>
      <c r="G701" s="868"/>
      <c r="H701" s="868"/>
      <c r="I701" s="868"/>
      <c r="J701" s="868"/>
      <c r="K701" s="868"/>
      <c r="L701" s="868"/>
      <c r="M701" s="868"/>
      <c r="N701" s="868"/>
      <c r="O701" s="868"/>
      <c r="P701" s="868"/>
      <c r="Q701" s="868"/>
      <c r="R701" s="868"/>
      <c r="S701" s="868"/>
      <c r="T701" s="868"/>
      <c r="U701" s="868"/>
      <c r="V701" s="868"/>
    </row>
    <row r="702" spans="1:22" ht="18" customHeight="1">
      <c r="A702" s="765" t="str">
        <f>B7</f>
        <v>T1</v>
      </c>
      <c r="B702" s="765" t="str">
        <f>D7</f>
        <v>Core2</v>
      </c>
      <c r="C702" s="765"/>
      <c r="D702" s="870">
        <f>H10</f>
        <v>3200</v>
      </c>
      <c r="E702" s="870"/>
      <c r="F702" s="871">
        <f>O10</f>
        <v>1</v>
      </c>
      <c r="G702" s="870">
        <f>'CT-VT Burdens'!S21</f>
        <v>120</v>
      </c>
      <c r="H702" s="874">
        <f>'CT-VT Burdens'!S10</f>
        <v>6</v>
      </c>
      <c r="I702" s="874" t="str">
        <f>H11</f>
        <v>PX</v>
      </c>
      <c r="J702" s="874"/>
      <c r="K702" s="869">
        <f>H12</f>
        <v>16</v>
      </c>
      <c r="L702" s="869"/>
      <c r="M702" s="869">
        <f>H13</f>
        <v>1600</v>
      </c>
      <c r="N702" s="869"/>
      <c r="O702" s="870">
        <f>H14</f>
        <v>10</v>
      </c>
      <c r="P702" s="870"/>
      <c r="Q702" s="879" t="str">
        <f>CONCATENATE(T7," ",T8," ",T9," ",T10)</f>
        <v xml:space="preserve">7UT85   </v>
      </c>
      <c r="R702" s="879"/>
      <c r="S702" s="876" t="str">
        <f>H95</f>
        <v>Suitably Dimensioned</v>
      </c>
      <c r="T702" s="870"/>
      <c r="U702" s="870"/>
      <c r="V702" s="870"/>
    </row>
    <row r="703" spans="1:22" ht="18" customHeight="1">
      <c r="A703" s="765"/>
      <c r="B703" s="765"/>
      <c r="C703" s="765"/>
      <c r="D703" s="870">
        <f>J134</f>
        <v>600</v>
      </c>
      <c r="E703" s="870"/>
      <c r="F703" s="872"/>
      <c r="G703" s="870"/>
      <c r="H703" s="870"/>
      <c r="I703" s="874"/>
      <c r="J703" s="874"/>
      <c r="K703" s="875">
        <f>J136</f>
        <v>3</v>
      </c>
      <c r="L703" s="869"/>
      <c r="M703" s="875">
        <f>J137</f>
        <v>400</v>
      </c>
      <c r="N703" s="869"/>
      <c r="O703" s="876">
        <f>J138</f>
        <v>30</v>
      </c>
      <c r="P703" s="870"/>
      <c r="Q703" s="879"/>
      <c r="R703" s="879"/>
      <c r="S703" s="876" t="str">
        <f>H220</f>
        <v>Suitably Dimensioned</v>
      </c>
      <c r="T703" s="870"/>
      <c r="U703" s="870"/>
      <c r="V703" s="870"/>
    </row>
    <row r="704" spans="1:22" ht="18" customHeight="1">
      <c r="A704" s="765"/>
      <c r="B704" s="765"/>
      <c r="C704" s="765"/>
      <c r="D704" s="876" t="s">
        <v>6</v>
      </c>
      <c r="E704" s="870"/>
      <c r="F704" s="873"/>
      <c r="G704" s="870"/>
      <c r="H704" s="870"/>
      <c r="I704" s="874"/>
      <c r="J704" s="874"/>
      <c r="K704" s="875" t="s">
        <v>6</v>
      </c>
      <c r="L704" s="869"/>
      <c r="M704" s="875" t="s">
        <v>6</v>
      </c>
      <c r="N704" s="869"/>
      <c r="O704" s="876" t="s">
        <v>6</v>
      </c>
      <c r="P704" s="870"/>
      <c r="Q704" s="879"/>
      <c r="R704" s="879"/>
      <c r="S704" s="870" t="s">
        <v>6</v>
      </c>
      <c r="T704" s="870"/>
      <c r="U704" s="870"/>
      <c r="V704" s="870"/>
    </row>
    <row r="705" spans="1:22" ht="18" customHeight="1">
      <c r="A705" s="184"/>
      <c r="V705" s="185"/>
    </row>
    <row r="706" spans="1:22" ht="18" customHeight="1">
      <c r="A706" s="184"/>
      <c r="V706" s="185"/>
    </row>
    <row r="707" spans="1:22" ht="18" customHeight="1">
      <c r="A707" s="184"/>
      <c r="V707" s="185"/>
    </row>
    <row r="708" spans="1:22" ht="18" customHeight="1">
      <c r="A708" s="184"/>
      <c r="V708" s="185"/>
    </row>
    <row r="709" spans="1:22" ht="18" customHeight="1">
      <c r="A709" s="184"/>
      <c r="V709" s="185"/>
    </row>
    <row r="710" spans="1:22" ht="18" customHeight="1">
      <c r="A710" s="184"/>
      <c r="V710" s="185"/>
    </row>
    <row r="711" spans="1:22" ht="18" customHeight="1">
      <c r="A711" s="184"/>
      <c r="V711" s="185"/>
    </row>
    <row r="712" spans="1:22" ht="18" customHeight="1">
      <c r="A712" s="184"/>
      <c r="V712" s="185"/>
    </row>
    <row r="713" spans="1:22" ht="18" customHeight="1">
      <c r="A713" s="184"/>
      <c r="V713" s="185"/>
    </row>
    <row r="714" spans="1:22" ht="18" customHeight="1">
      <c r="A714" s="184"/>
      <c r="V714" s="185"/>
    </row>
    <row r="715" spans="1:22" ht="18" customHeight="1">
      <c r="A715" s="184"/>
      <c r="V715" s="185"/>
    </row>
    <row r="716" spans="1:22" ht="18" customHeight="1">
      <c r="A716" s="184"/>
      <c r="V716" s="185"/>
    </row>
    <row r="717" spans="1:22" ht="18" customHeight="1">
      <c r="A717" s="184"/>
      <c r="V717" s="185"/>
    </row>
    <row r="718" spans="1:22" ht="18" customHeight="1">
      <c r="A718" s="184"/>
      <c r="V718" s="185"/>
    </row>
    <row r="719" spans="1:22" ht="18" customHeight="1">
      <c r="A719" s="184"/>
      <c r="V719" s="185"/>
    </row>
    <row r="720" spans="1:22" ht="18" customHeight="1">
      <c r="A720" s="184"/>
      <c r="V720" s="185"/>
    </row>
    <row r="721" spans="1:22" ht="18" customHeight="1">
      <c r="A721" s="184"/>
      <c r="V721" s="185"/>
    </row>
    <row r="722" spans="1:22" ht="18" customHeight="1">
      <c r="A722" s="184"/>
      <c r="V722" s="185"/>
    </row>
    <row r="723" spans="1:22" ht="18" customHeight="1">
      <c r="A723" s="184"/>
      <c r="V723" s="185"/>
    </row>
    <row r="724" spans="1:22" ht="18" customHeight="1">
      <c r="A724" s="184"/>
      <c r="V724" s="185"/>
    </row>
    <row r="725" spans="1:22" ht="18" customHeight="1">
      <c r="A725" s="184"/>
      <c r="V725" s="185"/>
    </row>
    <row r="726" spans="1:22" ht="18" customHeight="1">
      <c r="A726" s="184"/>
      <c r="V726" s="185"/>
    </row>
    <row r="727" spans="1:22" ht="18" customHeight="1">
      <c r="A727" s="184"/>
      <c r="V727" s="185"/>
    </row>
    <row r="728" spans="1:22" ht="18" customHeight="1">
      <c r="A728" s="184"/>
      <c r="V728" s="185"/>
    </row>
    <row r="729" spans="1:22" ht="18" customHeight="1">
      <c r="A729" s="184"/>
      <c r="V729" s="185"/>
    </row>
    <row r="730" spans="1:22" ht="18" customHeight="1">
      <c r="A730" s="184"/>
      <c r="V730" s="185"/>
    </row>
    <row r="731" spans="1:22" ht="18" customHeight="1">
      <c r="A731" s="184"/>
      <c r="V731" s="185"/>
    </row>
    <row r="732" spans="1:22" ht="18" customHeight="1">
      <c r="A732" s="184"/>
      <c r="V732" s="185"/>
    </row>
    <row r="733" spans="1:22" ht="18" customHeight="1">
      <c r="A733" s="184"/>
      <c r="V733" s="185"/>
    </row>
    <row r="734" spans="1:22" ht="18" customHeight="1">
      <c r="A734" s="184"/>
      <c r="V734" s="185"/>
    </row>
    <row r="735" spans="1:22" ht="18" customHeight="1">
      <c r="A735" s="290"/>
      <c r="B735" s="196"/>
      <c r="C735" s="196"/>
      <c r="D735" s="196"/>
      <c r="E735" s="196"/>
      <c r="F735" s="196"/>
      <c r="G735" s="196"/>
      <c r="H735" s="196"/>
      <c r="I735" s="196"/>
      <c r="J735" s="196"/>
      <c r="K735" s="196"/>
      <c r="L735" s="196"/>
      <c r="M735" s="196"/>
      <c r="N735" s="196"/>
      <c r="O735" s="196"/>
      <c r="P735" s="196"/>
      <c r="Q735" s="196"/>
      <c r="R735" s="196"/>
      <c r="S735" s="196"/>
      <c r="T735" s="196"/>
      <c r="U735" s="196"/>
      <c r="V735" s="291"/>
    </row>
  </sheetData>
  <mergeCells count="784">
    <mergeCell ref="A1:G4"/>
    <mergeCell ref="R5:V5"/>
    <mergeCell ref="H3:N4"/>
    <mergeCell ref="O3:Q3"/>
    <mergeCell ref="R3:V3"/>
    <mergeCell ref="O4:Q4"/>
    <mergeCell ref="R4:V4"/>
    <mergeCell ref="H1:N1"/>
    <mergeCell ref="O1:Q1"/>
    <mergeCell ref="R1:V1"/>
    <mergeCell ref="H2:N2"/>
    <mergeCell ref="O2:Q2"/>
    <mergeCell ref="R2:V2"/>
    <mergeCell ref="J22:K22"/>
    <mergeCell ref="S29:T29"/>
    <mergeCell ref="G7:O7"/>
    <mergeCell ref="T8:U8"/>
    <mergeCell ref="AB13:AC13"/>
    <mergeCell ref="H14:I14"/>
    <mergeCell ref="J18:K18"/>
    <mergeCell ref="J19:K19"/>
    <mergeCell ref="J20:K20"/>
    <mergeCell ref="J21:K21"/>
    <mergeCell ref="H10:I10"/>
    <mergeCell ref="J10:K10"/>
    <mergeCell ref="L10:M10"/>
    <mergeCell ref="H11:I11"/>
    <mergeCell ref="H12:I12"/>
    <mergeCell ref="H13:I13"/>
    <mergeCell ref="T7:U7"/>
    <mergeCell ref="A9:B9"/>
    <mergeCell ref="C9:D9"/>
    <mergeCell ref="H9:I9"/>
    <mergeCell ref="J9:K9"/>
    <mergeCell ref="L9:M9"/>
    <mergeCell ref="A5:B5"/>
    <mergeCell ref="D5:F5"/>
    <mergeCell ref="H5:N5"/>
    <mergeCell ref="O5:Q5"/>
    <mergeCell ref="B7:C7"/>
    <mergeCell ref="D7:E7"/>
    <mergeCell ref="D27:E27"/>
    <mergeCell ref="O27:P27"/>
    <mergeCell ref="M29:N29"/>
    <mergeCell ref="P29:Q29"/>
    <mergeCell ref="U42:U43"/>
    <mergeCell ref="I43:M43"/>
    <mergeCell ref="O44:P44"/>
    <mergeCell ref="O40:P40"/>
    <mergeCell ref="B42:B43"/>
    <mergeCell ref="C42:C43"/>
    <mergeCell ref="G42:G43"/>
    <mergeCell ref="H42:H43"/>
    <mergeCell ref="I42:M42"/>
    <mergeCell ref="N42:N43"/>
    <mergeCell ref="O42:O43"/>
    <mergeCell ref="P42:P43"/>
    <mergeCell ref="O31:P31"/>
    <mergeCell ref="O32:P32"/>
    <mergeCell ref="O33:P33"/>
    <mergeCell ref="J35:K35"/>
    <mergeCell ref="J36:K36"/>
    <mergeCell ref="J37:K37"/>
    <mergeCell ref="S47:T47"/>
    <mergeCell ref="S48:T48"/>
    <mergeCell ref="S49:T49"/>
    <mergeCell ref="S50:T50"/>
    <mergeCell ref="S51:T51"/>
    <mergeCell ref="S52:T52"/>
    <mergeCell ref="Q42:Q43"/>
    <mergeCell ref="R42:R43"/>
    <mergeCell ref="S42:S43"/>
    <mergeCell ref="U55:U56"/>
    <mergeCell ref="I56:M56"/>
    <mergeCell ref="D57:E57"/>
    <mergeCell ref="S53:T53"/>
    <mergeCell ref="S54:T54"/>
    <mergeCell ref="B55:B56"/>
    <mergeCell ref="C55:C56"/>
    <mergeCell ref="G55:G56"/>
    <mergeCell ref="H55:H56"/>
    <mergeCell ref="I55:M55"/>
    <mergeCell ref="N55:N56"/>
    <mergeCell ref="O55:O56"/>
    <mergeCell ref="P55:P56"/>
    <mergeCell ref="B67:B68"/>
    <mergeCell ref="C67:C68"/>
    <mergeCell ref="G67:G68"/>
    <mergeCell ref="H67:H68"/>
    <mergeCell ref="I67:M67"/>
    <mergeCell ref="N67:N68"/>
    <mergeCell ref="Q55:Q56"/>
    <mergeCell ref="R55:R56"/>
    <mergeCell ref="S55:S56"/>
    <mergeCell ref="I68:M68"/>
    <mergeCell ref="Q78:Q79"/>
    <mergeCell ref="R78:R79"/>
    <mergeCell ref="S78:S79"/>
    <mergeCell ref="U67:U68"/>
    <mergeCell ref="O63:P63"/>
    <mergeCell ref="R63:V63"/>
    <mergeCell ref="O64:P64"/>
    <mergeCell ref="O65:P65"/>
    <mergeCell ref="S70:T70"/>
    <mergeCell ref="S71:T71"/>
    <mergeCell ref="S72:T72"/>
    <mergeCell ref="S73:T73"/>
    <mergeCell ref="S74:T74"/>
    <mergeCell ref="O67:O68"/>
    <mergeCell ref="P67:P68"/>
    <mergeCell ref="Q67:Q68"/>
    <mergeCell ref="R67:R68"/>
    <mergeCell ref="S67:S68"/>
    <mergeCell ref="U78:U79"/>
    <mergeCell ref="I79:M79"/>
    <mergeCell ref="S75:T75"/>
    <mergeCell ref="S76:T76"/>
    <mergeCell ref="S77:T77"/>
    <mergeCell ref="N92:O92"/>
    <mergeCell ref="K93:L93"/>
    <mergeCell ref="N93:O93"/>
    <mergeCell ref="B131:C131"/>
    <mergeCell ref="H131:M131"/>
    <mergeCell ref="T131:U131"/>
    <mergeCell ref="D80:E80"/>
    <mergeCell ref="U81:U82"/>
    <mergeCell ref="S83:T83"/>
    <mergeCell ref="S84:T84"/>
    <mergeCell ref="S85:T85"/>
    <mergeCell ref="G88:H88"/>
    <mergeCell ref="B78:B79"/>
    <mergeCell ref="C78:C79"/>
    <mergeCell ref="G78:G79"/>
    <mergeCell ref="H78:H79"/>
    <mergeCell ref="I78:M78"/>
    <mergeCell ref="N78:N79"/>
    <mergeCell ref="O78:O79"/>
    <mergeCell ref="P78:P79"/>
    <mergeCell ref="D151:E151"/>
    <mergeCell ref="O151:P151"/>
    <mergeCell ref="J135:K135"/>
    <mergeCell ref="J136:K136"/>
    <mergeCell ref="J137:K137"/>
    <mergeCell ref="AB137:AC137"/>
    <mergeCell ref="J138:K138"/>
    <mergeCell ref="J142:K142"/>
    <mergeCell ref="T132:U132"/>
    <mergeCell ref="H133:I133"/>
    <mergeCell ref="J133:K133"/>
    <mergeCell ref="L133:M133"/>
    <mergeCell ref="H134:I134"/>
    <mergeCell ref="J134:K134"/>
    <mergeCell ref="L134:M134"/>
    <mergeCell ref="M153:N153"/>
    <mergeCell ref="P153:Q153"/>
    <mergeCell ref="S153:T153"/>
    <mergeCell ref="O155:P155"/>
    <mergeCell ref="O156:P156"/>
    <mergeCell ref="O157:P157"/>
    <mergeCell ref="J143:K143"/>
    <mergeCell ref="J144:K144"/>
    <mergeCell ref="J145:K145"/>
    <mergeCell ref="J146:K146"/>
    <mergeCell ref="U167:U168"/>
    <mergeCell ref="J159:K159"/>
    <mergeCell ref="J160:K160"/>
    <mergeCell ref="J161:K161"/>
    <mergeCell ref="O165:P165"/>
    <mergeCell ref="B167:B168"/>
    <mergeCell ref="C167:C168"/>
    <mergeCell ref="G167:G168"/>
    <mergeCell ref="H167:H168"/>
    <mergeCell ref="I167:M167"/>
    <mergeCell ref="N167:N168"/>
    <mergeCell ref="I168:M168"/>
    <mergeCell ref="O169:P169"/>
    <mergeCell ref="S171:T171"/>
    <mergeCell ref="S172:T172"/>
    <mergeCell ref="S173:T173"/>
    <mergeCell ref="S174:T174"/>
    <mergeCell ref="O167:O168"/>
    <mergeCell ref="P167:P168"/>
    <mergeCell ref="Q167:Q168"/>
    <mergeCell ref="R167:R168"/>
    <mergeCell ref="S167:S168"/>
    <mergeCell ref="S175:T175"/>
    <mergeCell ref="S176:T176"/>
    <mergeCell ref="S177:T177"/>
    <mergeCell ref="S178:T178"/>
    <mergeCell ref="B179:B180"/>
    <mergeCell ref="C179:C180"/>
    <mergeCell ref="G179:G180"/>
    <mergeCell ref="H179:H180"/>
    <mergeCell ref="I179:M179"/>
    <mergeCell ref="N179:N180"/>
    <mergeCell ref="I180:M180"/>
    <mergeCell ref="D181:E181"/>
    <mergeCell ref="O187:P187"/>
    <mergeCell ref="R187:V187"/>
    <mergeCell ref="O188:P188"/>
    <mergeCell ref="O189:P189"/>
    <mergeCell ref="O179:O180"/>
    <mergeCell ref="P179:P180"/>
    <mergeCell ref="Q179:Q180"/>
    <mergeCell ref="R179:R180"/>
    <mergeCell ref="S179:S180"/>
    <mergeCell ref="U179:U180"/>
    <mergeCell ref="O191:O192"/>
    <mergeCell ref="P191:P192"/>
    <mergeCell ref="Q191:Q192"/>
    <mergeCell ref="R191:R192"/>
    <mergeCell ref="S191:S192"/>
    <mergeCell ref="U191:U192"/>
    <mergeCell ref="B191:B192"/>
    <mergeCell ref="C191:C192"/>
    <mergeCell ref="G191:G192"/>
    <mergeCell ref="H191:H192"/>
    <mergeCell ref="I191:M191"/>
    <mergeCell ref="N191:N192"/>
    <mergeCell ref="I192:M192"/>
    <mergeCell ref="B202:B203"/>
    <mergeCell ref="C202:C203"/>
    <mergeCell ref="G202:G203"/>
    <mergeCell ref="H202:H203"/>
    <mergeCell ref="I202:M202"/>
    <mergeCell ref="N202:N203"/>
    <mergeCell ref="O202:O203"/>
    <mergeCell ref="P202:P203"/>
    <mergeCell ref="S194:T194"/>
    <mergeCell ref="S195:T195"/>
    <mergeCell ref="S196:T196"/>
    <mergeCell ref="S197:T197"/>
    <mergeCell ref="S198:T198"/>
    <mergeCell ref="S199:T199"/>
    <mergeCell ref="G213:H213"/>
    <mergeCell ref="N217:O217"/>
    <mergeCell ref="Q202:Q203"/>
    <mergeCell ref="R202:R203"/>
    <mergeCell ref="S202:S203"/>
    <mergeCell ref="U202:U203"/>
    <mergeCell ref="I203:M203"/>
    <mergeCell ref="D204:E204"/>
    <mergeCell ref="S200:T200"/>
    <mergeCell ref="S201:T201"/>
    <mergeCell ref="K218:L218"/>
    <mergeCell ref="N218:O218"/>
    <mergeCell ref="O221:P221"/>
    <mergeCell ref="R221:V221"/>
    <mergeCell ref="O222:P222"/>
    <mergeCell ref="O223:P223"/>
    <mergeCell ref="U206:U207"/>
    <mergeCell ref="S208:T208"/>
    <mergeCell ref="S209:T209"/>
    <mergeCell ref="S210:T210"/>
    <mergeCell ref="U233:U234"/>
    <mergeCell ref="B233:B234"/>
    <mergeCell ref="C233:C234"/>
    <mergeCell ref="G233:G234"/>
    <mergeCell ref="H233:H234"/>
    <mergeCell ref="I233:M233"/>
    <mergeCell ref="N233:N234"/>
    <mergeCell ref="I234:J234"/>
    <mergeCell ref="L234:M234"/>
    <mergeCell ref="S236:T236"/>
    <mergeCell ref="S237:T237"/>
    <mergeCell ref="S238:T238"/>
    <mergeCell ref="S239:T239"/>
    <mergeCell ref="S240:T240"/>
    <mergeCell ref="S241:T241"/>
    <mergeCell ref="O233:O234"/>
    <mergeCell ref="P233:P234"/>
    <mergeCell ref="Q233:Q234"/>
    <mergeCell ref="R233:R234"/>
    <mergeCell ref="S233:S234"/>
    <mergeCell ref="R246:R247"/>
    <mergeCell ref="S246:S247"/>
    <mergeCell ref="U246:U247"/>
    <mergeCell ref="I247:J247"/>
    <mergeCell ref="L247:M247"/>
    <mergeCell ref="S242:T242"/>
    <mergeCell ref="S243:T243"/>
    <mergeCell ref="S244:T244"/>
    <mergeCell ref="B246:B247"/>
    <mergeCell ref="C246:C247"/>
    <mergeCell ref="G246:G247"/>
    <mergeCell ref="H246:H247"/>
    <mergeCell ref="I246:M246"/>
    <mergeCell ref="N246:N247"/>
    <mergeCell ref="O246:O247"/>
    <mergeCell ref="D248:E248"/>
    <mergeCell ref="E251:F251"/>
    <mergeCell ref="H251:I251"/>
    <mergeCell ref="D255:E256"/>
    <mergeCell ref="F255:F256"/>
    <mergeCell ref="G255:H255"/>
    <mergeCell ref="I255:I256"/>
    <mergeCell ref="P246:P247"/>
    <mergeCell ref="Q246:Q247"/>
    <mergeCell ref="J255:K255"/>
    <mergeCell ref="G256:H256"/>
    <mergeCell ref="J256:K256"/>
    <mergeCell ref="F258:F259"/>
    <mergeCell ref="G258:H258"/>
    <mergeCell ref="I258:I259"/>
    <mergeCell ref="J258:K258"/>
    <mergeCell ref="G259:H259"/>
    <mergeCell ref="J259:K259"/>
    <mergeCell ref="T275:U275"/>
    <mergeCell ref="B276:C276"/>
    <mergeCell ref="T276:U276"/>
    <mergeCell ref="H277:I277"/>
    <mergeCell ref="J277:K277"/>
    <mergeCell ref="L277:M277"/>
    <mergeCell ref="T277:U277"/>
    <mergeCell ref="G261:H261"/>
    <mergeCell ref="F263:H263"/>
    <mergeCell ref="F264:H264"/>
    <mergeCell ref="B275:C275"/>
    <mergeCell ref="D275:E276"/>
    <mergeCell ref="H275:M275"/>
    <mergeCell ref="S297:T297"/>
    <mergeCell ref="AB281:AC281"/>
    <mergeCell ref="L282:M282"/>
    <mergeCell ref="J286:K286"/>
    <mergeCell ref="J287:K287"/>
    <mergeCell ref="J288:K288"/>
    <mergeCell ref="J289:K289"/>
    <mergeCell ref="H278:I278"/>
    <mergeCell ref="J278:K278"/>
    <mergeCell ref="L278:M278"/>
    <mergeCell ref="L279:M279"/>
    <mergeCell ref="L280:M280"/>
    <mergeCell ref="L281:M281"/>
    <mergeCell ref="O299:P299"/>
    <mergeCell ref="O300:P300"/>
    <mergeCell ref="O301:P301"/>
    <mergeCell ref="J303:K303"/>
    <mergeCell ref="J304:K304"/>
    <mergeCell ref="J305:K305"/>
    <mergeCell ref="J290:K290"/>
    <mergeCell ref="D295:E295"/>
    <mergeCell ref="O295:P295"/>
    <mergeCell ref="M297:N297"/>
    <mergeCell ref="P297:Q297"/>
    <mergeCell ref="U321:U322"/>
    <mergeCell ref="I322:J322"/>
    <mergeCell ref="L322:M322"/>
    <mergeCell ref="O309:P309"/>
    <mergeCell ref="O310:P310"/>
    <mergeCell ref="O311:P311"/>
    <mergeCell ref="B321:B322"/>
    <mergeCell ref="C321:C322"/>
    <mergeCell ref="G321:G322"/>
    <mergeCell ref="H321:H322"/>
    <mergeCell ref="I321:M321"/>
    <mergeCell ref="N321:N322"/>
    <mergeCell ref="O321:O322"/>
    <mergeCell ref="S324:T324"/>
    <mergeCell ref="S325:T325"/>
    <mergeCell ref="S326:T326"/>
    <mergeCell ref="S327:T327"/>
    <mergeCell ref="S328:T328"/>
    <mergeCell ref="S329:T329"/>
    <mergeCell ref="P321:P322"/>
    <mergeCell ref="Q321:Q322"/>
    <mergeCell ref="R321:R322"/>
    <mergeCell ref="S321:S322"/>
    <mergeCell ref="R334:R335"/>
    <mergeCell ref="S334:S335"/>
    <mergeCell ref="U334:U335"/>
    <mergeCell ref="I335:J335"/>
    <mergeCell ref="L335:M335"/>
    <mergeCell ref="S330:T330"/>
    <mergeCell ref="S331:T331"/>
    <mergeCell ref="S332:T332"/>
    <mergeCell ref="B334:B335"/>
    <mergeCell ref="C334:C335"/>
    <mergeCell ref="G334:G335"/>
    <mergeCell ref="H334:H335"/>
    <mergeCell ref="I334:M334"/>
    <mergeCell ref="N334:N335"/>
    <mergeCell ref="O334:O335"/>
    <mergeCell ref="D336:E336"/>
    <mergeCell ref="E339:F339"/>
    <mergeCell ref="H339:I339"/>
    <mergeCell ref="D343:E344"/>
    <mergeCell ref="F343:F344"/>
    <mergeCell ref="G343:H343"/>
    <mergeCell ref="I343:I344"/>
    <mergeCell ref="P334:P335"/>
    <mergeCell ref="Q334:Q335"/>
    <mergeCell ref="J343:K343"/>
    <mergeCell ref="G344:H344"/>
    <mergeCell ref="J344:K344"/>
    <mergeCell ref="F346:F347"/>
    <mergeCell ref="G346:H346"/>
    <mergeCell ref="I346:I347"/>
    <mergeCell ref="J346:K346"/>
    <mergeCell ref="G347:H347"/>
    <mergeCell ref="J347:K347"/>
    <mergeCell ref="G349:H349"/>
    <mergeCell ref="F351:H351"/>
    <mergeCell ref="F352:H352"/>
    <mergeCell ref="M369:N369"/>
    <mergeCell ref="O369:P369"/>
    <mergeCell ref="S369:V369"/>
    <mergeCell ref="A364:C367"/>
    <mergeCell ref="D364:F367"/>
    <mergeCell ref="G364:H367"/>
    <mergeCell ref="I364:J367"/>
    <mergeCell ref="K364:L367"/>
    <mergeCell ref="B368:C370"/>
    <mergeCell ref="D368:E368"/>
    <mergeCell ref="F368:F370"/>
    <mergeCell ref="G368:G370"/>
    <mergeCell ref="H368:H370"/>
    <mergeCell ref="D369:E369"/>
    <mergeCell ref="D370:E370"/>
    <mergeCell ref="O368:P368"/>
    <mergeCell ref="Q368:R370"/>
    <mergeCell ref="S368:V368"/>
    <mergeCell ref="K369:L369"/>
    <mergeCell ref="A368:A370"/>
    <mergeCell ref="R389:V389"/>
    <mergeCell ref="M364:N367"/>
    <mergeCell ref="O364:P367"/>
    <mergeCell ref="Q364:R367"/>
    <mergeCell ref="S364:V367"/>
    <mergeCell ref="A390:G391"/>
    <mergeCell ref="H390:N391"/>
    <mergeCell ref="O390:Q390"/>
    <mergeCell ref="R390:V390"/>
    <mergeCell ref="O391:Q391"/>
    <mergeCell ref="R391:V391"/>
    <mergeCell ref="K370:L370"/>
    <mergeCell ref="M370:N370"/>
    <mergeCell ref="O370:P370"/>
    <mergeCell ref="S370:V370"/>
    <mergeCell ref="A388:G389"/>
    <mergeCell ref="H388:N388"/>
    <mergeCell ref="O388:Q388"/>
    <mergeCell ref="R388:V388"/>
    <mergeCell ref="H389:N389"/>
    <mergeCell ref="O389:Q389"/>
    <mergeCell ref="I368:J370"/>
    <mergeCell ref="K368:L368"/>
    <mergeCell ref="M368:N368"/>
    <mergeCell ref="A392:B392"/>
    <mergeCell ref="D392:F392"/>
    <mergeCell ref="H392:N392"/>
    <mergeCell ref="O392:Q392"/>
    <mergeCell ref="R392:V392"/>
    <mergeCell ref="B394:C394"/>
    <mergeCell ref="D394:E395"/>
    <mergeCell ref="H394:M394"/>
    <mergeCell ref="T394:U394"/>
    <mergeCell ref="B395:C395"/>
    <mergeCell ref="D414:E414"/>
    <mergeCell ref="O414:P414"/>
    <mergeCell ref="H398:I398"/>
    <mergeCell ref="H399:I399"/>
    <mergeCell ref="H400:I400"/>
    <mergeCell ref="AB400:AC400"/>
    <mergeCell ref="H401:I401"/>
    <mergeCell ref="J405:K405"/>
    <mergeCell ref="T395:U395"/>
    <mergeCell ref="H396:I396"/>
    <mergeCell ref="J396:K396"/>
    <mergeCell ref="L396:M396"/>
    <mergeCell ref="T396:U396"/>
    <mergeCell ref="H397:I397"/>
    <mergeCell ref="J397:K397"/>
    <mergeCell ref="L397:M397"/>
    <mergeCell ref="O418:P418"/>
    <mergeCell ref="O419:P419"/>
    <mergeCell ref="O420:P420"/>
    <mergeCell ref="J422:K422"/>
    <mergeCell ref="J423:K423"/>
    <mergeCell ref="J424:K424"/>
    <mergeCell ref="J406:K406"/>
    <mergeCell ref="J407:K407"/>
    <mergeCell ref="J408:K408"/>
    <mergeCell ref="J409:K409"/>
    <mergeCell ref="U435:U436"/>
    <mergeCell ref="I436:J436"/>
    <mergeCell ref="L436:M436"/>
    <mergeCell ref="O428:P428"/>
    <mergeCell ref="O429:P429"/>
    <mergeCell ref="O430:P430"/>
    <mergeCell ref="B435:B436"/>
    <mergeCell ref="C435:C436"/>
    <mergeCell ref="G435:G436"/>
    <mergeCell ref="H435:H436"/>
    <mergeCell ref="I435:M435"/>
    <mergeCell ref="N435:N436"/>
    <mergeCell ref="O435:O436"/>
    <mergeCell ref="S438:T438"/>
    <mergeCell ref="S439:T439"/>
    <mergeCell ref="S440:T440"/>
    <mergeCell ref="S441:T441"/>
    <mergeCell ref="S442:T442"/>
    <mergeCell ref="S443:T443"/>
    <mergeCell ref="P435:P436"/>
    <mergeCell ref="Q435:Q436"/>
    <mergeCell ref="R435:R436"/>
    <mergeCell ref="S435:S436"/>
    <mergeCell ref="R448:R449"/>
    <mergeCell ref="S448:S449"/>
    <mergeCell ref="U448:U449"/>
    <mergeCell ref="I449:J449"/>
    <mergeCell ref="L449:M449"/>
    <mergeCell ref="S444:T444"/>
    <mergeCell ref="S445:T445"/>
    <mergeCell ref="S446:T446"/>
    <mergeCell ref="B448:B449"/>
    <mergeCell ref="C448:C449"/>
    <mergeCell ref="G448:G449"/>
    <mergeCell ref="H448:H449"/>
    <mergeCell ref="I448:M448"/>
    <mergeCell ref="N448:N449"/>
    <mergeCell ref="O448:O449"/>
    <mergeCell ref="D450:E450"/>
    <mergeCell ref="E453:F453"/>
    <mergeCell ref="H453:I453"/>
    <mergeCell ref="D457:E458"/>
    <mergeCell ref="F457:F458"/>
    <mergeCell ref="G457:H457"/>
    <mergeCell ref="I457:I458"/>
    <mergeCell ref="P448:P449"/>
    <mergeCell ref="Q448:Q449"/>
    <mergeCell ref="J457:K457"/>
    <mergeCell ref="G458:H458"/>
    <mergeCell ref="J458:K458"/>
    <mergeCell ref="F460:F461"/>
    <mergeCell ref="G460:H460"/>
    <mergeCell ref="I460:I461"/>
    <mergeCell ref="J460:K460"/>
    <mergeCell ref="G461:H461"/>
    <mergeCell ref="J461:K461"/>
    <mergeCell ref="T477:U477"/>
    <mergeCell ref="B478:C478"/>
    <mergeCell ref="T478:U478"/>
    <mergeCell ref="H479:I479"/>
    <mergeCell ref="J479:K479"/>
    <mergeCell ref="L479:M479"/>
    <mergeCell ref="T479:U479"/>
    <mergeCell ref="G463:H463"/>
    <mergeCell ref="F465:H465"/>
    <mergeCell ref="F466:H466"/>
    <mergeCell ref="B477:C477"/>
    <mergeCell ref="D477:E478"/>
    <mergeCell ref="H477:M477"/>
    <mergeCell ref="AB483:AC483"/>
    <mergeCell ref="J484:K484"/>
    <mergeCell ref="J488:K488"/>
    <mergeCell ref="J489:K489"/>
    <mergeCell ref="J490:K490"/>
    <mergeCell ref="J491:K491"/>
    <mergeCell ref="H480:I480"/>
    <mergeCell ref="J480:K480"/>
    <mergeCell ref="L480:M480"/>
    <mergeCell ref="J481:K481"/>
    <mergeCell ref="J482:K482"/>
    <mergeCell ref="J483:K483"/>
    <mergeCell ref="J505:K505"/>
    <mergeCell ref="J506:K506"/>
    <mergeCell ref="J507:K507"/>
    <mergeCell ref="O511:P511"/>
    <mergeCell ref="O512:P512"/>
    <mergeCell ref="O513:P513"/>
    <mergeCell ref="J492:K492"/>
    <mergeCell ref="D497:E497"/>
    <mergeCell ref="O497:P497"/>
    <mergeCell ref="O501:P501"/>
    <mergeCell ref="O502:P502"/>
    <mergeCell ref="O503:P503"/>
    <mergeCell ref="U523:U524"/>
    <mergeCell ref="B523:B524"/>
    <mergeCell ref="C523:C524"/>
    <mergeCell ref="G523:G524"/>
    <mergeCell ref="H523:H524"/>
    <mergeCell ref="I523:M523"/>
    <mergeCell ref="N523:N524"/>
    <mergeCell ref="I524:J524"/>
    <mergeCell ref="L524:M524"/>
    <mergeCell ref="S526:T526"/>
    <mergeCell ref="S527:T527"/>
    <mergeCell ref="S528:T528"/>
    <mergeCell ref="S529:T529"/>
    <mergeCell ref="S530:T530"/>
    <mergeCell ref="S531:T531"/>
    <mergeCell ref="O523:O524"/>
    <mergeCell ref="P523:P524"/>
    <mergeCell ref="Q523:Q524"/>
    <mergeCell ref="R523:R524"/>
    <mergeCell ref="S523:S524"/>
    <mergeCell ref="R536:R537"/>
    <mergeCell ref="S536:S537"/>
    <mergeCell ref="U536:U537"/>
    <mergeCell ref="I537:J537"/>
    <mergeCell ref="L537:M537"/>
    <mergeCell ref="S532:T532"/>
    <mergeCell ref="S533:T533"/>
    <mergeCell ref="S534:T534"/>
    <mergeCell ref="B536:B537"/>
    <mergeCell ref="C536:C537"/>
    <mergeCell ref="G536:G537"/>
    <mergeCell ref="H536:H537"/>
    <mergeCell ref="I536:M536"/>
    <mergeCell ref="N536:N537"/>
    <mergeCell ref="O536:O537"/>
    <mergeCell ref="D538:E538"/>
    <mergeCell ref="E541:F541"/>
    <mergeCell ref="H541:I541"/>
    <mergeCell ref="D545:E546"/>
    <mergeCell ref="F545:F546"/>
    <mergeCell ref="G545:H545"/>
    <mergeCell ref="I545:I546"/>
    <mergeCell ref="P536:P537"/>
    <mergeCell ref="Q536:Q537"/>
    <mergeCell ref="J545:K545"/>
    <mergeCell ref="G546:H546"/>
    <mergeCell ref="J546:K546"/>
    <mergeCell ref="F548:F549"/>
    <mergeCell ref="G548:H548"/>
    <mergeCell ref="I548:I549"/>
    <mergeCell ref="J548:K548"/>
    <mergeCell ref="G549:H549"/>
    <mergeCell ref="J549:K549"/>
    <mergeCell ref="T565:U565"/>
    <mergeCell ref="B566:C566"/>
    <mergeCell ref="T566:U566"/>
    <mergeCell ref="H567:I567"/>
    <mergeCell ref="J567:K567"/>
    <mergeCell ref="L567:M567"/>
    <mergeCell ref="T567:U567"/>
    <mergeCell ref="G551:H551"/>
    <mergeCell ref="F553:H553"/>
    <mergeCell ref="F554:H554"/>
    <mergeCell ref="B565:C565"/>
    <mergeCell ref="D565:E566"/>
    <mergeCell ref="H565:M565"/>
    <mergeCell ref="AB571:AC571"/>
    <mergeCell ref="L572:M572"/>
    <mergeCell ref="J576:K576"/>
    <mergeCell ref="J577:K577"/>
    <mergeCell ref="J578:K578"/>
    <mergeCell ref="J579:K579"/>
    <mergeCell ref="H568:I568"/>
    <mergeCell ref="J568:K568"/>
    <mergeCell ref="L568:M568"/>
    <mergeCell ref="L569:M569"/>
    <mergeCell ref="L570:M570"/>
    <mergeCell ref="L571:M571"/>
    <mergeCell ref="J593:K593"/>
    <mergeCell ref="J594:K594"/>
    <mergeCell ref="J595:K595"/>
    <mergeCell ref="O599:P599"/>
    <mergeCell ref="O600:P600"/>
    <mergeCell ref="O601:P601"/>
    <mergeCell ref="J580:K580"/>
    <mergeCell ref="D585:E585"/>
    <mergeCell ref="O585:P585"/>
    <mergeCell ref="O589:P589"/>
    <mergeCell ref="O590:P590"/>
    <mergeCell ref="O591:P591"/>
    <mergeCell ref="U611:U612"/>
    <mergeCell ref="B611:B612"/>
    <mergeCell ref="C611:C612"/>
    <mergeCell ref="G611:G612"/>
    <mergeCell ref="H611:H612"/>
    <mergeCell ref="I611:M611"/>
    <mergeCell ref="N611:N612"/>
    <mergeCell ref="I612:J612"/>
    <mergeCell ref="L612:M612"/>
    <mergeCell ref="S614:T614"/>
    <mergeCell ref="S615:T615"/>
    <mergeCell ref="S616:T616"/>
    <mergeCell ref="S617:T617"/>
    <mergeCell ref="S618:T618"/>
    <mergeCell ref="S619:T619"/>
    <mergeCell ref="O611:O612"/>
    <mergeCell ref="P611:P612"/>
    <mergeCell ref="Q611:Q612"/>
    <mergeCell ref="R611:R612"/>
    <mergeCell ref="S611:S612"/>
    <mergeCell ref="R624:R625"/>
    <mergeCell ref="S624:S625"/>
    <mergeCell ref="U624:U625"/>
    <mergeCell ref="I625:J625"/>
    <mergeCell ref="L625:M625"/>
    <mergeCell ref="S620:T620"/>
    <mergeCell ref="S621:T621"/>
    <mergeCell ref="S622:T622"/>
    <mergeCell ref="B624:B625"/>
    <mergeCell ref="C624:C625"/>
    <mergeCell ref="G624:G625"/>
    <mergeCell ref="H624:H625"/>
    <mergeCell ref="I624:M624"/>
    <mergeCell ref="N624:N625"/>
    <mergeCell ref="O624:O625"/>
    <mergeCell ref="D626:E626"/>
    <mergeCell ref="E629:F629"/>
    <mergeCell ref="H629:I629"/>
    <mergeCell ref="D633:E634"/>
    <mergeCell ref="F633:F634"/>
    <mergeCell ref="G633:H633"/>
    <mergeCell ref="I633:I634"/>
    <mergeCell ref="P624:P625"/>
    <mergeCell ref="Q624:Q625"/>
    <mergeCell ref="G639:H639"/>
    <mergeCell ref="F641:H641"/>
    <mergeCell ref="F642:H642"/>
    <mergeCell ref="A654:C656"/>
    <mergeCell ref="D654:G656"/>
    <mergeCell ref="H654:I656"/>
    <mergeCell ref="J633:K633"/>
    <mergeCell ref="G634:H634"/>
    <mergeCell ref="J634:K634"/>
    <mergeCell ref="F636:F637"/>
    <mergeCell ref="G636:H636"/>
    <mergeCell ref="I636:I637"/>
    <mergeCell ref="J636:K636"/>
    <mergeCell ref="G637:H637"/>
    <mergeCell ref="J637:K637"/>
    <mergeCell ref="J654:K656"/>
    <mergeCell ref="L654:N656"/>
    <mergeCell ref="O654:Q656"/>
    <mergeCell ref="R654:T656"/>
    <mergeCell ref="U654:V656"/>
    <mergeCell ref="A657:B657"/>
    <mergeCell ref="C657:C659"/>
    <mergeCell ref="D657:D659"/>
    <mergeCell ref="E657:E659"/>
    <mergeCell ref="F657:F659"/>
    <mergeCell ref="T657:T659"/>
    <mergeCell ref="U657:V657"/>
    <mergeCell ref="A658:B658"/>
    <mergeCell ref="U658:V658"/>
    <mergeCell ref="A659:B659"/>
    <mergeCell ref="U659:V659"/>
    <mergeCell ref="N657:N659"/>
    <mergeCell ref="O657:O659"/>
    <mergeCell ref="P657:P659"/>
    <mergeCell ref="Q657:Q659"/>
    <mergeCell ref="R657:R659"/>
    <mergeCell ref="S657:S659"/>
    <mergeCell ref="G657:G659"/>
    <mergeCell ref="H657:H659"/>
    <mergeCell ref="I657:I659"/>
    <mergeCell ref="J657:K659"/>
    <mergeCell ref="L657:L659"/>
    <mergeCell ref="M657:M659"/>
    <mergeCell ref="O698:P701"/>
    <mergeCell ref="Q698:R701"/>
    <mergeCell ref="S698:V701"/>
    <mergeCell ref="A702:A704"/>
    <mergeCell ref="B702:C704"/>
    <mergeCell ref="D702:E702"/>
    <mergeCell ref="F702:F704"/>
    <mergeCell ref="G702:G704"/>
    <mergeCell ref="H702:H704"/>
    <mergeCell ref="I702:J704"/>
    <mergeCell ref="A698:C701"/>
    <mergeCell ref="D698:F701"/>
    <mergeCell ref="G698:H701"/>
    <mergeCell ref="I698:J701"/>
    <mergeCell ref="K698:L701"/>
    <mergeCell ref="M698:N701"/>
    <mergeCell ref="D704:E704"/>
    <mergeCell ref="K704:L704"/>
    <mergeCell ref="M704:N704"/>
    <mergeCell ref="O704:P704"/>
    <mergeCell ref="S704:V704"/>
    <mergeCell ref="K702:L702"/>
    <mergeCell ref="M702:N702"/>
    <mergeCell ref="O702:P702"/>
    <mergeCell ref="Q702:R704"/>
    <mergeCell ref="S702:V702"/>
    <mergeCell ref="D703:E703"/>
    <mergeCell ref="K703:L703"/>
    <mergeCell ref="M703:N703"/>
    <mergeCell ref="O703:P703"/>
    <mergeCell ref="S703:V703"/>
  </mergeCells>
  <conditionalFormatting sqref="H61 H95:H129 H252 H340 H454 H542 H630">
    <cfRule type="cellIs" dxfId="218" priority="4" stopIfTrue="1" operator="equal">
      <formula>"Under Dimentioned"</formula>
    </cfRule>
  </conditionalFormatting>
  <conditionalFormatting sqref="H185">
    <cfRule type="cellIs" dxfId="217" priority="2" stopIfTrue="1" operator="equal">
      <formula>"Under Dimentioned"</formula>
    </cfRule>
  </conditionalFormatting>
  <conditionalFormatting sqref="H220">
    <cfRule type="cellIs" dxfId="216" priority="1" stopIfTrue="1" operator="equal">
      <formula>"Under Dimentioned"</formula>
    </cfRule>
  </conditionalFormatting>
  <conditionalFormatting sqref="H266:H271 H354:H359 H468:H473 H556:H561 H644:H649">
    <cfRule type="cellIs" dxfId="215" priority="5" stopIfTrue="1" operator="equal">
      <formula>"Not OK"</formula>
    </cfRule>
  </conditionalFormatting>
  <dataValidations count="1">
    <dataValidation type="list" allowBlank="1" showInputMessage="1" showErrorMessage="1" sqref="D565 IZ565 SV565 ACR565 AMN565 AWJ565 BGF565 BQB565 BZX565 CJT565 CTP565 DDL565 DNH565 DXD565 EGZ565 EQV565 FAR565 FKN565 FUJ565 GEF565 GOB565 GXX565 HHT565 HRP565 IBL565 ILH565 IVD565 JEZ565 JOV565 JYR565 KIN565 KSJ565 LCF565 LMB565 LVX565 MFT565 MPP565 MZL565 NJH565 NTD565 OCZ565 OMV565 OWR565 PGN565 PQJ565 QAF565 QKB565 QTX565 RDT565 RNP565 RXL565 SHH565 SRD565 TAZ565 TKV565 TUR565 UEN565 UOJ565 UYF565 VIB565 VRX565 WBT565 WLP565 WVL565 D66104 IZ66104 SV66104 ACR66104 AMN66104 AWJ66104 BGF66104 BQB66104 BZX66104 CJT66104 CTP66104 DDL66104 DNH66104 DXD66104 EGZ66104 EQV66104 FAR66104 FKN66104 FUJ66104 GEF66104 GOB66104 GXX66104 HHT66104 HRP66104 IBL66104 ILH66104 IVD66104 JEZ66104 JOV66104 JYR66104 KIN66104 KSJ66104 LCF66104 LMB66104 LVX66104 MFT66104 MPP66104 MZL66104 NJH66104 NTD66104 OCZ66104 OMV66104 OWR66104 PGN66104 PQJ66104 QAF66104 QKB66104 QTX66104 RDT66104 RNP66104 RXL66104 SHH66104 SRD66104 TAZ66104 TKV66104 TUR66104 UEN66104 UOJ66104 UYF66104 VIB66104 VRX66104 WBT66104 WLP66104 WVL66104 D131640 IZ131640 SV131640 ACR131640 AMN131640 AWJ131640 BGF131640 BQB131640 BZX131640 CJT131640 CTP131640 DDL131640 DNH131640 DXD131640 EGZ131640 EQV131640 FAR131640 FKN131640 FUJ131640 GEF131640 GOB131640 GXX131640 HHT131640 HRP131640 IBL131640 ILH131640 IVD131640 JEZ131640 JOV131640 JYR131640 KIN131640 KSJ131640 LCF131640 LMB131640 LVX131640 MFT131640 MPP131640 MZL131640 NJH131640 NTD131640 OCZ131640 OMV131640 OWR131640 PGN131640 PQJ131640 QAF131640 QKB131640 QTX131640 RDT131640 RNP131640 RXL131640 SHH131640 SRD131640 TAZ131640 TKV131640 TUR131640 UEN131640 UOJ131640 UYF131640 VIB131640 VRX131640 WBT131640 WLP131640 WVL131640 D197176 IZ197176 SV197176 ACR197176 AMN197176 AWJ197176 BGF197176 BQB197176 BZX197176 CJT197176 CTP197176 DDL197176 DNH197176 DXD197176 EGZ197176 EQV197176 FAR197176 FKN197176 FUJ197176 GEF197176 GOB197176 GXX197176 HHT197176 HRP197176 IBL197176 ILH197176 IVD197176 JEZ197176 JOV197176 JYR197176 KIN197176 KSJ197176 LCF197176 LMB197176 LVX197176 MFT197176 MPP197176 MZL197176 NJH197176 NTD197176 OCZ197176 OMV197176 OWR197176 PGN197176 PQJ197176 QAF197176 QKB197176 QTX197176 RDT197176 RNP197176 RXL197176 SHH197176 SRD197176 TAZ197176 TKV197176 TUR197176 UEN197176 UOJ197176 UYF197176 VIB197176 VRX197176 WBT197176 WLP197176 WVL197176 D262712 IZ262712 SV262712 ACR262712 AMN262712 AWJ262712 BGF262712 BQB262712 BZX262712 CJT262712 CTP262712 DDL262712 DNH262712 DXD262712 EGZ262712 EQV262712 FAR262712 FKN262712 FUJ262712 GEF262712 GOB262712 GXX262712 HHT262712 HRP262712 IBL262712 ILH262712 IVD262712 JEZ262712 JOV262712 JYR262712 KIN262712 KSJ262712 LCF262712 LMB262712 LVX262712 MFT262712 MPP262712 MZL262712 NJH262712 NTD262712 OCZ262712 OMV262712 OWR262712 PGN262712 PQJ262712 QAF262712 QKB262712 QTX262712 RDT262712 RNP262712 RXL262712 SHH262712 SRD262712 TAZ262712 TKV262712 TUR262712 UEN262712 UOJ262712 UYF262712 VIB262712 VRX262712 WBT262712 WLP262712 WVL262712 D328248 IZ328248 SV328248 ACR328248 AMN328248 AWJ328248 BGF328248 BQB328248 BZX328248 CJT328248 CTP328248 DDL328248 DNH328248 DXD328248 EGZ328248 EQV328248 FAR328248 FKN328248 FUJ328248 GEF328248 GOB328248 GXX328248 HHT328248 HRP328248 IBL328248 ILH328248 IVD328248 JEZ328248 JOV328248 JYR328248 KIN328248 KSJ328248 LCF328248 LMB328248 LVX328248 MFT328248 MPP328248 MZL328248 NJH328248 NTD328248 OCZ328248 OMV328248 OWR328248 PGN328248 PQJ328248 QAF328248 QKB328248 QTX328248 RDT328248 RNP328248 RXL328248 SHH328248 SRD328248 TAZ328248 TKV328248 TUR328248 UEN328248 UOJ328248 UYF328248 VIB328248 VRX328248 WBT328248 WLP328248 WVL328248 D393784 IZ393784 SV393784 ACR393784 AMN393784 AWJ393784 BGF393784 BQB393784 BZX393784 CJT393784 CTP393784 DDL393784 DNH393784 DXD393784 EGZ393784 EQV393784 FAR393784 FKN393784 FUJ393784 GEF393784 GOB393784 GXX393784 HHT393784 HRP393784 IBL393784 ILH393784 IVD393784 JEZ393784 JOV393784 JYR393784 KIN393784 KSJ393784 LCF393784 LMB393784 LVX393784 MFT393784 MPP393784 MZL393784 NJH393784 NTD393784 OCZ393784 OMV393784 OWR393784 PGN393784 PQJ393784 QAF393784 QKB393784 QTX393784 RDT393784 RNP393784 RXL393784 SHH393784 SRD393784 TAZ393784 TKV393784 TUR393784 UEN393784 UOJ393784 UYF393784 VIB393784 VRX393784 WBT393784 WLP393784 WVL393784 D459320 IZ459320 SV459320 ACR459320 AMN459320 AWJ459320 BGF459320 BQB459320 BZX459320 CJT459320 CTP459320 DDL459320 DNH459320 DXD459320 EGZ459320 EQV459320 FAR459320 FKN459320 FUJ459320 GEF459320 GOB459320 GXX459320 HHT459320 HRP459320 IBL459320 ILH459320 IVD459320 JEZ459320 JOV459320 JYR459320 KIN459320 KSJ459320 LCF459320 LMB459320 LVX459320 MFT459320 MPP459320 MZL459320 NJH459320 NTD459320 OCZ459320 OMV459320 OWR459320 PGN459320 PQJ459320 QAF459320 QKB459320 QTX459320 RDT459320 RNP459320 RXL459320 SHH459320 SRD459320 TAZ459320 TKV459320 TUR459320 UEN459320 UOJ459320 UYF459320 VIB459320 VRX459320 WBT459320 WLP459320 WVL459320 D524856 IZ524856 SV524856 ACR524856 AMN524856 AWJ524856 BGF524856 BQB524856 BZX524856 CJT524856 CTP524856 DDL524856 DNH524856 DXD524856 EGZ524856 EQV524856 FAR524856 FKN524856 FUJ524856 GEF524856 GOB524856 GXX524856 HHT524856 HRP524856 IBL524856 ILH524856 IVD524856 JEZ524856 JOV524856 JYR524856 KIN524856 KSJ524856 LCF524856 LMB524856 LVX524856 MFT524856 MPP524856 MZL524856 NJH524856 NTD524856 OCZ524856 OMV524856 OWR524856 PGN524856 PQJ524856 QAF524856 QKB524856 QTX524856 RDT524856 RNP524856 RXL524856 SHH524856 SRD524856 TAZ524856 TKV524856 TUR524856 UEN524856 UOJ524856 UYF524856 VIB524856 VRX524856 WBT524856 WLP524856 WVL524856 D590392 IZ590392 SV590392 ACR590392 AMN590392 AWJ590392 BGF590392 BQB590392 BZX590392 CJT590392 CTP590392 DDL590392 DNH590392 DXD590392 EGZ590392 EQV590392 FAR590392 FKN590392 FUJ590392 GEF590392 GOB590392 GXX590392 HHT590392 HRP590392 IBL590392 ILH590392 IVD590392 JEZ590392 JOV590392 JYR590392 KIN590392 KSJ590392 LCF590392 LMB590392 LVX590392 MFT590392 MPP590392 MZL590392 NJH590392 NTD590392 OCZ590392 OMV590392 OWR590392 PGN590392 PQJ590392 QAF590392 QKB590392 QTX590392 RDT590392 RNP590392 RXL590392 SHH590392 SRD590392 TAZ590392 TKV590392 TUR590392 UEN590392 UOJ590392 UYF590392 VIB590392 VRX590392 WBT590392 WLP590392 WVL590392 D655928 IZ655928 SV655928 ACR655928 AMN655928 AWJ655928 BGF655928 BQB655928 BZX655928 CJT655928 CTP655928 DDL655928 DNH655928 DXD655928 EGZ655928 EQV655928 FAR655928 FKN655928 FUJ655928 GEF655928 GOB655928 GXX655928 HHT655928 HRP655928 IBL655928 ILH655928 IVD655928 JEZ655928 JOV655928 JYR655928 KIN655928 KSJ655928 LCF655928 LMB655928 LVX655928 MFT655928 MPP655928 MZL655928 NJH655928 NTD655928 OCZ655928 OMV655928 OWR655928 PGN655928 PQJ655928 QAF655928 QKB655928 QTX655928 RDT655928 RNP655928 RXL655928 SHH655928 SRD655928 TAZ655928 TKV655928 TUR655928 UEN655928 UOJ655928 UYF655928 VIB655928 VRX655928 WBT655928 WLP655928 WVL655928 D721464 IZ721464 SV721464 ACR721464 AMN721464 AWJ721464 BGF721464 BQB721464 BZX721464 CJT721464 CTP721464 DDL721464 DNH721464 DXD721464 EGZ721464 EQV721464 FAR721464 FKN721464 FUJ721464 GEF721464 GOB721464 GXX721464 HHT721464 HRP721464 IBL721464 ILH721464 IVD721464 JEZ721464 JOV721464 JYR721464 KIN721464 KSJ721464 LCF721464 LMB721464 LVX721464 MFT721464 MPP721464 MZL721464 NJH721464 NTD721464 OCZ721464 OMV721464 OWR721464 PGN721464 PQJ721464 QAF721464 QKB721464 QTX721464 RDT721464 RNP721464 RXL721464 SHH721464 SRD721464 TAZ721464 TKV721464 TUR721464 UEN721464 UOJ721464 UYF721464 VIB721464 VRX721464 WBT721464 WLP721464 WVL721464 D787000 IZ787000 SV787000 ACR787000 AMN787000 AWJ787000 BGF787000 BQB787000 BZX787000 CJT787000 CTP787000 DDL787000 DNH787000 DXD787000 EGZ787000 EQV787000 FAR787000 FKN787000 FUJ787000 GEF787000 GOB787000 GXX787000 HHT787000 HRP787000 IBL787000 ILH787000 IVD787000 JEZ787000 JOV787000 JYR787000 KIN787000 KSJ787000 LCF787000 LMB787000 LVX787000 MFT787000 MPP787000 MZL787000 NJH787000 NTD787000 OCZ787000 OMV787000 OWR787000 PGN787000 PQJ787000 QAF787000 QKB787000 QTX787000 RDT787000 RNP787000 RXL787000 SHH787000 SRD787000 TAZ787000 TKV787000 TUR787000 UEN787000 UOJ787000 UYF787000 VIB787000 VRX787000 WBT787000 WLP787000 WVL787000 D852536 IZ852536 SV852536 ACR852536 AMN852536 AWJ852536 BGF852536 BQB852536 BZX852536 CJT852536 CTP852536 DDL852536 DNH852536 DXD852536 EGZ852536 EQV852536 FAR852536 FKN852536 FUJ852536 GEF852536 GOB852536 GXX852536 HHT852536 HRP852536 IBL852536 ILH852536 IVD852536 JEZ852536 JOV852536 JYR852536 KIN852536 KSJ852536 LCF852536 LMB852536 LVX852536 MFT852536 MPP852536 MZL852536 NJH852536 NTD852536 OCZ852536 OMV852536 OWR852536 PGN852536 PQJ852536 QAF852536 QKB852536 QTX852536 RDT852536 RNP852536 RXL852536 SHH852536 SRD852536 TAZ852536 TKV852536 TUR852536 UEN852536 UOJ852536 UYF852536 VIB852536 VRX852536 WBT852536 WLP852536 WVL852536 D918072 IZ918072 SV918072 ACR918072 AMN918072 AWJ918072 BGF918072 BQB918072 BZX918072 CJT918072 CTP918072 DDL918072 DNH918072 DXD918072 EGZ918072 EQV918072 FAR918072 FKN918072 FUJ918072 GEF918072 GOB918072 GXX918072 HHT918072 HRP918072 IBL918072 ILH918072 IVD918072 JEZ918072 JOV918072 JYR918072 KIN918072 KSJ918072 LCF918072 LMB918072 LVX918072 MFT918072 MPP918072 MZL918072 NJH918072 NTD918072 OCZ918072 OMV918072 OWR918072 PGN918072 PQJ918072 QAF918072 QKB918072 QTX918072 RDT918072 RNP918072 RXL918072 SHH918072 SRD918072 TAZ918072 TKV918072 TUR918072 UEN918072 UOJ918072 UYF918072 VIB918072 VRX918072 WBT918072 WLP918072 WVL918072 D983608 IZ983608 SV983608 ACR983608 AMN983608 AWJ983608 BGF983608 BQB983608 BZX983608 CJT983608 CTP983608 DDL983608 DNH983608 DXD983608 EGZ983608 EQV983608 FAR983608 FKN983608 FUJ983608 GEF983608 GOB983608 GXX983608 HHT983608 HRP983608 IBL983608 ILH983608 IVD983608 JEZ983608 JOV983608 JYR983608 KIN983608 KSJ983608 LCF983608 LMB983608 LVX983608 MFT983608 MPP983608 MZL983608 NJH983608 NTD983608 OCZ983608 OMV983608 OWR983608 PGN983608 PQJ983608 QAF983608 QKB983608 QTX983608 RDT983608 RNP983608 RXL983608 SHH983608 SRD983608 TAZ983608 TKV983608 TUR983608 UEN983608 UOJ983608 UYF983608 VIB983608 VRX983608 WBT983608 WLP983608 WVL983608 D477 IZ477 SV477 ACR477 AMN477 AWJ477 BGF477 BQB477 BZX477 CJT477 CTP477 DDL477 DNH477 DXD477 EGZ477 EQV477 FAR477 FKN477 FUJ477 GEF477 GOB477 GXX477 HHT477 HRP477 IBL477 ILH477 IVD477 JEZ477 JOV477 JYR477 KIN477 KSJ477 LCF477 LMB477 LVX477 MFT477 MPP477 MZL477 NJH477 NTD477 OCZ477 OMV477 OWR477 PGN477 PQJ477 QAF477 QKB477 QTX477 RDT477 RNP477 RXL477 SHH477 SRD477 TAZ477 TKV477 TUR477 UEN477 UOJ477 UYF477 VIB477 VRX477 WBT477 WLP477 WVL477 D66016 IZ66016 SV66016 ACR66016 AMN66016 AWJ66016 BGF66016 BQB66016 BZX66016 CJT66016 CTP66016 DDL66016 DNH66016 DXD66016 EGZ66016 EQV66016 FAR66016 FKN66016 FUJ66016 GEF66016 GOB66016 GXX66016 HHT66016 HRP66016 IBL66016 ILH66016 IVD66016 JEZ66016 JOV66016 JYR66016 KIN66016 KSJ66016 LCF66016 LMB66016 LVX66016 MFT66016 MPP66016 MZL66016 NJH66016 NTD66016 OCZ66016 OMV66016 OWR66016 PGN66016 PQJ66016 QAF66016 QKB66016 QTX66016 RDT66016 RNP66016 RXL66016 SHH66016 SRD66016 TAZ66016 TKV66016 TUR66016 UEN66016 UOJ66016 UYF66016 VIB66016 VRX66016 WBT66016 WLP66016 WVL66016 D131552 IZ131552 SV131552 ACR131552 AMN131552 AWJ131552 BGF131552 BQB131552 BZX131552 CJT131552 CTP131552 DDL131552 DNH131552 DXD131552 EGZ131552 EQV131552 FAR131552 FKN131552 FUJ131552 GEF131552 GOB131552 GXX131552 HHT131552 HRP131552 IBL131552 ILH131552 IVD131552 JEZ131552 JOV131552 JYR131552 KIN131552 KSJ131552 LCF131552 LMB131552 LVX131552 MFT131552 MPP131552 MZL131552 NJH131552 NTD131552 OCZ131552 OMV131552 OWR131552 PGN131552 PQJ131552 QAF131552 QKB131552 QTX131552 RDT131552 RNP131552 RXL131552 SHH131552 SRD131552 TAZ131552 TKV131552 TUR131552 UEN131552 UOJ131552 UYF131552 VIB131552 VRX131552 WBT131552 WLP131552 WVL131552 D197088 IZ197088 SV197088 ACR197088 AMN197088 AWJ197088 BGF197088 BQB197088 BZX197088 CJT197088 CTP197088 DDL197088 DNH197088 DXD197088 EGZ197088 EQV197088 FAR197088 FKN197088 FUJ197088 GEF197088 GOB197088 GXX197088 HHT197088 HRP197088 IBL197088 ILH197088 IVD197088 JEZ197088 JOV197088 JYR197088 KIN197088 KSJ197088 LCF197088 LMB197088 LVX197088 MFT197088 MPP197088 MZL197088 NJH197088 NTD197088 OCZ197088 OMV197088 OWR197088 PGN197088 PQJ197088 QAF197088 QKB197088 QTX197088 RDT197088 RNP197088 RXL197088 SHH197088 SRD197088 TAZ197088 TKV197088 TUR197088 UEN197088 UOJ197088 UYF197088 VIB197088 VRX197088 WBT197088 WLP197088 WVL197088 D262624 IZ262624 SV262624 ACR262624 AMN262624 AWJ262624 BGF262624 BQB262624 BZX262624 CJT262624 CTP262624 DDL262624 DNH262624 DXD262624 EGZ262624 EQV262624 FAR262624 FKN262624 FUJ262624 GEF262624 GOB262624 GXX262624 HHT262624 HRP262624 IBL262624 ILH262624 IVD262624 JEZ262624 JOV262624 JYR262624 KIN262624 KSJ262624 LCF262624 LMB262624 LVX262624 MFT262624 MPP262624 MZL262624 NJH262624 NTD262624 OCZ262624 OMV262624 OWR262624 PGN262624 PQJ262624 QAF262624 QKB262624 QTX262624 RDT262624 RNP262624 RXL262624 SHH262624 SRD262624 TAZ262624 TKV262624 TUR262624 UEN262624 UOJ262624 UYF262624 VIB262624 VRX262624 WBT262624 WLP262624 WVL262624 D328160 IZ328160 SV328160 ACR328160 AMN328160 AWJ328160 BGF328160 BQB328160 BZX328160 CJT328160 CTP328160 DDL328160 DNH328160 DXD328160 EGZ328160 EQV328160 FAR328160 FKN328160 FUJ328160 GEF328160 GOB328160 GXX328160 HHT328160 HRP328160 IBL328160 ILH328160 IVD328160 JEZ328160 JOV328160 JYR328160 KIN328160 KSJ328160 LCF328160 LMB328160 LVX328160 MFT328160 MPP328160 MZL328160 NJH328160 NTD328160 OCZ328160 OMV328160 OWR328160 PGN328160 PQJ328160 QAF328160 QKB328160 QTX328160 RDT328160 RNP328160 RXL328160 SHH328160 SRD328160 TAZ328160 TKV328160 TUR328160 UEN328160 UOJ328160 UYF328160 VIB328160 VRX328160 WBT328160 WLP328160 WVL328160 D393696 IZ393696 SV393696 ACR393696 AMN393696 AWJ393696 BGF393696 BQB393696 BZX393696 CJT393696 CTP393696 DDL393696 DNH393696 DXD393696 EGZ393696 EQV393696 FAR393696 FKN393696 FUJ393696 GEF393696 GOB393696 GXX393696 HHT393696 HRP393696 IBL393696 ILH393696 IVD393696 JEZ393696 JOV393696 JYR393696 KIN393696 KSJ393696 LCF393696 LMB393696 LVX393696 MFT393696 MPP393696 MZL393696 NJH393696 NTD393696 OCZ393696 OMV393696 OWR393696 PGN393696 PQJ393696 QAF393696 QKB393696 QTX393696 RDT393696 RNP393696 RXL393696 SHH393696 SRD393696 TAZ393696 TKV393696 TUR393696 UEN393696 UOJ393696 UYF393696 VIB393696 VRX393696 WBT393696 WLP393696 WVL393696 D459232 IZ459232 SV459232 ACR459232 AMN459232 AWJ459232 BGF459232 BQB459232 BZX459232 CJT459232 CTP459232 DDL459232 DNH459232 DXD459232 EGZ459232 EQV459232 FAR459232 FKN459232 FUJ459232 GEF459232 GOB459232 GXX459232 HHT459232 HRP459232 IBL459232 ILH459232 IVD459232 JEZ459232 JOV459232 JYR459232 KIN459232 KSJ459232 LCF459232 LMB459232 LVX459232 MFT459232 MPP459232 MZL459232 NJH459232 NTD459232 OCZ459232 OMV459232 OWR459232 PGN459232 PQJ459232 QAF459232 QKB459232 QTX459232 RDT459232 RNP459232 RXL459232 SHH459232 SRD459232 TAZ459232 TKV459232 TUR459232 UEN459232 UOJ459232 UYF459232 VIB459232 VRX459232 WBT459232 WLP459232 WVL459232 D524768 IZ524768 SV524768 ACR524768 AMN524768 AWJ524768 BGF524768 BQB524768 BZX524768 CJT524768 CTP524768 DDL524768 DNH524768 DXD524768 EGZ524768 EQV524768 FAR524768 FKN524768 FUJ524768 GEF524768 GOB524768 GXX524768 HHT524768 HRP524768 IBL524768 ILH524768 IVD524768 JEZ524768 JOV524768 JYR524768 KIN524768 KSJ524768 LCF524768 LMB524768 LVX524768 MFT524768 MPP524768 MZL524768 NJH524768 NTD524768 OCZ524768 OMV524768 OWR524768 PGN524768 PQJ524768 QAF524768 QKB524768 QTX524768 RDT524768 RNP524768 RXL524768 SHH524768 SRD524768 TAZ524768 TKV524768 TUR524768 UEN524768 UOJ524768 UYF524768 VIB524768 VRX524768 WBT524768 WLP524768 WVL524768 D590304 IZ590304 SV590304 ACR590304 AMN590304 AWJ590304 BGF590304 BQB590304 BZX590304 CJT590304 CTP590304 DDL590304 DNH590304 DXD590304 EGZ590304 EQV590304 FAR590304 FKN590304 FUJ590304 GEF590304 GOB590304 GXX590304 HHT590304 HRP590304 IBL590304 ILH590304 IVD590304 JEZ590304 JOV590304 JYR590304 KIN590304 KSJ590304 LCF590304 LMB590304 LVX590304 MFT590304 MPP590304 MZL590304 NJH590304 NTD590304 OCZ590304 OMV590304 OWR590304 PGN590304 PQJ590304 QAF590304 QKB590304 QTX590304 RDT590304 RNP590304 RXL590304 SHH590304 SRD590304 TAZ590304 TKV590304 TUR590304 UEN590304 UOJ590304 UYF590304 VIB590304 VRX590304 WBT590304 WLP590304 WVL590304 D655840 IZ655840 SV655840 ACR655840 AMN655840 AWJ655840 BGF655840 BQB655840 BZX655840 CJT655840 CTP655840 DDL655840 DNH655840 DXD655840 EGZ655840 EQV655840 FAR655840 FKN655840 FUJ655840 GEF655840 GOB655840 GXX655840 HHT655840 HRP655840 IBL655840 ILH655840 IVD655840 JEZ655840 JOV655840 JYR655840 KIN655840 KSJ655840 LCF655840 LMB655840 LVX655840 MFT655840 MPP655840 MZL655840 NJH655840 NTD655840 OCZ655840 OMV655840 OWR655840 PGN655840 PQJ655840 QAF655840 QKB655840 QTX655840 RDT655840 RNP655840 RXL655840 SHH655840 SRD655840 TAZ655840 TKV655840 TUR655840 UEN655840 UOJ655840 UYF655840 VIB655840 VRX655840 WBT655840 WLP655840 WVL655840 D721376 IZ721376 SV721376 ACR721376 AMN721376 AWJ721376 BGF721376 BQB721376 BZX721376 CJT721376 CTP721376 DDL721376 DNH721376 DXD721376 EGZ721376 EQV721376 FAR721376 FKN721376 FUJ721376 GEF721376 GOB721376 GXX721376 HHT721376 HRP721376 IBL721376 ILH721376 IVD721376 JEZ721376 JOV721376 JYR721376 KIN721376 KSJ721376 LCF721376 LMB721376 LVX721376 MFT721376 MPP721376 MZL721376 NJH721376 NTD721376 OCZ721376 OMV721376 OWR721376 PGN721376 PQJ721376 QAF721376 QKB721376 QTX721376 RDT721376 RNP721376 RXL721376 SHH721376 SRD721376 TAZ721376 TKV721376 TUR721376 UEN721376 UOJ721376 UYF721376 VIB721376 VRX721376 WBT721376 WLP721376 WVL721376 D786912 IZ786912 SV786912 ACR786912 AMN786912 AWJ786912 BGF786912 BQB786912 BZX786912 CJT786912 CTP786912 DDL786912 DNH786912 DXD786912 EGZ786912 EQV786912 FAR786912 FKN786912 FUJ786912 GEF786912 GOB786912 GXX786912 HHT786912 HRP786912 IBL786912 ILH786912 IVD786912 JEZ786912 JOV786912 JYR786912 KIN786912 KSJ786912 LCF786912 LMB786912 LVX786912 MFT786912 MPP786912 MZL786912 NJH786912 NTD786912 OCZ786912 OMV786912 OWR786912 PGN786912 PQJ786912 QAF786912 QKB786912 QTX786912 RDT786912 RNP786912 RXL786912 SHH786912 SRD786912 TAZ786912 TKV786912 TUR786912 UEN786912 UOJ786912 UYF786912 VIB786912 VRX786912 WBT786912 WLP786912 WVL786912 D852448 IZ852448 SV852448 ACR852448 AMN852448 AWJ852448 BGF852448 BQB852448 BZX852448 CJT852448 CTP852448 DDL852448 DNH852448 DXD852448 EGZ852448 EQV852448 FAR852448 FKN852448 FUJ852448 GEF852448 GOB852448 GXX852448 HHT852448 HRP852448 IBL852448 ILH852448 IVD852448 JEZ852448 JOV852448 JYR852448 KIN852448 KSJ852448 LCF852448 LMB852448 LVX852448 MFT852448 MPP852448 MZL852448 NJH852448 NTD852448 OCZ852448 OMV852448 OWR852448 PGN852448 PQJ852448 QAF852448 QKB852448 QTX852448 RDT852448 RNP852448 RXL852448 SHH852448 SRD852448 TAZ852448 TKV852448 TUR852448 UEN852448 UOJ852448 UYF852448 VIB852448 VRX852448 WBT852448 WLP852448 WVL852448 D917984 IZ917984 SV917984 ACR917984 AMN917984 AWJ917984 BGF917984 BQB917984 BZX917984 CJT917984 CTP917984 DDL917984 DNH917984 DXD917984 EGZ917984 EQV917984 FAR917984 FKN917984 FUJ917984 GEF917984 GOB917984 GXX917984 HHT917984 HRP917984 IBL917984 ILH917984 IVD917984 JEZ917984 JOV917984 JYR917984 KIN917984 KSJ917984 LCF917984 LMB917984 LVX917984 MFT917984 MPP917984 MZL917984 NJH917984 NTD917984 OCZ917984 OMV917984 OWR917984 PGN917984 PQJ917984 QAF917984 QKB917984 QTX917984 RDT917984 RNP917984 RXL917984 SHH917984 SRD917984 TAZ917984 TKV917984 TUR917984 UEN917984 UOJ917984 UYF917984 VIB917984 VRX917984 WBT917984 WLP917984 WVL917984 D983520 IZ983520 SV983520 ACR983520 AMN983520 AWJ983520 BGF983520 BQB983520 BZX983520 CJT983520 CTP983520 DDL983520 DNH983520 DXD983520 EGZ983520 EQV983520 FAR983520 FKN983520 FUJ983520 GEF983520 GOB983520 GXX983520 HHT983520 HRP983520 IBL983520 ILH983520 IVD983520 JEZ983520 JOV983520 JYR983520 KIN983520 KSJ983520 LCF983520 LMB983520 LVX983520 MFT983520 MPP983520 MZL983520 NJH983520 NTD983520 OCZ983520 OMV983520 OWR983520 PGN983520 PQJ983520 QAF983520 QKB983520 QTX983520 RDT983520 RNP983520 RXL983520 SHH983520 SRD983520 TAZ983520 TKV983520 TUR983520 UEN983520 UOJ983520 UYF983520 VIB983520 VRX983520 WBT983520 WLP983520 WVL983520 D394 IZ394 SV394 ACR394 AMN394 AWJ394 BGF394 BQB394 BZX394 CJT394 CTP394 DDL394 DNH394 DXD394 EGZ394 EQV394 FAR394 FKN394 FUJ394 GEF394 GOB394 GXX394 HHT394 HRP394 IBL394 ILH394 IVD394 JEZ394 JOV394 JYR394 KIN394 KSJ394 LCF394 LMB394 LVX394 MFT394 MPP394 MZL394 NJH394 NTD394 OCZ394 OMV394 OWR394 PGN394 PQJ394 QAF394 QKB394 QTX394 RDT394 RNP394 RXL394 SHH394 SRD394 TAZ394 TKV394 TUR394 UEN394 UOJ394 UYF394 VIB394 VRX394 WBT394 WLP394 WVL394 D65933 IZ65933 SV65933 ACR65933 AMN65933 AWJ65933 BGF65933 BQB65933 BZX65933 CJT65933 CTP65933 DDL65933 DNH65933 DXD65933 EGZ65933 EQV65933 FAR65933 FKN65933 FUJ65933 GEF65933 GOB65933 GXX65933 HHT65933 HRP65933 IBL65933 ILH65933 IVD65933 JEZ65933 JOV65933 JYR65933 KIN65933 KSJ65933 LCF65933 LMB65933 LVX65933 MFT65933 MPP65933 MZL65933 NJH65933 NTD65933 OCZ65933 OMV65933 OWR65933 PGN65933 PQJ65933 QAF65933 QKB65933 QTX65933 RDT65933 RNP65933 RXL65933 SHH65933 SRD65933 TAZ65933 TKV65933 TUR65933 UEN65933 UOJ65933 UYF65933 VIB65933 VRX65933 WBT65933 WLP65933 WVL65933 D131469 IZ131469 SV131469 ACR131469 AMN131469 AWJ131469 BGF131469 BQB131469 BZX131469 CJT131469 CTP131469 DDL131469 DNH131469 DXD131469 EGZ131469 EQV131469 FAR131469 FKN131469 FUJ131469 GEF131469 GOB131469 GXX131469 HHT131469 HRP131469 IBL131469 ILH131469 IVD131469 JEZ131469 JOV131469 JYR131469 KIN131469 KSJ131469 LCF131469 LMB131469 LVX131469 MFT131469 MPP131469 MZL131469 NJH131469 NTD131469 OCZ131469 OMV131469 OWR131469 PGN131469 PQJ131469 QAF131469 QKB131469 QTX131469 RDT131469 RNP131469 RXL131469 SHH131469 SRD131469 TAZ131469 TKV131469 TUR131469 UEN131469 UOJ131469 UYF131469 VIB131469 VRX131469 WBT131469 WLP131469 WVL131469 D197005 IZ197005 SV197005 ACR197005 AMN197005 AWJ197005 BGF197005 BQB197005 BZX197005 CJT197005 CTP197005 DDL197005 DNH197005 DXD197005 EGZ197005 EQV197005 FAR197005 FKN197005 FUJ197005 GEF197005 GOB197005 GXX197005 HHT197005 HRP197005 IBL197005 ILH197005 IVD197005 JEZ197005 JOV197005 JYR197005 KIN197005 KSJ197005 LCF197005 LMB197005 LVX197005 MFT197005 MPP197005 MZL197005 NJH197005 NTD197005 OCZ197005 OMV197005 OWR197005 PGN197005 PQJ197005 QAF197005 QKB197005 QTX197005 RDT197005 RNP197005 RXL197005 SHH197005 SRD197005 TAZ197005 TKV197005 TUR197005 UEN197005 UOJ197005 UYF197005 VIB197005 VRX197005 WBT197005 WLP197005 WVL197005 D262541 IZ262541 SV262541 ACR262541 AMN262541 AWJ262541 BGF262541 BQB262541 BZX262541 CJT262541 CTP262541 DDL262541 DNH262541 DXD262541 EGZ262541 EQV262541 FAR262541 FKN262541 FUJ262541 GEF262541 GOB262541 GXX262541 HHT262541 HRP262541 IBL262541 ILH262541 IVD262541 JEZ262541 JOV262541 JYR262541 KIN262541 KSJ262541 LCF262541 LMB262541 LVX262541 MFT262541 MPP262541 MZL262541 NJH262541 NTD262541 OCZ262541 OMV262541 OWR262541 PGN262541 PQJ262541 QAF262541 QKB262541 QTX262541 RDT262541 RNP262541 RXL262541 SHH262541 SRD262541 TAZ262541 TKV262541 TUR262541 UEN262541 UOJ262541 UYF262541 VIB262541 VRX262541 WBT262541 WLP262541 WVL262541 D328077 IZ328077 SV328077 ACR328077 AMN328077 AWJ328077 BGF328077 BQB328077 BZX328077 CJT328077 CTP328077 DDL328077 DNH328077 DXD328077 EGZ328077 EQV328077 FAR328077 FKN328077 FUJ328077 GEF328077 GOB328077 GXX328077 HHT328077 HRP328077 IBL328077 ILH328077 IVD328077 JEZ328077 JOV328077 JYR328077 KIN328077 KSJ328077 LCF328077 LMB328077 LVX328077 MFT328077 MPP328077 MZL328077 NJH328077 NTD328077 OCZ328077 OMV328077 OWR328077 PGN328077 PQJ328077 QAF328077 QKB328077 QTX328077 RDT328077 RNP328077 RXL328077 SHH328077 SRD328077 TAZ328077 TKV328077 TUR328077 UEN328077 UOJ328077 UYF328077 VIB328077 VRX328077 WBT328077 WLP328077 WVL328077 D393613 IZ393613 SV393613 ACR393613 AMN393613 AWJ393613 BGF393613 BQB393613 BZX393613 CJT393613 CTP393613 DDL393613 DNH393613 DXD393613 EGZ393613 EQV393613 FAR393613 FKN393613 FUJ393613 GEF393613 GOB393613 GXX393613 HHT393613 HRP393613 IBL393613 ILH393613 IVD393613 JEZ393613 JOV393613 JYR393613 KIN393613 KSJ393613 LCF393613 LMB393613 LVX393613 MFT393613 MPP393613 MZL393613 NJH393613 NTD393613 OCZ393613 OMV393613 OWR393613 PGN393613 PQJ393613 QAF393613 QKB393613 QTX393613 RDT393613 RNP393613 RXL393613 SHH393613 SRD393613 TAZ393613 TKV393613 TUR393613 UEN393613 UOJ393613 UYF393613 VIB393613 VRX393613 WBT393613 WLP393613 WVL393613 D459149 IZ459149 SV459149 ACR459149 AMN459149 AWJ459149 BGF459149 BQB459149 BZX459149 CJT459149 CTP459149 DDL459149 DNH459149 DXD459149 EGZ459149 EQV459149 FAR459149 FKN459149 FUJ459149 GEF459149 GOB459149 GXX459149 HHT459149 HRP459149 IBL459149 ILH459149 IVD459149 JEZ459149 JOV459149 JYR459149 KIN459149 KSJ459149 LCF459149 LMB459149 LVX459149 MFT459149 MPP459149 MZL459149 NJH459149 NTD459149 OCZ459149 OMV459149 OWR459149 PGN459149 PQJ459149 QAF459149 QKB459149 QTX459149 RDT459149 RNP459149 RXL459149 SHH459149 SRD459149 TAZ459149 TKV459149 TUR459149 UEN459149 UOJ459149 UYF459149 VIB459149 VRX459149 WBT459149 WLP459149 WVL459149 D524685 IZ524685 SV524685 ACR524685 AMN524685 AWJ524685 BGF524685 BQB524685 BZX524685 CJT524685 CTP524685 DDL524685 DNH524685 DXD524685 EGZ524685 EQV524685 FAR524685 FKN524685 FUJ524685 GEF524685 GOB524685 GXX524685 HHT524685 HRP524685 IBL524685 ILH524685 IVD524685 JEZ524685 JOV524685 JYR524685 KIN524685 KSJ524685 LCF524685 LMB524685 LVX524685 MFT524685 MPP524685 MZL524685 NJH524685 NTD524685 OCZ524685 OMV524685 OWR524685 PGN524685 PQJ524685 QAF524685 QKB524685 QTX524685 RDT524685 RNP524685 RXL524685 SHH524685 SRD524685 TAZ524685 TKV524685 TUR524685 UEN524685 UOJ524685 UYF524685 VIB524685 VRX524685 WBT524685 WLP524685 WVL524685 D590221 IZ590221 SV590221 ACR590221 AMN590221 AWJ590221 BGF590221 BQB590221 BZX590221 CJT590221 CTP590221 DDL590221 DNH590221 DXD590221 EGZ590221 EQV590221 FAR590221 FKN590221 FUJ590221 GEF590221 GOB590221 GXX590221 HHT590221 HRP590221 IBL590221 ILH590221 IVD590221 JEZ590221 JOV590221 JYR590221 KIN590221 KSJ590221 LCF590221 LMB590221 LVX590221 MFT590221 MPP590221 MZL590221 NJH590221 NTD590221 OCZ590221 OMV590221 OWR590221 PGN590221 PQJ590221 QAF590221 QKB590221 QTX590221 RDT590221 RNP590221 RXL590221 SHH590221 SRD590221 TAZ590221 TKV590221 TUR590221 UEN590221 UOJ590221 UYF590221 VIB590221 VRX590221 WBT590221 WLP590221 WVL590221 D655757 IZ655757 SV655757 ACR655757 AMN655757 AWJ655757 BGF655757 BQB655757 BZX655757 CJT655757 CTP655757 DDL655757 DNH655757 DXD655757 EGZ655757 EQV655757 FAR655757 FKN655757 FUJ655757 GEF655757 GOB655757 GXX655757 HHT655757 HRP655757 IBL655757 ILH655757 IVD655757 JEZ655757 JOV655757 JYR655757 KIN655757 KSJ655757 LCF655757 LMB655757 LVX655757 MFT655757 MPP655757 MZL655757 NJH655757 NTD655757 OCZ655757 OMV655757 OWR655757 PGN655757 PQJ655757 QAF655757 QKB655757 QTX655757 RDT655757 RNP655757 RXL655757 SHH655757 SRD655757 TAZ655757 TKV655757 TUR655757 UEN655757 UOJ655757 UYF655757 VIB655757 VRX655757 WBT655757 WLP655757 WVL655757 D721293 IZ721293 SV721293 ACR721293 AMN721293 AWJ721293 BGF721293 BQB721293 BZX721293 CJT721293 CTP721293 DDL721293 DNH721293 DXD721293 EGZ721293 EQV721293 FAR721293 FKN721293 FUJ721293 GEF721293 GOB721293 GXX721293 HHT721293 HRP721293 IBL721293 ILH721293 IVD721293 JEZ721293 JOV721293 JYR721293 KIN721293 KSJ721293 LCF721293 LMB721293 LVX721293 MFT721293 MPP721293 MZL721293 NJH721293 NTD721293 OCZ721293 OMV721293 OWR721293 PGN721293 PQJ721293 QAF721293 QKB721293 QTX721293 RDT721293 RNP721293 RXL721293 SHH721293 SRD721293 TAZ721293 TKV721293 TUR721293 UEN721293 UOJ721293 UYF721293 VIB721293 VRX721293 WBT721293 WLP721293 WVL721293 D786829 IZ786829 SV786829 ACR786829 AMN786829 AWJ786829 BGF786829 BQB786829 BZX786829 CJT786829 CTP786829 DDL786829 DNH786829 DXD786829 EGZ786829 EQV786829 FAR786829 FKN786829 FUJ786829 GEF786829 GOB786829 GXX786829 HHT786829 HRP786829 IBL786829 ILH786829 IVD786829 JEZ786829 JOV786829 JYR786829 KIN786829 KSJ786829 LCF786829 LMB786829 LVX786829 MFT786829 MPP786829 MZL786829 NJH786829 NTD786829 OCZ786829 OMV786829 OWR786829 PGN786829 PQJ786829 QAF786829 QKB786829 QTX786829 RDT786829 RNP786829 RXL786829 SHH786829 SRD786829 TAZ786829 TKV786829 TUR786829 UEN786829 UOJ786829 UYF786829 VIB786829 VRX786829 WBT786829 WLP786829 WVL786829 D852365 IZ852365 SV852365 ACR852365 AMN852365 AWJ852365 BGF852365 BQB852365 BZX852365 CJT852365 CTP852365 DDL852365 DNH852365 DXD852365 EGZ852365 EQV852365 FAR852365 FKN852365 FUJ852365 GEF852365 GOB852365 GXX852365 HHT852365 HRP852365 IBL852365 ILH852365 IVD852365 JEZ852365 JOV852365 JYR852365 KIN852365 KSJ852365 LCF852365 LMB852365 LVX852365 MFT852365 MPP852365 MZL852365 NJH852365 NTD852365 OCZ852365 OMV852365 OWR852365 PGN852365 PQJ852365 QAF852365 QKB852365 QTX852365 RDT852365 RNP852365 RXL852365 SHH852365 SRD852365 TAZ852365 TKV852365 TUR852365 UEN852365 UOJ852365 UYF852365 VIB852365 VRX852365 WBT852365 WLP852365 WVL852365 D917901 IZ917901 SV917901 ACR917901 AMN917901 AWJ917901 BGF917901 BQB917901 BZX917901 CJT917901 CTP917901 DDL917901 DNH917901 DXD917901 EGZ917901 EQV917901 FAR917901 FKN917901 FUJ917901 GEF917901 GOB917901 GXX917901 HHT917901 HRP917901 IBL917901 ILH917901 IVD917901 JEZ917901 JOV917901 JYR917901 KIN917901 KSJ917901 LCF917901 LMB917901 LVX917901 MFT917901 MPP917901 MZL917901 NJH917901 NTD917901 OCZ917901 OMV917901 OWR917901 PGN917901 PQJ917901 QAF917901 QKB917901 QTX917901 RDT917901 RNP917901 RXL917901 SHH917901 SRD917901 TAZ917901 TKV917901 TUR917901 UEN917901 UOJ917901 UYF917901 VIB917901 VRX917901 WBT917901 WLP917901 WVL917901 D983437 IZ983437 SV983437 ACR983437 AMN983437 AWJ983437 BGF983437 BQB983437 BZX983437 CJT983437 CTP983437 DDL983437 DNH983437 DXD983437 EGZ983437 EQV983437 FAR983437 FKN983437 FUJ983437 GEF983437 GOB983437 GXX983437 HHT983437 HRP983437 IBL983437 ILH983437 IVD983437 JEZ983437 JOV983437 JYR983437 KIN983437 KSJ983437 LCF983437 LMB983437 LVX983437 MFT983437 MPP983437 MZL983437 NJH983437 NTD983437 OCZ983437 OMV983437 OWR983437 PGN983437 PQJ983437 QAF983437 QKB983437 QTX983437 RDT983437 RNP983437 RXL983437 SHH983437 SRD983437 TAZ983437 TKV983437 TUR983437 UEN983437 UOJ983437 UYF983437 VIB983437 VRX983437 WBT983437 WLP983437 WVL983437 D275 IZ275 SV275 ACR275 AMN275 AWJ275 BGF275 BQB275 BZX275 CJT275 CTP275 DDL275 DNH275 DXD275 EGZ275 EQV275 FAR275 FKN275 FUJ275 GEF275 GOB275 GXX275 HHT275 HRP275 IBL275 ILH275 IVD275 JEZ275 JOV275 JYR275 KIN275 KSJ275 LCF275 LMB275 LVX275 MFT275 MPP275 MZL275 NJH275 NTD275 OCZ275 OMV275 OWR275 PGN275 PQJ275 QAF275 QKB275 QTX275 RDT275 RNP275 RXL275 SHH275 SRD275 TAZ275 TKV275 TUR275 UEN275 UOJ275 UYF275 VIB275 VRX275 WBT275 WLP275 WVL275 D65796 IZ65796 SV65796 ACR65796 AMN65796 AWJ65796 BGF65796 BQB65796 BZX65796 CJT65796 CTP65796 DDL65796 DNH65796 DXD65796 EGZ65796 EQV65796 FAR65796 FKN65796 FUJ65796 GEF65796 GOB65796 GXX65796 HHT65796 HRP65796 IBL65796 ILH65796 IVD65796 JEZ65796 JOV65796 JYR65796 KIN65796 KSJ65796 LCF65796 LMB65796 LVX65796 MFT65796 MPP65796 MZL65796 NJH65796 NTD65796 OCZ65796 OMV65796 OWR65796 PGN65796 PQJ65796 QAF65796 QKB65796 QTX65796 RDT65796 RNP65796 RXL65796 SHH65796 SRD65796 TAZ65796 TKV65796 TUR65796 UEN65796 UOJ65796 UYF65796 VIB65796 VRX65796 WBT65796 WLP65796 WVL65796 D131332 IZ131332 SV131332 ACR131332 AMN131332 AWJ131332 BGF131332 BQB131332 BZX131332 CJT131332 CTP131332 DDL131332 DNH131332 DXD131332 EGZ131332 EQV131332 FAR131332 FKN131332 FUJ131332 GEF131332 GOB131332 GXX131332 HHT131332 HRP131332 IBL131332 ILH131332 IVD131332 JEZ131332 JOV131332 JYR131332 KIN131332 KSJ131332 LCF131332 LMB131332 LVX131332 MFT131332 MPP131332 MZL131332 NJH131332 NTD131332 OCZ131332 OMV131332 OWR131332 PGN131332 PQJ131332 QAF131332 QKB131332 QTX131332 RDT131332 RNP131332 RXL131332 SHH131332 SRD131332 TAZ131332 TKV131332 TUR131332 UEN131332 UOJ131332 UYF131332 VIB131332 VRX131332 WBT131332 WLP131332 WVL131332 D196868 IZ196868 SV196868 ACR196868 AMN196868 AWJ196868 BGF196868 BQB196868 BZX196868 CJT196868 CTP196868 DDL196868 DNH196868 DXD196868 EGZ196868 EQV196868 FAR196868 FKN196868 FUJ196868 GEF196868 GOB196868 GXX196868 HHT196868 HRP196868 IBL196868 ILH196868 IVD196868 JEZ196868 JOV196868 JYR196868 KIN196868 KSJ196868 LCF196868 LMB196868 LVX196868 MFT196868 MPP196868 MZL196868 NJH196868 NTD196868 OCZ196868 OMV196868 OWR196868 PGN196868 PQJ196868 QAF196868 QKB196868 QTX196868 RDT196868 RNP196868 RXL196868 SHH196868 SRD196868 TAZ196868 TKV196868 TUR196868 UEN196868 UOJ196868 UYF196868 VIB196868 VRX196868 WBT196868 WLP196868 WVL196868 D262404 IZ262404 SV262404 ACR262404 AMN262404 AWJ262404 BGF262404 BQB262404 BZX262404 CJT262404 CTP262404 DDL262404 DNH262404 DXD262404 EGZ262404 EQV262404 FAR262404 FKN262404 FUJ262404 GEF262404 GOB262404 GXX262404 HHT262404 HRP262404 IBL262404 ILH262404 IVD262404 JEZ262404 JOV262404 JYR262404 KIN262404 KSJ262404 LCF262404 LMB262404 LVX262404 MFT262404 MPP262404 MZL262404 NJH262404 NTD262404 OCZ262404 OMV262404 OWR262404 PGN262404 PQJ262404 QAF262404 QKB262404 QTX262404 RDT262404 RNP262404 RXL262404 SHH262404 SRD262404 TAZ262404 TKV262404 TUR262404 UEN262404 UOJ262404 UYF262404 VIB262404 VRX262404 WBT262404 WLP262404 WVL262404 D327940 IZ327940 SV327940 ACR327940 AMN327940 AWJ327940 BGF327940 BQB327940 BZX327940 CJT327940 CTP327940 DDL327940 DNH327940 DXD327940 EGZ327940 EQV327940 FAR327940 FKN327940 FUJ327940 GEF327940 GOB327940 GXX327940 HHT327940 HRP327940 IBL327940 ILH327940 IVD327940 JEZ327940 JOV327940 JYR327940 KIN327940 KSJ327940 LCF327940 LMB327940 LVX327940 MFT327940 MPP327940 MZL327940 NJH327940 NTD327940 OCZ327940 OMV327940 OWR327940 PGN327940 PQJ327940 QAF327940 QKB327940 QTX327940 RDT327940 RNP327940 RXL327940 SHH327940 SRD327940 TAZ327940 TKV327940 TUR327940 UEN327940 UOJ327940 UYF327940 VIB327940 VRX327940 WBT327940 WLP327940 WVL327940 D393476 IZ393476 SV393476 ACR393476 AMN393476 AWJ393476 BGF393476 BQB393476 BZX393476 CJT393476 CTP393476 DDL393476 DNH393476 DXD393476 EGZ393476 EQV393476 FAR393476 FKN393476 FUJ393476 GEF393476 GOB393476 GXX393476 HHT393476 HRP393476 IBL393476 ILH393476 IVD393476 JEZ393476 JOV393476 JYR393476 KIN393476 KSJ393476 LCF393476 LMB393476 LVX393476 MFT393476 MPP393476 MZL393476 NJH393476 NTD393476 OCZ393476 OMV393476 OWR393476 PGN393476 PQJ393476 QAF393476 QKB393476 QTX393476 RDT393476 RNP393476 RXL393476 SHH393476 SRD393476 TAZ393476 TKV393476 TUR393476 UEN393476 UOJ393476 UYF393476 VIB393476 VRX393476 WBT393476 WLP393476 WVL393476 D459012 IZ459012 SV459012 ACR459012 AMN459012 AWJ459012 BGF459012 BQB459012 BZX459012 CJT459012 CTP459012 DDL459012 DNH459012 DXD459012 EGZ459012 EQV459012 FAR459012 FKN459012 FUJ459012 GEF459012 GOB459012 GXX459012 HHT459012 HRP459012 IBL459012 ILH459012 IVD459012 JEZ459012 JOV459012 JYR459012 KIN459012 KSJ459012 LCF459012 LMB459012 LVX459012 MFT459012 MPP459012 MZL459012 NJH459012 NTD459012 OCZ459012 OMV459012 OWR459012 PGN459012 PQJ459012 QAF459012 QKB459012 QTX459012 RDT459012 RNP459012 RXL459012 SHH459012 SRD459012 TAZ459012 TKV459012 TUR459012 UEN459012 UOJ459012 UYF459012 VIB459012 VRX459012 WBT459012 WLP459012 WVL459012 D524548 IZ524548 SV524548 ACR524548 AMN524548 AWJ524548 BGF524548 BQB524548 BZX524548 CJT524548 CTP524548 DDL524548 DNH524548 DXD524548 EGZ524548 EQV524548 FAR524548 FKN524548 FUJ524548 GEF524548 GOB524548 GXX524548 HHT524548 HRP524548 IBL524548 ILH524548 IVD524548 JEZ524548 JOV524548 JYR524548 KIN524548 KSJ524548 LCF524548 LMB524548 LVX524548 MFT524548 MPP524548 MZL524548 NJH524548 NTD524548 OCZ524548 OMV524548 OWR524548 PGN524548 PQJ524548 QAF524548 QKB524548 QTX524548 RDT524548 RNP524548 RXL524548 SHH524548 SRD524548 TAZ524548 TKV524548 TUR524548 UEN524548 UOJ524548 UYF524548 VIB524548 VRX524548 WBT524548 WLP524548 WVL524548 D590084 IZ590084 SV590084 ACR590084 AMN590084 AWJ590084 BGF590084 BQB590084 BZX590084 CJT590084 CTP590084 DDL590084 DNH590084 DXD590084 EGZ590084 EQV590084 FAR590084 FKN590084 FUJ590084 GEF590084 GOB590084 GXX590084 HHT590084 HRP590084 IBL590084 ILH590084 IVD590084 JEZ590084 JOV590084 JYR590084 KIN590084 KSJ590084 LCF590084 LMB590084 LVX590084 MFT590084 MPP590084 MZL590084 NJH590084 NTD590084 OCZ590084 OMV590084 OWR590084 PGN590084 PQJ590084 QAF590084 QKB590084 QTX590084 RDT590084 RNP590084 RXL590084 SHH590084 SRD590084 TAZ590084 TKV590084 TUR590084 UEN590084 UOJ590084 UYF590084 VIB590084 VRX590084 WBT590084 WLP590084 WVL590084 D655620 IZ655620 SV655620 ACR655620 AMN655620 AWJ655620 BGF655620 BQB655620 BZX655620 CJT655620 CTP655620 DDL655620 DNH655620 DXD655620 EGZ655620 EQV655620 FAR655620 FKN655620 FUJ655620 GEF655620 GOB655620 GXX655620 HHT655620 HRP655620 IBL655620 ILH655620 IVD655620 JEZ655620 JOV655620 JYR655620 KIN655620 KSJ655620 LCF655620 LMB655620 LVX655620 MFT655620 MPP655620 MZL655620 NJH655620 NTD655620 OCZ655620 OMV655620 OWR655620 PGN655620 PQJ655620 QAF655620 QKB655620 QTX655620 RDT655620 RNP655620 RXL655620 SHH655620 SRD655620 TAZ655620 TKV655620 TUR655620 UEN655620 UOJ655620 UYF655620 VIB655620 VRX655620 WBT655620 WLP655620 WVL655620 D721156 IZ721156 SV721156 ACR721156 AMN721156 AWJ721156 BGF721156 BQB721156 BZX721156 CJT721156 CTP721156 DDL721156 DNH721156 DXD721156 EGZ721156 EQV721156 FAR721156 FKN721156 FUJ721156 GEF721156 GOB721156 GXX721156 HHT721156 HRP721156 IBL721156 ILH721156 IVD721156 JEZ721156 JOV721156 JYR721156 KIN721156 KSJ721156 LCF721156 LMB721156 LVX721156 MFT721156 MPP721156 MZL721156 NJH721156 NTD721156 OCZ721156 OMV721156 OWR721156 PGN721156 PQJ721156 QAF721156 QKB721156 QTX721156 RDT721156 RNP721156 RXL721156 SHH721156 SRD721156 TAZ721156 TKV721156 TUR721156 UEN721156 UOJ721156 UYF721156 VIB721156 VRX721156 WBT721156 WLP721156 WVL721156 D786692 IZ786692 SV786692 ACR786692 AMN786692 AWJ786692 BGF786692 BQB786692 BZX786692 CJT786692 CTP786692 DDL786692 DNH786692 DXD786692 EGZ786692 EQV786692 FAR786692 FKN786692 FUJ786692 GEF786692 GOB786692 GXX786692 HHT786692 HRP786692 IBL786692 ILH786692 IVD786692 JEZ786692 JOV786692 JYR786692 KIN786692 KSJ786692 LCF786692 LMB786692 LVX786692 MFT786692 MPP786692 MZL786692 NJH786692 NTD786692 OCZ786692 OMV786692 OWR786692 PGN786692 PQJ786692 QAF786692 QKB786692 QTX786692 RDT786692 RNP786692 RXL786692 SHH786692 SRD786692 TAZ786692 TKV786692 TUR786692 UEN786692 UOJ786692 UYF786692 VIB786692 VRX786692 WBT786692 WLP786692 WVL786692 D852228 IZ852228 SV852228 ACR852228 AMN852228 AWJ852228 BGF852228 BQB852228 BZX852228 CJT852228 CTP852228 DDL852228 DNH852228 DXD852228 EGZ852228 EQV852228 FAR852228 FKN852228 FUJ852228 GEF852228 GOB852228 GXX852228 HHT852228 HRP852228 IBL852228 ILH852228 IVD852228 JEZ852228 JOV852228 JYR852228 KIN852228 KSJ852228 LCF852228 LMB852228 LVX852228 MFT852228 MPP852228 MZL852228 NJH852228 NTD852228 OCZ852228 OMV852228 OWR852228 PGN852228 PQJ852228 QAF852228 QKB852228 QTX852228 RDT852228 RNP852228 RXL852228 SHH852228 SRD852228 TAZ852228 TKV852228 TUR852228 UEN852228 UOJ852228 UYF852228 VIB852228 VRX852228 WBT852228 WLP852228 WVL852228 D917764 IZ917764 SV917764 ACR917764 AMN917764 AWJ917764 BGF917764 BQB917764 BZX917764 CJT917764 CTP917764 DDL917764 DNH917764 DXD917764 EGZ917764 EQV917764 FAR917764 FKN917764 FUJ917764 GEF917764 GOB917764 GXX917764 HHT917764 HRP917764 IBL917764 ILH917764 IVD917764 JEZ917764 JOV917764 JYR917764 KIN917764 KSJ917764 LCF917764 LMB917764 LVX917764 MFT917764 MPP917764 MZL917764 NJH917764 NTD917764 OCZ917764 OMV917764 OWR917764 PGN917764 PQJ917764 QAF917764 QKB917764 QTX917764 RDT917764 RNP917764 RXL917764 SHH917764 SRD917764 TAZ917764 TKV917764 TUR917764 UEN917764 UOJ917764 UYF917764 VIB917764 VRX917764 WBT917764 WLP917764 WVL917764 D983300 IZ983300 SV983300 ACR983300 AMN983300 AWJ983300 BGF983300 BQB983300 BZX983300 CJT983300 CTP983300 DDL983300 DNH983300 DXD983300 EGZ983300 EQV983300 FAR983300 FKN983300 FUJ983300 GEF983300 GOB983300 GXX983300 HHT983300 HRP983300 IBL983300 ILH983300 IVD983300 JEZ983300 JOV983300 JYR983300 KIN983300 KSJ983300 LCF983300 LMB983300 LVX983300 MFT983300 MPP983300 MZL983300 NJH983300 NTD983300 OCZ983300 OMV983300 OWR983300 PGN983300 PQJ983300 QAF983300 QKB983300 QTX983300 RDT983300 RNP983300 RXL983300 SHH983300 SRD983300 TAZ983300 TKV983300 TUR983300 UEN983300 UOJ983300 UYF983300 VIB983300 VRX983300 WBT983300 WLP983300 WVL983300 D131 IZ131 SV131 ACR131 AMN131 AWJ131 BGF131 BQB131 BZX131 CJT131 CTP131 DDL131 DNH131 DXD131 EGZ131 EQV131 FAR131 FKN131 FUJ131 GEF131 GOB131 GXX131 HHT131 HRP131 IBL131 ILH131 IVD131 JEZ131 JOV131 JYR131 KIN131 KSJ131 LCF131 LMB131 LVX131 MFT131 MPP131 MZL131 NJH131 NTD131 OCZ131 OMV131 OWR131 PGN131 PQJ131 QAF131 QKB131 QTX131 RDT131 RNP131 RXL131 SHH131 SRD131 TAZ131 TKV131 TUR131 UEN131 UOJ131 UYF131 VIB131 VRX131 WBT131 WLP131 WVL131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WVK983131:WVL983131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627:D65627 IY65627:IZ65627 SU65627:SV65627 ACQ65627:ACR65627 AMM65627:AMN65627 AWI65627:AWJ65627 BGE65627:BGF65627 BQA65627:BQB65627 BZW65627:BZX65627 CJS65627:CJT65627 CTO65627:CTP65627 DDK65627:DDL65627 DNG65627:DNH65627 DXC65627:DXD65627 EGY65627:EGZ65627 EQU65627:EQV65627 FAQ65627:FAR65627 FKM65627:FKN65627 FUI65627:FUJ65627 GEE65627:GEF65627 GOA65627:GOB65627 GXW65627:GXX65627 HHS65627:HHT65627 HRO65627:HRP65627 IBK65627:IBL65627 ILG65627:ILH65627 IVC65627:IVD65627 JEY65627:JEZ65627 JOU65627:JOV65627 JYQ65627:JYR65627 KIM65627:KIN65627 KSI65627:KSJ65627 LCE65627:LCF65627 LMA65627:LMB65627 LVW65627:LVX65627 MFS65627:MFT65627 MPO65627:MPP65627 MZK65627:MZL65627 NJG65627:NJH65627 NTC65627:NTD65627 OCY65627:OCZ65627 OMU65627:OMV65627 OWQ65627:OWR65627 PGM65627:PGN65627 PQI65627:PQJ65627 QAE65627:QAF65627 QKA65627:QKB65627 QTW65627:QTX65627 RDS65627:RDT65627 RNO65627:RNP65627 RXK65627:RXL65627 SHG65627:SHH65627 SRC65627:SRD65627 TAY65627:TAZ65627 TKU65627:TKV65627 TUQ65627:TUR65627 UEM65627:UEN65627 UOI65627:UOJ65627 UYE65627:UYF65627 VIA65627:VIB65627 VRW65627:VRX65627 WBS65627:WBT65627 WLO65627:WLP65627 WVK65627:WVL65627 C131163:D131163 IY131163:IZ131163 SU131163:SV131163 ACQ131163:ACR131163 AMM131163:AMN131163 AWI131163:AWJ131163 BGE131163:BGF131163 BQA131163:BQB131163 BZW131163:BZX131163 CJS131163:CJT131163 CTO131163:CTP131163 DDK131163:DDL131163 DNG131163:DNH131163 DXC131163:DXD131163 EGY131163:EGZ131163 EQU131163:EQV131163 FAQ131163:FAR131163 FKM131163:FKN131163 FUI131163:FUJ131163 GEE131163:GEF131163 GOA131163:GOB131163 GXW131163:GXX131163 HHS131163:HHT131163 HRO131163:HRP131163 IBK131163:IBL131163 ILG131163:ILH131163 IVC131163:IVD131163 JEY131163:JEZ131163 JOU131163:JOV131163 JYQ131163:JYR131163 KIM131163:KIN131163 KSI131163:KSJ131163 LCE131163:LCF131163 LMA131163:LMB131163 LVW131163:LVX131163 MFS131163:MFT131163 MPO131163:MPP131163 MZK131163:MZL131163 NJG131163:NJH131163 NTC131163:NTD131163 OCY131163:OCZ131163 OMU131163:OMV131163 OWQ131163:OWR131163 PGM131163:PGN131163 PQI131163:PQJ131163 QAE131163:QAF131163 QKA131163:QKB131163 QTW131163:QTX131163 RDS131163:RDT131163 RNO131163:RNP131163 RXK131163:RXL131163 SHG131163:SHH131163 SRC131163:SRD131163 TAY131163:TAZ131163 TKU131163:TKV131163 TUQ131163:TUR131163 UEM131163:UEN131163 UOI131163:UOJ131163 UYE131163:UYF131163 VIA131163:VIB131163 VRW131163:VRX131163 WBS131163:WBT131163 WLO131163:WLP131163 WVK131163:WVL131163 C196699:D196699 IY196699:IZ196699 SU196699:SV196699 ACQ196699:ACR196699 AMM196699:AMN196699 AWI196699:AWJ196699 BGE196699:BGF196699 BQA196699:BQB196699 BZW196699:BZX196699 CJS196699:CJT196699 CTO196699:CTP196699 DDK196699:DDL196699 DNG196699:DNH196699 DXC196699:DXD196699 EGY196699:EGZ196699 EQU196699:EQV196699 FAQ196699:FAR196699 FKM196699:FKN196699 FUI196699:FUJ196699 GEE196699:GEF196699 GOA196699:GOB196699 GXW196699:GXX196699 HHS196699:HHT196699 HRO196699:HRP196699 IBK196699:IBL196699 ILG196699:ILH196699 IVC196699:IVD196699 JEY196699:JEZ196699 JOU196699:JOV196699 JYQ196699:JYR196699 KIM196699:KIN196699 KSI196699:KSJ196699 LCE196699:LCF196699 LMA196699:LMB196699 LVW196699:LVX196699 MFS196699:MFT196699 MPO196699:MPP196699 MZK196699:MZL196699 NJG196699:NJH196699 NTC196699:NTD196699 OCY196699:OCZ196699 OMU196699:OMV196699 OWQ196699:OWR196699 PGM196699:PGN196699 PQI196699:PQJ196699 QAE196699:QAF196699 QKA196699:QKB196699 QTW196699:QTX196699 RDS196699:RDT196699 RNO196699:RNP196699 RXK196699:RXL196699 SHG196699:SHH196699 SRC196699:SRD196699 TAY196699:TAZ196699 TKU196699:TKV196699 TUQ196699:TUR196699 UEM196699:UEN196699 UOI196699:UOJ196699 UYE196699:UYF196699 VIA196699:VIB196699 VRW196699:VRX196699 WBS196699:WBT196699 WLO196699:WLP196699 WVK196699:WVL196699 C262235:D262235 IY262235:IZ262235 SU262235:SV262235 ACQ262235:ACR262235 AMM262235:AMN262235 AWI262235:AWJ262235 BGE262235:BGF262235 BQA262235:BQB262235 BZW262235:BZX262235 CJS262235:CJT262235 CTO262235:CTP262235 DDK262235:DDL262235 DNG262235:DNH262235 DXC262235:DXD262235 EGY262235:EGZ262235 EQU262235:EQV262235 FAQ262235:FAR262235 FKM262235:FKN262235 FUI262235:FUJ262235 GEE262235:GEF262235 GOA262235:GOB262235 GXW262235:GXX262235 HHS262235:HHT262235 HRO262235:HRP262235 IBK262235:IBL262235 ILG262235:ILH262235 IVC262235:IVD262235 JEY262235:JEZ262235 JOU262235:JOV262235 JYQ262235:JYR262235 KIM262235:KIN262235 KSI262235:KSJ262235 LCE262235:LCF262235 LMA262235:LMB262235 LVW262235:LVX262235 MFS262235:MFT262235 MPO262235:MPP262235 MZK262235:MZL262235 NJG262235:NJH262235 NTC262235:NTD262235 OCY262235:OCZ262235 OMU262235:OMV262235 OWQ262235:OWR262235 PGM262235:PGN262235 PQI262235:PQJ262235 QAE262235:QAF262235 QKA262235:QKB262235 QTW262235:QTX262235 RDS262235:RDT262235 RNO262235:RNP262235 RXK262235:RXL262235 SHG262235:SHH262235 SRC262235:SRD262235 TAY262235:TAZ262235 TKU262235:TKV262235 TUQ262235:TUR262235 UEM262235:UEN262235 UOI262235:UOJ262235 UYE262235:UYF262235 VIA262235:VIB262235 VRW262235:VRX262235 WBS262235:WBT262235 WLO262235:WLP262235 WVK262235:WVL262235 C327771:D327771 IY327771:IZ327771 SU327771:SV327771 ACQ327771:ACR327771 AMM327771:AMN327771 AWI327771:AWJ327771 BGE327771:BGF327771 BQA327771:BQB327771 BZW327771:BZX327771 CJS327771:CJT327771 CTO327771:CTP327771 DDK327771:DDL327771 DNG327771:DNH327771 DXC327771:DXD327771 EGY327771:EGZ327771 EQU327771:EQV327771 FAQ327771:FAR327771 FKM327771:FKN327771 FUI327771:FUJ327771 GEE327771:GEF327771 GOA327771:GOB327771 GXW327771:GXX327771 HHS327771:HHT327771 HRO327771:HRP327771 IBK327771:IBL327771 ILG327771:ILH327771 IVC327771:IVD327771 JEY327771:JEZ327771 JOU327771:JOV327771 JYQ327771:JYR327771 KIM327771:KIN327771 KSI327771:KSJ327771 LCE327771:LCF327771 LMA327771:LMB327771 LVW327771:LVX327771 MFS327771:MFT327771 MPO327771:MPP327771 MZK327771:MZL327771 NJG327771:NJH327771 NTC327771:NTD327771 OCY327771:OCZ327771 OMU327771:OMV327771 OWQ327771:OWR327771 PGM327771:PGN327771 PQI327771:PQJ327771 QAE327771:QAF327771 QKA327771:QKB327771 QTW327771:QTX327771 RDS327771:RDT327771 RNO327771:RNP327771 RXK327771:RXL327771 SHG327771:SHH327771 SRC327771:SRD327771 TAY327771:TAZ327771 TKU327771:TKV327771 TUQ327771:TUR327771 UEM327771:UEN327771 UOI327771:UOJ327771 UYE327771:UYF327771 VIA327771:VIB327771 VRW327771:VRX327771 WBS327771:WBT327771 WLO327771:WLP327771 WVK327771:WVL327771 C393307:D393307 IY393307:IZ393307 SU393307:SV393307 ACQ393307:ACR393307 AMM393307:AMN393307 AWI393307:AWJ393307 BGE393307:BGF393307 BQA393307:BQB393307 BZW393307:BZX393307 CJS393307:CJT393307 CTO393307:CTP393307 DDK393307:DDL393307 DNG393307:DNH393307 DXC393307:DXD393307 EGY393307:EGZ393307 EQU393307:EQV393307 FAQ393307:FAR393307 FKM393307:FKN393307 FUI393307:FUJ393307 GEE393307:GEF393307 GOA393307:GOB393307 GXW393307:GXX393307 HHS393307:HHT393307 HRO393307:HRP393307 IBK393307:IBL393307 ILG393307:ILH393307 IVC393307:IVD393307 JEY393307:JEZ393307 JOU393307:JOV393307 JYQ393307:JYR393307 KIM393307:KIN393307 KSI393307:KSJ393307 LCE393307:LCF393307 LMA393307:LMB393307 LVW393307:LVX393307 MFS393307:MFT393307 MPO393307:MPP393307 MZK393307:MZL393307 NJG393307:NJH393307 NTC393307:NTD393307 OCY393307:OCZ393307 OMU393307:OMV393307 OWQ393307:OWR393307 PGM393307:PGN393307 PQI393307:PQJ393307 QAE393307:QAF393307 QKA393307:QKB393307 QTW393307:QTX393307 RDS393307:RDT393307 RNO393307:RNP393307 RXK393307:RXL393307 SHG393307:SHH393307 SRC393307:SRD393307 TAY393307:TAZ393307 TKU393307:TKV393307 TUQ393307:TUR393307 UEM393307:UEN393307 UOI393307:UOJ393307 UYE393307:UYF393307 VIA393307:VIB393307 VRW393307:VRX393307 WBS393307:WBT393307 WLO393307:WLP393307 WVK393307:WVL393307 C458843:D458843 IY458843:IZ458843 SU458843:SV458843 ACQ458843:ACR458843 AMM458843:AMN458843 AWI458843:AWJ458843 BGE458843:BGF458843 BQA458843:BQB458843 BZW458843:BZX458843 CJS458843:CJT458843 CTO458843:CTP458843 DDK458843:DDL458843 DNG458843:DNH458843 DXC458843:DXD458843 EGY458843:EGZ458843 EQU458843:EQV458843 FAQ458843:FAR458843 FKM458843:FKN458843 FUI458843:FUJ458843 GEE458843:GEF458843 GOA458843:GOB458843 GXW458843:GXX458843 HHS458843:HHT458843 HRO458843:HRP458843 IBK458843:IBL458843 ILG458843:ILH458843 IVC458843:IVD458843 JEY458843:JEZ458843 JOU458843:JOV458843 JYQ458843:JYR458843 KIM458843:KIN458843 KSI458843:KSJ458843 LCE458843:LCF458843 LMA458843:LMB458843 LVW458843:LVX458843 MFS458843:MFT458843 MPO458843:MPP458843 MZK458843:MZL458843 NJG458843:NJH458843 NTC458843:NTD458843 OCY458843:OCZ458843 OMU458843:OMV458843 OWQ458843:OWR458843 PGM458843:PGN458843 PQI458843:PQJ458843 QAE458843:QAF458843 QKA458843:QKB458843 QTW458843:QTX458843 RDS458843:RDT458843 RNO458843:RNP458843 RXK458843:RXL458843 SHG458843:SHH458843 SRC458843:SRD458843 TAY458843:TAZ458843 TKU458843:TKV458843 TUQ458843:TUR458843 UEM458843:UEN458843 UOI458843:UOJ458843 UYE458843:UYF458843 VIA458843:VIB458843 VRW458843:VRX458843 WBS458843:WBT458843 WLO458843:WLP458843 WVK458843:WVL458843 C524379:D524379 IY524379:IZ524379 SU524379:SV524379 ACQ524379:ACR524379 AMM524379:AMN524379 AWI524379:AWJ524379 BGE524379:BGF524379 BQA524379:BQB524379 BZW524379:BZX524379 CJS524379:CJT524379 CTO524379:CTP524379 DDK524379:DDL524379 DNG524379:DNH524379 DXC524379:DXD524379 EGY524379:EGZ524379 EQU524379:EQV524379 FAQ524379:FAR524379 FKM524379:FKN524379 FUI524379:FUJ524379 GEE524379:GEF524379 GOA524379:GOB524379 GXW524379:GXX524379 HHS524379:HHT524379 HRO524379:HRP524379 IBK524379:IBL524379 ILG524379:ILH524379 IVC524379:IVD524379 JEY524379:JEZ524379 JOU524379:JOV524379 JYQ524379:JYR524379 KIM524379:KIN524379 KSI524379:KSJ524379 LCE524379:LCF524379 LMA524379:LMB524379 LVW524379:LVX524379 MFS524379:MFT524379 MPO524379:MPP524379 MZK524379:MZL524379 NJG524379:NJH524379 NTC524379:NTD524379 OCY524379:OCZ524379 OMU524379:OMV524379 OWQ524379:OWR524379 PGM524379:PGN524379 PQI524379:PQJ524379 QAE524379:QAF524379 QKA524379:QKB524379 QTW524379:QTX524379 RDS524379:RDT524379 RNO524379:RNP524379 RXK524379:RXL524379 SHG524379:SHH524379 SRC524379:SRD524379 TAY524379:TAZ524379 TKU524379:TKV524379 TUQ524379:TUR524379 UEM524379:UEN524379 UOI524379:UOJ524379 UYE524379:UYF524379 VIA524379:VIB524379 VRW524379:VRX524379 WBS524379:WBT524379 WLO524379:WLP524379 WVK524379:WVL524379 C589915:D589915 IY589915:IZ589915 SU589915:SV589915 ACQ589915:ACR589915 AMM589915:AMN589915 AWI589915:AWJ589915 BGE589915:BGF589915 BQA589915:BQB589915 BZW589915:BZX589915 CJS589915:CJT589915 CTO589915:CTP589915 DDK589915:DDL589915 DNG589915:DNH589915 DXC589915:DXD589915 EGY589915:EGZ589915 EQU589915:EQV589915 FAQ589915:FAR589915 FKM589915:FKN589915 FUI589915:FUJ589915 GEE589915:GEF589915 GOA589915:GOB589915 GXW589915:GXX589915 HHS589915:HHT589915 HRO589915:HRP589915 IBK589915:IBL589915 ILG589915:ILH589915 IVC589915:IVD589915 JEY589915:JEZ589915 JOU589915:JOV589915 JYQ589915:JYR589915 KIM589915:KIN589915 KSI589915:KSJ589915 LCE589915:LCF589915 LMA589915:LMB589915 LVW589915:LVX589915 MFS589915:MFT589915 MPO589915:MPP589915 MZK589915:MZL589915 NJG589915:NJH589915 NTC589915:NTD589915 OCY589915:OCZ589915 OMU589915:OMV589915 OWQ589915:OWR589915 PGM589915:PGN589915 PQI589915:PQJ589915 QAE589915:QAF589915 QKA589915:QKB589915 QTW589915:QTX589915 RDS589915:RDT589915 RNO589915:RNP589915 RXK589915:RXL589915 SHG589915:SHH589915 SRC589915:SRD589915 TAY589915:TAZ589915 TKU589915:TKV589915 TUQ589915:TUR589915 UEM589915:UEN589915 UOI589915:UOJ589915 UYE589915:UYF589915 VIA589915:VIB589915 VRW589915:VRX589915 WBS589915:WBT589915 WLO589915:WLP589915 WVK589915:WVL589915 C655451:D655451 IY655451:IZ655451 SU655451:SV655451 ACQ655451:ACR655451 AMM655451:AMN655451 AWI655451:AWJ655451 BGE655451:BGF655451 BQA655451:BQB655451 BZW655451:BZX655451 CJS655451:CJT655451 CTO655451:CTP655451 DDK655451:DDL655451 DNG655451:DNH655451 DXC655451:DXD655451 EGY655451:EGZ655451 EQU655451:EQV655451 FAQ655451:FAR655451 FKM655451:FKN655451 FUI655451:FUJ655451 GEE655451:GEF655451 GOA655451:GOB655451 GXW655451:GXX655451 HHS655451:HHT655451 HRO655451:HRP655451 IBK655451:IBL655451 ILG655451:ILH655451 IVC655451:IVD655451 JEY655451:JEZ655451 JOU655451:JOV655451 JYQ655451:JYR655451 KIM655451:KIN655451 KSI655451:KSJ655451 LCE655451:LCF655451 LMA655451:LMB655451 LVW655451:LVX655451 MFS655451:MFT655451 MPO655451:MPP655451 MZK655451:MZL655451 NJG655451:NJH655451 NTC655451:NTD655451 OCY655451:OCZ655451 OMU655451:OMV655451 OWQ655451:OWR655451 PGM655451:PGN655451 PQI655451:PQJ655451 QAE655451:QAF655451 QKA655451:QKB655451 QTW655451:QTX655451 RDS655451:RDT655451 RNO655451:RNP655451 RXK655451:RXL655451 SHG655451:SHH655451 SRC655451:SRD655451 TAY655451:TAZ655451 TKU655451:TKV655451 TUQ655451:TUR655451 UEM655451:UEN655451 UOI655451:UOJ655451 UYE655451:UYF655451 VIA655451:VIB655451 VRW655451:VRX655451 WBS655451:WBT655451 WLO655451:WLP655451 WVK655451:WVL655451 C720987:D720987 IY720987:IZ720987 SU720987:SV720987 ACQ720987:ACR720987 AMM720987:AMN720987 AWI720987:AWJ720987 BGE720987:BGF720987 BQA720987:BQB720987 BZW720987:BZX720987 CJS720987:CJT720987 CTO720987:CTP720987 DDK720987:DDL720987 DNG720987:DNH720987 DXC720987:DXD720987 EGY720987:EGZ720987 EQU720987:EQV720987 FAQ720987:FAR720987 FKM720987:FKN720987 FUI720987:FUJ720987 GEE720987:GEF720987 GOA720987:GOB720987 GXW720987:GXX720987 HHS720987:HHT720987 HRO720987:HRP720987 IBK720987:IBL720987 ILG720987:ILH720987 IVC720987:IVD720987 JEY720987:JEZ720987 JOU720987:JOV720987 JYQ720987:JYR720987 KIM720987:KIN720987 KSI720987:KSJ720987 LCE720987:LCF720987 LMA720987:LMB720987 LVW720987:LVX720987 MFS720987:MFT720987 MPO720987:MPP720987 MZK720987:MZL720987 NJG720987:NJH720987 NTC720987:NTD720987 OCY720987:OCZ720987 OMU720987:OMV720987 OWQ720987:OWR720987 PGM720987:PGN720987 PQI720987:PQJ720987 QAE720987:QAF720987 QKA720987:QKB720987 QTW720987:QTX720987 RDS720987:RDT720987 RNO720987:RNP720987 RXK720987:RXL720987 SHG720987:SHH720987 SRC720987:SRD720987 TAY720987:TAZ720987 TKU720987:TKV720987 TUQ720987:TUR720987 UEM720987:UEN720987 UOI720987:UOJ720987 UYE720987:UYF720987 VIA720987:VIB720987 VRW720987:VRX720987 WBS720987:WBT720987 WLO720987:WLP720987 WVK720987:WVL720987 C786523:D786523 IY786523:IZ786523 SU786523:SV786523 ACQ786523:ACR786523 AMM786523:AMN786523 AWI786523:AWJ786523 BGE786523:BGF786523 BQA786523:BQB786523 BZW786523:BZX786523 CJS786523:CJT786523 CTO786523:CTP786523 DDK786523:DDL786523 DNG786523:DNH786523 DXC786523:DXD786523 EGY786523:EGZ786523 EQU786523:EQV786523 FAQ786523:FAR786523 FKM786523:FKN786523 FUI786523:FUJ786523 GEE786523:GEF786523 GOA786523:GOB786523 GXW786523:GXX786523 HHS786523:HHT786523 HRO786523:HRP786523 IBK786523:IBL786523 ILG786523:ILH786523 IVC786523:IVD786523 JEY786523:JEZ786523 JOU786523:JOV786523 JYQ786523:JYR786523 KIM786523:KIN786523 KSI786523:KSJ786523 LCE786523:LCF786523 LMA786523:LMB786523 LVW786523:LVX786523 MFS786523:MFT786523 MPO786523:MPP786523 MZK786523:MZL786523 NJG786523:NJH786523 NTC786523:NTD786523 OCY786523:OCZ786523 OMU786523:OMV786523 OWQ786523:OWR786523 PGM786523:PGN786523 PQI786523:PQJ786523 QAE786523:QAF786523 QKA786523:QKB786523 QTW786523:QTX786523 RDS786523:RDT786523 RNO786523:RNP786523 RXK786523:RXL786523 SHG786523:SHH786523 SRC786523:SRD786523 TAY786523:TAZ786523 TKU786523:TKV786523 TUQ786523:TUR786523 UEM786523:UEN786523 UOI786523:UOJ786523 UYE786523:UYF786523 VIA786523:VIB786523 VRW786523:VRX786523 WBS786523:WBT786523 WLO786523:WLP786523 WVK786523:WVL786523 C852059:D852059 IY852059:IZ852059 SU852059:SV852059 ACQ852059:ACR852059 AMM852059:AMN852059 AWI852059:AWJ852059 BGE852059:BGF852059 BQA852059:BQB852059 BZW852059:BZX852059 CJS852059:CJT852059 CTO852059:CTP852059 DDK852059:DDL852059 DNG852059:DNH852059 DXC852059:DXD852059 EGY852059:EGZ852059 EQU852059:EQV852059 FAQ852059:FAR852059 FKM852059:FKN852059 FUI852059:FUJ852059 GEE852059:GEF852059 GOA852059:GOB852059 GXW852059:GXX852059 HHS852059:HHT852059 HRO852059:HRP852059 IBK852059:IBL852059 ILG852059:ILH852059 IVC852059:IVD852059 JEY852059:JEZ852059 JOU852059:JOV852059 JYQ852059:JYR852059 KIM852059:KIN852059 KSI852059:KSJ852059 LCE852059:LCF852059 LMA852059:LMB852059 LVW852059:LVX852059 MFS852059:MFT852059 MPO852059:MPP852059 MZK852059:MZL852059 NJG852059:NJH852059 NTC852059:NTD852059 OCY852059:OCZ852059 OMU852059:OMV852059 OWQ852059:OWR852059 PGM852059:PGN852059 PQI852059:PQJ852059 QAE852059:QAF852059 QKA852059:QKB852059 QTW852059:QTX852059 RDS852059:RDT852059 RNO852059:RNP852059 RXK852059:RXL852059 SHG852059:SHH852059 SRC852059:SRD852059 TAY852059:TAZ852059 TKU852059:TKV852059 TUQ852059:TUR852059 UEM852059:UEN852059 UOI852059:UOJ852059 UYE852059:UYF852059 VIA852059:VIB852059 VRW852059:VRX852059 WBS852059:WBT852059 WLO852059:WLP852059 WVK852059:WVL852059 C917595:D917595 IY917595:IZ917595 SU917595:SV917595 ACQ917595:ACR917595 AMM917595:AMN917595 AWI917595:AWJ917595 BGE917595:BGF917595 BQA917595:BQB917595 BZW917595:BZX917595 CJS917595:CJT917595 CTO917595:CTP917595 DDK917595:DDL917595 DNG917595:DNH917595 DXC917595:DXD917595 EGY917595:EGZ917595 EQU917595:EQV917595 FAQ917595:FAR917595 FKM917595:FKN917595 FUI917595:FUJ917595 GEE917595:GEF917595 GOA917595:GOB917595 GXW917595:GXX917595 HHS917595:HHT917595 HRO917595:HRP917595 IBK917595:IBL917595 ILG917595:ILH917595 IVC917595:IVD917595 JEY917595:JEZ917595 JOU917595:JOV917595 JYQ917595:JYR917595 KIM917595:KIN917595 KSI917595:KSJ917595 LCE917595:LCF917595 LMA917595:LMB917595 LVW917595:LVX917595 MFS917595:MFT917595 MPO917595:MPP917595 MZK917595:MZL917595 NJG917595:NJH917595 NTC917595:NTD917595 OCY917595:OCZ917595 OMU917595:OMV917595 OWQ917595:OWR917595 PGM917595:PGN917595 PQI917595:PQJ917595 QAE917595:QAF917595 QKA917595:QKB917595 QTW917595:QTX917595 RDS917595:RDT917595 RNO917595:RNP917595 RXK917595:RXL917595 SHG917595:SHH917595 SRC917595:SRD917595 TAY917595:TAZ917595 TKU917595:TKV917595 TUQ917595:TUR917595 UEM917595:UEN917595 UOI917595:UOJ917595 UYE917595:UYF917595 VIA917595:VIB917595 VRW917595:VRX917595 WBS917595:WBT917595 WLO917595:WLP917595 WVK917595:WVL917595 C983131:D983131 IY983131:IZ983131 SU983131:SV983131 ACQ983131:ACR983131 AMM983131:AMN983131 AWI983131:AWJ983131 BGE983131:BGF983131 BQA983131:BQB983131 BZW983131:BZX983131 CJS983131:CJT983131 CTO983131:CTP983131 DDK983131:DDL983131 DNG983131:DNH983131 DXC983131:DXD983131 EGY983131:EGZ983131 EQU983131:EQV983131 FAQ983131:FAR983131 FKM983131:FKN983131 FUI983131:FUJ983131 GEE983131:GEF983131 GOA983131:GOB983131 GXW983131:GXX983131 HHS983131:HHT983131 HRO983131:HRP983131 IBK983131:IBL983131 ILG983131:ILH983131 IVC983131:IVD983131 JEY983131:JEZ983131 JOU983131:JOV983131 JYQ983131:JYR983131 KIM983131:KIN983131 KSI983131:KSJ983131 LCE983131:LCF983131 LMA983131:LMB983131 LVW983131:LVX983131 MFS983131:MFT983131 MPO983131:MPP983131 MZK983131:MZL983131 NJG983131:NJH983131 NTC983131:NTD983131 OCY983131:OCZ983131 OMU983131:OMV983131 OWQ983131:OWR983131 PGM983131:PGN983131 PQI983131:PQJ983131 QAE983131:QAF983131 QKA983131:QKB983131 QTW983131:QTX983131 RDS983131:RDT983131 RNO983131:RNP983131 RXK983131:RXL983131 SHG983131:SHH983131 SRC983131:SRD983131 TAY983131:TAZ983131 TKU983131:TKV983131 TUQ983131:TUR983131 UEM983131:UEN983131 UOI983131:UOJ983131 UYE983131:UYF983131 VIA983131:VIB983131 VRW983131:VRX983131 WBS983131:WBT983131 WLO983131:WLP983131 D7:D8" xr:uid="{127925C0-FE3B-4BD2-8FCA-83AD749A2FD2}">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9" max="21" man="1"/>
    <brk id="129" max="21" man="1"/>
    <brk id="170" max="21" man="1"/>
    <brk id="214" max="21" man="1"/>
    <brk id="386"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9C87-52F7-40F5-87DB-219E6239536D}">
  <sheetPr>
    <tabColor rgb="FF00B050"/>
  </sheetPr>
  <dimension ref="A1:AC460"/>
  <sheetViews>
    <sheetView showZeros="0" view="pageBreakPreview" zoomScale="115" zoomScaleNormal="100" zoomScaleSheetLayoutView="115" workbookViewId="0">
      <selection activeCell="X21" sqref="X21"/>
    </sheetView>
  </sheetViews>
  <sheetFormatPr defaultColWidth="4.33203125" defaultRowHeight="18" customHeight="1"/>
  <cols>
    <col min="15" max="15" width="4.44140625" customWidth="1"/>
    <col min="17" max="17" width="3.77734375" customWidth="1"/>
  </cols>
  <sheetData>
    <row r="1" spans="1:29" ht="18" customHeight="1">
      <c r="A1" s="920"/>
      <c r="B1" s="921"/>
      <c r="C1" s="921"/>
      <c r="D1" s="921"/>
      <c r="E1" s="921"/>
      <c r="F1" s="921"/>
      <c r="G1" s="922"/>
      <c r="H1" s="906"/>
      <c r="I1" s="929"/>
      <c r="J1" s="929"/>
      <c r="K1" s="929"/>
      <c r="L1" s="929"/>
      <c r="M1" s="929"/>
      <c r="N1" s="930"/>
      <c r="O1" s="885"/>
      <c r="P1" s="886"/>
      <c r="Q1" s="887"/>
      <c r="R1" s="931"/>
      <c r="S1" s="932"/>
      <c r="T1" s="932"/>
      <c r="U1" s="932"/>
      <c r="V1" s="933"/>
      <c r="W1" s="7"/>
      <c r="X1" s="7"/>
    </row>
    <row r="2" spans="1:29" ht="18" customHeight="1">
      <c r="A2" s="923"/>
      <c r="B2" s="924"/>
      <c r="C2" s="924"/>
      <c r="D2" s="924"/>
      <c r="E2" s="924"/>
      <c r="F2" s="924"/>
      <c r="G2" s="925"/>
      <c r="H2" s="909"/>
      <c r="I2" s="934"/>
      <c r="J2" s="934"/>
      <c r="K2" s="934"/>
      <c r="L2" s="934"/>
      <c r="M2" s="934"/>
      <c r="N2" s="935"/>
      <c r="O2" s="885"/>
      <c r="P2" s="886"/>
      <c r="Q2" s="887"/>
      <c r="R2" s="936"/>
      <c r="S2" s="932"/>
      <c r="T2" s="932"/>
      <c r="U2" s="932"/>
      <c r="V2" s="933"/>
      <c r="W2" s="7"/>
      <c r="X2" s="7"/>
    </row>
    <row r="3" spans="1:29" ht="18" customHeight="1">
      <c r="A3" s="923"/>
      <c r="B3" s="924"/>
      <c r="C3" s="924"/>
      <c r="D3" s="924"/>
      <c r="E3" s="924"/>
      <c r="F3" s="924"/>
      <c r="G3" s="925"/>
      <c r="H3" s="937"/>
      <c r="I3" s="938"/>
      <c r="J3" s="938"/>
      <c r="K3" s="938"/>
      <c r="L3" s="938"/>
      <c r="M3" s="938"/>
      <c r="N3" s="939"/>
      <c r="O3" s="885"/>
      <c r="P3" s="886"/>
      <c r="Q3" s="887"/>
      <c r="R3" s="880"/>
      <c r="S3" s="881"/>
      <c r="T3" s="881"/>
      <c r="U3" s="881"/>
      <c r="V3" s="943"/>
      <c r="W3" s="7"/>
      <c r="X3" s="7"/>
    </row>
    <row r="4" spans="1:29" ht="18" customHeight="1">
      <c r="A4" s="926"/>
      <c r="B4" s="927"/>
      <c r="C4" s="927"/>
      <c r="D4" s="927"/>
      <c r="E4" s="927"/>
      <c r="F4" s="927"/>
      <c r="G4" s="928"/>
      <c r="H4" s="940"/>
      <c r="I4" s="941"/>
      <c r="J4" s="941"/>
      <c r="K4" s="941"/>
      <c r="L4" s="941"/>
      <c r="M4" s="941"/>
      <c r="N4" s="942"/>
      <c r="O4" s="885"/>
      <c r="P4" s="886"/>
      <c r="Q4" s="887"/>
      <c r="R4" s="931"/>
      <c r="S4" s="932"/>
      <c r="T4" s="932"/>
      <c r="U4" s="932"/>
      <c r="V4" s="933"/>
      <c r="W4" s="7"/>
      <c r="X4" s="7"/>
    </row>
    <row r="5" spans="1:29" ht="18" customHeight="1">
      <c r="A5" s="880"/>
      <c r="B5" s="943"/>
      <c r="C5" s="25"/>
      <c r="D5" s="880"/>
      <c r="E5" s="881"/>
      <c r="F5" s="943"/>
      <c r="G5" s="25"/>
      <c r="H5" s="944"/>
      <c r="I5" s="945"/>
      <c r="J5" s="945"/>
      <c r="K5" s="945"/>
      <c r="L5" s="945"/>
      <c r="M5" s="945"/>
      <c r="N5" s="946"/>
      <c r="O5" s="947"/>
      <c r="P5" s="948"/>
      <c r="Q5" s="949"/>
      <c r="R5" s="931"/>
      <c r="S5" s="932"/>
      <c r="T5" s="932"/>
      <c r="U5" s="932"/>
      <c r="V5" s="933"/>
      <c r="W5" s="7"/>
      <c r="X5" s="7"/>
    </row>
    <row r="6" spans="1:29" ht="18" customHeight="1">
      <c r="A6" s="9"/>
      <c r="V6" s="10"/>
    </row>
    <row r="7" spans="1:29" ht="18" customHeight="1">
      <c r="A7" s="9"/>
      <c r="B7" s="781" t="s">
        <v>108</v>
      </c>
      <c r="C7" s="782"/>
      <c r="D7" s="781" t="s">
        <v>506</v>
      </c>
      <c r="E7" s="782"/>
      <c r="F7" s="689" t="s">
        <v>966</v>
      </c>
      <c r="G7" s="689"/>
      <c r="H7" s="684" t="s">
        <v>1042</v>
      </c>
      <c r="I7" s="689"/>
      <c r="J7" s="689"/>
      <c r="K7" s="689"/>
      <c r="L7" s="689"/>
      <c r="M7" s="689"/>
      <c r="P7" s="186"/>
      <c r="S7" s="187" t="s">
        <v>387</v>
      </c>
      <c r="T7" s="781" t="s">
        <v>967</v>
      </c>
      <c r="U7" s="782"/>
      <c r="V7" s="10"/>
    </row>
    <row r="8" spans="1:29" ht="18" customHeight="1">
      <c r="A8" s="9"/>
      <c r="B8" s="538"/>
      <c r="C8" s="538"/>
      <c r="D8" s="547"/>
      <c r="E8" s="547"/>
      <c r="F8" s="448"/>
      <c r="T8" s="781"/>
      <c r="U8" s="782"/>
      <c r="V8" s="10"/>
    </row>
    <row r="9" spans="1:29" ht="18" customHeight="1">
      <c r="A9" s="9"/>
      <c r="H9" s="789" t="s">
        <v>390</v>
      </c>
      <c r="I9" s="789"/>
      <c r="J9" s="790" t="s">
        <v>391</v>
      </c>
      <c r="K9" s="790"/>
      <c r="L9" s="790" t="s">
        <v>392</v>
      </c>
      <c r="M9" s="790"/>
      <c r="T9" s="781"/>
      <c r="U9" s="782"/>
      <c r="V9" s="10"/>
    </row>
    <row r="10" spans="1:29" ht="18" customHeight="1">
      <c r="A10" s="9"/>
      <c r="B10" s="47" t="s">
        <v>393</v>
      </c>
      <c r="H10" s="791">
        <v>3200</v>
      </c>
      <c r="I10" s="792"/>
      <c r="J10" s="781">
        <v>1800</v>
      </c>
      <c r="K10" s="782"/>
      <c r="L10" s="781" t="s">
        <v>6</v>
      </c>
      <c r="M10" s="782"/>
      <c r="N10" s="191" t="s">
        <v>342</v>
      </c>
      <c r="O10" s="125">
        <v>1</v>
      </c>
      <c r="P10" s="27" t="s">
        <v>8</v>
      </c>
      <c r="V10" s="10"/>
    </row>
    <row r="11" spans="1:29" ht="18" customHeight="1">
      <c r="A11" s="9"/>
      <c r="B11" s="47" t="s">
        <v>394</v>
      </c>
      <c r="H11" s="781" t="str">
        <f>'[3]RED670_2.2C42-PX'!H11:I11</f>
        <v>PX</v>
      </c>
      <c r="I11" s="782"/>
      <c r="V11" s="10"/>
    </row>
    <row r="12" spans="1:29" ht="18" customHeight="1">
      <c r="A12" s="9"/>
      <c r="B12" s="47" t="s">
        <v>396</v>
      </c>
      <c r="G12" s="120" t="s">
        <v>397</v>
      </c>
      <c r="H12" s="781">
        <v>9.8000000000000007</v>
      </c>
      <c r="I12" s="782"/>
      <c r="J12" s="192" t="s">
        <v>333</v>
      </c>
      <c r="V12" s="10"/>
    </row>
    <row r="13" spans="1:29" ht="18" customHeight="1">
      <c r="A13" s="9"/>
      <c r="B13" s="47" t="s">
        <v>398</v>
      </c>
      <c r="G13" s="120" t="s">
        <v>399</v>
      </c>
      <c r="H13" s="781">
        <v>2000</v>
      </c>
      <c r="I13" s="782"/>
      <c r="J13" s="14" t="s">
        <v>305</v>
      </c>
      <c r="V13" s="10"/>
      <c r="W13" s="30" t="s">
        <v>400</v>
      </c>
      <c r="AB13" s="785">
        <f>Q102</f>
        <v>598.03946709666695</v>
      </c>
      <c r="AC13" s="786"/>
    </row>
    <row r="14" spans="1:29" ht="18" customHeight="1">
      <c r="A14" s="9"/>
      <c r="B14" s="14" t="s">
        <v>401</v>
      </c>
      <c r="G14" s="120" t="s">
        <v>402</v>
      </c>
      <c r="H14" s="781">
        <v>10</v>
      </c>
      <c r="I14" s="782"/>
      <c r="J14" s="14" t="s">
        <v>403</v>
      </c>
      <c r="V14" s="10"/>
    </row>
    <row r="15" spans="1:29" ht="18" customHeight="1">
      <c r="A15" s="9"/>
      <c r="V15" s="10"/>
    </row>
    <row r="16" spans="1:29" ht="18" customHeight="1">
      <c r="A16" s="447" t="s">
        <v>404</v>
      </c>
      <c r="V16" s="10"/>
    </row>
    <row r="17" spans="1:22" ht="18" customHeight="1">
      <c r="A17" s="9"/>
      <c r="V17" s="10"/>
    </row>
    <row r="18" spans="1:22" ht="18" customHeight="1">
      <c r="A18" s="9"/>
      <c r="B18" s="194" t="s">
        <v>405</v>
      </c>
      <c r="C18" s="195"/>
      <c r="D18" s="195" t="str">
        <f>T7</f>
        <v>7SL86</v>
      </c>
      <c r="E18" s="423"/>
      <c r="F18" s="423"/>
      <c r="G18" s="423"/>
      <c r="H18" s="182" t="s">
        <v>406</v>
      </c>
      <c r="I18" s="183" t="s">
        <v>127</v>
      </c>
      <c r="J18" s="787">
        <f>'CT-VT Burdens'!Q118</f>
        <v>0.1</v>
      </c>
      <c r="K18" s="788"/>
      <c r="L18" s="202" t="s">
        <v>157</v>
      </c>
      <c r="V18" s="10"/>
    </row>
    <row r="19" spans="1:22" ht="18" customHeight="1">
      <c r="A19" s="9"/>
      <c r="B19" s="184" t="s">
        <v>405</v>
      </c>
      <c r="D19" s="424">
        <f>T8</f>
        <v>0</v>
      </c>
      <c r="I19" s="28" t="s">
        <v>127</v>
      </c>
      <c r="J19" s="787"/>
      <c r="K19" s="788"/>
      <c r="L19" s="297" t="s">
        <v>157</v>
      </c>
      <c r="V19" s="10"/>
    </row>
    <row r="20" spans="1:22" ht="18" customHeight="1">
      <c r="A20" s="9"/>
      <c r="B20" s="184" t="s">
        <v>405</v>
      </c>
      <c r="D20" s="424">
        <f>T9</f>
        <v>0</v>
      </c>
      <c r="E20" s="14"/>
      <c r="G20" s="199"/>
      <c r="H20" s="425"/>
      <c r="I20" s="101" t="s">
        <v>127</v>
      </c>
      <c r="J20" s="787"/>
      <c r="K20" s="788"/>
      <c r="L20" s="426" t="s">
        <v>157</v>
      </c>
      <c r="V20" s="10"/>
    </row>
    <row r="21" spans="1:22" ht="18" customHeight="1">
      <c r="A21" s="9"/>
      <c r="B21" s="184" t="s">
        <v>412</v>
      </c>
      <c r="H21" s="425"/>
      <c r="I21" s="427" t="s">
        <v>127</v>
      </c>
      <c r="J21" s="1157">
        <f>'CT-VT Burdens'!S24</f>
        <v>1.0770224400000001</v>
      </c>
      <c r="K21" s="1215"/>
      <c r="L21" s="426" t="s">
        <v>157</v>
      </c>
      <c r="V21" s="10"/>
    </row>
    <row r="22" spans="1:22" ht="18" customHeight="1">
      <c r="A22" s="9"/>
      <c r="B22" s="205" t="s">
        <v>413</v>
      </c>
      <c r="C22" s="206"/>
      <c r="D22" s="206"/>
      <c r="E22" s="206"/>
      <c r="F22" s="346"/>
      <c r="G22" s="346"/>
      <c r="H22" s="190" t="s">
        <v>409</v>
      </c>
      <c r="I22" s="208" t="s">
        <v>127</v>
      </c>
      <c r="J22" s="766">
        <f>SUM(J18:K21)</f>
        <v>1.1770224400000002</v>
      </c>
      <c r="K22" s="796"/>
      <c r="L22" s="428" t="s">
        <v>157</v>
      </c>
      <c r="V22" s="10"/>
    </row>
    <row r="23" spans="1:22" ht="9.6" customHeight="1">
      <c r="A23" s="9"/>
      <c r="B23" s="47"/>
      <c r="C23" s="47"/>
      <c r="D23" s="47"/>
      <c r="E23" s="47"/>
      <c r="H23" s="425"/>
      <c r="I23" s="28"/>
      <c r="J23" s="199"/>
      <c r="L23" s="47"/>
      <c r="O23" s="425"/>
      <c r="P23" s="592"/>
      <c r="Q23" s="592"/>
      <c r="R23" s="593"/>
      <c r="V23" s="10"/>
    </row>
    <row r="24" spans="1:22" ht="18" customHeight="1">
      <c r="A24" s="9"/>
      <c r="B24" s="197" t="s">
        <v>648</v>
      </c>
      <c r="L24" s="47"/>
      <c r="M24" s="197" t="s">
        <v>407</v>
      </c>
      <c r="V24" s="10"/>
    </row>
    <row r="25" spans="1:22" ht="18" customHeight="1">
      <c r="A25" s="9"/>
      <c r="B25" s="245" t="s">
        <v>649</v>
      </c>
      <c r="C25" s="245" t="s">
        <v>127</v>
      </c>
      <c r="D25" s="242" t="s">
        <v>406</v>
      </c>
      <c r="E25" s="526" t="s">
        <v>410</v>
      </c>
      <c r="F25" s="245" t="s">
        <v>146</v>
      </c>
      <c r="G25" s="221" t="s">
        <v>315</v>
      </c>
      <c r="H25" s="222" t="s">
        <v>146</v>
      </c>
      <c r="I25" s="242" t="s">
        <v>350</v>
      </c>
      <c r="J25" s="502"/>
      <c r="K25" s="430"/>
      <c r="L25" s="527"/>
      <c r="M25" s="245" t="s">
        <v>408</v>
      </c>
      <c r="N25" s="245" t="s">
        <v>127</v>
      </c>
      <c r="O25" s="245" t="s">
        <v>409</v>
      </c>
      <c r="P25" s="528" t="s">
        <v>410</v>
      </c>
      <c r="Q25" s="245" t="s">
        <v>482</v>
      </c>
      <c r="R25" s="245" t="s">
        <v>315</v>
      </c>
      <c r="S25" s="245" t="s">
        <v>482</v>
      </c>
      <c r="T25" s="461" t="s">
        <v>350</v>
      </c>
      <c r="V25" s="10"/>
    </row>
    <row r="26" spans="1:22" ht="18" customHeight="1">
      <c r="A26" s="9"/>
      <c r="B26" s="527"/>
      <c r="C26" s="245" t="s">
        <v>127</v>
      </c>
      <c r="D26" s="301">
        <f>J18</f>
        <v>0.1</v>
      </c>
      <c r="E26" s="528" t="s">
        <v>410</v>
      </c>
      <c r="F26" s="245">
        <f>'[3]CT-VT Burdens'!S18</f>
        <v>1</v>
      </c>
      <c r="G26" s="245" t="s">
        <v>315</v>
      </c>
      <c r="H26" s="245">
        <f>'[3]CT-VT Burdens'!S18</f>
        <v>1</v>
      </c>
      <c r="I26" s="242" t="s">
        <v>350</v>
      </c>
      <c r="J26" s="502"/>
      <c r="K26" s="430"/>
      <c r="L26" s="527"/>
      <c r="M26" s="430"/>
      <c r="N26" s="245" t="s">
        <v>127</v>
      </c>
      <c r="O26" s="301">
        <f>J21</f>
        <v>1.0770224400000001</v>
      </c>
      <c r="P26" s="528" t="s">
        <v>410</v>
      </c>
      <c r="Q26" s="245">
        <f>O10</f>
        <v>1</v>
      </c>
      <c r="R26" s="245" t="s">
        <v>315</v>
      </c>
      <c r="S26" s="245">
        <f>O10</f>
        <v>1</v>
      </c>
      <c r="T26" s="242" t="s">
        <v>350</v>
      </c>
      <c r="V26" s="10"/>
    </row>
    <row r="27" spans="1:22" ht="18" customHeight="1">
      <c r="A27" s="9"/>
      <c r="B27" s="527"/>
      <c r="C27" s="245" t="s">
        <v>127</v>
      </c>
      <c r="D27" s="1111">
        <f>D26/(F26*H26)</f>
        <v>0.1</v>
      </c>
      <c r="E27" s="1111"/>
      <c r="F27" s="628" t="s">
        <v>333</v>
      </c>
      <c r="G27" s="430"/>
      <c r="H27" s="430"/>
      <c r="I27" s="430"/>
      <c r="J27" s="502"/>
      <c r="K27" s="430"/>
      <c r="L27" s="527"/>
      <c r="M27" s="430"/>
      <c r="N27" s="245" t="s">
        <v>127</v>
      </c>
      <c r="O27" s="1111">
        <f>O26/(Q26*S26)</f>
        <v>1.0770224400000001</v>
      </c>
      <c r="P27" s="1111"/>
      <c r="Q27" s="628" t="s">
        <v>333</v>
      </c>
      <c r="R27" s="430"/>
      <c r="S27" s="430"/>
      <c r="T27" s="430"/>
      <c r="V27" s="10"/>
    </row>
    <row r="28" spans="1:22" ht="10.199999999999999" customHeight="1">
      <c r="A28" s="9"/>
      <c r="B28" s="47"/>
      <c r="C28" s="47"/>
      <c r="D28" s="47"/>
      <c r="E28" s="47"/>
      <c r="H28" s="425"/>
      <c r="I28" s="28"/>
      <c r="J28" s="199"/>
      <c r="L28" s="47"/>
      <c r="O28" s="425"/>
      <c r="P28" s="592"/>
      <c r="Q28" s="592"/>
      <c r="R28" s="593"/>
      <c r="V28" s="10"/>
    </row>
    <row r="29" spans="1:22" ht="18" customHeight="1">
      <c r="A29" s="9"/>
      <c r="B29" s="47" t="s">
        <v>968</v>
      </c>
      <c r="C29" s="47"/>
      <c r="D29" s="47"/>
      <c r="E29" s="47"/>
      <c r="H29" s="425"/>
      <c r="I29" s="28"/>
      <c r="J29" s="199"/>
      <c r="L29" s="28" t="s">
        <v>127</v>
      </c>
      <c r="M29" s="1111">
        <f>D27</f>
        <v>0.1</v>
      </c>
      <c r="N29" s="1111"/>
      <c r="O29" s="245" t="s">
        <v>347</v>
      </c>
      <c r="P29" s="1111">
        <f>O27</f>
        <v>1.0770224400000001</v>
      </c>
      <c r="Q29" s="1111"/>
      <c r="R29" s="522" t="s">
        <v>127</v>
      </c>
      <c r="S29" s="1111">
        <f>M29+P29</f>
        <v>1.1770224400000002</v>
      </c>
      <c r="T29" s="1111"/>
      <c r="U29" s="192" t="s">
        <v>333</v>
      </c>
      <c r="V29" s="10"/>
    </row>
    <row r="30" spans="1:22" ht="18" customHeight="1">
      <c r="A30" s="1206" t="s">
        <v>969</v>
      </c>
      <c r="B30" s="1207"/>
      <c r="C30" s="1207"/>
      <c r="D30" s="1207"/>
      <c r="E30" s="1207"/>
      <c r="F30" s="1207"/>
      <c r="G30" s="1207"/>
      <c r="H30" s="1207"/>
      <c r="I30" s="1207"/>
      <c r="J30" s="1207"/>
      <c r="K30" s="1207"/>
      <c r="L30" s="1207"/>
      <c r="M30" s="1207"/>
      <c r="N30" s="1207"/>
      <c r="O30" s="1207"/>
      <c r="P30" s="1207"/>
      <c r="Q30" s="1207"/>
      <c r="R30" s="1207"/>
      <c r="S30" s="1207"/>
      <c r="T30" s="1207"/>
      <c r="U30" s="1207"/>
      <c r="V30" s="1208"/>
    </row>
    <row r="31" spans="1:22" ht="18" customHeight="1">
      <c r="A31" s="1209"/>
      <c r="B31" s="1207"/>
      <c r="C31" s="1207"/>
      <c r="D31" s="1207"/>
      <c r="E31" s="1207"/>
      <c r="F31" s="1207"/>
      <c r="G31" s="1207"/>
      <c r="H31" s="1207"/>
      <c r="I31" s="1207"/>
      <c r="J31" s="1207"/>
      <c r="K31" s="1207"/>
      <c r="L31" s="1207"/>
      <c r="M31" s="1207"/>
      <c r="N31" s="1207"/>
      <c r="O31" s="1207"/>
      <c r="P31" s="1207"/>
      <c r="Q31" s="1207"/>
      <c r="R31" s="1207"/>
      <c r="S31" s="1207"/>
      <c r="T31" s="1207"/>
      <c r="U31" s="1207"/>
      <c r="V31" s="1208"/>
    </row>
    <row r="32" spans="1:22" ht="18" customHeight="1">
      <c r="A32" s="116" t="s">
        <v>970</v>
      </c>
      <c r="B32" s="594"/>
      <c r="C32" s="594"/>
      <c r="D32" s="594"/>
      <c r="E32" s="594"/>
      <c r="F32" s="594"/>
      <c r="G32" s="594"/>
      <c r="H32" s="594"/>
      <c r="I32" s="594"/>
      <c r="J32" s="595"/>
      <c r="K32" s="594"/>
      <c r="L32" s="594"/>
      <c r="M32" s="594"/>
      <c r="N32" s="594"/>
      <c r="O32" s="594"/>
      <c r="P32" s="594"/>
      <c r="Q32" s="594"/>
      <c r="R32" s="594"/>
      <c r="S32" s="594"/>
      <c r="T32" s="594"/>
      <c r="U32" s="594"/>
      <c r="V32" s="596"/>
    </row>
    <row r="33" spans="1:22" ht="18" customHeight="1">
      <c r="A33" s="116"/>
      <c r="B33" s="197" t="s">
        <v>971</v>
      </c>
      <c r="C33" s="594"/>
      <c r="D33" s="594"/>
      <c r="E33" s="594"/>
      <c r="F33" s="594"/>
      <c r="G33" s="594"/>
      <c r="H33" s="594"/>
      <c r="I33" s="594"/>
      <c r="J33" s="595"/>
      <c r="K33" s="594"/>
      <c r="L33" s="594"/>
      <c r="M33" s="594"/>
      <c r="N33" s="594"/>
      <c r="O33" s="594"/>
      <c r="P33" s="594"/>
      <c r="Q33" s="594"/>
      <c r="R33" s="594"/>
      <c r="S33" s="594"/>
      <c r="T33" s="594"/>
      <c r="U33" s="594"/>
      <c r="V33" s="596"/>
    </row>
    <row r="34" spans="1:22" s="155" customFormat="1" ht="18" customHeight="1">
      <c r="A34" s="370"/>
      <c r="B34" s="689" t="s">
        <v>972</v>
      </c>
      <c r="C34" s="1150" t="s">
        <v>652</v>
      </c>
      <c r="G34" s="802">
        <v>0.5</v>
      </c>
      <c r="H34" s="1153" t="s">
        <v>315</v>
      </c>
      <c r="I34" s="1203" t="s">
        <v>973</v>
      </c>
      <c r="J34" s="1204"/>
      <c r="K34" s="1204"/>
      <c r="L34" s="1204"/>
      <c r="M34" s="1204"/>
      <c r="N34" s="689" t="s">
        <v>672</v>
      </c>
      <c r="O34" s="708" t="s">
        <v>420</v>
      </c>
      <c r="P34" s="689" t="s">
        <v>347</v>
      </c>
      <c r="Q34" s="708" t="s">
        <v>974</v>
      </c>
      <c r="R34" s="708" t="s">
        <v>674</v>
      </c>
      <c r="S34" s="708" t="s">
        <v>482</v>
      </c>
      <c r="T34"/>
      <c r="U34" s="729" t="s">
        <v>653</v>
      </c>
      <c r="V34" s="10"/>
    </row>
    <row r="35" spans="1:22" s="155" customFormat="1" ht="18" customHeight="1">
      <c r="A35" s="159"/>
      <c r="B35" s="689"/>
      <c r="C35" s="689"/>
      <c r="G35" s="802"/>
      <c r="H35" s="689"/>
      <c r="I35" s="695">
        <v>1.25</v>
      </c>
      <c r="J35" s="695"/>
      <c r="K35" s="121" t="s">
        <v>315</v>
      </c>
      <c r="L35" s="695" t="s">
        <v>483</v>
      </c>
      <c r="M35" s="695"/>
      <c r="N35" s="689"/>
      <c r="O35" s="689"/>
      <c r="P35" s="689"/>
      <c r="Q35" s="689"/>
      <c r="R35" s="689"/>
      <c r="S35" s="689"/>
      <c r="U35" s="689"/>
      <c r="V35" s="10"/>
    </row>
    <row r="36" spans="1:22" s="155" customFormat="1" ht="18" customHeight="1">
      <c r="A36" s="159"/>
      <c r="B36" s="197" t="s">
        <v>975</v>
      </c>
      <c r="C36" s="28"/>
      <c r="G36" s="120"/>
      <c r="H36" s="28"/>
      <c r="I36" s="121"/>
      <c r="J36" s="121"/>
      <c r="K36" s="121"/>
      <c r="L36" s="121"/>
      <c r="M36" s="121"/>
      <c r="N36" s="28"/>
      <c r="O36" s="28"/>
      <c r="P36" s="28"/>
      <c r="Q36" s="28"/>
      <c r="R36" s="28"/>
      <c r="S36" s="28"/>
      <c r="U36" s="28"/>
      <c r="V36" s="10"/>
    </row>
    <row r="37" spans="1:22" s="155" customFormat="1" ht="18" customHeight="1">
      <c r="A37" s="159"/>
      <c r="B37" s="689" t="s">
        <v>972</v>
      </c>
      <c r="C37" s="1150" t="s">
        <v>652</v>
      </c>
      <c r="G37" s="802">
        <v>1.2</v>
      </c>
      <c r="H37" s="1153" t="s">
        <v>315</v>
      </c>
      <c r="I37" s="1203" t="s">
        <v>976</v>
      </c>
      <c r="J37" s="1204"/>
      <c r="K37" s="1204"/>
      <c r="L37" s="1204"/>
      <c r="M37" s="1204"/>
      <c r="N37" s="689" t="s">
        <v>672</v>
      </c>
      <c r="O37" s="708" t="s">
        <v>420</v>
      </c>
      <c r="P37" s="689" t="s">
        <v>347</v>
      </c>
      <c r="Q37" s="708" t="s">
        <v>974</v>
      </c>
      <c r="R37" s="708" t="s">
        <v>674</v>
      </c>
      <c r="S37" s="708" t="s">
        <v>482</v>
      </c>
      <c r="T37"/>
      <c r="U37" s="729" t="s">
        <v>683</v>
      </c>
      <c r="V37" s="10"/>
    </row>
    <row r="38" spans="1:22" s="155" customFormat="1" ht="18" customHeight="1">
      <c r="A38" s="159"/>
      <c r="B38" s="689"/>
      <c r="C38" s="689"/>
      <c r="G38" s="802"/>
      <c r="H38" s="689"/>
      <c r="I38" s="695">
        <v>1.25</v>
      </c>
      <c r="J38" s="695"/>
      <c r="K38" s="121" t="s">
        <v>315</v>
      </c>
      <c r="L38" s="695" t="s">
        <v>483</v>
      </c>
      <c r="M38" s="695"/>
      <c r="N38" s="689"/>
      <c r="O38" s="689"/>
      <c r="P38" s="689"/>
      <c r="Q38" s="689"/>
      <c r="R38" s="689"/>
      <c r="S38" s="689"/>
      <c r="U38" s="689"/>
      <c r="V38" s="10"/>
    </row>
    <row r="39" spans="1:22" s="155" customFormat="1" ht="18" customHeight="1">
      <c r="A39" s="116" t="s">
        <v>977</v>
      </c>
      <c r="V39" s="10"/>
    </row>
    <row r="40" spans="1:22" s="155" customFormat="1" ht="18" customHeight="1">
      <c r="A40" s="193"/>
      <c r="B40" s="197" t="s">
        <v>416</v>
      </c>
      <c r="V40" s="10"/>
    </row>
    <row r="41" spans="1:22" s="155" customFormat="1" ht="18" customHeight="1">
      <c r="A41" s="370"/>
      <c r="B41" s="689" t="s">
        <v>972</v>
      </c>
      <c r="C41" s="1150" t="s">
        <v>652</v>
      </c>
      <c r="G41" s="808" t="s">
        <v>135</v>
      </c>
      <c r="H41" s="1153" t="s">
        <v>315</v>
      </c>
      <c r="I41" s="1203" t="s">
        <v>978</v>
      </c>
      <c r="J41" s="1204"/>
      <c r="K41" s="1204"/>
      <c r="L41" s="1204"/>
      <c r="M41" s="1204"/>
      <c r="N41" s="689" t="s">
        <v>672</v>
      </c>
      <c r="O41" s="708" t="s">
        <v>420</v>
      </c>
      <c r="P41" s="689" t="s">
        <v>347</v>
      </c>
      <c r="Q41" s="708" t="s">
        <v>974</v>
      </c>
      <c r="R41" s="708" t="s">
        <v>674</v>
      </c>
      <c r="S41" s="708" t="s">
        <v>482</v>
      </c>
      <c r="T41" s="7"/>
      <c r="U41" s="729" t="s">
        <v>685</v>
      </c>
      <c r="V41" s="10"/>
    </row>
    <row r="42" spans="1:22" s="155" customFormat="1" ht="18" customHeight="1">
      <c r="A42" s="370"/>
      <c r="B42" s="689"/>
      <c r="C42" s="689"/>
      <c r="G42" s="808"/>
      <c r="H42" s="689"/>
      <c r="I42" s="695">
        <v>1.25</v>
      </c>
      <c r="J42" s="695"/>
      <c r="K42" s="121" t="s">
        <v>315</v>
      </c>
      <c r="L42" s="695" t="s">
        <v>483</v>
      </c>
      <c r="M42" s="695"/>
      <c r="N42" s="689"/>
      <c r="O42" s="689"/>
      <c r="P42" s="689"/>
      <c r="Q42" s="689"/>
      <c r="R42" s="689"/>
      <c r="S42" s="689"/>
      <c r="T42" s="7"/>
      <c r="U42" s="689"/>
      <c r="V42" s="10"/>
    </row>
    <row r="43" spans="1:22" s="155" customFormat="1" ht="18" customHeight="1">
      <c r="A43" s="193"/>
      <c r="B43" s="197" t="s">
        <v>979</v>
      </c>
      <c r="D43" s="360"/>
      <c r="E43" s="360"/>
      <c r="F43" s="597"/>
      <c r="G43" s="360"/>
      <c r="H43" s="597"/>
      <c r="I43" s="586"/>
      <c r="J43" s="586"/>
      <c r="K43" s="360"/>
      <c r="N43" s="360"/>
      <c r="O43" s="360"/>
      <c r="P43" s="360"/>
      <c r="Q43" s="353"/>
      <c r="R43" s="598"/>
      <c r="S43" s="599"/>
      <c r="T43" s="7"/>
      <c r="U43"/>
      <c r="V43" s="10"/>
    </row>
    <row r="44" spans="1:22" s="155" customFormat="1" ht="18" customHeight="1">
      <c r="A44" s="159"/>
      <c r="B44" s="689" t="s">
        <v>972</v>
      </c>
      <c r="C44" s="1150" t="s">
        <v>652</v>
      </c>
      <c r="G44" s="808" t="s">
        <v>980</v>
      </c>
      <c r="H44" s="1153" t="s">
        <v>315</v>
      </c>
      <c r="I44" s="1203" t="s">
        <v>981</v>
      </c>
      <c r="J44" s="1204"/>
      <c r="K44" s="1204"/>
      <c r="L44" s="1204"/>
      <c r="M44" s="1204"/>
      <c r="N44" s="689" t="s">
        <v>672</v>
      </c>
      <c r="O44" s="708" t="s">
        <v>420</v>
      </c>
      <c r="P44" s="689" t="s">
        <v>347</v>
      </c>
      <c r="Q44" s="708" t="s">
        <v>974</v>
      </c>
      <c r="R44" s="708" t="s">
        <v>674</v>
      </c>
      <c r="S44" s="708" t="s">
        <v>482</v>
      </c>
      <c r="T44" s="7"/>
      <c r="U44" s="729" t="s">
        <v>982</v>
      </c>
      <c r="V44" s="10"/>
    </row>
    <row r="45" spans="1:22" s="155" customFormat="1" ht="18" customHeight="1">
      <c r="A45" s="159"/>
      <c r="B45" s="689"/>
      <c r="C45" s="689"/>
      <c r="G45" s="808"/>
      <c r="H45" s="689"/>
      <c r="I45" s="695">
        <v>1.25</v>
      </c>
      <c r="J45" s="695">
        <v>1.3</v>
      </c>
      <c r="K45" s="121" t="s">
        <v>315</v>
      </c>
      <c r="L45" s="695" t="s">
        <v>483</v>
      </c>
      <c r="M45" s="695"/>
      <c r="N45" s="689"/>
      <c r="O45" s="689"/>
      <c r="P45" s="689"/>
      <c r="Q45" s="689"/>
      <c r="R45" s="689"/>
      <c r="S45" s="689"/>
      <c r="T45" s="7"/>
      <c r="U45" s="689"/>
      <c r="V45" s="10"/>
    </row>
    <row r="46" spans="1:22" s="155" customFormat="1" ht="18" customHeight="1">
      <c r="A46" s="600"/>
      <c r="B46" s="182"/>
      <c r="C46" s="182"/>
      <c r="D46" s="601"/>
      <c r="E46" s="601"/>
      <c r="F46" s="601"/>
      <c r="G46" s="224"/>
      <c r="H46" s="307"/>
      <c r="I46" s="22"/>
      <c r="J46" s="602"/>
      <c r="K46" s="22"/>
      <c r="L46" s="22"/>
      <c r="M46" s="602"/>
      <c r="N46" s="182"/>
      <c r="O46" s="182"/>
      <c r="P46" s="182"/>
      <c r="Q46" s="182"/>
      <c r="R46" s="182"/>
      <c r="S46" s="182"/>
      <c r="T46" s="423"/>
      <c r="U46" s="182"/>
      <c r="V46" s="603"/>
    </row>
    <row r="47" spans="1:22" ht="18" customHeight="1">
      <c r="A47" s="442"/>
      <c r="B47" s="139" t="s">
        <v>654</v>
      </c>
      <c r="C47" s="111"/>
      <c r="D47" s="111"/>
      <c r="E47" s="111"/>
      <c r="F47" s="110"/>
      <c r="G47" s="110"/>
      <c r="H47" s="111"/>
      <c r="I47" s="604"/>
      <c r="J47" s="111"/>
      <c r="K47" s="111"/>
      <c r="L47" s="384"/>
      <c r="M47" s="111"/>
      <c r="N47" s="111"/>
      <c r="O47" s="384"/>
      <c r="P47" s="273" t="s">
        <v>483</v>
      </c>
      <c r="Q47" s="384"/>
      <c r="R47" s="605" t="s">
        <v>127</v>
      </c>
      <c r="S47" s="1190">
        <f>H10</f>
        <v>3200</v>
      </c>
      <c r="T47" s="1190"/>
      <c r="U47" s="227" t="s">
        <v>8</v>
      </c>
      <c r="V47" s="395"/>
    </row>
    <row r="48" spans="1:22" ht="18" customHeight="1">
      <c r="A48" s="9"/>
      <c r="B48" s="47" t="s">
        <v>655</v>
      </c>
      <c r="C48" s="7"/>
      <c r="D48" s="7"/>
      <c r="E48" s="7"/>
      <c r="F48" s="115"/>
      <c r="G48" s="115"/>
      <c r="H48" s="7"/>
      <c r="I48" s="124"/>
      <c r="J48" s="7"/>
      <c r="K48" s="7"/>
      <c r="M48" s="7"/>
      <c r="N48" s="7"/>
      <c r="P48" s="14" t="s">
        <v>420</v>
      </c>
      <c r="R48" s="234" t="s">
        <v>127</v>
      </c>
      <c r="S48" s="684">
        <f>H12</f>
        <v>9.8000000000000007</v>
      </c>
      <c r="T48" s="684"/>
      <c r="U48" s="192" t="s">
        <v>333</v>
      </c>
      <c r="V48" s="10"/>
    </row>
    <row r="49" spans="1:22" ht="18" customHeight="1">
      <c r="A49" s="9"/>
      <c r="B49" s="47" t="s">
        <v>676</v>
      </c>
      <c r="C49" s="7"/>
      <c r="D49" s="7"/>
      <c r="E49" s="7"/>
      <c r="F49" s="115"/>
      <c r="G49" s="115"/>
      <c r="H49" s="7"/>
      <c r="I49" s="124"/>
      <c r="J49" s="7"/>
      <c r="K49" s="7"/>
      <c r="M49" s="7"/>
      <c r="N49" s="7"/>
      <c r="P49" s="14" t="s">
        <v>974</v>
      </c>
      <c r="R49" s="234" t="s">
        <v>127</v>
      </c>
      <c r="S49" s="795">
        <f>S29</f>
        <v>1.1770224400000002</v>
      </c>
      <c r="T49" s="795"/>
      <c r="U49" s="192" t="s">
        <v>333</v>
      </c>
      <c r="V49" s="10"/>
    </row>
    <row r="50" spans="1:22" ht="18" customHeight="1">
      <c r="A50" s="9"/>
      <c r="B50" s="47" t="s">
        <v>691</v>
      </c>
      <c r="C50" s="7"/>
      <c r="D50" s="7"/>
      <c r="E50" s="7"/>
      <c r="F50" s="7"/>
      <c r="G50" s="7"/>
      <c r="H50" s="7"/>
      <c r="I50" s="124"/>
      <c r="J50" s="7"/>
      <c r="K50" s="7"/>
      <c r="M50" s="7"/>
      <c r="N50" s="7"/>
      <c r="P50" s="14" t="s">
        <v>482</v>
      </c>
      <c r="R50" s="234" t="s">
        <v>127</v>
      </c>
      <c r="S50" s="684">
        <f>O10</f>
        <v>1</v>
      </c>
      <c r="T50" s="684"/>
      <c r="U50" s="30" t="s">
        <v>8</v>
      </c>
      <c r="V50" s="10"/>
    </row>
    <row r="51" spans="1:22" ht="18" customHeight="1">
      <c r="A51" s="9"/>
      <c r="B51" s="47" t="s">
        <v>983</v>
      </c>
      <c r="C51" s="7"/>
      <c r="D51" s="7"/>
      <c r="E51" s="7"/>
      <c r="F51" s="7"/>
      <c r="G51" s="7"/>
      <c r="H51" s="7"/>
      <c r="I51" s="124"/>
      <c r="J51" s="7"/>
      <c r="K51" s="7"/>
      <c r="M51" s="7"/>
      <c r="N51" s="7"/>
      <c r="P51" s="120" t="s">
        <v>984</v>
      </c>
      <c r="R51" s="234" t="s">
        <v>127</v>
      </c>
      <c r="S51" s="713">
        <f>'Parameters &amp; Fault Cal. (4)'!M71</f>
        <v>42229.804278926844</v>
      </c>
      <c r="T51" s="684"/>
      <c r="U51" s="30" t="s">
        <v>8</v>
      </c>
      <c r="V51" s="10"/>
    </row>
    <row r="52" spans="1:22" ht="18" customHeight="1">
      <c r="A52" s="9"/>
      <c r="B52" s="14" t="s">
        <v>985</v>
      </c>
      <c r="C52" s="7"/>
      <c r="D52" s="606"/>
      <c r="E52" s="7"/>
      <c r="F52" s="121"/>
      <c r="G52" s="441"/>
      <c r="H52" s="121"/>
      <c r="I52" s="607"/>
      <c r="J52" s="7"/>
      <c r="K52" s="608"/>
      <c r="M52" s="372"/>
      <c r="N52" s="609"/>
      <c r="P52" s="281" t="s">
        <v>986</v>
      </c>
      <c r="R52" s="234" t="s">
        <v>127</v>
      </c>
      <c r="S52" s="795">
        <f>'Parameters &amp; Fault Cal. (4)'!Q102</f>
        <v>27.369568080254382</v>
      </c>
      <c r="T52" s="684"/>
      <c r="U52" s="30"/>
      <c r="V52" s="10"/>
    </row>
    <row r="53" spans="1:22" ht="18" customHeight="1">
      <c r="A53" s="9"/>
      <c r="B53" s="47" t="s">
        <v>987</v>
      </c>
      <c r="C53" s="7"/>
      <c r="D53" s="7"/>
      <c r="E53" s="7"/>
      <c r="F53" s="7"/>
      <c r="G53" s="7"/>
      <c r="H53" s="7"/>
      <c r="I53" s="124"/>
      <c r="J53" s="7"/>
      <c r="K53" s="7"/>
      <c r="M53" s="7"/>
      <c r="N53" s="7"/>
      <c r="P53" s="421" t="s">
        <v>988</v>
      </c>
      <c r="R53" s="234" t="s">
        <v>127</v>
      </c>
      <c r="S53" s="713">
        <f>'Parameters &amp; Fault Cal. (4)'!M112</f>
        <v>43584.822413584639</v>
      </c>
      <c r="T53" s="684"/>
      <c r="U53" s="30" t="s">
        <v>8</v>
      </c>
      <c r="V53" s="10"/>
    </row>
    <row r="54" spans="1:22" ht="18" customHeight="1">
      <c r="A54" s="9"/>
      <c r="B54" s="14" t="s">
        <v>989</v>
      </c>
      <c r="C54" s="7"/>
      <c r="D54" s="7"/>
      <c r="E54" s="7"/>
      <c r="F54" s="7"/>
      <c r="G54" s="7"/>
      <c r="H54" s="7"/>
      <c r="I54" s="7"/>
      <c r="J54" s="7"/>
      <c r="K54" s="7"/>
      <c r="L54" s="7"/>
      <c r="M54" s="7"/>
      <c r="N54" s="7"/>
      <c r="P54" s="30" t="s">
        <v>990</v>
      </c>
      <c r="R54" s="234" t="s">
        <v>127</v>
      </c>
      <c r="S54" s="795">
        <f>'Parameters &amp; Fault Cal. (4)'!Q118</f>
        <v>41.979419477826461</v>
      </c>
      <c r="T54" s="684"/>
      <c r="U54" s="30"/>
      <c r="V54" s="10"/>
    </row>
    <row r="55" spans="1:22" ht="18" customHeight="1">
      <c r="A55" s="9"/>
      <c r="B55" s="47" t="s">
        <v>991</v>
      </c>
      <c r="C55" s="7"/>
      <c r="D55" s="7"/>
      <c r="E55" s="7"/>
      <c r="F55" s="7"/>
      <c r="G55" s="7"/>
      <c r="H55" s="7"/>
      <c r="I55" s="124"/>
      <c r="J55" s="7"/>
      <c r="K55" s="7"/>
      <c r="M55" s="7"/>
      <c r="N55" s="7"/>
      <c r="P55" s="421" t="s">
        <v>992</v>
      </c>
      <c r="R55" s="234" t="s">
        <v>127</v>
      </c>
      <c r="S55" s="713">
        <f>'Parameters &amp; Fault Cal. (4)'!M133</f>
        <v>44648.255952235893</v>
      </c>
      <c r="T55" s="684"/>
      <c r="U55" s="30" t="s">
        <v>8</v>
      </c>
      <c r="V55" s="10"/>
    </row>
    <row r="56" spans="1:22" ht="18" customHeight="1">
      <c r="A56" s="9"/>
      <c r="B56" s="14" t="s">
        <v>993</v>
      </c>
      <c r="C56" s="7"/>
      <c r="D56" s="606"/>
      <c r="E56" s="7"/>
      <c r="F56" s="121"/>
      <c r="G56" s="441"/>
      <c r="H56" s="121"/>
      <c r="I56" s="607"/>
      <c r="J56" s="7"/>
      <c r="K56" s="608"/>
      <c r="L56" s="7"/>
      <c r="M56" s="372"/>
      <c r="N56" s="609"/>
      <c r="P56" s="30" t="s">
        <v>994</v>
      </c>
      <c r="R56" s="234" t="s">
        <v>127</v>
      </c>
      <c r="S56" s="795">
        <f>'Parameters &amp; Fault Cal. (4)'!Q142</f>
        <v>29.635036773964003</v>
      </c>
      <c r="T56" s="684"/>
      <c r="U56" s="30"/>
      <c r="V56" s="10"/>
    </row>
    <row r="57" spans="1:22" ht="18" customHeight="1">
      <c r="A57" s="9"/>
      <c r="B57" s="47" t="s">
        <v>678</v>
      </c>
      <c r="C57" s="7"/>
      <c r="D57" s="7"/>
      <c r="E57" s="7"/>
      <c r="F57" s="7"/>
      <c r="G57" s="7"/>
      <c r="H57" s="7"/>
      <c r="I57" s="124"/>
      <c r="J57" s="7"/>
      <c r="K57" s="7"/>
      <c r="M57" s="7"/>
      <c r="N57" s="7"/>
      <c r="P57" s="120" t="s">
        <v>973</v>
      </c>
      <c r="R57" s="234" t="s">
        <v>127</v>
      </c>
      <c r="S57" s="713">
        <f>'Parameters &amp; Fault Cal. (4)'!Q32</f>
        <v>50000</v>
      </c>
      <c r="T57" s="684"/>
      <c r="U57" s="30" t="s">
        <v>8</v>
      </c>
      <c r="V57" s="10"/>
    </row>
    <row r="58" spans="1:22" ht="18" customHeight="1">
      <c r="A58" s="96"/>
      <c r="B58" s="14"/>
      <c r="C58" s="7"/>
      <c r="D58" s="606"/>
      <c r="E58" s="7"/>
      <c r="F58" s="121"/>
      <c r="G58" s="441"/>
      <c r="H58" s="121"/>
      <c r="I58" s="607"/>
      <c r="J58" s="7"/>
      <c r="K58" s="608"/>
      <c r="L58" s="7"/>
      <c r="M58" s="47"/>
      <c r="N58" s="28"/>
      <c r="O58" s="27"/>
      <c r="P58" s="30"/>
      <c r="R58" s="234"/>
      <c r="S58" s="211"/>
      <c r="T58" s="27"/>
      <c r="U58" s="30"/>
      <c r="V58" s="10"/>
    </row>
    <row r="59" spans="1:22" ht="18" customHeight="1">
      <c r="A59" s="96"/>
      <c r="B59" s="14" t="s">
        <v>995</v>
      </c>
      <c r="C59" s="437"/>
      <c r="D59" s="376"/>
      <c r="E59" s="376"/>
      <c r="F59" s="152"/>
      <c r="G59" s="152"/>
      <c r="H59" s="152"/>
      <c r="I59" s="153"/>
      <c r="J59" s="153"/>
      <c r="K59" s="7"/>
      <c r="L59" s="376"/>
      <c r="M59" s="376"/>
      <c r="N59" s="153"/>
      <c r="O59" s="610"/>
      <c r="V59" s="10"/>
    </row>
    <row r="60" spans="1:22" ht="18" customHeight="1">
      <c r="A60" s="611"/>
      <c r="B60" s="249" t="s">
        <v>996</v>
      </c>
      <c r="C60" s="7"/>
      <c r="D60" s="7"/>
      <c r="E60" s="7"/>
      <c r="F60" s="7"/>
      <c r="H60" s="152"/>
      <c r="I60" s="14" t="s">
        <v>997</v>
      </c>
      <c r="K60" s="7"/>
      <c r="L60" s="7"/>
      <c r="M60" s="28" t="s">
        <v>135</v>
      </c>
      <c r="N60" s="102" t="s">
        <v>127</v>
      </c>
      <c r="O60" s="28">
        <v>1</v>
      </c>
      <c r="V60" s="10"/>
    </row>
    <row r="61" spans="1:22" ht="18" customHeight="1">
      <c r="A61" s="611"/>
      <c r="B61" s="249" t="s">
        <v>996</v>
      </c>
      <c r="C61" s="441"/>
      <c r="D61" s="441"/>
      <c r="E61" s="441"/>
      <c r="F61" s="441"/>
      <c r="H61" s="152"/>
      <c r="I61" s="14" t="s">
        <v>998</v>
      </c>
      <c r="K61" s="7"/>
      <c r="L61" s="7"/>
      <c r="M61" s="28" t="s">
        <v>135</v>
      </c>
      <c r="N61" s="102" t="s">
        <v>127</v>
      </c>
      <c r="O61" s="28">
        <v>2</v>
      </c>
      <c r="V61" s="10"/>
    </row>
    <row r="62" spans="1:22" ht="18" customHeight="1">
      <c r="A62" s="611"/>
      <c r="B62" s="249" t="s">
        <v>996</v>
      </c>
      <c r="C62" s="441"/>
      <c r="D62" s="441"/>
      <c r="E62" s="441"/>
      <c r="F62" s="441"/>
      <c r="H62" s="152"/>
      <c r="I62" s="14" t="s">
        <v>999</v>
      </c>
      <c r="K62" s="7"/>
      <c r="L62" s="7"/>
      <c r="M62" s="28" t="s">
        <v>135</v>
      </c>
      <c r="N62" s="102" t="s">
        <v>127</v>
      </c>
      <c r="O62" s="28">
        <v>4</v>
      </c>
      <c r="V62" s="10"/>
    </row>
    <row r="63" spans="1:22" ht="18" customHeight="1">
      <c r="A63" s="611"/>
      <c r="B63" s="249"/>
      <c r="C63" s="441"/>
      <c r="D63" s="441"/>
      <c r="E63" s="441"/>
      <c r="F63" s="441"/>
      <c r="H63" s="152"/>
      <c r="I63" s="14"/>
      <c r="K63" s="7"/>
      <c r="L63" s="7"/>
      <c r="M63" s="124"/>
      <c r="N63" s="102"/>
      <c r="O63" s="28"/>
      <c r="V63" s="10"/>
    </row>
    <row r="64" spans="1:22" ht="18" customHeight="1">
      <c r="A64" s="96"/>
      <c r="B64" s="14" t="s">
        <v>1000</v>
      </c>
      <c r="C64" s="437"/>
      <c r="D64" s="376"/>
      <c r="E64" s="376"/>
      <c r="F64" s="152"/>
      <c r="G64" s="152"/>
      <c r="H64" s="152"/>
      <c r="I64" s="28"/>
      <c r="J64" s="153"/>
      <c r="K64" s="7"/>
      <c r="L64" s="376"/>
      <c r="M64" s="372"/>
      <c r="N64" s="153"/>
      <c r="O64" s="612"/>
      <c r="V64" s="10"/>
    </row>
    <row r="65" spans="1:22" ht="18" customHeight="1">
      <c r="A65" s="611"/>
      <c r="B65" s="249" t="s">
        <v>996</v>
      </c>
      <c r="C65" s="441"/>
      <c r="D65" s="441"/>
      <c r="E65" s="441"/>
      <c r="F65" s="441"/>
      <c r="H65" s="152"/>
      <c r="I65" s="14" t="s">
        <v>1001</v>
      </c>
      <c r="K65" s="7"/>
      <c r="L65" s="7"/>
      <c r="M65" s="28" t="s">
        <v>980</v>
      </c>
      <c r="N65" s="102" t="s">
        <v>127</v>
      </c>
      <c r="O65" s="28">
        <v>4</v>
      </c>
      <c r="V65" s="10"/>
    </row>
    <row r="66" spans="1:22" ht="18" customHeight="1">
      <c r="A66" s="611"/>
      <c r="B66" s="249" t="s">
        <v>996</v>
      </c>
      <c r="C66" s="441"/>
      <c r="D66" s="441"/>
      <c r="E66" s="441"/>
      <c r="F66" s="441"/>
      <c r="H66" s="152"/>
      <c r="I66" s="14" t="s">
        <v>999</v>
      </c>
      <c r="K66" s="7"/>
      <c r="L66" s="7"/>
      <c r="M66" s="28" t="s">
        <v>980</v>
      </c>
      <c r="N66" s="102" t="s">
        <v>127</v>
      </c>
      <c r="O66" s="28">
        <v>5</v>
      </c>
      <c r="V66" s="10"/>
    </row>
    <row r="67" spans="1:22" ht="18" customHeight="1">
      <c r="A67" s="611"/>
      <c r="B67" s="249"/>
      <c r="C67" s="441"/>
      <c r="D67" s="441"/>
      <c r="E67" s="441"/>
      <c r="F67" s="441"/>
      <c r="H67" s="152"/>
      <c r="I67" s="14"/>
      <c r="K67" s="7"/>
      <c r="L67" s="7"/>
      <c r="M67" s="124"/>
      <c r="N67" s="102"/>
      <c r="O67" s="28"/>
      <c r="V67" s="10"/>
    </row>
    <row r="68" spans="1:22" ht="18" customHeight="1">
      <c r="A68" s="96" t="s">
        <v>1002</v>
      </c>
      <c r="B68" s="152"/>
      <c r="C68" s="152"/>
      <c r="D68" s="152"/>
      <c r="E68" s="152"/>
      <c r="F68" s="7"/>
      <c r="G68" s="437"/>
      <c r="H68" s="437"/>
      <c r="I68" s="7"/>
      <c r="J68" s="7"/>
      <c r="K68" s="152"/>
      <c r="L68" s="152"/>
      <c r="M68" s="152"/>
      <c r="N68" s="152"/>
      <c r="O68" s="152"/>
      <c r="V68" s="10"/>
    </row>
    <row r="69" spans="1:22" ht="18" customHeight="1">
      <c r="A69" s="116" t="s">
        <v>1003</v>
      </c>
      <c r="B69" s="152"/>
      <c r="C69" s="152"/>
      <c r="D69" s="152"/>
      <c r="E69" s="152"/>
      <c r="F69" s="7"/>
      <c r="G69" s="437"/>
      <c r="H69" s="437"/>
      <c r="I69" s="7"/>
      <c r="J69" s="7"/>
      <c r="K69" s="152"/>
      <c r="L69" s="152"/>
      <c r="M69" s="152"/>
      <c r="N69" s="152"/>
      <c r="O69" s="152"/>
      <c r="V69" s="10"/>
    </row>
    <row r="70" spans="1:22" ht="18" customHeight="1">
      <c r="A70" s="116"/>
      <c r="B70" s="197" t="s">
        <v>971</v>
      </c>
      <c r="C70" s="594"/>
      <c r="D70" s="594"/>
      <c r="E70" s="594"/>
      <c r="F70" s="594"/>
      <c r="G70" s="594"/>
      <c r="H70" s="594"/>
      <c r="I70" s="594"/>
      <c r="J70" s="595"/>
      <c r="K70" s="594"/>
      <c r="L70" s="594"/>
      <c r="M70" s="594"/>
      <c r="N70" s="594"/>
      <c r="O70" s="594"/>
      <c r="P70" s="594"/>
      <c r="Q70" s="594"/>
      <c r="R70" s="594"/>
      <c r="S70" s="594"/>
      <c r="T70" s="594"/>
      <c r="U70" s="594"/>
      <c r="V70" s="596"/>
    </row>
    <row r="71" spans="1:22" ht="18" customHeight="1">
      <c r="A71" s="116"/>
      <c r="B71" s="689" t="s">
        <v>972</v>
      </c>
      <c r="C71" s="1150" t="s">
        <v>652</v>
      </c>
      <c r="D71" s="155"/>
      <c r="E71" s="155"/>
      <c r="F71" s="155"/>
      <c r="G71" s="802">
        <v>0.5</v>
      </c>
      <c r="H71" s="1153" t="s">
        <v>315</v>
      </c>
      <c r="I71" s="1205">
        <f>S57</f>
        <v>50000</v>
      </c>
      <c r="J71" s="1204"/>
      <c r="K71" s="1204"/>
      <c r="L71" s="1204"/>
      <c r="M71" s="1204"/>
      <c r="N71" s="689" t="s">
        <v>672</v>
      </c>
      <c r="O71" s="708">
        <f>S48</f>
        <v>9.8000000000000007</v>
      </c>
      <c r="P71" s="689" t="s">
        <v>347</v>
      </c>
      <c r="Q71" s="708">
        <f>S49</f>
        <v>1.1770224400000002</v>
      </c>
      <c r="R71" s="708" t="s">
        <v>674</v>
      </c>
      <c r="S71" s="708">
        <f>S50</f>
        <v>1</v>
      </c>
      <c r="U71" s="729" t="s">
        <v>653</v>
      </c>
      <c r="V71" s="10"/>
    </row>
    <row r="72" spans="1:22" ht="18" customHeight="1">
      <c r="A72" s="116"/>
      <c r="B72" s="689"/>
      <c r="C72" s="689"/>
      <c r="D72" s="155"/>
      <c r="E72" s="155"/>
      <c r="F72" s="155"/>
      <c r="G72" s="802"/>
      <c r="H72" s="689"/>
      <c r="I72" s="695">
        <v>1.25</v>
      </c>
      <c r="J72" s="695"/>
      <c r="K72" s="121" t="s">
        <v>315</v>
      </c>
      <c r="L72" s="695">
        <f>S47</f>
        <v>3200</v>
      </c>
      <c r="M72" s="695"/>
      <c r="N72" s="689"/>
      <c r="O72" s="689"/>
      <c r="P72" s="689"/>
      <c r="Q72" s="689"/>
      <c r="R72" s="689"/>
      <c r="S72" s="689"/>
      <c r="T72" s="155"/>
      <c r="U72" s="689"/>
      <c r="V72" s="10"/>
    </row>
    <row r="73" spans="1:22" ht="18" customHeight="1">
      <c r="A73" s="116"/>
      <c r="B73" s="28"/>
      <c r="C73" s="27" t="s">
        <v>127</v>
      </c>
      <c r="D73" s="812">
        <f>G71*(I71/(I72*L72)*(O71+Q71)*S71)</f>
        <v>68.606390250000004</v>
      </c>
      <c r="E73" s="813"/>
      <c r="F73" s="27" t="s">
        <v>305</v>
      </c>
      <c r="G73" s="120"/>
      <c r="H73" s="28"/>
      <c r="I73" s="121"/>
      <c r="J73" s="121"/>
      <c r="K73" s="121"/>
      <c r="L73" s="121"/>
      <c r="M73" s="121"/>
      <c r="N73" s="28"/>
      <c r="O73" s="28"/>
      <c r="P73" s="28"/>
      <c r="Q73" s="28"/>
      <c r="R73" s="28"/>
      <c r="S73" s="28"/>
      <c r="T73" s="155"/>
      <c r="U73" s="28"/>
      <c r="V73" s="10"/>
    </row>
    <row r="74" spans="1:22" ht="18" customHeight="1">
      <c r="A74" s="116"/>
      <c r="B74" s="197" t="s">
        <v>975</v>
      </c>
      <c r="C74" s="28"/>
      <c r="D74" s="155"/>
      <c r="E74" s="155"/>
      <c r="F74" s="155"/>
      <c r="G74" s="120"/>
      <c r="H74" s="28"/>
      <c r="I74" s="121"/>
      <c r="J74" s="121"/>
      <c r="K74" s="121"/>
      <c r="L74" s="121"/>
      <c r="M74" s="121"/>
      <c r="N74" s="28"/>
      <c r="O74" s="28"/>
      <c r="P74" s="28"/>
      <c r="Q74" s="28"/>
      <c r="R74" s="28"/>
      <c r="S74" s="28"/>
      <c r="T74" s="155"/>
      <c r="U74" s="28"/>
      <c r="V74" s="10"/>
    </row>
    <row r="75" spans="1:22" ht="18" customHeight="1">
      <c r="A75" s="396"/>
      <c r="B75" s="689" t="s">
        <v>972</v>
      </c>
      <c r="C75" s="1150" t="s">
        <v>652</v>
      </c>
      <c r="D75" s="155"/>
      <c r="E75" s="155"/>
      <c r="F75" s="155"/>
      <c r="G75" s="802">
        <v>1.2</v>
      </c>
      <c r="H75" s="1153" t="s">
        <v>315</v>
      </c>
      <c r="I75" s="1203">
        <f>S51</f>
        <v>42229.804278926844</v>
      </c>
      <c r="J75" s="1204"/>
      <c r="K75" s="1204"/>
      <c r="L75" s="1204"/>
      <c r="M75" s="1204"/>
      <c r="N75" s="689" t="s">
        <v>672</v>
      </c>
      <c r="O75" s="708">
        <f>S48</f>
        <v>9.8000000000000007</v>
      </c>
      <c r="P75" s="689" t="s">
        <v>347</v>
      </c>
      <c r="Q75" s="708">
        <f>S49</f>
        <v>1.1770224400000002</v>
      </c>
      <c r="R75" s="708" t="s">
        <v>674</v>
      </c>
      <c r="S75" s="708">
        <f>S50</f>
        <v>1</v>
      </c>
      <c r="U75" s="729" t="s">
        <v>683</v>
      </c>
      <c r="V75" s="10"/>
    </row>
    <row r="76" spans="1:22" ht="18" customHeight="1">
      <c r="A76" s="396"/>
      <c r="B76" s="689"/>
      <c r="C76" s="689"/>
      <c r="D76" s="155"/>
      <c r="E76" s="155"/>
      <c r="F76" s="155"/>
      <c r="G76" s="802"/>
      <c r="H76" s="689"/>
      <c r="I76" s="695">
        <v>1.25</v>
      </c>
      <c r="J76" s="695"/>
      <c r="K76" s="121" t="s">
        <v>315</v>
      </c>
      <c r="L76" s="695">
        <f>S47</f>
        <v>3200</v>
      </c>
      <c r="M76" s="695"/>
      <c r="N76" s="689"/>
      <c r="O76" s="689"/>
      <c r="P76" s="689"/>
      <c r="Q76" s="689"/>
      <c r="R76" s="689"/>
      <c r="S76" s="689"/>
      <c r="T76" s="155"/>
      <c r="U76" s="689"/>
      <c r="V76" s="10"/>
    </row>
    <row r="77" spans="1:22" ht="18" customHeight="1">
      <c r="A77" s="396"/>
      <c r="B77" s="28"/>
      <c r="C77" s="27" t="s">
        <v>127</v>
      </c>
      <c r="D77" s="812">
        <f>G75*(I75/(I76*L76)*(O75+Q75)*S75)</f>
        <v>139.06725276197639</v>
      </c>
      <c r="E77" s="813"/>
      <c r="F77" s="27" t="s">
        <v>305</v>
      </c>
      <c r="G77" s="120"/>
      <c r="H77" s="28"/>
      <c r="I77" s="121"/>
      <c r="J77" s="121"/>
      <c r="K77" s="121"/>
      <c r="L77" s="121"/>
      <c r="M77" s="121"/>
      <c r="N77" s="28"/>
      <c r="O77" s="28"/>
      <c r="P77" s="28"/>
      <c r="Q77" s="28"/>
      <c r="R77" s="28"/>
      <c r="S77" s="28"/>
      <c r="T77" s="155"/>
      <c r="U77" s="28"/>
      <c r="V77" s="10"/>
    </row>
    <row r="78" spans="1:22" ht="18" customHeight="1">
      <c r="A78" s="396"/>
      <c r="B78" s="152"/>
      <c r="C78" s="152"/>
      <c r="D78" s="152"/>
      <c r="E78" s="152"/>
      <c r="F78" s="7"/>
      <c r="G78" s="437"/>
      <c r="H78" s="437"/>
      <c r="I78" s="7"/>
      <c r="J78" s="7"/>
      <c r="K78" s="152"/>
      <c r="L78" s="152"/>
      <c r="M78" s="152"/>
      <c r="N78" s="152"/>
      <c r="O78" s="152"/>
      <c r="V78" s="10"/>
    </row>
    <row r="79" spans="1:22" ht="18" customHeight="1">
      <c r="A79" s="116" t="s">
        <v>977</v>
      </c>
      <c r="B79" s="152"/>
      <c r="C79" s="152"/>
      <c r="D79" s="152"/>
      <c r="E79" s="152"/>
      <c r="F79" s="7"/>
      <c r="G79" s="437"/>
      <c r="H79" s="437"/>
      <c r="I79" s="7"/>
      <c r="J79" s="7"/>
      <c r="K79" s="152"/>
      <c r="L79" s="152"/>
      <c r="M79" s="152"/>
      <c r="N79" s="152"/>
      <c r="O79" s="152"/>
      <c r="V79" s="10"/>
    </row>
    <row r="80" spans="1:22" ht="18" customHeight="1">
      <c r="A80" s="193"/>
      <c r="B80" s="197" t="s">
        <v>416</v>
      </c>
      <c r="C80" s="613"/>
      <c r="D80" s="156"/>
      <c r="E80" s="156"/>
      <c r="F80" s="156"/>
      <c r="G80" s="156"/>
      <c r="H80" s="156"/>
      <c r="I80" s="156"/>
      <c r="J80" s="156"/>
      <c r="K80" s="156"/>
      <c r="L80" s="375"/>
      <c r="M80" s="375"/>
      <c r="N80" s="375"/>
      <c r="O80" s="375"/>
      <c r="P80" s="157"/>
      <c r="Q80" s="614"/>
      <c r="R80" s="375"/>
      <c r="S80" s="156"/>
      <c r="V80" s="10"/>
    </row>
    <row r="81" spans="1:22" ht="18" customHeight="1">
      <c r="A81" s="447"/>
      <c r="B81" s="397"/>
      <c r="C81" s="613"/>
      <c r="D81" s="156"/>
      <c r="E81" s="14" t="s">
        <v>1004</v>
      </c>
      <c r="G81" s="7"/>
      <c r="H81" s="7"/>
      <c r="I81" s="7"/>
      <c r="J81" s="124"/>
      <c r="K81" s="124"/>
      <c r="L81" s="7"/>
      <c r="N81" s="28" t="s">
        <v>127</v>
      </c>
      <c r="O81" s="692">
        <f>S52</f>
        <v>27.369568080254382</v>
      </c>
      <c r="P81" s="684"/>
      <c r="R81" s="120" t="s">
        <v>135</v>
      </c>
      <c r="S81" s="28" t="s">
        <v>127</v>
      </c>
      <c r="T81" s="28">
        <f>IF(O81&lt;=30,O60,IF(O81&lt;=50,O61,O62))</f>
        <v>1</v>
      </c>
      <c r="V81" s="10"/>
    </row>
    <row r="82" spans="1:22" ht="18" customHeight="1">
      <c r="A82" s="159"/>
      <c r="B82" s="689" t="s">
        <v>972</v>
      </c>
      <c r="C82" s="1150" t="s">
        <v>652</v>
      </c>
      <c r="D82" s="155"/>
      <c r="E82" s="155"/>
      <c r="F82" s="155"/>
      <c r="G82" s="808">
        <f>T81</f>
        <v>1</v>
      </c>
      <c r="H82" s="1197" t="s">
        <v>315</v>
      </c>
      <c r="I82" s="1202">
        <f>S51</f>
        <v>42229.804278926844</v>
      </c>
      <c r="J82" s="821"/>
      <c r="K82" s="821"/>
      <c r="L82" s="821"/>
      <c r="M82" s="821"/>
      <c r="N82" s="805" t="s">
        <v>672</v>
      </c>
      <c r="O82" s="822">
        <f>S48</f>
        <v>9.8000000000000007</v>
      </c>
      <c r="P82" s="805" t="s">
        <v>347</v>
      </c>
      <c r="Q82" s="1196">
        <f>S49</f>
        <v>1.1770224400000002</v>
      </c>
      <c r="R82" s="822" t="s">
        <v>674</v>
      </c>
      <c r="S82" s="822">
        <f>S50</f>
        <v>1</v>
      </c>
      <c r="T82" s="7"/>
      <c r="U82" s="729" t="s">
        <v>685</v>
      </c>
      <c r="V82" s="10"/>
    </row>
    <row r="83" spans="1:22" ht="18" customHeight="1">
      <c r="A83" s="159"/>
      <c r="B83" s="689"/>
      <c r="C83" s="689"/>
      <c r="D83" s="155"/>
      <c r="E83" s="155"/>
      <c r="F83" s="155"/>
      <c r="G83" s="808"/>
      <c r="H83" s="993"/>
      <c r="I83" s="1199">
        <v>1.25</v>
      </c>
      <c r="J83" s="1200"/>
      <c r="K83" s="615" t="s">
        <v>315</v>
      </c>
      <c r="L83" s="1199">
        <f>S47</f>
        <v>3200</v>
      </c>
      <c r="M83" s="1200"/>
      <c r="N83" s="805"/>
      <c r="O83" s="805"/>
      <c r="P83" s="805"/>
      <c r="Q83" s="1184"/>
      <c r="R83" s="805"/>
      <c r="S83" s="805"/>
      <c r="T83" s="7"/>
      <c r="U83" s="689"/>
      <c r="V83" s="10"/>
    </row>
    <row r="84" spans="1:22" ht="18" customHeight="1">
      <c r="A84" s="9"/>
      <c r="C84" s="27" t="s">
        <v>127</v>
      </c>
      <c r="D84" s="812">
        <f>G82*(I82/(I83*L83)*(O82+Q82)*S82)</f>
        <v>115.889377301647</v>
      </c>
      <c r="E84" s="813"/>
      <c r="F84" s="27" t="s">
        <v>305</v>
      </c>
      <c r="V84" s="10"/>
    </row>
    <row r="85" spans="1:22" ht="18" customHeight="1">
      <c r="A85" s="9"/>
      <c r="C85" s="27"/>
      <c r="D85" s="211"/>
      <c r="E85" s="211"/>
      <c r="F85" s="27"/>
      <c r="V85" s="10"/>
    </row>
    <row r="86" spans="1:22" ht="18" customHeight="1">
      <c r="A86" s="620"/>
      <c r="B86" s="423"/>
      <c r="C86" s="423"/>
      <c r="D86" s="423"/>
      <c r="E86" s="423"/>
      <c r="F86" s="423"/>
      <c r="G86" s="423"/>
      <c r="H86" s="423"/>
      <c r="I86" s="423"/>
      <c r="J86" s="423"/>
      <c r="K86" s="423"/>
      <c r="L86" s="423"/>
      <c r="M86" s="423"/>
      <c r="N86" s="423"/>
      <c r="O86" s="423"/>
      <c r="P86" s="423"/>
      <c r="Q86" s="423"/>
      <c r="R86" s="423"/>
      <c r="S86" s="423"/>
      <c r="T86" s="423"/>
      <c r="U86" s="423"/>
      <c r="V86" s="603"/>
    </row>
    <row r="87" spans="1:22" ht="18" customHeight="1">
      <c r="A87" s="442"/>
      <c r="B87" s="384"/>
      <c r="C87" s="384"/>
      <c r="D87" s="384"/>
      <c r="E87" s="384"/>
      <c r="F87" s="384"/>
      <c r="G87" s="384"/>
      <c r="H87" s="384"/>
      <c r="I87" s="384"/>
      <c r="J87" s="384"/>
      <c r="K87" s="384"/>
      <c r="L87" s="384"/>
      <c r="M87" s="384"/>
      <c r="N87" s="384"/>
      <c r="O87" s="384"/>
      <c r="P87" s="384"/>
      <c r="Q87" s="384"/>
      <c r="R87" s="384"/>
      <c r="S87" s="384"/>
      <c r="T87" s="384"/>
      <c r="U87" s="384"/>
      <c r="V87" s="395"/>
    </row>
    <row r="88" spans="1:22" ht="18" customHeight="1">
      <c r="A88" s="193"/>
      <c r="B88" s="197" t="s">
        <v>1005</v>
      </c>
      <c r="C88" s="156"/>
      <c r="D88" s="157"/>
      <c r="E88" s="616"/>
      <c r="F88" s="617"/>
      <c r="G88" s="157"/>
      <c r="H88" s="1201"/>
      <c r="I88" s="811"/>
      <c r="J88" s="811"/>
      <c r="K88" s="157"/>
      <c r="L88" s="156"/>
      <c r="M88" s="156"/>
      <c r="N88" s="157"/>
      <c r="O88" s="157"/>
      <c r="P88" s="157"/>
      <c r="Q88" s="353"/>
      <c r="R88" s="618"/>
      <c r="S88" s="619"/>
      <c r="V88" s="10"/>
    </row>
    <row r="89" spans="1:22" ht="18" customHeight="1">
      <c r="A89" s="447"/>
      <c r="B89" s="156"/>
      <c r="C89" s="156"/>
      <c r="D89" s="157"/>
      <c r="E89" s="14" t="s">
        <v>1006</v>
      </c>
      <c r="G89" s="7"/>
      <c r="H89" s="7"/>
      <c r="I89" s="7"/>
      <c r="J89" s="124"/>
      <c r="K89" s="124"/>
      <c r="L89" s="7"/>
      <c r="N89" s="28" t="s">
        <v>127</v>
      </c>
      <c r="O89" s="692">
        <f>S54</f>
        <v>41.979419477826461</v>
      </c>
      <c r="P89" s="684"/>
      <c r="R89" s="120" t="s">
        <v>980</v>
      </c>
      <c r="S89" s="28" t="s">
        <v>127</v>
      </c>
      <c r="T89" s="28">
        <f>IF(O89&lt;=30,O65,O66)</f>
        <v>5</v>
      </c>
      <c r="V89" s="10"/>
    </row>
    <row r="90" spans="1:22" ht="18" customHeight="1">
      <c r="A90" s="159"/>
      <c r="B90" s="689" t="s">
        <v>972</v>
      </c>
      <c r="C90" s="1150" t="s">
        <v>652</v>
      </c>
      <c r="D90" s="155"/>
      <c r="E90" s="155"/>
      <c r="F90" s="155"/>
      <c r="G90" s="808">
        <f>T89</f>
        <v>5</v>
      </c>
      <c r="H90" s="1197" t="s">
        <v>315</v>
      </c>
      <c r="I90" s="1198">
        <f>S53</f>
        <v>43584.822413584639</v>
      </c>
      <c r="J90" s="821"/>
      <c r="K90" s="821"/>
      <c r="L90" s="821"/>
      <c r="M90" s="821"/>
      <c r="N90" s="805" t="s">
        <v>672</v>
      </c>
      <c r="O90" s="822">
        <f>S48</f>
        <v>9.8000000000000007</v>
      </c>
      <c r="P90" s="805" t="s">
        <v>347</v>
      </c>
      <c r="Q90" s="1196">
        <f>S49</f>
        <v>1.1770224400000002</v>
      </c>
      <c r="R90" s="822" t="s">
        <v>674</v>
      </c>
      <c r="S90" s="822">
        <f>S50</f>
        <v>1</v>
      </c>
      <c r="U90" s="729" t="s">
        <v>982</v>
      </c>
      <c r="V90" s="10"/>
    </row>
    <row r="91" spans="1:22" ht="18" customHeight="1">
      <c r="A91" s="159"/>
      <c r="B91" s="689"/>
      <c r="C91" s="689"/>
      <c r="D91" s="155"/>
      <c r="E91" s="155"/>
      <c r="F91" s="155"/>
      <c r="G91" s="808"/>
      <c r="H91" s="993"/>
      <c r="I91" s="1199">
        <v>1.25</v>
      </c>
      <c r="J91" s="1200"/>
      <c r="K91" s="615" t="s">
        <v>315</v>
      </c>
      <c r="L91" s="1199">
        <f>S47</f>
        <v>3200</v>
      </c>
      <c r="M91" s="1200"/>
      <c r="N91" s="805"/>
      <c r="O91" s="805"/>
      <c r="P91" s="805"/>
      <c r="Q91" s="805"/>
      <c r="R91" s="805"/>
      <c r="S91" s="805"/>
      <c r="U91" s="689"/>
      <c r="V91" s="10"/>
    </row>
    <row r="92" spans="1:22" ht="18" customHeight="1">
      <c r="A92" s="9"/>
      <c r="C92" s="27" t="s">
        <v>127</v>
      </c>
      <c r="D92" s="812">
        <f>G90*(I90/(I91*L91)*(O90+Q90)*S90)</f>
        <v>598.03946709666695</v>
      </c>
      <c r="E92" s="813"/>
      <c r="F92" s="27" t="s">
        <v>305</v>
      </c>
      <c r="V92" s="10"/>
    </row>
    <row r="93" spans="1:22" ht="18" customHeight="1">
      <c r="A93" s="9"/>
      <c r="V93" s="10"/>
    </row>
    <row r="94" spans="1:22" ht="18" customHeight="1">
      <c r="A94" s="114"/>
      <c r="B94" s="7"/>
      <c r="C94" s="7"/>
      <c r="D94" s="7"/>
      <c r="E94" s="7"/>
      <c r="F94" s="7"/>
      <c r="G94" s="7"/>
      <c r="H94" s="7"/>
      <c r="I94" s="7"/>
      <c r="J94" s="7"/>
      <c r="K94" s="7"/>
      <c r="L94" s="7"/>
      <c r="M94" s="7"/>
      <c r="N94" s="7"/>
      <c r="O94" s="7"/>
      <c r="P94" s="7"/>
      <c r="Q94" s="124"/>
      <c r="R94" s="121"/>
      <c r="S94" s="405"/>
      <c r="T94" s="7"/>
      <c r="U94" s="7"/>
      <c r="V94" s="381"/>
    </row>
    <row r="95" spans="1:22" ht="18" customHeight="1">
      <c r="A95" s="9"/>
      <c r="V95" s="10"/>
    </row>
    <row r="96" spans="1:22" ht="18" customHeight="1">
      <c r="A96" s="193"/>
      <c r="B96" s="197" t="s">
        <v>1007</v>
      </c>
      <c r="C96" s="156"/>
      <c r="D96" s="157"/>
      <c r="E96" s="616"/>
      <c r="F96" s="617"/>
      <c r="G96" s="157"/>
      <c r="H96" s="1201"/>
      <c r="I96" s="811"/>
      <c r="J96" s="811"/>
      <c r="K96" s="157"/>
      <c r="L96" s="156"/>
      <c r="M96" s="156"/>
      <c r="N96" s="157"/>
      <c r="O96" s="157"/>
      <c r="P96" s="157"/>
      <c r="Q96" s="353"/>
      <c r="R96" s="618"/>
      <c r="S96" s="619"/>
      <c r="V96" s="10"/>
    </row>
    <row r="97" spans="1:22" s="7" customFormat="1" ht="18" customHeight="1">
      <c r="A97" s="447"/>
      <c r="B97" s="156"/>
      <c r="C97" s="156"/>
      <c r="D97" s="157"/>
      <c r="E97" s="14" t="s">
        <v>1006</v>
      </c>
      <c r="F97"/>
      <c r="J97" s="124"/>
      <c r="K97" s="124"/>
      <c r="M97"/>
      <c r="N97" s="28" t="s">
        <v>127</v>
      </c>
      <c r="O97" s="692">
        <f>S56</f>
        <v>29.635036773964003</v>
      </c>
      <c r="P97" s="684"/>
      <c r="Q97"/>
      <c r="R97" s="120" t="s">
        <v>980</v>
      </c>
      <c r="S97" s="28" t="s">
        <v>127</v>
      </c>
      <c r="T97" s="28">
        <f>IF(O97&lt;=30,O65,O66)</f>
        <v>4</v>
      </c>
      <c r="U97"/>
      <c r="V97" s="10"/>
    </row>
    <row r="98" spans="1:22" ht="18" customHeight="1">
      <c r="A98" s="159"/>
      <c r="B98" s="689" t="s">
        <v>972</v>
      </c>
      <c r="C98" s="1150" t="s">
        <v>652</v>
      </c>
      <c r="D98" s="155"/>
      <c r="E98" s="155"/>
      <c r="F98" s="155"/>
      <c r="G98" s="808">
        <f>T97</f>
        <v>4</v>
      </c>
      <c r="H98" s="1197" t="s">
        <v>315</v>
      </c>
      <c r="I98" s="1198">
        <f>S55</f>
        <v>44648.255952235893</v>
      </c>
      <c r="J98" s="821"/>
      <c r="K98" s="821"/>
      <c r="L98" s="821"/>
      <c r="M98" s="821"/>
      <c r="N98" s="805" t="s">
        <v>672</v>
      </c>
      <c r="O98" s="822">
        <f>S48</f>
        <v>9.8000000000000007</v>
      </c>
      <c r="P98" s="805" t="s">
        <v>347</v>
      </c>
      <c r="Q98" s="1196">
        <f>S49</f>
        <v>1.1770224400000002</v>
      </c>
      <c r="R98" s="822" t="s">
        <v>674</v>
      </c>
      <c r="S98" s="822">
        <f>S50</f>
        <v>1</v>
      </c>
      <c r="U98" s="729" t="s">
        <v>982</v>
      </c>
      <c r="V98" s="10"/>
    </row>
    <row r="99" spans="1:22" ht="18" customHeight="1">
      <c r="A99" s="159"/>
      <c r="B99" s="689"/>
      <c r="C99" s="689"/>
      <c r="D99" s="155"/>
      <c r="E99" s="155"/>
      <c r="F99" s="155"/>
      <c r="G99" s="808"/>
      <c r="H99" s="993"/>
      <c r="I99" s="1199">
        <v>1.25</v>
      </c>
      <c r="J99" s="1200"/>
      <c r="K99" s="615" t="s">
        <v>315</v>
      </c>
      <c r="L99" s="1199">
        <f>S47</f>
        <v>3200</v>
      </c>
      <c r="M99" s="1200"/>
      <c r="N99" s="805"/>
      <c r="O99" s="805"/>
      <c r="P99" s="805"/>
      <c r="Q99" s="805"/>
      <c r="R99" s="805"/>
      <c r="S99" s="805"/>
      <c r="U99" s="689"/>
      <c r="V99" s="10"/>
    </row>
    <row r="100" spans="1:22" ht="18" customHeight="1">
      <c r="A100" s="9"/>
      <c r="C100" s="27" t="s">
        <v>127</v>
      </c>
      <c r="D100" s="812">
        <f>G98*(I98/(I99*L99)*(O98+Q98)*S98)</f>
        <v>490.10490749455698</v>
      </c>
      <c r="E100" s="813"/>
      <c r="F100" s="27" t="s">
        <v>305</v>
      </c>
      <c r="V100" s="10"/>
    </row>
    <row r="101" spans="1:22" ht="18" customHeight="1">
      <c r="A101" s="9"/>
      <c r="V101" s="10"/>
    </row>
    <row r="102" spans="1:22" ht="18" customHeight="1">
      <c r="A102" s="184" t="s">
        <v>1008</v>
      </c>
      <c r="M102" s="825">
        <f>S47</f>
        <v>3200</v>
      </c>
      <c r="N102" s="826"/>
      <c r="O102" s="30" t="s">
        <v>470</v>
      </c>
      <c r="Q102" s="812">
        <f>MAX(D73,D77,D84,D92,D100)</f>
        <v>598.03946709666695</v>
      </c>
      <c r="R102" s="820"/>
      <c r="S102" s="30" t="s">
        <v>305</v>
      </c>
      <c r="V102" s="10"/>
    </row>
    <row r="103" spans="1:22" ht="18" customHeight="1">
      <c r="A103" s="9"/>
      <c r="G103" s="425"/>
      <c r="V103" s="10"/>
    </row>
    <row r="104" spans="1:22" ht="18" customHeight="1">
      <c r="A104" s="9"/>
      <c r="D104" s="14" t="s">
        <v>475</v>
      </c>
      <c r="G104" s="27" t="str">
        <f>IF(E105&gt;H105,"&gt;","&lt;")</f>
        <v>&gt;</v>
      </c>
      <c r="H104" s="14" t="s">
        <v>477</v>
      </c>
      <c r="V104" s="10"/>
    </row>
    <row r="105" spans="1:22" ht="18" customHeight="1">
      <c r="A105" s="9"/>
      <c r="E105" s="684">
        <f>H13</f>
        <v>2000</v>
      </c>
      <c r="F105" s="684"/>
      <c r="G105" s="27" t="str">
        <f>G104</f>
        <v>&gt;</v>
      </c>
      <c r="H105" s="795">
        <f>Q102</f>
        <v>598.03946709666695</v>
      </c>
      <c r="I105" s="684"/>
      <c r="V105" s="10"/>
    </row>
    <row r="106" spans="1:22" ht="18" customHeight="1">
      <c r="A106" s="9"/>
      <c r="F106" s="244" t="s">
        <v>478</v>
      </c>
      <c r="H106" s="18" t="str">
        <f>IF(G104="&gt;","Suitably Dimensioned","Under Dimensioned")</f>
        <v>Suitably Dimensioned</v>
      </c>
      <c r="V106" s="10"/>
    </row>
    <row r="107" spans="1:22" ht="18" customHeight="1">
      <c r="A107" s="9"/>
      <c r="F107" s="244"/>
      <c r="H107" s="18"/>
      <c r="V107" s="10"/>
    </row>
    <row r="108" spans="1:22" ht="18" customHeight="1">
      <c r="A108" s="9"/>
      <c r="H108" s="115"/>
      <c r="V108" s="10"/>
    </row>
    <row r="109" spans="1:22" ht="18" customHeight="1">
      <c r="A109" s="9"/>
      <c r="F109" s="244"/>
      <c r="H109" s="18"/>
      <c r="V109" s="10"/>
    </row>
    <row r="110" spans="1:22" ht="18" customHeight="1">
      <c r="A110" s="9"/>
      <c r="H110" s="115"/>
      <c r="V110" s="10"/>
    </row>
    <row r="111" spans="1:22" ht="18" customHeight="1">
      <c r="A111" s="9"/>
      <c r="F111" s="244"/>
      <c r="H111" s="18"/>
      <c r="V111" s="10"/>
    </row>
    <row r="112" spans="1:22" ht="18" customHeight="1">
      <c r="A112" s="9"/>
      <c r="H112" s="115"/>
      <c r="V112" s="10"/>
    </row>
    <row r="113" spans="1:22" ht="18" customHeight="1">
      <c r="A113" s="9"/>
      <c r="F113" s="244"/>
      <c r="H113" s="18"/>
      <c r="V113" s="10"/>
    </row>
    <row r="114" spans="1:22" ht="18" customHeight="1">
      <c r="A114" s="9"/>
      <c r="F114" s="244"/>
      <c r="H114" s="18"/>
      <c r="V114" s="10"/>
    </row>
    <row r="115" spans="1:22" ht="18" customHeight="1">
      <c r="A115" s="9"/>
      <c r="H115" s="115"/>
      <c r="V115" s="10"/>
    </row>
    <row r="116" spans="1:22" ht="18" customHeight="1">
      <c r="A116" s="9"/>
      <c r="F116" s="244"/>
      <c r="H116" s="18"/>
      <c r="V116" s="10"/>
    </row>
    <row r="117" spans="1:22" ht="18" customHeight="1">
      <c r="A117" s="9"/>
      <c r="H117" s="115"/>
      <c r="V117" s="10"/>
    </row>
    <row r="118" spans="1:22" ht="18" customHeight="1">
      <c r="A118" s="9"/>
      <c r="F118" s="244"/>
      <c r="H118" s="18"/>
      <c r="V118" s="10"/>
    </row>
    <row r="119" spans="1:22" ht="18" customHeight="1">
      <c r="A119" s="9"/>
      <c r="H119" s="115"/>
      <c r="V119" s="10"/>
    </row>
    <row r="120" spans="1:22" ht="18" customHeight="1">
      <c r="A120" s="9"/>
      <c r="F120" s="244"/>
      <c r="H120" s="18"/>
      <c r="V120" s="10"/>
    </row>
    <row r="121" spans="1:22" ht="18" customHeight="1">
      <c r="A121" s="9"/>
      <c r="H121" s="115"/>
      <c r="V121" s="10"/>
    </row>
    <row r="122" spans="1:22" ht="18" customHeight="1">
      <c r="A122" s="9"/>
      <c r="F122" s="244"/>
      <c r="H122" s="18"/>
      <c r="V122" s="10"/>
    </row>
    <row r="123" spans="1:22" ht="18" customHeight="1">
      <c r="A123" s="9"/>
      <c r="H123" s="115"/>
      <c r="V123" s="10"/>
    </row>
    <row r="124" spans="1:22" ht="18" customHeight="1">
      <c r="A124" s="9"/>
      <c r="F124" s="244"/>
      <c r="H124" s="18"/>
      <c r="V124" s="10"/>
    </row>
    <row r="125" spans="1:22" ht="18" customHeight="1">
      <c r="A125" s="9"/>
      <c r="F125" s="244"/>
      <c r="H125" s="18"/>
      <c r="V125" s="10"/>
    </row>
    <row r="126" spans="1:22" ht="18" customHeight="1">
      <c r="A126" s="620"/>
      <c r="B126" s="423"/>
      <c r="C126" s="423"/>
      <c r="D126" s="423"/>
      <c r="E126" s="423"/>
      <c r="F126" s="423"/>
      <c r="G126" s="423"/>
      <c r="H126" s="621"/>
      <c r="I126" s="423"/>
      <c r="J126" s="423"/>
      <c r="K126" s="423"/>
      <c r="L126" s="423"/>
      <c r="M126" s="423"/>
      <c r="N126" s="423"/>
      <c r="O126" s="423"/>
      <c r="P126" s="423"/>
      <c r="Q126" s="423"/>
      <c r="R126" s="423"/>
      <c r="S126" s="423"/>
      <c r="T126" s="423"/>
      <c r="U126" s="423"/>
      <c r="V126" s="603"/>
    </row>
    <row r="127" spans="1:22" ht="18" hidden="1" customHeight="1">
      <c r="A127" s="116" t="s">
        <v>479</v>
      </c>
      <c r="V127" s="10"/>
    </row>
    <row r="128" spans="1:22" ht="18" hidden="1" customHeight="1">
      <c r="A128" s="678" t="s">
        <v>480</v>
      </c>
      <c r="B128" s="1207"/>
      <c r="C128" s="1207"/>
      <c r="D128" s="1207"/>
      <c r="E128" s="1207"/>
      <c r="F128" s="1207"/>
      <c r="G128" s="1207"/>
      <c r="H128" s="1207"/>
      <c r="I128" s="1207"/>
      <c r="J128" s="1207"/>
      <c r="K128" s="1207"/>
      <c r="L128" s="1207"/>
      <c r="M128" s="1207"/>
      <c r="N128" s="1207"/>
      <c r="O128" s="1207"/>
      <c r="P128" s="1207"/>
      <c r="Q128" s="1207"/>
      <c r="R128" s="1207"/>
      <c r="S128" s="1207"/>
      <c r="T128" s="1207"/>
      <c r="U128" s="1207"/>
      <c r="V128" s="1208"/>
    </row>
    <row r="129" spans="1:22" ht="18" hidden="1" customHeight="1">
      <c r="A129" s="1209"/>
      <c r="B129" s="1207"/>
      <c r="C129" s="1207"/>
      <c r="D129" s="1207"/>
      <c r="E129" s="1207"/>
      <c r="F129" s="1207"/>
      <c r="G129" s="1207"/>
      <c r="H129" s="1207"/>
      <c r="I129" s="1207"/>
      <c r="J129" s="1207"/>
      <c r="K129" s="1207"/>
      <c r="L129" s="1207"/>
      <c r="M129" s="1207"/>
      <c r="N129" s="1207"/>
      <c r="O129" s="1207"/>
      <c r="P129" s="1207"/>
      <c r="Q129" s="1207"/>
      <c r="R129" s="1207"/>
      <c r="S129" s="1207"/>
      <c r="T129" s="1207"/>
      <c r="U129" s="1207"/>
      <c r="V129" s="1208"/>
    </row>
    <row r="130" spans="1:22" ht="18" hidden="1" customHeight="1">
      <c r="A130" s="443"/>
      <c r="B130" s="5"/>
      <c r="C130" s="5"/>
      <c r="D130" s="5"/>
      <c r="E130" s="5"/>
      <c r="F130" s="30"/>
      <c r="G130" s="30"/>
      <c r="H130" s="30"/>
      <c r="I130" s="30"/>
      <c r="J130" s="30"/>
      <c r="K130" s="30"/>
      <c r="L130" s="30"/>
      <c r="M130" s="212"/>
      <c r="N130" s="212"/>
      <c r="O130" s="103"/>
      <c r="P130" s="30"/>
      <c r="Q130" s="223"/>
      <c r="R130" s="14"/>
      <c r="S130" s="214"/>
      <c r="T130" s="30"/>
      <c r="U130" s="30"/>
      <c r="V130" s="185"/>
    </row>
    <row r="131" spans="1:22" ht="18" hidden="1" customHeight="1">
      <c r="A131" s="799" t="s">
        <v>417</v>
      </c>
      <c r="B131" s="802"/>
      <c r="C131" s="802"/>
      <c r="D131" s="689">
        <v>5</v>
      </c>
      <c r="E131" s="689" t="s">
        <v>315</v>
      </c>
      <c r="F131" s="689" t="s">
        <v>481</v>
      </c>
      <c r="G131" s="684"/>
      <c r="H131" s="689" t="s">
        <v>315</v>
      </c>
      <c r="I131" s="708" t="s">
        <v>482</v>
      </c>
      <c r="J131" s="828"/>
      <c r="K131" s="689" t="s">
        <v>315</v>
      </c>
      <c r="L131" s="716" t="s">
        <v>419</v>
      </c>
      <c r="M131" s="716" t="s">
        <v>420</v>
      </c>
      <c r="N131" s="729" t="s">
        <v>347</v>
      </c>
      <c r="O131" s="716" t="s">
        <v>408</v>
      </c>
      <c r="P131" s="689" t="s">
        <v>347</v>
      </c>
      <c r="Q131" s="759" t="s">
        <v>421</v>
      </c>
      <c r="R131" s="797"/>
      <c r="S131" s="797"/>
      <c r="T131" s="798" t="s">
        <v>350</v>
      </c>
      <c r="U131" s="230" t="s">
        <v>422</v>
      </c>
      <c r="V131" s="97"/>
    </row>
    <row r="132" spans="1:22" ht="18" hidden="1" customHeight="1">
      <c r="A132" s="827"/>
      <c r="B132" s="802"/>
      <c r="C132" s="802"/>
      <c r="D132" s="689"/>
      <c r="E132" s="689"/>
      <c r="F132" s="684"/>
      <c r="G132" s="684"/>
      <c r="H132" s="689"/>
      <c r="I132" s="689" t="s">
        <v>483</v>
      </c>
      <c r="J132" s="723"/>
      <c r="K132" s="689"/>
      <c r="L132" s="716"/>
      <c r="M132" s="716"/>
      <c r="N132" s="729"/>
      <c r="O132" s="716"/>
      <c r="P132" s="689"/>
      <c r="Q132" s="28" t="s">
        <v>146</v>
      </c>
      <c r="R132" s="28" t="s">
        <v>315</v>
      </c>
      <c r="S132" s="28" t="s">
        <v>146</v>
      </c>
      <c r="T132" s="798"/>
      <c r="U132" s="14"/>
      <c r="V132" s="97"/>
    </row>
    <row r="133" spans="1:22" ht="18" hidden="1" customHeight="1">
      <c r="A133" s="147"/>
      <c r="B133" s="14" t="s">
        <v>427</v>
      </c>
      <c r="C133" s="14"/>
      <c r="D133" s="103"/>
      <c r="E133" s="103"/>
      <c r="F133" s="14"/>
      <c r="G133" s="14"/>
      <c r="H133" s="5"/>
      <c r="I133" s="5"/>
      <c r="J133" s="5"/>
      <c r="K133" s="30"/>
      <c r="L133" s="30"/>
      <c r="M133" s="30"/>
      <c r="N133" s="30"/>
      <c r="O133" s="30"/>
      <c r="P133" s="120" t="s">
        <v>428</v>
      </c>
      <c r="Q133" s="30"/>
      <c r="R133" s="30"/>
      <c r="S133" s="30"/>
      <c r="T133" s="30"/>
      <c r="U133" s="444"/>
      <c r="V133" s="445"/>
    </row>
    <row r="134" spans="1:22" ht="18" hidden="1" customHeight="1">
      <c r="A134" s="446"/>
      <c r="B134" s="14" t="s">
        <v>429</v>
      </c>
      <c r="C134" s="14"/>
      <c r="D134" s="103"/>
      <c r="E134" s="103"/>
      <c r="F134" s="14"/>
      <c r="G134" s="14"/>
      <c r="H134" s="5"/>
      <c r="I134" s="5"/>
      <c r="J134" s="5"/>
      <c r="K134" s="30"/>
      <c r="L134" s="30"/>
      <c r="M134" s="30"/>
      <c r="N134" s="30"/>
      <c r="O134" s="30"/>
      <c r="P134" s="120" t="s">
        <v>484</v>
      </c>
      <c r="Q134" s="234" t="s">
        <v>127</v>
      </c>
      <c r="R134" s="684">
        <f>S47</f>
        <v>3200</v>
      </c>
      <c r="S134" s="684"/>
      <c r="T134" s="14" t="s">
        <v>8</v>
      </c>
      <c r="U134" s="444"/>
      <c r="V134" s="445"/>
    </row>
    <row r="135" spans="1:22" ht="18" hidden="1" customHeight="1">
      <c r="A135" s="446"/>
      <c r="B135" s="14" t="s">
        <v>485</v>
      </c>
      <c r="C135" s="14"/>
      <c r="D135" s="14"/>
      <c r="E135" s="14"/>
      <c r="F135" s="14"/>
      <c r="G135" s="14"/>
      <c r="H135" s="14"/>
      <c r="I135" s="14"/>
      <c r="J135" s="14"/>
      <c r="K135" s="30"/>
      <c r="L135" s="30"/>
      <c r="M135" s="30"/>
      <c r="N135" s="30"/>
      <c r="O135" s="30"/>
      <c r="P135" s="120" t="s">
        <v>481</v>
      </c>
      <c r="Q135" s="234" t="s">
        <v>127</v>
      </c>
      <c r="R135" s="713">
        <f>S51</f>
        <v>42229.804278926844</v>
      </c>
      <c r="S135" s="713"/>
      <c r="T135" s="14" t="s">
        <v>8</v>
      </c>
      <c r="U135" s="444"/>
      <c r="V135" s="445"/>
    </row>
    <row r="136" spans="1:22" ht="18" hidden="1" customHeight="1">
      <c r="A136" s="446"/>
      <c r="B136" s="14" t="s">
        <v>435</v>
      </c>
      <c r="C136" s="14"/>
      <c r="D136" s="103"/>
      <c r="E136" s="103"/>
      <c r="F136" s="14"/>
      <c r="G136" s="14"/>
      <c r="H136" s="5"/>
      <c r="I136" s="5"/>
      <c r="J136" s="5"/>
      <c r="K136" s="30"/>
      <c r="L136" s="30"/>
      <c r="M136" s="30"/>
      <c r="N136" s="30"/>
      <c r="O136" s="30"/>
      <c r="P136" s="120" t="s">
        <v>486</v>
      </c>
      <c r="Q136" s="234" t="s">
        <v>127</v>
      </c>
      <c r="R136" s="684">
        <f>S50</f>
        <v>1</v>
      </c>
      <c r="S136" s="684"/>
      <c r="T136" s="14" t="s">
        <v>8</v>
      </c>
      <c r="U136" s="444"/>
      <c r="V136" s="445"/>
    </row>
    <row r="137" spans="1:22" ht="18" hidden="1" customHeight="1">
      <c r="A137" s="147"/>
      <c r="B137" s="14" t="s">
        <v>437</v>
      </c>
      <c r="C137" s="14"/>
      <c r="D137" s="103"/>
      <c r="E137" s="103"/>
      <c r="F137" s="14"/>
      <c r="G137" s="14"/>
      <c r="H137" s="5"/>
      <c r="I137" s="5"/>
      <c r="J137" s="5"/>
      <c r="K137" s="30"/>
      <c r="L137" s="30"/>
      <c r="M137" s="30"/>
      <c r="N137" s="30"/>
      <c r="O137" s="30"/>
      <c r="P137" s="120" t="s">
        <v>438</v>
      </c>
      <c r="Q137" s="234" t="s">
        <v>127</v>
      </c>
      <c r="R137" s="684">
        <f>S50</f>
        <v>1</v>
      </c>
      <c r="S137" s="684"/>
      <c r="T137" s="14" t="s">
        <v>8</v>
      </c>
      <c r="U137" s="18"/>
      <c r="V137" s="97"/>
    </row>
    <row r="138" spans="1:22" ht="18" hidden="1" customHeight="1">
      <c r="A138" s="147"/>
      <c r="B138" s="14" t="s">
        <v>439</v>
      </c>
      <c r="C138" s="14"/>
      <c r="D138" s="103"/>
      <c r="E138" s="103"/>
      <c r="F138" s="14"/>
      <c r="G138" s="14"/>
      <c r="H138" s="5"/>
      <c r="I138" s="5"/>
      <c r="J138" s="5"/>
      <c r="K138" s="30"/>
      <c r="L138" s="30"/>
      <c r="M138" s="30"/>
      <c r="N138" s="30"/>
      <c r="O138" s="30"/>
      <c r="P138" s="120" t="s">
        <v>440</v>
      </c>
      <c r="Q138" s="234" t="s">
        <v>127</v>
      </c>
      <c r="R138" s="684">
        <f>S48</f>
        <v>9.8000000000000007</v>
      </c>
      <c r="S138" s="684"/>
      <c r="T138" s="192" t="s">
        <v>333</v>
      </c>
      <c r="U138" s="18"/>
      <c r="V138" s="97"/>
    </row>
    <row r="139" spans="1:22" ht="18" hidden="1" customHeight="1">
      <c r="A139" s="184"/>
      <c r="B139" s="14" t="s">
        <v>487</v>
      </c>
      <c r="C139" s="14"/>
      <c r="D139" s="14"/>
      <c r="E139" s="14"/>
      <c r="F139" s="14"/>
      <c r="G139" s="14"/>
      <c r="H139" s="14"/>
      <c r="I139" s="14"/>
      <c r="J139" s="14"/>
      <c r="K139" s="30"/>
      <c r="L139" s="30"/>
      <c r="M139" s="30"/>
      <c r="N139" s="30"/>
      <c r="O139" s="30"/>
      <c r="P139" s="237" t="s">
        <v>441</v>
      </c>
      <c r="Q139" s="234" t="s">
        <v>127</v>
      </c>
      <c r="R139" s="795">
        <f>S49</f>
        <v>1.1770224400000002</v>
      </c>
      <c r="S139" s="795"/>
      <c r="T139" s="192" t="s">
        <v>333</v>
      </c>
      <c r="U139" s="30"/>
      <c r="V139" s="185"/>
    </row>
    <row r="140" spans="1:22" ht="18" hidden="1" customHeight="1">
      <c r="A140" s="96"/>
      <c r="B140" s="40" t="s">
        <v>488</v>
      </c>
      <c r="C140" s="14"/>
      <c r="D140" s="14"/>
      <c r="E140" s="14"/>
      <c r="F140" s="14"/>
      <c r="G140" s="14"/>
      <c r="H140" s="5"/>
      <c r="I140" s="5"/>
      <c r="J140" s="5"/>
      <c r="K140" s="30"/>
      <c r="L140" s="30"/>
      <c r="M140" s="30"/>
      <c r="N140" s="30"/>
      <c r="O140" s="30"/>
      <c r="P140" s="237" t="s">
        <v>443</v>
      </c>
      <c r="Q140" s="234" t="s">
        <v>127</v>
      </c>
      <c r="R140" s="795">
        <f>J19</f>
        <v>0</v>
      </c>
      <c r="S140" s="684"/>
      <c r="T140" s="14" t="s">
        <v>157</v>
      </c>
      <c r="U140" s="30"/>
      <c r="V140" s="185"/>
    </row>
    <row r="141" spans="1:22" ht="18" hidden="1" customHeight="1">
      <c r="A141" s="96"/>
      <c r="B141" s="30" t="s">
        <v>489</v>
      </c>
      <c r="C141" s="30"/>
      <c r="D141" s="30"/>
      <c r="E141" s="30"/>
      <c r="F141" s="30" t="s">
        <v>490</v>
      </c>
      <c r="G141" s="27" t="s">
        <v>420</v>
      </c>
      <c r="H141" s="27" t="s">
        <v>315</v>
      </c>
      <c r="I141" s="27" t="s">
        <v>482</v>
      </c>
      <c r="J141" s="27" t="s">
        <v>315</v>
      </c>
      <c r="K141" s="27" t="s">
        <v>482</v>
      </c>
      <c r="L141" s="30"/>
      <c r="M141" s="30"/>
      <c r="N141" s="30"/>
      <c r="O141" s="30"/>
      <c r="P141" s="244" t="s">
        <v>491</v>
      </c>
      <c r="Q141" s="234" t="s">
        <v>127</v>
      </c>
      <c r="R141" s="795">
        <f>R138*R136*R136</f>
        <v>9.8000000000000007</v>
      </c>
      <c r="S141" s="684"/>
      <c r="T141" s="14" t="s">
        <v>157</v>
      </c>
      <c r="U141" s="30"/>
      <c r="V141" s="185"/>
    </row>
    <row r="142" spans="1:22" ht="18" hidden="1" customHeight="1">
      <c r="A142" s="96"/>
      <c r="B142" s="30"/>
      <c r="C142" s="30"/>
      <c r="D142" s="30"/>
      <c r="E142" s="30"/>
      <c r="F142" s="30"/>
      <c r="G142" s="30"/>
      <c r="H142" s="30"/>
      <c r="I142" s="30"/>
      <c r="J142" s="30"/>
      <c r="K142" s="30"/>
      <c r="L142" s="30"/>
      <c r="M142" s="30"/>
      <c r="N142" s="30"/>
      <c r="O142" s="30"/>
      <c r="P142" s="120"/>
      <c r="Q142" s="234"/>
      <c r="R142" s="795"/>
      <c r="S142" s="684"/>
      <c r="T142" s="14"/>
      <c r="U142" s="30"/>
      <c r="V142" s="185"/>
    </row>
    <row r="143" spans="1:22" ht="18" hidden="1" customHeight="1">
      <c r="A143" s="96"/>
      <c r="B143" s="30"/>
      <c r="C143" s="30"/>
      <c r="D143" s="30"/>
      <c r="E143" s="30"/>
      <c r="F143" s="30"/>
      <c r="G143" s="30"/>
      <c r="H143" s="30"/>
      <c r="I143" s="30"/>
      <c r="J143" s="30"/>
      <c r="K143" s="30"/>
      <c r="L143" s="30"/>
      <c r="M143" s="30"/>
      <c r="N143" s="30"/>
      <c r="O143" s="30"/>
      <c r="P143" s="244"/>
      <c r="Q143" s="234"/>
      <c r="R143" s="684"/>
      <c r="S143" s="684"/>
      <c r="T143" s="30"/>
      <c r="U143" s="30"/>
      <c r="V143" s="185"/>
    </row>
    <row r="144" spans="1:22" ht="18" hidden="1" customHeight="1">
      <c r="A144" s="799" t="s">
        <v>417</v>
      </c>
      <c r="B144" s="802"/>
      <c r="C144" s="802"/>
      <c r="D144" s="689">
        <v>5</v>
      </c>
      <c r="E144" s="689" t="s">
        <v>315</v>
      </c>
      <c r="F144" s="834">
        <f>R135</f>
        <v>42229.804278926844</v>
      </c>
      <c r="G144" s="713"/>
      <c r="H144" s="689" t="s">
        <v>315</v>
      </c>
      <c r="I144" s="708">
        <f>R136</f>
        <v>1</v>
      </c>
      <c r="J144" s="828"/>
      <c r="K144" s="689" t="s">
        <v>315</v>
      </c>
      <c r="L144" s="716" t="s">
        <v>419</v>
      </c>
      <c r="M144" s="716">
        <f>R138</f>
        <v>9.8000000000000007</v>
      </c>
      <c r="N144" s="729" t="s">
        <v>347</v>
      </c>
      <c r="O144" s="1214">
        <f>R139</f>
        <v>1.1770224400000002</v>
      </c>
      <c r="P144" s="689" t="s">
        <v>347</v>
      </c>
      <c r="Q144" s="833">
        <f>R140</f>
        <v>0</v>
      </c>
      <c r="R144" s="797"/>
      <c r="S144" s="797"/>
      <c r="T144" s="798" t="s">
        <v>350</v>
      </c>
      <c r="U144" s="230" t="s">
        <v>422</v>
      </c>
      <c r="V144" s="97"/>
    </row>
    <row r="145" spans="1:22" ht="18" hidden="1" customHeight="1">
      <c r="A145" s="827"/>
      <c r="B145" s="802"/>
      <c r="C145" s="802"/>
      <c r="D145" s="689"/>
      <c r="E145" s="689"/>
      <c r="F145" s="713"/>
      <c r="G145" s="713"/>
      <c r="H145" s="689"/>
      <c r="I145" s="689">
        <f>R134</f>
        <v>3200</v>
      </c>
      <c r="J145" s="723"/>
      <c r="K145" s="689"/>
      <c r="L145" s="716"/>
      <c r="M145" s="716"/>
      <c r="N145" s="729"/>
      <c r="O145" s="716"/>
      <c r="P145" s="689"/>
      <c r="Q145" s="28">
        <f>R137</f>
        <v>1</v>
      </c>
      <c r="R145" s="28" t="s">
        <v>315</v>
      </c>
      <c r="S145" s="28">
        <f>R137</f>
        <v>1</v>
      </c>
      <c r="T145" s="798"/>
      <c r="U145" s="14"/>
      <c r="V145" s="97"/>
    </row>
    <row r="146" spans="1:22" ht="18" hidden="1" customHeight="1">
      <c r="A146" s="184"/>
      <c r="B146" s="30"/>
      <c r="C146" s="30"/>
      <c r="D146" s="30"/>
      <c r="E146" s="30"/>
      <c r="F146" s="30"/>
      <c r="G146" s="30"/>
      <c r="H146" s="30"/>
      <c r="I146" s="30"/>
      <c r="J146" s="30"/>
      <c r="K146" s="30"/>
      <c r="L146" s="30"/>
      <c r="M146" s="30"/>
      <c r="N146" s="30"/>
      <c r="O146" s="30"/>
      <c r="P146" s="30"/>
      <c r="Q146" s="30"/>
      <c r="R146" s="30"/>
      <c r="S146" s="30"/>
      <c r="T146" s="30"/>
      <c r="U146" s="30"/>
      <c r="V146" s="185"/>
    </row>
    <row r="147" spans="1:22" ht="18" hidden="1" customHeight="1">
      <c r="A147" s="184"/>
      <c r="B147" s="30"/>
      <c r="C147" s="30" t="s">
        <v>127</v>
      </c>
      <c r="D147" s="812">
        <f>D144*F144*(I144/I145)*(M144+O144+(Q144/(Q145*S145)))</f>
        <v>724.30860813529375</v>
      </c>
      <c r="E147" s="813"/>
      <c r="F147" s="30" t="s">
        <v>305</v>
      </c>
      <c r="G147" s="30"/>
      <c r="H147" s="30"/>
      <c r="I147" s="30"/>
      <c r="J147" s="30"/>
      <c r="K147" s="30"/>
      <c r="L147" s="30"/>
      <c r="M147" s="30"/>
      <c r="N147" s="30"/>
      <c r="O147" s="30"/>
      <c r="P147" s="30"/>
      <c r="Q147" s="30"/>
      <c r="R147" s="30"/>
      <c r="S147" s="30"/>
      <c r="T147" s="30"/>
      <c r="U147" s="30"/>
      <c r="V147" s="185"/>
    </row>
    <row r="148" spans="1:22" ht="18" hidden="1" customHeight="1">
      <c r="A148" s="9"/>
      <c r="V148" s="10"/>
    </row>
    <row r="149" spans="1:22" ht="18" hidden="1" customHeight="1">
      <c r="A149" s="351" t="s">
        <v>471</v>
      </c>
      <c r="B149" s="7"/>
      <c r="C149" s="7"/>
      <c r="D149" s="441"/>
      <c r="E149" s="7"/>
      <c r="F149" s="7"/>
      <c r="G149" s="372"/>
      <c r="H149" s="7"/>
      <c r="J149" s="7"/>
      <c r="K149" s="7"/>
      <c r="L149" s="7"/>
      <c r="M149" s="7"/>
      <c r="N149" s="7"/>
      <c r="O149" s="7"/>
      <c r="P149" s="250"/>
      <c r="Q149" s="251"/>
      <c r="R149" s="372"/>
      <c r="S149" s="7"/>
      <c r="V149" s="10"/>
    </row>
    <row r="150" spans="1:22" ht="18" hidden="1" customHeight="1">
      <c r="A150" s="96" t="s">
        <v>496</v>
      </c>
      <c r="V150" s="10"/>
    </row>
    <row r="151" spans="1:22" ht="18" hidden="1" customHeight="1">
      <c r="A151" s="9"/>
      <c r="N151" s="7"/>
      <c r="O151" s="28" t="s">
        <v>473</v>
      </c>
      <c r="P151" s="102" t="s">
        <v>127</v>
      </c>
      <c r="Q151" s="694" t="s">
        <v>474</v>
      </c>
      <c r="R151" s="694"/>
      <c r="S151" s="28" t="s">
        <v>315</v>
      </c>
      <c r="T151" s="28">
        <v>0.8</v>
      </c>
      <c r="V151" s="10"/>
    </row>
    <row r="152" spans="1:22" ht="18" hidden="1" customHeight="1">
      <c r="A152" s="9"/>
      <c r="N152" s="252"/>
      <c r="O152" s="28"/>
      <c r="P152" s="102" t="s">
        <v>127</v>
      </c>
      <c r="Q152" s="829">
        <f>D147</f>
        <v>724.30860813529375</v>
      </c>
      <c r="R152" s="708"/>
      <c r="S152" s="222" t="s">
        <v>315</v>
      </c>
      <c r="T152" s="253">
        <f>+T151</f>
        <v>0.8</v>
      </c>
      <c r="V152" s="10"/>
    </row>
    <row r="153" spans="1:22" ht="18" hidden="1" customHeight="1">
      <c r="A153" s="9"/>
      <c r="O153" s="28"/>
      <c r="P153" s="28" t="s">
        <v>127</v>
      </c>
      <c r="Q153" s="830">
        <f>Q152*T152</f>
        <v>579.44688650823502</v>
      </c>
      <c r="R153" s="831"/>
      <c r="S153" s="47" t="s">
        <v>305</v>
      </c>
      <c r="T153" s="28"/>
      <c r="V153" s="10"/>
    </row>
    <row r="154" spans="1:22" ht="18" hidden="1" customHeight="1">
      <c r="A154" s="9"/>
      <c r="D154" s="14" t="s">
        <v>475</v>
      </c>
      <c r="G154" s="27" t="str">
        <f>IF(E155&gt;H155,"&gt;","&lt;")</f>
        <v>&gt;</v>
      </c>
      <c r="H154" s="14" t="s">
        <v>477</v>
      </c>
      <c r="V154" s="10"/>
    </row>
    <row r="155" spans="1:22" ht="18" hidden="1" customHeight="1">
      <c r="A155" s="9"/>
      <c r="E155" s="684">
        <f>H13</f>
        <v>2000</v>
      </c>
      <c r="F155" s="684"/>
      <c r="G155" s="27" t="str">
        <f>G154</f>
        <v>&gt;</v>
      </c>
      <c r="H155" s="795">
        <f>Q153</f>
        <v>579.44688650823502</v>
      </c>
      <c r="I155" s="684"/>
      <c r="V155" s="10"/>
    </row>
    <row r="156" spans="1:22" ht="18" hidden="1" customHeight="1">
      <c r="A156" s="9"/>
      <c r="F156" s="244" t="s">
        <v>478</v>
      </c>
      <c r="H156" s="18" t="str">
        <f>IF(G154="&gt;","Suitably Dimensioned","Under Dimensioned")</f>
        <v>Suitably Dimensioned</v>
      </c>
      <c r="V156" s="10"/>
    </row>
    <row r="157" spans="1:22" ht="18" hidden="1" customHeight="1">
      <c r="A157" s="9"/>
      <c r="V157" s="10"/>
    </row>
    <row r="158" spans="1:22" ht="18" hidden="1" customHeight="1">
      <c r="A158" s="382"/>
      <c r="B158" s="20"/>
      <c r="C158" s="20"/>
      <c r="D158" s="20"/>
      <c r="E158" s="20"/>
      <c r="F158" s="20"/>
      <c r="G158" s="20"/>
      <c r="H158" s="20"/>
      <c r="I158" s="20"/>
      <c r="J158" s="20"/>
      <c r="K158" s="20"/>
      <c r="L158" s="20"/>
      <c r="M158" s="20"/>
      <c r="N158" s="20"/>
      <c r="O158" s="20"/>
      <c r="P158" s="20"/>
      <c r="Q158" s="21"/>
      <c r="R158" s="22"/>
      <c r="S158" s="23"/>
      <c r="T158" s="20"/>
      <c r="U158" s="20"/>
      <c r="V158" s="134" t="s">
        <v>552</v>
      </c>
    </row>
    <row r="159" spans="1:22" ht="18" customHeight="1">
      <c r="A159" s="442"/>
      <c r="B159" s="384"/>
      <c r="C159" s="384"/>
      <c r="D159" s="384"/>
      <c r="E159" s="384"/>
      <c r="F159" s="384"/>
      <c r="G159" s="384"/>
      <c r="H159" s="384"/>
      <c r="I159" s="384"/>
      <c r="J159" s="384"/>
      <c r="K159" s="384"/>
      <c r="L159" s="384"/>
      <c r="M159" s="384"/>
      <c r="N159" s="384"/>
      <c r="O159" s="384"/>
      <c r="P159" s="384"/>
      <c r="Q159" s="384"/>
      <c r="R159" s="384"/>
      <c r="S159" s="384"/>
      <c r="T159" s="384"/>
      <c r="U159" s="384"/>
      <c r="V159" s="395"/>
    </row>
    <row r="160" spans="1:22" ht="18" customHeight="1">
      <c r="A160" s="9"/>
      <c r="B160" s="781" t="s">
        <v>108</v>
      </c>
      <c r="C160" s="782"/>
      <c r="D160" s="781" t="s">
        <v>506</v>
      </c>
      <c r="E160" s="782"/>
      <c r="F160" s="689" t="str">
        <f>F7</f>
        <v>Main-1</v>
      </c>
      <c r="G160" s="689"/>
      <c r="H160" s="689" t="str">
        <f>H7</f>
        <v>(Line Diff&amp;Dist.+FMS/PMU)</v>
      </c>
      <c r="I160" s="689"/>
      <c r="J160" s="689"/>
      <c r="K160" s="689"/>
      <c r="L160" s="689"/>
      <c r="M160" s="689"/>
      <c r="P160" s="186"/>
      <c r="S160" s="187" t="s">
        <v>387</v>
      </c>
      <c r="T160" s="853" t="str">
        <f>T7</f>
        <v>7SL86</v>
      </c>
      <c r="U160" s="853"/>
      <c r="V160" s="10"/>
    </row>
    <row r="161" spans="1:29" s="7" customFormat="1" ht="18" customHeight="1">
      <c r="A161" s="9"/>
      <c r="B161" s="18"/>
      <c r="C161" s="18"/>
      <c r="D161" s="18"/>
      <c r="E161" s="18"/>
      <c r="F161" s="448"/>
      <c r="G161"/>
      <c r="H161"/>
      <c r="I161"/>
      <c r="J161"/>
      <c r="K161"/>
      <c r="L161"/>
      <c r="M161"/>
      <c r="N161"/>
      <c r="O161"/>
      <c r="P161"/>
      <c r="Q161"/>
      <c r="R161"/>
      <c r="S161"/>
      <c r="T161" s="853">
        <f>T8</f>
        <v>0</v>
      </c>
      <c r="U161" s="853"/>
      <c r="V161" s="10"/>
    </row>
    <row r="162" spans="1:29" ht="18" customHeight="1">
      <c r="A162" s="9"/>
      <c r="H162" s="708" t="s">
        <v>390</v>
      </c>
      <c r="I162" s="708"/>
      <c r="J162" s="789" t="s">
        <v>391</v>
      </c>
      <c r="K162" s="789"/>
      <c r="L162" s="790" t="s">
        <v>392</v>
      </c>
      <c r="M162" s="790"/>
      <c r="T162" s="853">
        <f>T9</f>
        <v>0</v>
      </c>
      <c r="U162" s="853"/>
      <c r="V162" s="10"/>
    </row>
    <row r="163" spans="1:29" ht="18" customHeight="1">
      <c r="A163" s="9"/>
      <c r="B163" s="47" t="s">
        <v>393</v>
      </c>
      <c r="H163" s="854">
        <f>H10</f>
        <v>3200</v>
      </c>
      <c r="I163" s="831"/>
      <c r="J163" s="863">
        <f>J10</f>
        <v>1800</v>
      </c>
      <c r="K163" s="864"/>
      <c r="L163" s="854" t="str">
        <f>L10</f>
        <v>-</v>
      </c>
      <c r="M163" s="831"/>
      <c r="N163" s="102" t="s">
        <v>342</v>
      </c>
      <c r="O163" s="256">
        <f>O10</f>
        <v>1</v>
      </c>
      <c r="P163" s="27" t="s">
        <v>8</v>
      </c>
      <c r="V163" s="10"/>
    </row>
    <row r="164" spans="1:29" ht="18" customHeight="1">
      <c r="A164" s="9"/>
      <c r="B164" s="47" t="s">
        <v>394</v>
      </c>
      <c r="J164" s="854" t="str">
        <f>H11</f>
        <v>PX</v>
      </c>
      <c r="K164" s="831"/>
      <c r="V164" s="10"/>
    </row>
    <row r="165" spans="1:29" ht="18" customHeight="1">
      <c r="A165" s="9"/>
      <c r="B165" s="47" t="s">
        <v>396</v>
      </c>
      <c r="I165" s="120" t="s">
        <v>497</v>
      </c>
      <c r="J165" s="781">
        <v>5.6</v>
      </c>
      <c r="K165" s="782"/>
      <c r="L165" s="192" t="s">
        <v>333</v>
      </c>
      <c r="V165" s="10"/>
    </row>
    <row r="166" spans="1:29" ht="18" customHeight="1">
      <c r="A166" s="9"/>
      <c r="B166" s="47" t="s">
        <v>398</v>
      </c>
      <c r="I166" s="120" t="s">
        <v>498</v>
      </c>
      <c r="J166" s="781">
        <v>1250</v>
      </c>
      <c r="K166" s="782"/>
      <c r="L166" s="14" t="s">
        <v>305</v>
      </c>
      <c r="V166" s="10"/>
      <c r="W166" s="30" t="s">
        <v>400</v>
      </c>
      <c r="AB166" s="785">
        <f>Q253</f>
        <v>656.38959897839572</v>
      </c>
      <c r="AC166" s="786"/>
    </row>
    <row r="167" spans="1:29" ht="18" customHeight="1">
      <c r="A167" s="9"/>
      <c r="B167" s="14" t="s">
        <v>401</v>
      </c>
      <c r="I167" s="120" t="s">
        <v>402</v>
      </c>
      <c r="J167" s="781">
        <v>20</v>
      </c>
      <c r="K167" s="782"/>
      <c r="L167" s="14" t="s">
        <v>403</v>
      </c>
      <c r="V167" s="10"/>
    </row>
    <row r="168" spans="1:29" ht="18" customHeight="1">
      <c r="A168" s="9"/>
      <c r="V168" s="10"/>
    </row>
    <row r="169" spans="1:29" ht="18" customHeight="1">
      <c r="A169" s="193" t="s">
        <v>404</v>
      </c>
      <c r="V169" s="10"/>
    </row>
    <row r="170" spans="1:29" ht="18" customHeight="1">
      <c r="A170" s="9"/>
      <c r="V170" s="10"/>
    </row>
    <row r="171" spans="1:29" ht="18" customHeight="1">
      <c r="A171" s="9"/>
      <c r="B171" s="194" t="s">
        <v>405</v>
      </c>
      <c r="C171" s="195"/>
      <c r="D171" s="195" t="str">
        <f>T160</f>
        <v>7SL86</v>
      </c>
      <c r="E171" s="423"/>
      <c r="F171" s="423"/>
      <c r="G171" s="423"/>
      <c r="H171" s="182" t="s">
        <v>406</v>
      </c>
      <c r="I171" s="183" t="s">
        <v>127</v>
      </c>
      <c r="J171" s="1212">
        <f>J18</f>
        <v>0.1</v>
      </c>
      <c r="K171" s="1213"/>
      <c r="L171" s="202" t="s">
        <v>157</v>
      </c>
      <c r="V171" s="10"/>
    </row>
    <row r="172" spans="1:29" ht="18" customHeight="1">
      <c r="A172" s="9"/>
      <c r="B172" s="184" t="s">
        <v>405</v>
      </c>
      <c r="D172" s="27">
        <f>T161</f>
        <v>0</v>
      </c>
      <c r="I172" s="28" t="s">
        <v>127</v>
      </c>
      <c r="J172" s="1212">
        <f>J19</f>
        <v>0</v>
      </c>
      <c r="K172" s="1213"/>
      <c r="L172" s="297" t="s">
        <v>157</v>
      </c>
      <c r="V172" s="10"/>
    </row>
    <row r="173" spans="1:29" ht="18" customHeight="1">
      <c r="A173" s="9"/>
      <c r="B173" s="184" t="s">
        <v>405</v>
      </c>
      <c r="D173" s="424">
        <f>T162</f>
        <v>0</v>
      </c>
      <c r="E173" s="14"/>
      <c r="G173" s="199"/>
      <c r="H173" s="425"/>
      <c r="I173" s="101" t="s">
        <v>127</v>
      </c>
      <c r="J173" s="1212">
        <f>J20</f>
        <v>0</v>
      </c>
      <c r="K173" s="1213"/>
      <c r="L173" s="426" t="s">
        <v>157</v>
      </c>
      <c r="V173" s="10"/>
    </row>
    <row r="174" spans="1:29" ht="18" customHeight="1">
      <c r="A174" s="9"/>
      <c r="B174" s="184" t="s">
        <v>412</v>
      </c>
      <c r="H174" s="425"/>
      <c r="I174" s="427" t="s">
        <v>127</v>
      </c>
      <c r="J174" s="696">
        <f>J21</f>
        <v>1.0770224400000001</v>
      </c>
      <c r="K174" s="722"/>
      <c r="L174" s="426" t="s">
        <v>157</v>
      </c>
      <c r="V174" s="10"/>
    </row>
    <row r="175" spans="1:29" ht="18" customHeight="1">
      <c r="A175" s="9"/>
      <c r="B175" s="205" t="s">
        <v>413</v>
      </c>
      <c r="C175" s="206"/>
      <c r="D175" s="206"/>
      <c r="E175" s="206"/>
      <c r="F175" s="346"/>
      <c r="G175" s="346"/>
      <c r="H175" s="190" t="s">
        <v>409</v>
      </c>
      <c r="I175" s="208" t="s">
        <v>127</v>
      </c>
      <c r="J175" s="696">
        <f>SUM(J172:K174)</f>
        <v>1.0770224400000001</v>
      </c>
      <c r="K175" s="722"/>
      <c r="L175" s="428" t="s">
        <v>157</v>
      </c>
      <c r="V175" s="10"/>
    </row>
    <row r="176" spans="1:29" ht="18" customHeight="1">
      <c r="A176" s="9"/>
      <c r="B176" s="47"/>
      <c r="C176" s="47"/>
      <c r="D176" s="47"/>
      <c r="E176" s="47"/>
      <c r="H176" s="425"/>
      <c r="I176" s="28"/>
      <c r="J176" s="199"/>
      <c r="L176" s="47"/>
      <c r="O176" s="425"/>
      <c r="P176" s="592"/>
      <c r="Q176" s="592"/>
      <c r="R176" s="593"/>
      <c r="V176" s="10"/>
    </row>
    <row r="177" spans="1:22" ht="18" customHeight="1">
      <c r="A177" s="9"/>
      <c r="B177" s="197" t="s">
        <v>648</v>
      </c>
      <c r="L177" s="47"/>
      <c r="M177" s="197" t="s">
        <v>407</v>
      </c>
      <c r="V177" s="10"/>
    </row>
    <row r="178" spans="1:22" ht="18" customHeight="1">
      <c r="A178" s="9"/>
      <c r="B178" s="27" t="s">
        <v>649</v>
      </c>
      <c r="C178" s="27" t="s">
        <v>127</v>
      </c>
      <c r="D178" s="242" t="s">
        <v>406</v>
      </c>
      <c r="E178" s="526" t="s">
        <v>410</v>
      </c>
      <c r="F178" s="245" t="s">
        <v>146</v>
      </c>
      <c r="G178" s="221" t="s">
        <v>315</v>
      </c>
      <c r="H178" s="222" t="s">
        <v>146</v>
      </c>
      <c r="I178" s="242" t="s">
        <v>350</v>
      </c>
      <c r="J178" s="502"/>
      <c r="K178" s="430"/>
      <c r="L178" s="527"/>
      <c r="M178" s="242" t="s">
        <v>408</v>
      </c>
      <c r="N178" s="245" t="s">
        <v>127</v>
      </c>
      <c r="O178" s="242" t="s">
        <v>409</v>
      </c>
      <c r="P178" s="528" t="s">
        <v>410</v>
      </c>
      <c r="Q178" s="523" t="s">
        <v>482</v>
      </c>
      <c r="R178" s="245" t="s">
        <v>315</v>
      </c>
      <c r="S178" s="242" t="s">
        <v>482</v>
      </c>
      <c r="T178" s="30" t="s">
        <v>350</v>
      </c>
      <c r="V178" s="10"/>
    </row>
    <row r="179" spans="1:22" ht="18" customHeight="1">
      <c r="A179" s="9"/>
      <c r="B179" s="47"/>
      <c r="C179" s="27" t="s">
        <v>127</v>
      </c>
      <c r="D179" s="301">
        <f>J171</f>
        <v>0.1</v>
      </c>
      <c r="E179" s="528" t="s">
        <v>410</v>
      </c>
      <c r="F179" s="245">
        <f>F26</f>
        <v>1</v>
      </c>
      <c r="G179" s="245" t="s">
        <v>315</v>
      </c>
      <c r="H179" s="245">
        <f>H26</f>
        <v>1</v>
      </c>
      <c r="I179" s="242" t="s">
        <v>350</v>
      </c>
      <c r="J179" s="502"/>
      <c r="K179" s="430"/>
      <c r="L179" s="527"/>
      <c r="M179" s="430"/>
      <c r="N179" s="245" t="s">
        <v>127</v>
      </c>
      <c r="O179" s="301">
        <f>J175</f>
        <v>1.0770224400000001</v>
      </c>
      <c r="P179" s="528" t="s">
        <v>410</v>
      </c>
      <c r="Q179" s="245">
        <f>O163</f>
        <v>1</v>
      </c>
      <c r="R179" s="245" t="s">
        <v>315</v>
      </c>
      <c r="S179" s="245">
        <f>O163</f>
        <v>1</v>
      </c>
      <c r="T179" s="30" t="s">
        <v>350</v>
      </c>
      <c r="V179" s="10"/>
    </row>
    <row r="180" spans="1:22" ht="18" customHeight="1">
      <c r="A180" s="9"/>
      <c r="B180" s="47"/>
      <c r="C180" s="27" t="s">
        <v>127</v>
      </c>
      <c r="D180" s="1111">
        <f>D179/(F179*H179)</f>
        <v>0.1</v>
      </c>
      <c r="E180" s="1111"/>
      <c r="F180" s="529" t="s">
        <v>333</v>
      </c>
      <c r="G180" s="430"/>
      <c r="H180" s="430"/>
      <c r="I180" s="430"/>
      <c r="J180" s="502"/>
      <c r="K180" s="430"/>
      <c r="L180" s="527"/>
      <c r="M180" s="430"/>
      <c r="N180" s="245" t="s">
        <v>127</v>
      </c>
      <c r="O180" s="1111">
        <f>O179/(Q179*S179)</f>
        <v>1.0770224400000001</v>
      </c>
      <c r="P180" s="1111"/>
      <c r="Q180" s="529" t="s">
        <v>333</v>
      </c>
      <c r="R180" s="430"/>
      <c r="S180" s="430"/>
      <c r="V180" s="10"/>
    </row>
    <row r="181" spans="1:22" ht="18" customHeight="1">
      <c r="A181" s="9"/>
      <c r="B181" s="47" t="s">
        <v>968</v>
      </c>
      <c r="C181" s="47"/>
      <c r="D181" s="47"/>
      <c r="E181" s="47"/>
      <c r="H181" s="425"/>
      <c r="I181" s="28"/>
      <c r="J181" s="199"/>
      <c r="L181" s="28" t="s">
        <v>127</v>
      </c>
      <c r="M181" s="1111">
        <f>D180</f>
        <v>0.1</v>
      </c>
      <c r="N181" s="1111"/>
      <c r="O181" s="245" t="s">
        <v>347</v>
      </c>
      <c r="P181" s="1111">
        <f>O180</f>
        <v>1.0770224400000001</v>
      </c>
      <c r="Q181" s="1111"/>
      <c r="R181" s="522" t="s">
        <v>127</v>
      </c>
      <c r="S181" s="1111">
        <f>M181+P181</f>
        <v>1.1770224400000002</v>
      </c>
      <c r="T181" s="1111"/>
      <c r="U181" s="192" t="s">
        <v>333</v>
      </c>
      <c r="V181" s="10"/>
    </row>
    <row r="182" spans="1:22" ht="18" customHeight="1">
      <c r="A182" s="1206" t="s">
        <v>969</v>
      </c>
      <c r="B182" s="1207"/>
      <c r="C182" s="1207"/>
      <c r="D182" s="1207"/>
      <c r="E182" s="1207"/>
      <c r="F182" s="1207"/>
      <c r="G182" s="1207"/>
      <c r="H182" s="1207"/>
      <c r="I182" s="1207"/>
      <c r="J182" s="1207"/>
      <c r="K182" s="1207"/>
      <c r="L182" s="1207"/>
      <c r="M182" s="1207"/>
      <c r="N182" s="1207"/>
      <c r="O182" s="1207"/>
      <c r="P182" s="1207"/>
      <c r="Q182" s="1207"/>
      <c r="R182" s="1207"/>
      <c r="S182" s="1207"/>
      <c r="T182" s="1207"/>
      <c r="U182" s="1207"/>
      <c r="V182" s="1208"/>
    </row>
    <row r="183" spans="1:22" ht="18" customHeight="1">
      <c r="A183" s="1209"/>
      <c r="B183" s="1207"/>
      <c r="C183" s="1207"/>
      <c r="D183" s="1207"/>
      <c r="E183" s="1207"/>
      <c r="F183" s="1207"/>
      <c r="G183" s="1207"/>
      <c r="H183" s="1207"/>
      <c r="I183" s="1207"/>
      <c r="J183" s="1207"/>
      <c r="K183" s="1207"/>
      <c r="L183" s="1207"/>
      <c r="M183" s="1207"/>
      <c r="N183" s="1207"/>
      <c r="O183" s="1207"/>
      <c r="P183" s="1207"/>
      <c r="Q183" s="1207"/>
      <c r="R183" s="1207"/>
      <c r="S183" s="1207"/>
      <c r="T183" s="1207"/>
      <c r="U183" s="1207"/>
      <c r="V183" s="1208"/>
    </row>
    <row r="184" spans="1:22" ht="18" customHeight="1">
      <c r="A184" s="116" t="s">
        <v>970</v>
      </c>
      <c r="B184" s="594"/>
      <c r="C184" s="594"/>
      <c r="D184" s="594"/>
      <c r="E184" s="594"/>
      <c r="F184" s="594"/>
      <c r="G184" s="594"/>
      <c r="H184" s="594"/>
      <c r="I184" s="594"/>
      <c r="J184" s="595"/>
      <c r="K184" s="594"/>
      <c r="L184" s="594"/>
      <c r="M184" s="594"/>
      <c r="N184" s="594"/>
      <c r="O184" s="594"/>
      <c r="P184" s="594"/>
      <c r="Q184" s="594"/>
      <c r="R184" s="594"/>
      <c r="S184" s="594"/>
      <c r="T184" s="594"/>
      <c r="U184" s="594"/>
      <c r="V184" s="596"/>
    </row>
    <row r="185" spans="1:22" ht="18" customHeight="1">
      <c r="A185" s="116"/>
      <c r="B185" s="197" t="s">
        <v>971</v>
      </c>
      <c r="C185" s="594"/>
      <c r="D185" s="594"/>
      <c r="E185" s="594"/>
      <c r="F185" s="594"/>
      <c r="G185" s="594"/>
      <c r="H185" s="594"/>
      <c r="I185" s="594"/>
      <c r="J185" s="595"/>
      <c r="K185" s="594"/>
      <c r="L185" s="594"/>
      <c r="M185" s="594"/>
      <c r="N185" s="594"/>
      <c r="O185" s="594"/>
      <c r="P185" s="594"/>
      <c r="Q185" s="594"/>
      <c r="R185" s="594"/>
      <c r="S185" s="594"/>
      <c r="T185" s="594"/>
      <c r="U185" s="594"/>
      <c r="V185" s="596"/>
    </row>
    <row r="186" spans="1:22" ht="18" customHeight="1">
      <c r="A186" s="370"/>
      <c r="B186" s="689" t="s">
        <v>972</v>
      </c>
      <c r="C186" s="1150" t="s">
        <v>652</v>
      </c>
      <c r="D186" s="155"/>
      <c r="E186" s="155"/>
      <c r="F186" s="155"/>
      <c r="G186" s="802">
        <v>0.5</v>
      </c>
      <c r="H186" s="1153" t="s">
        <v>315</v>
      </c>
      <c r="I186" s="1203" t="s">
        <v>973</v>
      </c>
      <c r="J186" s="1204"/>
      <c r="K186" s="1204"/>
      <c r="L186" s="1204"/>
      <c r="M186" s="1204"/>
      <c r="N186" s="689" t="s">
        <v>672</v>
      </c>
      <c r="O186" s="708" t="s">
        <v>420</v>
      </c>
      <c r="P186" s="689" t="s">
        <v>347</v>
      </c>
      <c r="Q186" s="708" t="s">
        <v>974</v>
      </c>
      <c r="R186" s="708" t="s">
        <v>674</v>
      </c>
      <c r="S186" s="708" t="s">
        <v>482</v>
      </c>
      <c r="U186" s="729" t="s">
        <v>653</v>
      </c>
      <c r="V186" s="10"/>
    </row>
    <row r="187" spans="1:22" ht="18" customHeight="1">
      <c r="A187" s="159"/>
      <c r="B187" s="689"/>
      <c r="C187" s="689"/>
      <c r="D187" s="155"/>
      <c r="E187" s="155"/>
      <c r="F187" s="155"/>
      <c r="G187" s="802"/>
      <c r="H187" s="689"/>
      <c r="I187" s="695">
        <v>1.25</v>
      </c>
      <c r="J187" s="695"/>
      <c r="K187" s="121" t="s">
        <v>315</v>
      </c>
      <c r="L187" s="695" t="s">
        <v>483</v>
      </c>
      <c r="M187" s="695"/>
      <c r="N187" s="689"/>
      <c r="O187" s="689"/>
      <c r="P187" s="689"/>
      <c r="Q187" s="689"/>
      <c r="R187" s="689"/>
      <c r="S187" s="689"/>
      <c r="T187" s="155"/>
      <c r="U187" s="689"/>
      <c r="V187" s="10"/>
    </row>
    <row r="188" spans="1:22" ht="18" customHeight="1">
      <c r="A188" s="159"/>
      <c r="B188" s="197" t="s">
        <v>975</v>
      </c>
      <c r="C188" s="28"/>
      <c r="D188" s="155"/>
      <c r="E188" s="155"/>
      <c r="F188" s="155"/>
      <c r="G188" s="120"/>
      <c r="H188" s="28"/>
      <c r="I188" s="121"/>
      <c r="J188" s="121"/>
      <c r="K188" s="121"/>
      <c r="L188" s="121"/>
      <c r="M188" s="121"/>
      <c r="N188" s="28"/>
      <c r="O188" s="28"/>
      <c r="P188" s="28"/>
      <c r="Q188" s="28"/>
      <c r="R188" s="28"/>
      <c r="S188" s="28"/>
      <c r="T188" s="155"/>
      <c r="U188" s="28"/>
      <c r="V188" s="10"/>
    </row>
    <row r="189" spans="1:22" ht="18" customHeight="1">
      <c r="A189" s="159"/>
      <c r="B189" s="689" t="s">
        <v>972</v>
      </c>
      <c r="C189" s="1150" t="s">
        <v>652</v>
      </c>
      <c r="D189" s="155"/>
      <c r="E189" s="155"/>
      <c r="F189" s="155"/>
      <c r="G189" s="802">
        <v>1.2</v>
      </c>
      <c r="H189" s="1153" t="s">
        <v>315</v>
      </c>
      <c r="I189" s="1203" t="s">
        <v>976</v>
      </c>
      <c r="J189" s="1204"/>
      <c r="K189" s="1204"/>
      <c r="L189" s="1204"/>
      <c r="M189" s="1204"/>
      <c r="N189" s="689" t="s">
        <v>672</v>
      </c>
      <c r="O189" s="708" t="s">
        <v>420</v>
      </c>
      <c r="P189" s="689" t="s">
        <v>347</v>
      </c>
      <c r="Q189" s="708" t="s">
        <v>974</v>
      </c>
      <c r="R189" s="708" t="s">
        <v>674</v>
      </c>
      <c r="S189" s="708" t="s">
        <v>482</v>
      </c>
      <c r="U189" s="729" t="s">
        <v>683</v>
      </c>
      <c r="V189" s="10"/>
    </row>
    <row r="190" spans="1:22" ht="18" customHeight="1">
      <c r="A190" s="159"/>
      <c r="B190" s="689"/>
      <c r="C190" s="689"/>
      <c r="D190" s="155"/>
      <c r="E190" s="155"/>
      <c r="F190" s="155"/>
      <c r="G190" s="802"/>
      <c r="H190" s="689"/>
      <c r="I190" s="695">
        <v>1.25</v>
      </c>
      <c r="J190" s="695"/>
      <c r="K190" s="121" t="s">
        <v>315</v>
      </c>
      <c r="L190" s="695" t="s">
        <v>483</v>
      </c>
      <c r="M190" s="695"/>
      <c r="N190" s="689"/>
      <c r="O190" s="689"/>
      <c r="P190" s="689"/>
      <c r="Q190" s="689"/>
      <c r="R190" s="689"/>
      <c r="S190" s="689"/>
      <c r="T190" s="155"/>
      <c r="U190" s="689"/>
      <c r="V190" s="10"/>
    </row>
    <row r="191" spans="1:22" ht="18" customHeight="1">
      <c r="A191" s="116" t="s">
        <v>977</v>
      </c>
      <c r="B191" s="155"/>
      <c r="C191" s="155"/>
      <c r="D191" s="155"/>
      <c r="E191" s="155"/>
      <c r="F191" s="155"/>
      <c r="G191" s="155"/>
      <c r="H191" s="155"/>
      <c r="I191" s="155"/>
      <c r="J191" s="155"/>
      <c r="K191" s="155"/>
      <c r="L191" s="155"/>
      <c r="M191" s="155"/>
      <c r="N191" s="155"/>
      <c r="O191" s="155"/>
      <c r="P191" s="155"/>
      <c r="Q191" s="155"/>
      <c r="R191" s="155"/>
      <c r="S191" s="155"/>
      <c r="T191" s="155"/>
      <c r="U191" s="155"/>
      <c r="V191" s="10"/>
    </row>
    <row r="192" spans="1:22" s="155" customFormat="1" ht="18" customHeight="1">
      <c r="A192" s="193"/>
      <c r="B192" s="197" t="s">
        <v>416</v>
      </c>
      <c r="V192" s="10"/>
    </row>
    <row r="193" spans="1:22" s="155" customFormat="1" ht="18" customHeight="1">
      <c r="A193" s="370"/>
      <c r="B193" s="689" t="s">
        <v>972</v>
      </c>
      <c r="C193" s="1150" t="s">
        <v>652</v>
      </c>
      <c r="G193" s="808" t="s">
        <v>135</v>
      </c>
      <c r="H193" s="1153" t="s">
        <v>315</v>
      </c>
      <c r="I193" s="1203" t="s">
        <v>978</v>
      </c>
      <c r="J193" s="1204"/>
      <c r="K193" s="1204"/>
      <c r="L193" s="1204"/>
      <c r="M193" s="1204"/>
      <c r="N193" s="689" t="s">
        <v>672</v>
      </c>
      <c r="O193" s="708" t="s">
        <v>420</v>
      </c>
      <c r="P193" s="689" t="s">
        <v>347</v>
      </c>
      <c r="Q193" s="708" t="s">
        <v>974</v>
      </c>
      <c r="R193" s="708" t="s">
        <v>674</v>
      </c>
      <c r="S193" s="708" t="s">
        <v>482</v>
      </c>
      <c r="T193" s="7"/>
      <c r="U193" s="729" t="s">
        <v>685</v>
      </c>
      <c r="V193" s="10"/>
    </row>
    <row r="194" spans="1:22" s="155" customFormat="1" ht="18" customHeight="1">
      <c r="A194" s="370"/>
      <c r="B194" s="689"/>
      <c r="C194" s="689"/>
      <c r="G194" s="808"/>
      <c r="H194" s="689"/>
      <c r="I194" s="695">
        <v>1.25</v>
      </c>
      <c r="J194" s="695"/>
      <c r="K194" s="121" t="s">
        <v>315</v>
      </c>
      <c r="L194" s="695" t="s">
        <v>483</v>
      </c>
      <c r="M194" s="695"/>
      <c r="N194" s="689"/>
      <c r="O194" s="689"/>
      <c r="P194" s="689"/>
      <c r="Q194" s="689"/>
      <c r="R194" s="689"/>
      <c r="S194" s="689"/>
      <c r="T194" s="7"/>
      <c r="U194" s="689"/>
      <c r="V194" s="10"/>
    </row>
    <row r="195" spans="1:22" s="155" customFormat="1" ht="18" customHeight="1">
      <c r="A195" s="193"/>
      <c r="B195" s="197" t="s">
        <v>979</v>
      </c>
      <c r="D195" s="360"/>
      <c r="E195" s="360"/>
      <c r="F195" s="597"/>
      <c r="G195" s="360"/>
      <c r="H195" s="597"/>
      <c r="I195" s="586"/>
      <c r="J195" s="586"/>
      <c r="K195" s="360"/>
      <c r="N195" s="360"/>
      <c r="O195" s="360"/>
      <c r="P195" s="360"/>
      <c r="Q195" s="353"/>
      <c r="R195" s="598"/>
      <c r="S195" s="599"/>
      <c r="T195" s="7"/>
      <c r="U195"/>
      <c r="V195" s="10"/>
    </row>
    <row r="196" spans="1:22" s="155" customFormat="1" ht="18" customHeight="1">
      <c r="A196" s="159"/>
      <c r="B196" s="689" t="s">
        <v>972</v>
      </c>
      <c r="C196" s="1150" t="s">
        <v>652</v>
      </c>
      <c r="G196" s="808" t="s">
        <v>980</v>
      </c>
      <c r="H196" s="1153" t="s">
        <v>315</v>
      </c>
      <c r="I196" s="1203" t="s">
        <v>981</v>
      </c>
      <c r="J196" s="1204"/>
      <c r="K196" s="1204"/>
      <c r="L196" s="1204"/>
      <c r="M196" s="1204"/>
      <c r="N196" s="689" t="s">
        <v>672</v>
      </c>
      <c r="O196" s="708" t="s">
        <v>420</v>
      </c>
      <c r="P196" s="689" t="s">
        <v>347</v>
      </c>
      <c r="Q196" s="708" t="s">
        <v>974</v>
      </c>
      <c r="R196" s="708" t="s">
        <v>674</v>
      </c>
      <c r="S196" s="708" t="s">
        <v>482</v>
      </c>
      <c r="T196" s="7"/>
      <c r="U196" s="729" t="s">
        <v>982</v>
      </c>
      <c r="V196" s="10"/>
    </row>
    <row r="197" spans="1:22" s="155" customFormat="1" ht="18" customHeight="1">
      <c r="A197" s="159"/>
      <c r="B197" s="689"/>
      <c r="C197" s="689"/>
      <c r="G197" s="808"/>
      <c r="H197" s="689"/>
      <c r="I197" s="695">
        <v>1.25</v>
      </c>
      <c r="J197" s="695">
        <v>1.3</v>
      </c>
      <c r="K197" s="121" t="s">
        <v>315</v>
      </c>
      <c r="L197" s="695" t="s">
        <v>483</v>
      </c>
      <c r="M197" s="695"/>
      <c r="N197" s="689"/>
      <c r="O197" s="689"/>
      <c r="P197" s="689"/>
      <c r="Q197" s="689"/>
      <c r="R197" s="689"/>
      <c r="S197" s="689"/>
      <c r="T197" s="7"/>
      <c r="U197" s="689"/>
      <c r="V197" s="10"/>
    </row>
    <row r="198" spans="1:22" s="155" customFormat="1" ht="18" customHeight="1">
      <c r="A198" s="600"/>
      <c r="B198" s="182"/>
      <c r="C198" s="182"/>
      <c r="D198" s="601"/>
      <c r="E198" s="601"/>
      <c r="F198" s="601"/>
      <c r="G198" s="224"/>
      <c r="H198" s="307"/>
      <c r="I198" s="22"/>
      <c r="J198" s="602"/>
      <c r="K198" s="22"/>
      <c r="L198" s="22"/>
      <c r="M198" s="602"/>
      <c r="N198" s="182"/>
      <c r="O198" s="182"/>
      <c r="P198" s="182"/>
      <c r="Q198" s="182"/>
      <c r="R198" s="182"/>
      <c r="S198" s="182"/>
      <c r="T198" s="423"/>
      <c r="U198" s="182"/>
      <c r="V198" s="603"/>
    </row>
    <row r="199" spans="1:22" s="155" customFormat="1" ht="18" customHeight="1">
      <c r="A199" s="629"/>
      <c r="B199" s="138"/>
      <c r="C199" s="138"/>
      <c r="D199" s="349"/>
      <c r="E199" s="349"/>
      <c r="F199" s="349"/>
      <c r="G199" s="274"/>
      <c r="H199" s="311"/>
      <c r="I199" s="136"/>
      <c r="J199" s="630"/>
      <c r="K199" s="136"/>
      <c r="L199" s="136"/>
      <c r="M199" s="630"/>
      <c r="N199" s="138"/>
      <c r="O199" s="138"/>
      <c r="P199" s="138"/>
      <c r="Q199" s="138"/>
      <c r="R199" s="138"/>
      <c r="S199" s="138"/>
      <c r="T199" s="384"/>
      <c r="U199" s="138"/>
      <c r="V199" s="395"/>
    </row>
    <row r="200" spans="1:22" s="155" customFormat="1" ht="18" customHeight="1">
      <c r="A200" s="9"/>
      <c r="B200" s="47" t="s">
        <v>654</v>
      </c>
      <c r="C200" s="7"/>
      <c r="D200" s="7"/>
      <c r="E200" s="7"/>
      <c r="F200" s="115"/>
      <c r="G200" s="115"/>
      <c r="H200" s="7"/>
      <c r="I200" s="124"/>
      <c r="J200" s="7"/>
      <c r="K200" s="7"/>
      <c r="L200"/>
      <c r="M200" s="7"/>
      <c r="N200" s="7"/>
      <c r="O200"/>
      <c r="P200" s="14" t="s">
        <v>483</v>
      </c>
      <c r="Q200"/>
      <c r="R200" s="234" t="s">
        <v>127</v>
      </c>
      <c r="S200" s="684">
        <f>J163</f>
        <v>1800</v>
      </c>
      <c r="T200" s="684"/>
      <c r="U200" s="30" t="s">
        <v>8</v>
      </c>
      <c r="V200" s="10"/>
    </row>
    <row r="201" spans="1:22" s="7" customFormat="1" ht="18" customHeight="1">
      <c r="A201" s="9"/>
      <c r="B201" s="47" t="s">
        <v>655</v>
      </c>
      <c r="F201" s="115"/>
      <c r="G201" s="115"/>
      <c r="I201" s="124"/>
      <c r="L201"/>
      <c r="O201"/>
      <c r="P201" s="14" t="s">
        <v>420</v>
      </c>
      <c r="Q201"/>
      <c r="R201" s="234" t="s">
        <v>127</v>
      </c>
      <c r="S201" s="684">
        <f>J165</f>
        <v>5.6</v>
      </c>
      <c r="T201" s="684"/>
      <c r="U201" s="192" t="s">
        <v>333</v>
      </c>
      <c r="V201" s="10"/>
    </row>
    <row r="202" spans="1:22" ht="18" customHeight="1">
      <c r="A202" s="9"/>
      <c r="B202" s="47" t="s">
        <v>676</v>
      </c>
      <c r="C202" s="7"/>
      <c r="D202" s="7"/>
      <c r="E202" s="7"/>
      <c r="F202" s="115"/>
      <c r="G202" s="115"/>
      <c r="H202" s="7"/>
      <c r="I202" s="124"/>
      <c r="J202" s="7"/>
      <c r="K202" s="7"/>
      <c r="M202" s="7"/>
      <c r="N202" s="7"/>
      <c r="P202" s="14" t="s">
        <v>974</v>
      </c>
      <c r="R202" s="234" t="s">
        <v>127</v>
      </c>
      <c r="S202" s="795">
        <f>S181</f>
        <v>1.1770224400000002</v>
      </c>
      <c r="T202" s="795"/>
      <c r="U202" s="192" t="s">
        <v>333</v>
      </c>
      <c r="V202" s="10"/>
    </row>
    <row r="203" spans="1:22" ht="18" customHeight="1">
      <c r="A203" s="9"/>
      <c r="B203" s="47" t="s">
        <v>691</v>
      </c>
      <c r="C203" s="7"/>
      <c r="D203" s="7"/>
      <c r="E203" s="7"/>
      <c r="F203" s="7"/>
      <c r="G203" s="7"/>
      <c r="H203" s="7"/>
      <c r="I203" s="124"/>
      <c r="J203" s="7"/>
      <c r="K203" s="7"/>
      <c r="M203" s="7"/>
      <c r="N203" s="7"/>
      <c r="P203" s="14" t="s">
        <v>482</v>
      </c>
      <c r="R203" s="234" t="s">
        <v>127</v>
      </c>
      <c r="S203" s="684">
        <f>O163</f>
        <v>1</v>
      </c>
      <c r="T203" s="684"/>
      <c r="U203" s="30" t="s">
        <v>8</v>
      </c>
      <c r="V203" s="10"/>
    </row>
    <row r="204" spans="1:22" ht="18" customHeight="1">
      <c r="A204" s="9"/>
      <c r="B204" s="47" t="s">
        <v>983</v>
      </c>
      <c r="C204" s="7"/>
      <c r="D204" s="7"/>
      <c r="E204" s="7"/>
      <c r="F204" s="7"/>
      <c r="G204" s="7"/>
      <c r="H204" s="7"/>
      <c r="I204" s="124"/>
      <c r="J204" s="7"/>
      <c r="K204" s="7"/>
      <c r="M204" s="7"/>
      <c r="N204" s="7"/>
      <c r="P204" s="120" t="s">
        <v>984</v>
      </c>
      <c r="R204" s="234" t="s">
        <v>127</v>
      </c>
      <c r="S204" s="684">
        <f t="shared" ref="S204:S210" si="0">S51</f>
        <v>42229.804278926844</v>
      </c>
      <c r="T204" s="684"/>
      <c r="U204" s="30" t="s">
        <v>8</v>
      </c>
      <c r="V204" s="10"/>
    </row>
    <row r="205" spans="1:22" ht="18" customHeight="1">
      <c r="A205" s="9"/>
      <c r="B205" s="14" t="s">
        <v>985</v>
      </c>
      <c r="C205" s="7"/>
      <c r="D205" s="606"/>
      <c r="E205" s="7"/>
      <c r="F205" s="121"/>
      <c r="G205" s="441"/>
      <c r="H205" s="121"/>
      <c r="I205" s="607"/>
      <c r="J205" s="7"/>
      <c r="K205" s="608"/>
      <c r="M205" s="372"/>
      <c r="N205" s="609"/>
      <c r="P205" s="281" t="s">
        <v>986</v>
      </c>
      <c r="R205" s="234" t="s">
        <v>127</v>
      </c>
      <c r="S205" s="795">
        <f t="shared" si="0"/>
        <v>27.369568080254382</v>
      </c>
      <c r="T205" s="795"/>
      <c r="U205" s="30"/>
      <c r="V205" s="10"/>
    </row>
    <row r="206" spans="1:22" ht="18" customHeight="1">
      <c r="A206" s="9"/>
      <c r="B206" s="47" t="s">
        <v>987</v>
      </c>
      <c r="C206" s="7"/>
      <c r="D206" s="7"/>
      <c r="E206" s="7"/>
      <c r="F206" s="7"/>
      <c r="G206" s="7"/>
      <c r="H206" s="7"/>
      <c r="I206" s="124"/>
      <c r="J206" s="7"/>
      <c r="K206" s="7"/>
      <c r="M206" s="7"/>
      <c r="N206" s="7"/>
      <c r="P206" s="421" t="s">
        <v>988</v>
      </c>
      <c r="R206" s="234" t="s">
        <v>127</v>
      </c>
      <c r="S206" s="713">
        <f t="shared" si="0"/>
        <v>43584.822413584639</v>
      </c>
      <c r="T206" s="713"/>
      <c r="U206" s="30" t="s">
        <v>8</v>
      </c>
      <c r="V206" s="10"/>
    </row>
    <row r="207" spans="1:22" ht="18" customHeight="1">
      <c r="A207" s="9"/>
      <c r="B207" s="14" t="s">
        <v>989</v>
      </c>
      <c r="C207" s="7"/>
      <c r="D207" s="7"/>
      <c r="E207" s="7"/>
      <c r="F207" s="7"/>
      <c r="G207" s="7"/>
      <c r="H207" s="7"/>
      <c r="I207" s="7"/>
      <c r="J207" s="7"/>
      <c r="K207" s="7"/>
      <c r="L207" s="7"/>
      <c r="M207" s="7"/>
      <c r="N207" s="7"/>
      <c r="P207" s="30" t="s">
        <v>990</v>
      </c>
      <c r="R207" s="234" t="s">
        <v>127</v>
      </c>
      <c r="S207" s="795">
        <f t="shared" si="0"/>
        <v>41.979419477826461</v>
      </c>
      <c r="T207" s="795"/>
      <c r="U207" s="30"/>
      <c r="V207" s="10"/>
    </row>
    <row r="208" spans="1:22" ht="18" customHeight="1">
      <c r="A208" s="9"/>
      <c r="B208" s="47" t="s">
        <v>991</v>
      </c>
      <c r="C208" s="7"/>
      <c r="D208" s="7"/>
      <c r="E208" s="7"/>
      <c r="F208" s="7"/>
      <c r="G208" s="7"/>
      <c r="H208" s="7"/>
      <c r="I208" s="124"/>
      <c r="J208" s="7"/>
      <c r="K208" s="7"/>
      <c r="M208" s="7"/>
      <c r="N208" s="7"/>
      <c r="P208" s="421" t="s">
        <v>992</v>
      </c>
      <c r="R208" s="234" t="s">
        <v>127</v>
      </c>
      <c r="S208" s="713">
        <f t="shared" si="0"/>
        <v>44648.255952235893</v>
      </c>
      <c r="T208" s="713"/>
      <c r="U208" s="30" t="s">
        <v>8</v>
      </c>
      <c r="V208" s="10"/>
    </row>
    <row r="209" spans="1:22" ht="18" customHeight="1">
      <c r="A209" s="9"/>
      <c r="B209" s="14" t="s">
        <v>993</v>
      </c>
      <c r="C209" s="7"/>
      <c r="D209" s="606"/>
      <c r="E209" s="7"/>
      <c r="F209" s="121"/>
      <c r="G209" s="441"/>
      <c r="H209" s="121"/>
      <c r="I209" s="607"/>
      <c r="J209" s="7"/>
      <c r="K209" s="608"/>
      <c r="L209" s="7"/>
      <c r="M209" s="372"/>
      <c r="N209" s="609"/>
      <c r="P209" s="30" t="s">
        <v>994</v>
      </c>
      <c r="R209" s="234" t="s">
        <v>127</v>
      </c>
      <c r="S209" s="795">
        <f t="shared" si="0"/>
        <v>29.635036773964003</v>
      </c>
      <c r="T209" s="795"/>
      <c r="U209" s="30"/>
      <c r="V209" s="10"/>
    </row>
    <row r="210" spans="1:22" ht="18" customHeight="1">
      <c r="A210" s="9"/>
      <c r="B210" s="47" t="s">
        <v>678</v>
      </c>
      <c r="C210" s="7"/>
      <c r="D210" s="7"/>
      <c r="E210" s="7"/>
      <c r="F210" s="7"/>
      <c r="G210" s="7"/>
      <c r="H210" s="7"/>
      <c r="I210" s="124"/>
      <c r="J210" s="7"/>
      <c r="K210" s="7"/>
      <c r="M210" s="7"/>
      <c r="N210" s="7"/>
      <c r="P210" s="120" t="s">
        <v>973</v>
      </c>
      <c r="R210" s="234" t="s">
        <v>127</v>
      </c>
      <c r="S210" s="713">
        <f t="shared" si="0"/>
        <v>50000</v>
      </c>
      <c r="T210" s="713"/>
      <c r="U210" s="30" t="s">
        <v>8</v>
      </c>
      <c r="V210" s="10"/>
    </row>
    <row r="211" spans="1:22" ht="18" customHeight="1">
      <c r="A211" s="9"/>
      <c r="B211" s="14"/>
      <c r="C211" s="7"/>
      <c r="D211" s="606"/>
      <c r="E211" s="7"/>
      <c r="F211" s="121"/>
      <c r="G211" s="441"/>
      <c r="H211" s="121"/>
      <c r="I211" s="607"/>
      <c r="J211" s="7"/>
      <c r="K211" s="608"/>
      <c r="L211" s="7"/>
      <c r="M211" s="47"/>
      <c r="N211" s="28"/>
      <c r="O211" s="27"/>
      <c r="V211" s="10"/>
    </row>
    <row r="212" spans="1:22" ht="18" customHeight="1">
      <c r="A212" s="96"/>
      <c r="B212" s="14" t="s">
        <v>995</v>
      </c>
      <c r="C212" s="437"/>
      <c r="D212" s="376"/>
      <c r="E212" s="376"/>
      <c r="F212" s="152"/>
      <c r="G212" s="152"/>
      <c r="H212" s="152"/>
      <c r="I212" s="153"/>
      <c r="J212" s="153"/>
      <c r="K212" s="7"/>
      <c r="L212" s="376"/>
      <c r="M212" s="376"/>
      <c r="N212" s="153"/>
      <c r="O212" s="610"/>
      <c r="V212" s="10"/>
    </row>
    <row r="213" spans="1:22" ht="18" customHeight="1">
      <c r="A213" s="96"/>
      <c r="B213" s="249" t="s">
        <v>996</v>
      </c>
      <c r="C213" s="7"/>
      <c r="D213" s="7"/>
      <c r="E213" s="7"/>
      <c r="F213" s="7"/>
      <c r="H213" s="152"/>
      <c r="I213" s="14" t="s">
        <v>997</v>
      </c>
      <c r="K213" s="7"/>
      <c r="L213" s="7"/>
      <c r="M213" s="124" t="s">
        <v>135</v>
      </c>
      <c r="N213" s="102" t="s">
        <v>127</v>
      </c>
      <c r="O213" s="28">
        <v>1</v>
      </c>
      <c r="V213" s="10"/>
    </row>
    <row r="214" spans="1:22" ht="18" customHeight="1">
      <c r="A214" s="611"/>
      <c r="B214" s="249" t="s">
        <v>996</v>
      </c>
      <c r="C214" s="441"/>
      <c r="D214" s="441"/>
      <c r="E214" s="441"/>
      <c r="F214" s="441"/>
      <c r="H214" s="152"/>
      <c r="I214" s="14" t="s">
        <v>998</v>
      </c>
      <c r="K214" s="7"/>
      <c r="L214" s="7"/>
      <c r="M214" s="124" t="s">
        <v>135</v>
      </c>
      <c r="N214" s="102" t="s">
        <v>127</v>
      </c>
      <c r="O214" s="28">
        <v>2</v>
      </c>
      <c r="V214" s="10"/>
    </row>
    <row r="215" spans="1:22" ht="18" customHeight="1">
      <c r="A215" s="611"/>
      <c r="B215" s="249" t="s">
        <v>996</v>
      </c>
      <c r="C215" s="441"/>
      <c r="D215" s="441"/>
      <c r="E215" s="441"/>
      <c r="F215" s="441"/>
      <c r="H215" s="152"/>
      <c r="I215" s="14" t="s">
        <v>999</v>
      </c>
      <c r="K215" s="7"/>
      <c r="L215" s="7"/>
      <c r="M215" s="124" t="s">
        <v>135</v>
      </c>
      <c r="N215" s="102" t="s">
        <v>127</v>
      </c>
      <c r="O215" s="28">
        <v>4</v>
      </c>
      <c r="V215" s="10"/>
    </row>
    <row r="216" spans="1:22" ht="18" customHeight="1">
      <c r="A216" s="611"/>
      <c r="B216" s="249"/>
      <c r="C216" s="441"/>
      <c r="D216" s="441"/>
      <c r="E216" s="441"/>
      <c r="F216" s="441"/>
      <c r="H216" s="152"/>
      <c r="I216" s="14"/>
      <c r="K216" s="7"/>
      <c r="L216" s="7"/>
      <c r="M216" s="124"/>
      <c r="N216" s="102"/>
      <c r="O216" s="28"/>
      <c r="V216" s="10"/>
    </row>
    <row r="217" spans="1:22" ht="18" customHeight="1">
      <c r="A217" s="611"/>
      <c r="B217" s="14" t="s">
        <v>1000</v>
      </c>
      <c r="C217" s="437"/>
      <c r="D217" s="376"/>
      <c r="E217" s="376"/>
      <c r="F217" s="152"/>
      <c r="G217" s="152"/>
      <c r="H217" s="152"/>
      <c r="I217" s="28"/>
      <c r="J217" s="153"/>
      <c r="K217" s="7"/>
      <c r="L217" s="376"/>
      <c r="M217" s="372"/>
      <c r="N217" s="153"/>
      <c r="O217" s="612"/>
      <c r="V217" s="10"/>
    </row>
    <row r="218" spans="1:22" ht="18" customHeight="1">
      <c r="A218" s="96"/>
      <c r="B218" s="249" t="s">
        <v>996</v>
      </c>
      <c r="C218" s="441"/>
      <c r="D218" s="441"/>
      <c r="E218" s="441"/>
      <c r="F218" s="441"/>
      <c r="H218" s="152"/>
      <c r="I218" s="14" t="s">
        <v>1001</v>
      </c>
      <c r="K218" s="7"/>
      <c r="L218" s="7"/>
      <c r="M218" s="124" t="s">
        <v>980</v>
      </c>
      <c r="N218" s="102" t="s">
        <v>127</v>
      </c>
      <c r="O218" s="28">
        <v>4</v>
      </c>
      <c r="V218" s="10"/>
    </row>
    <row r="219" spans="1:22" ht="18" customHeight="1">
      <c r="A219" s="611"/>
      <c r="B219" s="249" t="s">
        <v>996</v>
      </c>
      <c r="C219" s="441"/>
      <c r="D219" s="441"/>
      <c r="E219" s="441"/>
      <c r="F219" s="441"/>
      <c r="H219" s="152"/>
      <c r="I219" s="14" t="s">
        <v>999</v>
      </c>
      <c r="K219" s="7"/>
      <c r="L219" s="7"/>
      <c r="M219" s="124" t="s">
        <v>980</v>
      </c>
      <c r="N219" s="102" t="s">
        <v>127</v>
      </c>
      <c r="O219" s="28">
        <v>5</v>
      </c>
      <c r="V219" s="10"/>
    </row>
    <row r="220" spans="1:22" ht="18" customHeight="1">
      <c r="A220" s="611"/>
      <c r="B220" s="249"/>
      <c r="C220" s="441"/>
      <c r="D220" s="441"/>
      <c r="E220" s="441"/>
      <c r="F220" s="441"/>
      <c r="H220" s="152"/>
      <c r="I220" s="14"/>
      <c r="K220" s="7"/>
      <c r="L220" s="7"/>
      <c r="M220" s="124"/>
      <c r="N220" s="102"/>
      <c r="O220" s="28"/>
      <c r="V220" s="10"/>
    </row>
    <row r="221" spans="1:22" ht="18" customHeight="1">
      <c r="A221" s="96" t="s">
        <v>1002</v>
      </c>
      <c r="B221" s="152"/>
      <c r="C221" s="152"/>
      <c r="D221" s="152"/>
      <c r="E221" s="152"/>
      <c r="F221" s="7"/>
      <c r="G221" s="437"/>
      <c r="H221" s="437"/>
      <c r="I221" s="7"/>
      <c r="J221" s="7"/>
      <c r="K221" s="152"/>
      <c r="L221" s="152"/>
      <c r="M221" s="152"/>
      <c r="N221" s="152"/>
      <c r="O221" s="152"/>
      <c r="V221" s="10"/>
    </row>
    <row r="222" spans="1:22" ht="18" customHeight="1">
      <c r="A222" s="116" t="s">
        <v>1003</v>
      </c>
      <c r="B222" s="152"/>
      <c r="C222" s="152"/>
      <c r="D222" s="152"/>
      <c r="E222" s="152"/>
      <c r="F222" s="7"/>
      <c r="G222" s="437"/>
      <c r="H222" s="437"/>
      <c r="I222" s="7"/>
      <c r="J222" s="7"/>
      <c r="K222" s="152"/>
      <c r="L222" s="152"/>
      <c r="M222" s="152"/>
      <c r="N222" s="152"/>
      <c r="O222" s="152"/>
      <c r="V222" s="10"/>
    </row>
    <row r="223" spans="1:22" ht="18" customHeight="1">
      <c r="A223" s="116"/>
      <c r="B223" s="197" t="s">
        <v>971</v>
      </c>
      <c r="C223" s="594"/>
      <c r="D223" s="594"/>
      <c r="E223" s="594"/>
      <c r="F223" s="594"/>
      <c r="G223" s="594"/>
      <c r="H223" s="594"/>
      <c r="I223" s="594"/>
      <c r="J223" s="595"/>
      <c r="K223" s="594"/>
      <c r="L223" s="594"/>
      <c r="M223" s="594"/>
      <c r="N223" s="594"/>
      <c r="O223" s="594"/>
      <c r="P223" s="594"/>
      <c r="Q223" s="594"/>
      <c r="R223" s="594"/>
      <c r="S223" s="594"/>
      <c r="T223" s="594"/>
      <c r="U223" s="594"/>
      <c r="V223" s="10"/>
    </row>
    <row r="224" spans="1:22" ht="18" customHeight="1">
      <c r="A224" s="116"/>
      <c r="B224" s="689" t="s">
        <v>972</v>
      </c>
      <c r="C224" s="1150" t="s">
        <v>652</v>
      </c>
      <c r="D224" s="155"/>
      <c r="E224" s="155"/>
      <c r="F224" s="155"/>
      <c r="G224" s="802">
        <v>0.5</v>
      </c>
      <c r="H224" s="1153" t="s">
        <v>315</v>
      </c>
      <c r="I224" s="1205">
        <f>S210</f>
        <v>50000</v>
      </c>
      <c r="J224" s="1204"/>
      <c r="K224" s="1204"/>
      <c r="L224" s="1204"/>
      <c r="M224" s="1204"/>
      <c r="N224" s="689" t="s">
        <v>672</v>
      </c>
      <c r="O224" s="708">
        <f>S201</f>
        <v>5.6</v>
      </c>
      <c r="P224" s="689" t="s">
        <v>347</v>
      </c>
      <c r="Q224" s="708">
        <f>S202</f>
        <v>1.1770224400000002</v>
      </c>
      <c r="R224" s="708" t="s">
        <v>674</v>
      </c>
      <c r="S224" s="708">
        <f>S203</f>
        <v>1</v>
      </c>
      <c r="U224" s="729" t="s">
        <v>653</v>
      </c>
      <c r="V224" s="10"/>
    </row>
    <row r="225" spans="1:22" ht="18" customHeight="1">
      <c r="A225" s="116"/>
      <c r="B225" s="689"/>
      <c r="C225" s="689"/>
      <c r="D225" s="155"/>
      <c r="E225" s="155"/>
      <c r="F225" s="155"/>
      <c r="G225" s="802"/>
      <c r="H225" s="689"/>
      <c r="I225" s="695">
        <v>1.25</v>
      </c>
      <c r="J225" s="695"/>
      <c r="K225" s="121" t="s">
        <v>315</v>
      </c>
      <c r="L225" s="695">
        <f>S200</f>
        <v>1800</v>
      </c>
      <c r="M225" s="695"/>
      <c r="N225" s="689"/>
      <c r="O225" s="689"/>
      <c r="P225" s="689"/>
      <c r="Q225" s="689"/>
      <c r="R225" s="689"/>
      <c r="S225" s="689"/>
      <c r="T225" s="155"/>
      <c r="U225" s="689"/>
      <c r="V225" s="10"/>
    </row>
    <row r="226" spans="1:22" ht="18" customHeight="1">
      <c r="A226" s="116"/>
      <c r="B226" s="28"/>
      <c r="C226" s="27" t="s">
        <v>127</v>
      </c>
      <c r="D226" s="812">
        <f>G224*(I224/(I225*L225)*(O224+Q224)*S224)</f>
        <v>75.300249333333326</v>
      </c>
      <c r="E226" s="813"/>
      <c r="F226" s="27" t="s">
        <v>305</v>
      </c>
      <c r="G226" s="120"/>
      <c r="H226" s="28"/>
      <c r="I226" s="121"/>
      <c r="J226" s="121"/>
      <c r="K226" s="121"/>
      <c r="L226" s="121"/>
      <c r="M226" s="121"/>
      <c r="N226" s="28"/>
      <c r="O226" s="28"/>
      <c r="P226" s="28"/>
      <c r="Q226" s="28"/>
      <c r="R226" s="28"/>
      <c r="S226" s="28"/>
      <c r="T226" s="155"/>
      <c r="U226" s="28"/>
      <c r="V226" s="10"/>
    </row>
    <row r="227" spans="1:22" ht="18" customHeight="1">
      <c r="A227" s="116"/>
      <c r="B227" s="197" t="s">
        <v>975</v>
      </c>
      <c r="C227" s="28"/>
      <c r="D227" s="155"/>
      <c r="E227" s="155"/>
      <c r="F227" s="155"/>
      <c r="G227" s="120"/>
      <c r="H227" s="28"/>
      <c r="I227" s="121"/>
      <c r="J227" s="121"/>
      <c r="K227" s="121"/>
      <c r="L227" s="121"/>
      <c r="M227" s="121"/>
      <c r="N227" s="28"/>
      <c r="O227" s="28"/>
      <c r="P227" s="28"/>
      <c r="Q227" s="28"/>
      <c r="R227" s="28"/>
      <c r="S227" s="28"/>
      <c r="T227" s="155"/>
      <c r="U227" s="28"/>
      <c r="V227" s="10"/>
    </row>
    <row r="228" spans="1:22" ht="18" customHeight="1">
      <c r="A228" s="396"/>
      <c r="B228" s="689" t="s">
        <v>972</v>
      </c>
      <c r="C228" s="1150" t="s">
        <v>652</v>
      </c>
      <c r="D228" s="155"/>
      <c r="E228" s="155"/>
      <c r="F228" s="155"/>
      <c r="G228" s="802">
        <v>1.2</v>
      </c>
      <c r="H228" s="1153" t="s">
        <v>315</v>
      </c>
      <c r="I228" s="1203">
        <f>S204</f>
        <v>42229.804278926844</v>
      </c>
      <c r="J228" s="1204"/>
      <c r="K228" s="1204"/>
      <c r="L228" s="1204"/>
      <c r="M228" s="1204"/>
      <c r="N228" s="689" t="s">
        <v>672</v>
      </c>
      <c r="O228" s="708">
        <f>S201</f>
        <v>5.6</v>
      </c>
      <c r="P228" s="689" t="s">
        <v>347</v>
      </c>
      <c r="Q228" s="708">
        <f>S202</f>
        <v>1.1770224400000002</v>
      </c>
      <c r="R228" s="708" t="s">
        <v>674</v>
      </c>
      <c r="S228" s="708">
        <f>S203</f>
        <v>1</v>
      </c>
      <c r="U228" s="729" t="s">
        <v>683</v>
      </c>
      <c r="V228" s="10"/>
    </row>
    <row r="229" spans="1:22" ht="18" customHeight="1">
      <c r="A229" s="396"/>
      <c r="B229" s="689"/>
      <c r="C229" s="689"/>
      <c r="D229" s="155"/>
      <c r="E229" s="155"/>
      <c r="F229" s="155"/>
      <c r="G229" s="802"/>
      <c r="H229" s="689"/>
      <c r="I229" s="695">
        <v>1.25</v>
      </c>
      <c r="J229" s="695"/>
      <c r="K229" s="121" t="s">
        <v>315</v>
      </c>
      <c r="L229" s="695">
        <f>S200</f>
        <v>1800</v>
      </c>
      <c r="M229" s="695"/>
      <c r="N229" s="689"/>
      <c r="O229" s="689"/>
      <c r="P229" s="689"/>
      <c r="Q229" s="689"/>
      <c r="R229" s="689"/>
      <c r="S229" s="689"/>
      <c r="T229" s="155"/>
      <c r="U229" s="689"/>
      <c r="V229" s="10"/>
    </row>
    <row r="230" spans="1:22" ht="18" customHeight="1">
      <c r="A230" s="396"/>
      <c r="B230" s="28"/>
      <c r="C230" s="27" t="s">
        <v>127</v>
      </c>
      <c r="D230" s="812">
        <f>G228*(I228/(I229*L229)*(O228+Q228)*S228)</f>
        <v>152.63590999205078</v>
      </c>
      <c r="E230" s="813"/>
      <c r="F230" s="27" t="s">
        <v>305</v>
      </c>
      <c r="G230" s="120"/>
      <c r="H230" s="28"/>
      <c r="I230" s="121"/>
      <c r="J230" s="121"/>
      <c r="K230" s="121"/>
      <c r="L230" s="121"/>
      <c r="M230" s="121"/>
      <c r="N230" s="28"/>
      <c r="O230" s="28"/>
      <c r="P230" s="28"/>
      <c r="Q230" s="28"/>
      <c r="R230" s="28"/>
      <c r="S230" s="28"/>
      <c r="T230" s="155"/>
      <c r="U230" s="28"/>
      <c r="V230" s="10"/>
    </row>
    <row r="231" spans="1:22" ht="18" customHeight="1">
      <c r="A231" s="611"/>
      <c r="B231" s="249"/>
      <c r="C231" s="441"/>
      <c r="D231" s="441"/>
      <c r="E231" s="441"/>
      <c r="F231" s="441"/>
      <c r="H231" s="152"/>
      <c r="I231" s="14"/>
      <c r="K231" s="7"/>
      <c r="L231" s="7"/>
      <c r="M231" s="124"/>
      <c r="N231" s="102"/>
      <c r="O231" s="28"/>
      <c r="V231" s="10"/>
    </row>
    <row r="232" spans="1:22" ht="18" customHeight="1">
      <c r="A232" s="116" t="s">
        <v>977</v>
      </c>
      <c r="B232" s="152"/>
      <c r="C232" s="152"/>
      <c r="D232" s="152"/>
      <c r="E232" s="152"/>
      <c r="F232" s="7"/>
      <c r="G232" s="437"/>
      <c r="H232" s="437"/>
      <c r="I232" s="7"/>
      <c r="J232" s="7"/>
      <c r="K232" s="152"/>
      <c r="L232" s="152"/>
      <c r="M232" s="152"/>
      <c r="N232" s="152"/>
      <c r="O232" s="152"/>
      <c r="V232" s="10"/>
    </row>
    <row r="233" spans="1:22" ht="18" customHeight="1">
      <c r="A233" s="193"/>
      <c r="B233" s="197" t="s">
        <v>416</v>
      </c>
      <c r="C233" s="613"/>
      <c r="D233" s="156"/>
      <c r="E233" s="156"/>
      <c r="F233" s="156"/>
      <c r="G233" s="156"/>
      <c r="H233" s="156"/>
      <c r="I233" s="156"/>
      <c r="J233" s="156"/>
      <c r="K233" s="156"/>
      <c r="L233" s="375"/>
      <c r="M233" s="375"/>
      <c r="N233" s="375"/>
      <c r="O233" s="375"/>
      <c r="P233" s="157"/>
      <c r="Q233" s="614"/>
      <c r="R233" s="375"/>
      <c r="S233" s="156"/>
      <c r="V233" s="10"/>
    </row>
    <row r="234" spans="1:22" ht="18" customHeight="1">
      <c r="A234" s="447"/>
      <c r="B234" s="397"/>
      <c r="C234" s="613"/>
      <c r="D234" s="156"/>
      <c r="E234" s="14" t="s">
        <v>1004</v>
      </c>
      <c r="G234" s="7"/>
      <c r="H234" s="7"/>
      <c r="I234" s="7"/>
      <c r="J234" s="124"/>
      <c r="K234" s="124"/>
      <c r="L234" s="7"/>
      <c r="N234" s="28" t="s">
        <v>127</v>
      </c>
      <c r="O234" s="692">
        <f>S205</f>
        <v>27.369568080254382</v>
      </c>
      <c r="P234" s="692"/>
      <c r="R234" s="120" t="s">
        <v>135</v>
      </c>
      <c r="S234" s="121" t="s">
        <v>127</v>
      </c>
      <c r="T234" s="28">
        <f>IF(O234&lt;=30,O213,IF(O234&lt;=50,O214,O215))</f>
        <v>1</v>
      </c>
      <c r="V234" s="10"/>
    </row>
    <row r="235" spans="1:22" ht="18" customHeight="1">
      <c r="A235" s="159"/>
      <c r="B235" s="689" t="s">
        <v>972</v>
      </c>
      <c r="C235" s="1150" t="s">
        <v>652</v>
      </c>
      <c r="D235" s="155"/>
      <c r="E235" s="155"/>
      <c r="F235" s="155"/>
      <c r="G235" s="808">
        <f>T234</f>
        <v>1</v>
      </c>
      <c r="H235" s="1197" t="s">
        <v>315</v>
      </c>
      <c r="I235" s="1202">
        <f>S204</f>
        <v>42229.804278926844</v>
      </c>
      <c r="J235" s="1202"/>
      <c r="K235" s="1202"/>
      <c r="L235" s="1202"/>
      <c r="M235" s="1202"/>
      <c r="N235" s="805" t="s">
        <v>672</v>
      </c>
      <c r="O235" s="822">
        <f>S201</f>
        <v>5.6</v>
      </c>
      <c r="P235" s="805" t="s">
        <v>347</v>
      </c>
      <c r="Q235" s="1196">
        <f>S202</f>
        <v>1.1770224400000002</v>
      </c>
      <c r="R235" s="822" t="s">
        <v>674</v>
      </c>
      <c r="S235" s="822">
        <f>S203</f>
        <v>1</v>
      </c>
      <c r="T235" s="7"/>
      <c r="U235" s="729" t="s">
        <v>685</v>
      </c>
      <c r="V235" s="10"/>
    </row>
    <row r="236" spans="1:22" ht="18" customHeight="1">
      <c r="A236" s="159"/>
      <c r="B236" s="689"/>
      <c r="C236" s="1150"/>
      <c r="D236" s="155"/>
      <c r="E236" s="155"/>
      <c r="F236" s="155"/>
      <c r="G236" s="808"/>
      <c r="H236" s="1210"/>
      <c r="I236" s="1211">
        <v>1.25</v>
      </c>
      <c r="J236" s="1211"/>
      <c r="K236" s="615" t="s">
        <v>315</v>
      </c>
      <c r="L236" s="1211">
        <f>S200</f>
        <v>1800</v>
      </c>
      <c r="M236" s="1211"/>
      <c r="N236" s="805"/>
      <c r="O236" s="805"/>
      <c r="P236" s="805"/>
      <c r="Q236" s="1184"/>
      <c r="R236" s="805"/>
      <c r="S236" s="805"/>
      <c r="T236" s="7"/>
      <c r="U236" s="729"/>
      <c r="V236" s="10"/>
    </row>
    <row r="237" spans="1:22" ht="18" customHeight="1">
      <c r="A237" s="9"/>
      <c r="C237" s="27" t="s">
        <v>127</v>
      </c>
      <c r="D237" s="812">
        <f>G235*(I235/(I236*L236)*(O235+Q235)*S235)</f>
        <v>127.19659166004232</v>
      </c>
      <c r="E237" s="813"/>
      <c r="F237" s="27" t="s">
        <v>305</v>
      </c>
      <c r="V237" s="10"/>
    </row>
    <row r="238" spans="1:22" ht="18" customHeight="1">
      <c r="A238" s="620"/>
      <c r="B238" s="423"/>
      <c r="C238" s="307"/>
      <c r="D238" s="308"/>
      <c r="E238" s="308"/>
      <c r="F238" s="307"/>
      <c r="G238" s="423"/>
      <c r="H238" s="423"/>
      <c r="I238" s="423"/>
      <c r="J238" s="423"/>
      <c r="K238" s="423"/>
      <c r="L238" s="423"/>
      <c r="M238" s="423"/>
      <c r="N238" s="423"/>
      <c r="O238" s="423"/>
      <c r="P238" s="423"/>
      <c r="Q238" s="423"/>
      <c r="R238" s="423"/>
      <c r="S238" s="423"/>
      <c r="T238" s="423"/>
      <c r="U238" s="423"/>
      <c r="V238" s="603"/>
    </row>
    <row r="239" spans="1:22" ht="18" customHeight="1">
      <c r="A239" s="442"/>
      <c r="B239" s="384"/>
      <c r="C239" s="384"/>
      <c r="D239" s="384"/>
      <c r="E239" s="384"/>
      <c r="F239" s="384"/>
      <c r="G239" s="384"/>
      <c r="H239" s="384"/>
      <c r="I239" s="384"/>
      <c r="J239" s="384"/>
      <c r="K239" s="384"/>
      <c r="L239" s="384"/>
      <c r="M239" s="384"/>
      <c r="N239" s="384"/>
      <c r="O239" s="384"/>
      <c r="P239" s="384"/>
      <c r="Q239" s="384"/>
      <c r="R239" s="384"/>
      <c r="S239" s="384"/>
      <c r="T239" s="384"/>
      <c r="U239" s="384"/>
      <c r="V239" s="395"/>
    </row>
    <row r="240" spans="1:22" ht="18" customHeight="1">
      <c r="A240" s="193"/>
      <c r="B240" s="197" t="s">
        <v>1005</v>
      </c>
      <c r="C240" s="156"/>
      <c r="D240" s="157"/>
      <c r="E240" s="616"/>
      <c r="F240" s="617"/>
      <c r="G240" s="157"/>
      <c r="H240" s="1201"/>
      <c r="I240" s="1201"/>
      <c r="J240" s="1201"/>
      <c r="K240" s="157"/>
      <c r="L240" s="156"/>
      <c r="M240" s="156"/>
      <c r="N240" s="157"/>
      <c r="O240" s="157"/>
      <c r="P240" s="157"/>
      <c r="Q240" s="353"/>
      <c r="R240" s="618"/>
      <c r="S240" s="619"/>
      <c r="V240" s="10"/>
    </row>
    <row r="241" spans="1:22" ht="18" customHeight="1">
      <c r="A241" s="447"/>
      <c r="B241" s="156"/>
      <c r="C241" s="156"/>
      <c r="D241" s="157"/>
      <c r="E241" s="14" t="s">
        <v>1006</v>
      </c>
      <c r="G241" s="7"/>
      <c r="H241" s="7"/>
      <c r="I241" s="7"/>
      <c r="J241" s="124"/>
      <c r="K241" s="124"/>
      <c r="L241" s="7"/>
      <c r="N241" s="28" t="s">
        <v>127</v>
      </c>
      <c r="O241" s="692">
        <f>S207</f>
        <v>41.979419477826461</v>
      </c>
      <c r="P241" s="692"/>
      <c r="R241" s="120" t="s">
        <v>980</v>
      </c>
      <c r="S241" s="121" t="s">
        <v>127</v>
      </c>
      <c r="T241" s="28">
        <f>IF(O241&lt;=30,O218,O219)</f>
        <v>5</v>
      </c>
      <c r="V241" s="10"/>
    </row>
    <row r="242" spans="1:22" ht="18" customHeight="1">
      <c r="A242" s="159"/>
      <c r="B242" s="689" t="s">
        <v>972</v>
      </c>
      <c r="C242" s="1150" t="s">
        <v>652</v>
      </c>
      <c r="D242" s="155"/>
      <c r="E242" s="155"/>
      <c r="F242" s="155"/>
      <c r="G242" s="808">
        <f>T241</f>
        <v>5</v>
      </c>
      <c r="H242" s="1197" t="s">
        <v>315</v>
      </c>
      <c r="I242" s="1198">
        <f>S206</f>
        <v>43584.822413584639</v>
      </c>
      <c r="J242" s="1198"/>
      <c r="K242" s="1198"/>
      <c r="L242" s="1198"/>
      <c r="M242" s="1198"/>
      <c r="N242" s="805" t="s">
        <v>672</v>
      </c>
      <c r="O242" s="822">
        <f>S201</f>
        <v>5.6</v>
      </c>
      <c r="P242" s="805" t="s">
        <v>347</v>
      </c>
      <c r="Q242" s="1196">
        <f>S202</f>
        <v>1.1770224400000002</v>
      </c>
      <c r="R242" s="822" t="s">
        <v>674</v>
      </c>
      <c r="S242" s="822">
        <f>S203</f>
        <v>1</v>
      </c>
      <c r="U242" s="729" t="s">
        <v>982</v>
      </c>
      <c r="V242" s="10"/>
    </row>
    <row r="243" spans="1:22" ht="18" customHeight="1">
      <c r="A243" s="159"/>
      <c r="B243" s="689"/>
      <c r="C243" s="1150"/>
      <c r="D243" s="155"/>
      <c r="E243" s="155"/>
      <c r="F243" s="155"/>
      <c r="G243" s="808"/>
      <c r="H243" s="1210"/>
      <c r="I243" s="1211">
        <v>1.25</v>
      </c>
      <c r="J243" s="1211"/>
      <c r="K243" s="615" t="s">
        <v>315</v>
      </c>
      <c r="L243" s="1211">
        <f>S200</f>
        <v>1800</v>
      </c>
      <c r="M243" s="1211"/>
      <c r="N243" s="805"/>
      <c r="O243" s="805"/>
      <c r="P243" s="805"/>
      <c r="Q243" s="1184"/>
      <c r="R243" s="805"/>
      <c r="S243" s="805"/>
      <c r="U243" s="729"/>
      <c r="V243" s="10"/>
    </row>
    <row r="244" spans="1:22" ht="18" customHeight="1">
      <c r="A244" s="9"/>
      <c r="C244" s="27" t="s">
        <v>127</v>
      </c>
      <c r="D244" s="812">
        <f>G242*(I242/(I243*L243)*(O242+Q242)*S242)</f>
        <v>656.38959897839572</v>
      </c>
      <c r="E244" s="813"/>
      <c r="F244" s="27" t="s">
        <v>305</v>
      </c>
      <c r="V244" s="10"/>
    </row>
    <row r="245" spans="1:22" ht="18" customHeight="1">
      <c r="A245" s="114"/>
      <c r="B245" s="7"/>
      <c r="C245" s="7"/>
      <c r="D245" s="7"/>
      <c r="E245" s="7"/>
      <c r="F245" s="7"/>
      <c r="G245" s="7"/>
      <c r="H245" s="7"/>
      <c r="I245" s="7"/>
      <c r="J245" s="7"/>
      <c r="K245" s="7"/>
      <c r="L245" s="7"/>
      <c r="M245" s="7"/>
      <c r="N245" s="7"/>
      <c r="O245" s="7"/>
      <c r="P245" s="7"/>
      <c r="Q245" s="124"/>
      <c r="R245" s="121"/>
      <c r="S245" s="405"/>
      <c r="T245" s="7"/>
      <c r="U245" s="7"/>
      <c r="V245" s="381"/>
    </row>
    <row r="246" spans="1:22" ht="18" customHeight="1">
      <c r="A246" s="9"/>
      <c r="V246" s="10"/>
    </row>
    <row r="247" spans="1:22" ht="18" customHeight="1">
      <c r="A247" s="193"/>
      <c r="B247" s="197" t="s">
        <v>1007</v>
      </c>
      <c r="C247" s="156"/>
      <c r="D247" s="157"/>
      <c r="E247" s="616"/>
      <c r="F247" s="617"/>
      <c r="G247" s="157"/>
      <c r="H247" s="1201"/>
      <c r="I247" s="1201"/>
      <c r="J247" s="1201"/>
      <c r="K247" s="157"/>
      <c r="L247" s="156"/>
      <c r="M247" s="156"/>
      <c r="N247" s="157"/>
      <c r="O247" s="157"/>
      <c r="P247" s="157"/>
      <c r="Q247" s="353"/>
      <c r="R247" s="618"/>
      <c r="S247" s="619"/>
      <c r="V247" s="10"/>
    </row>
    <row r="248" spans="1:22" s="7" customFormat="1" ht="18" customHeight="1">
      <c r="A248" s="447"/>
      <c r="B248" s="156"/>
      <c r="C248" s="156"/>
      <c r="D248" s="157"/>
      <c r="E248" s="14" t="s">
        <v>1006</v>
      </c>
      <c r="F248"/>
      <c r="J248" s="124"/>
      <c r="K248" s="124"/>
      <c r="M248"/>
      <c r="N248" s="28" t="s">
        <v>127</v>
      </c>
      <c r="O248" s="692">
        <f>S209</f>
        <v>29.635036773964003</v>
      </c>
      <c r="P248" s="692"/>
      <c r="Q248"/>
      <c r="R248" s="120" t="s">
        <v>980</v>
      </c>
      <c r="S248" s="121" t="s">
        <v>127</v>
      </c>
      <c r="T248" s="28">
        <f>IF(O248&lt;=30,O218,O219)</f>
        <v>4</v>
      </c>
      <c r="U248"/>
      <c r="V248" s="10"/>
    </row>
    <row r="249" spans="1:22" ht="18" customHeight="1">
      <c r="A249" s="159"/>
      <c r="B249" s="689" t="s">
        <v>972</v>
      </c>
      <c r="C249" s="1150" t="s">
        <v>652</v>
      </c>
      <c r="D249" s="155"/>
      <c r="E249" s="155"/>
      <c r="F249" s="155"/>
      <c r="G249" s="808">
        <f>T248</f>
        <v>4</v>
      </c>
      <c r="H249" s="1197" t="s">
        <v>315</v>
      </c>
      <c r="I249" s="1198">
        <f>S208</f>
        <v>44648.255952235893</v>
      </c>
      <c r="J249" s="1198"/>
      <c r="K249" s="1198"/>
      <c r="L249" s="1198"/>
      <c r="M249" s="1198"/>
      <c r="N249" s="805" t="s">
        <v>672</v>
      </c>
      <c r="O249" s="822">
        <f>S201</f>
        <v>5.6</v>
      </c>
      <c r="P249" s="805" t="s">
        <v>347</v>
      </c>
      <c r="Q249" s="1196">
        <f>S202</f>
        <v>1.1770224400000002</v>
      </c>
      <c r="R249" s="822" t="s">
        <v>674</v>
      </c>
      <c r="S249" s="822">
        <f>S203</f>
        <v>1</v>
      </c>
      <c r="U249" s="729" t="s">
        <v>982</v>
      </c>
      <c r="V249" s="10"/>
    </row>
    <row r="250" spans="1:22" ht="18" customHeight="1">
      <c r="A250" s="159"/>
      <c r="B250" s="689"/>
      <c r="C250" s="1150"/>
      <c r="D250" s="155"/>
      <c r="E250" s="155"/>
      <c r="F250" s="155"/>
      <c r="G250" s="808"/>
      <c r="H250" s="1210"/>
      <c r="I250" s="1211">
        <v>1.25</v>
      </c>
      <c r="J250" s="1211"/>
      <c r="K250" s="615" t="s">
        <v>315</v>
      </c>
      <c r="L250" s="1211">
        <f>S200</f>
        <v>1800</v>
      </c>
      <c r="M250" s="1211"/>
      <c r="N250" s="805"/>
      <c r="O250" s="805"/>
      <c r="P250" s="805"/>
      <c r="Q250" s="1184"/>
      <c r="R250" s="805"/>
      <c r="S250" s="805"/>
      <c r="U250" s="729"/>
      <c r="V250" s="10"/>
    </row>
    <row r="251" spans="1:22" ht="18" customHeight="1">
      <c r="A251" s="9"/>
      <c r="C251" s="27" t="s">
        <v>127</v>
      </c>
      <c r="D251" s="819">
        <f>G249*(I249/(I250*L250)*(O249+Q249)*S249)</f>
        <v>537.92396888029543</v>
      </c>
      <c r="E251" s="820"/>
      <c r="F251" s="27" t="s">
        <v>305</v>
      </c>
      <c r="V251" s="10"/>
    </row>
    <row r="252" spans="1:22" ht="18" customHeight="1">
      <c r="A252" s="9"/>
      <c r="V252" s="10"/>
    </row>
    <row r="253" spans="1:22" ht="18" customHeight="1">
      <c r="A253" s="184" t="s">
        <v>1008</v>
      </c>
      <c r="M253" s="825">
        <f>S200</f>
        <v>1800</v>
      </c>
      <c r="N253" s="826"/>
      <c r="O253" s="30" t="s">
        <v>470</v>
      </c>
      <c r="Q253" s="812">
        <f>MAX(D226,D230,D237,D244,D251)</f>
        <v>656.38959897839572</v>
      </c>
      <c r="R253" s="813"/>
      <c r="S253" s="30" t="s">
        <v>305</v>
      </c>
      <c r="V253" s="10"/>
    </row>
    <row r="254" spans="1:22" ht="18" customHeight="1">
      <c r="A254" s="9"/>
      <c r="V254" s="10"/>
    </row>
    <row r="255" spans="1:22" ht="18" customHeight="1">
      <c r="A255" s="9"/>
      <c r="D255" s="30" t="s">
        <v>475</v>
      </c>
      <c r="G255" s="27" t="str">
        <f>IF(E256&gt;H256,"&gt;","&lt;")</f>
        <v>&gt;</v>
      </c>
      <c r="H255" s="30" t="s">
        <v>477</v>
      </c>
      <c r="I255" s="30"/>
      <c r="V255" s="10"/>
    </row>
    <row r="256" spans="1:22" ht="18" customHeight="1">
      <c r="A256" s="9"/>
      <c r="E256" s="684">
        <f>J166</f>
        <v>1250</v>
      </c>
      <c r="F256" s="684"/>
      <c r="G256" s="27" t="str">
        <f>G255</f>
        <v>&gt;</v>
      </c>
      <c r="H256" s="795">
        <f>Q253</f>
        <v>656.38959897839572</v>
      </c>
      <c r="I256" s="795"/>
      <c r="V256" s="10"/>
    </row>
    <row r="257" spans="1:22" ht="18" customHeight="1">
      <c r="A257" s="9"/>
      <c r="F257" s="244" t="s">
        <v>478</v>
      </c>
      <c r="H257" s="18" t="str">
        <f>IF(G255="&gt;","Suitably Dimentioned","Under Dimentioned")</f>
        <v>Suitably Dimentioned</v>
      </c>
      <c r="V257" s="10"/>
    </row>
    <row r="258" spans="1:22" ht="18" customHeight="1">
      <c r="A258" s="9"/>
      <c r="H258" s="115"/>
      <c r="V258" s="10"/>
    </row>
    <row r="259" spans="1:22" ht="18" customHeight="1">
      <c r="A259" s="9"/>
      <c r="H259" s="115"/>
      <c r="V259" s="10"/>
    </row>
    <row r="260" spans="1:22" ht="18" customHeight="1">
      <c r="A260" s="9"/>
      <c r="V260" s="10"/>
    </row>
    <row r="261" spans="1:22" ht="18" customHeight="1">
      <c r="A261" s="9"/>
      <c r="H261" s="115"/>
      <c r="V261" s="10"/>
    </row>
    <row r="262" spans="1:22" ht="18" customHeight="1">
      <c r="A262" s="9"/>
      <c r="H262" s="115"/>
      <c r="V262" s="10"/>
    </row>
    <row r="263" spans="1:22" ht="18" customHeight="1">
      <c r="A263" s="9"/>
      <c r="H263" s="115"/>
      <c r="V263" s="10"/>
    </row>
    <row r="264" spans="1:22" ht="18" customHeight="1">
      <c r="A264" s="9"/>
      <c r="H264" s="115"/>
      <c r="V264" s="10"/>
    </row>
    <row r="265" spans="1:22" ht="18" customHeight="1">
      <c r="A265" s="9"/>
      <c r="H265" s="115"/>
      <c r="V265" s="10"/>
    </row>
    <row r="266" spans="1:22" ht="18" customHeight="1">
      <c r="A266" s="9"/>
      <c r="H266" s="115"/>
      <c r="V266" s="10"/>
    </row>
    <row r="267" spans="1:22" ht="18" customHeight="1">
      <c r="A267" s="9"/>
      <c r="H267" s="115"/>
      <c r="V267" s="10"/>
    </row>
    <row r="268" spans="1:22" ht="18" customHeight="1">
      <c r="A268" s="9"/>
      <c r="H268" s="115"/>
      <c r="V268" s="10"/>
    </row>
    <row r="269" spans="1:22" ht="18" customHeight="1">
      <c r="A269" s="9"/>
      <c r="H269" s="115"/>
      <c r="V269" s="10"/>
    </row>
    <row r="270" spans="1:22" ht="18" customHeight="1">
      <c r="A270" s="9"/>
      <c r="H270" s="115"/>
      <c r="V270" s="10"/>
    </row>
    <row r="271" spans="1:22" ht="18" customHeight="1">
      <c r="A271" s="9"/>
      <c r="H271" s="115"/>
      <c r="V271" s="10"/>
    </row>
    <row r="272" spans="1:22" ht="18" customHeight="1">
      <c r="A272" s="9"/>
      <c r="H272" s="115"/>
      <c r="V272" s="10"/>
    </row>
    <row r="273" spans="1:29" ht="18" customHeight="1">
      <c r="A273" s="9"/>
      <c r="H273" s="115"/>
      <c r="V273" s="10"/>
    </row>
    <row r="274" spans="1:29" ht="18" customHeight="1">
      <c r="A274" s="9"/>
      <c r="H274" s="115"/>
      <c r="V274" s="10"/>
    </row>
    <row r="275" spans="1:29" ht="18" customHeight="1">
      <c r="A275" s="9"/>
      <c r="H275" s="115"/>
      <c r="V275" s="10"/>
    </row>
    <row r="276" spans="1:29" ht="18" customHeight="1">
      <c r="A276" s="9"/>
      <c r="H276" s="115"/>
      <c r="V276" s="10"/>
    </row>
    <row r="277" spans="1:29" ht="18" customHeight="1">
      <c r="A277" s="9"/>
      <c r="H277" s="115"/>
      <c r="V277" s="10"/>
    </row>
    <row r="278" spans="1:29" ht="18" customHeight="1">
      <c r="A278" s="620"/>
      <c r="B278" s="423"/>
      <c r="C278" s="423"/>
      <c r="D278" s="423"/>
      <c r="E278" s="423"/>
      <c r="F278" s="423"/>
      <c r="G278" s="423"/>
      <c r="H278" s="621"/>
      <c r="I278" s="423"/>
      <c r="J278" s="423"/>
      <c r="K278" s="423"/>
      <c r="L278" s="423"/>
      <c r="M278" s="423"/>
      <c r="N278" s="423"/>
      <c r="O278" s="423"/>
      <c r="P278" s="423"/>
      <c r="Q278" s="423"/>
      <c r="R278" s="423"/>
      <c r="S278" s="423"/>
      <c r="T278" s="423"/>
      <c r="U278" s="423"/>
      <c r="V278" s="603"/>
    </row>
    <row r="279" spans="1:29" ht="18" hidden="1" customHeight="1">
      <c r="A279" s="442"/>
      <c r="B279" s="384"/>
      <c r="C279" s="384"/>
      <c r="D279" s="384"/>
      <c r="E279" s="384"/>
      <c r="F279" s="384"/>
      <c r="G279" s="384"/>
      <c r="H279" s="384"/>
      <c r="I279" s="384"/>
      <c r="J279" s="384"/>
      <c r="K279" s="384"/>
      <c r="L279" s="384"/>
      <c r="M279" s="384"/>
      <c r="N279" s="384"/>
      <c r="O279" s="384"/>
      <c r="P279" s="384"/>
      <c r="Q279" s="384"/>
      <c r="R279" s="384"/>
      <c r="S279" s="384"/>
      <c r="T279" s="384"/>
      <c r="U279" s="384"/>
      <c r="V279" s="395"/>
    </row>
    <row r="280" spans="1:29" ht="18" hidden="1" customHeight="1">
      <c r="A280" s="9"/>
      <c r="B280" s="854" t="str">
        <f>B160</f>
        <v>T1</v>
      </c>
      <c r="C280" s="831"/>
      <c r="D280" s="855" t="str">
        <f>D160</f>
        <v>Core2</v>
      </c>
      <c r="E280" s="856"/>
      <c r="F280" s="689" t="str">
        <f>F160</f>
        <v>Main-1</v>
      </c>
      <c r="G280" s="689"/>
      <c r="H280" s="689" t="str">
        <f>H160</f>
        <v>(Line Diff&amp;Dist.+FMS/PMU)</v>
      </c>
      <c r="I280" s="689"/>
      <c r="J280" s="689"/>
      <c r="K280" s="689"/>
      <c r="L280" s="689"/>
      <c r="M280" s="689"/>
      <c r="P280" s="186"/>
      <c r="S280" s="187" t="s">
        <v>387</v>
      </c>
      <c r="T280" s="854" t="str">
        <f>T160</f>
        <v>7SL86</v>
      </c>
      <c r="U280" s="831"/>
      <c r="V280" s="10"/>
    </row>
    <row r="281" spans="1:29" s="7" customFormat="1" ht="18" hidden="1" customHeight="1">
      <c r="A281" s="9"/>
      <c r="B281" s="853">
        <f>B161</f>
        <v>0</v>
      </c>
      <c r="C281" s="853"/>
      <c r="D281" s="857"/>
      <c r="E281" s="858"/>
      <c r="F281" s="622"/>
      <c r="G281"/>
      <c r="H281"/>
      <c r="I281"/>
      <c r="J281"/>
      <c r="K281"/>
      <c r="L281"/>
      <c r="M281"/>
      <c r="N281"/>
      <c r="O281"/>
      <c r="P281"/>
      <c r="Q281"/>
      <c r="R281"/>
      <c r="S281"/>
      <c r="T281" s="854">
        <f>T161</f>
        <v>0</v>
      </c>
      <c r="U281" s="831"/>
      <c r="V281" s="10"/>
    </row>
    <row r="282" spans="1:29" ht="18" hidden="1" customHeight="1">
      <c r="A282" s="9"/>
      <c r="H282" s="708" t="s">
        <v>390</v>
      </c>
      <c r="I282" s="708"/>
      <c r="J282" s="708" t="s">
        <v>391</v>
      </c>
      <c r="K282" s="708"/>
      <c r="L282" s="789" t="s">
        <v>392</v>
      </c>
      <c r="M282" s="789"/>
      <c r="T282" s="854">
        <f>T162</f>
        <v>0</v>
      </c>
      <c r="U282" s="831"/>
      <c r="V282" s="10"/>
    </row>
    <row r="283" spans="1:29" ht="18" hidden="1" customHeight="1">
      <c r="A283" s="9"/>
      <c r="B283" s="47" t="s">
        <v>393</v>
      </c>
      <c r="H283" s="854">
        <f>H163</f>
        <v>3200</v>
      </c>
      <c r="I283" s="831"/>
      <c r="J283" s="854">
        <f>J163</f>
        <v>1800</v>
      </c>
      <c r="K283" s="831"/>
      <c r="L283" s="863" t="str">
        <f>L163</f>
        <v>-</v>
      </c>
      <c r="M283" s="864"/>
      <c r="N283" s="102" t="s">
        <v>342</v>
      </c>
      <c r="O283" s="256">
        <f>O163</f>
        <v>1</v>
      </c>
      <c r="P283" s="27" t="s">
        <v>8</v>
      </c>
      <c r="V283" s="10"/>
    </row>
    <row r="284" spans="1:29" ht="18" hidden="1" customHeight="1">
      <c r="A284" s="9"/>
      <c r="B284" s="47" t="s">
        <v>394</v>
      </c>
      <c r="L284" s="854" t="str">
        <f>J164</f>
        <v>PX</v>
      </c>
      <c r="M284" s="831"/>
      <c r="V284" s="10"/>
    </row>
    <row r="285" spans="1:29" ht="18" hidden="1" customHeight="1">
      <c r="A285" s="9"/>
      <c r="B285" s="47" t="s">
        <v>396</v>
      </c>
      <c r="K285" s="120" t="s">
        <v>497</v>
      </c>
      <c r="L285" s="781" t="s">
        <v>6</v>
      </c>
      <c r="M285" s="782"/>
      <c r="N285" s="192" t="s">
        <v>333</v>
      </c>
      <c r="V285" s="10"/>
    </row>
    <row r="286" spans="1:29" ht="18" hidden="1" customHeight="1">
      <c r="A286" s="9"/>
      <c r="B286" s="47" t="s">
        <v>398</v>
      </c>
      <c r="K286" s="120" t="s">
        <v>498</v>
      </c>
      <c r="L286" s="781" t="s">
        <v>6</v>
      </c>
      <c r="M286" s="782"/>
      <c r="N286" s="14" t="s">
        <v>305</v>
      </c>
      <c r="V286" s="10"/>
      <c r="W286" s="30" t="s">
        <v>400</v>
      </c>
      <c r="AB286" s="785" t="e">
        <f>Q381</f>
        <v>#VALUE!</v>
      </c>
      <c r="AC286" s="786"/>
    </row>
    <row r="287" spans="1:29" ht="18" hidden="1" customHeight="1">
      <c r="A287" s="9"/>
      <c r="B287" s="14" t="s">
        <v>401</v>
      </c>
      <c r="K287" s="120" t="s">
        <v>402</v>
      </c>
      <c r="L287" s="781" t="s">
        <v>6</v>
      </c>
      <c r="M287" s="782"/>
      <c r="N287" s="14" t="s">
        <v>403</v>
      </c>
      <c r="V287" s="10"/>
    </row>
    <row r="288" spans="1:29" ht="18" hidden="1" customHeight="1">
      <c r="A288" s="9"/>
      <c r="V288" s="10"/>
    </row>
    <row r="289" spans="1:22" ht="18" hidden="1" customHeight="1">
      <c r="A289" s="447" t="s">
        <v>404</v>
      </c>
      <c r="V289" s="10"/>
    </row>
    <row r="290" spans="1:22" ht="18" hidden="1" customHeight="1">
      <c r="A290" s="9"/>
      <c r="V290" s="10"/>
    </row>
    <row r="291" spans="1:22" ht="18" hidden="1" customHeight="1">
      <c r="A291" s="9"/>
      <c r="B291" s="194" t="s">
        <v>405</v>
      </c>
      <c r="C291" s="195"/>
      <c r="D291" s="195" t="str">
        <f>T280</f>
        <v>7SL86</v>
      </c>
      <c r="E291" s="423"/>
      <c r="F291" s="423"/>
      <c r="G291" s="423"/>
      <c r="H291" s="182" t="s">
        <v>406</v>
      </c>
      <c r="I291" s="183" t="s">
        <v>127</v>
      </c>
      <c r="J291" s="766">
        <f>J171</f>
        <v>0.1</v>
      </c>
      <c r="K291" s="859"/>
      <c r="L291" s="202" t="s">
        <v>157</v>
      </c>
      <c r="V291" s="10"/>
    </row>
    <row r="292" spans="1:22" ht="18" hidden="1" customHeight="1">
      <c r="A292" s="9"/>
      <c r="B292" s="184" t="s">
        <v>405</v>
      </c>
      <c r="D292" s="424">
        <f>T281</f>
        <v>0</v>
      </c>
      <c r="I292" s="28" t="s">
        <v>127</v>
      </c>
      <c r="J292" s="766">
        <f>J172</f>
        <v>0</v>
      </c>
      <c r="K292" s="796"/>
      <c r="L292" s="297" t="s">
        <v>157</v>
      </c>
      <c r="V292" s="10"/>
    </row>
    <row r="293" spans="1:22" ht="18" hidden="1" customHeight="1">
      <c r="A293" s="9"/>
      <c r="B293" s="184" t="s">
        <v>405</v>
      </c>
      <c r="D293" s="424">
        <f>T282</f>
        <v>0</v>
      </c>
      <c r="E293" s="14"/>
      <c r="G293" s="199"/>
      <c r="H293" s="425"/>
      <c r="I293" s="101" t="s">
        <v>127</v>
      </c>
      <c r="J293" s="696">
        <f>J173</f>
        <v>0</v>
      </c>
      <c r="K293" s="860"/>
      <c r="L293" s="426" t="s">
        <v>157</v>
      </c>
      <c r="V293" s="10"/>
    </row>
    <row r="294" spans="1:22" ht="18" hidden="1" customHeight="1">
      <c r="A294" s="9"/>
      <c r="B294" s="184" t="s">
        <v>412</v>
      </c>
      <c r="H294" s="425"/>
      <c r="I294" s="427" t="s">
        <v>127</v>
      </c>
      <c r="J294" s="861">
        <f>J174</f>
        <v>1.0770224400000001</v>
      </c>
      <c r="K294" s="862"/>
      <c r="L294" s="426" t="s">
        <v>157</v>
      </c>
      <c r="V294" s="10"/>
    </row>
    <row r="295" spans="1:22" ht="18" hidden="1" customHeight="1">
      <c r="A295" s="9"/>
      <c r="B295" s="205" t="s">
        <v>413</v>
      </c>
      <c r="C295" s="206"/>
      <c r="D295" s="206"/>
      <c r="E295" s="206"/>
      <c r="F295" s="346"/>
      <c r="G295" s="346"/>
      <c r="H295" s="190" t="s">
        <v>409</v>
      </c>
      <c r="I295" s="208" t="s">
        <v>127</v>
      </c>
      <c r="J295" s="766">
        <f>SUM(J292:K294)</f>
        <v>1.0770224400000001</v>
      </c>
      <c r="K295" s="796"/>
      <c r="L295" s="428" t="s">
        <v>157</v>
      </c>
      <c r="V295" s="10"/>
    </row>
    <row r="296" spans="1:22" ht="18" hidden="1" customHeight="1">
      <c r="A296" s="9"/>
      <c r="B296" s="47"/>
      <c r="C296" s="47"/>
      <c r="D296" s="47"/>
      <c r="E296" s="47"/>
      <c r="H296" s="425"/>
      <c r="I296" s="28"/>
      <c r="J296" s="199"/>
      <c r="L296" s="47"/>
      <c r="O296" s="425"/>
      <c r="P296" s="592"/>
      <c r="Q296" s="592"/>
      <c r="R296" s="593"/>
      <c r="V296" s="10"/>
    </row>
    <row r="297" spans="1:22" ht="18" hidden="1" customHeight="1">
      <c r="A297" s="9"/>
      <c r="B297" s="197" t="s">
        <v>648</v>
      </c>
      <c r="L297" s="47"/>
      <c r="M297" s="197" t="s">
        <v>407</v>
      </c>
      <c r="V297" s="10"/>
    </row>
    <row r="298" spans="1:22" ht="18" hidden="1" customHeight="1">
      <c r="A298" s="9"/>
      <c r="B298" s="27" t="s">
        <v>649</v>
      </c>
      <c r="C298" s="27" t="s">
        <v>127</v>
      </c>
      <c r="D298" s="242" t="s">
        <v>406</v>
      </c>
      <c r="E298" s="526" t="s">
        <v>410</v>
      </c>
      <c r="F298" s="245" t="s">
        <v>146</v>
      </c>
      <c r="G298" s="221" t="s">
        <v>315</v>
      </c>
      <c r="H298" s="222" t="s">
        <v>146</v>
      </c>
      <c r="I298" s="242" t="s">
        <v>350</v>
      </c>
      <c r="J298" s="502"/>
      <c r="K298" s="430"/>
      <c r="L298" s="527"/>
      <c r="M298" s="242" t="s">
        <v>408</v>
      </c>
      <c r="N298" s="245" t="s">
        <v>127</v>
      </c>
      <c r="O298" s="242" t="s">
        <v>409</v>
      </c>
      <c r="P298" s="528" t="s">
        <v>410</v>
      </c>
      <c r="Q298" s="523" t="s">
        <v>482</v>
      </c>
      <c r="R298" s="245" t="s">
        <v>315</v>
      </c>
      <c r="S298" s="242" t="s">
        <v>482</v>
      </c>
      <c r="T298" s="30" t="s">
        <v>350</v>
      </c>
      <c r="V298" s="10"/>
    </row>
    <row r="299" spans="1:22" ht="18" hidden="1" customHeight="1">
      <c r="A299" s="9"/>
      <c r="B299" s="47"/>
      <c r="C299" s="27" t="s">
        <v>127</v>
      </c>
      <c r="D299" s="301">
        <f>J291</f>
        <v>0.1</v>
      </c>
      <c r="E299" s="528" t="s">
        <v>410</v>
      </c>
      <c r="F299" s="245">
        <f>F179</f>
        <v>1</v>
      </c>
      <c r="G299" s="245" t="s">
        <v>315</v>
      </c>
      <c r="H299" s="245">
        <f>H179</f>
        <v>1</v>
      </c>
      <c r="I299" s="242" t="s">
        <v>350</v>
      </c>
      <c r="J299" s="502"/>
      <c r="K299" s="430"/>
      <c r="L299" s="527"/>
      <c r="M299" s="430"/>
      <c r="N299" s="245" t="s">
        <v>127</v>
      </c>
      <c r="O299" s="301">
        <f>J295</f>
        <v>1.0770224400000001</v>
      </c>
      <c r="P299" s="528" t="s">
        <v>410</v>
      </c>
      <c r="Q299" s="245">
        <f>O283</f>
        <v>1</v>
      </c>
      <c r="R299" s="245" t="s">
        <v>315</v>
      </c>
      <c r="S299" s="245">
        <f>O283</f>
        <v>1</v>
      </c>
      <c r="T299" s="30" t="s">
        <v>350</v>
      </c>
      <c r="V299" s="10"/>
    </row>
    <row r="300" spans="1:22" ht="18" hidden="1" customHeight="1">
      <c r="A300" s="9"/>
      <c r="B300" s="47"/>
      <c r="C300" s="27" t="s">
        <v>127</v>
      </c>
      <c r="D300" s="1111">
        <f>D299/(F299*H299)</f>
        <v>0.1</v>
      </c>
      <c r="E300" s="1111"/>
      <c r="F300" s="529" t="s">
        <v>333</v>
      </c>
      <c r="G300" s="430"/>
      <c r="H300" s="430"/>
      <c r="I300" s="430"/>
      <c r="J300" s="502"/>
      <c r="K300" s="430"/>
      <c r="L300" s="527"/>
      <c r="M300" s="430"/>
      <c r="N300" s="245" t="s">
        <v>127</v>
      </c>
      <c r="O300" s="1111">
        <f>O299/(Q299*S299)</f>
        <v>1.0770224400000001</v>
      </c>
      <c r="P300" s="1111"/>
      <c r="Q300" s="529" t="s">
        <v>333</v>
      </c>
      <c r="R300" s="430"/>
      <c r="S300" s="430"/>
      <c r="V300" s="10"/>
    </row>
    <row r="301" spans="1:22" ht="18" hidden="1" customHeight="1">
      <c r="A301" s="9"/>
      <c r="B301" s="47"/>
      <c r="C301" s="47"/>
      <c r="D301" s="47"/>
      <c r="E301" s="47"/>
      <c r="H301" s="425"/>
      <c r="I301" s="28"/>
      <c r="J301" s="199"/>
      <c r="L301" s="47"/>
      <c r="O301" s="425"/>
      <c r="P301" s="592"/>
      <c r="Q301" s="592"/>
      <c r="R301" s="593"/>
      <c r="V301" s="10"/>
    </row>
    <row r="302" spans="1:22" ht="18" hidden="1" customHeight="1">
      <c r="A302" s="9"/>
      <c r="B302" s="47" t="s">
        <v>968</v>
      </c>
      <c r="C302" s="47"/>
      <c r="D302" s="47"/>
      <c r="E302" s="47"/>
      <c r="H302" s="425"/>
      <c r="I302" s="28"/>
      <c r="J302" s="199"/>
      <c r="L302" s="28" t="s">
        <v>127</v>
      </c>
      <c r="M302" s="1111">
        <f>D300</f>
        <v>0.1</v>
      </c>
      <c r="N302" s="1111"/>
      <c r="O302" s="245" t="s">
        <v>347</v>
      </c>
      <c r="P302" s="1111">
        <f>O300</f>
        <v>1.0770224400000001</v>
      </c>
      <c r="Q302" s="1111"/>
      <c r="R302" s="522" t="s">
        <v>127</v>
      </c>
      <c r="S302" s="1111">
        <f>M302+P302</f>
        <v>1.1770224400000002</v>
      </c>
      <c r="T302" s="1111"/>
      <c r="U302" s="192" t="s">
        <v>333</v>
      </c>
      <c r="V302" s="10"/>
    </row>
    <row r="303" spans="1:22" ht="18" hidden="1" customHeight="1">
      <c r="A303" s="1206" t="s">
        <v>969</v>
      </c>
      <c r="B303" s="1207"/>
      <c r="C303" s="1207"/>
      <c r="D303" s="1207"/>
      <c r="E303" s="1207"/>
      <c r="F303" s="1207"/>
      <c r="G303" s="1207"/>
      <c r="H303" s="1207"/>
      <c r="I303" s="1207"/>
      <c r="J303" s="1207"/>
      <c r="K303" s="1207"/>
      <c r="L303" s="1207"/>
      <c r="M303" s="1207"/>
      <c r="N303" s="1207"/>
      <c r="O303" s="1207"/>
      <c r="P303" s="1207"/>
      <c r="Q303" s="1207"/>
      <c r="R303" s="1207"/>
      <c r="S303" s="1207"/>
      <c r="T303" s="1207"/>
      <c r="U303" s="1207"/>
      <c r="V303" s="1208"/>
    </row>
    <row r="304" spans="1:22" ht="18" hidden="1" customHeight="1">
      <c r="A304" s="1209"/>
      <c r="B304" s="1207"/>
      <c r="C304" s="1207"/>
      <c r="D304" s="1207"/>
      <c r="E304" s="1207"/>
      <c r="F304" s="1207"/>
      <c r="G304" s="1207"/>
      <c r="H304" s="1207"/>
      <c r="I304" s="1207"/>
      <c r="J304" s="1207"/>
      <c r="K304" s="1207"/>
      <c r="L304" s="1207"/>
      <c r="M304" s="1207"/>
      <c r="N304" s="1207"/>
      <c r="O304" s="1207"/>
      <c r="P304" s="1207"/>
      <c r="Q304" s="1207"/>
      <c r="R304" s="1207"/>
      <c r="S304" s="1207"/>
      <c r="T304" s="1207"/>
      <c r="U304" s="1207"/>
      <c r="V304" s="1208"/>
    </row>
    <row r="305" spans="1:22" ht="18" hidden="1" customHeight="1">
      <c r="A305" s="116" t="s">
        <v>970</v>
      </c>
      <c r="B305" s="594"/>
      <c r="C305" s="594"/>
      <c r="D305" s="594"/>
      <c r="E305" s="594"/>
      <c r="F305" s="594"/>
      <c r="G305" s="594"/>
      <c r="H305" s="594"/>
      <c r="I305" s="594"/>
      <c r="J305" s="595"/>
      <c r="K305" s="594"/>
      <c r="L305" s="594"/>
      <c r="M305" s="594"/>
      <c r="N305" s="594"/>
      <c r="O305" s="594"/>
      <c r="P305" s="594"/>
      <c r="Q305" s="594"/>
      <c r="R305" s="594"/>
      <c r="S305" s="594"/>
      <c r="T305" s="594"/>
      <c r="U305" s="594"/>
      <c r="V305" s="596"/>
    </row>
    <row r="306" spans="1:22" ht="18" hidden="1" customHeight="1">
      <c r="A306" s="116"/>
      <c r="B306" s="197" t="s">
        <v>971</v>
      </c>
      <c r="C306" s="594"/>
      <c r="D306" s="594"/>
      <c r="E306" s="594"/>
      <c r="F306" s="594"/>
      <c r="G306" s="594"/>
      <c r="H306" s="594"/>
      <c r="I306" s="594"/>
      <c r="J306" s="595"/>
      <c r="K306" s="594"/>
      <c r="L306" s="594"/>
      <c r="M306" s="594"/>
      <c r="N306" s="594"/>
      <c r="O306" s="594"/>
      <c r="P306" s="594"/>
      <c r="Q306" s="594"/>
      <c r="R306" s="594"/>
      <c r="S306" s="594"/>
      <c r="T306" s="594"/>
      <c r="U306" s="594"/>
      <c r="V306" s="596"/>
    </row>
    <row r="307" spans="1:22" ht="18" hidden="1" customHeight="1">
      <c r="A307" s="370"/>
      <c r="B307" s="689" t="s">
        <v>972</v>
      </c>
      <c r="C307" s="1150" t="s">
        <v>652</v>
      </c>
      <c r="D307" s="155"/>
      <c r="E307" s="155"/>
      <c r="F307" s="155"/>
      <c r="G307" s="802">
        <v>0.5</v>
      </c>
      <c r="H307" s="1153" t="s">
        <v>315</v>
      </c>
      <c r="I307" s="1203" t="s">
        <v>973</v>
      </c>
      <c r="J307" s="1204"/>
      <c r="K307" s="1204"/>
      <c r="L307" s="1204"/>
      <c r="M307" s="1204"/>
      <c r="N307" s="689" t="s">
        <v>672</v>
      </c>
      <c r="O307" s="708" t="s">
        <v>420</v>
      </c>
      <c r="P307" s="689" t="s">
        <v>347</v>
      </c>
      <c r="Q307" s="708" t="s">
        <v>974</v>
      </c>
      <c r="R307" s="708" t="s">
        <v>674</v>
      </c>
      <c r="S307" s="708" t="s">
        <v>482</v>
      </c>
      <c r="U307" s="729" t="s">
        <v>653</v>
      </c>
      <c r="V307" s="10"/>
    </row>
    <row r="308" spans="1:22" ht="18" hidden="1" customHeight="1">
      <c r="A308" s="159"/>
      <c r="B308" s="689"/>
      <c r="C308" s="689"/>
      <c r="D308" s="155"/>
      <c r="E308" s="155"/>
      <c r="F308" s="155"/>
      <c r="G308" s="802"/>
      <c r="H308" s="689"/>
      <c r="I308" s="695">
        <v>1.25</v>
      </c>
      <c r="J308" s="695"/>
      <c r="K308" s="121" t="s">
        <v>315</v>
      </c>
      <c r="L308" s="695" t="s">
        <v>483</v>
      </c>
      <c r="M308" s="695"/>
      <c r="N308" s="689"/>
      <c r="O308" s="689"/>
      <c r="P308" s="689"/>
      <c r="Q308" s="689"/>
      <c r="R308" s="689"/>
      <c r="S308" s="689"/>
      <c r="T308" s="155"/>
      <c r="U308" s="689"/>
      <c r="V308" s="10"/>
    </row>
    <row r="309" spans="1:22" ht="18" hidden="1" customHeight="1">
      <c r="A309" s="159"/>
      <c r="B309" s="197" t="s">
        <v>975</v>
      </c>
      <c r="C309" s="28"/>
      <c r="D309" s="155"/>
      <c r="E309" s="155"/>
      <c r="F309" s="155"/>
      <c r="G309" s="120"/>
      <c r="H309" s="28"/>
      <c r="I309" s="121"/>
      <c r="J309" s="121"/>
      <c r="K309" s="121"/>
      <c r="L309" s="121"/>
      <c r="M309" s="121"/>
      <c r="N309" s="28"/>
      <c r="O309" s="28"/>
      <c r="P309" s="28"/>
      <c r="Q309" s="28"/>
      <c r="R309" s="28"/>
      <c r="S309" s="28"/>
      <c r="T309" s="155"/>
      <c r="U309" s="28"/>
      <c r="V309" s="10"/>
    </row>
    <row r="310" spans="1:22" ht="18" hidden="1" customHeight="1">
      <c r="A310" s="159"/>
      <c r="B310" s="689" t="s">
        <v>972</v>
      </c>
      <c r="C310" s="1150" t="s">
        <v>652</v>
      </c>
      <c r="D310" s="155"/>
      <c r="E310" s="155"/>
      <c r="F310" s="155"/>
      <c r="G310" s="802">
        <v>1.2</v>
      </c>
      <c r="H310" s="1153" t="s">
        <v>315</v>
      </c>
      <c r="I310" s="1203" t="s">
        <v>976</v>
      </c>
      <c r="J310" s="1204"/>
      <c r="K310" s="1204"/>
      <c r="L310" s="1204"/>
      <c r="M310" s="1204"/>
      <c r="N310" s="689" t="s">
        <v>672</v>
      </c>
      <c r="O310" s="708" t="s">
        <v>420</v>
      </c>
      <c r="P310" s="689" t="s">
        <v>347</v>
      </c>
      <c r="Q310" s="708" t="s">
        <v>974</v>
      </c>
      <c r="R310" s="708" t="s">
        <v>674</v>
      </c>
      <c r="S310" s="708" t="s">
        <v>482</v>
      </c>
      <c r="U310" s="729" t="s">
        <v>683</v>
      </c>
      <c r="V310" s="10"/>
    </row>
    <row r="311" spans="1:22" ht="18" hidden="1" customHeight="1">
      <c r="A311" s="159"/>
      <c r="B311" s="689"/>
      <c r="C311" s="689"/>
      <c r="D311" s="155"/>
      <c r="E311" s="155"/>
      <c r="F311" s="155"/>
      <c r="G311" s="802"/>
      <c r="H311" s="689"/>
      <c r="I311" s="695">
        <v>1.25</v>
      </c>
      <c r="J311" s="695"/>
      <c r="K311" s="121" t="s">
        <v>315</v>
      </c>
      <c r="L311" s="695" t="s">
        <v>483</v>
      </c>
      <c r="M311" s="695"/>
      <c r="N311" s="689"/>
      <c r="O311" s="689"/>
      <c r="P311" s="689"/>
      <c r="Q311" s="689"/>
      <c r="R311" s="689"/>
      <c r="S311" s="689"/>
      <c r="T311" s="155"/>
      <c r="U311" s="689"/>
      <c r="V311" s="10"/>
    </row>
    <row r="312" spans="1:22" ht="18" hidden="1" customHeight="1">
      <c r="A312" s="116" t="s">
        <v>977</v>
      </c>
      <c r="B312" s="155"/>
      <c r="C312" s="155"/>
      <c r="D312" s="155"/>
      <c r="E312" s="155"/>
      <c r="F312" s="155"/>
      <c r="G312" s="155"/>
      <c r="H312" s="155"/>
      <c r="I312" s="155"/>
      <c r="J312" s="155"/>
      <c r="K312" s="155"/>
      <c r="L312" s="155"/>
      <c r="M312" s="155"/>
      <c r="N312" s="155"/>
      <c r="O312" s="155"/>
      <c r="P312" s="155"/>
      <c r="Q312" s="155"/>
      <c r="R312" s="155"/>
      <c r="S312" s="155"/>
      <c r="T312" s="155"/>
      <c r="U312" s="155"/>
      <c r="V312" s="10"/>
    </row>
    <row r="313" spans="1:22" s="155" customFormat="1" ht="18" hidden="1" customHeight="1">
      <c r="A313" s="193"/>
      <c r="B313" s="197" t="s">
        <v>416</v>
      </c>
      <c r="V313" s="10"/>
    </row>
    <row r="314" spans="1:22" s="155" customFormat="1" ht="18" hidden="1" customHeight="1">
      <c r="A314" s="370"/>
      <c r="B314" s="689" t="s">
        <v>972</v>
      </c>
      <c r="C314" s="1150" t="s">
        <v>652</v>
      </c>
      <c r="G314" s="808" t="s">
        <v>135</v>
      </c>
      <c r="H314" s="1153" t="s">
        <v>315</v>
      </c>
      <c r="I314" s="1203" t="s">
        <v>978</v>
      </c>
      <c r="J314" s="1204"/>
      <c r="K314" s="1204"/>
      <c r="L314" s="1204"/>
      <c r="M314" s="1204"/>
      <c r="N314" s="689" t="s">
        <v>672</v>
      </c>
      <c r="O314" s="708" t="s">
        <v>420</v>
      </c>
      <c r="P314" s="689" t="s">
        <v>347</v>
      </c>
      <c r="Q314" s="708" t="s">
        <v>974</v>
      </c>
      <c r="R314" s="708" t="s">
        <v>674</v>
      </c>
      <c r="S314" s="708" t="s">
        <v>482</v>
      </c>
      <c r="T314" s="7"/>
      <c r="U314" s="729" t="s">
        <v>685</v>
      </c>
      <c r="V314" s="10"/>
    </row>
    <row r="315" spans="1:22" s="155" customFormat="1" ht="18" hidden="1" customHeight="1">
      <c r="A315" s="370"/>
      <c r="B315" s="689"/>
      <c r="C315" s="689"/>
      <c r="G315" s="808"/>
      <c r="H315" s="689"/>
      <c r="I315" s="695">
        <v>1.25</v>
      </c>
      <c r="J315" s="695"/>
      <c r="K315" s="121" t="s">
        <v>315</v>
      </c>
      <c r="L315" s="695" t="s">
        <v>483</v>
      </c>
      <c r="M315" s="695"/>
      <c r="N315" s="689"/>
      <c r="O315" s="689"/>
      <c r="P315" s="689"/>
      <c r="Q315" s="689"/>
      <c r="R315" s="689"/>
      <c r="S315" s="689"/>
      <c r="T315" s="7"/>
      <c r="U315" s="689"/>
      <c r="V315" s="10"/>
    </row>
    <row r="316" spans="1:22" s="155" customFormat="1" ht="18" hidden="1" customHeight="1">
      <c r="A316" s="159"/>
      <c r="B316" s="28"/>
      <c r="C316" s="28"/>
      <c r="G316" s="120"/>
      <c r="H316" s="27"/>
      <c r="I316" s="121"/>
      <c r="J316" s="425"/>
      <c r="K316" s="121"/>
      <c r="L316" s="121"/>
      <c r="M316" s="425"/>
      <c r="N316" s="28"/>
      <c r="O316" s="28"/>
      <c r="P316" s="28"/>
      <c r="Q316" s="28"/>
      <c r="R316" s="28"/>
      <c r="S316" s="28"/>
      <c r="T316"/>
      <c r="U316" s="28"/>
      <c r="V316" s="10"/>
    </row>
    <row r="317" spans="1:22" s="155" customFormat="1" ht="18" hidden="1" customHeight="1">
      <c r="A317" s="193"/>
      <c r="B317" s="197" t="s">
        <v>979</v>
      </c>
      <c r="D317" s="360"/>
      <c r="E317" s="360"/>
      <c r="F317" s="597"/>
      <c r="G317" s="360"/>
      <c r="H317" s="597"/>
      <c r="I317" s="586"/>
      <c r="J317" s="586"/>
      <c r="K317" s="360"/>
      <c r="N317" s="360"/>
      <c r="O317" s="360"/>
      <c r="P317" s="360"/>
      <c r="Q317" s="353"/>
      <c r="R317" s="598"/>
      <c r="S317" s="599"/>
      <c r="T317" s="7"/>
      <c r="U317"/>
      <c r="V317" s="10"/>
    </row>
    <row r="318" spans="1:22" s="155" customFormat="1" ht="18" hidden="1" customHeight="1">
      <c r="A318" s="159"/>
      <c r="B318" s="689" t="s">
        <v>972</v>
      </c>
      <c r="C318" s="1150" t="s">
        <v>652</v>
      </c>
      <c r="G318" s="808" t="s">
        <v>980</v>
      </c>
      <c r="H318" s="1153" t="s">
        <v>315</v>
      </c>
      <c r="I318" s="1203" t="s">
        <v>981</v>
      </c>
      <c r="J318" s="1204"/>
      <c r="K318" s="1204"/>
      <c r="L318" s="1204"/>
      <c r="M318" s="1204"/>
      <c r="N318" s="689" t="s">
        <v>672</v>
      </c>
      <c r="O318" s="708" t="s">
        <v>420</v>
      </c>
      <c r="P318" s="689" t="s">
        <v>347</v>
      </c>
      <c r="Q318" s="708" t="s">
        <v>974</v>
      </c>
      <c r="R318" s="708" t="s">
        <v>674</v>
      </c>
      <c r="S318" s="708" t="s">
        <v>482</v>
      </c>
      <c r="T318" s="7"/>
      <c r="U318" s="729" t="s">
        <v>982</v>
      </c>
      <c r="V318" s="10"/>
    </row>
    <row r="319" spans="1:22" s="155" customFormat="1" ht="18" hidden="1" customHeight="1">
      <c r="A319" s="159"/>
      <c r="B319" s="689"/>
      <c r="C319" s="689"/>
      <c r="G319" s="808"/>
      <c r="H319" s="689"/>
      <c r="I319" s="695">
        <v>1.25</v>
      </c>
      <c r="J319" s="695">
        <v>1.3</v>
      </c>
      <c r="K319" s="121" t="s">
        <v>315</v>
      </c>
      <c r="L319" s="695" t="s">
        <v>483</v>
      </c>
      <c r="M319" s="695"/>
      <c r="N319" s="689"/>
      <c r="O319" s="689"/>
      <c r="P319" s="689"/>
      <c r="Q319" s="689"/>
      <c r="R319" s="689"/>
      <c r="S319" s="689"/>
      <c r="T319" s="7"/>
      <c r="U319" s="689"/>
      <c r="V319" s="10"/>
    </row>
    <row r="320" spans="1:22" s="155" customFormat="1" ht="18" hidden="1" customHeight="1">
      <c r="A320" s="159"/>
      <c r="B320" s="28"/>
      <c r="C320" s="28"/>
      <c r="G320" s="120"/>
      <c r="H320" s="27"/>
      <c r="I320" s="121"/>
      <c r="J320" s="425"/>
      <c r="K320" s="121"/>
      <c r="L320" s="121"/>
      <c r="M320" s="425"/>
      <c r="N320" s="28"/>
      <c r="O320" s="28"/>
      <c r="P320" s="28"/>
      <c r="Q320" s="28"/>
      <c r="R320" s="28"/>
      <c r="S320" s="28"/>
      <c r="T320"/>
      <c r="U320" s="28"/>
      <c r="V320" s="10"/>
    </row>
    <row r="321" spans="1:22" s="155" customFormat="1" ht="18" hidden="1" customHeight="1">
      <c r="A321" s="159"/>
      <c r="B321" s="28"/>
      <c r="C321" s="28"/>
      <c r="G321" s="120"/>
      <c r="H321" s="27"/>
      <c r="I321" s="121"/>
      <c r="J321" s="425"/>
      <c r="K321" s="121"/>
      <c r="L321" s="121"/>
      <c r="M321" s="425"/>
      <c r="N321" s="28"/>
      <c r="O321" s="28"/>
      <c r="P321" s="28"/>
      <c r="Q321" s="28"/>
      <c r="R321" s="28"/>
      <c r="S321" s="28"/>
      <c r="T321"/>
      <c r="U321" s="28"/>
      <c r="V321" s="10"/>
    </row>
    <row r="322" spans="1:22" s="155" customFormat="1" ht="18" hidden="1" customHeight="1">
      <c r="A322" s="159"/>
      <c r="B322" s="28"/>
      <c r="C322" s="28"/>
      <c r="G322" s="120"/>
      <c r="H322" s="27"/>
      <c r="I322" s="121"/>
      <c r="J322" s="425"/>
      <c r="K322" s="121"/>
      <c r="L322" s="121"/>
      <c r="M322" s="425"/>
      <c r="N322" s="28"/>
      <c r="O322" s="28"/>
      <c r="P322" s="28"/>
      <c r="Q322" s="28"/>
      <c r="R322" s="28"/>
      <c r="S322" s="28"/>
      <c r="T322"/>
      <c r="U322" s="28"/>
      <c r="V322" s="10"/>
    </row>
    <row r="323" spans="1:22" s="155" customFormat="1" ht="18" hidden="1" customHeight="1">
      <c r="A323" s="159"/>
      <c r="B323" s="28"/>
      <c r="C323" s="28"/>
      <c r="G323" s="120"/>
      <c r="H323" s="27"/>
      <c r="I323" s="121"/>
      <c r="J323" s="425"/>
      <c r="K323" s="121"/>
      <c r="L323" s="121"/>
      <c r="M323" s="425"/>
      <c r="N323" s="28"/>
      <c r="O323" s="28"/>
      <c r="P323" s="28"/>
      <c r="Q323" s="28"/>
      <c r="R323" s="28"/>
      <c r="S323" s="28"/>
      <c r="T323"/>
      <c r="U323" s="28"/>
      <c r="V323" s="10"/>
    </row>
    <row r="324" spans="1:22" s="155" customFormat="1" ht="18" hidden="1" customHeight="1">
      <c r="A324" s="159"/>
      <c r="B324" s="28"/>
      <c r="C324" s="28"/>
      <c r="G324" s="120"/>
      <c r="H324" s="27"/>
      <c r="I324" s="121"/>
      <c r="J324" s="425"/>
      <c r="K324" s="121"/>
      <c r="L324" s="121"/>
      <c r="M324" s="425"/>
      <c r="N324" s="28"/>
      <c r="O324" s="28"/>
      <c r="P324" s="28"/>
      <c r="Q324" s="28"/>
      <c r="R324" s="28"/>
      <c r="S324" s="28"/>
      <c r="T324"/>
      <c r="U324" s="28"/>
      <c r="V324" s="10"/>
    </row>
    <row r="325" spans="1:22" s="155" customFormat="1" ht="18" hidden="1" customHeight="1">
      <c r="A325" s="159"/>
      <c r="B325" s="28"/>
      <c r="C325" s="28"/>
      <c r="G325" s="120"/>
      <c r="H325" s="27"/>
      <c r="I325" s="121"/>
      <c r="J325" s="425"/>
      <c r="K325" s="121"/>
      <c r="L325" s="121"/>
      <c r="M325" s="425"/>
      <c r="N325" s="28"/>
      <c r="O325" s="28"/>
      <c r="P325" s="28"/>
      <c r="Q325" s="28"/>
      <c r="R325" s="28"/>
      <c r="S325" s="28"/>
      <c r="T325"/>
      <c r="U325" s="28"/>
      <c r="V325" s="10"/>
    </row>
    <row r="326" spans="1:22" s="155" customFormat="1" ht="18" hidden="1" customHeight="1">
      <c r="A326" s="382"/>
      <c r="B326" s="20"/>
      <c r="C326" s="20"/>
      <c r="D326" s="20"/>
      <c r="E326" s="20"/>
      <c r="F326" s="20"/>
      <c r="G326" s="20"/>
      <c r="H326" s="20"/>
      <c r="I326" s="20"/>
      <c r="J326" s="20"/>
      <c r="K326" s="20"/>
      <c r="L326" s="20"/>
      <c r="M326" s="20"/>
      <c r="N326" s="20"/>
      <c r="O326" s="20"/>
      <c r="P326" s="20"/>
      <c r="Q326" s="21"/>
      <c r="R326" s="22"/>
      <c r="S326" s="23"/>
      <c r="T326" s="20"/>
      <c r="U326" s="20"/>
      <c r="V326" s="134" t="s">
        <v>552</v>
      </c>
    </row>
    <row r="327" spans="1:22" s="155" customFormat="1" ht="18" hidden="1" customHeight="1">
      <c r="A327" s="442"/>
      <c r="B327" s="384"/>
      <c r="C327" s="384"/>
      <c r="D327" s="384"/>
      <c r="E327" s="384"/>
      <c r="F327" s="384"/>
      <c r="G327" s="384"/>
      <c r="H327" s="384"/>
      <c r="I327" s="384"/>
      <c r="J327" s="384"/>
      <c r="K327" s="384"/>
      <c r="L327" s="384"/>
      <c r="M327" s="384"/>
      <c r="N327" s="384"/>
      <c r="O327" s="384"/>
      <c r="P327" s="384"/>
      <c r="Q327" s="384"/>
      <c r="R327" s="384"/>
      <c r="S327" s="384"/>
      <c r="T327" s="384"/>
      <c r="U327" s="384"/>
      <c r="V327" s="395"/>
    </row>
    <row r="328" spans="1:22" s="155" customFormat="1" ht="18" hidden="1" customHeight="1">
      <c r="A328" s="9"/>
      <c r="B328" s="47" t="s">
        <v>654</v>
      </c>
      <c r="C328" s="7"/>
      <c r="D328" s="7"/>
      <c r="E328" s="7"/>
      <c r="F328" s="115"/>
      <c r="G328" s="115"/>
      <c r="H328" s="7"/>
      <c r="I328" s="124"/>
      <c r="J328" s="7"/>
      <c r="K328" s="7"/>
      <c r="L328"/>
      <c r="M328" s="7"/>
      <c r="N328" s="7"/>
      <c r="O328"/>
      <c r="P328" s="14" t="s">
        <v>483</v>
      </c>
      <c r="Q328"/>
      <c r="R328" s="234" t="s">
        <v>127</v>
      </c>
      <c r="S328" s="684" t="str">
        <f>L283</f>
        <v>-</v>
      </c>
      <c r="T328" s="684"/>
      <c r="U328" s="30" t="s">
        <v>8</v>
      </c>
      <c r="V328" s="10"/>
    </row>
    <row r="329" spans="1:22" s="7" customFormat="1" ht="18" hidden="1" customHeight="1">
      <c r="A329" s="9"/>
      <c r="B329" s="47" t="s">
        <v>655</v>
      </c>
      <c r="F329" s="115"/>
      <c r="G329" s="115"/>
      <c r="I329" s="124"/>
      <c r="L329"/>
      <c r="O329"/>
      <c r="P329" s="14" t="s">
        <v>420</v>
      </c>
      <c r="Q329"/>
      <c r="R329" s="234" t="s">
        <v>127</v>
      </c>
      <c r="S329" s="684" t="str">
        <f>L285</f>
        <v>-</v>
      </c>
      <c r="T329" s="684"/>
      <c r="U329" s="192" t="s">
        <v>333</v>
      </c>
      <c r="V329" s="10"/>
    </row>
    <row r="330" spans="1:22" ht="18" hidden="1" customHeight="1">
      <c r="A330" s="9"/>
      <c r="B330" s="47" t="s">
        <v>676</v>
      </c>
      <c r="C330" s="7"/>
      <c r="D330" s="7"/>
      <c r="E330" s="7"/>
      <c r="F330" s="115"/>
      <c r="G330" s="115"/>
      <c r="H330" s="7"/>
      <c r="I330" s="124"/>
      <c r="J330" s="7"/>
      <c r="K330" s="7"/>
      <c r="M330" s="7"/>
      <c r="N330" s="7"/>
      <c r="P330" s="14" t="s">
        <v>690</v>
      </c>
      <c r="R330" s="234" t="s">
        <v>127</v>
      </c>
      <c r="S330" s="795">
        <f>S302</f>
        <v>1.1770224400000002</v>
      </c>
      <c r="T330" s="795"/>
      <c r="U330" s="192" t="s">
        <v>333</v>
      </c>
      <c r="V330" s="10"/>
    </row>
    <row r="331" spans="1:22" ht="18" hidden="1" customHeight="1">
      <c r="A331" s="9"/>
      <c r="B331" s="47" t="s">
        <v>691</v>
      </c>
      <c r="C331" s="7"/>
      <c r="D331" s="7"/>
      <c r="E331" s="7"/>
      <c r="F331" s="7"/>
      <c r="G331" s="7"/>
      <c r="H331" s="7"/>
      <c r="I331" s="124"/>
      <c r="J331" s="7"/>
      <c r="K331" s="7"/>
      <c r="M331" s="7"/>
      <c r="N331" s="7"/>
      <c r="P331" s="14" t="s">
        <v>482</v>
      </c>
      <c r="R331" s="234" t="s">
        <v>127</v>
      </c>
      <c r="S331" s="684">
        <f>O283</f>
        <v>1</v>
      </c>
      <c r="T331" s="684"/>
      <c r="U331" s="30" t="s">
        <v>8</v>
      </c>
      <c r="V331" s="10"/>
    </row>
    <row r="332" spans="1:22" ht="18" hidden="1" customHeight="1">
      <c r="A332" s="9"/>
      <c r="B332" s="47" t="s">
        <v>983</v>
      </c>
      <c r="C332" s="7"/>
      <c r="D332" s="7"/>
      <c r="E332" s="7"/>
      <c r="F332" s="7"/>
      <c r="G332" s="7"/>
      <c r="H332" s="7"/>
      <c r="I332" s="124"/>
      <c r="J332" s="7"/>
      <c r="K332" s="7"/>
      <c r="M332" s="7"/>
      <c r="N332" s="7"/>
      <c r="P332" s="120" t="s">
        <v>984</v>
      </c>
      <c r="R332" s="234" t="s">
        <v>127</v>
      </c>
      <c r="S332" s="684">
        <f t="shared" ref="S332:S338" si="1">S204</f>
        <v>42229.804278926844</v>
      </c>
      <c r="T332" s="684"/>
      <c r="U332" s="30" t="s">
        <v>8</v>
      </c>
      <c r="V332" s="10"/>
    </row>
    <row r="333" spans="1:22" ht="18" hidden="1" customHeight="1">
      <c r="A333" s="9"/>
      <c r="B333" s="14" t="s">
        <v>985</v>
      </c>
      <c r="C333" s="7"/>
      <c r="D333" s="606"/>
      <c r="E333" s="7"/>
      <c r="F333" s="121"/>
      <c r="G333" s="441"/>
      <c r="H333" s="121"/>
      <c r="I333" s="607"/>
      <c r="J333" s="7"/>
      <c r="K333" s="608"/>
      <c r="M333" s="372"/>
      <c r="N333" s="609"/>
      <c r="P333" s="281" t="s">
        <v>986</v>
      </c>
      <c r="R333" s="234" t="s">
        <v>127</v>
      </c>
      <c r="S333" s="795">
        <f t="shared" si="1"/>
        <v>27.369568080254382</v>
      </c>
      <c r="T333" s="684"/>
      <c r="U333" s="30"/>
      <c r="V333" s="10"/>
    </row>
    <row r="334" spans="1:22" ht="18" hidden="1" customHeight="1">
      <c r="A334" s="9"/>
      <c r="B334" s="47" t="s">
        <v>987</v>
      </c>
      <c r="C334" s="7"/>
      <c r="D334" s="7"/>
      <c r="E334" s="7"/>
      <c r="F334" s="7"/>
      <c r="G334" s="7"/>
      <c r="H334" s="7"/>
      <c r="I334" s="124"/>
      <c r="J334" s="7"/>
      <c r="K334" s="7"/>
      <c r="M334" s="7"/>
      <c r="N334" s="7"/>
      <c r="P334" s="421" t="s">
        <v>988</v>
      </c>
      <c r="R334" s="234" t="s">
        <v>127</v>
      </c>
      <c r="S334" s="713">
        <f t="shared" si="1"/>
        <v>43584.822413584639</v>
      </c>
      <c r="T334" s="684"/>
      <c r="U334" s="30" t="s">
        <v>8</v>
      </c>
      <c r="V334" s="10"/>
    </row>
    <row r="335" spans="1:22" ht="18" hidden="1" customHeight="1">
      <c r="A335" s="9"/>
      <c r="B335" s="14" t="s">
        <v>989</v>
      </c>
      <c r="C335" s="7"/>
      <c r="D335" s="7"/>
      <c r="E335" s="7"/>
      <c r="F335" s="7"/>
      <c r="G335" s="7"/>
      <c r="H335" s="7"/>
      <c r="I335" s="7"/>
      <c r="J335" s="7"/>
      <c r="K335" s="7"/>
      <c r="L335" s="7"/>
      <c r="M335" s="7"/>
      <c r="N335" s="7"/>
      <c r="P335" s="30" t="s">
        <v>990</v>
      </c>
      <c r="R335" s="234" t="s">
        <v>127</v>
      </c>
      <c r="S335" s="795">
        <f t="shared" si="1"/>
        <v>41.979419477826461</v>
      </c>
      <c r="T335" s="684"/>
      <c r="U335" s="30"/>
      <c r="V335" s="10"/>
    </row>
    <row r="336" spans="1:22" ht="18" hidden="1" customHeight="1">
      <c r="A336" s="9"/>
      <c r="B336" s="47" t="s">
        <v>991</v>
      </c>
      <c r="C336" s="7"/>
      <c r="D336" s="7"/>
      <c r="E336" s="7"/>
      <c r="F336" s="7"/>
      <c r="G336" s="7"/>
      <c r="H336" s="7"/>
      <c r="I336" s="124"/>
      <c r="J336" s="7"/>
      <c r="K336" s="7"/>
      <c r="M336" s="7"/>
      <c r="N336" s="7"/>
      <c r="P336" s="421" t="s">
        <v>992</v>
      </c>
      <c r="R336" s="234" t="s">
        <v>127</v>
      </c>
      <c r="S336" s="713">
        <f t="shared" si="1"/>
        <v>44648.255952235893</v>
      </c>
      <c r="T336" s="684"/>
      <c r="U336" s="30" t="s">
        <v>8</v>
      </c>
      <c r="V336" s="10"/>
    </row>
    <row r="337" spans="1:22" ht="18" hidden="1" customHeight="1">
      <c r="A337" s="9"/>
      <c r="B337" s="14" t="s">
        <v>993</v>
      </c>
      <c r="C337" s="7"/>
      <c r="D337" s="606"/>
      <c r="E337" s="7"/>
      <c r="F337" s="121"/>
      <c r="G337" s="441"/>
      <c r="H337" s="121"/>
      <c r="I337" s="607"/>
      <c r="J337" s="7"/>
      <c r="K337" s="608"/>
      <c r="L337" s="7"/>
      <c r="M337" s="372"/>
      <c r="N337" s="609"/>
      <c r="P337" s="30" t="s">
        <v>994</v>
      </c>
      <c r="R337" s="234" t="s">
        <v>127</v>
      </c>
      <c r="S337" s="795">
        <f t="shared" si="1"/>
        <v>29.635036773964003</v>
      </c>
      <c r="T337" s="684"/>
      <c r="U337" s="30"/>
      <c r="V337" s="10"/>
    </row>
    <row r="338" spans="1:22" ht="18" hidden="1" customHeight="1">
      <c r="A338" s="9"/>
      <c r="B338" s="47" t="s">
        <v>678</v>
      </c>
      <c r="C338" s="7"/>
      <c r="D338" s="7"/>
      <c r="E338" s="7"/>
      <c r="F338" s="7"/>
      <c r="G338" s="7"/>
      <c r="H338" s="7"/>
      <c r="I338" s="124"/>
      <c r="J338" s="7"/>
      <c r="K338" s="7"/>
      <c r="M338" s="7"/>
      <c r="N338" s="7"/>
      <c r="P338" s="120" t="s">
        <v>973</v>
      </c>
      <c r="R338" s="234" t="s">
        <v>127</v>
      </c>
      <c r="S338" s="713">
        <f t="shared" si="1"/>
        <v>50000</v>
      </c>
      <c r="T338" s="713"/>
      <c r="U338" s="30" t="s">
        <v>8</v>
      </c>
      <c r="V338" s="10"/>
    </row>
    <row r="339" spans="1:22" ht="18" hidden="1" customHeight="1">
      <c r="A339" s="9"/>
      <c r="B339" s="14"/>
      <c r="C339" s="7"/>
      <c r="D339" s="606"/>
      <c r="E339" s="7"/>
      <c r="F339" s="121"/>
      <c r="G339" s="441"/>
      <c r="H339" s="121"/>
      <c r="I339" s="607"/>
      <c r="J339" s="7"/>
      <c r="K339" s="608"/>
      <c r="L339" s="7"/>
      <c r="M339" s="47"/>
      <c r="N339" s="28"/>
      <c r="O339" s="27"/>
      <c r="V339" s="10"/>
    </row>
    <row r="340" spans="1:22" ht="18" hidden="1" customHeight="1">
      <c r="A340" s="96"/>
      <c r="B340" s="14" t="s">
        <v>995</v>
      </c>
      <c r="C340" s="437"/>
      <c r="D340" s="376"/>
      <c r="E340" s="376"/>
      <c r="F340" s="152"/>
      <c r="G340" s="152"/>
      <c r="H340" s="152"/>
      <c r="I340" s="153"/>
      <c r="J340" s="153"/>
      <c r="K340" s="7"/>
      <c r="L340" s="376"/>
      <c r="M340" s="376"/>
      <c r="N340" s="153"/>
      <c r="O340" s="610"/>
      <c r="V340" s="10"/>
    </row>
    <row r="341" spans="1:22" ht="18" hidden="1" customHeight="1">
      <c r="A341" s="96"/>
      <c r="B341" s="249" t="s">
        <v>996</v>
      </c>
      <c r="C341" s="7"/>
      <c r="D341" s="7"/>
      <c r="E341" s="7"/>
      <c r="F341" s="7"/>
      <c r="H341" s="152"/>
      <c r="I341" s="14" t="s">
        <v>997</v>
      </c>
      <c r="K341" s="7"/>
      <c r="L341" s="7"/>
      <c r="M341" s="124" t="s">
        <v>135</v>
      </c>
      <c r="N341" s="102" t="s">
        <v>127</v>
      </c>
      <c r="O341" s="28">
        <v>1</v>
      </c>
      <c r="V341" s="10"/>
    </row>
    <row r="342" spans="1:22" ht="18" hidden="1" customHeight="1">
      <c r="A342" s="611"/>
      <c r="B342" s="249" t="s">
        <v>996</v>
      </c>
      <c r="C342" s="441"/>
      <c r="D342" s="441"/>
      <c r="E342" s="441"/>
      <c r="F342" s="441"/>
      <c r="H342" s="152"/>
      <c r="I342" s="14" t="s">
        <v>998</v>
      </c>
      <c r="K342" s="7"/>
      <c r="L342" s="7"/>
      <c r="M342" s="124" t="s">
        <v>135</v>
      </c>
      <c r="N342" s="102" t="s">
        <v>127</v>
      </c>
      <c r="O342" s="28">
        <v>2</v>
      </c>
      <c r="V342" s="10"/>
    </row>
    <row r="343" spans="1:22" ht="18" hidden="1" customHeight="1">
      <c r="A343" s="611"/>
      <c r="B343" s="249" t="s">
        <v>996</v>
      </c>
      <c r="C343" s="441"/>
      <c r="D343" s="441"/>
      <c r="E343" s="441"/>
      <c r="F343" s="441"/>
      <c r="H343" s="152"/>
      <c r="I343" s="14" t="s">
        <v>999</v>
      </c>
      <c r="K343" s="7"/>
      <c r="L343" s="7"/>
      <c r="M343" s="124" t="s">
        <v>135</v>
      </c>
      <c r="N343" s="102" t="s">
        <v>127</v>
      </c>
      <c r="O343" s="28">
        <v>4</v>
      </c>
      <c r="V343" s="10"/>
    </row>
    <row r="344" spans="1:22" ht="18" hidden="1" customHeight="1">
      <c r="A344" s="611"/>
      <c r="B344" s="249"/>
      <c r="C344" s="441"/>
      <c r="D344" s="441"/>
      <c r="E344" s="441"/>
      <c r="F344" s="441"/>
      <c r="H344" s="152"/>
      <c r="I344" s="14"/>
      <c r="K344" s="7"/>
      <c r="L344" s="7"/>
      <c r="M344" s="124"/>
      <c r="N344" s="102"/>
      <c r="O344" s="28"/>
      <c r="V344" s="10"/>
    </row>
    <row r="345" spans="1:22" ht="18" hidden="1" customHeight="1">
      <c r="A345" s="611"/>
      <c r="B345" s="14" t="s">
        <v>1000</v>
      </c>
      <c r="C345" s="437"/>
      <c r="D345" s="376"/>
      <c r="E345" s="376"/>
      <c r="F345" s="152"/>
      <c r="G345" s="152"/>
      <c r="H345" s="152"/>
      <c r="I345" s="28"/>
      <c r="J345" s="153"/>
      <c r="K345" s="7"/>
      <c r="L345" s="376"/>
      <c r="M345" s="372"/>
      <c r="N345" s="153"/>
      <c r="O345" s="612"/>
      <c r="V345" s="10"/>
    </row>
    <row r="346" spans="1:22" ht="18" hidden="1" customHeight="1">
      <c r="A346" s="96"/>
      <c r="B346" s="249" t="s">
        <v>996</v>
      </c>
      <c r="C346" s="441"/>
      <c r="D346" s="441"/>
      <c r="E346" s="441"/>
      <c r="F346" s="441"/>
      <c r="H346" s="152"/>
      <c r="I346" s="14" t="s">
        <v>1001</v>
      </c>
      <c r="K346" s="7"/>
      <c r="L346" s="7"/>
      <c r="M346" s="124" t="s">
        <v>980</v>
      </c>
      <c r="N346" s="102" t="s">
        <v>127</v>
      </c>
      <c r="O346" s="28">
        <v>4</v>
      </c>
      <c r="V346" s="10"/>
    </row>
    <row r="347" spans="1:22" ht="18" hidden="1" customHeight="1">
      <c r="A347" s="611"/>
      <c r="B347" s="249" t="s">
        <v>996</v>
      </c>
      <c r="C347" s="441"/>
      <c r="D347" s="441"/>
      <c r="E347" s="441"/>
      <c r="F347" s="441"/>
      <c r="H347" s="152"/>
      <c r="I347" s="14" t="s">
        <v>999</v>
      </c>
      <c r="K347" s="7"/>
      <c r="L347" s="7"/>
      <c r="M347" s="124" t="s">
        <v>980</v>
      </c>
      <c r="N347" s="102" t="s">
        <v>127</v>
      </c>
      <c r="O347" s="28">
        <v>5</v>
      </c>
      <c r="V347" s="10"/>
    </row>
    <row r="348" spans="1:22" ht="18" hidden="1" customHeight="1">
      <c r="A348" s="396"/>
      <c r="B348" s="152"/>
      <c r="C348" s="152"/>
      <c r="D348" s="152"/>
      <c r="E348" s="152"/>
      <c r="F348" s="7"/>
      <c r="G348" s="437"/>
      <c r="H348" s="437"/>
      <c r="I348" s="7"/>
      <c r="J348" s="7"/>
      <c r="K348" s="152"/>
      <c r="L348" s="152"/>
      <c r="M348" s="152"/>
      <c r="N348" s="152"/>
      <c r="O348" s="152"/>
      <c r="V348" s="10"/>
    </row>
    <row r="349" spans="1:22" ht="18" hidden="1" customHeight="1">
      <c r="A349" s="96" t="s">
        <v>1009</v>
      </c>
      <c r="B349" s="152"/>
      <c r="C349" s="152"/>
      <c r="D349" s="152"/>
      <c r="E349" s="152"/>
      <c r="F349" s="7"/>
      <c r="G349" s="437"/>
      <c r="H349" s="437"/>
      <c r="I349" s="7"/>
      <c r="J349" s="7"/>
      <c r="K349" s="152"/>
      <c r="L349" s="152"/>
      <c r="M349" s="152"/>
      <c r="N349" s="152"/>
      <c r="O349" s="152"/>
      <c r="V349" s="10"/>
    </row>
    <row r="350" spans="1:22" ht="18" hidden="1" customHeight="1">
      <c r="A350" s="116" t="s">
        <v>1003</v>
      </c>
      <c r="B350" s="152"/>
      <c r="C350" s="152"/>
      <c r="D350" s="152"/>
      <c r="E350" s="152"/>
      <c r="F350" s="7"/>
      <c r="G350" s="437"/>
      <c r="H350" s="437"/>
      <c r="I350" s="7"/>
      <c r="J350" s="7"/>
      <c r="K350" s="152"/>
      <c r="L350" s="152"/>
      <c r="M350" s="152"/>
      <c r="N350" s="152"/>
      <c r="O350" s="152"/>
      <c r="V350" s="10"/>
    </row>
    <row r="351" spans="1:22" ht="18" hidden="1" customHeight="1">
      <c r="A351" s="116"/>
      <c r="B351" s="197" t="s">
        <v>971</v>
      </c>
      <c r="C351" s="594"/>
      <c r="D351" s="594"/>
      <c r="E351" s="594"/>
      <c r="F351" s="594"/>
      <c r="G351" s="594"/>
      <c r="H351" s="594"/>
      <c r="I351" s="594"/>
      <c r="J351" s="595"/>
      <c r="K351" s="594"/>
      <c r="L351" s="594"/>
      <c r="M351" s="594"/>
      <c r="N351" s="594"/>
      <c r="O351" s="594"/>
      <c r="P351" s="594"/>
      <c r="Q351" s="594"/>
      <c r="R351" s="594"/>
      <c r="S351" s="594"/>
      <c r="T351" s="594"/>
      <c r="U351" s="594"/>
      <c r="V351" s="10"/>
    </row>
    <row r="352" spans="1:22" ht="18" hidden="1" customHeight="1">
      <c r="A352" s="116"/>
      <c r="B352" s="689" t="s">
        <v>972</v>
      </c>
      <c r="C352" s="1150" t="s">
        <v>652</v>
      </c>
      <c r="D352" s="155"/>
      <c r="E352" s="155"/>
      <c r="F352" s="155"/>
      <c r="G352" s="802">
        <v>0.5</v>
      </c>
      <c r="H352" s="1153" t="s">
        <v>315</v>
      </c>
      <c r="I352" s="1205">
        <f>S338</f>
        <v>50000</v>
      </c>
      <c r="J352" s="1204"/>
      <c r="K352" s="1204"/>
      <c r="L352" s="1204"/>
      <c r="M352" s="1204"/>
      <c r="N352" s="689" t="s">
        <v>672</v>
      </c>
      <c r="O352" s="708" t="str">
        <f>S329</f>
        <v>-</v>
      </c>
      <c r="P352" s="689" t="s">
        <v>347</v>
      </c>
      <c r="Q352" s="829">
        <f>S330</f>
        <v>1.1770224400000002</v>
      </c>
      <c r="R352" s="708" t="s">
        <v>674</v>
      </c>
      <c r="S352" s="708">
        <f>S331</f>
        <v>1</v>
      </c>
      <c r="U352" s="729" t="s">
        <v>653</v>
      </c>
      <c r="V352" s="10"/>
    </row>
    <row r="353" spans="1:22" ht="18" hidden="1" customHeight="1">
      <c r="A353" s="116"/>
      <c r="B353" s="689"/>
      <c r="C353" s="689"/>
      <c r="D353" s="155"/>
      <c r="E353" s="155"/>
      <c r="F353" s="155"/>
      <c r="G353" s="802"/>
      <c r="H353" s="689"/>
      <c r="I353" s="695">
        <v>1.25</v>
      </c>
      <c r="J353" s="695"/>
      <c r="K353" s="121" t="s">
        <v>315</v>
      </c>
      <c r="L353" s="695" t="str">
        <f>S328</f>
        <v>-</v>
      </c>
      <c r="M353" s="695"/>
      <c r="N353" s="689"/>
      <c r="O353" s="689"/>
      <c r="P353" s="689"/>
      <c r="Q353" s="689"/>
      <c r="R353" s="689"/>
      <c r="S353" s="689"/>
      <c r="T353" s="155"/>
      <c r="U353" s="689"/>
      <c r="V353" s="10"/>
    </row>
    <row r="354" spans="1:22" ht="18" hidden="1" customHeight="1">
      <c r="A354" s="116"/>
      <c r="B354" s="28"/>
      <c r="C354" s="27" t="s">
        <v>127</v>
      </c>
      <c r="D354" s="812" t="e">
        <f>G352*(I352/(I353*L353)*(O352+Q352)*S352)</f>
        <v>#VALUE!</v>
      </c>
      <c r="E354" s="813"/>
      <c r="F354" s="27" t="s">
        <v>305</v>
      </c>
      <c r="G354" s="120"/>
      <c r="H354" s="28"/>
      <c r="I354" s="121"/>
      <c r="J354" s="121"/>
      <c r="K354" s="121"/>
      <c r="L354" s="121"/>
      <c r="M354" s="121"/>
      <c r="N354" s="28"/>
      <c r="O354" s="28"/>
      <c r="P354" s="28"/>
      <c r="Q354" s="28"/>
      <c r="R354" s="28"/>
      <c r="S354" s="28"/>
      <c r="T354" s="155"/>
      <c r="U354" s="28"/>
      <c r="V354" s="10"/>
    </row>
    <row r="355" spans="1:22" ht="18" hidden="1" customHeight="1">
      <c r="A355" s="116"/>
      <c r="B355" s="197" t="s">
        <v>975</v>
      </c>
      <c r="C355" s="28"/>
      <c r="D355" s="155"/>
      <c r="E355" s="155"/>
      <c r="F355" s="155"/>
      <c r="G355" s="120"/>
      <c r="H355" s="28"/>
      <c r="I355" s="121"/>
      <c r="J355" s="121"/>
      <c r="K355" s="121"/>
      <c r="L355" s="121"/>
      <c r="M355" s="121"/>
      <c r="N355" s="28"/>
      <c r="O355" s="28"/>
      <c r="P355" s="28"/>
      <c r="Q355" s="28"/>
      <c r="R355" s="28"/>
      <c r="S355" s="28"/>
      <c r="T355" s="155"/>
      <c r="U355" s="28"/>
      <c r="V355" s="10"/>
    </row>
    <row r="356" spans="1:22" ht="18" hidden="1" customHeight="1">
      <c r="A356" s="396"/>
      <c r="B356" s="689" t="s">
        <v>972</v>
      </c>
      <c r="C356" s="1150" t="s">
        <v>652</v>
      </c>
      <c r="D356" s="155"/>
      <c r="E356" s="155"/>
      <c r="F356" s="155"/>
      <c r="G356" s="802">
        <v>1.2</v>
      </c>
      <c r="H356" s="1153" t="s">
        <v>315</v>
      </c>
      <c r="I356" s="1203">
        <f>S332</f>
        <v>42229.804278926844</v>
      </c>
      <c r="J356" s="1204"/>
      <c r="K356" s="1204"/>
      <c r="L356" s="1204"/>
      <c r="M356" s="1204"/>
      <c r="N356" s="689" t="s">
        <v>672</v>
      </c>
      <c r="O356" s="708" t="str">
        <f>S329</f>
        <v>-</v>
      </c>
      <c r="P356" s="689" t="s">
        <v>347</v>
      </c>
      <c r="Q356" s="829">
        <f>S330</f>
        <v>1.1770224400000002</v>
      </c>
      <c r="R356" s="708" t="s">
        <v>674</v>
      </c>
      <c r="S356" s="708">
        <f>S331</f>
        <v>1</v>
      </c>
      <c r="U356" s="729" t="s">
        <v>683</v>
      </c>
      <c r="V356" s="10"/>
    </row>
    <row r="357" spans="1:22" ht="18" hidden="1" customHeight="1">
      <c r="A357" s="396"/>
      <c r="B357" s="689"/>
      <c r="C357" s="689"/>
      <c r="D357" s="155"/>
      <c r="E357" s="155"/>
      <c r="F357" s="155"/>
      <c r="G357" s="802"/>
      <c r="H357" s="689"/>
      <c r="I357" s="695">
        <v>1.25</v>
      </c>
      <c r="J357" s="695"/>
      <c r="K357" s="121" t="s">
        <v>315</v>
      </c>
      <c r="L357" s="695" t="str">
        <f>S328</f>
        <v>-</v>
      </c>
      <c r="M357" s="695"/>
      <c r="N357" s="689"/>
      <c r="O357" s="689"/>
      <c r="P357" s="689"/>
      <c r="Q357" s="689"/>
      <c r="R357" s="689"/>
      <c r="S357" s="689"/>
      <c r="T357" s="155"/>
      <c r="U357" s="689"/>
      <c r="V357" s="10"/>
    </row>
    <row r="358" spans="1:22" ht="18" hidden="1" customHeight="1">
      <c r="A358" s="396"/>
      <c r="B358" s="28"/>
      <c r="C358" s="27" t="s">
        <v>127</v>
      </c>
      <c r="D358" s="812" t="e">
        <f>G356*(I356/(I357*L357)*(O356+Q356)*S356)</f>
        <v>#VALUE!</v>
      </c>
      <c r="E358" s="813"/>
      <c r="F358" s="27" t="s">
        <v>305</v>
      </c>
      <c r="G358" s="120"/>
      <c r="H358" s="28"/>
      <c r="I358" s="121"/>
      <c r="J358" s="121"/>
      <c r="K358" s="121"/>
      <c r="L358" s="121"/>
      <c r="M358" s="121"/>
      <c r="N358" s="28"/>
      <c r="O358" s="28"/>
      <c r="P358" s="28"/>
      <c r="Q358" s="28"/>
      <c r="R358" s="28"/>
      <c r="S358" s="28"/>
      <c r="T358" s="155"/>
      <c r="U358" s="28"/>
      <c r="V358" s="10"/>
    </row>
    <row r="359" spans="1:22" ht="18" hidden="1" customHeight="1">
      <c r="A359" s="396"/>
      <c r="B359" s="28"/>
      <c r="C359" s="27"/>
      <c r="D359" s="211"/>
      <c r="E359" s="211"/>
      <c r="F359" s="27"/>
      <c r="G359" s="120"/>
      <c r="H359" s="28"/>
      <c r="I359" s="121"/>
      <c r="J359" s="121"/>
      <c r="K359" s="121"/>
      <c r="L359" s="121"/>
      <c r="M359" s="121"/>
      <c r="N359" s="28"/>
      <c r="O359" s="28"/>
      <c r="P359" s="28"/>
      <c r="Q359" s="28"/>
      <c r="R359" s="28"/>
      <c r="S359" s="28"/>
      <c r="T359" s="155"/>
      <c r="U359" s="28"/>
      <c r="V359" s="10"/>
    </row>
    <row r="360" spans="1:22" ht="18" hidden="1" customHeight="1">
      <c r="A360" s="116" t="s">
        <v>977</v>
      </c>
      <c r="B360" s="28"/>
      <c r="C360" s="27"/>
      <c r="D360" s="211"/>
      <c r="E360" s="211"/>
      <c r="F360" s="27"/>
      <c r="G360" s="120"/>
      <c r="H360" s="28"/>
      <c r="I360" s="121"/>
      <c r="J360" s="121"/>
      <c r="K360" s="121"/>
      <c r="L360" s="121"/>
      <c r="M360" s="121"/>
      <c r="N360" s="28"/>
      <c r="O360" s="28"/>
      <c r="P360" s="28"/>
      <c r="Q360" s="28"/>
      <c r="R360" s="28"/>
      <c r="S360" s="28"/>
      <c r="T360" s="155"/>
      <c r="U360" s="28"/>
      <c r="V360" s="10"/>
    </row>
    <row r="361" spans="1:22" ht="18" hidden="1" customHeight="1">
      <c r="A361" s="193"/>
      <c r="B361" s="197" t="s">
        <v>416</v>
      </c>
      <c r="C361" s="613"/>
      <c r="D361" s="156"/>
      <c r="E361" s="156"/>
      <c r="F361" s="156"/>
      <c r="G361" s="156"/>
      <c r="H361" s="156"/>
      <c r="I361" s="156"/>
      <c r="J361" s="156"/>
      <c r="K361" s="156"/>
      <c r="L361" s="375"/>
      <c r="M361" s="375"/>
      <c r="N361" s="375"/>
      <c r="O361" s="375"/>
      <c r="P361" s="157"/>
      <c r="Q361" s="614"/>
      <c r="R361" s="375"/>
      <c r="S361" s="156"/>
      <c r="V361" s="10"/>
    </row>
    <row r="362" spans="1:22" ht="18" hidden="1" customHeight="1">
      <c r="A362" s="447"/>
      <c r="B362" s="397"/>
      <c r="C362" s="613"/>
      <c r="D362" s="156"/>
      <c r="E362" s="14" t="s">
        <v>1004</v>
      </c>
      <c r="G362" s="7"/>
      <c r="H362" s="7"/>
      <c r="I362" s="7"/>
      <c r="J362" s="124"/>
      <c r="K362" s="124"/>
      <c r="L362" s="7"/>
      <c r="N362" s="28" t="s">
        <v>127</v>
      </c>
      <c r="O362" s="692">
        <f>S333</f>
        <v>27.369568080254382</v>
      </c>
      <c r="P362" s="684"/>
      <c r="R362" s="120" t="s">
        <v>135</v>
      </c>
      <c r="S362" s="121" t="s">
        <v>127</v>
      </c>
      <c r="T362" s="28">
        <f>IF(O362&lt;=30,O341,IF(O362&lt;=50,O342,O343))</f>
        <v>1</v>
      </c>
      <c r="V362" s="10"/>
    </row>
    <row r="363" spans="1:22" ht="18" hidden="1" customHeight="1">
      <c r="A363" s="159"/>
      <c r="B363" s="689" t="s">
        <v>972</v>
      </c>
      <c r="C363" s="1150" t="s">
        <v>652</v>
      </c>
      <c r="D363" s="155"/>
      <c r="E363" s="155"/>
      <c r="F363" s="155"/>
      <c r="G363" s="808">
        <f>T362</f>
        <v>1</v>
      </c>
      <c r="H363" s="1197" t="s">
        <v>315</v>
      </c>
      <c r="I363" s="1202">
        <f>S332</f>
        <v>42229.804278926844</v>
      </c>
      <c r="J363" s="821"/>
      <c r="K363" s="821"/>
      <c r="L363" s="821"/>
      <c r="M363" s="821"/>
      <c r="N363" s="805" t="s">
        <v>672</v>
      </c>
      <c r="O363" s="822" t="str">
        <f>S329</f>
        <v>-</v>
      </c>
      <c r="P363" s="805" t="s">
        <v>347</v>
      </c>
      <c r="Q363" s="1196">
        <f>S330</f>
        <v>1.1770224400000002</v>
      </c>
      <c r="R363" s="822" t="s">
        <v>674</v>
      </c>
      <c r="S363" s="822">
        <f>S331</f>
        <v>1</v>
      </c>
      <c r="T363" s="7"/>
      <c r="U363" s="729" t="s">
        <v>685</v>
      </c>
      <c r="V363" s="10"/>
    </row>
    <row r="364" spans="1:22" ht="18" hidden="1" customHeight="1">
      <c r="A364" s="159"/>
      <c r="B364" s="689"/>
      <c r="C364" s="689"/>
      <c r="D364" s="155"/>
      <c r="E364" s="155"/>
      <c r="F364" s="155"/>
      <c r="G364" s="808"/>
      <c r="H364" s="993"/>
      <c r="I364" s="1199">
        <v>1.25</v>
      </c>
      <c r="J364" s="1200"/>
      <c r="K364" s="615" t="s">
        <v>315</v>
      </c>
      <c r="L364" s="1199" t="str">
        <f>S328</f>
        <v>-</v>
      </c>
      <c r="M364" s="1200"/>
      <c r="N364" s="805"/>
      <c r="O364" s="805"/>
      <c r="P364" s="805"/>
      <c r="Q364" s="1184"/>
      <c r="R364" s="805"/>
      <c r="S364" s="805"/>
      <c r="T364" s="7"/>
      <c r="U364" s="689"/>
      <c r="V364" s="10"/>
    </row>
    <row r="365" spans="1:22" ht="18" hidden="1" customHeight="1">
      <c r="A365" s="9"/>
      <c r="C365" s="27" t="s">
        <v>127</v>
      </c>
      <c r="D365" s="819" t="e">
        <f>G363*(I363/(I364*L364)*(O363+Q363)*S363)</f>
        <v>#VALUE!</v>
      </c>
      <c r="E365" s="820"/>
      <c r="F365" s="27" t="s">
        <v>305</v>
      </c>
      <c r="V365" s="10"/>
    </row>
    <row r="366" spans="1:22" ht="18" hidden="1" customHeight="1">
      <c r="A366" s="9"/>
      <c r="V366" s="10"/>
    </row>
    <row r="367" spans="1:22" ht="18" hidden="1" customHeight="1">
      <c r="A367" s="193"/>
      <c r="B367" s="197" t="s">
        <v>1005</v>
      </c>
      <c r="C367" s="156"/>
      <c r="D367" s="157"/>
      <c r="E367" s="616"/>
      <c r="F367" s="617"/>
      <c r="G367" s="157"/>
      <c r="H367" s="1201"/>
      <c r="I367" s="811"/>
      <c r="J367" s="811"/>
      <c r="K367" s="157"/>
      <c r="L367" s="156"/>
      <c r="M367" s="156"/>
      <c r="N367" s="157"/>
      <c r="O367" s="157"/>
      <c r="P367" s="157"/>
      <c r="Q367" s="353"/>
      <c r="R367" s="618"/>
      <c r="S367" s="619"/>
      <c r="V367" s="10"/>
    </row>
    <row r="368" spans="1:22" ht="18" hidden="1" customHeight="1">
      <c r="A368" s="447"/>
      <c r="B368" s="156"/>
      <c r="C368" s="156"/>
      <c r="D368" s="157"/>
      <c r="E368" s="14" t="s">
        <v>1006</v>
      </c>
      <c r="G368" s="7"/>
      <c r="H368" s="7"/>
      <c r="I368" s="7"/>
      <c r="J368" s="124"/>
      <c r="K368" s="124"/>
      <c r="L368" s="7"/>
      <c r="N368" s="121" t="s">
        <v>127</v>
      </c>
      <c r="O368" s="692">
        <f>S335</f>
        <v>41.979419477826461</v>
      </c>
      <c r="P368" s="684"/>
      <c r="R368" s="120" t="s">
        <v>980</v>
      </c>
      <c r="S368" s="121" t="s">
        <v>127</v>
      </c>
      <c r="T368" s="28">
        <f>IF(O368&lt;=30,O346,O347)</f>
        <v>5</v>
      </c>
      <c r="V368" s="10"/>
    </row>
    <row r="369" spans="1:22" ht="18" hidden="1" customHeight="1">
      <c r="A369" s="159"/>
      <c r="B369" s="689" t="s">
        <v>972</v>
      </c>
      <c r="C369" s="1150" t="s">
        <v>652</v>
      </c>
      <c r="D369" s="155"/>
      <c r="E369" s="155"/>
      <c r="F369" s="155"/>
      <c r="G369" s="808">
        <f>T368</f>
        <v>5</v>
      </c>
      <c r="H369" s="1197" t="s">
        <v>315</v>
      </c>
      <c r="I369" s="1198">
        <f>S334</f>
        <v>43584.822413584639</v>
      </c>
      <c r="J369" s="821"/>
      <c r="K369" s="821"/>
      <c r="L369" s="821"/>
      <c r="M369" s="821"/>
      <c r="N369" s="805" t="s">
        <v>672</v>
      </c>
      <c r="O369" s="822" t="str">
        <f>S329</f>
        <v>-</v>
      </c>
      <c r="P369" s="805" t="s">
        <v>347</v>
      </c>
      <c r="Q369" s="1196">
        <f>S330</f>
        <v>1.1770224400000002</v>
      </c>
      <c r="R369" s="822" t="s">
        <v>674</v>
      </c>
      <c r="S369" s="822">
        <f>S331</f>
        <v>1</v>
      </c>
      <c r="U369" s="729" t="s">
        <v>982</v>
      </c>
      <c r="V369" s="10"/>
    </row>
    <row r="370" spans="1:22" ht="18" hidden="1" customHeight="1">
      <c r="A370" s="159"/>
      <c r="B370" s="689"/>
      <c r="C370" s="689"/>
      <c r="D370" s="155"/>
      <c r="E370" s="155"/>
      <c r="F370" s="155"/>
      <c r="G370" s="808"/>
      <c r="H370" s="993"/>
      <c r="I370" s="1199">
        <v>1.25</v>
      </c>
      <c r="J370" s="1200"/>
      <c r="K370" s="615" t="s">
        <v>315</v>
      </c>
      <c r="L370" s="1199" t="str">
        <f>S328</f>
        <v>-</v>
      </c>
      <c r="M370" s="1200"/>
      <c r="N370" s="805"/>
      <c r="O370" s="805"/>
      <c r="P370" s="805"/>
      <c r="Q370" s="805"/>
      <c r="R370" s="805"/>
      <c r="S370" s="805"/>
      <c r="U370" s="689"/>
      <c r="V370" s="10"/>
    </row>
    <row r="371" spans="1:22" ht="18" hidden="1" customHeight="1">
      <c r="A371" s="9"/>
      <c r="C371" s="27" t="s">
        <v>127</v>
      </c>
      <c r="D371" s="812" t="e">
        <f>G369*(I369/(I370*L370)*(O369+Q369)*S369)</f>
        <v>#VALUE!</v>
      </c>
      <c r="E371" s="813"/>
      <c r="F371" s="27" t="s">
        <v>305</v>
      </c>
      <c r="V371" s="10"/>
    </row>
    <row r="372" spans="1:22" ht="18" hidden="1" customHeight="1">
      <c r="A372" s="9"/>
      <c r="V372" s="10"/>
    </row>
    <row r="373" spans="1:22" ht="18" hidden="1" customHeight="1">
      <c r="A373" s="382"/>
      <c r="B373" s="20"/>
      <c r="C373" s="20"/>
      <c r="D373" s="20"/>
      <c r="E373" s="20"/>
      <c r="F373" s="20"/>
      <c r="G373" s="20"/>
      <c r="H373" s="20"/>
      <c r="I373" s="20"/>
      <c r="J373" s="20"/>
      <c r="K373" s="20"/>
      <c r="L373" s="20"/>
      <c r="M373" s="20"/>
      <c r="N373" s="20"/>
      <c r="O373" s="20"/>
      <c r="P373" s="20"/>
      <c r="Q373" s="21"/>
      <c r="R373" s="22"/>
      <c r="S373" s="23"/>
      <c r="T373" s="20"/>
      <c r="U373" s="20"/>
      <c r="V373" s="134" t="s">
        <v>552</v>
      </c>
    </row>
    <row r="374" spans="1:22" ht="18" hidden="1" customHeight="1">
      <c r="A374" s="442"/>
      <c r="B374" s="384"/>
      <c r="C374" s="384"/>
      <c r="D374" s="384"/>
      <c r="E374" s="384"/>
      <c r="F374" s="384"/>
      <c r="G374" s="384"/>
      <c r="H374" s="384"/>
      <c r="I374" s="384"/>
      <c r="J374" s="384"/>
      <c r="K374" s="384"/>
      <c r="L374" s="384"/>
      <c r="M374" s="384"/>
      <c r="N374" s="384"/>
      <c r="O374" s="384"/>
      <c r="P374" s="384"/>
      <c r="Q374" s="384"/>
      <c r="R374" s="384"/>
      <c r="S374" s="384"/>
      <c r="T374" s="384"/>
      <c r="U374" s="384"/>
      <c r="V374" s="395"/>
    </row>
    <row r="375" spans="1:22" ht="18" hidden="1" customHeight="1">
      <c r="A375" s="193"/>
      <c r="B375" s="197" t="s">
        <v>1007</v>
      </c>
      <c r="C375" s="156"/>
      <c r="D375" s="157"/>
      <c r="E375" s="616"/>
      <c r="F375" s="617"/>
      <c r="G375" s="157"/>
      <c r="H375" s="1201"/>
      <c r="I375" s="811"/>
      <c r="J375" s="811"/>
      <c r="K375" s="157"/>
      <c r="L375" s="156"/>
      <c r="M375" s="156"/>
      <c r="N375" s="157"/>
      <c r="O375" s="157"/>
      <c r="P375" s="157"/>
      <c r="Q375" s="353"/>
      <c r="R375" s="618"/>
      <c r="S375" s="619"/>
      <c r="V375" s="10"/>
    </row>
    <row r="376" spans="1:22" s="7" customFormat="1" ht="18" hidden="1" customHeight="1">
      <c r="A376" s="447"/>
      <c r="B376" s="156"/>
      <c r="C376" s="156"/>
      <c r="D376" s="157"/>
      <c r="E376" s="14" t="s">
        <v>1006</v>
      </c>
      <c r="F376"/>
      <c r="J376" s="124"/>
      <c r="K376" s="124"/>
      <c r="M376"/>
      <c r="N376" s="28" t="s">
        <v>127</v>
      </c>
      <c r="O376" s="692">
        <f>S337</f>
        <v>29.635036773964003</v>
      </c>
      <c r="P376" s="684"/>
      <c r="Q376"/>
      <c r="R376" s="120" t="s">
        <v>980</v>
      </c>
      <c r="S376" s="121" t="s">
        <v>127</v>
      </c>
      <c r="T376" s="28">
        <f>IF(O376&lt;=30,O346,O347)</f>
        <v>4</v>
      </c>
      <c r="U376"/>
      <c r="V376" s="10"/>
    </row>
    <row r="377" spans="1:22" ht="18" hidden="1" customHeight="1">
      <c r="A377" s="159"/>
      <c r="B377" s="689" t="s">
        <v>972</v>
      </c>
      <c r="C377" s="1150" t="s">
        <v>652</v>
      </c>
      <c r="D377" s="155"/>
      <c r="E377" s="155"/>
      <c r="F377" s="155"/>
      <c r="G377" s="808">
        <f>T376</f>
        <v>4</v>
      </c>
      <c r="H377" s="1197" t="s">
        <v>315</v>
      </c>
      <c r="I377" s="1198">
        <f>S336</f>
        <v>44648.255952235893</v>
      </c>
      <c r="J377" s="821"/>
      <c r="K377" s="821"/>
      <c r="L377" s="821"/>
      <c r="M377" s="821"/>
      <c r="N377" s="805" t="s">
        <v>672</v>
      </c>
      <c r="O377" s="822" t="str">
        <f>S329</f>
        <v>-</v>
      </c>
      <c r="P377" s="805" t="s">
        <v>347</v>
      </c>
      <c r="Q377" s="1196">
        <f>S330</f>
        <v>1.1770224400000002</v>
      </c>
      <c r="R377" s="822" t="s">
        <v>674</v>
      </c>
      <c r="S377" s="822">
        <f>S331</f>
        <v>1</v>
      </c>
      <c r="U377" s="729" t="s">
        <v>982</v>
      </c>
      <c r="V377" s="10"/>
    </row>
    <row r="378" spans="1:22" ht="18" hidden="1" customHeight="1">
      <c r="A378" s="159"/>
      <c r="B378" s="689"/>
      <c r="C378" s="689"/>
      <c r="D378" s="155"/>
      <c r="E378" s="155"/>
      <c r="F378" s="155"/>
      <c r="G378" s="808"/>
      <c r="H378" s="993"/>
      <c r="I378" s="1199">
        <v>1.25</v>
      </c>
      <c r="J378" s="1200"/>
      <c r="K378" s="615" t="s">
        <v>315</v>
      </c>
      <c r="L378" s="1199" t="str">
        <f>S328</f>
        <v>-</v>
      </c>
      <c r="M378" s="1200"/>
      <c r="N378" s="805"/>
      <c r="O378" s="805"/>
      <c r="P378" s="805"/>
      <c r="Q378" s="805"/>
      <c r="R378" s="805"/>
      <c r="S378" s="805"/>
      <c r="U378" s="689"/>
      <c r="V378" s="10"/>
    </row>
    <row r="379" spans="1:22" ht="18" hidden="1" customHeight="1">
      <c r="A379" s="9"/>
      <c r="C379" s="27" t="s">
        <v>127</v>
      </c>
      <c r="D379" s="812" t="e">
        <f>G377*(I377/(I378*L378)*(O377+Q377)*S377)</f>
        <v>#VALUE!</v>
      </c>
      <c r="E379" s="813"/>
      <c r="F379" s="27" t="s">
        <v>305</v>
      </c>
      <c r="V379" s="10"/>
    </row>
    <row r="380" spans="1:22" ht="18" hidden="1" customHeight="1">
      <c r="A380" s="9"/>
      <c r="V380" s="10"/>
    </row>
    <row r="381" spans="1:22" ht="18" hidden="1" customHeight="1">
      <c r="A381" s="184" t="s">
        <v>1008</v>
      </c>
      <c r="M381" s="825" t="str">
        <f>S328</f>
        <v>-</v>
      </c>
      <c r="N381" s="826"/>
      <c r="O381" s="30" t="s">
        <v>470</v>
      </c>
      <c r="Q381" s="812" t="e">
        <f>MAX(D354,D358,D365,D371,D379)</f>
        <v>#VALUE!</v>
      </c>
      <c r="R381" s="820"/>
      <c r="S381" s="30" t="s">
        <v>305</v>
      </c>
      <c r="V381" s="10"/>
    </row>
    <row r="382" spans="1:22" ht="18" hidden="1" customHeight="1">
      <c r="A382" s="9"/>
      <c r="V382" s="10"/>
    </row>
    <row r="383" spans="1:22" ht="18" hidden="1" customHeight="1">
      <c r="A383" s="9"/>
      <c r="D383" s="30" t="s">
        <v>475</v>
      </c>
      <c r="G383" s="27" t="e">
        <f>IF(E384&gt;H384,"&gt;","&lt;")</f>
        <v>#VALUE!</v>
      </c>
      <c r="H383" s="30" t="s">
        <v>477</v>
      </c>
      <c r="V383" s="10"/>
    </row>
    <row r="384" spans="1:22" ht="18" hidden="1" customHeight="1">
      <c r="A384" s="9"/>
      <c r="E384" s="684" t="str">
        <f>L286</f>
        <v>-</v>
      </c>
      <c r="F384" s="684"/>
      <c r="G384" s="27" t="e">
        <f>G383</f>
        <v>#VALUE!</v>
      </c>
      <c r="H384" s="795" t="e">
        <f>Q381</f>
        <v>#VALUE!</v>
      </c>
      <c r="I384" s="684"/>
      <c r="V384" s="10"/>
    </row>
    <row r="385" spans="1:22" ht="18" hidden="1" customHeight="1">
      <c r="A385" s="9"/>
      <c r="F385" s="244" t="s">
        <v>478</v>
      </c>
      <c r="H385" s="18" t="e">
        <f>IF(G383="&gt;","Suitably Dimentioned","Under Dimentioned")</f>
        <v>#VALUE!</v>
      </c>
      <c r="V385" s="10"/>
    </row>
    <row r="386" spans="1:22" ht="18" hidden="1" customHeight="1">
      <c r="A386" s="9"/>
      <c r="F386" s="429"/>
      <c r="H386" s="115"/>
      <c r="V386" s="10"/>
    </row>
    <row r="387" spans="1:22" ht="18" hidden="1" customHeight="1">
      <c r="A387" s="9"/>
      <c r="F387" s="429"/>
      <c r="H387" s="115"/>
      <c r="V387" s="10"/>
    </row>
    <row r="388" spans="1:22" ht="18" hidden="1" customHeight="1">
      <c r="A388" s="9"/>
      <c r="V388" s="10"/>
    </row>
    <row r="389" spans="1:22" ht="18" hidden="1" customHeight="1">
      <c r="A389" s="9"/>
      <c r="F389" s="429"/>
      <c r="H389" s="115"/>
      <c r="V389" s="10"/>
    </row>
    <row r="390" spans="1:22" ht="18" hidden="1" customHeight="1">
      <c r="A390" s="9"/>
      <c r="F390" s="429"/>
      <c r="H390" s="115"/>
      <c r="V390" s="10"/>
    </row>
    <row r="391" spans="1:22" ht="18" hidden="1" customHeight="1">
      <c r="A391" s="9"/>
      <c r="F391" s="429"/>
      <c r="H391" s="115"/>
      <c r="V391" s="10"/>
    </row>
    <row r="392" spans="1:22" ht="18" hidden="1" customHeight="1">
      <c r="A392" s="9"/>
      <c r="F392" s="429"/>
      <c r="H392" s="115"/>
      <c r="V392" s="10"/>
    </row>
    <row r="393" spans="1:22" ht="18" hidden="1" customHeight="1">
      <c r="A393" s="9"/>
      <c r="F393" s="429"/>
      <c r="H393" s="115"/>
      <c r="V393" s="10"/>
    </row>
    <row r="394" spans="1:22" ht="18" hidden="1" customHeight="1">
      <c r="A394" s="9"/>
      <c r="F394" s="429"/>
      <c r="H394" s="115"/>
      <c r="V394" s="10"/>
    </row>
    <row r="395" spans="1:22" ht="18" hidden="1" customHeight="1">
      <c r="A395" s="9"/>
      <c r="F395" s="429"/>
      <c r="H395" s="115"/>
      <c r="V395" s="10"/>
    </row>
    <row r="396" spans="1:22" ht="18" hidden="1" customHeight="1">
      <c r="A396" s="9"/>
      <c r="F396" s="429"/>
      <c r="H396" s="115"/>
      <c r="V396" s="10"/>
    </row>
    <row r="397" spans="1:22" ht="18" hidden="1" customHeight="1">
      <c r="A397" s="9"/>
      <c r="F397" s="429"/>
      <c r="H397" s="115"/>
      <c r="V397" s="10"/>
    </row>
    <row r="398" spans="1:22" ht="18" hidden="1" customHeight="1">
      <c r="A398" s="9"/>
      <c r="F398" s="429"/>
      <c r="H398" s="115"/>
      <c r="V398" s="10"/>
    </row>
    <row r="399" spans="1:22" ht="18" hidden="1" customHeight="1">
      <c r="A399" s="9"/>
      <c r="F399" s="429"/>
      <c r="H399" s="115"/>
      <c r="V399" s="10"/>
    </row>
    <row r="400" spans="1:22" ht="18" hidden="1" customHeight="1">
      <c r="A400" s="9"/>
      <c r="F400" s="429"/>
      <c r="H400" s="115"/>
      <c r="V400" s="10"/>
    </row>
    <row r="401" spans="1:22" ht="18" hidden="1" customHeight="1">
      <c r="A401" s="9"/>
      <c r="F401" s="429"/>
      <c r="H401" s="115"/>
      <c r="V401" s="10"/>
    </row>
    <row r="402" spans="1:22" ht="18" hidden="1" customHeight="1">
      <c r="A402" s="9"/>
      <c r="F402" s="429"/>
      <c r="H402" s="115"/>
      <c r="V402" s="10"/>
    </row>
    <row r="403" spans="1:22" ht="18" hidden="1" customHeight="1">
      <c r="A403" s="9"/>
      <c r="F403" s="429"/>
      <c r="H403" s="115"/>
      <c r="V403" s="10"/>
    </row>
    <row r="404" spans="1:22" ht="18" hidden="1" customHeight="1">
      <c r="A404" s="9"/>
      <c r="F404" s="429"/>
      <c r="H404" s="115"/>
      <c r="V404" s="10"/>
    </row>
    <row r="405" spans="1:22" ht="18" hidden="1" customHeight="1">
      <c r="A405" s="9"/>
      <c r="F405" s="429"/>
      <c r="H405" s="115"/>
      <c r="V405" s="10"/>
    </row>
    <row r="406" spans="1:22" ht="18" hidden="1" customHeight="1">
      <c r="A406" s="9"/>
      <c r="F406" s="429"/>
      <c r="H406" s="115"/>
      <c r="V406" s="10"/>
    </row>
    <row r="407" spans="1:22" ht="18" hidden="1" customHeight="1">
      <c r="A407" s="9"/>
      <c r="F407" s="429"/>
      <c r="H407" s="115"/>
      <c r="V407" s="10"/>
    </row>
    <row r="408" spans="1:22" ht="18" hidden="1" customHeight="1">
      <c r="A408" s="9"/>
      <c r="F408" s="429"/>
      <c r="H408" s="115"/>
      <c r="V408" s="10"/>
    </row>
    <row r="409" spans="1:22" ht="18" hidden="1" customHeight="1">
      <c r="A409" s="9"/>
      <c r="F409" s="429"/>
      <c r="H409" s="115"/>
      <c r="V409" s="10"/>
    </row>
    <row r="410" spans="1:22" ht="18" hidden="1" customHeight="1">
      <c r="A410" s="9"/>
      <c r="F410" s="429"/>
      <c r="H410" s="115"/>
      <c r="V410" s="10"/>
    </row>
    <row r="411" spans="1:22" ht="18" hidden="1" customHeight="1">
      <c r="A411" s="9"/>
      <c r="F411" s="429"/>
      <c r="H411" s="115"/>
      <c r="V411" s="10"/>
    </row>
    <row r="412" spans="1:22" ht="18" hidden="1" customHeight="1">
      <c r="A412" s="9"/>
      <c r="F412" s="429"/>
      <c r="H412" s="115"/>
      <c r="V412" s="10"/>
    </row>
    <row r="413" spans="1:22" ht="18" hidden="1" customHeight="1">
      <c r="A413" s="9"/>
      <c r="F413" s="429"/>
      <c r="H413" s="115"/>
      <c r="V413" s="10"/>
    </row>
    <row r="414" spans="1:22" ht="18" hidden="1" customHeight="1">
      <c r="A414" s="9"/>
      <c r="F414" s="429"/>
      <c r="H414" s="115"/>
      <c r="V414" s="10"/>
    </row>
    <row r="415" spans="1:22" ht="18" hidden="1" customHeight="1">
      <c r="A415" s="9"/>
      <c r="F415" s="429"/>
      <c r="H415" s="115"/>
      <c r="V415" s="10"/>
    </row>
    <row r="416" spans="1:22" ht="18" hidden="1" customHeight="1">
      <c r="A416" s="9"/>
      <c r="F416" s="429"/>
      <c r="H416" s="115"/>
      <c r="V416" s="10"/>
    </row>
    <row r="417" spans="1:22" ht="18" hidden="1" customHeight="1">
      <c r="A417" s="382"/>
      <c r="B417" s="20"/>
      <c r="C417" s="20"/>
      <c r="D417" s="20"/>
      <c r="E417" s="20"/>
      <c r="F417" s="20"/>
      <c r="G417" s="20"/>
      <c r="H417" s="20"/>
      <c r="I417" s="20"/>
      <c r="J417" s="20"/>
      <c r="K417" s="20"/>
      <c r="L417" s="20"/>
      <c r="M417" s="20"/>
      <c r="N417" s="20"/>
      <c r="O417" s="20"/>
      <c r="P417" s="20"/>
      <c r="Q417" s="21"/>
      <c r="R417" s="22"/>
      <c r="S417" s="23"/>
      <c r="T417" s="20"/>
      <c r="U417" s="20"/>
      <c r="V417" s="134" t="s">
        <v>552</v>
      </c>
    </row>
    <row r="418" spans="1:22" ht="18" customHeight="1">
      <c r="A418" s="442"/>
      <c r="B418" s="384"/>
      <c r="C418" s="384"/>
      <c r="D418" s="384"/>
      <c r="E418" s="384"/>
      <c r="F418" s="384"/>
      <c r="G418" s="384"/>
      <c r="H418" s="110"/>
      <c r="I418" s="384"/>
      <c r="J418" s="384"/>
      <c r="K418" s="384"/>
      <c r="L418" s="384"/>
      <c r="M418" s="384"/>
      <c r="N418" s="384"/>
      <c r="O418" s="384"/>
      <c r="P418" s="384"/>
      <c r="Q418" s="384"/>
      <c r="R418" s="384"/>
      <c r="S418" s="384"/>
      <c r="T418" s="384"/>
      <c r="U418" s="384"/>
      <c r="V418" s="395"/>
    </row>
    <row r="419" spans="1:22" ht="18" customHeight="1">
      <c r="A419" s="262" t="s">
        <v>532</v>
      </c>
      <c r="B419" s="7"/>
      <c r="C419" s="7"/>
      <c r="D419" s="124"/>
      <c r="E419" s="124"/>
      <c r="F419" s="115"/>
      <c r="G419" s="115"/>
      <c r="H419" s="7"/>
      <c r="I419" s="7"/>
      <c r="J419" s="7"/>
      <c r="K419" s="7"/>
      <c r="L419" s="7"/>
      <c r="M419" s="7"/>
      <c r="N419" s="7"/>
      <c r="O419" s="7"/>
      <c r="P419" s="121"/>
      <c r="Q419" s="124"/>
      <c r="R419" s="372"/>
      <c r="S419" s="449"/>
      <c r="T419" s="450"/>
      <c r="U419" s="7"/>
      <c r="V419" s="112"/>
    </row>
    <row r="420" spans="1:22" s="7" customFormat="1" ht="18" customHeight="1">
      <c r="A420" s="868" t="s">
        <v>85</v>
      </c>
      <c r="B420" s="868"/>
      <c r="C420" s="869"/>
      <c r="D420" s="868" t="s">
        <v>86</v>
      </c>
      <c r="E420" s="868"/>
      <c r="F420" s="868"/>
      <c r="G420" s="868" t="s">
        <v>87</v>
      </c>
      <c r="H420" s="868"/>
      <c r="I420" s="868" t="s">
        <v>88</v>
      </c>
      <c r="J420" s="868"/>
      <c r="K420" s="868" t="s">
        <v>502</v>
      </c>
      <c r="L420" s="868"/>
      <c r="M420" s="868" t="s">
        <v>503</v>
      </c>
      <c r="N420" s="868"/>
      <c r="O420" s="868" t="s">
        <v>504</v>
      </c>
      <c r="P420" s="868"/>
      <c r="Q420" s="868" t="s">
        <v>505</v>
      </c>
      <c r="R420" s="868"/>
      <c r="S420" s="868" t="s">
        <v>93</v>
      </c>
      <c r="T420" s="868"/>
      <c r="U420" s="868"/>
      <c r="V420" s="868"/>
    </row>
    <row r="421" spans="1:22" ht="18" customHeight="1">
      <c r="A421" s="868"/>
      <c r="B421" s="868"/>
      <c r="C421" s="869"/>
      <c r="D421" s="868"/>
      <c r="E421" s="868"/>
      <c r="F421" s="868"/>
      <c r="G421" s="868"/>
      <c r="H421" s="868"/>
      <c r="I421" s="868"/>
      <c r="J421" s="868"/>
      <c r="K421" s="868"/>
      <c r="L421" s="868"/>
      <c r="M421" s="868"/>
      <c r="N421" s="868"/>
      <c r="O421" s="868"/>
      <c r="P421" s="868"/>
      <c r="Q421" s="868"/>
      <c r="R421" s="868"/>
      <c r="S421" s="868"/>
      <c r="T421" s="868"/>
      <c r="U421" s="868"/>
      <c r="V421" s="868"/>
    </row>
    <row r="422" spans="1:22" ht="18" customHeight="1">
      <c r="A422" s="868"/>
      <c r="B422" s="868"/>
      <c r="C422" s="869"/>
      <c r="D422" s="868"/>
      <c r="E422" s="868"/>
      <c r="F422" s="868"/>
      <c r="G422" s="868"/>
      <c r="H422" s="868"/>
      <c r="I422" s="868"/>
      <c r="J422" s="868"/>
      <c r="K422" s="868"/>
      <c r="L422" s="868"/>
      <c r="M422" s="868"/>
      <c r="N422" s="868"/>
      <c r="O422" s="868"/>
      <c r="P422" s="868"/>
      <c r="Q422" s="868"/>
      <c r="R422" s="868"/>
      <c r="S422" s="868"/>
      <c r="T422" s="868"/>
      <c r="U422" s="868"/>
      <c r="V422" s="868"/>
    </row>
    <row r="423" spans="1:22" ht="18" customHeight="1">
      <c r="A423" s="868"/>
      <c r="B423" s="868"/>
      <c r="C423" s="869"/>
      <c r="D423" s="868"/>
      <c r="E423" s="868"/>
      <c r="F423" s="868"/>
      <c r="G423" s="868"/>
      <c r="H423" s="868"/>
      <c r="I423" s="868"/>
      <c r="J423" s="868"/>
      <c r="K423" s="868"/>
      <c r="L423" s="868"/>
      <c r="M423" s="868"/>
      <c r="N423" s="868"/>
      <c r="O423" s="868"/>
      <c r="P423" s="868"/>
      <c r="Q423" s="868"/>
      <c r="R423" s="868"/>
      <c r="S423" s="868"/>
      <c r="T423" s="868"/>
      <c r="U423" s="868"/>
      <c r="V423" s="868"/>
    </row>
    <row r="424" spans="1:22" ht="18" customHeight="1">
      <c r="A424" s="765" t="str">
        <f>B7</f>
        <v>T1</v>
      </c>
      <c r="B424" s="765" t="str">
        <f>D7</f>
        <v>Core2</v>
      </c>
      <c r="C424" s="765"/>
      <c r="D424" s="870">
        <f>H10</f>
        <v>3200</v>
      </c>
      <c r="E424" s="870"/>
      <c r="F424" s="871">
        <f>O10</f>
        <v>1</v>
      </c>
      <c r="G424" s="870">
        <f>'CT-VT Burdens'!S21</f>
        <v>120</v>
      </c>
      <c r="H424" s="874">
        <f>'CT-VT Burdens'!S10</f>
        <v>6</v>
      </c>
      <c r="I424" s="874" t="str">
        <f>H11</f>
        <v>PX</v>
      </c>
      <c r="J424" s="874"/>
      <c r="K424" s="869">
        <f>H12</f>
        <v>9.8000000000000007</v>
      </c>
      <c r="L424" s="869"/>
      <c r="M424" s="869">
        <f>H13</f>
        <v>2000</v>
      </c>
      <c r="N424" s="869"/>
      <c r="O424" s="870">
        <f>H14</f>
        <v>10</v>
      </c>
      <c r="P424" s="870"/>
      <c r="Q424" s="879" t="str">
        <f>IF(T8="",T7,IF(T9="",T7&amp;"  "&amp;T8,T7&amp;"+"&amp;T8&amp;"+"&amp;T9))</f>
        <v>7SL86</v>
      </c>
      <c r="R424" s="879"/>
      <c r="S424" s="878" t="str">
        <f>H106</f>
        <v>Suitably Dimensioned</v>
      </c>
      <c r="T424" s="878"/>
      <c r="U424" s="878"/>
      <c r="V424" s="878"/>
    </row>
    <row r="425" spans="1:22" ht="18" customHeight="1">
      <c r="A425" s="765"/>
      <c r="B425" s="765"/>
      <c r="C425" s="765"/>
      <c r="D425" s="870">
        <f>J10</f>
        <v>1800</v>
      </c>
      <c r="E425" s="870"/>
      <c r="F425" s="872"/>
      <c r="G425" s="870"/>
      <c r="H425" s="870"/>
      <c r="I425" s="874"/>
      <c r="J425" s="874"/>
      <c r="K425" s="875">
        <f>J165</f>
        <v>5.6</v>
      </c>
      <c r="L425" s="869"/>
      <c r="M425" s="875">
        <f>J166</f>
        <v>1250</v>
      </c>
      <c r="N425" s="869"/>
      <c r="O425" s="876">
        <f>J167</f>
        <v>20</v>
      </c>
      <c r="P425" s="870"/>
      <c r="Q425" s="879"/>
      <c r="R425" s="879"/>
      <c r="S425" s="878" t="str">
        <f>H257</f>
        <v>Suitably Dimentioned</v>
      </c>
      <c r="T425" s="878"/>
      <c r="U425" s="878"/>
      <c r="V425" s="878"/>
    </row>
    <row r="426" spans="1:22" ht="18" customHeight="1">
      <c r="A426" s="765"/>
      <c r="B426" s="765"/>
      <c r="C426" s="765"/>
      <c r="D426" s="870" t="str">
        <f>L10</f>
        <v>-</v>
      </c>
      <c r="E426" s="870"/>
      <c r="F426" s="873"/>
      <c r="G426" s="870"/>
      <c r="H426" s="870"/>
      <c r="I426" s="874"/>
      <c r="J426" s="874"/>
      <c r="K426" s="875" t="s">
        <v>6</v>
      </c>
      <c r="L426" s="869"/>
      <c r="M426" s="875" t="s">
        <v>6</v>
      </c>
      <c r="N426" s="869"/>
      <c r="O426" s="876" t="s">
        <v>6</v>
      </c>
      <c r="P426" s="870"/>
      <c r="Q426" s="879"/>
      <c r="R426" s="879"/>
      <c r="S426" s="878" t="s">
        <v>6</v>
      </c>
      <c r="T426" s="878"/>
      <c r="U426" s="878"/>
      <c r="V426" s="878"/>
    </row>
    <row r="427" spans="1:22" ht="18" customHeight="1">
      <c r="A427" s="9"/>
      <c r="H427" s="115"/>
      <c r="V427" s="10"/>
    </row>
    <row r="428" spans="1:22" ht="18" customHeight="1">
      <c r="A428" s="9"/>
      <c r="H428" s="115"/>
      <c r="V428" s="10"/>
    </row>
    <row r="429" spans="1:22" ht="18" customHeight="1">
      <c r="A429" s="9"/>
      <c r="H429" s="115"/>
      <c r="V429" s="10"/>
    </row>
    <row r="430" spans="1:22" ht="18" customHeight="1">
      <c r="A430" s="9"/>
      <c r="H430" s="115"/>
      <c r="V430" s="10"/>
    </row>
    <row r="431" spans="1:22" ht="18" customHeight="1">
      <c r="A431" s="9"/>
      <c r="H431" s="115"/>
      <c r="V431" s="10"/>
    </row>
    <row r="432" spans="1:22" ht="18" customHeight="1">
      <c r="A432" s="9"/>
      <c r="H432" s="115"/>
      <c r="V432" s="10"/>
    </row>
    <row r="433" spans="1:22" ht="18" customHeight="1">
      <c r="A433" s="9"/>
      <c r="H433" s="115"/>
      <c r="V433" s="10"/>
    </row>
    <row r="434" spans="1:22" ht="18" customHeight="1">
      <c r="A434" s="9"/>
      <c r="H434" s="115"/>
      <c r="V434" s="10"/>
    </row>
    <row r="435" spans="1:22" ht="18" customHeight="1">
      <c r="A435" s="9"/>
      <c r="H435" s="115"/>
      <c r="V435" s="10"/>
    </row>
    <row r="436" spans="1:22" ht="18" customHeight="1">
      <c r="A436" s="9"/>
      <c r="H436" s="115"/>
      <c r="V436" s="10"/>
    </row>
    <row r="437" spans="1:22" ht="18" customHeight="1">
      <c r="A437" s="9"/>
      <c r="H437" s="115"/>
      <c r="V437" s="10"/>
    </row>
    <row r="438" spans="1:22" ht="18" customHeight="1">
      <c r="A438" s="9"/>
      <c r="H438" s="115"/>
      <c r="V438" s="10"/>
    </row>
    <row r="439" spans="1:22" ht="18" customHeight="1">
      <c r="A439" s="9"/>
      <c r="H439" s="115"/>
      <c r="V439" s="10"/>
    </row>
    <row r="440" spans="1:22" ht="18" customHeight="1">
      <c r="A440" s="9"/>
      <c r="H440" s="115"/>
      <c r="V440" s="10"/>
    </row>
    <row r="441" spans="1:22" ht="18" customHeight="1">
      <c r="A441" s="9"/>
      <c r="H441" s="115"/>
      <c r="V441" s="10"/>
    </row>
    <row r="442" spans="1:22" ht="18" customHeight="1">
      <c r="A442" s="9"/>
      <c r="H442" s="115"/>
      <c r="V442" s="10"/>
    </row>
    <row r="443" spans="1:22" ht="18" customHeight="1">
      <c r="A443" s="9"/>
      <c r="H443" s="115"/>
      <c r="V443" s="10"/>
    </row>
    <row r="444" spans="1:22" ht="18" customHeight="1">
      <c r="A444" s="9"/>
      <c r="H444" s="115"/>
      <c r="V444" s="10"/>
    </row>
    <row r="445" spans="1:22" ht="18" customHeight="1">
      <c r="A445" s="9"/>
      <c r="H445" s="115"/>
      <c r="V445" s="10"/>
    </row>
    <row r="446" spans="1:22" ht="18" customHeight="1">
      <c r="A446" s="9"/>
      <c r="H446" s="115"/>
      <c r="V446" s="10"/>
    </row>
    <row r="447" spans="1:22" ht="18" customHeight="1">
      <c r="A447" s="9"/>
      <c r="H447" s="115"/>
      <c r="V447" s="10"/>
    </row>
    <row r="448" spans="1:22" ht="18" customHeight="1">
      <c r="A448" s="9"/>
      <c r="H448" s="115"/>
      <c r="V448" s="10"/>
    </row>
    <row r="449" spans="1:22" ht="18" customHeight="1">
      <c r="A449" s="9"/>
      <c r="H449" s="115"/>
      <c r="V449" s="10"/>
    </row>
    <row r="450" spans="1:22" ht="18" customHeight="1">
      <c r="A450" s="9"/>
      <c r="H450" s="115"/>
      <c r="V450" s="10"/>
    </row>
    <row r="451" spans="1:22" ht="18" customHeight="1">
      <c r="A451" s="9"/>
      <c r="H451" s="115"/>
      <c r="V451" s="10"/>
    </row>
    <row r="452" spans="1:22" ht="18" customHeight="1">
      <c r="A452" s="9"/>
      <c r="H452" s="115"/>
      <c r="V452" s="10"/>
    </row>
    <row r="453" spans="1:22" ht="18" customHeight="1">
      <c r="A453" s="9"/>
      <c r="H453" s="115"/>
      <c r="V453" s="10"/>
    </row>
    <row r="454" spans="1:22" ht="18" customHeight="1">
      <c r="A454" s="9"/>
      <c r="H454" s="115"/>
      <c r="V454" s="10"/>
    </row>
    <row r="455" spans="1:22" ht="18" customHeight="1">
      <c r="A455" s="9"/>
      <c r="H455" s="115"/>
      <c r="V455" s="10"/>
    </row>
    <row r="456" spans="1:22" ht="18" customHeight="1">
      <c r="A456" s="9"/>
      <c r="V456" s="10"/>
    </row>
    <row r="457" spans="1:22" ht="18" customHeight="1">
      <c r="A457" s="382"/>
      <c r="B457" s="20"/>
      <c r="C457" s="20"/>
      <c r="D457" s="20"/>
      <c r="E457" s="20"/>
      <c r="F457" s="20"/>
      <c r="G457" s="20"/>
      <c r="H457" s="20"/>
      <c r="I457" s="20"/>
      <c r="J457" s="20"/>
      <c r="K457" s="20"/>
      <c r="L457" s="20"/>
      <c r="M457" s="20"/>
      <c r="N457" s="20"/>
      <c r="O457" s="20"/>
      <c r="P457" s="20"/>
      <c r="Q457" s="21"/>
      <c r="R457" s="22"/>
      <c r="S457" s="23"/>
      <c r="T457" s="20"/>
      <c r="U457" s="20"/>
      <c r="V457" s="134"/>
    </row>
    <row r="460" spans="1:22" s="7" customFormat="1" ht="18" customHeight="1">
      <c r="A460"/>
      <c r="B460"/>
      <c r="C460"/>
      <c r="D460"/>
      <c r="E460"/>
      <c r="F460"/>
      <c r="G460"/>
      <c r="H460"/>
      <c r="I460"/>
      <c r="J460"/>
      <c r="K460"/>
      <c r="L460"/>
      <c r="M460"/>
      <c r="N460"/>
      <c r="O460"/>
      <c r="P460"/>
      <c r="Q460"/>
      <c r="R460"/>
      <c r="S460"/>
      <c r="T460"/>
      <c r="U460"/>
      <c r="V460"/>
    </row>
  </sheetData>
  <dataConsolidate/>
  <mergeCells count="636">
    <mergeCell ref="A5:B5"/>
    <mergeCell ref="D5:F5"/>
    <mergeCell ref="H5:N5"/>
    <mergeCell ref="O5:Q5"/>
    <mergeCell ref="R5:V5"/>
    <mergeCell ref="H3:N4"/>
    <mergeCell ref="O3:Q3"/>
    <mergeCell ref="R3:V3"/>
    <mergeCell ref="O4:Q4"/>
    <mergeCell ref="R4:V4"/>
    <mergeCell ref="AB13:AC13"/>
    <mergeCell ref="H1:N1"/>
    <mergeCell ref="O1:Q1"/>
    <mergeCell ref="R1:V1"/>
    <mergeCell ref="H2:N2"/>
    <mergeCell ref="O2:Q2"/>
    <mergeCell ref="R2:V2"/>
    <mergeCell ref="T8:U8"/>
    <mergeCell ref="H9:I9"/>
    <mergeCell ref="J9:K9"/>
    <mergeCell ref="L9:M9"/>
    <mergeCell ref="T9:U9"/>
    <mergeCell ref="H10:I10"/>
    <mergeCell ref="J10:K10"/>
    <mergeCell ref="L10:M10"/>
    <mergeCell ref="F7:G7"/>
    <mergeCell ref="H7:M7"/>
    <mergeCell ref="T7:U7"/>
    <mergeCell ref="J19:K19"/>
    <mergeCell ref="J20:K20"/>
    <mergeCell ref="J21:K21"/>
    <mergeCell ref="J22:K22"/>
    <mergeCell ref="D27:E27"/>
    <mergeCell ref="O27:P27"/>
    <mergeCell ref="H11:I11"/>
    <mergeCell ref="H12:I12"/>
    <mergeCell ref="H13:I13"/>
    <mergeCell ref="H14:I14"/>
    <mergeCell ref="J18:K18"/>
    <mergeCell ref="Q34:Q35"/>
    <mergeCell ref="R34:R35"/>
    <mergeCell ref="S34:S35"/>
    <mergeCell ref="U34:U35"/>
    <mergeCell ref="M29:N29"/>
    <mergeCell ref="P29:Q29"/>
    <mergeCell ref="S29:T29"/>
    <mergeCell ref="A30:V31"/>
    <mergeCell ref="B34:B35"/>
    <mergeCell ref="C34:C35"/>
    <mergeCell ref="G34:G35"/>
    <mergeCell ref="H34:H35"/>
    <mergeCell ref="I34:M34"/>
    <mergeCell ref="N34:N35"/>
    <mergeCell ref="I35:J35"/>
    <mergeCell ref="L35:M35"/>
    <mergeCell ref="B37:B38"/>
    <mergeCell ref="C37:C38"/>
    <mergeCell ref="G37:G38"/>
    <mergeCell ref="H37:H38"/>
    <mergeCell ref="I37:M37"/>
    <mergeCell ref="O34:O35"/>
    <mergeCell ref="P34:P35"/>
    <mergeCell ref="B41:B42"/>
    <mergeCell ref="C41:C42"/>
    <mergeCell ref="G41:G42"/>
    <mergeCell ref="H41:H42"/>
    <mergeCell ref="I41:M41"/>
    <mergeCell ref="N41:N42"/>
    <mergeCell ref="O41:O42"/>
    <mergeCell ref="N37:N38"/>
    <mergeCell ref="O37:O38"/>
    <mergeCell ref="P41:P42"/>
    <mergeCell ref="Q41:Q42"/>
    <mergeCell ref="R41:R42"/>
    <mergeCell ref="S41:S42"/>
    <mergeCell ref="U41:U42"/>
    <mergeCell ref="I42:J42"/>
    <mergeCell ref="L42:M42"/>
    <mergeCell ref="U37:U38"/>
    <mergeCell ref="I38:J38"/>
    <mergeCell ref="L38:M38"/>
    <mergeCell ref="P37:P38"/>
    <mergeCell ref="Q37:Q38"/>
    <mergeCell ref="R37:R38"/>
    <mergeCell ref="S37:S38"/>
    <mergeCell ref="U44:U45"/>
    <mergeCell ref="B44:B45"/>
    <mergeCell ref="C44:C45"/>
    <mergeCell ref="G44:G45"/>
    <mergeCell ref="H44:H45"/>
    <mergeCell ref="I44:M44"/>
    <mergeCell ref="N44:N45"/>
    <mergeCell ref="I45:J45"/>
    <mergeCell ref="L45:M45"/>
    <mergeCell ref="S47:T47"/>
    <mergeCell ref="S48:T48"/>
    <mergeCell ref="S49:T49"/>
    <mergeCell ref="S50:T50"/>
    <mergeCell ref="S51:T51"/>
    <mergeCell ref="S52:T52"/>
    <mergeCell ref="O44:O45"/>
    <mergeCell ref="P44:P45"/>
    <mergeCell ref="Q44:Q45"/>
    <mergeCell ref="R44:R45"/>
    <mergeCell ref="S44:S45"/>
    <mergeCell ref="S53:T53"/>
    <mergeCell ref="S54:T54"/>
    <mergeCell ref="S55:T55"/>
    <mergeCell ref="S56:T56"/>
    <mergeCell ref="S57:T57"/>
    <mergeCell ref="B71:B72"/>
    <mergeCell ref="C71:C72"/>
    <mergeCell ref="G71:G72"/>
    <mergeCell ref="H71:H72"/>
    <mergeCell ref="I71:M71"/>
    <mergeCell ref="U71:U72"/>
    <mergeCell ref="I72:J72"/>
    <mergeCell ref="L72:M72"/>
    <mergeCell ref="D73:E73"/>
    <mergeCell ref="B75:B76"/>
    <mergeCell ref="C75:C76"/>
    <mergeCell ref="G75:G76"/>
    <mergeCell ref="H75:H76"/>
    <mergeCell ref="I75:M75"/>
    <mergeCell ref="N75:N76"/>
    <mergeCell ref="N71:N72"/>
    <mergeCell ref="O71:O72"/>
    <mergeCell ref="P71:P72"/>
    <mergeCell ref="Q71:Q72"/>
    <mergeCell ref="R71:R72"/>
    <mergeCell ref="S71:S72"/>
    <mergeCell ref="Q82:Q83"/>
    <mergeCell ref="R82:R83"/>
    <mergeCell ref="S82:S83"/>
    <mergeCell ref="U82:U83"/>
    <mergeCell ref="I76:J76"/>
    <mergeCell ref="L76:M76"/>
    <mergeCell ref="D77:E77"/>
    <mergeCell ref="O81:P81"/>
    <mergeCell ref="B82:B83"/>
    <mergeCell ref="C82:C83"/>
    <mergeCell ref="G82:G83"/>
    <mergeCell ref="H82:H83"/>
    <mergeCell ref="I82:M82"/>
    <mergeCell ref="N82:N83"/>
    <mergeCell ref="O75:O76"/>
    <mergeCell ref="P75:P76"/>
    <mergeCell ref="Q75:Q76"/>
    <mergeCell ref="R75:R76"/>
    <mergeCell ref="S75:S76"/>
    <mergeCell ref="U75:U76"/>
    <mergeCell ref="I83:J83"/>
    <mergeCell ref="L83:M83"/>
    <mergeCell ref="D84:E84"/>
    <mergeCell ref="H88:J88"/>
    <mergeCell ref="O89:P89"/>
    <mergeCell ref="B90:B91"/>
    <mergeCell ref="C90:C91"/>
    <mergeCell ref="G90:G91"/>
    <mergeCell ref="H90:H91"/>
    <mergeCell ref="I90:M90"/>
    <mergeCell ref="O82:O83"/>
    <mergeCell ref="P82:P83"/>
    <mergeCell ref="U90:U91"/>
    <mergeCell ref="I91:J91"/>
    <mergeCell ref="L91:M91"/>
    <mergeCell ref="D92:E92"/>
    <mergeCell ref="H96:J96"/>
    <mergeCell ref="O97:P97"/>
    <mergeCell ref="N90:N91"/>
    <mergeCell ref="O90:O91"/>
    <mergeCell ref="P90:P91"/>
    <mergeCell ref="Q90:Q91"/>
    <mergeCell ref="R90:R91"/>
    <mergeCell ref="S90:S91"/>
    <mergeCell ref="O98:O99"/>
    <mergeCell ref="P98:P99"/>
    <mergeCell ref="Q98:Q99"/>
    <mergeCell ref="R98:R99"/>
    <mergeCell ref="S98:S99"/>
    <mergeCell ref="U98:U99"/>
    <mergeCell ref="B98:B99"/>
    <mergeCell ref="C98:C99"/>
    <mergeCell ref="G98:G99"/>
    <mergeCell ref="H98:H99"/>
    <mergeCell ref="I98:M98"/>
    <mergeCell ref="N98:N99"/>
    <mergeCell ref="I99:J99"/>
    <mergeCell ref="L99:M99"/>
    <mergeCell ref="A131:C132"/>
    <mergeCell ref="D131:D132"/>
    <mergeCell ref="E131:E132"/>
    <mergeCell ref="F131:G132"/>
    <mergeCell ref="H131:H132"/>
    <mergeCell ref="I131:J131"/>
    <mergeCell ref="D100:E100"/>
    <mergeCell ref="M102:N102"/>
    <mergeCell ref="Q102:R102"/>
    <mergeCell ref="E105:F105"/>
    <mergeCell ref="H105:I105"/>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F160:G160"/>
    <mergeCell ref="H160:M160"/>
    <mergeCell ref="T160:U160"/>
    <mergeCell ref="T161:U161"/>
    <mergeCell ref="B160:C160"/>
    <mergeCell ref="D147:E147"/>
    <mergeCell ref="Q151:R151"/>
    <mergeCell ref="Q152:R152"/>
    <mergeCell ref="Q153:R153"/>
    <mergeCell ref="E155:F155"/>
    <mergeCell ref="H155:I155"/>
    <mergeCell ref="AB166:AC166"/>
    <mergeCell ref="J167:K167"/>
    <mergeCell ref="J171:K171"/>
    <mergeCell ref="H162:I162"/>
    <mergeCell ref="J162:K162"/>
    <mergeCell ref="L162:M162"/>
    <mergeCell ref="T162:U162"/>
    <mergeCell ref="H163:I163"/>
    <mergeCell ref="J163:K163"/>
    <mergeCell ref="L163:M163"/>
    <mergeCell ref="J172:K172"/>
    <mergeCell ref="J173:K173"/>
    <mergeCell ref="J174:K174"/>
    <mergeCell ref="J175:K175"/>
    <mergeCell ref="D180:E180"/>
    <mergeCell ref="O180:P180"/>
    <mergeCell ref="J164:K164"/>
    <mergeCell ref="J165:K165"/>
    <mergeCell ref="J166:K166"/>
    <mergeCell ref="Q186:Q187"/>
    <mergeCell ref="R186:R187"/>
    <mergeCell ref="S186:S187"/>
    <mergeCell ref="U186:U187"/>
    <mergeCell ref="M181:N181"/>
    <mergeCell ref="P181:Q181"/>
    <mergeCell ref="S181:T181"/>
    <mergeCell ref="A182:V183"/>
    <mergeCell ref="B186:B187"/>
    <mergeCell ref="C186:C187"/>
    <mergeCell ref="G186:G187"/>
    <mergeCell ref="H186:H187"/>
    <mergeCell ref="I186:M186"/>
    <mergeCell ref="N186:N187"/>
    <mergeCell ref="I187:J187"/>
    <mergeCell ref="L187:M187"/>
    <mergeCell ref="B189:B190"/>
    <mergeCell ref="C189:C190"/>
    <mergeCell ref="G189:G190"/>
    <mergeCell ref="H189:H190"/>
    <mergeCell ref="I189:M189"/>
    <mergeCell ref="O186:O187"/>
    <mergeCell ref="P186:P187"/>
    <mergeCell ref="B193:B194"/>
    <mergeCell ref="C193:C194"/>
    <mergeCell ref="G193:G194"/>
    <mergeCell ref="H193:H194"/>
    <mergeCell ref="I193:M193"/>
    <mergeCell ref="N193:N194"/>
    <mergeCell ref="O193:O194"/>
    <mergeCell ref="N189:N190"/>
    <mergeCell ref="O189:O190"/>
    <mergeCell ref="P193:P194"/>
    <mergeCell ref="Q193:Q194"/>
    <mergeCell ref="R193:R194"/>
    <mergeCell ref="S193:S194"/>
    <mergeCell ref="U193:U194"/>
    <mergeCell ref="I194:J194"/>
    <mergeCell ref="L194:M194"/>
    <mergeCell ref="U189:U190"/>
    <mergeCell ref="I190:J190"/>
    <mergeCell ref="L190:M190"/>
    <mergeCell ref="P189:P190"/>
    <mergeCell ref="Q189:Q190"/>
    <mergeCell ref="R189:R190"/>
    <mergeCell ref="S189:S190"/>
    <mergeCell ref="U196:U197"/>
    <mergeCell ref="B196:B197"/>
    <mergeCell ref="C196:C197"/>
    <mergeCell ref="G196:G197"/>
    <mergeCell ref="H196:H197"/>
    <mergeCell ref="I196:M196"/>
    <mergeCell ref="N196:N197"/>
    <mergeCell ref="I197:J197"/>
    <mergeCell ref="L197:M197"/>
    <mergeCell ref="S200:T200"/>
    <mergeCell ref="S201:T201"/>
    <mergeCell ref="S202:T202"/>
    <mergeCell ref="S203:T203"/>
    <mergeCell ref="S204:T204"/>
    <mergeCell ref="S205:T205"/>
    <mergeCell ref="O196:O197"/>
    <mergeCell ref="P196:P197"/>
    <mergeCell ref="Q196:Q197"/>
    <mergeCell ref="R196:R197"/>
    <mergeCell ref="S196:S197"/>
    <mergeCell ref="S206:T206"/>
    <mergeCell ref="S207:T207"/>
    <mergeCell ref="S208:T208"/>
    <mergeCell ref="S209:T209"/>
    <mergeCell ref="S210:T210"/>
    <mergeCell ref="B224:B225"/>
    <mergeCell ref="C224:C225"/>
    <mergeCell ref="G224:G225"/>
    <mergeCell ref="H224:H225"/>
    <mergeCell ref="I224:M224"/>
    <mergeCell ref="U224:U225"/>
    <mergeCell ref="I225:J225"/>
    <mergeCell ref="L225:M225"/>
    <mergeCell ref="D226:E226"/>
    <mergeCell ref="B228:B229"/>
    <mergeCell ref="C228:C229"/>
    <mergeCell ref="G228:G229"/>
    <mergeCell ref="H228:H229"/>
    <mergeCell ref="I228:M228"/>
    <mergeCell ref="N228:N229"/>
    <mergeCell ref="N224:N225"/>
    <mergeCell ref="O224:O225"/>
    <mergeCell ref="P224:P225"/>
    <mergeCell ref="Q224:Q225"/>
    <mergeCell ref="R224:R225"/>
    <mergeCell ref="S224:S225"/>
    <mergeCell ref="Q235:Q236"/>
    <mergeCell ref="R235:R236"/>
    <mergeCell ref="S235:S236"/>
    <mergeCell ref="U235:U236"/>
    <mergeCell ref="I229:J229"/>
    <mergeCell ref="L229:M229"/>
    <mergeCell ref="D230:E230"/>
    <mergeCell ref="O234:P234"/>
    <mergeCell ref="B235:B236"/>
    <mergeCell ref="C235:C236"/>
    <mergeCell ref="G235:G236"/>
    <mergeCell ref="H235:H236"/>
    <mergeCell ref="I235:M235"/>
    <mergeCell ref="N235:N236"/>
    <mergeCell ref="O228:O229"/>
    <mergeCell ref="P228:P229"/>
    <mergeCell ref="Q228:Q229"/>
    <mergeCell ref="R228:R229"/>
    <mergeCell ref="S228:S229"/>
    <mergeCell ref="U228:U229"/>
    <mergeCell ref="I236:J236"/>
    <mergeCell ref="L236:M236"/>
    <mergeCell ref="D237:E237"/>
    <mergeCell ref="H240:J240"/>
    <mergeCell ref="O241:P241"/>
    <mergeCell ref="B242:B243"/>
    <mergeCell ref="C242:C243"/>
    <mergeCell ref="G242:G243"/>
    <mergeCell ref="H242:H243"/>
    <mergeCell ref="I242:M242"/>
    <mergeCell ref="O235:O236"/>
    <mergeCell ref="P235:P236"/>
    <mergeCell ref="U242:U243"/>
    <mergeCell ref="I243:J243"/>
    <mergeCell ref="L243:M243"/>
    <mergeCell ref="D244:E244"/>
    <mergeCell ref="H247:J247"/>
    <mergeCell ref="O248:P248"/>
    <mergeCell ref="N242:N243"/>
    <mergeCell ref="O242:O243"/>
    <mergeCell ref="P242:P243"/>
    <mergeCell ref="Q242:Q243"/>
    <mergeCell ref="R242:R243"/>
    <mergeCell ref="S242:S243"/>
    <mergeCell ref="O249:O250"/>
    <mergeCell ref="P249:P250"/>
    <mergeCell ref="Q249:Q250"/>
    <mergeCell ref="R249:R250"/>
    <mergeCell ref="S249:S250"/>
    <mergeCell ref="U249:U250"/>
    <mergeCell ref="B249:B250"/>
    <mergeCell ref="C249:C250"/>
    <mergeCell ref="G249:G250"/>
    <mergeCell ref="H249:H250"/>
    <mergeCell ref="I249:M249"/>
    <mergeCell ref="N249:N250"/>
    <mergeCell ref="I250:J250"/>
    <mergeCell ref="L250:M250"/>
    <mergeCell ref="D251:E251"/>
    <mergeCell ref="M253:N253"/>
    <mergeCell ref="Q253:R253"/>
    <mergeCell ref="E256:F256"/>
    <mergeCell ref="H256:I256"/>
    <mergeCell ref="B280:C280"/>
    <mergeCell ref="D280:E281"/>
    <mergeCell ref="F280:G280"/>
    <mergeCell ref="H280:M280"/>
    <mergeCell ref="H283:I283"/>
    <mergeCell ref="J283:K283"/>
    <mergeCell ref="L283:M283"/>
    <mergeCell ref="L284:M284"/>
    <mergeCell ref="L285:M285"/>
    <mergeCell ref="L286:M286"/>
    <mergeCell ref="T280:U280"/>
    <mergeCell ref="B281:C281"/>
    <mergeCell ref="T281:U281"/>
    <mergeCell ref="H282:I282"/>
    <mergeCell ref="J282:K282"/>
    <mergeCell ref="L282:M282"/>
    <mergeCell ref="T282:U282"/>
    <mergeCell ref="J295:K295"/>
    <mergeCell ref="D300:E300"/>
    <mergeCell ref="O300:P300"/>
    <mergeCell ref="M302:N302"/>
    <mergeCell ref="P302:Q302"/>
    <mergeCell ref="S302:T302"/>
    <mergeCell ref="AB286:AC286"/>
    <mergeCell ref="L287:M287"/>
    <mergeCell ref="J291:K291"/>
    <mergeCell ref="J292:K292"/>
    <mergeCell ref="J293:K293"/>
    <mergeCell ref="J294:K294"/>
    <mergeCell ref="A303:V304"/>
    <mergeCell ref="B307:B308"/>
    <mergeCell ref="C307:C308"/>
    <mergeCell ref="G307:G308"/>
    <mergeCell ref="H307:H308"/>
    <mergeCell ref="I307:M307"/>
    <mergeCell ref="N307:N308"/>
    <mergeCell ref="O307:O308"/>
    <mergeCell ref="P307:P308"/>
    <mergeCell ref="Q307:Q308"/>
    <mergeCell ref="R307:R308"/>
    <mergeCell ref="S307:S308"/>
    <mergeCell ref="U307:U308"/>
    <mergeCell ref="I308:J308"/>
    <mergeCell ref="L308:M308"/>
    <mergeCell ref="B310:B311"/>
    <mergeCell ref="C310:C311"/>
    <mergeCell ref="G310:G311"/>
    <mergeCell ref="H310:H311"/>
    <mergeCell ref="I310:M310"/>
    <mergeCell ref="B314:B315"/>
    <mergeCell ref="C314:C315"/>
    <mergeCell ref="G314:G315"/>
    <mergeCell ref="H314:H315"/>
    <mergeCell ref="I314:M314"/>
    <mergeCell ref="I315:J315"/>
    <mergeCell ref="L315:M315"/>
    <mergeCell ref="I311:J311"/>
    <mergeCell ref="L311:M311"/>
    <mergeCell ref="N314:N315"/>
    <mergeCell ref="O314:O315"/>
    <mergeCell ref="N310:N311"/>
    <mergeCell ref="O310:O311"/>
    <mergeCell ref="P314:P315"/>
    <mergeCell ref="Q314:Q315"/>
    <mergeCell ref="R314:R315"/>
    <mergeCell ref="S314:S315"/>
    <mergeCell ref="U314:U315"/>
    <mergeCell ref="U310:U311"/>
    <mergeCell ref="P310:P311"/>
    <mergeCell ref="Q310:Q311"/>
    <mergeCell ref="R310:R311"/>
    <mergeCell ref="S310:S311"/>
    <mergeCell ref="U318:U319"/>
    <mergeCell ref="B318:B319"/>
    <mergeCell ref="C318:C319"/>
    <mergeCell ref="G318:G319"/>
    <mergeCell ref="H318:H319"/>
    <mergeCell ref="I318:M318"/>
    <mergeCell ref="N318:N319"/>
    <mergeCell ref="I319:J319"/>
    <mergeCell ref="L319:M319"/>
    <mergeCell ref="S328:T328"/>
    <mergeCell ref="S329:T329"/>
    <mergeCell ref="S330:T330"/>
    <mergeCell ref="S331:T331"/>
    <mergeCell ref="S332:T332"/>
    <mergeCell ref="S333:T333"/>
    <mergeCell ref="O318:O319"/>
    <mergeCell ref="P318:P319"/>
    <mergeCell ref="Q318:Q319"/>
    <mergeCell ref="R318:R319"/>
    <mergeCell ref="S318:S319"/>
    <mergeCell ref="S334:T334"/>
    <mergeCell ref="S335:T335"/>
    <mergeCell ref="S336:T336"/>
    <mergeCell ref="S337:T337"/>
    <mergeCell ref="S338:T338"/>
    <mergeCell ref="B352:B353"/>
    <mergeCell ref="C352:C353"/>
    <mergeCell ref="G352:G353"/>
    <mergeCell ref="H352:H353"/>
    <mergeCell ref="I352:M352"/>
    <mergeCell ref="U352:U353"/>
    <mergeCell ref="I353:J353"/>
    <mergeCell ref="L353:M353"/>
    <mergeCell ref="D354:E354"/>
    <mergeCell ref="B356:B357"/>
    <mergeCell ref="C356:C357"/>
    <mergeCell ref="G356:G357"/>
    <mergeCell ref="H356:H357"/>
    <mergeCell ref="I356:M356"/>
    <mergeCell ref="N356:N357"/>
    <mergeCell ref="N352:N353"/>
    <mergeCell ref="O352:O353"/>
    <mergeCell ref="P352:P353"/>
    <mergeCell ref="Q352:Q353"/>
    <mergeCell ref="R352:R353"/>
    <mergeCell ref="S352:S353"/>
    <mergeCell ref="Q363:Q364"/>
    <mergeCell ref="R363:R364"/>
    <mergeCell ref="S363:S364"/>
    <mergeCell ref="U363:U364"/>
    <mergeCell ref="I357:J357"/>
    <mergeCell ref="L357:M357"/>
    <mergeCell ref="D358:E358"/>
    <mergeCell ref="O362:P362"/>
    <mergeCell ref="B363:B364"/>
    <mergeCell ref="C363:C364"/>
    <mergeCell ref="G363:G364"/>
    <mergeCell ref="H363:H364"/>
    <mergeCell ref="I363:M363"/>
    <mergeCell ref="N363:N364"/>
    <mergeCell ref="O356:O357"/>
    <mergeCell ref="P356:P357"/>
    <mergeCell ref="Q356:Q357"/>
    <mergeCell ref="R356:R357"/>
    <mergeCell ref="S356:S357"/>
    <mergeCell ref="U356:U357"/>
    <mergeCell ref="I364:J364"/>
    <mergeCell ref="L364:M364"/>
    <mergeCell ref="D365:E365"/>
    <mergeCell ref="H367:J367"/>
    <mergeCell ref="O368:P368"/>
    <mergeCell ref="B369:B370"/>
    <mergeCell ref="C369:C370"/>
    <mergeCell ref="G369:G370"/>
    <mergeCell ref="H369:H370"/>
    <mergeCell ref="I369:M369"/>
    <mergeCell ref="O363:O364"/>
    <mergeCell ref="P363:P364"/>
    <mergeCell ref="U369:U370"/>
    <mergeCell ref="I370:J370"/>
    <mergeCell ref="L370:M370"/>
    <mergeCell ref="D371:E371"/>
    <mergeCell ref="H375:J375"/>
    <mergeCell ref="O376:P376"/>
    <mergeCell ref="N369:N370"/>
    <mergeCell ref="O369:O370"/>
    <mergeCell ref="P369:P370"/>
    <mergeCell ref="Q369:Q370"/>
    <mergeCell ref="R369:R370"/>
    <mergeCell ref="S369:S370"/>
    <mergeCell ref="K420:L423"/>
    <mergeCell ref="O377:O378"/>
    <mergeCell ref="P377:P378"/>
    <mergeCell ref="Q377:Q378"/>
    <mergeCell ref="R377:R378"/>
    <mergeCell ref="S377:S378"/>
    <mergeCell ref="U377:U378"/>
    <mergeCell ref="B377:B378"/>
    <mergeCell ref="C377:C378"/>
    <mergeCell ref="G377:G378"/>
    <mergeCell ref="H377:H378"/>
    <mergeCell ref="I377:M377"/>
    <mergeCell ref="N377:N378"/>
    <mergeCell ref="I378:J378"/>
    <mergeCell ref="L378:M378"/>
    <mergeCell ref="D426:E426"/>
    <mergeCell ref="K426:L426"/>
    <mergeCell ref="M426:N426"/>
    <mergeCell ref="O426:P426"/>
    <mergeCell ref="S426:V426"/>
    <mergeCell ref="I424:J426"/>
    <mergeCell ref="K424:L424"/>
    <mergeCell ref="M424:N424"/>
    <mergeCell ref="O424:P424"/>
    <mergeCell ref="Q424:R426"/>
    <mergeCell ref="S424:V424"/>
    <mergeCell ref="D424:E424"/>
    <mergeCell ref="F424:F426"/>
    <mergeCell ref="G424:G426"/>
    <mergeCell ref="H424:H426"/>
    <mergeCell ref="B7:C7"/>
    <mergeCell ref="D7:E7"/>
    <mergeCell ref="D160:E160"/>
    <mergeCell ref="A1:G4"/>
    <mergeCell ref="D425:E425"/>
    <mergeCell ref="K425:L425"/>
    <mergeCell ref="M425:N425"/>
    <mergeCell ref="O425:P425"/>
    <mergeCell ref="S425:V425"/>
    <mergeCell ref="M420:N423"/>
    <mergeCell ref="O420:P423"/>
    <mergeCell ref="Q420:R423"/>
    <mergeCell ref="S420:V423"/>
    <mergeCell ref="A424:A426"/>
    <mergeCell ref="B424:C426"/>
    <mergeCell ref="D379:E379"/>
    <mergeCell ref="M381:N381"/>
    <mergeCell ref="Q381:R381"/>
    <mergeCell ref="E384:F384"/>
    <mergeCell ref="H384:I384"/>
    <mergeCell ref="A420:C423"/>
    <mergeCell ref="D420:F423"/>
    <mergeCell ref="G420:H423"/>
    <mergeCell ref="I420:J423"/>
  </mergeCells>
  <conditionalFormatting sqref="H106:H107 H109 H111 H113:H114 H116 H118 H120 H122 H124:H125 H257 H385">
    <cfRule type="cellIs" dxfId="214" priority="2" stopIfTrue="1" operator="equal">
      <formula>"Under Dimentioned"</formula>
    </cfRule>
  </conditionalFormatting>
  <conditionalFormatting sqref="H156">
    <cfRule type="cellIs" dxfId="213" priority="1" stopIfTrue="1" operator="equal">
      <formula>"Under Dimentioned"</formula>
    </cfRule>
  </conditionalFormatting>
  <dataValidations count="1">
    <dataValidation type="list" allowBlank="1" showInputMessage="1" showErrorMessage="1" sqref="D280 IZ280 SV280 ACR280 AMN280 AWJ280 BGF280 BQB280 BZX280 CJT280 CTP280 DDL280 DNH280 DXD280 EGZ280 EQV280 FAR280 FKN280 FUJ280 GEF280 GOB280 GXX280 HHT280 HRP280 IBL280 ILH280 IVD280 JEZ280 JOV280 JYR280 KIN280 KSJ280 LCF280 LMB280 LVX280 MFT280 MPP280 MZL280 NJH280 NTD280 OCZ280 OMV280 OWR280 PGN280 PQJ280 QAF280 QKB280 QTX280 RDT280 RNP280 RXL280 SHH280 SRD280 TAZ280 TKV280 TUR280 UEN280 UOJ280 UYF280 VIB280 VRX280 WBT280 WLP280 WVL280 D65812 IZ65812 SV65812 ACR65812 AMN65812 AWJ65812 BGF65812 BQB65812 BZX65812 CJT65812 CTP65812 DDL65812 DNH65812 DXD65812 EGZ65812 EQV65812 FAR65812 FKN65812 FUJ65812 GEF65812 GOB65812 GXX65812 HHT65812 HRP65812 IBL65812 ILH65812 IVD65812 JEZ65812 JOV65812 JYR65812 KIN65812 KSJ65812 LCF65812 LMB65812 LVX65812 MFT65812 MPP65812 MZL65812 NJH65812 NTD65812 OCZ65812 OMV65812 OWR65812 PGN65812 PQJ65812 QAF65812 QKB65812 QTX65812 RDT65812 RNP65812 RXL65812 SHH65812 SRD65812 TAZ65812 TKV65812 TUR65812 UEN65812 UOJ65812 UYF65812 VIB65812 VRX65812 WBT65812 WLP65812 WVL65812 D131348 IZ131348 SV131348 ACR131348 AMN131348 AWJ131348 BGF131348 BQB131348 BZX131348 CJT131348 CTP131348 DDL131348 DNH131348 DXD131348 EGZ131348 EQV131348 FAR131348 FKN131348 FUJ131348 GEF131348 GOB131348 GXX131348 HHT131348 HRP131348 IBL131348 ILH131348 IVD131348 JEZ131348 JOV131348 JYR131348 KIN131348 KSJ131348 LCF131348 LMB131348 LVX131348 MFT131348 MPP131348 MZL131348 NJH131348 NTD131348 OCZ131348 OMV131348 OWR131348 PGN131348 PQJ131348 QAF131348 QKB131348 QTX131348 RDT131348 RNP131348 RXL131348 SHH131348 SRD131348 TAZ131348 TKV131348 TUR131348 UEN131348 UOJ131348 UYF131348 VIB131348 VRX131348 WBT131348 WLP131348 WVL131348 D196884 IZ196884 SV196884 ACR196884 AMN196884 AWJ196884 BGF196884 BQB196884 BZX196884 CJT196884 CTP196884 DDL196884 DNH196884 DXD196884 EGZ196884 EQV196884 FAR196884 FKN196884 FUJ196884 GEF196884 GOB196884 GXX196884 HHT196884 HRP196884 IBL196884 ILH196884 IVD196884 JEZ196884 JOV196884 JYR196884 KIN196884 KSJ196884 LCF196884 LMB196884 LVX196884 MFT196884 MPP196884 MZL196884 NJH196884 NTD196884 OCZ196884 OMV196884 OWR196884 PGN196884 PQJ196884 QAF196884 QKB196884 QTX196884 RDT196884 RNP196884 RXL196884 SHH196884 SRD196884 TAZ196884 TKV196884 TUR196884 UEN196884 UOJ196884 UYF196884 VIB196884 VRX196884 WBT196884 WLP196884 WVL196884 D262420 IZ262420 SV262420 ACR262420 AMN262420 AWJ262420 BGF262420 BQB262420 BZX262420 CJT262420 CTP262420 DDL262420 DNH262420 DXD262420 EGZ262420 EQV262420 FAR262420 FKN262420 FUJ262420 GEF262420 GOB262420 GXX262420 HHT262420 HRP262420 IBL262420 ILH262420 IVD262420 JEZ262420 JOV262420 JYR262420 KIN262420 KSJ262420 LCF262420 LMB262420 LVX262420 MFT262420 MPP262420 MZL262420 NJH262420 NTD262420 OCZ262420 OMV262420 OWR262420 PGN262420 PQJ262420 QAF262420 QKB262420 QTX262420 RDT262420 RNP262420 RXL262420 SHH262420 SRD262420 TAZ262420 TKV262420 TUR262420 UEN262420 UOJ262420 UYF262420 VIB262420 VRX262420 WBT262420 WLP262420 WVL262420 D327956 IZ327956 SV327956 ACR327956 AMN327956 AWJ327956 BGF327956 BQB327956 BZX327956 CJT327956 CTP327956 DDL327956 DNH327956 DXD327956 EGZ327956 EQV327956 FAR327956 FKN327956 FUJ327956 GEF327956 GOB327956 GXX327956 HHT327956 HRP327956 IBL327956 ILH327956 IVD327956 JEZ327956 JOV327956 JYR327956 KIN327956 KSJ327956 LCF327956 LMB327956 LVX327956 MFT327956 MPP327956 MZL327956 NJH327956 NTD327956 OCZ327956 OMV327956 OWR327956 PGN327956 PQJ327956 QAF327956 QKB327956 QTX327956 RDT327956 RNP327956 RXL327956 SHH327956 SRD327956 TAZ327956 TKV327956 TUR327956 UEN327956 UOJ327956 UYF327956 VIB327956 VRX327956 WBT327956 WLP327956 WVL327956 D393492 IZ393492 SV393492 ACR393492 AMN393492 AWJ393492 BGF393492 BQB393492 BZX393492 CJT393492 CTP393492 DDL393492 DNH393492 DXD393492 EGZ393492 EQV393492 FAR393492 FKN393492 FUJ393492 GEF393492 GOB393492 GXX393492 HHT393492 HRP393492 IBL393492 ILH393492 IVD393492 JEZ393492 JOV393492 JYR393492 KIN393492 KSJ393492 LCF393492 LMB393492 LVX393492 MFT393492 MPP393492 MZL393492 NJH393492 NTD393492 OCZ393492 OMV393492 OWR393492 PGN393492 PQJ393492 QAF393492 QKB393492 QTX393492 RDT393492 RNP393492 RXL393492 SHH393492 SRD393492 TAZ393492 TKV393492 TUR393492 UEN393492 UOJ393492 UYF393492 VIB393492 VRX393492 WBT393492 WLP393492 WVL393492 D459028 IZ459028 SV459028 ACR459028 AMN459028 AWJ459028 BGF459028 BQB459028 BZX459028 CJT459028 CTP459028 DDL459028 DNH459028 DXD459028 EGZ459028 EQV459028 FAR459028 FKN459028 FUJ459028 GEF459028 GOB459028 GXX459028 HHT459028 HRP459028 IBL459028 ILH459028 IVD459028 JEZ459028 JOV459028 JYR459028 KIN459028 KSJ459028 LCF459028 LMB459028 LVX459028 MFT459028 MPP459028 MZL459028 NJH459028 NTD459028 OCZ459028 OMV459028 OWR459028 PGN459028 PQJ459028 QAF459028 QKB459028 QTX459028 RDT459028 RNP459028 RXL459028 SHH459028 SRD459028 TAZ459028 TKV459028 TUR459028 UEN459028 UOJ459028 UYF459028 VIB459028 VRX459028 WBT459028 WLP459028 WVL459028 D524564 IZ524564 SV524564 ACR524564 AMN524564 AWJ524564 BGF524564 BQB524564 BZX524564 CJT524564 CTP524564 DDL524564 DNH524564 DXD524564 EGZ524564 EQV524564 FAR524564 FKN524564 FUJ524564 GEF524564 GOB524564 GXX524564 HHT524564 HRP524564 IBL524564 ILH524564 IVD524564 JEZ524564 JOV524564 JYR524564 KIN524564 KSJ524564 LCF524564 LMB524564 LVX524564 MFT524564 MPP524564 MZL524564 NJH524564 NTD524564 OCZ524564 OMV524564 OWR524564 PGN524564 PQJ524564 QAF524564 QKB524564 QTX524564 RDT524564 RNP524564 RXL524564 SHH524564 SRD524564 TAZ524564 TKV524564 TUR524564 UEN524564 UOJ524564 UYF524564 VIB524564 VRX524564 WBT524564 WLP524564 WVL524564 D590100 IZ590100 SV590100 ACR590100 AMN590100 AWJ590100 BGF590100 BQB590100 BZX590100 CJT590100 CTP590100 DDL590100 DNH590100 DXD590100 EGZ590100 EQV590100 FAR590100 FKN590100 FUJ590100 GEF590100 GOB590100 GXX590100 HHT590100 HRP590100 IBL590100 ILH590100 IVD590100 JEZ590100 JOV590100 JYR590100 KIN590100 KSJ590100 LCF590100 LMB590100 LVX590100 MFT590100 MPP590100 MZL590100 NJH590100 NTD590100 OCZ590100 OMV590100 OWR590100 PGN590100 PQJ590100 QAF590100 QKB590100 QTX590100 RDT590100 RNP590100 RXL590100 SHH590100 SRD590100 TAZ590100 TKV590100 TUR590100 UEN590100 UOJ590100 UYF590100 VIB590100 VRX590100 WBT590100 WLP590100 WVL590100 D655636 IZ655636 SV655636 ACR655636 AMN655636 AWJ655636 BGF655636 BQB655636 BZX655636 CJT655636 CTP655636 DDL655636 DNH655636 DXD655636 EGZ655636 EQV655636 FAR655636 FKN655636 FUJ655636 GEF655636 GOB655636 GXX655636 HHT655636 HRP655636 IBL655636 ILH655636 IVD655636 JEZ655636 JOV655636 JYR655636 KIN655636 KSJ655636 LCF655636 LMB655636 LVX655636 MFT655636 MPP655636 MZL655636 NJH655636 NTD655636 OCZ655636 OMV655636 OWR655636 PGN655636 PQJ655636 QAF655636 QKB655636 QTX655636 RDT655636 RNP655636 RXL655636 SHH655636 SRD655636 TAZ655636 TKV655636 TUR655636 UEN655636 UOJ655636 UYF655636 VIB655636 VRX655636 WBT655636 WLP655636 WVL655636 D721172 IZ721172 SV721172 ACR721172 AMN721172 AWJ721172 BGF721172 BQB721172 BZX721172 CJT721172 CTP721172 DDL721172 DNH721172 DXD721172 EGZ721172 EQV721172 FAR721172 FKN721172 FUJ721172 GEF721172 GOB721172 GXX721172 HHT721172 HRP721172 IBL721172 ILH721172 IVD721172 JEZ721172 JOV721172 JYR721172 KIN721172 KSJ721172 LCF721172 LMB721172 LVX721172 MFT721172 MPP721172 MZL721172 NJH721172 NTD721172 OCZ721172 OMV721172 OWR721172 PGN721172 PQJ721172 QAF721172 QKB721172 QTX721172 RDT721172 RNP721172 RXL721172 SHH721172 SRD721172 TAZ721172 TKV721172 TUR721172 UEN721172 UOJ721172 UYF721172 VIB721172 VRX721172 WBT721172 WLP721172 WVL721172 D786708 IZ786708 SV786708 ACR786708 AMN786708 AWJ786708 BGF786708 BQB786708 BZX786708 CJT786708 CTP786708 DDL786708 DNH786708 DXD786708 EGZ786708 EQV786708 FAR786708 FKN786708 FUJ786708 GEF786708 GOB786708 GXX786708 HHT786708 HRP786708 IBL786708 ILH786708 IVD786708 JEZ786708 JOV786708 JYR786708 KIN786708 KSJ786708 LCF786708 LMB786708 LVX786708 MFT786708 MPP786708 MZL786708 NJH786708 NTD786708 OCZ786708 OMV786708 OWR786708 PGN786708 PQJ786708 QAF786708 QKB786708 QTX786708 RDT786708 RNP786708 RXL786708 SHH786708 SRD786708 TAZ786708 TKV786708 TUR786708 UEN786708 UOJ786708 UYF786708 VIB786708 VRX786708 WBT786708 WLP786708 WVL786708 D852244 IZ852244 SV852244 ACR852244 AMN852244 AWJ852244 BGF852244 BQB852244 BZX852244 CJT852244 CTP852244 DDL852244 DNH852244 DXD852244 EGZ852244 EQV852244 FAR852244 FKN852244 FUJ852244 GEF852244 GOB852244 GXX852244 HHT852244 HRP852244 IBL852244 ILH852244 IVD852244 JEZ852244 JOV852244 JYR852244 KIN852244 KSJ852244 LCF852244 LMB852244 LVX852244 MFT852244 MPP852244 MZL852244 NJH852244 NTD852244 OCZ852244 OMV852244 OWR852244 PGN852244 PQJ852244 QAF852244 QKB852244 QTX852244 RDT852244 RNP852244 RXL852244 SHH852244 SRD852244 TAZ852244 TKV852244 TUR852244 UEN852244 UOJ852244 UYF852244 VIB852244 VRX852244 WBT852244 WLP852244 WVL852244 D917780 IZ917780 SV917780 ACR917780 AMN917780 AWJ917780 BGF917780 BQB917780 BZX917780 CJT917780 CTP917780 DDL917780 DNH917780 DXD917780 EGZ917780 EQV917780 FAR917780 FKN917780 FUJ917780 GEF917780 GOB917780 GXX917780 HHT917780 HRP917780 IBL917780 ILH917780 IVD917780 JEZ917780 JOV917780 JYR917780 KIN917780 KSJ917780 LCF917780 LMB917780 LVX917780 MFT917780 MPP917780 MZL917780 NJH917780 NTD917780 OCZ917780 OMV917780 OWR917780 PGN917780 PQJ917780 QAF917780 QKB917780 QTX917780 RDT917780 RNP917780 RXL917780 SHH917780 SRD917780 TAZ917780 TKV917780 TUR917780 UEN917780 UOJ917780 UYF917780 VIB917780 VRX917780 WBT917780 WLP917780 WVL917780 D983316 IZ983316 SV983316 ACR983316 AMN983316 AWJ983316 BGF983316 BQB983316 BZX983316 CJT983316 CTP983316 DDL983316 DNH983316 DXD983316 EGZ983316 EQV983316 FAR983316 FKN983316 FUJ983316 GEF983316 GOB983316 GXX983316 HHT983316 HRP983316 IBL983316 ILH983316 IVD983316 JEZ983316 JOV983316 JYR983316 KIN983316 KSJ983316 LCF983316 LMB983316 LVX983316 MFT983316 MPP983316 MZL983316 NJH983316 NTD983316 OCZ983316 OMV983316 OWR983316 PGN983316 PQJ983316 QAF983316 QKB983316 QTX983316 RDT983316 RNP983316 RXL983316 SHH983316 SRD983316 TAZ983316 TKV983316 TUR983316 UEN983316 UOJ983316 UYF983316 VIB983316 VRX983316 WBT983316 WLP983316 WVL98331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38 IZ65538 SV65538 ACR65538 AMN65538 AWJ65538 BGF65538 BQB65538 BZX65538 CJT65538 CTP65538 DDL65538 DNH65538 DXD65538 EGZ65538 EQV65538 FAR65538 FKN65538 FUJ65538 GEF65538 GOB65538 GXX65538 HHT65538 HRP65538 IBL65538 ILH65538 IVD65538 JEZ65538 JOV65538 JYR65538 KIN65538 KSJ65538 LCF65538 LMB65538 LVX65538 MFT65538 MPP65538 MZL65538 NJH65538 NTD65538 OCZ65538 OMV65538 OWR65538 PGN65538 PQJ65538 QAF65538 QKB65538 QTX65538 RDT65538 RNP65538 RXL65538 SHH65538 SRD65538 TAZ65538 TKV65538 TUR65538 UEN65538 UOJ65538 UYF65538 VIB65538 VRX65538 WBT65538 WLP65538 WVL65538 D131074 IZ131074 SV131074 ACR131074 AMN131074 AWJ131074 BGF131074 BQB131074 BZX131074 CJT131074 CTP131074 DDL131074 DNH131074 DXD131074 EGZ131074 EQV131074 FAR131074 FKN131074 FUJ131074 GEF131074 GOB131074 GXX131074 HHT131074 HRP131074 IBL131074 ILH131074 IVD131074 JEZ131074 JOV131074 JYR131074 KIN131074 KSJ131074 LCF131074 LMB131074 LVX131074 MFT131074 MPP131074 MZL131074 NJH131074 NTD131074 OCZ131074 OMV131074 OWR131074 PGN131074 PQJ131074 QAF131074 QKB131074 QTX131074 RDT131074 RNP131074 RXL131074 SHH131074 SRD131074 TAZ131074 TKV131074 TUR131074 UEN131074 UOJ131074 UYF131074 VIB131074 VRX131074 WBT131074 WLP131074 WVL131074 D196610 IZ196610 SV196610 ACR196610 AMN196610 AWJ196610 BGF196610 BQB196610 BZX196610 CJT196610 CTP196610 DDL196610 DNH196610 DXD196610 EGZ196610 EQV196610 FAR196610 FKN196610 FUJ196610 GEF196610 GOB196610 GXX196610 HHT196610 HRP196610 IBL196610 ILH196610 IVD196610 JEZ196610 JOV196610 JYR196610 KIN196610 KSJ196610 LCF196610 LMB196610 LVX196610 MFT196610 MPP196610 MZL196610 NJH196610 NTD196610 OCZ196610 OMV196610 OWR196610 PGN196610 PQJ196610 QAF196610 QKB196610 QTX196610 RDT196610 RNP196610 RXL196610 SHH196610 SRD196610 TAZ196610 TKV196610 TUR196610 UEN196610 UOJ196610 UYF196610 VIB196610 VRX196610 WBT196610 WLP196610 WVL196610 D262146 IZ262146 SV262146 ACR262146 AMN262146 AWJ262146 BGF262146 BQB262146 BZX262146 CJT262146 CTP262146 DDL262146 DNH262146 DXD262146 EGZ262146 EQV262146 FAR262146 FKN262146 FUJ262146 GEF262146 GOB262146 GXX262146 HHT262146 HRP262146 IBL262146 ILH262146 IVD262146 JEZ262146 JOV262146 JYR262146 KIN262146 KSJ262146 LCF262146 LMB262146 LVX262146 MFT262146 MPP262146 MZL262146 NJH262146 NTD262146 OCZ262146 OMV262146 OWR262146 PGN262146 PQJ262146 QAF262146 QKB262146 QTX262146 RDT262146 RNP262146 RXL262146 SHH262146 SRD262146 TAZ262146 TKV262146 TUR262146 UEN262146 UOJ262146 UYF262146 VIB262146 VRX262146 WBT262146 WLP262146 WVL262146 D327682 IZ327682 SV327682 ACR327682 AMN327682 AWJ327682 BGF327682 BQB327682 BZX327682 CJT327682 CTP327682 DDL327682 DNH327682 DXD327682 EGZ327682 EQV327682 FAR327682 FKN327682 FUJ327682 GEF327682 GOB327682 GXX327682 HHT327682 HRP327682 IBL327682 ILH327682 IVD327682 JEZ327682 JOV327682 JYR327682 KIN327682 KSJ327682 LCF327682 LMB327682 LVX327682 MFT327682 MPP327682 MZL327682 NJH327682 NTD327682 OCZ327682 OMV327682 OWR327682 PGN327682 PQJ327682 QAF327682 QKB327682 QTX327682 RDT327682 RNP327682 RXL327682 SHH327682 SRD327682 TAZ327682 TKV327682 TUR327682 UEN327682 UOJ327682 UYF327682 VIB327682 VRX327682 WBT327682 WLP327682 WVL327682 D393218 IZ393218 SV393218 ACR393218 AMN393218 AWJ393218 BGF393218 BQB393218 BZX393218 CJT393218 CTP393218 DDL393218 DNH393218 DXD393218 EGZ393218 EQV393218 FAR393218 FKN393218 FUJ393218 GEF393218 GOB393218 GXX393218 HHT393218 HRP393218 IBL393218 ILH393218 IVD393218 JEZ393218 JOV393218 JYR393218 KIN393218 KSJ393218 LCF393218 LMB393218 LVX393218 MFT393218 MPP393218 MZL393218 NJH393218 NTD393218 OCZ393218 OMV393218 OWR393218 PGN393218 PQJ393218 QAF393218 QKB393218 QTX393218 RDT393218 RNP393218 RXL393218 SHH393218 SRD393218 TAZ393218 TKV393218 TUR393218 UEN393218 UOJ393218 UYF393218 VIB393218 VRX393218 WBT393218 WLP393218 WVL393218 D458754 IZ458754 SV458754 ACR458754 AMN458754 AWJ458754 BGF458754 BQB458754 BZX458754 CJT458754 CTP458754 DDL458754 DNH458754 DXD458754 EGZ458754 EQV458754 FAR458754 FKN458754 FUJ458754 GEF458754 GOB458754 GXX458754 HHT458754 HRP458754 IBL458754 ILH458754 IVD458754 JEZ458754 JOV458754 JYR458754 KIN458754 KSJ458754 LCF458754 LMB458754 LVX458754 MFT458754 MPP458754 MZL458754 NJH458754 NTD458754 OCZ458754 OMV458754 OWR458754 PGN458754 PQJ458754 QAF458754 QKB458754 QTX458754 RDT458754 RNP458754 RXL458754 SHH458754 SRD458754 TAZ458754 TKV458754 TUR458754 UEN458754 UOJ458754 UYF458754 VIB458754 VRX458754 WBT458754 WLP458754 WVL458754 D524290 IZ524290 SV524290 ACR524290 AMN524290 AWJ524290 BGF524290 BQB524290 BZX524290 CJT524290 CTP524290 DDL524290 DNH524290 DXD524290 EGZ524290 EQV524290 FAR524290 FKN524290 FUJ524290 GEF524290 GOB524290 GXX524290 HHT524290 HRP524290 IBL524290 ILH524290 IVD524290 JEZ524290 JOV524290 JYR524290 KIN524290 KSJ524290 LCF524290 LMB524290 LVX524290 MFT524290 MPP524290 MZL524290 NJH524290 NTD524290 OCZ524290 OMV524290 OWR524290 PGN524290 PQJ524290 QAF524290 QKB524290 QTX524290 RDT524290 RNP524290 RXL524290 SHH524290 SRD524290 TAZ524290 TKV524290 TUR524290 UEN524290 UOJ524290 UYF524290 VIB524290 VRX524290 WBT524290 WLP524290 WVL524290 D589826 IZ589826 SV589826 ACR589826 AMN589826 AWJ589826 BGF589826 BQB589826 BZX589826 CJT589826 CTP589826 DDL589826 DNH589826 DXD589826 EGZ589826 EQV589826 FAR589826 FKN589826 FUJ589826 GEF589826 GOB589826 GXX589826 HHT589826 HRP589826 IBL589826 ILH589826 IVD589826 JEZ589826 JOV589826 JYR589826 KIN589826 KSJ589826 LCF589826 LMB589826 LVX589826 MFT589826 MPP589826 MZL589826 NJH589826 NTD589826 OCZ589826 OMV589826 OWR589826 PGN589826 PQJ589826 QAF589826 QKB589826 QTX589826 RDT589826 RNP589826 RXL589826 SHH589826 SRD589826 TAZ589826 TKV589826 TUR589826 UEN589826 UOJ589826 UYF589826 VIB589826 VRX589826 WBT589826 WLP589826 WVL589826 D655362 IZ655362 SV655362 ACR655362 AMN655362 AWJ655362 BGF655362 BQB655362 BZX655362 CJT655362 CTP655362 DDL655362 DNH655362 DXD655362 EGZ655362 EQV655362 FAR655362 FKN655362 FUJ655362 GEF655362 GOB655362 GXX655362 HHT655362 HRP655362 IBL655362 ILH655362 IVD655362 JEZ655362 JOV655362 JYR655362 KIN655362 KSJ655362 LCF655362 LMB655362 LVX655362 MFT655362 MPP655362 MZL655362 NJH655362 NTD655362 OCZ655362 OMV655362 OWR655362 PGN655362 PQJ655362 QAF655362 QKB655362 QTX655362 RDT655362 RNP655362 RXL655362 SHH655362 SRD655362 TAZ655362 TKV655362 TUR655362 UEN655362 UOJ655362 UYF655362 VIB655362 VRX655362 WBT655362 WLP655362 WVL655362 D720898 IZ720898 SV720898 ACR720898 AMN720898 AWJ720898 BGF720898 BQB720898 BZX720898 CJT720898 CTP720898 DDL720898 DNH720898 DXD720898 EGZ720898 EQV720898 FAR720898 FKN720898 FUJ720898 GEF720898 GOB720898 GXX720898 HHT720898 HRP720898 IBL720898 ILH720898 IVD720898 JEZ720898 JOV720898 JYR720898 KIN720898 KSJ720898 LCF720898 LMB720898 LVX720898 MFT720898 MPP720898 MZL720898 NJH720898 NTD720898 OCZ720898 OMV720898 OWR720898 PGN720898 PQJ720898 QAF720898 QKB720898 QTX720898 RDT720898 RNP720898 RXL720898 SHH720898 SRD720898 TAZ720898 TKV720898 TUR720898 UEN720898 UOJ720898 UYF720898 VIB720898 VRX720898 WBT720898 WLP720898 WVL720898 D786434 IZ786434 SV786434 ACR786434 AMN786434 AWJ786434 BGF786434 BQB786434 BZX786434 CJT786434 CTP786434 DDL786434 DNH786434 DXD786434 EGZ786434 EQV786434 FAR786434 FKN786434 FUJ786434 GEF786434 GOB786434 GXX786434 HHT786434 HRP786434 IBL786434 ILH786434 IVD786434 JEZ786434 JOV786434 JYR786434 KIN786434 KSJ786434 LCF786434 LMB786434 LVX786434 MFT786434 MPP786434 MZL786434 NJH786434 NTD786434 OCZ786434 OMV786434 OWR786434 PGN786434 PQJ786434 QAF786434 QKB786434 QTX786434 RDT786434 RNP786434 RXL786434 SHH786434 SRD786434 TAZ786434 TKV786434 TUR786434 UEN786434 UOJ786434 UYF786434 VIB786434 VRX786434 WBT786434 WLP786434 WVL786434 D851970 IZ851970 SV851970 ACR851970 AMN851970 AWJ851970 BGF851970 BQB851970 BZX851970 CJT851970 CTP851970 DDL851970 DNH851970 DXD851970 EGZ851970 EQV851970 FAR851970 FKN851970 FUJ851970 GEF851970 GOB851970 GXX851970 HHT851970 HRP851970 IBL851970 ILH851970 IVD851970 JEZ851970 JOV851970 JYR851970 KIN851970 KSJ851970 LCF851970 LMB851970 LVX851970 MFT851970 MPP851970 MZL851970 NJH851970 NTD851970 OCZ851970 OMV851970 OWR851970 PGN851970 PQJ851970 QAF851970 QKB851970 QTX851970 RDT851970 RNP851970 RXL851970 SHH851970 SRD851970 TAZ851970 TKV851970 TUR851970 UEN851970 UOJ851970 UYF851970 VIB851970 VRX851970 WBT851970 WLP851970 WVL851970 D917506 IZ917506 SV917506 ACR917506 AMN917506 AWJ917506 BGF917506 BQB917506 BZX917506 CJT917506 CTP917506 DDL917506 DNH917506 DXD917506 EGZ917506 EQV917506 FAR917506 FKN917506 FUJ917506 GEF917506 GOB917506 GXX917506 HHT917506 HRP917506 IBL917506 ILH917506 IVD917506 JEZ917506 JOV917506 JYR917506 KIN917506 KSJ917506 LCF917506 LMB917506 LVX917506 MFT917506 MPP917506 MZL917506 NJH917506 NTD917506 OCZ917506 OMV917506 OWR917506 PGN917506 PQJ917506 QAF917506 QKB917506 QTX917506 RDT917506 RNP917506 RXL917506 SHH917506 SRD917506 TAZ917506 TKV917506 TUR917506 UEN917506 UOJ917506 UYF917506 VIB917506 VRX917506 WBT917506 WLP917506 WVL917506 D983042 IZ983042 SV983042 ACR983042 AMN983042 AWJ983042 BGF983042 BQB983042 BZX983042 CJT983042 CTP983042 DDL983042 DNH983042 DXD983042 EGZ983042 EQV983042 FAR983042 FKN983042 FUJ983042 GEF983042 GOB983042 GXX983042 HHT983042 HRP983042 IBL983042 ILH983042 IVD983042 JEZ983042 JOV983042 JYR983042 KIN983042 KSJ983042 LCF983042 LMB983042 LVX983042 MFT983042 MPP983042 MZL983042 NJH983042 NTD983042 OCZ983042 OMV983042 OWR983042 PGN983042 PQJ983042 QAF983042 QKB983042 QTX983042 RDT983042 RNP983042 RXL983042 SHH983042 SRD983042 TAZ983042 TKV983042 TUR983042 UEN983042 UOJ983042 UYF983042 VIB983042 VRX983042 WBT983042 WLP983042 WVL983042 WVL983177 IZ160 SV160 ACR160 AMN160 AWJ160 BGF160 BQB160 BZX160 CJT160 CTP160 DDL160 DNH160 DXD160 EGZ160 EQV160 FAR160 FKN160 FUJ160 GEF160 GOB160 GXX160 HHT160 HRP160 IBL160 ILH160 IVD160 JEZ160 JOV160 JYR160 KIN160 KSJ160 LCF160 LMB160 LVX160 MFT160 MPP160 MZL160 NJH160 NTD160 OCZ160 OMV160 OWR160 PGN160 PQJ160 QAF160 QKB160 QTX160 RDT160 RNP160 RXL160 SHH160 SRD160 TAZ160 TKV160 TUR160 UEN160 UOJ160 UYF160 VIB160 VRX160 WBT160 WLP160 WVL160 D65673 IZ65673 SV65673 ACR65673 AMN65673 AWJ65673 BGF65673 BQB65673 BZX65673 CJT65673 CTP65673 DDL65673 DNH65673 DXD65673 EGZ65673 EQV65673 FAR65673 FKN65673 FUJ65673 GEF65673 GOB65673 GXX65673 HHT65673 HRP65673 IBL65673 ILH65673 IVD65673 JEZ65673 JOV65673 JYR65673 KIN65673 KSJ65673 LCF65673 LMB65673 LVX65673 MFT65673 MPP65673 MZL65673 NJH65673 NTD65673 OCZ65673 OMV65673 OWR65673 PGN65673 PQJ65673 QAF65673 QKB65673 QTX65673 RDT65673 RNP65673 RXL65673 SHH65673 SRD65673 TAZ65673 TKV65673 TUR65673 UEN65673 UOJ65673 UYF65673 VIB65673 VRX65673 WBT65673 WLP65673 WVL65673 D131209 IZ131209 SV131209 ACR131209 AMN131209 AWJ131209 BGF131209 BQB131209 BZX131209 CJT131209 CTP131209 DDL131209 DNH131209 DXD131209 EGZ131209 EQV131209 FAR131209 FKN131209 FUJ131209 GEF131209 GOB131209 GXX131209 HHT131209 HRP131209 IBL131209 ILH131209 IVD131209 JEZ131209 JOV131209 JYR131209 KIN131209 KSJ131209 LCF131209 LMB131209 LVX131209 MFT131209 MPP131209 MZL131209 NJH131209 NTD131209 OCZ131209 OMV131209 OWR131209 PGN131209 PQJ131209 QAF131209 QKB131209 QTX131209 RDT131209 RNP131209 RXL131209 SHH131209 SRD131209 TAZ131209 TKV131209 TUR131209 UEN131209 UOJ131209 UYF131209 VIB131209 VRX131209 WBT131209 WLP131209 WVL131209 D196745 IZ196745 SV196745 ACR196745 AMN196745 AWJ196745 BGF196745 BQB196745 BZX196745 CJT196745 CTP196745 DDL196745 DNH196745 DXD196745 EGZ196745 EQV196745 FAR196745 FKN196745 FUJ196745 GEF196745 GOB196745 GXX196745 HHT196745 HRP196745 IBL196745 ILH196745 IVD196745 JEZ196745 JOV196745 JYR196745 KIN196745 KSJ196745 LCF196745 LMB196745 LVX196745 MFT196745 MPP196745 MZL196745 NJH196745 NTD196745 OCZ196745 OMV196745 OWR196745 PGN196745 PQJ196745 QAF196745 QKB196745 QTX196745 RDT196745 RNP196745 RXL196745 SHH196745 SRD196745 TAZ196745 TKV196745 TUR196745 UEN196745 UOJ196745 UYF196745 VIB196745 VRX196745 WBT196745 WLP196745 WVL196745 D262281 IZ262281 SV262281 ACR262281 AMN262281 AWJ262281 BGF262281 BQB262281 BZX262281 CJT262281 CTP262281 DDL262281 DNH262281 DXD262281 EGZ262281 EQV262281 FAR262281 FKN262281 FUJ262281 GEF262281 GOB262281 GXX262281 HHT262281 HRP262281 IBL262281 ILH262281 IVD262281 JEZ262281 JOV262281 JYR262281 KIN262281 KSJ262281 LCF262281 LMB262281 LVX262281 MFT262281 MPP262281 MZL262281 NJH262281 NTD262281 OCZ262281 OMV262281 OWR262281 PGN262281 PQJ262281 QAF262281 QKB262281 QTX262281 RDT262281 RNP262281 RXL262281 SHH262281 SRD262281 TAZ262281 TKV262281 TUR262281 UEN262281 UOJ262281 UYF262281 VIB262281 VRX262281 WBT262281 WLP262281 WVL262281 D327817 IZ327817 SV327817 ACR327817 AMN327817 AWJ327817 BGF327817 BQB327817 BZX327817 CJT327817 CTP327817 DDL327817 DNH327817 DXD327817 EGZ327817 EQV327817 FAR327817 FKN327817 FUJ327817 GEF327817 GOB327817 GXX327817 HHT327817 HRP327817 IBL327817 ILH327817 IVD327817 JEZ327817 JOV327817 JYR327817 KIN327817 KSJ327817 LCF327817 LMB327817 LVX327817 MFT327817 MPP327817 MZL327817 NJH327817 NTD327817 OCZ327817 OMV327817 OWR327817 PGN327817 PQJ327817 QAF327817 QKB327817 QTX327817 RDT327817 RNP327817 RXL327817 SHH327817 SRD327817 TAZ327817 TKV327817 TUR327817 UEN327817 UOJ327817 UYF327817 VIB327817 VRX327817 WBT327817 WLP327817 WVL327817 D393353 IZ393353 SV393353 ACR393353 AMN393353 AWJ393353 BGF393353 BQB393353 BZX393353 CJT393353 CTP393353 DDL393353 DNH393353 DXD393353 EGZ393353 EQV393353 FAR393353 FKN393353 FUJ393353 GEF393353 GOB393353 GXX393353 HHT393353 HRP393353 IBL393353 ILH393353 IVD393353 JEZ393353 JOV393353 JYR393353 KIN393353 KSJ393353 LCF393353 LMB393353 LVX393353 MFT393353 MPP393353 MZL393353 NJH393353 NTD393353 OCZ393353 OMV393353 OWR393353 PGN393353 PQJ393353 QAF393353 QKB393353 QTX393353 RDT393353 RNP393353 RXL393353 SHH393353 SRD393353 TAZ393353 TKV393353 TUR393353 UEN393353 UOJ393353 UYF393353 VIB393353 VRX393353 WBT393353 WLP393353 WVL393353 D458889 IZ458889 SV458889 ACR458889 AMN458889 AWJ458889 BGF458889 BQB458889 BZX458889 CJT458889 CTP458889 DDL458889 DNH458889 DXD458889 EGZ458889 EQV458889 FAR458889 FKN458889 FUJ458889 GEF458889 GOB458889 GXX458889 HHT458889 HRP458889 IBL458889 ILH458889 IVD458889 JEZ458889 JOV458889 JYR458889 KIN458889 KSJ458889 LCF458889 LMB458889 LVX458889 MFT458889 MPP458889 MZL458889 NJH458889 NTD458889 OCZ458889 OMV458889 OWR458889 PGN458889 PQJ458889 QAF458889 QKB458889 QTX458889 RDT458889 RNP458889 RXL458889 SHH458889 SRD458889 TAZ458889 TKV458889 TUR458889 UEN458889 UOJ458889 UYF458889 VIB458889 VRX458889 WBT458889 WLP458889 WVL458889 D524425 IZ524425 SV524425 ACR524425 AMN524425 AWJ524425 BGF524425 BQB524425 BZX524425 CJT524425 CTP524425 DDL524425 DNH524425 DXD524425 EGZ524425 EQV524425 FAR524425 FKN524425 FUJ524425 GEF524425 GOB524425 GXX524425 HHT524425 HRP524425 IBL524425 ILH524425 IVD524425 JEZ524425 JOV524425 JYR524425 KIN524425 KSJ524425 LCF524425 LMB524425 LVX524425 MFT524425 MPP524425 MZL524425 NJH524425 NTD524425 OCZ524425 OMV524425 OWR524425 PGN524425 PQJ524425 QAF524425 QKB524425 QTX524425 RDT524425 RNP524425 RXL524425 SHH524425 SRD524425 TAZ524425 TKV524425 TUR524425 UEN524425 UOJ524425 UYF524425 VIB524425 VRX524425 WBT524425 WLP524425 WVL524425 D589961 IZ589961 SV589961 ACR589961 AMN589961 AWJ589961 BGF589961 BQB589961 BZX589961 CJT589961 CTP589961 DDL589961 DNH589961 DXD589961 EGZ589961 EQV589961 FAR589961 FKN589961 FUJ589961 GEF589961 GOB589961 GXX589961 HHT589961 HRP589961 IBL589961 ILH589961 IVD589961 JEZ589961 JOV589961 JYR589961 KIN589961 KSJ589961 LCF589961 LMB589961 LVX589961 MFT589961 MPP589961 MZL589961 NJH589961 NTD589961 OCZ589961 OMV589961 OWR589961 PGN589961 PQJ589961 QAF589961 QKB589961 QTX589961 RDT589961 RNP589961 RXL589961 SHH589961 SRD589961 TAZ589961 TKV589961 TUR589961 UEN589961 UOJ589961 UYF589961 VIB589961 VRX589961 WBT589961 WLP589961 WVL589961 D655497 IZ655497 SV655497 ACR655497 AMN655497 AWJ655497 BGF655497 BQB655497 BZX655497 CJT655497 CTP655497 DDL655497 DNH655497 DXD655497 EGZ655497 EQV655497 FAR655497 FKN655497 FUJ655497 GEF655497 GOB655497 GXX655497 HHT655497 HRP655497 IBL655497 ILH655497 IVD655497 JEZ655497 JOV655497 JYR655497 KIN655497 KSJ655497 LCF655497 LMB655497 LVX655497 MFT655497 MPP655497 MZL655497 NJH655497 NTD655497 OCZ655497 OMV655497 OWR655497 PGN655497 PQJ655497 QAF655497 QKB655497 QTX655497 RDT655497 RNP655497 RXL655497 SHH655497 SRD655497 TAZ655497 TKV655497 TUR655497 UEN655497 UOJ655497 UYF655497 VIB655497 VRX655497 WBT655497 WLP655497 WVL655497 D721033 IZ721033 SV721033 ACR721033 AMN721033 AWJ721033 BGF721033 BQB721033 BZX721033 CJT721033 CTP721033 DDL721033 DNH721033 DXD721033 EGZ721033 EQV721033 FAR721033 FKN721033 FUJ721033 GEF721033 GOB721033 GXX721033 HHT721033 HRP721033 IBL721033 ILH721033 IVD721033 JEZ721033 JOV721033 JYR721033 KIN721033 KSJ721033 LCF721033 LMB721033 LVX721033 MFT721033 MPP721033 MZL721033 NJH721033 NTD721033 OCZ721033 OMV721033 OWR721033 PGN721033 PQJ721033 QAF721033 QKB721033 QTX721033 RDT721033 RNP721033 RXL721033 SHH721033 SRD721033 TAZ721033 TKV721033 TUR721033 UEN721033 UOJ721033 UYF721033 VIB721033 VRX721033 WBT721033 WLP721033 WVL721033 D786569 IZ786569 SV786569 ACR786569 AMN786569 AWJ786569 BGF786569 BQB786569 BZX786569 CJT786569 CTP786569 DDL786569 DNH786569 DXD786569 EGZ786569 EQV786569 FAR786569 FKN786569 FUJ786569 GEF786569 GOB786569 GXX786569 HHT786569 HRP786569 IBL786569 ILH786569 IVD786569 JEZ786569 JOV786569 JYR786569 KIN786569 KSJ786569 LCF786569 LMB786569 LVX786569 MFT786569 MPP786569 MZL786569 NJH786569 NTD786569 OCZ786569 OMV786569 OWR786569 PGN786569 PQJ786569 QAF786569 QKB786569 QTX786569 RDT786569 RNP786569 RXL786569 SHH786569 SRD786569 TAZ786569 TKV786569 TUR786569 UEN786569 UOJ786569 UYF786569 VIB786569 VRX786569 WBT786569 WLP786569 WVL786569 D852105 IZ852105 SV852105 ACR852105 AMN852105 AWJ852105 BGF852105 BQB852105 BZX852105 CJT852105 CTP852105 DDL852105 DNH852105 DXD852105 EGZ852105 EQV852105 FAR852105 FKN852105 FUJ852105 GEF852105 GOB852105 GXX852105 HHT852105 HRP852105 IBL852105 ILH852105 IVD852105 JEZ852105 JOV852105 JYR852105 KIN852105 KSJ852105 LCF852105 LMB852105 LVX852105 MFT852105 MPP852105 MZL852105 NJH852105 NTD852105 OCZ852105 OMV852105 OWR852105 PGN852105 PQJ852105 QAF852105 QKB852105 QTX852105 RDT852105 RNP852105 RXL852105 SHH852105 SRD852105 TAZ852105 TKV852105 TUR852105 UEN852105 UOJ852105 UYF852105 VIB852105 VRX852105 WBT852105 WLP852105 WVL852105 D917641 IZ917641 SV917641 ACR917641 AMN917641 AWJ917641 BGF917641 BQB917641 BZX917641 CJT917641 CTP917641 DDL917641 DNH917641 DXD917641 EGZ917641 EQV917641 FAR917641 FKN917641 FUJ917641 GEF917641 GOB917641 GXX917641 HHT917641 HRP917641 IBL917641 ILH917641 IVD917641 JEZ917641 JOV917641 JYR917641 KIN917641 KSJ917641 LCF917641 LMB917641 LVX917641 MFT917641 MPP917641 MZL917641 NJH917641 NTD917641 OCZ917641 OMV917641 OWR917641 PGN917641 PQJ917641 QAF917641 QKB917641 QTX917641 RDT917641 RNP917641 RXL917641 SHH917641 SRD917641 TAZ917641 TKV917641 TUR917641 UEN917641 UOJ917641 UYF917641 VIB917641 VRX917641 WBT917641 WLP917641 WVL917641 D983177 IZ983177 SV983177 ACR983177 AMN983177 AWJ983177 BGF983177 BQB983177 BZX983177 CJT983177 CTP983177 DDL983177 DNH983177 DXD983177 EGZ983177 EQV983177 FAR983177 FKN983177 FUJ983177 GEF983177 GOB983177 GXX983177 HHT983177 HRP983177 IBL983177 ILH983177 IVD983177 JEZ983177 JOV983177 JYR983177 KIN983177 KSJ983177 LCF983177 LMB983177 LVX983177 MFT983177 MPP983177 MZL983177 NJH983177 NTD983177 OCZ983177 OMV983177 OWR983177 PGN983177 PQJ983177 QAF983177 QKB983177 QTX983177 RDT983177 RNP983177 RXL983177 SHH983177 SRD983177 TAZ983177 TKV983177 TUR983177 UEN983177 UOJ983177 UYF983177 VIB983177 VRX983177 WBT983177 WLP983177 D160" xr:uid="{5014B02A-9DE0-4D7B-9559-2447F9004F4B}">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6" max="21" man="1"/>
    <brk id="86" max="21" man="1"/>
    <brk id="126" max="21" man="1"/>
    <brk id="198" max="21" man="1"/>
    <brk id="238" max="21" man="1"/>
    <brk id="417" max="21"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codeName="Sheet8">
    <tabColor rgb="FF00B050"/>
  </sheetPr>
  <dimension ref="A1:AE203"/>
  <sheetViews>
    <sheetView showZeros="0" view="pageBreakPreview" zoomScale="115" zoomScaleNormal="100" zoomScaleSheetLayoutView="115" workbookViewId="0">
      <selection activeCell="Q12" sqref="Q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16"/>
      <c r="B6" s="117" t="s">
        <v>124</v>
      </c>
      <c r="C6" s="7"/>
      <c r="D6" s="7"/>
      <c r="E6" s="7"/>
      <c r="F6" s="7"/>
      <c r="G6" s="7"/>
      <c r="H6" s="7"/>
      <c r="I6" s="7"/>
      <c r="J6" s="118"/>
      <c r="K6" s="7"/>
      <c r="L6" s="7"/>
      <c r="M6" s="7"/>
      <c r="N6" s="7"/>
      <c r="O6" s="7"/>
      <c r="P6" s="7"/>
      <c r="Q6" s="7"/>
      <c r="R6" s="7"/>
      <c r="S6" s="7"/>
      <c r="T6" s="7"/>
      <c r="U6" s="7"/>
      <c r="V6" s="112"/>
    </row>
    <row r="7" spans="1:24" ht="18" customHeight="1">
      <c r="A7" s="119"/>
      <c r="B7" s="18" t="s">
        <v>125</v>
      </c>
      <c r="C7" s="7"/>
      <c r="D7" s="7"/>
      <c r="E7" s="7"/>
      <c r="F7" s="7"/>
      <c r="G7" s="7"/>
      <c r="H7" s="7"/>
      <c r="I7" s="7"/>
      <c r="J7" s="7"/>
      <c r="K7" s="7"/>
      <c r="L7" s="7"/>
      <c r="M7" s="7"/>
      <c r="N7" s="7"/>
      <c r="O7" s="7"/>
      <c r="P7" s="7"/>
      <c r="Q7" s="7"/>
      <c r="R7" s="7"/>
      <c r="S7" s="7"/>
      <c r="T7" s="7"/>
      <c r="U7" s="7"/>
      <c r="V7" s="112"/>
    </row>
    <row r="8" spans="1:24" ht="18" customHeight="1">
      <c r="A8" s="114"/>
      <c r="B8" s="7"/>
      <c r="C8" s="14" t="s">
        <v>126</v>
      </c>
      <c r="D8" s="7"/>
      <c r="E8" s="7"/>
      <c r="F8" s="7"/>
      <c r="G8" s="7"/>
      <c r="H8" s="7"/>
      <c r="I8" s="7"/>
      <c r="J8" s="7"/>
      <c r="K8" s="7"/>
      <c r="L8" s="7"/>
      <c r="M8" s="7"/>
      <c r="N8" s="7"/>
      <c r="O8" s="7"/>
      <c r="P8" s="7"/>
      <c r="Q8" s="120" t="s">
        <v>8</v>
      </c>
      <c r="R8" s="121" t="s">
        <v>127</v>
      </c>
      <c r="S8" s="778">
        <v>6</v>
      </c>
      <c r="T8" s="1216" t="s">
        <v>956</v>
      </c>
      <c r="U8" s="47" t="s">
        <v>128</v>
      </c>
      <c r="V8" s="112" t="s">
        <v>129</v>
      </c>
    </row>
    <row r="9" spans="1:24" ht="18" customHeight="1">
      <c r="A9" s="114"/>
      <c r="B9" s="7"/>
      <c r="C9" s="14" t="s">
        <v>130</v>
      </c>
      <c r="D9" s="7"/>
      <c r="E9" s="7"/>
      <c r="F9" s="7"/>
      <c r="G9" s="7"/>
      <c r="H9" s="7"/>
      <c r="I9" s="7"/>
      <c r="J9" s="7"/>
      <c r="K9" s="7"/>
      <c r="L9" s="7"/>
      <c r="M9" s="7"/>
      <c r="N9" s="7"/>
      <c r="O9" s="7"/>
      <c r="P9" s="7"/>
      <c r="Q9" s="120" t="s">
        <v>131</v>
      </c>
      <c r="R9" s="123" t="s">
        <v>127</v>
      </c>
      <c r="S9" s="780">
        <v>3.69</v>
      </c>
      <c r="T9" s="741"/>
      <c r="U9" s="47" t="s">
        <v>132</v>
      </c>
      <c r="V9" s="112"/>
    </row>
    <row r="10" spans="1:24" ht="18" customHeight="1">
      <c r="A10" s="114"/>
      <c r="B10" s="7"/>
      <c r="C10" s="14" t="s">
        <v>133</v>
      </c>
      <c r="D10" s="7"/>
      <c r="E10" s="7"/>
      <c r="F10" s="7"/>
      <c r="G10" s="124"/>
      <c r="H10" s="124"/>
      <c r="I10" s="7" t="s">
        <v>134</v>
      </c>
      <c r="J10" s="7"/>
      <c r="K10" s="7"/>
      <c r="L10" s="7"/>
      <c r="M10" s="7"/>
      <c r="N10" s="7"/>
      <c r="O10" s="7"/>
      <c r="P10" s="7"/>
      <c r="Q10" s="120" t="s">
        <v>135</v>
      </c>
      <c r="R10" s="121" t="s">
        <v>127</v>
      </c>
      <c r="S10" s="743">
        <v>3.9300000000000003E-3</v>
      </c>
      <c r="T10" s="743"/>
      <c r="U10" s="47" t="s">
        <v>136</v>
      </c>
      <c r="V10" s="112"/>
    </row>
    <row r="11" spans="1:24" ht="18" customHeight="1">
      <c r="A11" s="96"/>
      <c r="B11" s="7"/>
      <c r="C11" s="7"/>
      <c r="D11" s="7"/>
      <c r="E11" s="7"/>
      <c r="F11" s="7"/>
      <c r="G11" s="7"/>
      <c r="H11" s="7"/>
      <c r="I11" s="7"/>
      <c r="J11" s="7"/>
      <c r="K11" s="7"/>
      <c r="L11" s="7"/>
      <c r="M11" s="7"/>
      <c r="N11" s="7"/>
      <c r="O11" s="7"/>
      <c r="P11" s="7"/>
      <c r="Q11" s="120"/>
      <c r="R11" s="121"/>
      <c r="S11" s="28"/>
      <c r="T11" s="28"/>
      <c r="U11" s="47"/>
      <c r="V11" s="112"/>
    </row>
    <row r="12" spans="1:24" ht="18" customHeight="1">
      <c r="A12" s="119"/>
      <c r="B12" s="18" t="s">
        <v>137</v>
      </c>
      <c r="C12" s="7"/>
      <c r="D12" s="7"/>
      <c r="E12" s="7"/>
      <c r="F12" s="7"/>
      <c r="G12" s="7"/>
      <c r="H12" s="18" t="s">
        <v>138</v>
      </c>
      <c r="I12" s="7"/>
      <c r="J12" s="7"/>
      <c r="K12" s="7"/>
      <c r="L12" s="7"/>
      <c r="M12" s="7"/>
      <c r="N12" s="7"/>
      <c r="O12" s="7"/>
      <c r="P12" s="7"/>
      <c r="Q12" s="120"/>
      <c r="R12" s="121"/>
      <c r="S12" s="28"/>
      <c r="T12" s="28"/>
      <c r="U12" s="47"/>
      <c r="V12" s="112"/>
    </row>
    <row r="13" spans="1:24" ht="18" customHeight="1">
      <c r="A13" s="114"/>
      <c r="B13" s="7"/>
      <c r="C13" s="14" t="s">
        <v>139</v>
      </c>
      <c r="D13" s="7"/>
      <c r="E13" s="7"/>
      <c r="F13" s="7"/>
      <c r="G13" s="7"/>
      <c r="H13" s="7"/>
      <c r="I13" s="7"/>
      <c r="J13" s="7"/>
      <c r="K13" s="7"/>
      <c r="L13" s="7"/>
      <c r="M13" s="7"/>
      <c r="N13" s="7"/>
      <c r="O13" s="7"/>
      <c r="P13" s="7"/>
      <c r="Q13" s="120"/>
      <c r="R13" s="121" t="s">
        <v>127</v>
      </c>
      <c r="S13" s="765">
        <f>S9*(1+S10*(75-20))</f>
        <v>4.4875935</v>
      </c>
      <c r="T13" s="765"/>
      <c r="U13" s="47" t="s">
        <v>132</v>
      </c>
      <c r="V13" s="112"/>
      <c r="W13" s="30">
        <f>J46</f>
        <v>0</v>
      </c>
    </row>
    <row r="14" spans="1:24" ht="18" customHeight="1">
      <c r="A14" s="114"/>
      <c r="B14" s="7"/>
      <c r="C14" s="14" t="s">
        <v>140</v>
      </c>
      <c r="D14" s="7"/>
      <c r="E14" s="7"/>
      <c r="F14" s="7"/>
      <c r="G14" s="7"/>
      <c r="H14" s="7"/>
      <c r="I14" s="7"/>
      <c r="J14" s="7"/>
      <c r="K14" s="7"/>
      <c r="L14" s="7"/>
      <c r="M14" s="7"/>
      <c r="N14" s="7"/>
      <c r="O14" s="7"/>
      <c r="P14" s="7"/>
      <c r="Q14" s="120" t="s">
        <v>141</v>
      </c>
      <c r="R14" s="121" t="s">
        <v>127</v>
      </c>
      <c r="S14" s="765">
        <f>S13/1000</f>
        <v>4.4875935000000004E-3</v>
      </c>
      <c r="T14" s="765"/>
      <c r="U14" s="47" t="s">
        <v>142</v>
      </c>
      <c r="V14" s="112"/>
    </row>
    <row r="15" spans="1:24" ht="18" customHeight="1">
      <c r="A15" s="114"/>
      <c r="B15" s="7"/>
      <c r="C15" s="14" t="s">
        <v>143</v>
      </c>
      <c r="D15" s="7"/>
      <c r="E15" s="7"/>
      <c r="F15" s="7"/>
      <c r="G15" s="7"/>
      <c r="H15" s="7"/>
      <c r="I15" s="7"/>
      <c r="J15" s="7"/>
      <c r="K15" s="7"/>
      <c r="L15" s="7"/>
      <c r="M15" s="7"/>
      <c r="N15" s="7"/>
      <c r="O15" s="7"/>
      <c r="P15" s="7"/>
      <c r="Q15" s="120" t="s">
        <v>144</v>
      </c>
      <c r="R15" s="121" t="s">
        <v>127</v>
      </c>
      <c r="S15" s="743">
        <v>1</v>
      </c>
      <c r="T15" s="739"/>
      <c r="U15" s="47" t="s">
        <v>8</v>
      </c>
      <c r="V15" s="112"/>
    </row>
    <row r="16" spans="1:24" ht="18" customHeight="1">
      <c r="A16" s="114"/>
      <c r="B16" s="7"/>
      <c r="C16" s="14" t="s">
        <v>145</v>
      </c>
      <c r="D16" s="7"/>
      <c r="E16" s="7"/>
      <c r="F16" s="7"/>
      <c r="G16" s="7"/>
      <c r="H16" s="7"/>
      <c r="I16" s="7"/>
      <c r="J16" s="7"/>
      <c r="K16" s="7"/>
      <c r="L16" s="7"/>
      <c r="M16" s="7"/>
      <c r="N16" s="7"/>
      <c r="O16" s="7"/>
      <c r="P16" s="7"/>
      <c r="Q16" s="120" t="s">
        <v>146</v>
      </c>
      <c r="R16" s="121" t="s">
        <v>127</v>
      </c>
      <c r="S16" s="743">
        <v>1</v>
      </c>
      <c r="T16" s="739"/>
      <c r="U16" s="47" t="s">
        <v>8</v>
      </c>
      <c r="V16" s="112"/>
    </row>
    <row r="17" spans="1:31" ht="18" customHeight="1">
      <c r="A17" s="114"/>
      <c r="B17" s="7"/>
      <c r="C17" s="14"/>
      <c r="D17" s="7"/>
      <c r="E17" s="7"/>
      <c r="F17" s="7"/>
      <c r="G17" s="7"/>
      <c r="H17" s="7"/>
      <c r="I17" s="7"/>
      <c r="J17" s="7"/>
      <c r="K17" s="7"/>
      <c r="L17" s="7"/>
      <c r="M17" s="7"/>
      <c r="N17" s="7"/>
      <c r="O17" s="7"/>
      <c r="P17" s="7"/>
      <c r="Q17" s="120"/>
      <c r="R17" s="121"/>
      <c r="S17" s="455"/>
      <c r="T17" s="569"/>
      <c r="U17" s="47"/>
      <c r="V17" s="112"/>
    </row>
    <row r="18" spans="1:31" ht="18" customHeight="1">
      <c r="A18" s="114"/>
      <c r="B18" s="7"/>
      <c r="C18" s="18"/>
      <c r="D18" s="115"/>
      <c r="E18" s="115"/>
      <c r="F18" s="115"/>
      <c r="G18" s="115"/>
      <c r="H18" s="115"/>
      <c r="I18" s="7"/>
      <c r="J18" s="7"/>
      <c r="K18" s="7"/>
      <c r="L18" s="7"/>
      <c r="M18" s="7"/>
      <c r="N18" s="7"/>
      <c r="O18" s="7"/>
      <c r="P18" s="7"/>
      <c r="Q18" s="120"/>
      <c r="R18" s="121"/>
      <c r="S18" s="455"/>
      <c r="T18" s="569"/>
      <c r="U18" s="47"/>
      <c r="V18" s="112"/>
      <c r="AC18" s="14" t="s">
        <v>570</v>
      </c>
      <c r="AE18" s="14" t="s">
        <v>571</v>
      </c>
    </row>
    <row r="19" spans="1:31" ht="18" customHeight="1">
      <c r="A19" s="114"/>
      <c r="B19" s="7"/>
      <c r="C19" s="14" t="s">
        <v>147</v>
      </c>
      <c r="D19" s="7"/>
      <c r="E19" s="7"/>
      <c r="F19" s="7"/>
      <c r="G19" s="7"/>
      <c r="H19" s="7"/>
      <c r="I19" s="7"/>
      <c r="J19" s="126"/>
      <c r="K19" s="126"/>
      <c r="L19" s="7"/>
      <c r="M19" s="7"/>
      <c r="N19" s="7"/>
      <c r="O19" s="7"/>
      <c r="P19" s="7"/>
      <c r="Q19" s="120" t="s">
        <v>148</v>
      </c>
      <c r="R19" s="121" t="s">
        <v>127</v>
      </c>
      <c r="S19" s="743">
        <v>120</v>
      </c>
      <c r="T19" s="739"/>
      <c r="U19" s="47" t="s">
        <v>149</v>
      </c>
      <c r="V19" s="112" t="s">
        <v>129</v>
      </c>
    </row>
    <row r="20" spans="1:31" ht="18" customHeight="1">
      <c r="A20" s="114"/>
      <c r="B20" s="7"/>
      <c r="C20" s="14" t="s">
        <v>150</v>
      </c>
      <c r="D20" s="7"/>
      <c r="E20" s="7"/>
      <c r="F20" s="7"/>
      <c r="G20" s="7"/>
      <c r="H20" s="7"/>
      <c r="I20" s="7"/>
      <c r="J20" s="7"/>
      <c r="K20" s="7"/>
      <c r="L20" s="7"/>
      <c r="M20" s="7"/>
      <c r="N20" s="7"/>
      <c r="O20" s="7"/>
      <c r="P20" s="7"/>
      <c r="Q20" s="120" t="s">
        <v>151</v>
      </c>
      <c r="R20" s="121" t="s">
        <v>127</v>
      </c>
      <c r="S20" s="766">
        <f>S14*S19</f>
        <v>0.53851122000000007</v>
      </c>
      <c r="T20" s="766"/>
      <c r="U20" s="47" t="s">
        <v>152</v>
      </c>
      <c r="V20" s="112"/>
    </row>
    <row r="21" spans="1:31" ht="18" customHeight="1">
      <c r="A21" s="114"/>
      <c r="B21" s="7"/>
      <c r="C21" s="14" t="s">
        <v>153</v>
      </c>
      <c r="D21" s="7"/>
      <c r="E21" s="7"/>
      <c r="F21" s="7"/>
      <c r="G21" s="7"/>
      <c r="H21" s="7"/>
      <c r="I21" s="7"/>
      <c r="J21" s="7"/>
      <c r="K21" s="7"/>
      <c r="L21" s="7"/>
      <c r="M21" s="7"/>
      <c r="N21" s="7"/>
      <c r="O21" s="7"/>
      <c r="P21" s="7"/>
      <c r="Q21" s="120" t="s">
        <v>154</v>
      </c>
      <c r="R21" s="121" t="s">
        <v>127</v>
      </c>
      <c r="S21" s="766">
        <f>2*S14*S19</f>
        <v>1.0770224400000001</v>
      </c>
      <c r="T21" s="766"/>
      <c r="U21" s="47" t="s">
        <v>152</v>
      </c>
      <c r="V21" s="112"/>
    </row>
    <row r="22" spans="1:31" ht="18" customHeight="1">
      <c r="A22" s="114"/>
      <c r="B22" s="7"/>
      <c r="C22" s="14" t="s">
        <v>155</v>
      </c>
      <c r="D22" s="7"/>
      <c r="E22" s="7"/>
      <c r="F22" s="7"/>
      <c r="G22" s="7"/>
      <c r="H22" s="7"/>
      <c r="I22" s="7"/>
      <c r="J22" s="7"/>
      <c r="K22" s="7"/>
      <c r="L22" s="7"/>
      <c r="M22" s="7"/>
      <c r="N22" s="7"/>
      <c r="O22" s="7"/>
      <c r="P22" s="7"/>
      <c r="Q22" s="120" t="s">
        <v>156</v>
      </c>
      <c r="R22" s="121" t="s">
        <v>127</v>
      </c>
      <c r="S22" s="766">
        <f>S15*S15*S21</f>
        <v>1.0770224400000001</v>
      </c>
      <c r="T22" s="766"/>
      <c r="U22" s="47" t="s">
        <v>157</v>
      </c>
      <c r="V22" s="112"/>
    </row>
    <row r="23" spans="1:31" ht="18" customHeight="1">
      <c r="A23" s="114"/>
      <c r="B23" s="7"/>
      <c r="C23" s="14"/>
      <c r="D23" s="7"/>
      <c r="E23" s="7"/>
      <c r="F23" s="7"/>
      <c r="G23" s="7"/>
      <c r="H23" s="7"/>
      <c r="I23" s="7"/>
      <c r="J23" s="7"/>
      <c r="K23" s="7"/>
      <c r="L23" s="7"/>
      <c r="M23" s="7"/>
      <c r="N23" s="7"/>
      <c r="O23" s="7"/>
      <c r="P23" s="7"/>
      <c r="Q23" s="120"/>
      <c r="R23" s="121"/>
      <c r="S23" s="218"/>
      <c r="T23" s="218"/>
      <c r="U23" s="47"/>
      <c r="V23" s="112"/>
    </row>
    <row r="24" spans="1:31" ht="18" customHeight="1">
      <c r="A24" s="96"/>
      <c r="B24" s="7"/>
      <c r="C24" s="14"/>
      <c r="D24" s="7"/>
      <c r="E24" s="7"/>
      <c r="F24" s="7"/>
      <c r="G24" s="7"/>
      <c r="H24" s="7"/>
      <c r="I24" s="7"/>
      <c r="J24" s="7"/>
      <c r="K24" s="7"/>
      <c r="L24" s="7"/>
      <c r="M24" s="7"/>
      <c r="N24" s="7"/>
      <c r="O24" s="7"/>
      <c r="P24" s="7"/>
      <c r="Q24" s="120"/>
      <c r="R24" s="121"/>
      <c r="S24" s="218"/>
      <c r="T24" s="218"/>
      <c r="U24" s="47"/>
      <c r="V24" s="112"/>
    </row>
    <row r="25" spans="1:31" ht="18" customHeight="1">
      <c r="A25" s="116"/>
      <c r="B25" s="117" t="s">
        <v>158</v>
      </c>
      <c r="C25" s="7"/>
      <c r="D25" s="7"/>
      <c r="E25" s="7"/>
      <c r="F25" s="7"/>
      <c r="G25" s="7"/>
      <c r="H25" s="7"/>
      <c r="I25" s="7"/>
      <c r="J25" s="7"/>
      <c r="K25" s="7"/>
      <c r="L25" s="7"/>
      <c r="M25" s="124"/>
      <c r="N25" s="121"/>
      <c r="O25" s="7"/>
      <c r="P25" s="7"/>
      <c r="Q25" s="130"/>
      <c r="R25" s="7"/>
      <c r="S25" s="28"/>
      <c r="T25" s="28"/>
      <c r="U25" s="47"/>
      <c r="V25" s="112"/>
    </row>
    <row r="26" spans="1:31" ht="18" customHeight="1">
      <c r="A26" s="119"/>
      <c r="B26" s="18" t="s">
        <v>125</v>
      </c>
      <c r="C26" s="14"/>
      <c r="D26" s="14"/>
      <c r="E26" s="14"/>
      <c r="F26" s="14"/>
      <c r="G26" s="14"/>
      <c r="H26" s="14"/>
      <c r="I26" s="14"/>
      <c r="J26" s="14"/>
      <c r="K26" s="14"/>
      <c r="L26" s="14"/>
      <c r="M26" s="14"/>
      <c r="N26" s="14"/>
      <c r="O26" s="14"/>
      <c r="P26" s="14"/>
      <c r="Q26" s="14"/>
      <c r="R26" s="14"/>
      <c r="S26" s="14"/>
      <c r="T26" s="14"/>
      <c r="U26" s="14"/>
      <c r="V26" s="112"/>
    </row>
    <row r="27" spans="1:31" ht="18" customHeight="1">
      <c r="A27" s="114"/>
      <c r="B27" s="7"/>
      <c r="C27" s="14" t="s">
        <v>126</v>
      </c>
      <c r="D27" s="14"/>
      <c r="E27" s="14"/>
      <c r="F27" s="14"/>
      <c r="G27" s="14"/>
      <c r="H27" s="14"/>
      <c r="I27" s="14"/>
      <c r="J27" s="14"/>
      <c r="K27" s="14"/>
      <c r="L27" s="14"/>
      <c r="M27" s="7"/>
      <c r="N27" s="14"/>
      <c r="O27" s="14"/>
      <c r="P27" s="14"/>
      <c r="Q27" s="120" t="s">
        <v>8</v>
      </c>
      <c r="R27" s="28" t="s">
        <v>127</v>
      </c>
      <c r="S27" s="778">
        <v>2.5</v>
      </c>
      <c r="T27" s="779"/>
      <c r="U27" s="47" t="s">
        <v>128</v>
      </c>
      <c r="V27" s="112" t="s">
        <v>129</v>
      </c>
    </row>
    <row r="28" spans="1:31" ht="18" customHeight="1">
      <c r="A28" s="114"/>
      <c r="B28" s="7"/>
      <c r="C28" s="14" t="s">
        <v>130</v>
      </c>
      <c r="D28" s="14"/>
      <c r="E28" s="14"/>
      <c r="F28" s="14"/>
      <c r="G28" s="14"/>
      <c r="H28" s="14"/>
      <c r="I28" s="14"/>
      <c r="J28" s="14"/>
      <c r="K28" s="14"/>
      <c r="L28" s="14"/>
      <c r="M28" s="14"/>
      <c r="N28" s="14"/>
      <c r="O28" s="14"/>
      <c r="P28" s="14"/>
      <c r="Q28" s="120" t="s">
        <v>131</v>
      </c>
      <c r="R28" s="102" t="s">
        <v>127</v>
      </c>
      <c r="S28" s="780">
        <v>8.8699999999999992</v>
      </c>
      <c r="T28" s="741"/>
      <c r="U28" s="47" t="s">
        <v>132</v>
      </c>
      <c r="V28" s="112"/>
    </row>
    <row r="29" spans="1:31" ht="18" customHeight="1">
      <c r="A29" s="114"/>
      <c r="B29" s="7"/>
      <c r="C29" s="14" t="s">
        <v>133</v>
      </c>
      <c r="D29" s="14"/>
      <c r="E29" s="14"/>
      <c r="F29" s="14"/>
      <c r="G29" s="120"/>
      <c r="H29" s="120"/>
      <c r="I29" s="14" t="s">
        <v>134</v>
      </c>
      <c r="J29" s="14"/>
      <c r="K29" s="14"/>
      <c r="L29" s="14"/>
      <c r="M29" s="14"/>
      <c r="N29" s="14"/>
      <c r="O29" s="14"/>
      <c r="P29" s="14"/>
      <c r="Q29" s="120" t="s">
        <v>135</v>
      </c>
      <c r="R29" s="28" t="s">
        <v>127</v>
      </c>
      <c r="S29" s="743">
        <v>3.9300000000000003E-3</v>
      </c>
      <c r="T29" s="743"/>
      <c r="U29" s="47" t="s">
        <v>136</v>
      </c>
      <c r="V29" s="112"/>
    </row>
    <row r="30" spans="1:31" ht="18" customHeight="1">
      <c r="A30" s="96"/>
      <c r="B30" s="14"/>
      <c r="C30" s="14"/>
      <c r="D30" s="14"/>
      <c r="E30" s="14"/>
      <c r="F30" s="14"/>
      <c r="G30" s="14"/>
      <c r="H30" s="14"/>
      <c r="I30" s="14"/>
      <c r="J30" s="14"/>
      <c r="K30" s="14"/>
      <c r="L30" s="14"/>
      <c r="M30" s="14"/>
      <c r="N30" s="14"/>
      <c r="O30" s="14"/>
      <c r="P30" s="14"/>
      <c r="Q30" s="120"/>
      <c r="R30" s="28"/>
      <c r="S30" s="28"/>
      <c r="T30" s="28"/>
      <c r="U30" s="47"/>
      <c r="V30" s="112"/>
    </row>
    <row r="31" spans="1:31" ht="18" customHeight="1">
      <c r="A31" s="119"/>
      <c r="B31" s="18" t="s">
        <v>137</v>
      </c>
      <c r="C31" s="14"/>
      <c r="D31" s="14"/>
      <c r="E31" s="14"/>
      <c r="F31" s="14"/>
      <c r="G31" s="14"/>
      <c r="H31" s="7"/>
      <c r="I31" s="18" t="s">
        <v>138</v>
      </c>
      <c r="J31" s="14"/>
      <c r="K31" s="14"/>
      <c r="L31" s="14"/>
      <c r="M31" s="14"/>
      <c r="N31" s="14"/>
      <c r="O31" s="14"/>
      <c r="P31" s="14"/>
      <c r="Q31" s="120"/>
      <c r="R31" s="28"/>
      <c r="S31" s="28"/>
      <c r="T31" s="28"/>
      <c r="U31" s="47"/>
      <c r="V31" s="112"/>
    </row>
    <row r="32" spans="1:31" ht="18" hidden="1" customHeight="1">
      <c r="A32" s="114"/>
      <c r="B32" s="7"/>
      <c r="C32" s="14" t="s">
        <v>159</v>
      </c>
      <c r="D32" s="14"/>
      <c r="E32" s="14"/>
      <c r="F32" s="14"/>
      <c r="G32" s="14"/>
      <c r="H32" s="14"/>
      <c r="I32" s="14"/>
      <c r="J32" s="14"/>
      <c r="K32" s="14"/>
      <c r="L32" s="14"/>
      <c r="M32" s="14"/>
      <c r="N32" s="14"/>
      <c r="O32" s="14"/>
      <c r="P32" s="14"/>
      <c r="Q32" s="120"/>
      <c r="R32" s="28" t="s">
        <v>127</v>
      </c>
      <c r="S32" s="765">
        <f>S28*(1+S29*(75-20))</f>
        <v>10.787250499999999</v>
      </c>
      <c r="T32" s="765"/>
      <c r="U32" s="47" t="s">
        <v>132</v>
      </c>
      <c r="V32" s="112"/>
    </row>
    <row r="33" spans="1:22" ht="18" hidden="1" customHeight="1">
      <c r="A33" s="114"/>
      <c r="B33" s="7"/>
      <c r="C33" s="14" t="s">
        <v>160</v>
      </c>
      <c r="D33" s="14"/>
      <c r="E33" s="14"/>
      <c r="F33" s="14"/>
      <c r="G33" s="14"/>
      <c r="H33" s="14"/>
      <c r="I33" s="14"/>
      <c r="J33" s="14"/>
      <c r="K33" s="14"/>
      <c r="L33" s="14"/>
      <c r="M33" s="14"/>
      <c r="N33" s="14"/>
      <c r="O33" s="14"/>
      <c r="P33" s="14"/>
      <c r="Q33" s="120" t="s">
        <v>141</v>
      </c>
      <c r="R33" s="28" t="s">
        <v>127</v>
      </c>
      <c r="S33" s="765">
        <f>S32/1000</f>
        <v>1.07872505E-2</v>
      </c>
      <c r="T33" s="765"/>
      <c r="U33" s="47" t="s">
        <v>142</v>
      </c>
      <c r="V33" s="112"/>
    </row>
    <row r="34" spans="1:22" ht="18" customHeight="1">
      <c r="A34" s="114"/>
      <c r="B34" s="7"/>
      <c r="C34" s="14" t="s">
        <v>161</v>
      </c>
      <c r="D34" s="14"/>
      <c r="E34" s="14"/>
      <c r="F34" s="14"/>
      <c r="G34" s="14"/>
      <c r="H34" s="14"/>
      <c r="I34" s="14"/>
      <c r="J34" s="14"/>
      <c r="K34" s="14"/>
      <c r="L34" s="14"/>
      <c r="M34" s="14"/>
      <c r="N34" s="14"/>
      <c r="O34" s="14"/>
      <c r="P34" s="14"/>
      <c r="Q34" s="120" t="s">
        <v>162</v>
      </c>
      <c r="R34" s="28" t="s">
        <v>127</v>
      </c>
      <c r="S34" s="743" t="s">
        <v>951</v>
      </c>
      <c r="T34" s="739"/>
      <c r="U34" s="47" t="s">
        <v>163</v>
      </c>
      <c r="V34" s="112"/>
    </row>
    <row r="35" spans="1:22" ht="18" customHeight="1">
      <c r="A35" s="114"/>
      <c r="B35" s="7"/>
      <c r="C35" s="14" t="s">
        <v>164</v>
      </c>
      <c r="D35" s="14"/>
      <c r="E35" s="14"/>
      <c r="F35" s="14"/>
      <c r="G35" s="14"/>
      <c r="H35" s="14"/>
      <c r="I35" s="14"/>
      <c r="J35" s="14"/>
      <c r="K35" s="14"/>
      <c r="L35" s="14"/>
      <c r="M35" s="14"/>
      <c r="N35" s="14"/>
      <c r="O35" s="14"/>
      <c r="P35" s="14"/>
      <c r="Q35" s="120" t="s">
        <v>165</v>
      </c>
      <c r="R35" s="28" t="s">
        <v>127</v>
      </c>
      <c r="S35" s="743" t="s">
        <v>166</v>
      </c>
      <c r="T35" s="739"/>
      <c r="U35" s="47" t="s">
        <v>163</v>
      </c>
      <c r="V35" s="112"/>
    </row>
    <row r="36" spans="1:22" ht="18" customHeight="1">
      <c r="A36" s="114"/>
      <c r="B36" s="7"/>
      <c r="C36" s="14"/>
      <c r="D36" s="14"/>
      <c r="E36" s="14"/>
      <c r="F36" s="14"/>
      <c r="G36" s="14"/>
      <c r="H36" s="14"/>
      <c r="I36" s="14"/>
      <c r="J36" s="14"/>
      <c r="K36" s="14"/>
      <c r="L36" s="14"/>
      <c r="M36" s="14"/>
      <c r="N36" s="14"/>
      <c r="O36" s="14"/>
      <c r="P36" s="14"/>
      <c r="Q36" s="120"/>
      <c r="R36" s="28"/>
      <c r="S36" s="455"/>
      <c r="T36" s="569"/>
      <c r="U36" s="47"/>
      <c r="V36" s="112"/>
    </row>
    <row r="37" spans="1:22" ht="18" customHeight="1">
      <c r="A37" s="114"/>
      <c r="B37" s="7"/>
      <c r="C37" s="18"/>
      <c r="D37" s="14"/>
      <c r="E37" s="14"/>
      <c r="F37" s="14"/>
      <c r="G37" s="14"/>
      <c r="H37" s="14"/>
      <c r="I37" s="14"/>
      <c r="J37" s="14"/>
      <c r="K37" s="14"/>
      <c r="L37" s="14"/>
      <c r="M37" s="14"/>
      <c r="N37" s="14"/>
      <c r="O37" s="14"/>
      <c r="P37" s="14"/>
      <c r="Q37" s="120"/>
      <c r="R37" s="28"/>
      <c r="S37" s="455"/>
      <c r="T37" s="569"/>
      <c r="U37" s="47"/>
      <c r="V37" s="112"/>
    </row>
    <row r="38" spans="1:22" ht="18" customHeight="1">
      <c r="A38" s="114"/>
      <c r="B38" s="7"/>
      <c r="C38" s="14" t="s">
        <v>167</v>
      </c>
      <c r="D38" s="14"/>
      <c r="E38" s="14"/>
      <c r="F38" s="14"/>
      <c r="G38" s="14"/>
      <c r="H38" s="14"/>
      <c r="I38" s="14"/>
      <c r="J38" s="14"/>
      <c r="K38" s="575"/>
      <c r="L38" s="575"/>
      <c r="M38" s="14"/>
      <c r="N38" s="14"/>
      <c r="O38" s="14"/>
      <c r="P38" s="14"/>
      <c r="Q38" s="120" t="s">
        <v>148</v>
      </c>
      <c r="R38" s="28" t="s">
        <v>127</v>
      </c>
      <c r="S38" s="743">
        <v>120</v>
      </c>
      <c r="T38" s="739"/>
      <c r="U38" s="47" t="s">
        <v>149</v>
      </c>
      <c r="V38" s="112" t="s">
        <v>129</v>
      </c>
    </row>
    <row r="39" spans="1:22" ht="18" customHeight="1">
      <c r="A39" s="114"/>
      <c r="B39" s="7"/>
      <c r="C39" s="14" t="s">
        <v>168</v>
      </c>
      <c r="D39" s="14"/>
      <c r="E39" s="14"/>
      <c r="F39" s="14"/>
      <c r="G39" s="14"/>
      <c r="H39" s="14"/>
      <c r="I39" s="14"/>
      <c r="J39" s="14"/>
      <c r="K39" s="14"/>
      <c r="L39" s="14"/>
      <c r="M39" s="14"/>
      <c r="N39" s="14"/>
      <c r="O39" s="14"/>
      <c r="P39" s="14"/>
      <c r="Q39" s="120" t="s">
        <v>151</v>
      </c>
      <c r="R39" s="28" t="s">
        <v>127</v>
      </c>
      <c r="S39" s="766">
        <f>S33*S38</f>
        <v>1.2944700599999999</v>
      </c>
      <c r="T39" s="766"/>
      <c r="U39" s="47" t="s">
        <v>152</v>
      </c>
      <c r="V39" s="112"/>
    </row>
    <row r="40" spans="1:22" ht="18" customHeight="1">
      <c r="A40" s="114"/>
      <c r="B40" s="7"/>
      <c r="C40" s="14" t="s">
        <v>169</v>
      </c>
      <c r="D40" s="14"/>
      <c r="E40" s="14"/>
      <c r="F40" s="14"/>
      <c r="G40" s="14"/>
      <c r="H40" s="14"/>
      <c r="I40" s="14"/>
      <c r="J40" s="14"/>
      <c r="K40" s="14"/>
      <c r="L40" s="14"/>
      <c r="M40" s="14"/>
      <c r="N40" s="14"/>
      <c r="O40" s="14"/>
      <c r="P40" s="14"/>
      <c r="Q40" s="120" t="s">
        <v>154</v>
      </c>
      <c r="R40" s="28" t="s">
        <v>127</v>
      </c>
      <c r="S40" s="766">
        <f>2*S33*S38</f>
        <v>2.5889401199999997</v>
      </c>
      <c r="T40" s="766"/>
      <c r="U40" s="47" t="s">
        <v>152</v>
      </c>
      <c r="V40" s="112"/>
    </row>
    <row r="41" spans="1:22" ht="18" customHeight="1">
      <c r="A41" s="114"/>
      <c r="B41" s="7"/>
      <c r="C41" s="14"/>
      <c r="D41" s="14"/>
      <c r="E41" s="14"/>
      <c r="F41" s="14"/>
      <c r="G41" s="14"/>
      <c r="H41" s="14"/>
      <c r="I41" s="14"/>
      <c r="J41" s="14"/>
      <c r="K41" s="14"/>
      <c r="L41" s="14"/>
      <c r="M41" s="14"/>
      <c r="N41" s="14"/>
      <c r="O41" s="14"/>
      <c r="P41" s="14"/>
      <c r="Q41" s="120"/>
      <c r="R41" s="28"/>
      <c r="S41" s="218"/>
      <c r="T41" s="218"/>
      <c r="U41" s="47"/>
      <c r="V41" s="112"/>
    </row>
    <row r="42" spans="1:22" ht="18" customHeight="1">
      <c r="A42" s="698" t="s">
        <v>1072</v>
      </c>
      <c r="B42" s="684"/>
      <c r="C42" s="684"/>
      <c r="D42" s="684"/>
      <c r="E42" s="684"/>
      <c r="F42" s="684"/>
      <c r="G42" s="684"/>
      <c r="H42" s="684"/>
      <c r="I42" s="684"/>
      <c r="J42" s="684"/>
      <c r="K42" s="684"/>
      <c r="L42" s="684"/>
      <c r="M42" s="684"/>
      <c r="N42" s="684"/>
      <c r="O42" s="684"/>
      <c r="P42" s="684"/>
      <c r="Q42" s="684"/>
      <c r="R42" s="684"/>
      <c r="S42" s="684"/>
      <c r="T42" s="684"/>
      <c r="U42" s="684"/>
      <c r="V42" s="699"/>
    </row>
    <row r="43" spans="1:22" ht="18" customHeight="1">
      <c r="A43" s="1217"/>
      <c r="B43" s="790"/>
      <c r="C43" s="790"/>
      <c r="D43" s="790"/>
      <c r="E43" s="790"/>
      <c r="F43" s="790"/>
      <c r="G43" s="790"/>
      <c r="H43" s="790"/>
      <c r="I43" s="790"/>
      <c r="J43" s="790"/>
      <c r="K43" s="790"/>
      <c r="L43" s="790"/>
      <c r="M43" s="790"/>
      <c r="N43" s="790"/>
      <c r="O43" s="790"/>
      <c r="P43" s="790"/>
      <c r="Q43" s="790"/>
      <c r="R43" s="790"/>
      <c r="S43" s="790"/>
      <c r="T43" s="790"/>
      <c r="U43" s="790"/>
      <c r="V43" s="1218"/>
    </row>
    <row r="44" spans="1:22" ht="18" customHeight="1">
      <c r="A44" s="644"/>
      <c r="B44" s="190"/>
      <c r="C44" s="190"/>
      <c r="D44" s="190"/>
      <c r="E44" s="190"/>
      <c r="F44" s="190"/>
      <c r="G44" s="190"/>
      <c r="H44" s="190"/>
      <c r="I44" s="190"/>
      <c r="J44" s="190"/>
      <c r="K44" s="190"/>
      <c r="L44" s="190"/>
      <c r="M44" s="190"/>
      <c r="N44" s="190"/>
      <c r="O44" s="190"/>
      <c r="P44" s="190"/>
      <c r="Q44" s="190"/>
      <c r="R44" s="190"/>
      <c r="S44" s="190"/>
      <c r="T44" s="190"/>
      <c r="U44" s="190"/>
      <c r="V44" s="645"/>
    </row>
    <row r="45" spans="1:22" ht="18" customHeight="1">
      <c r="A45" s="194"/>
      <c r="B45" s="20"/>
      <c r="C45" s="20"/>
      <c r="D45" s="20"/>
      <c r="E45" s="20"/>
      <c r="F45" s="20"/>
      <c r="G45" s="20"/>
      <c r="H45" s="20"/>
      <c r="I45" s="20"/>
      <c r="J45" s="195"/>
      <c r="K45" s="20"/>
      <c r="L45" s="20"/>
      <c r="M45" s="21"/>
      <c r="N45" s="22"/>
      <c r="O45" s="20"/>
      <c r="P45" s="20"/>
      <c r="Q45" s="576"/>
      <c r="R45" s="20"/>
      <c r="S45" s="182"/>
      <c r="T45" s="182"/>
      <c r="U45" s="2"/>
      <c r="V45" s="570"/>
    </row>
    <row r="46" spans="1:22" ht="18" customHeight="1">
      <c r="A46" s="116"/>
      <c r="B46" s="117" t="s">
        <v>171</v>
      </c>
      <c r="C46" s="7"/>
      <c r="D46" s="7"/>
      <c r="E46" s="7"/>
      <c r="F46" s="7"/>
      <c r="G46" s="7"/>
      <c r="H46" s="7"/>
      <c r="I46" s="7"/>
      <c r="J46" s="7"/>
      <c r="K46" s="7"/>
      <c r="L46" s="7"/>
      <c r="M46" s="7"/>
      <c r="N46" s="121"/>
      <c r="O46" s="7"/>
      <c r="P46" s="7"/>
      <c r="Q46" s="771" t="s">
        <v>172</v>
      </c>
      <c r="R46" s="771"/>
      <c r="S46" s="772" t="s">
        <v>173</v>
      </c>
      <c r="T46" s="772"/>
      <c r="U46" s="47"/>
      <c r="V46" s="112"/>
    </row>
    <row r="47" spans="1:22" ht="18" customHeight="1">
      <c r="A47" s="773" t="s">
        <v>1073</v>
      </c>
      <c r="B47" s="749"/>
      <c r="C47" s="749"/>
      <c r="D47" s="749"/>
      <c r="E47" s="749"/>
      <c r="F47" s="749"/>
      <c r="G47" s="749"/>
      <c r="H47" s="749"/>
      <c r="I47" s="749"/>
      <c r="J47" s="749"/>
      <c r="K47" s="749"/>
      <c r="L47" s="142"/>
      <c r="M47" s="142"/>
      <c r="N47" s="579"/>
      <c r="O47" s="580" t="s">
        <v>176</v>
      </c>
      <c r="P47" s="142"/>
      <c r="Q47" s="750">
        <v>0.02</v>
      </c>
      <c r="R47" s="750"/>
      <c r="S47" s="751">
        <v>0.02</v>
      </c>
      <c r="T47" s="751"/>
      <c r="U47" s="581" t="s">
        <v>157</v>
      </c>
      <c r="V47" s="143"/>
    </row>
    <row r="48" spans="1:22" ht="18" customHeight="1">
      <c r="A48" s="748"/>
      <c r="B48" s="749"/>
      <c r="C48" s="749"/>
      <c r="D48" s="749"/>
      <c r="E48" s="749"/>
      <c r="F48" s="749"/>
      <c r="G48" s="749"/>
      <c r="H48" s="749"/>
      <c r="I48" s="749"/>
      <c r="J48" s="749"/>
      <c r="K48" s="749"/>
      <c r="L48" s="142"/>
      <c r="M48" s="142"/>
      <c r="N48" s="579"/>
      <c r="O48" s="580"/>
      <c r="P48" s="142"/>
      <c r="Q48" s="643"/>
      <c r="R48" s="643"/>
      <c r="S48" s="642"/>
      <c r="T48" s="642"/>
      <c r="U48" s="581"/>
      <c r="V48" s="143"/>
    </row>
    <row r="49" spans="1:23" ht="18" customHeight="1">
      <c r="A49" s="752" t="s">
        <v>1074</v>
      </c>
      <c r="B49" s="753"/>
      <c r="C49" s="753"/>
      <c r="D49" s="753"/>
      <c r="E49" s="753"/>
      <c r="F49" s="753"/>
      <c r="G49" s="753"/>
      <c r="H49" s="753"/>
      <c r="I49" s="753"/>
      <c r="J49" s="753"/>
      <c r="K49" s="753"/>
      <c r="L49" s="753"/>
      <c r="M49" s="753"/>
      <c r="N49" s="753"/>
      <c r="O49" s="753"/>
      <c r="P49" s="142"/>
      <c r="Q49" s="643"/>
      <c r="R49" s="643"/>
      <c r="S49" s="642"/>
      <c r="T49" s="642"/>
      <c r="U49" s="581"/>
      <c r="V49" s="143"/>
    </row>
    <row r="50" spans="1:23" ht="18" customHeight="1">
      <c r="A50" s="114"/>
      <c r="B50" s="142"/>
      <c r="C50" s="581" t="s">
        <v>178</v>
      </c>
      <c r="D50" s="142"/>
      <c r="E50" s="142"/>
      <c r="F50" s="142"/>
      <c r="G50" s="142"/>
      <c r="H50" s="142"/>
      <c r="I50" s="142"/>
      <c r="J50" s="142"/>
      <c r="K50" s="142"/>
      <c r="L50" s="582"/>
      <c r="M50" s="582"/>
      <c r="N50" s="142"/>
      <c r="O50" s="583" t="s">
        <v>179</v>
      </c>
      <c r="P50" s="142"/>
      <c r="Q50" s="750">
        <v>0.01</v>
      </c>
      <c r="R50" s="750"/>
      <c r="S50" s="751">
        <v>0.15</v>
      </c>
      <c r="T50" s="751"/>
      <c r="U50" s="581" t="s">
        <v>157</v>
      </c>
      <c r="V50" s="143"/>
    </row>
    <row r="51" spans="1:23" ht="18" customHeight="1">
      <c r="A51" s="141"/>
      <c r="B51" s="142"/>
      <c r="C51" s="578" t="s">
        <v>180</v>
      </c>
      <c r="D51" s="142"/>
      <c r="E51" s="142"/>
      <c r="F51" s="142"/>
      <c r="G51" s="142"/>
      <c r="H51" s="142"/>
      <c r="I51" s="142"/>
      <c r="J51" s="142"/>
      <c r="K51" s="142"/>
      <c r="L51" s="142"/>
      <c r="M51" s="142"/>
      <c r="N51" s="142"/>
      <c r="O51" s="583" t="s">
        <v>181</v>
      </c>
      <c r="P51" s="142"/>
      <c r="Q51" s="750">
        <v>0.1</v>
      </c>
      <c r="R51" s="750"/>
      <c r="S51" s="751">
        <v>0.5</v>
      </c>
      <c r="T51" s="751"/>
      <c r="U51" s="581" t="s">
        <v>157</v>
      </c>
      <c r="V51" s="143"/>
    </row>
    <row r="52" spans="1:23" ht="18" customHeight="1">
      <c r="A52" s="141"/>
      <c r="B52" s="142"/>
      <c r="C52" s="581" t="s">
        <v>182</v>
      </c>
      <c r="D52" s="142"/>
      <c r="E52" s="142"/>
      <c r="F52" s="142"/>
      <c r="G52" s="142"/>
      <c r="H52" s="142"/>
      <c r="I52" s="142"/>
      <c r="J52" s="142"/>
      <c r="K52" s="142"/>
      <c r="L52" s="142"/>
      <c r="M52" s="142"/>
      <c r="N52" s="142"/>
      <c r="O52" s="583" t="s">
        <v>183</v>
      </c>
      <c r="P52" s="142"/>
      <c r="Q52" s="750">
        <v>0.02</v>
      </c>
      <c r="R52" s="750"/>
      <c r="S52" s="751">
        <v>0.02</v>
      </c>
      <c r="T52" s="751"/>
      <c r="U52" s="581" t="s">
        <v>157</v>
      </c>
      <c r="V52" s="143"/>
    </row>
    <row r="53" spans="1:23" ht="18" customHeight="1">
      <c r="A53" s="141"/>
      <c r="B53" s="142"/>
      <c r="C53" s="578" t="s">
        <v>184</v>
      </c>
      <c r="D53" s="142"/>
      <c r="E53" s="142"/>
      <c r="F53" s="142"/>
      <c r="G53" s="142"/>
      <c r="H53" s="142"/>
      <c r="I53" s="142"/>
      <c r="J53" s="142"/>
      <c r="K53" s="142"/>
      <c r="L53" s="142"/>
      <c r="M53" s="142"/>
      <c r="N53" s="142"/>
      <c r="O53" s="583" t="s">
        <v>185</v>
      </c>
      <c r="P53" s="142"/>
      <c r="Q53" s="750">
        <v>0.1</v>
      </c>
      <c r="R53" s="750"/>
      <c r="S53" s="751">
        <v>0.5</v>
      </c>
      <c r="T53" s="751"/>
      <c r="U53" s="581" t="s">
        <v>157</v>
      </c>
      <c r="V53" s="143"/>
    </row>
    <row r="54" spans="1:23" ht="18" customHeight="1">
      <c r="A54" s="141"/>
      <c r="B54" s="142"/>
      <c r="C54" s="581" t="s">
        <v>186</v>
      </c>
      <c r="D54" s="142"/>
      <c r="E54" s="142"/>
      <c r="F54" s="142"/>
      <c r="G54" s="142"/>
      <c r="H54" s="142"/>
      <c r="I54" s="142"/>
      <c r="J54" s="142"/>
      <c r="K54" s="142"/>
      <c r="L54" s="142"/>
      <c r="M54" s="142"/>
      <c r="N54" s="142"/>
      <c r="O54" s="583" t="s">
        <v>187</v>
      </c>
      <c r="P54" s="142"/>
      <c r="Q54" s="750">
        <v>0.02</v>
      </c>
      <c r="R54" s="750"/>
      <c r="S54" s="751">
        <v>0.5</v>
      </c>
      <c r="T54" s="751"/>
      <c r="U54" s="581" t="s">
        <v>157</v>
      </c>
      <c r="V54" s="143"/>
    </row>
    <row r="55" spans="1:23" ht="18" customHeight="1">
      <c r="A55" s="141"/>
      <c r="B55" s="142"/>
      <c r="C55" s="581" t="s">
        <v>188</v>
      </c>
      <c r="D55" s="142"/>
      <c r="E55" s="142"/>
      <c r="F55" s="142"/>
      <c r="G55" s="142"/>
      <c r="H55" s="142"/>
      <c r="I55" s="142"/>
      <c r="J55" s="142"/>
      <c r="K55" s="142"/>
      <c r="L55" s="142"/>
      <c r="M55" s="142"/>
      <c r="N55" s="142"/>
      <c r="O55" s="583" t="s">
        <v>189</v>
      </c>
      <c r="P55" s="142"/>
      <c r="Q55" s="1045">
        <v>0.02</v>
      </c>
      <c r="R55" s="1046"/>
      <c r="S55" s="1051">
        <v>0.05</v>
      </c>
      <c r="T55" s="1052"/>
      <c r="U55" s="581" t="s">
        <v>157</v>
      </c>
      <c r="V55" s="143"/>
      <c r="W55" s="30">
        <f>J86</f>
        <v>0</v>
      </c>
    </row>
    <row r="56" spans="1:23" ht="18" customHeight="1">
      <c r="A56" s="141"/>
      <c r="B56" s="142"/>
      <c r="C56" s="581" t="s">
        <v>190</v>
      </c>
      <c r="D56" s="142"/>
      <c r="E56" s="142"/>
      <c r="F56" s="142"/>
      <c r="G56" s="142"/>
      <c r="H56" s="142"/>
      <c r="I56" s="142"/>
      <c r="J56" s="142"/>
      <c r="K56" s="142"/>
      <c r="L56" s="142"/>
      <c r="M56" s="142"/>
      <c r="N56" s="142"/>
      <c r="O56" s="583" t="s">
        <v>191</v>
      </c>
      <c r="P56" s="142"/>
      <c r="Q56" s="1045">
        <v>0.02</v>
      </c>
      <c r="R56" s="1046"/>
      <c r="S56" s="1051">
        <v>0.05</v>
      </c>
      <c r="T56" s="1052"/>
      <c r="U56" s="581" t="s">
        <v>157</v>
      </c>
      <c r="V56" s="143"/>
    </row>
    <row r="57" spans="1:23" ht="18" customHeight="1">
      <c r="A57" s="755" t="s">
        <v>1075</v>
      </c>
      <c r="B57" s="756"/>
      <c r="C57" s="756"/>
      <c r="D57" s="756"/>
      <c r="E57" s="756"/>
      <c r="F57" s="756"/>
      <c r="G57" s="756"/>
      <c r="H57" s="756"/>
      <c r="I57" s="756"/>
      <c r="J57" s="756"/>
      <c r="K57" s="756"/>
      <c r="L57" s="756"/>
      <c r="M57" s="756"/>
      <c r="N57" s="756"/>
      <c r="O57" s="756"/>
      <c r="P57" s="756"/>
      <c r="Q57" s="756"/>
      <c r="R57" s="756"/>
      <c r="S57" s="756"/>
      <c r="T57" s="756"/>
      <c r="U57" s="756"/>
      <c r="V57" s="757"/>
    </row>
    <row r="58" spans="1:23" ht="18" customHeight="1">
      <c r="A58" s="755"/>
      <c r="B58" s="756"/>
      <c r="C58" s="756"/>
      <c r="D58" s="756"/>
      <c r="E58" s="756"/>
      <c r="F58" s="756"/>
      <c r="G58" s="756"/>
      <c r="H58" s="756"/>
      <c r="I58" s="756"/>
      <c r="J58" s="756"/>
      <c r="K58" s="756"/>
      <c r="L58" s="756"/>
      <c r="M58" s="756"/>
      <c r="N58" s="756"/>
      <c r="O58" s="756"/>
      <c r="P58" s="756"/>
      <c r="Q58" s="756"/>
      <c r="R58" s="756"/>
      <c r="S58" s="756"/>
      <c r="T58" s="756"/>
      <c r="U58" s="756"/>
      <c r="V58" s="757"/>
    </row>
    <row r="59" spans="1:23" ht="18" customHeight="1">
      <c r="A59" s="348"/>
      <c r="B59" s="349"/>
      <c r="C59" s="349"/>
      <c r="D59" s="349"/>
      <c r="E59" s="349"/>
      <c r="F59" s="349"/>
      <c r="G59" s="349"/>
      <c r="H59" s="349"/>
      <c r="I59" s="111"/>
      <c r="J59" s="111"/>
      <c r="K59" s="349"/>
      <c r="L59" s="349"/>
      <c r="M59" s="349"/>
      <c r="N59" s="349"/>
      <c r="O59" s="349"/>
      <c r="P59" s="349"/>
      <c r="Q59" s="349"/>
      <c r="R59" s="349"/>
      <c r="S59" s="349"/>
      <c r="T59" s="111"/>
      <c r="U59" s="349"/>
      <c r="V59" s="470"/>
    </row>
    <row r="60" spans="1:23" ht="18" customHeight="1">
      <c r="A60" s="351"/>
      <c r="B60" s="352" t="s">
        <v>262</v>
      </c>
      <c r="C60" s="155"/>
      <c r="D60" s="155"/>
      <c r="E60" s="155"/>
      <c r="F60" s="155"/>
      <c r="G60" s="155"/>
      <c r="H60" s="155"/>
      <c r="I60" s="155"/>
      <c r="J60" s="155"/>
      <c r="K60" s="155"/>
      <c r="L60" s="155"/>
      <c r="M60" s="155"/>
      <c r="N60" s="155"/>
      <c r="O60" s="155"/>
      <c r="P60" s="155"/>
      <c r="Q60" s="353"/>
      <c r="R60" s="354"/>
      <c r="S60" s="355"/>
      <c r="T60" s="356"/>
      <c r="U60" s="357"/>
      <c r="V60" s="350"/>
    </row>
    <row r="61" spans="1:23" ht="18" customHeight="1">
      <c r="A61" s="96"/>
      <c r="B61" s="7"/>
      <c r="C61" s="14" t="s">
        <v>263</v>
      </c>
      <c r="D61" s="7"/>
      <c r="E61" s="124"/>
      <c r="F61" s="7"/>
      <c r="G61" s="7"/>
      <c r="H61" s="7"/>
      <c r="I61" s="7"/>
      <c r="J61" s="7"/>
      <c r="K61" s="7"/>
      <c r="L61" s="7"/>
      <c r="M61" s="7"/>
      <c r="N61" s="7"/>
      <c r="O61" s="155"/>
      <c r="P61" s="155"/>
      <c r="Q61" s="743">
        <v>50</v>
      </c>
      <c r="R61" s="744"/>
      <c r="S61" s="14" t="s">
        <v>264</v>
      </c>
      <c r="T61" s="356"/>
      <c r="U61" s="357"/>
      <c r="V61" s="350"/>
    </row>
    <row r="62" spans="1:23" ht="18" customHeight="1">
      <c r="A62" s="96"/>
      <c r="B62" s="358"/>
      <c r="C62" s="30" t="s">
        <v>265</v>
      </c>
      <c r="D62" s="7"/>
      <c r="E62" s="7"/>
      <c r="F62" s="7"/>
      <c r="G62" s="7"/>
      <c r="H62" s="7"/>
      <c r="I62" s="7"/>
      <c r="J62" s="7"/>
      <c r="K62" s="7"/>
      <c r="L62" s="7"/>
      <c r="M62" s="7"/>
      <c r="N62" s="7"/>
      <c r="O62" s="155"/>
      <c r="P62" s="155"/>
      <c r="Q62" s="743">
        <v>132</v>
      </c>
      <c r="R62" s="744"/>
      <c r="S62" s="14" t="s">
        <v>163</v>
      </c>
      <c r="T62" s="155"/>
      <c r="U62" s="357"/>
      <c r="V62" s="350"/>
    </row>
    <row r="63" spans="1:23" ht="18" customHeight="1">
      <c r="A63" s="96"/>
      <c r="B63" s="7"/>
      <c r="C63" s="30" t="s">
        <v>266</v>
      </c>
      <c r="D63" s="7"/>
      <c r="E63" s="7"/>
      <c r="F63" s="7"/>
      <c r="G63" s="7"/>
      <c r="H63" s="7"/>
      <c r="I63" s="7"/>
      <c r="J63" s="7"/>
      <c r="K63" s="7"/>
      <c r="L63" s="7"/>
      <c r="M63" s="7"/>
      <c r="N63" s="7"/>
      <c r="O63" s="155"/>
      <c r="P63" s="155"/>
      <c r="Q63" s="743">
        <v>50</v>
      </c>
      <c r="R63" s="744"/>
      <c r="S63" s="14" t="s">
        <v>267</v>
      </c>
      <c r="T63" s="155"/>
      <c r="U63" s="357"/>
      <c r="V63" s="350"/>
    </row>
    <row r="64" spans="1:23" ht="18" customHeight="1">
      <c r="A64" s="96"/>
      <c r="B64" s="7"/>
      <c r="C64" s="30" t="s">
        <v>268</v>
      </c>
      <c r="D64" s="14"/>
      <c r="E64" s="7"/>
      <c r="F64" s="7"/>
      <c r="G64" s="7"/>
      <c r="H64" s="7"/>
      <c r="I64" s="7"/>
      <c r="J64" s="7"/>
      <c r="K64" s="7"/>
      <c r="L64" s="7"/>
      <c r="M64" s="7"/>
      <c r="N64" s="155"/>
      <c r="O64" s="155"/>
      <c r="P64" s="155"/>
      <c r="Q64" s="743">
        <v>15</v>
      </c>
      <c r="R64" s="744"/>
      <c r="S64" s="359"/>
      <c r="T64" s="356"/>
      <c r="U64" s="357"/>
      <c r="V64" s="350"/>
    </row>
    <row r="65" spans="1:22" ht="18" customHeight="1">
      <c r="A65" s="96"/>
      <c r="B65" s="7"/>
      <c r="C65" s="14" t="s">
        <v>270</v>
      </c>
      <c r="D65" s="7"/>
      <c r="E65" s="124"/>
      <c r="F65" s="360"/>
      <c r="G65" s="155"/>
      <c r="H65" s="155"/>
      <c r="I65" s="155"/>
      <c r="J65" s="155"/>
      <c r="K65" s="155"/>
      <c r="L65" s="155"/>
      <c r="M65" s="155"/>
      <c r="N65" s="155"/>
      <c r="O65" s="155"/>
      <c r="P65" s="155"/>
      <c r="Q65" s="743">
        <v>132</v>
      </c>
      <c r="R65" s="744"/>
      <c r="S65" s="14" t="s">
        <v>163</v>
      </c>
      <c r="T65" s="356"/>
      <c r="U65" s="357"/>
      <c r="V65" s="350"/>
    </row>
    <row r="66" spans="1:22" ht="18" customHeight="1">
      <c r="A66" s="96"/>
      <c r="B66" s="7"/>
      <c r="C66" s="14" t="s">
        <v>271</v>
      </c>
      <c r="D66" s="7"/>
      <c r="E66" s="124"/>
      <c r="F66" s="360"/>
      <c r="G66" s="155"/>
      <c r="H66" s="155"/>
      <c r="I66" s="155"/>
      <c r="J66" s="155"/>
      <c r="K66" s="155"/>
      <c r="L66" s="155"/>
      <c r="M66" s="155"/>
      <c r="N66" s="155"/>
      <c r="O66" s="155"/>
      <c r="P66" s="155"/>
      <c r="Q66" s="743">
        <v>40</v>
      </c>
      <c r="R66" s="744"/>
      <c r="S66" s="14" t="s">
        <v>267</v>
      </c>
      <c r="T66" s="356"/>
      <c r="U66" s="357"/>
      <c r="V66" s="350"/>
    </row>
    <row r="67" spans="1:22" ht="18" customHeight="1">
      <c r="A67" s="146"/>
      <c r="B67" s="32"/>
      <c r="C67" s="38" t="s">
        <v>273</v>
      </c>
      <c r="D67" s="32"/>
      <c r="E67" s="361"/>
      <c r="F67" s="362"/>
      <c r="G67" s="363"/>
      <c r="H67" s="363"/>
      <c r="I67" s="363"/>
      <c r="J67" s="363"/>
      <c r="K67" s="363"/>
      <c r="L67" s="363"/>
      <c r="M67" s="363"/>
      <c r="N67" s="363"/>
      <c r="O67" s="363"/>
      <c r="P67" s="363"/>
      <c r="Q67" s="1066"/>
      <c r="R67" s="1067"/>
      <c r="S67" s="38"/>
      <c r="T67" s="366"/>
      <c r="U67" s="367"/>
      <c r="V67" s="368"/>
    </row>
    <row r="68" spans="1:22" ht="18" customHeight="1">
      <c r="A68" s="96"/>
      <c r="B68" s="32"/>
      <c r="C68" s="38"/>
      <c r="D68" s="32"/>
      <c r="E68" s="361"/>
      <c r="F68" s="362"/>
      <c r="G68" s="363"/>
      <c r="H68" s="363"/>
      <c r="I68" s="363"/>
      <c r="J68" s="363"/>
      <c r="K68" s="363"/>
      <c r="L68" s="363"/>
      <c r="M68" s="363"/>
      <c r="N68" s="363"/>
      <c r="O68" s="363"/>
      <c r="P68" s="363"/>
      <c r="Q68" s="364"/>
      <c r="R68" s="365"/>
      <c r="S68" s="38"/>
      <c r="T68" s="366"/>
      <c r="U68" s="357"/>
      <c r="V68" s="350"/>
    </row>
    <row r="69" spans="1:22" ht="18" customHeight="1">
      <c r="A69" s="96"/>
      <c r="B69" s="352" t="s">
        <v>274</v>
      </c>
      <c r="C69" s="155"/>
      <c r="D69" s="155"/>
      <c r="E69" s="155"/>
      <c r="F69" s="155"/>
      <c r="G69" s="360"/>
      <c r="H69" s="353"/>
      <c r="I69" s="155"/>
      <c r="J69" s="155"/>
      <c r="K69" s="369"/>
      <c r="L69" s="155"/>
      <c r="M69" s="155"/>
      <c r="N69" s="155"/>
      <c r="O69" s="155"/>
      <c r="P69" s="155"/>
      <c r="Q69" s="353"/>
      <c r="R69" s="360"/>
      <c r="S69" s="355"/>
      <c r="T69" s="356"/>
      <c r="U69" s="357"/>
      <c r="V69" s="350"/>
    </row>
    <row r="70" spans="1:22" ht="18" customHeight="1">
      <c r="A70" s="272" t="s">
        <v>275</v>
      </c>
      <c r="B70" s="7"/>
      <c r="C70" s="7"/>
      <c r="D70" s="7"/>
      <c r="E70" s="125">
        <v>3</v>
      </c>
      <c r="F70" s="14" t="s">
        <v>276</v>
      </c>
      <c r="G70" s="125" t="s">
        <v>277</v>
      </c>
      <c r="H70" s="47" t="s">
        <v>278</v>
      </c>
      <c r="I70" s="7"/>
      <c r="J70" s="745">
        <v>240</v>
      </c>
      <c r="K70" s="746"/>
      <c r="L70" s="14" t="s">
        <v>279</v>
      </c>
      <c r="M70" s="7"/>
      <c r="N70" s="125">
        <v>1</v>
      </c>
      <c r="O70" s="14" t="s">
        <v>280</v>
      </c>
      <c r="P70" s="155"/>
      <c r="Q70" s="353"/>
      <c r="R70" s="360"/>
      <c r="S70" s="355"/>
      <c r="T70" s="356"/>
      <c r="U70" s="357"/>
      <c r="V70" s="350"/>
    </row>
    <row r="71" spans="1:22" ht="18" customHeight="1">
      <c r="A71" s="370"/>
      <c r="B71" s="352" t="s">
        <v>281</v>
      </c>
      <c r="C71" s="155"/>
      <c r="D71" s="155"/>
      <c r="E71" s="155"/>
      <c r="F71" s="155"/>
      <c r="G71" s="360"/>
      <c r="H71" s="353"/>
      <c r="I71" s="155"/>
      <c r="J71" s="155"/>
      <c r="K71" s="155"/>
      <c r="L71" s="155"/>
      <c r="M71" s="155"/>
      <c r="N71" s="155"/>
      <c r="O71" s="155"/>
      <c r="P71" s="155"/>
      <c r="Q71" s="353"/>
      <c r="R71" s="360"/>
      <c r="S71" s="355"/>
      <c r="T71" s="356"/>
      <c r="U71" s="357"/>
      <c r="V71" s="350"/>
    </row>
    <row r="72" spans="1:22" ht="18" customHeight="1">
      <c r="A72" s="370"/>
      <c r="B72" s="371"/>
      <c r="C72" s="155"/>
      <c r="D72" s="155"/>
      <c r="E72" s="155"/>
      <c r="F72" s="155"/>
      <c r="G72" s="360"/>
      <c r="H72" s="353"/>
      <c r="I72" s="155"/>
      <c r="J72" s="7"/>
      <c r="K72" s="155"/>
      <c r="L72" s="155"/>
      <c r="M72" s="155"/>
      <c r="N72" s="155"/>
      <c r="O72" s="7"/>
      <c r="P72" s="155"/>
      <c r="Q72" s="186"/>
      <c r="R72" s="360"/>
      <c r="S72" s="355"/>
      <c r="T72" s="356"/>
      <c r="U72" s="357"/>
      <c r="V72" s="350"/>
    </row>
    <row r="73" spans="1:22" ht="18" customHeight="1">
      <c r="A73" s="272"/>
      <c r="B73" s="155"/>
      <c r="C73" s="47" t="s">
        <v>282</v>
      </c>
      <c r="D73" s="357"/>
      <c r="E73" s="7"/>
      <c r="F73" s="7"/>
      <c r="G73" s="7"/>
      <c r="H73" s="7"/>
      <c r="I73" s="7"/>
      <c r="J73" s="7"/>
      <c r="K73" s="7"/>
      <c r="L73" s="7"/>
      <c r="M73" s="7"/>
      <c r="N73" s="7"/>
      <c r="O73" s="28" t="s">
        <v>283</v>
      </c>
      <c r="P73" s="102" t="s">
        <v>127</v>
      </c>
      <c r="Q73" s="738">
        <v>2.2100000000000002E-2</v>
      </c>
      <c r="R73" s="747"/>
      <c r="S73" s="47" t="s">
        <v>284</v>
      </c>
      <c r="T73" s="356"/>
      <c r="U73" s="357"/>
      <c r="V73" s="350"/>
    </row>
    <row r="74" spans="1:22" ht="18" customHeight="1">
      <c r="A74" s="272"/>
      <c r="B74" s="155"/>
      <c r="C74" s="47" t="s">
        <v>285</v>
      </c>
      <c r="D74" s="155"/>
      <c r="E74" s="7"/>
      <c r="F74" s="7"/>
      <c r="G74" s="7"/>
      <c r="H74" s="7"/>
      <c r="I74" s="7"/>
      <c r="J74" s="7"/>
      <c r="K74" s="7"/>
      <c r="L74" s="7"/>
      <c r="M74" s="7"/>
      <c r="N74" s="7"/>
      <c r="O74" s="28" t="s">
        <v>286</v>
      </c>
      <c r="P74" s="102" t="s">
        <v>127</v>
      </c>
      <c r="Q74" s="738">
        <v>0.16</v>
      </c>
      <c r="R74" s="739"/>
      <c r="S74" s="47" t="s">
        <v>284</v>
      </c>
      <c r="T74" s="356"/>
      <c r="U74" s="357"/>
      <c r="V74" s="350"/>
    </row>
    <row r="75" spans="1:22" ht="18" customHeight="1">
      <c r="A75" s="272"/>
      <c r="B75" s="155"/>
      <c r="C75" s="47" t="s">
        <v>287</v>
      </c>
      <c r="D75" s="155"/>
      <c r="E75" s="7"/>
      <c r="F75" s="7"/>
      <c r="G75" s="7"/>
      <c r="H75" s="7"/>
      <c r="I75" s="7"/>
      <c r="J75" s="7"/>
      <c r="K75" s="7"/>
      <c r="L75" s="7"/>
      <c r="M75" s="7"/>
      <c r="N75" s="7"/>
      <c r="O75" s="28" t="s">
        <v>288</v>
      </c>
      <c r="P75" s="102" t="s">
        <v>127</v>
      </c>
      <c r="Q75" s="738">
        <v>0.13</v>
      </c>
      <c r="R75" s="739"/>
      <c r="S75" s="47" t="s">
        <v>284</v>
      </c>
      <c r="T75" s="155"/>
      <c r="U75" s="357"/>
      <c r="V75" s="350"/>
    </row>
    <row r="76" spans="1:22" ht="18" customHeight="1">
      <c r="A76" s="272"/>
      <c r="B76" s="155"/>
      <c r="C76" s="47" t="s">
        <v>289</v>
      </c>
      <c r="D76" s="357"/>
      <c r="E76" s="7"/>
      <c r="F76" s="7"/>
      <c r="G76" s="7"/>
      <c r="H76" s="7"/>
      <c r="I76" s="7"/>
      <c r="J76" s="7"/>
      <c r="K76" s="7"/>
      <c r="L76" s="7"/>
      <c r="M76" s="7"/>
      <c r="N76" s="7"/>
      <c r="O76" s="28" t="s">
        <v>290</v>
      </c>
      <c r="P76" s="102" t="s">
        <v>127</v>
      </c>
      <c r="Q76" s="738">
        <v>0.06</v>
      </c>
      <c r="R76" s="739"/>
      <c r="S76" s="47" t="s">
        <v>284</v>
      </c>
      <c r="T76" s="356"/>
      <c r="U76" s="357"/>
      <c r="V76" s="350"/>
    </row>
    <row r="77" spans="1:22" ht="18" customHeight="1">
      <c r="A77" s="272"/>
      <c r="B77" s="357"/>
      <c r="C77" s="47" t="s">
        <v>291</v>
      </c>
      <c r="D77" s="155"/>
      <c r="E77" s="155"/>
      <c r="F77" s="155"/>
      <c r="G77" s="155"/>
      <c r="H77" s="7"/>
      <c r="I77" s="7"/>
      <c r="J77" s="7"/>
      <c r="K77" s="7"/>
      <c r="L77" s="7"/>
      <c r="M77" s="7"/>
      <c r="N77" s="7"/>
      <c r="O77" s="121"/>
      <c r="P77" s="102" t="s">
        <v>127</v>
      </c>
      <c r="Q77" s="740">
        <v>1.74</v>
      </c>
      <c r="R77" s="741"/>
      <c r="S77" s="372" t="s">
        <v>292</v>
      </c>
      <c r="T77" s="356"/>
      <c r="U77" s="357"/>
      <c r="V77" s="350"/>
    </row>
    <row r="78" spans="1:22" ht="18" customHeight="1">
      <c r="A78" s="373"/>
      <c r="B78" s="357"/>
      <c r="C78" s="155"/>
      <c r="D78" s="155"/>
      <c r="E78" s="155"/>
      <c r="F78" s="155"/>
      <c r="G78" s="155"/>
      <c r="H78" s="155"/>
      <c r="I78" s="155"/>
      <c r="J78" s="155"/>
      <c r="K78" s="155"/>
      <c r="L78" s="353"/>
      <c r="M78" s="353"/>
      <c r="N78" s="155"/>
      <c r="O78" s="155"/>
      <c r="P78" s="155"/>
      <c r="Q78" s="353"/>
      <c r="R78" s="360"/>
      <c r="S78" s="355"/>
      <c r="T78" s="356"/>
      <c r="U78" s="155"/>
      <c r="V78" s="350"/>
    </row>
    <row r="79" spans="1:22" ht="18" customHeight="1">
      <c r="A79" s="272"/>
      <c r="B79" s="357"/>
      <c r="C79" s="47" t="s">
        <v>293</v>
      </c>
      <c r="D79" s="155"/>
      <c r="E79" s="155"/>
      <c r="F79" s="155"/>
      <c r="G79" s="155"/>
      <c r="H79" s="7"/>
      <c r="I79" s="7"/>
      <c r="J79" s="28" t="s">
        <v>294</v>
      </c>
      <c r="K79" s="102" t="s">
        <v>127</v>
      </c>
      <c r="L79" s="737">
        <f>Q73/N70</f>
        <v>2.2100000000000002E-2</v>
      </c>
      <c r="M79" s="689"/>
      <c r="N79" s="102" t="s">
        <v>295</v>
      </c>
      <c r="O79" s="737">
        <f>Q74/N70</f>
        <v>0.16</v>
      </c>
      <c r="P79" s="689"/>
      <c r="Q79" s="47" t="s">
        <v>284</v>
      </c>
      <c r="R79" s="360"/>
      <c r="S79" s="355"/>
      <c r="T79" s="356"/>
      <c r="U79" s="155"/>
      <c r="V79" s="350"/>
    </row>
    <row r="80" spans="1:22" ht="18" customHeight="1">
      <c r="A80" s="272"/>
      <c r="B80" s="357"/>
      <c r="C80" s="47" t="s">
        <v>296</v>
      </c>
      <c r="D80" s="155"/>
      <c r="E80" s="155"/>
      <c r="F80" s="155"/>
      <c r="G80" s="155"/>
      <c r="H80" s="7"/>
      <c r="I80" s="7"/>
      <c r="J80" s="28" t="s">
        <v>297</v>
      </c>
      <c r="K80" s="102" t="s">
        <v>127</v>
      </c>
      <c r="L80" s="737">
        <f>Q75/N70</f>
        <v>0.13</v>
      </c>
      <c r="M80" s="689"/>
      <c r="N80" s="102" t="s">
        <v>295</v>
      </c>
      <c r="O80" s="737">
        <f>Q76/N70</f>
        <v>0.06</v>
      </c>
      <c r="P80" s="689"/>
      <c r="Q80" s="47" t="s">
        <v>284</v>
      </c>
      <c r="R80" s="360"/>
      <c r="S80" s="355"/>
      <c r="T80" s="356"/>
      <c r="U80" s="155"/>
      <c r="V80" s="350"/>
    </row>
    <row r="81" spans="1:22" ht="18" customHeight="1">
      <c r="A81" s="272"/>
      <c r="B81" s="155"/>
      <c r="C81" s="47" t="s">
        <v>298</v>
      </c>
      <c r="D81" s="155"/>
      <c r="E81" s="155"/>
      <c r="F81" s="155"/>
      <c r="G81" s="155"/>
      <c r="H81" s="7"/>
      <c r="I81" s="7"/>
      <c r="J81" s="28" t="s">
        <v>299</v>
      </c>
      <c r="K81" s="102" t="s">
        <v>127</v>
      </c>
      <c r="L81" s="711">
        <f>L79*Q77</f>
        <v>3.8454000000000002E-2</v>
      </c>
      <c r="M81" s="711"/>
      <c r="N81" s="102" t="s">
        <v>295</v>
      </c>
      <c r="O81" s="711">
        <f>O79*Q77</f>
        <v>0.27839999999999998</v>
      </c>
      <c r="P81" s="711"/>
      <c r="Q81" s="14" t="s">
        <v>152</v>
      </c>
      <c r="R81" s="360"/>
      <c r="S81" s="355"/>
      <c r="T81" s="356"/>
      <c r="U81" s="155"/>
      <c r="V81" s="350"/>
    </row>
    <row r="82" spans="1:22" ht="18" customHeight="1">
      <c r="A82" s="272"/>
      <c r="B82" s="155"/>
      <c r="C82" s="47" t="s">
        <v>300</v>
      </c>
      <c r="D82" s="155"/>
      <c r="E82" s="155"/>
      <c r="F82" s="155"/>
      <c r="G82" s="155"/>
      <c r="H82" s="7"/>
      <c r="I82" s="7"/>
      <c r="J82" s="28" t="s">
        <v>301</v>
      </c>
      <c r="K82" s="102" t="s">
        <v>127</v>
      </c>
      <c r="L82" s="711">
        <f>L80*Q77</f>
        <v>0.22620000000000001</v>
      </c>
      <c r="M82" s="711"/>
      <c r="N82" s="102" t="s">
        <v>295</v>
      </c>
      <c r="O82" s="711">
        <f>O80*Q77</f>
        <v>0.10439999999999999</v>
      </c>
      <c r="P82" s="711"/>
      <c r="Q82" s="14" t="s">
        <v>152</v>
      </c>
      <c r="R82" s="360"/>
      <c r="S82" s="355"/>
      <c r="T82" s="356"/>
      <c r="U82" s="155"/>
      <c r="V82" s="350"/>
    </row>
    <row r="83" spans="1:22" ht="18" customHeight="1">
      <c r="A83" s="370"/>
      <c r="B83" s="155"/>
      <c r="C83" s="155"/>
      <c r="D83" s="155"/>
      <c r="E83" s="155"/>
      <c r="F83" s="155"/>
      <c r="G83" s="155"/>
      <c r="H83" s="155"/>
      <c r="I83" s="155"/>
      <c r="J83" s="7"/>
      <c r="K83" s="155"/>
      <c r="L83" s="155"/>
      <c r="M83" s="155"/>
      <c r="N83" s="155"/>
      <c r="O83" s="155"/>
      <c r="P83" s="155"/>
      <c r="Q83" s="353"/>
      <c r="R83" s="360"/>
      <c r="S83" s="355"/>
      <c r="T83" s="356"/>
      <c r="U83" s="155"/>
      <c r="V83" s="350"/>
    </row>
    <row r="84" spans="1:22" ht="18" customHeight="1">
      <c r="A84" s="116"/>
      <c r="B84" s="117" t="s">
        <v>302</v>
      </c>
      <c r="C84" s="155"/>
      <c r="D84" s="155"/>
      <c r="E84" s="155"/>
      <c r="F84" s="155"/>
      <c r="G84" s="155"/>
      <c r="H84" s="155"/>
      <c r="I84" s="155"/>
      <c r="J84" s="155"/>
      <c r="K84" s="155"/>
      <c r="L84" s="155"/>
      <c r="M84" s="155"/>
      <c r="N84" s="155"/>
      <c r="O84" s="155"/>
      <c r="P84" s="155"/>
      <c r="Q84" s="353"/>
      <c r="R84" s="360"/>
      <c r="S84" s="355"/>
      <c r="T84" s="356"/>
      <c r="U84" s="155"/>
      <c r="V84" s="350"/>
    </row>
    <row r="85" spans="1:22" ht="18" customHeight="1">
      <c r="A85" s="272"/>
      <c r="B85" s="357"/>
      <c r="C85" s="47" t="s">
        <v>303</v>
      </c>
      <c r="D85" s="155"/>
      <c r="E85" s="155"/>
      <c r="F85" s="155"/>
      <c r="G85" s="155"/>
      <c r="H85" s="155"/>
      <c r="I85" s="155"/>
      <c r="J85" s="155"/>
      <c r="K85" s="155"/>
      <c r="L85" s="353"/>
      <c r="M85" s="353"/>
      <c r="N85" s="155"/>
      <c r="O85" s="155"/>
      <c r="P85" s="102" t="s">
        <v>127</v>
      </c>
      <c r="Q85" s="689">
        <f>Q63*1000</f>
        <v>50000</v>
      </c>
      <c r="R85" s="689"/>
      <c r="S85" s="47" t="s">
        <v>8</v>
      </c>
      <c r="T85" s="356"/>
      <c r="U85" s="155"/>
      <c r="V85" s="350"/>
    </row>
    <row r="86" spans="1:22" ht="18" customHeight="1">
      <c r="A86" s="272"/>
      <c r="B86" s="357"/>
      <c r="C86" s="47"/>
      <c r="D86" s="155"/>
      <c r="E86" s="155"/>
      <c r="F86" s="155"/>
      <c r="G86" s="155"/>
      <c r="H86" s="155"/>
      <c r="I86" s="155"/>
      <c r="J86" s="155"/>
      <c r="K86" s="155"/>
      <c r="L86" s="353"/>
      <c r="M86" s="353"/>
      <c r="N86" s="155"/>
      <c r="O86" s="155"/>
      <c r="P86" s="102"/>
      <c r="Q86" s="28"/>
      <c r="R86" s="28"/>
      <c r="S86" s="47"/>
      <c r="T86" s="356"/>
      <c r="U86" s="155"/>
      <c r="V86" s="350"/>
    </row>
    <row r="87" spans="1:22" ht="18" customHeight="1">
      <c r="A87" s="272"/>
      <c r="B87" s="357"/>
      <c r="C87" s="47"/>
      <c r="D87" s="155"/>
      <c r="E87" s="155"/>
      <c r="F87" s="155"/>
      <c r="G87" s="155"/>
      <c r="H87" s="155"/>
      <c r="I87" s="155"/>
      <c r="J87" s="155"/>
      <c r="K87" s="155"/>
      <c r="L87" s="353"/>
      <c r="M87" s="353"/>
      <c r="N87" s="155"/>
      <c r="O87" s="155"/>
      <c r="P87" s="102"/>
      <c r="Q87" s="28"/>
      <c r="R87" s="28"/>
      <c r="S87" s="47"/>
      <c r="T87" s="356"/>
      <c r="U87" s="155"/>
      <c r="V87" s="350"/>
    </row>
    <row r="88" spans="1:22" ht="18" hidden="1" customHeight="1">
      <c r="A88" s="272"/>
      <c r="B88" s="357"/>
      <c r="C88" s="47" t="s">
        <v>304</v>
      </c>
      <c r="D88" s="155"/>
      <c r="E88" s="155"/>
      <c r="F88" s="155"/>
      <c r="G88" s="155"/>
      <c r="H88" s="155"/>
      <c r="I88" s="155"/>
      <c r="J88" s="155"/>
      <c r="K88" s="155"/>
      <c r="L88" s="155"/>
      <c r="M88" s="155"/>
      <c r="N88" s="155"/>
      <c r="O88" s="155"/>
      <c r="P88" s="102" t="s">
        <v>127</v>
      </c>
      <c r="Q88" s="689">
        <f>Q62*1000</f>
        <v>132000</v>
      </c>
      <c r="R88" s="689"/>
      <c r="S88" s="47" t="s">
        <v>305</v>
      </c>
      <c r="T88" s="356"/>
      <c r="U88" s="155"/>
      <c r="V88" s="350"/>
    </row>
    <row r="89" spans="1:22" s="14" customFormat="1" ht="18" hidden="1" customHeight="1">
      <c r="A89" s="272"/>
      <c r="B89" s="357"/>
      <c r="C89" s="47" t="s">
        <v>306</v>
      </c>
      <c r="D89" s="155"/>
      <c r="E89" s="155"/>
      <c r="F89" s="155"/>
      <c r="G89" s="155"/>
      <c r="H89" s="155"/>
      <c r="I89" s="155"/>
      <c r="J89" s="155"/>
      <c r="K89" s="155"/>
      <c r="L89" s="155"/>
      <c r="M89" s="155"/>
      <c r="N89" s="155"/>
      <c r="O89" s="155"/>
      <c r="P89" s="102" t="s">
        <v>127</v>
      </c>
      <c r="Q89" s="689">
        <f>Q66*1000</f>
        <v>40000</v>
      </c>
      <c r="R89" s="689"/>
      <c r="S89" s="47" t="s">
        <v>8</v>
      </c>
      <c r="T89" s="356"/>
      <c r="U89" s="155"/>
      <c r="V89" s="350"/>
    </row>
    <row r="90" spans="1:22" ht="18" hidden="1" customHeight="1">
      <c r="A90" s="272"/>
      <c r="B90" s="357"/>
      <c r="C90" s="47" t="s">
        <v>307</v>
      </c>
      <c r="D90" s="155"/>
      <c r="E90" s="155"/>
      <c r="F90" s="155"/>
      <c r="G90" s="155"/>
      <c r="H90" s="155"/>
      <c r="I90" s="155"/>
      <c r="J90" s="155"/>
      <c r="K90" s="155"/>
      <c r="L90" s="155"/>
      <c r="M90" s="155"/>
      <c r="N90" s="155"/>
      <c r="O90" s="155"/>
      <c r="P90" s="102" t="s">
        <v>127</v>
      </c>
      <c r="Q90" s="689">
        <f>Q65*1000</f>
        <v>132000</v>
      </c>
      <c r="R90" s="689"/>
      <c r="S90" s="47" t="s">
        <v>305</v>
      </c>
      <c r="T90" s="356"/>
      <c r="U90" s="155"/>
      <c r="V90" s="350"/>
    </row>
    <row r="91" spans="1:22" ht="18" hidden="1" customHeight="1">
      <c r="A91" s="374"/>
      <c r="B91" s="375"/>
      <c r="C91" s="155"/>
      <c r="D91" s="155"/>
      <c r="E91" s="156"/>
      <c r="F91" s="156"/>
      <c r="G91" s="156"/>
      <c r="H91" s="156"/>
      <c r="I91" s="155"/>
      <c r="J91" s="155"/>
      <c r="K91" s="155"/>
      <c r="L91" s="155"/>
      <c r="M91" s="155"/>
      <c r="N91" s="155"/>
      <c r="O91" s="155"/>
      <c r="P91" s="7"/>
      <c r="Q91" s="353"/>
      <c r="R91" s="360"/>
      <c r="S91" s="7"/>
      <c r="T91" s="356"/>
      <c r="U91" s="155"/>
      <c r="V91" s="350"/>
    </row>
    <row r="92" spans="1:22" ht="18" hidden="1" customHeight="1">
      <c r="A92" s="272" t="s">
        <v>308</v>
      </c>
      <c r="B92" s="375"/>
      <c r="C92" s="155"/>
      <c r="D92" s="155"/>
      <c r="E92" s="156"/>
      <c r="F92" s="156"/>
      <c r="G92" s="156"/>
      <c r="H92" s="7"/>
      <c r="I92" s="155"/>
      <c r="J92" s="155"/>
      <c r="K92" s="155"/>
      <c r="L92" s="155"/>
      <c r="M92" s="376"/>
      <c r="N92" s="155"/>
      <c r="O92" s="155"/>
      <c r="P92" s="102" t="s">
        <v>127</v>
      </c>
      <c r="Q92" s="733">
        <v>1</v>
      </c>
      <c r="R92" s="734"/>
      <c r="S92" s="47" t="s">
        <v>309</v>
      </c>
      <c r="T92" s="356"/>
      <c r="U92" s="155"/>
      <c r="V92" s="350"/>
    </row>
    <row r="93" spans="1:22" ht="18" hidden="1" customHeight="1">
      <c r="A93" s="114"/>
      <c r="B93" s="353"/>
      <c r="C93" s="357"/>
      <c r="D93" s="357"/>
      <c r="E93" s="28" t="s">
        <v>310</v>
      </c>
      <c r="F93" s="102" t="s">
        <v>127</v>
      </c>
      <c r="G93" s="28" t="s">
        <v>311</v>
      </c>
      <c r="H93" s="28" t="s">
        <v>312</v>
      </c>
      <c r="I93" s="28">
        <f>Q92</f>
        <v>1</v>
      </c>
      <c r="J93" s="28" t="s">
        <v>313</v>
      </c>
      <c r="K93" s="28" t="s">
        <v>314</v>
      </c>
      <c r="L93" s="28" t="s">
        <v>315</v>
      </c>
      <c r="M93" s="28" t="s">
        <v>316</v>
      </c>
      <c r="N93" s="155"/>
      <c r="O93" s="155"/>
      <c r="P93" s="102" t="s">
        <v>127</v>
      </c>
      <c r="Q93" s="688">
        <f>(Q88*Q92)/(SQRT(3)*Q85)</f>
        <v>1.5242047106606122</v>
      </c>
      <c r="R93" s="688"/>
      <c r="S93" s="14" t="s">
        <v>152</v>
      </c>
      <c r="T93" s="356"/>
      <c r="U93" s="155"/>
      <c r="V93" s="350"/>
    </row>
    <row r="94" spans="1:22" ht="18" hidden="1" customHeight="1">
      <c r="A94" s="114"/>
      <c r="B94" s="372"/>
      <c r="C94" s="357"/>
      <c r="D94" s="357"/>
      <c r="E94" s="120" t="s">
        <v>317</v>
      </c>
      <c r="F94" s="102" t="s">
        <v>127</v>
      </c>
      <c r="G94" s="28">
        <v>2</v>
      </c>
      <c r="H94" s="28" t="s">
        <v>315</v>
      </c>
      <c r="I94" s="278" t="s">
        <v>318</v>
      </c>
      <c r="J94" s="28" t="s">
        <v>315</v>
      </c>
      <c r="K94" s="28" t="s">
        <v>319</v>
      </c>
      <c r="L94" s="28" t="s">
        <v>315</v>
      </c>
      <c r="M94" s="28" t="s">
        <v>320</v>
      </c>
      <c r="N94" s="155"/>
      <c r="O94" s="155"/>
      <c r="P94" s="377"/>
      <c r="Q94" s="764"/>
      <c r="R94" s="689"/>
      <c r="S94" s="355"/>
      <c r="T94" s="356"/>
      <c r="U94" s="155"/>
      <c r="V94" s="350"/>
    </row>
    <row r="95" spans="1:22" ht="18" hidden="1" customHeight="1">
      <c r="A95" s="373"/>
      <c r="B95" s="357"/>
      <c r="C95" s="155"/>
      <c r="D95" s="155"/>
      <c r="E95" s="47" t="s">
        <v>321</v>
      </c>
      <c r="F95" s="155"/>
      <c r="G95" s="155"/>
      <c r="H95" s="155"/>
      <c r="I95" s="155"/>
      <c r="J95" s="155"/>
      <c r="K95" s="155"/>
      <c r="L95" s="47" t="s">
        <v>322</v>
      </c>
      <c r="M95" s="155"/>
      <c r="N95" s="155"/>
      <c r="O95" s="155"/>
      <c r="P95" s="102" t="s">
        <v>127</v>
      </c>
      <c r="Q95" s="689">
        <f>Q64</f>
        <v>15</v>
      </c>
      <c r="R95" s="689"/>
      <c r="S95" s="378"/>
      <c r="T95" s="356"/>
      <c r="U95" s="155"/>
      <c r="V95" s="350"/>
    </row>
    <row r="96" spans="1:22" ht="18" hidden="1" customHeight="1">
      <c r="A96" s="373"/>
      <c r="B96" s="357"/>
      <c r="C96" s="155"/>
      <c r="D96" s="155"/>
      <c r="E96" s="47" t="s">
        <v>263</v>
      </c>
      <c r="F96" s="155"/>
      <c r="G96" s="155"/>
      <c r="H96" s="155"/>
      <c r="I96" s="155"/>
      <c r="J96" s="155"/>
      <c r="K96" s="155"/>
      <c r="L96" s="47" t="s">
        <v>319</v>
      </c>
      <c r="M96" s="155"/>
      <c r="N96" s="155"/>
      <c r="O96" s="155"/>
      <c r="P96" s="102" t="s">
        <v>127</v>
      </c>
      <c r="Q96" s="689">
        <f>Q61</f>
        <v>50</v>
      </c>
      <c r="R96" s="689"/>
      <c r="S96" s="378"/>
      <c r="T96" s="356"/>
      <c r="U96" s="155"/>
      <c r="V96" s="350"/>
    </row>
    <row r="97" spans="1:23" ht="18" hidden="1" customHeight="1">
      <c r="A97" s="373"/>
      <c r="B97" s="357"/>
      <c r="C97" s="14" t="s">
        <v>323</v>
      </c>
      <c r="D97" s="155"/>
      <c r="E97" s="47" t="s">
        <v>324</v>
      </c>
      <c r="F97" s="155"/>
      <c r="G97" s="155"/>
      <c r="H97" s="155"/>
      <c r="I97" s="155"/>
      <c r="J97" s="155"/>
      <c r="K97" s="155"/>
      <c r="L97" s="14" t="s">
        <v>325</v>
      </c>
      <c r="M97" s="379" t="s">
        <v>326</v>
      </c>
      <c r="N97" s="155"/>
      <c r="O97" s="155"/>
      <c r="P97" s="102"/>
      <c r="Q97" s="689"/>
      <c r="R97" s="689"/>
      <c r="S97" s="378"/>
      <c r="T97" s="7"/>
      <c r="U97" s="7"/>
      <c r="V97" s="112"/>
      <c r="W97" s="30">
        <f>J126</f>
        <v>0</v>
      </c>
    </row>
    <row r="98" spans="1:23" ht="18" hidden="1" customHeight="1">
      <c r="A98" s="373"/>
      <c r="B98" s="357"/>
      <c r="C98" s="7"/>
      <c r="D98" s="155"/>
      <c r="E98" s="47" t="s">
        <v>327</v>
      </c>
      <c r="F98" s="155"/>
      <c r="G98" s="155"/>
      <c r="H98" s="155"/>
      <c r="I98" s="155"/>
      <c r="J98" s="155"/>
      <c r="K98" s="155"/>
      <c r="L98" s="14" t="s">
        <v>328</v>
      </c>
      <c r="M98" s="155"/>
      <c r="N98" s="155"/>
      <c r="O98" s="155"/>
      <c r="P98" s="102" t="s">
        <v>127</v>
      </c>
      <c r="Q98" s="688">
        <f>ATAN(Q95)</f>
        <v>1.5042281630190728</v>
      </c>
      <c r="R98" s="688"/>
      <c r="S98" s="378"/>
      <c r="T98" s="7"/>
      <c r="U98" s="7"/>
      <c r="V98" s="112"/>
    </row>
    <row r="99" spans="1:23" ht="18" hidden="1" customHeight="1">
      <c r="A99" s="373"/>
      <c r="B99" s="357"/>
      <c r="C99" s="155"/>
      <c r="D99" s="155"/>
      <c r="E99" s="47" t="s">
        <v>329</v>
      </c>
      <c r="F99" s="155"/>
      <c r="G99" s="155"/>
      <c r="H99" s="155"/>
      <c r="I99" s="155"/>
      <c r="J99" s="155"/>
      <c r="K99" s="155"/>
      <c r="L99" s="14" t="s">
        <v>328</v>
      </c>
      <c r="M99" s="155"/>
      <c r="N99" s="155"/>
      <c r="O99" s="155"/>
      <c r="P99" s="102" t="s">
        <v>127</v>
      </c>
      <c r="Q99" s="688">
        <f>DEGREES(Q98)</f>
        <v>86.185925165709648</v>
      </c>
      <c r="R99" s="688"/>
      <c r="S99" s="378"/>
      <c r="T99" s="7"/>
      <c r="U99" s="7"/>
      <c r="V99" s="112"/>
    </row>
    <row r="100" spans="1:23" ht="18" hidden="1" customHeight="1">
      <c r="A100" s="373"/>
      <c r="B100" s="357"/>
      <c r="C100" s="155"/>
      <c r="D100" s="155"/>
      <c r="E100" s="372"/>
      <c r="F100" s="155"/>
      <c r="G100" s="155"/>
      <c r="H100" s="155"/>
      <c r="I100" s="155"/>
      <c r="J100" s="155"/>
      <c r="K100" s="155"/>
      <c r="L100" s="7"/>
      <c r="M100" s="155"/>
      <c r="N100" s="155"/>
      <c r="O100" s="155"/>
      <c r="P100" s="123"/>
      <c r="Q100" s="380"/>
      <c r="R100" s="380"/>
      <c r="S100" s="378"/>
      <c r="T100" s="356"/>
      <c r="U100" s="155"/>
      <c r="V100" s="350"/>
    </row>
    <row r="101" spans="1:23" ht="18" hidden="1" customHeight="1">
      <c r="A101" s="370"/>
      <c r="B101" s="155"/>
      <c r="C101" s="155"/>
      <c r="D101" s="155"/>
      <c r="E101" s="47" t="s">
        <v>330</v>
      </c>
      <c r="F101" s="155"/>
      <c r="G101" s="155"/>
      <c r="H101" s="155"/>
      <c r="I101" s="155"/>
      <c r="J101" s="155"/>
      <c r="K101" s="28" t="s">
        <v>331</v>
      </c>
      <c r="L101" s="268" t="s">
        <v>332</v>
      </c>
      <c r="M101" s="155"/>
      <c r="N101" s="155"/>
      <c r="O101" s="155"/>
      <c r="P101" s="102" t="s">
        <v>127</v>
      </c>
      <c r="Q101" s="688">
        <f>Q93*COS(Q98)</f>
        <v>0.10138858918881909</v>
      </c>
      <c r="R101" s="688"/>
      <c r="S101" s="192" t="s">
        <v>333</v>
      </c>
      <c r="T101" s="356"/>
      <c r="U101" s="155"/>
      <c r="V101" s="350"/>
    </row>
    <row r="102" spans="1:23" ht="18" hidden="1" customHeight="1">
      <c r="A102" s="370"/>
      <c r="B102" s="155"/>
      <c r="C102" s="155"/>
      <c r="D102" s="155"/>
      <c r="E102" s="14" t="s">
        <v>334</v>
      </c>
      <c r="F102" s="155"/>
      <c r="G102" s="155"/>
      <c r="H102" s="155"/>
      <c r="I102" s="155"/>
      <c r="J102" s="155"/>
      <c r="K102" s="28" t="s">
        <v>335</v>
      </c>
      <c r="L102" s="268" t="s">
        <v>336</v>
      </c>
      <c r="M102" s="155"/>
      <c r="N102" s="155"/>
      <c r="O102" s="155"/>
      <c r="P102" s="102" t="s">
        <v>127</v>
      </c>
      <c r="Q102" s="688">
        <f>Q93*SIN(Q98)</f>
        <v>1.5208288378322858</v>
      </c>
      <c r="R102" s="688"/>
      <c r="S102" s="192" t="s">
        <v>333</v>
      </c>
      <c r="T102" s="356"/>
      <c r="U102" s="155"/>
      <c r="V102" s="350"/>
    </row>
    <row r="103" spans="1:23" ht="18" hidden="1" customHeight="1">
      <c r="A103" s="114"/>
      <c r="B103" s="7"/>
      <c r="C103" s="14" t="s">
        <v>337</v>
      </c>
      <c r="D103" s="155"/>
      <c r="E103" s="47" t="s">
        <v>338</v>
      </c>
      <c r="F103" s="7"/>
      <c r="G103" s="7"/>
      <c r="H103" s="7"/>
      <c r="I103" s="7"/>
      <c r="J103" s="7"/>
      <c r="K103" s="28" t="s">
        <v>310</v>
      </c>
      <c r="L103" s="235" t="s">
        <v>127</v>
      </c>
      <c r="M103" s="7"/>
      <c r="N103" s="688">
        <f>Q101</f>
        <v>0.10138858918881909</v>
      </c>
      <c r="O103" s="689"/>
      <c r="P103" s="102" t="s">
        <v>295</v>
      </c>
      <c r="Q103" s="688">
        <f>Q102</f>
        <v>1.5208288378322858</v>
      </c>
      <c r="R103" s="689"/>
      <c r="S103" s="192" t="s">
        <v>333</v>
      </c>
      <c r="T103" s="7"/>
      <c r="U103" s="7"/>
      <c r="V103" s="381"/>
    </row>
    <row r="104" spans="1:23" ht="18" hidden="1" customHeight="1">
      <c r="A104" s="193" t="s">
        <v>887</v>
      </c>
      <c r="B104" s="14"/>
      <c r="C104" s="14"/>
      <c r="D104" s="14"/>
      <c r="E104" s="14"/>
      <c r="F104" s="14"/>
      <c r="G104" s="14"/>
      <c r="H104" s="14"/>
      <c r="I104" s="14"/>
      <c r="J104" s="14"/>
      <c r="K104" s="14"/>
      <c r="L104" s="14"/>
      <c r="M104" s="14"/>
      <c r="N104" s="14"/>
      <c r="O104" s="14"/>
      <c r="P104" s="14"/>
      <c r="Q104" s="120"/>
      <c r="R104" s="28"/>
      <c r="S104" s="525"/>
      <c r="T104" s="14"/>
      <c r="U104" s="14"/>
      <c r="V104" s="381"/>
    </row>
    <row r="105" spans="1:23" ht="18" hidden="1" customHeight="1">
      <c r="A105" s="193"/>
      <c r="B105" s="14"/>
      <c r="C105" s="28" t="s">
        <v>867</v>
      </c>
      <c r="D105" s="218" t="s">
        <v>127</v>
      </c>
      <c r="E105" s="218" t="s">
        <v>310</v>
      </c>
      <c r="F105" s="28" t="s">
        <v>342</v>
      </c>
      <c r="G105" s="14" t="s">
        <v>888</v>
      </c>
      <c r="H105" s="14"/>
      <c r="I105" s="14"/>
      <c r="J105" s="120"/>
      <c r="K105" s="120"/>
      <c r="L105" s="47" t="s">
        <v>889</v>
      </c>
      <c r="M105" s="14"/>
      <c r="N105" s="257" t="s">
        <v>299</v>
      </c>
      <c r="O105" s="14" t="s">
        <v>127</v>
      </c>
      <c r="P105" s="688">
        <f>SQRT(L81^2+O81^2)</f>
        <v>0.28104318194185035</v>
      </c>
      <c r="Q105" s="688"/>
      <c r="R105" s="120" t="s">
        <v>520</v>
      </c>
      <c r="S105" s="28"/>
      <c r="T105" s="47"/>
      <c r="U105" s="14"/>
      <c r="V105" s="185"/>
    </row>
    <row r="106" spans="1:23" ht="18" hidden="1" customHeight="1">
      <c r="A106" s="96"/>
      <c r="B106" s="14"/>
      <c r="C106" s="14"/>
      <c r="D106" s="218" t="s">
        <v>127</v>
      </c>
      <c r="E106" s="724">
        <f>Q93</f>
        <v>1.5242047106606122</v>
      </c>
      <c r="F106" s="724"/>
      <c r="G106" s="28" t="s">
        <v>342</v>
      </c>
      <c r="H106" s="689" t="s">
        <v>890</v>
      </c>
      <c r="I106" s="689"/>
      <c r="J106" s="688">
        <f>P105</f>
        <v>0.28104318194185035</v>
      </c>
      <c r="K106" s="688"/>
      <c r="L106" s="14" t="s">
        <v>350</v>
      </c>
      <c r="M106" s="14"/>
      <c r="N106" s="14"/>
      <c r="O106" s="14"/>
      <c r="P106" s="14"/>
      <c r="Q106" s="120"/>
      <c r="R106" s="28"/>
      <c r="S106" s="525"/>
      <c r="T106" s="14"/>
      <c r="U106" s="14"/>
      <c r="V106" s="381"/>
    </row>
    <row r="107" spans="1:23" ht="18" hidden="1" customHeight="1">
      <c r="A107" s="96"/>
      <c r="B107" s="14"/>
      <c r="C107" s="14"/>
      <c r="D107" s="218" t="s">
        <v>127</v>
      </c>
      <c r="E107" s="689">
        <f>E106/(0.8*J106)</f>
        <v>6.7792282849970542</v>
      </c>
      <c r="F107" s="689"/>
      <c r="G107" s="14"/>
      <c r="H107" s="14"/>
      <c r="I107" s="14"/>
      <c r="J107" s="14"/>
      <c r="K107" s="14"/>
      <c r="L107" s="14"/>
      <c r="M107" s="14"/>
      <c r="N107" s="14"/>
      <c r="O107" s="14"/>
      <c r="P107" s="14"/>
      <c r="Q107" s="120"/>
      <c r="R107" s="28"/>
      <c r="S107" s="525"/>
      <c r="T107" s="14"/>
      <c r="U107" s="14"/>
      <c r="V107" s="381"/>
    </row>
    <row r="108" spans="1:23" ht="18" hidden="1" customHeight="1">
      <c r="A108" s="96"/>
      <c r="B108" s="14"/>
      <c r="C108" s="14"/>
      <c r="D108" s="218"/>
      <c r="E108" s="28"/>
      <c r="F108" s="28"/>
      <c r="G108" s="14"/>
      <c r="H108" s="14"/>
      <c r="I108" s="14"/>
      <c r="J108" s="14"/>
      <c r="K108" s="14"/>
      <c r="L108" s="14"/>
      <c r="M108" s="14"/>
      <c r="N108" s="14"/>
      <c r="O108" s="14"/>
      <c r="P108" s="14"/>
      <c r="Q108" s="120"/>
      <c r="R108" s="28"/>
      <c r="S108" s="525"/>
      <c r="T108" s="14"/>
      <c r="U108" s="14"/>
      <c r="V108" s="381"/>
    </row>
    <row r="109" spans="1:23" ht="18" hidden="1" customHeight="1">
      <c r="A109" s="560"/>
      <c r="B109" s="7"/>
      <c r="C109" s="14"/>
      <c r="D109" s="155"/>
      <c r="E109" s="47"/>
      <c r="F109" s="7"/>
      <c r="G109" s="7"/>
      <c r="H109" s="7"/>
      <c r="I109" s="7"/>
      <c r="J109" s="7"/>
      <c r="K109" s="28"/>
      <c r="L109" s="235"/>
      <c r="M109" s="7"/>
      <c r="N109" s="541"/>
      <c r="O109" s="28"/>
      <c r="P109" s="102"/>
      <c r="Q109" s="541"/>
      <c r="R109" s="28"/>
      <c r="S109" s="192"/>
      <c r="T109" s="7"/>
      <c r="U109" s="7"/>
      <c r="V109" s="558"/>
    </row>
    <row r="110" spans="1:23" ht="18" hidden="1" customHeight="1">
      <c r="A110" s="382"/>
      <c r="B110" s="20"/>
      <c r="C110" s="20"/>
      <c r="D110" s="20"/>
      <c r="E110" s="20"/>
      <c r="F110" s="20"/>
      <c r="G110" s="20"/>
      <c r="H110" s="20"/>
      <c r="I110" s="20"/>
      <c r="J110" s="20"/>
      <c r="K110" s="20"/>
      <c r="L110" s="20"/>
      <c r="M110" s="20"/>
      <c r="N110" s="20"/>
      <c r="O110" s="20"/>
      <c r="P110" s="20"/>
      <c r="Q110" s="21"/>
      <c r="R110" s="22"/>
      <c r="S110" s="23"/>
      <c r="T110" s="20"/>
      <c r="U110" s="20"/>
      <c r="V110" s="134"/>
    </row>
    <row r="111" spans="1:23" ht="18" hidden="1" customHeight="1">
      <c r="A111" s="383" t="s">
        <v>339</v>
      </c>
      <c r="B111" s="384"/>
      <c r="C111" s="349"/>
      <c r="D111" s="385"/>
      <c r="E111" s="385"/>
      <c r="F111" s="385"/>
      <c r="G111" s="386"/>
      <c r="H111" s="386"/>
      <c r="I111" s="387"/>
      <c r="J111" s="387"/>
      <c r="K111" s="387"/>
      <c r="L111" s="387"/>
      <c r="M111" s="388"/>
      <c r="N111" s="389"/>
      <c r="O111" s="390"/>
      <c r="P111" s="391"/>
      <c r="Q111" s="392"/>
      <c r="R111" s="393"/>
      <c r="S111" s="394"/>
      <c r="T111" s="384"/>
      <c r="U111" s="384"/>
      <c r="V111" s="395"/>
    </row>
    <row r="112" spans="1:23" ht="18" hidden="1" customHeight="1">
      <c r="A112" s="396"/>
      <c r="B112" s="47" t="s">
        <v>317</v>
      </c>
      <c r="C112" s="156"/>
      <c r="D112" s="397"/>
      <c r="E112"/>
      <c r="F112" s="376"/>
      <c r="G112" s="102" t="s">
        <v>127</v>
      </c>
      <c r="H112" s="28">
        <v>2</v>
      </c>
      <c r="I112" s="28" t="s">
        <v>315</v>
      </c>
      <c r="J112" s="278" t="s">
        <v>318</v>
      </c>
      <c r="K112" s="28" t="s">
        <v>315</v>
      </c>
      <c r="L112" s="28" t="s">
        <v>319</v>
      </c>
      <c r="M112" s="28" t="s">
        <v>315</v>
      </c>
      <c r="N112" s="47" t="s">
        <v>320</v>
      </c>
      <c r="O112" s="376"/>
      <c r="P112" s="163"/>
      <c r="Q112" s="398"/>
      <c r="R112"/>
      <c r="S112" s="376"/>
      <c r="T112"/>
      <c r="U112"/>
      <c r="V112" s="10"/>
    </row>
    <row r="113" spans="1:22" ht="18" hidden="1" customHeight="1">
      <c r="A113" s="396"/>
      <c r="B113" s="47" t="s">
        <v>321</v>
      </c>
      <c r="C113" s="156"/>
      <c r="D113" s="375"/>
      <c r="E113" s="376"/>
      <c r="F113" s="376"/>
      <c r="G113"/>
      <c r="H113" s="376"/>
      <c r="I113" s="152"/>
      <c r="J113" s="152"/>
      <c r="K113" s="152"/>
      <c r="L113" s="152"/>
      <c r="M113"/>
      <c r="N113" s="376"/>
      <c r="O113" s="28" t="s">
        <v>322</v>
      </c>
      <c r="P113" s="102" t="s">
        <v>127</v>
      </c>
      <c r="Q113" s="694">
        <f>Q64</f>
        <v>15</v>
      </c>
      <c r="R113" s="689"/>
      <c r="S113" s="372"/>
      <c r="T113"/>
      <c r="U113"/>
      <c r="V113" s="10"/>
    </row>
    <row r="114" spans="1:22" ht="18" hidden="1" customHeight="1">
      <c r="A114" s="396"/>
      <c r="B114" s="47" t="s">
        <v>263</v>
      </c>
      <c r="C114" s="156"/>
      <c r="D114" s="397"/>
      <c r="E114" s="7"/>
      <c r="F114" s="7"/>
      <c r="G114"/>
      <c r="H114" s="376"/>
      <c r="I114" s="152"/>
      <c r="J114" s="152"/>
      <c r="K114" s="152"/>
      <c r="L114" s="152"/>
      <c r="M114"/>
      <c r="N114" s="376"/>
      <c r="O114" s="28" t="s">
        <v>319</v>
      </c>
      <c r="P114" s="102" t="s">
        <v>127</v>
      </c>
      <c r="Q114" s="718">
        <f>Q61</f>
        <v>50</v>
      </c>
      <c r="R114" s="718"/>
      <c r="S114" s="47" t="s">
        <v>264</v>
      </c>
      <c r="T114"/>
      <c r="U114"/>
      <c r="V114" s="10"/>
    </row>
    <row r="115" spans="1:22" ht="18" hidden="1" customHeight="1">
      <c r="A115" s="396"/>
      <c r="B115" s="249" t="s">
        <v>340</v>
      </c>
      <c r="C115" s="156"/>
      <c r="D115" s="397"/>
      <c r="E115"/>
      <c r="F115" s="123"/>
      <c r="G115" s="28" t="s">
        <v>127</v>
      </c>
      <c r="H115" s="28" t="s">
        <v>341</v>
      </c>
      <c r="I115" s="399" t="s">
        <v>342</v>
      </c>
      <c r="J115" s="28">
        <v>2</v>
      </c>
      <c r="K115" s="28" t="s">
        <v>315</v>
      </c>
      <c r="L115" s="278" t="s">
        <v>318</v>
      </c>
      <c r="M115" s="400" t="s">
        <v>315</v>
      </c>
      <c r="N115" s="218" t="s">
        <v>319</v>
      </c>
      <c r="O115" s="376"/>
      <c r="P115" s="102" t="s">
        <v>127</v>
      </c>
      <c r="Q115" s="696">
        <f>(Q113*1000)/(J115*(22/7)*Q114)</f>
        <v>47.727272727272727</v>
      </c>
      <c r="R115" s="722"/>
      <c r="S115" s="47" t="s">
        <v>343</v>
      </c>
      <c r="T115"/>
      <c r="U115"/>
      <c r="V115" s="10"/>
    </row>
    <row r="116" spans="1:22" ht="18" hidden="1" customHeight="1">
      <c r="A116" s="401"/>
      <c r="B116" s="156"/>
      <c r="C116" s="156"/>
      <c r="D116" s="397"/>
      <c r="E116" s="155"/>
      <c r="F116" s="155"/>
      <c r="G116" s="155"/>
      <c r="H116" s="155"/>
      <c r="I116" s="155"/>
      <c r="J116" s="155"/>
      <c r="K116" s="155"/>
      <c r="L116" s="155"/>
      <c r="M116" s="155"/>
      <c r="N116" s="155"/>
      <c r="O116" s="155"/>
      <c r="P116" s="155"/>
      <c r="Q116" s="155"/>
      <c r="R116" s="155"/>
      <c r="S116" s="155"/>
      <c r="T116"/>
      <c r="U116"/>
      <c r="V116" s="10"/>
    </row>
    <row r="117" spans="1:22" ht="18" hidden="1" customHeight="1">
      <c r="A117" s="193" t="s">
        <v>344</v>
      </c>
      <c r="B117" s="162"/>
      <c r="C117" s="152"/>
      <c r="D117" s="152"/>
      <c r="E117" s="152"/>
      <c r="F117" s="152"/>
      <c r="G117" s="152"/>
      <c r="H117" s="152"/>
      <c r="I117" s="152"/>
      <c r="J117" s="152"/>
      <c r="K117" s="152"/>
      <c r="L117" s="152"/>
      <c r="M117" s="152"/>
      <c r="N117" s="163"/>
      <c r="O117" s="145"/>
      <c r="P117" s="152"/>
      <c r="Q117" s="49"/>
      <c r="R117"/>
      <c r="S117"/>
      <c r="T117"/>
      <c r="U117"/>
      <c r="V117" s="10"/>
    </row>
    <row r="118" spans="1:22" ht="18" hidden="1" customHeight="1">
      <c r="A118" s="96" t="s">
        <v>345</v>
      </c>
      <c r="B118" s="156"/>
      <c r="C118" s="155"/>
      <c r="D118" s="155"/>
      <c r="E118" s="28" t="s">
        <v>346</v>
      </c>
      <c r="F118" s="28" t="s">
        <v>127</v>
      </c>
      <c r="G118" s="155"/>
      <c r="H118" s="28" t="s">
        <v>310</v>
      </c>
      <c r="I118" s="102" t="s">
        <v>347</v>
      </c>
      <c r="J118" s="14" t="s">
        <v>299</v>
      </c>
      <c r="K118" s="155"/>
      <c r="L118" s="155"/>
      <c r="M118" s="155"/>
      <c r="N118" s="155"/>
      <c r="O118" s="155"/>
      <c r="P118" s="155"/>
      <c r="Q118" s="402"/>
      <c r="R118" s="155"/>
      <c r="S118" s="156"/>
      <c r="T118"/>
      <c r="U118"/>
      <c r="V118" s="10"/>
    </row>
    <row r="119" spans="1:22" ht="18" hidden="1" customHeight="1">
      <c r="A119" s="370"/>
      <c r="B119" s="155"/>
      <c r="C119" s="155"/>
      <c r="D119" s="155"/>
      <c r="E119" s="155"/>
      <c r="F119" s="403" t="s">
        <v>348</v>
      </c>
      <c r="G119" s="688">
        <f>N103</f>
        <v>0.10138858918881909</v>
      </c>
      <c r="H119" s="689"/>
      <c r="I119" s="102" t="s">
        <v>295</v>
      </c>
      <c r="J119" s="688">
        <f>Q103</f>
        <v>1.5208288378322858</v>
      </c>
      <c r="K119" s="689"/>
      <c r="L119" s="28" t="s">
        <v>349</v>
      </c>
      <c r="M119" s="711">
        <f>L81</f>
        <v>3.8454000000000002E-2</v>
      </c>
      <c r="N119" s="689"/>
      <c r="O119" s="102" t="s">
        <v>295</v>
      </c>
      <c r="P119" s="711">
        <f>O81</f>
        <v>0.27839999999999998</v>
      </c>
      <c r="Q119" s="689"/>
      <c r="R119" s="14" t="s">
        <v>350</v>
      </c>
      <c r="S119" s="156"/>
      <c r="T119"/>
      <c r="U119"/>
      <c r="V119" s="10"/>
    </row>
    <row r="120" spans="1:22" ht="18" hidden="1" customHeight="1">
      <c r="A120" s="159"/>
      <c r="B120" s="155"/>
      <c r="C120" s="155"/>
      <c r="D120" s="155"/>
      <c r="E120" s="155"/>
      <c r="F120" s="28" t="s">
        <v>127</v>
      </c>
      <c r="G120" s="688">
        <f>G119+M119</f>
        <v>0.13984258918881909</v>
      </c>
      <c r="H120" s="689"/>
      <c r="I120" s="102" t="s">
        <v>351</v>
      </c>
      <c r="J120" s="688">
        <f>J119+P119</f>
        <v>1.7992288378322858</v>
      </c>
      <c r="K120" s="689"/>
      <c r="L120" s="404" t="s">
        <v>333</v>
      </c>
      <c r="M120" s="155"/>
      <c r="N120" s="155"/>
      <c r="O120" s="155"/>
      <c r="P120" s="155"/>
      <c r="Q120" s="155"/>
      <c r="R120" s="155"/>
      <c r="S120" s="156"/>
      <c r="T120"/>
      <c r="U120"/>
      <c r="V120" s="10"/>
    </row>
    <row r="121" spans="1:22" ht="18" hidden="1" customHeight="1">
      <c r="A121" s="114"/>
      <c r="B121" s="7"/>
      <c r="C121" s="7"/>
      <c r="D121" s="7"/>
      <c r="E121" s="7"/>
      <c r="F121" s="7"/>
      <c r="G121" s="7"/>
      <c r="H121" s="7"/>
      <c r="I121" s="7"/>
      <c r="J121" s="7"/>
      <c r="K121" s="7"/>
      <c r="L121" s="7"/>
      <c r="M121" s="7"/>
      <c r="N121" s="7"/>
      <c r="O121" s="7"/>
      <c r="P121" s="7"/>
      <c r="Q121" s="124"/>
      <c r="R121" s="121"/>
      <c r="S121" s="405"/>
      <c r="T121" s="7"/>
      <c r="U121" s="7"/>
      <c r="V121" s="381"/>
    </row>
    <row r="122" spans="1:22" ht="18" hidden="1" customHeight="1">
      <c r="A122" s="159"/>
      <c r="B122" s="155"/>
      <c r="C122" s="155"/>
      <c r="D122" s="155"/>
      <c r="E122" s="155"/>
      <c r="F122" s="28" t="s">
        <v>127</v>
      </c>
      <c r="G122" s="703">
        <f>SQRT(G120^2+J120^2)</f>
        <v>1.8046551916192608</v>
      </c>
      <c r="H122" s="689"/>
      <c r="I122" s="278" t="s">
        <v>352</v>
      </c>
      <c r="J122" s="704">
        <f>DEGREES(ATAN(J120/G120))</f>
        <v>85.555699177658028</v>
      </c>
      <c r="K122" s="689"/>
      <c r="L122" s="404" t="s">
        <v>333</v>
      </c>
      <c r="M122" s="155"/>
      <c r="N122" s="155"/>
      <c r="O122" s="155"/>
      <c r="P122" s="155"/>
      <c r="Q122" s="155"/>
      <c r="R122" s="155"/>
      <c r="S122" s="156"/>
      <c r="T122"/>
      <c r="U122"/>
      <c r="V122" s="10"/>
    </row>
    <row r="123" spans="1:22" ht="18" hidden="1" customHeight="1">
      <c r="A123" s="159"/>
      <c r="B123" s="155"/>
      <c r="C123" s="155"/>
      <c r="D123" s="155"/>
      <c r="E123" s="120" t="s">
        <v>353</v>
      </c>
      <c r="F123" s="28" t="s">
        <v>127</v>
      </c>
      <c r="G123" s="705">
        <f>J120/G120</f>
        <v>12.866100722741342</v>
      </c>
      <c r="H123" s="689"/>
      <c r="I123" s="155"/>
      <c r="J123" s="155"/>
      <c r="K123" s="124"/>
      <c r="L123" s="121"/>
      <c r="M123" s="406"/>
      <c r="N123" s="372"/>
      <c r="O123" s="376"/>
      <c r="P123" s="153"/>
      <c r="Q123" s="407"/>
      <c r="R123" s="375"/>
      <c r="S123" s="156"/>
      <c r="T123"/>
      <c r="U123"/>
      <c r="V123" s="10"/>
    </row>
    <row r="124" spans="1:22" ht="18" hidden="1" customHeight="1">
      <c r="A124" s="159"/>
      <c r="B124" s="47" t="s">
        <v>354</v>
      </c>
      <c r="C124" s="397"/>
      <c r="D124" s="155"/>
      <c r="E124" s="397"/>
      <c r="F124" s="375"/>
      <c r="G124" s="375"/>
      <c r="H124" s="156"/>
      <c r="I124" s="156"/>
      <c r="J124" s="156"/>
      <c r="K124" s="156"/>
      <c r="L124" s="236" t="s">
        <v>127</v>
      </c>
      <c r="M124" s="706">
        <f>Q88</f>
        <v>132000</v>
      </c>
      <c r="N124" s="706"/>
      <c r="O124" s="229" t="s">
        <v>315</v>
      </c>
      <c r="P124" s="707">
        <f>Q92</f>
        <v>1</v>
      </c>
      <c r="Q124" s="708"/>
      <c r="R124" s="155"/>
      <c r="S124" s="156"/>
      <c r="T124"/>
      <c r="U124"/>
      <c r="V124" s="10"/>
    </row>
    <row r="125" spans="1:22" ht="18" hidden="1" customHeight="1">
      <c r="A125" s="159"/>
      <c r="B125" s="156"/>
      <c r="C125" s="397"/>
      <c r="D125" s="375"/>
      <c r="E125" s="397"/>
      <c r="F125" s="375"/>
      <c r="G125" s="375"/>
      <c r="H125" s="156"/>
      <c r="I125" s="156"/>
      <c r="J125" s="156"/>
      <c r="K125" s="156"/>
      <c r="L125" s="157"/>
      <c r="M125" s="688">
        <f>+G122</f>
        <v>1.8046551916192608</v>
      </c>
      <c r="N125" s="688"/>
      <c r="O125" s="28" t="s">
        <v>315</v>
      </c>
      <c r="P125" s="689" t="s">
        <v>355</v>
      </c>
      <c r="Q125" s="689">
        <f>SQRT(3)</f>
        <v>1.7320508075688772</v>
      </c>
      <c r="R125" s="375"/>
      <c r="S125" s="156"/>
      <c r="T125"/>
      <c r="U125"/>
      <c r="V125" s="10"/>
    </row>
    <row r="126" spans="1:22" ht="18" hidden="1" customHeight="1">
      <c r="A126" s="9"/>
      <c r="B126"/>
      <c r="C126"/>
      <c r="D126"/>
      <c r="E126"/>
      <c r="F126"/>
      <c r="G126"/>
      <c r="H126"/>
      <c r="I126"/>
      <c r="J126"/>
      <c r="K126"/>
      <c r="L126" s="102" t="s">
        <v>127</v>
      </c>
      <c r="M126" s="709">
        <f>M124*P124/(M125*SQRT(3))</f>
        <v>42229.804278926844</v>
      </c>
      <c r="N126" s="710"/>
      <c r="O126" s="30" t="s">
        <v>8</v>
      </c>
      <c r="P126"/>
      <c r="Q126"/>
      <c r="R126"/>
      <c r="S126"/>
      <c r="T126"/>
      <c r="U126"/>
      <c r="V126" s="10"/>
    </row>
    <row r="127" spans="1:22" ht="18" hidden="1" customHeight="1">
      <c r="A127" s="9"/>
      <c r="B127"/>
      <c r="C127"/>
      <c r="D127"/>
      <c r="E127"/>
      <c r="F127"/>
      <c r="G127"/>
      <c r="H127"/>
      <c r="I127"/>
      <c r="J127"/>
      <c r="K127"/>
      <c r="L127" s="354"/>
      <c r="M127" s="409"/>
      <c r="N127" s="409"/>
      <c r="O127"/>
      <c r="P127"/>
      <c r="Q127"/>
      <c r="R127"/>
      <c r="S127"/>
      <c r="T127"/>
      <c r="U127"/>
      <c r="V127" s="10"/>
    </row>
    <row r="128" spans="1:22" ht="18" hidden="1" customHeight="1">
      <c r="A128" s="9"/>
      <c r="B128"/>
      <c r="C128"/>
      <c r="D128"/>
      <c r="E128"/>
      <c r="F128"/>
      <c r="G128"/>
      <c r="H128"/>
      <c r="I128"/>
      <c r="J128"/>
      <c r="K128"/>
      <c r="L128" s="354"/>
      <c r="M128" s="409"/>
      <c r="N128" s="409"/>
      <c r="O128"/>
      <c r="P128"/>
      <c r="Q128"/>
      <c r="R128"/>
      <c r="S128"/>
      <c r="T128"/>
      <c r="U128"/>
      <c r="V128" s="10"/>
    </row>
    <row r="129" spans="1:22" ht="18" hidden="1" customHeight="1">
      <c r="A129" s="193" t="s">
        <v>356</v>
      </c>
      <c r="B129"/>
      <c r="C129" s="155"/>
      <c r="D129" s="397"/>
      <c r="E129" s="397"/>
      <c r="F129" s="397"/>
      <c r="G129" s="375"/>
      <c r="H129" s="375"/>
      <c r="I129" s="156"/>
      <c r="J129" s="156"/>
      <c r="K129" s="156"/>
      <c r="L129" s="156"/>
      <c r="M129" s="410"/>
      <c r="N129" s="411"/>
      <c r="O129" s="412"/>
      <c r="P129" s="413"/>
      <c r="Q129" s="157"/>
      <c r="R129" s="402"/>
      <c r="S129" s="414"/>
      <c r="T129"/>
      <c r="U129"/>
      <c r="V129" s="10"/>
    </row>
    <row r="130" spans="1:22" ht="18" hidden="1" customHeight="1">
      <c r="A130" s="396"/>
      <c r="B130" s="47" t="s">
        <v>357</v>
      </c>
      <c r="C130" s="156"/>
      <c r="D130" s="397"/>
      <c r="E130"/>
      <c r="F130" s="376"/>
      <c r="G130" s="102" t="s">
        <v>127</v>
      </c>
      <c r="H130" s="28">
        <v>2</v>
      </c>
      <c r="I130" s="28" t="s">
        <v>315</v>
      </c>
      <c r="J130" s="278" t="s">
        <v>318</v>
      </c>
      <c r="K130" s="28" t="s">
        <v>315</v>
      </c>
      <c r="L130" s="28" t="s">
        <v>319</v>
      </c>
      <c r="M130" s="28" t="s">
        <v>315</v>
      </c>
      <c r="N130" s="47" t="s">
        <v>320</v>
      </c>
      <c r="O130" s="376"/>
      <c r="P130" s="163"/>
      <c r="Q130" s="398"/>
      <c r="R130"/>
      <c r="S130" s="376"/>
      <c r="T130"/>
      <c r="U130"/>
      <c r="V130" s="10"/>
    </row>
    <row r="131" spans="1:22" ht="18" hidden="1" customHeight="1">
      <c r="A131" s="396"/>
      <c r="B131" s="47" t="s">
        <v>358</v>
      </c>
      <c r="C131" s="156"/>
      <c r="D131" s="375"/>
      <c r="E131" s="376"/>
      <c r="F131" s="376"/>
      <c r="G131"/>
      <c r="H131" s="376"/>
      <c r="I131" s="152"/>
      <c r="J131" s="152"/>
      <c r="K131" s="152"/>
      <c r="L131" s="152"/>
      <c r="M131"/>
      <c r="N131" s="376"/>
      <c r="O131" s="28" t="s">
        <v>322</v>
      </c>
      <c r="P131" s="102" t="s">
        <v>127</v>
      </c>
      <c r="Q131" s="692">
        <f>G123</f>
        <v>12.866100722741342</v>
      </c>
      <c r="R131" s="692"/>
      <c r="S131" s="372"/>
      <c r="T131"/>
      <c r="U131"/>
      <c r="V131" s="10"/>
    </row>
    <row r="132" spans="1:22" ht="18" hidden="1" customHeight="1">
      <c r="A132" s="396"/>
      <c r="B132" s="47" t="s">
        <v>263</v>
      </c>
      <c r="C132" s="156"/>
      <c r="D132" s="397"/>
      <c r="E132" s="7"/>
      <c r="F132" s="7"/>
      <c r="G132"/>
      <c r="H132" s="376"/>
      <c r="I132" s="152"/>
      <c r="J132" s="152"/>
      <c r="K132" s="152"/>
      <c r="L132" s="152"/>
      <c r="M132"/>
      <c r="N132" s="376"/>
      <c r="O132" s="28" t="s">
        <v>319</v>
      </c>
      <c r="P132" s="102" t="s">
        <v>127</v>
      </c>
      <c r="Q132" s="718">
        <f>Q61</f>
        <v>50</v>
      </c>
      <c r="R132" s="708"/>
      <c r="S132" s="47" t="s">
        <v>264</v>
      </c>
      <c r="T132"/>
      <c r="U132"/>
      <c r="V132" s="10"/>
    </row>
    <row r="133" spans="1:22" s="14" customFormat="1" ht="18" hidden="1" customHeight="1">
      <c r="A133" s="396"/>
      <c r="B133" s="249" t="s">
        <v>340</v>
      </c>
      <c r="C133" s="156"/>
      <c r="D133" s="397"/>
      <c r="E133"/>
      <c r="F133" s="123"/>
      <c r="G133" s="28" t="s">
        <v>127</v>
      </c>
      <c r="H133" s="28" t="s">
        <v>341</v>
      </c>
      <c r="I133" s="399" t="s">
        <v>342</v>
      </c>
      <c r="J133" s="28">
        <v>2</v>
      </c>
      <c r="K133" s="28" t="s">
        <v>315</v>
      </c>
      <c r="L133" s="278" t="s">
        <v>318</v>
      </c>
      <c r="M133" s="400" t="s">
        <v>315</v>
      </c>
      <c r="N133" s="218" t="s">
        <v>319</v>
      </c>
      <c r="O133" s="376"/>
      <c r="P133" s="123" t="s">
        <v>127</v>
      </c>
      <c r="Q133" s="696">
        <f>(Q131*1000)/(J133*(22/7)*Q132)</f>
        <v>40.937593208722447</v>
      </c>
      <c r="R133" s="697"/>
      <c r="S133" s="47" t="s">
        <v>343</v>
      </c>
      <c r="T133"/>
      <c r="U133"/>
      <c r="V133" s="10"/>
    </row>
    <row r="134" spans="1:22" ht="18" hidden="1" customHeight="1">
      <c r="A134" s="9"/>
      <c r="B134"/>
      <c r="C134"/>
      <c r="D134"/>
      <c r="E134"/>
      <c r="F134"/>
      <c r="G134"/>
      <c r="H134"/>
      <c r="I134"/>
      <c r="J134"/>
      <c r="K134"/>
      <c r="L134"/>
      <c r="M134"/>
      <c r="N134"/>
      <c r="O134"/>
      <c r="P134"/>
      <c r="Q134"/>
      <c r="R134"/>
      <c r="S134"/>
      <c r="T134"/>
      <c r="U134"/>
      <c r="V134" s="10"/>
    </row>
    <row r="135" spans="1:22" ht="18" customHeight="1">
      <c r="A135" s="193" t="s">
        <v>359</v>
      </c>
      <c r="B135"/>
      <c r="C135"/>
      <c r="D135"/>
      <c r="E135"/>
      <c r="F135"/>
      <c r="G135"/>
      <c r="H135"/>
      <c r="I135"/>
      <c r="J135"/>
      <c r="K135"/>
      <c r="L135"/>
      <c r="M135"/>
      <c r="N135"/>
      <c r="O135"/>
      <c r="P135"/>
      <c r="Q135"/>
      <c r="R135"/>
      <c r="S135"/>
      <c r="T135"/>
      <c r="U135"/>
      <c r="V135" s="10"/>
    </row>
    <row r="136" spans="1:22" ht="18" customHeight="1">
      <c r="A136" s="184" t="s">
        <v>360</v>
      </c>
      <c r="B136"/>
      <c r="C136"/>
      <c r="D136"/>
      <c r="E136" s="28" t="s">
        <v>361</v>
      </c>
      <c r="F136" s="28" t="s">
        <v>127</v>
      </c>
      <c r="G136" s="279"/>
      <c r="H136" s="28" t="s">
        <v>310</v>
      </c>
      <c r="I136" s="102" t="s">
        <v>347</v>
      </c>
      <c r="J136" s="14" t="s">
        <v>301</v>
      </c>
      <c r="K136" s="7"/>
      <c r="L136"/>
      <c r="M136"/>
      <c r="N136"/>
      <c r="O136"/>
      <c r="P136"/>
      <c r="Q136"/>
      <c r="R136"/>
      <c r="S136"/>
      <c r="T136"/>
      <c r="U136"/>
      <c r="V136" s="10"/>
    </row>
    <row r="137" spans="1:22" ht="18" customHeight="1">
      <c r="A137" s="9"/>
      <c r="B137"/>
      <c r="C137"/>
      <c r="D137"/>
      <c r="E137"/>
      <c r="F137" s="250" t="s">
        <v>348</v>
      </c>
      <c r="G137" s="688">
        <f>N103</f>
        <v>0.10138858918881909</v>
      </c>
      <c r="H137" s="689"/>
      <c r="I137" s="102" t="s">
        <v>295</v>
      </c>
      <c r="J137" s="688">
        <f>Q103</f>
        <v>1.5208288378322858</v>
      </c>
      <c r="K137" s="689"/>
      <c r="L137" s="28" t="s">
        <v>349</v>
      </c>
      <c r="M137" s="711">
        <f>L82</f>
        <v>0.22620000000000001</v>
      </c>
      <c r="N137" s="689"/>
      <c r="O137" s="102" t="s">
        <v>295</v>
      </c>
      <c r="P137" s="711">
        <f>O82</f>
        <v>0.10439999999999999</v>
      </c>
      <c r="Q137" s="689"/>
      <c r="R137" s="14" t="s">
        <v>350</v>
      </c>
      <c r="S137"/>
      <c r="T137"/>
      <c r="U137"/>
      <c r="V137" s="10"/>
    </row>
    <row r="138" spans="1:22" ht="18" customHeight="1">
      <c r="A138" s="159"/>
      <c r="B138"/>
      <c r="C138"/>
      <c r="D138"/>
      <c r="E138"/>
      <c r="F138" s="28" t="s">
        <v>127</v>
      </c>
      <c r="G138" s="688">
        <f>G137+M137</f>
        <v>0.32758858918881911</v>
      </c>
      <c r="H138" s="689"/>
      <c r="I138" s="102" t="s">
        <v>351</v>
      </c>
      <c r="J138" s="688">
        <f>J137+P137</f>
        <v>1.6252288378322859</v>
      </c>
      <c r="K138" s="689"/>
      <c r="L138" s="192" t="s">
        <v>333</v>
      </c>
      <c r="M138"/>
      <c r="N138"/>
      <c r="O138" s="155"/>
      <c r="P138" s="415"/>
      <c r="Q138" s="121"/>
      <c r="R138" s="414"/>
      <c r="S138"/>
      <c r="T138"/>
      <c r="U138"/>
      <c r="V138" s="10"/>
    </row>
    <row r="139" spans="1:22" ht="18" customHeight="1">
      <c r="A139" s="159"/>
      <c r="B139"/>
      <c r="C139"/>
      <c r="D139"/>
      <c r="E139"/>
      <c r="F139" s="28" t="s">
        <v>127</v>
      </c>
      <c r="G139" s="703">
        <f>SQRT(G138^2+J138^2)</f>
        <v>1.6579152750030395</v>
      </c>
      <c r="H139" s="689"/>
      <c r="I139" s="278" t="s">
        <v>352</v>
      </c>
      <c r="J139" s="704">
        <f>DEGREES(ATAN(J138/G138))</f>
        <v>78.603896812409772</v>
      </c>
      <c r="K139" s="689"/>
      <c r="L139" s="192" t="s">
        <v>333</v>
      </c>
      <c r="M139" s="155"/>
      <c r="N139" s="155"/>
      <c r="O139" s="155"/>
      <c r="P139" s="415"/>
      <c r="Q139" s="121"/>
      <c r="R139" s="414"/>
      <c r="S139"/>
      <c r="T139"/>
      <c r="U139"/>
      <c r="V139" s="10"/>
    </row>
    <row r="140" spans="1:22" ht="18" customHeight="1">
      <c r="A140" s="9"/>
      <c r="B140"/>
      <c r="C140"/>
      <c r="D140"/>
      <c r="E140"/>
      <c r="F140"/>
      <c r="G140"/>
      <c r="H140"/>
      <c r="I140"/>
      <c r="J140"/>
      <c r="K140"/>
      <c r="L140"/>
      <c r="M140" s="416"/>
      <c r="N140" s="7"/>
      <c r="O140" s="417"/>
      <c r="P140" s="415"/>
      <c r="Q140" s="121"/>
      <c r="R140" s="414"/>
      <c r="S140"/>
      <c r="T140"/>
      <c r="U140"/>
      <c r="V140" s="10"/>
    </row>
    <row r="141" spans="1:22" ht="18" customHeight="1">
      <c r="A141" s="184" t="s">
        <v>345</v>
      </c>
      <c r="B141"/>
      <c r="C141"/>
      <c r="D141"/>
      <c r="E141" s="28" t="s">
        <v>362</v>
      </c>
      <c r="F141" s="28" t="s">
        <v>127</v>
      </c>
      <c r="G141" s="279"/>
      <c r="H141" s="28" t="s">
        <v>346</v>
      </c>
      <c r="I141" s="102" t="s">
        <v>347</v>
      </c>
      <c r="J141" s="28" t="s">
        <v>363</v>
      </c>
      <c r="K141" s="28" t="s">
        <v>347</v>
      </c>
      <c r="L141" s="28" t="s">
        <v>361</v>
      </c>
      <c r="M141"/>
      <c r="N141"/>
      <c r="O141"/>
      <c r="P141"/>
      <c r="Q141"/>
      <c r="R141"/>
      <c r="S141"/>
      <c r="T141"/>
      <c r="U141"/>
      <c r="V141" s="10"/>
    </row>
    <row r="142" spans="1:22" ht="18" customHeight="1">
      <c r="A142" s="9"/>
      <c r="B142" s="250" t="s">
        <v>348</v>
      </c>
      <c r="C142" s="702">
        <f>G120</f>
        <v>0.13984258918881909</v>
      </c>
      <c r="D142" s="684"/>
      <c r="E142" s="191" t="s">
        <v>351</v>
      </c>
      <c r="F142" s="702">
        <f>J120</f>
        <v>1.7992288378322858</v>
      </c>
      <c r="G142" s="684"/>
      <c r="H142" s="27" t="s">
        <v>349</v>
      </c>
      <c r="I142" s="702">
        <f>G120</f>
        <v>0.13984258918881909</v>
      </c>
      <c r="J142" s="684"/>
      <c r="K142" s="191" t="s">
        <v>351</v>
      </c>
      <c r="L142" s="702">
        <f>J120</f>
        <v>1.7992288378322858</v>
      </c>
      <c r="M142" s="684"/>
      <c r="N142" s="27" t="s">
        <v>349</v>
      </c>
      <c r="O142" s="701">
        <f>G138</f>
        <v>0.32758858918881911</v>
      </c>
      <c r="P142" s="684"/>
      <c r="Q142" s="191" t="s">
        <v>351</v>
      </c>
      <c r="R142" s="701">
        <f>J138</f>
        <v>1.6252288378322859</v>
      </c>
      <c r="S142" s="684"/>
      <c r="T142" s="30" t="s">
        <v>350</v>
      </c>
      <c r="U142"/>
      <c r="V142" s="10"/>
    </row>
    <row r="143" spans="1:22" ht="18" customHeight="1">
      <c r="A143" s="9"/>
      <c r="B143" s="27" t="s">
        <v>127</v>
      </c>
      <c r="C143" s="702">
        <f>C142+I142+O142</f>
        <v>0.60727376756645723</v>
      </c>
      <c r="D143" s="684"/>
      <c r="E143" s="191" t="s">
        <v>351</v>
      </c>
      <c r="F143" s="702">
        <f>F142+L142+R142</f>
        <v>5.2236865134968573</v>
      </c>
      <c r="G143" s="684"/>
      <c r="H143"/>
      <c r="I143"/>
      <c r="J143"/>
      <c r="K143"/>
      <c r="L143"/>
      <c r="M143"/>
      <c r="N143"/>
      <c r="O143"/>
      <c r="P143"/>
      <c r="Q143"/>
      <c r="R143"/>
      <c r="S143"/>
      <c r="T143"/>
      <c r="U143"/>
      <c r="V143" s="10"/>
    </row>
    <row r="144" spans="1:22" ht="18" customHeight="1">
      <c r="A144" s="9"/>
      <c r="B144" s="28" t="s">
        <v>127</v>
      </c>
      <c r="C144" s="703">
        <f>SQRT(C143^2+F143^2)</f>
        <v>5.2588670091630298</v>
      </c>
      <c r="D144" s="689"/>
      <c r="E144" s="278" t="s">
        <v>352</v>
      </c>
      <c r="F144" s="704">
        <f>DEGREES(ATAN(F143/C143))</f>
        <v>83.368910025118566</v>
      </c>
      <c r="G144" s="689"/>
      <c r="H144" s="43" t="s">
        <v>333</v>
      </c>
      <c r="I144"/>
      <c r="J144"/>
      <c r="K144"/>
      <c r="L144"/>
      <c r="M144"/>
      <c r="N144" s="120" t="s">
        <v>353</v>
      </c>
      <c r="O144" s="28" t="s">
        <v>127</v>
      </c>
      <c r="P144" s="705">
        <f>F143/C143</f>
        <v>8.6018642537942345</v>
      </c>
      <c r="Q144" s="705"/>
      <c r="R144"/>
      <c r="S144"/>
      <c r="T144"/>
      <c r="U144"/>
      <c r="V144" s="10"/>
    </row>
    <row r="145" spans="1:22" ht="18" customHeight="1">
      <c r="A145" s="9"/>
      <c r="B145"/>
      <c r="C145"/>
      <c r="D145"/>
      <c r="E145"/>
      <c r="F145"/>
      <c r="G145"/>
      <c r="H145"/>
      <c r="I145"/>
      <c r="J145"/>
      <c r="K145"/>
      <c r="L145"/>
      <c r="M145"/>
      <c r="N145"/>
      <c r="O145"/>
      <c r="P145"/>
      <c r="Q145"/>
      <c r="R145"/>
      <c r="S145"/>
      <c r="T145"/>
      <c r="U145"/>
      <c r="V145" s="10"/>
    </row>
    <row r="146" spans="1:22" ht="18" customHeight="1">
      <c r="A146" s="9"/>
      <c r="B146" s="47" t="s">
        <v>364</v>
      </c>
      <c r="C146" s="397"/>
      <c r="D146" s="155"/>
      <c r="E146" s="397"/>
      <c r="F146" s="375"/>
      <c r="G146" s="375"/>
      <c r="H146" s="156"/>
      <c r="I146" s="156"/>
      <c r="J146" s="156"/>
      <c r="K146" s="156"/>
      <c r="L146" s="236" t="s">
        <v>127</v>
      </c>
      <c r="M146" s="706">
        <f>Q88</f>
        <v>132000</v>
      </c>
      <c r="N146" s="706"/>
      <c r="O146" s="229" t="s">
        <v>315</v>
      </c>
      <c r="P146" s="707">
        <f>Q92</f>
        <v>1</v>
      </c>
      <c r="Q146" s="708"/>
      <c r="R146" s="229" t="s">
        <v>315</v>
      </c>
      <c r="S146" s="229">
        <v>3</v>
      </c>
      <c r="T146"/>
      <c r="U146"/>
      <c r="V146" s="10"/>
    </row>
    <row r="147" spans="1:22" ht="18" customHeight="1">
      <c r="A147" s="9"/>
      <c r="B147" s="156"/>
      <c r="C147" s="397"/>
      <c r="D147" s="375"/>
      <c r="E147" s="397"/>
      <c r="F147" s="375"/>
      <c r="G147" s="375"/>
      <c r="H147" s="156"/>
      <c r="I147" s="156"/>
      <c r="J147" s="156"/>
      <c r="K147" s="156"/>
      <c r="L147" s="157"/>
      <c r="M147" s="688">
        <f>+C144</f>
        <v>5.2588670091630298</v>
      </c>
      <c r="N147" s="688"/>
      <c r="O147" s="28" t="s">
        <v>315</v>
      </c>
      <c r="P147" s="689" t="s">
        <v>355</v>
      </c>
      <c r="Q147" s="689">
        <f>SQRT(3)</f>
        <v>1.7320508075688772</v>
      </c>
      <c r="R147" s="375"/>
      <c r="S147" s="156"/>
      <c r="T147"/>
      <c r="U147"/>
      <c r="V147" s="10"/>
    </row>
    <row r="148" spans="1:22" ht="18" customHeight="1">
      <c r="A148" s="9"/>
      <c r="B148"/>
      <c r="C148"/>
      <c r="D148"/>
      <c r="E148"/>
      <c r="F148"/>
      <c r="G148"/>
      <c r="H148"/>
      <c r="I148"/>
      <c r="J148"/>
      <c r="K148"/>
      <c r="L148" s="102" t="s">
        <v>127</v>
      </c>
      <c r="M148" s="709">
        <f>(M146*P146*S146)/(M147*SQRT(3))</f>
        <v>43475.278268251794</v>
      </c>
      <c r="N148" s="710"/>
      <c r="O148" s="30" t="s">
        <v>8</v>
      </c>
      <c r="P148"/>
      <c r="Q148"/>
      <c r="R148"/>
      <c r="S148"/>
      <c r="T148"/>
      <c r="U148"/>
      <c r="V148" s="10"/>
    </row>
    <row r="149" spans="1:22" ht="18" customHeight="1">
      <c r="A149" s="9"/>
      <c r="B149"/>
      <c r="C149"/>
      <c r="D149"/>
      <c r="E149"/>
      <c r="F149"/>
      <c r="G149"/>
      <c r="H149"/>
      <c r="I149"/>
      <c r="J149"/>
      <c r="K149"/>
      <c r="L149" s="102"/>
      <c r="M149" s="418"/>
      <c r="N149" s="418"/>
      <c r="P149"/>
      <c r="Q149"/>
      <c r="R149"/>
      <c r="S149"/>
      <c r="T149"/>
      <c r="U149"/>
      <c r="V149" s="10"/>
    </row>
    <row r="150" spans="1:22" ht="18" customHeight="1">
      <c r="A150" s="9"/>
      <c r="B150"/>
      <c r="C150"/>
      <c r="D150"/>
      <c r="E150"/>
      <c r="F150"/>
      <c r="G150"/>
      <c r="H150"/>
      <c r="I150"/>
      <c r="J150"/>
      <c r="K150"/>
      <c r="L150" s="102"/>
      <c r="M150" s="418"/>
      <c r="N150" s="418"/>
      <c r="P150"/>
      <c r="Q150"/>
      <c r="R150"/>
      <c r="S150"/>
      <c r="T150"/>
      <c r="U150"/>
      <c r="V150" s="10"/>
    </row>
    <row r="151" spans="1:22" ht="18" customHeight="1">
      <c r="A151" s="345"/>
      <c r="B151" s="346"/>
      <c r="C151" s="346"/>
      <c r="D151" s="346"/>
      <c r="E151" s="346"/>
      <c r="F151" s="346"/>
      <c r="G151" s="346"/>
      <c r="H151" s="346"/>
      <c r="I151" s="346"/>
      <c r="J151" s="346"/>
      <c r="K151" s="346"/>
      <c r="L151" s="471"/>
      <c r="M151" s="408"/>
      <c r="N151" s="408"/>
      <c r="O151" s="207"/>
      <c r="P151" s="346"/>
      <c r="Q151" s="346"/>
      <c r="R151" s="346"/>
      <c r="S151" s="346"/>
      <c r="T151" s="346"/>
      <c r="U151" s="346"/>
      <c r="V151" s="347"/>
    </row>
    <row r="152" spans="1:22" ht="18" customHeight="1">
      <c r="A152" s="382"/>
      <c r="B152" s="20"/>
      <c r="C152" s="20"/>
      <c r="D152" s="20"/>
      <c r="E152" s="20"/>
      <c r="F152" s="20"/>
      <c r="G152" s="20"/>
      <c r="H152" s="20"/>
      <c r="I152" s="20"/>
      <c r="J152" s="20"/>
      <c r="K152" s="20"/>
      <c r="L152" s="20"/>
      <c r="M152" s="20"/>
      <c r="N152" s="20"/>
      <c r="O152" s="20"/>
      <c r="P152" s="20"/>
      <c r="Q152" s="21"/>
      <c r="R152" s="22"/>
      <c r="S152" s="23"/>
      <c r="T152" s="20"/>
      <c r="U152" s="20"/>
      <c r="V152" s="134"/>
    </row>
    <row r="153" spans="1:22" ht="18" customHeight="1">
      <c r="A153" s="442"/>
      <c r="B153" s="384"/>
      <c r="C153" s="384"/>
      <c r="D153" s="384"/>
      <c r="E153" s="384"/>
      <c r="F153" s="384"/>
      <c r="G153" s="384"/>
      <c r="H153" s="384"/>
      <c r="I153" s="384"/>
      <c r="J153" s="384"/>
      <c r="K153" s="384"/>
      <c r="L153" s="457"/>
      <c r="M153" s="472"/>
      <c r="N153" s="472"/>
      <c r="O153" s="227"/>
      <c r="P153" s="384"/>
      <c r="Q153" s="384"/>
      <c r="R153" s="384"/>
      <c r="S153" s="384"/>
      <c r="T153" s="384"/>
      <c r="U153" s="384"/>
      <c r="V153" s="395"/>
    </row>
    <row r="154" spans="1:22" ht="18" customHeight="1">
      <c r="A154" s="248" t="s">
        <v>365</v>
      </c>
      <c r="B154"/>
      <c r="C154" s="155"/>
      <c r="D154" s="397"/>
      <c r="E154" s="397"/>
      <c r="F154" s="397"/>
      <c r="G154" s="375"/>
      <c r="H154" s="375"/>
      <c r="I154" s="156"/>
      <c r="J154" s="156"/>
      <c r="K154" s="156"/>
      <c r="L154" s="156"/>
      <c r="M154" s="410"/>
      <c r="N154" s="411"/>
      <c r="O154" s="412"/>
      <c r="P154" s="413"/>
      <c r="Q154" s="157"/>
      <c r="R154" s="402"/>
      <c r="S154" s="414"/>
      <c r="T154"/>
      <c r="U154"/>
      <c r="V154" s="10"/>
    </row>
    <row r="155" spans="1:22" ht="18" customHeight="1">
      <c r="A155" s="396"/>
      <c r="B155" s="47" t="s">
        <v>357</v>
      </c>
      <c r="C155" s="156"/>
      <c r="D155" s="397"/>
      <c r="E155"/>
      <c r="F155" s="376"/>
      <c r="G155" s="102" t="s">
        <v>127</v>
      </c>
      <c r="H155" s="28">
        <v>2</v>
      </c>
      <c r="I155" s="28" t="s">
        <v>315</v>
      </c>
      <c r="J155" s="278" t="s">
        <v>318</v>
      </c>
      <c r="K155" s="28" t="s">
        <v>315</v>
      </c>
      <c r="L155" s="28" t="s">
        <v>319</v>
      </c>
      <c r="M155" s="28" t="s">
        <v>315</v>
      </c>
      <c r="N155" s="47" t="s">
        <v>320</v>
      </c>
      <c r="O155" s="376"/>
      <c r="P155" s="163"/>
      <c r="Q155" s="398"/>
      <c r="R155"/>
      <c r="S155" s="376"/>
      <c r="T155"/>
      <c r="U155"/>
      <c r="V155" s="10"/>
    </row>
    <row r="156" spans="1:22" ht="18" customHeight="1">
      <c r="A156" s="396"/>
      <c r="B156" s="47" t="s">
        <v>366</v>
      </c>
      <c r="C156" s="156"/>
      <c r="D156" s="375"/>
      <c r="E156" s="376"/>
      <c r="F156" s="376"/>
      <c r="G156"/>
      <c r="H156" s="376"/>
      <c r="I156" s="152"/>
      <c r="J156" s="152"/>
      <c r="K156" s="152"/>
      <c r="L156" s="152"/>
      <c r="M156"/>
      <c r="N156" s="376"/>
      <c r="O156" s="28" t="s">
        <v>322</v>
      </c>
      <c r="P156" s="102" t="s">
        <v>127</v>
      </c>
      <c r="Q156" s="692">
        <f>P144</f>
        <v>8.6018642537942345</v>
      </c>
      <c r="R156" s="692"/>
      <c r="S156" s="372"/>
      <c r="T156"/>
      <c r="U156"/>
      <c r="V156" s="10"/>
    </row>
    <row r="157" spans="1:22" ht="18" customHeight="1">
      <c r="A157" s="396"/>
      <c r="B157" s="47" t="s">
        <v>263</v>
      </c>
      <c r="C157" s="156"/>
      <c r="D157" s="397"/>
      <c r="E157" s="7"/>
      <c r="F157" s="7"/>
      <c r="G157"/>
      <c r="H157" s="376"/>
      <c r="I157" s="152"/>
      <c r="J157" s="152"/>
      <c r="K157" s="152"/>
      <c r="L157" s="152"/>
      <c r="M157"/>
      <c r="N157" s="376"/>
      <c r="O157" s="28" t="s">
        <v>319</v>
      </c>
      <c r="P157" s="102" t="s">
        <v>127</v>
      </c>
      <c r="Q157" s="715">
        <f>Q61</f>
        <v>50</v>
      </c>
      <c r="R157" s="716"/>
      <c r="S157" s="47" t="s">
        <v>264</v>
      </c>
      <c r="T157"/>
      <c r="U157"/>
      <c r="V157" s="10"/>
    </row>
    <row r="158" spans="1:22" ht="18" customHeight="1">
      <c r="A158" s="396"/>
      <c r="B158" s="249" t="s">
        <v>340</v>
      </c>
      <c r="C158" s="156"/>
      <c r="D158" s="397"/>
      <c r="E158"/>
      <c r="F158" s="123"/>
      <c r="G158" s="28" t="s">
        <v>127</v>
      </c>
      <c r="H158" s="28" t="s">
        <v>341</v>
      </c>
      <c r="I158" s="399" t="s">
        <v>342</v>
      </c>
      <c r="J158" s="28">
        <v>2</v>
      </c>
      <c r="K158" s="28" t="s">
        <v>315</v>
      </c>
      <c r="L158" s="278" t="s">
        <v>318</v>
      </c>
      <c r="M158" s="400" t="s">
        <v>315</v>
      </c>
      <c r="N158" s="218" t="s">
        <v>319</v>
      </c>
      <c r="O158" s="376"/>
      <c r="P158" s="102" t="s">
        <v>127</v>
      </c>
      <c r="Q158" s="696">
        <f>(Q156*1000)/(J158*(22/7)*Q157)</f>
        <v>27.369568080254382</v>
      </c>
      <c r="R158" s="697"/>
      <c r="S158" s="47" t="s">
        <v>343</v>
      </c>
      <c r="T158"/>
      <c r="U158"/>
      <c r="V158" s="10"/>
    </row>
    <row r="159" spans="1:22" ht="18" customHeight="1">
      <c r="A159" s="396"/>
      <c r="B159" s="249"/>
      <c r="C159" s="156"/>
      <c r="D159" s="397"/>
      <c r="E159"/>
      <c r="F159" s="123"/>
      <c r="G159" s="28"/>
      <c r="H159" s="28"/>
      <c r="I159" s="399"/>
      <c r="J159" s="28"/>
      <c r="K159" s="28"/>
      <c r="L159" s="278"/>
      <c r="M159" s="400"/>
      <c r="N159" s="218"/>
      <c r="O159" s="376"/>
      <c r="P159" s="102"/>
      <c r="Q159" s="218"/>
      <c r="R159" s="469"/>
      <c r="S159" s="47"/>
      <c r="T159"/>
      <c r="U159"/>
      <c r="V159" s="10"/>
    </row>
    <row r="160" spans="1:22" ht="18" customHeight="1">
      <c r="A160" s="248" t="s">
        <v>367</v>
      </c>
      <c r="B160"/>
      <c r="C160"/>
      <c r="D160"/>
      <c r="E160"/>
      <c r="F160"/>
      <c r="G160"/>
      <c r="H160"/>
      <c r="I160"/>
      <c r="J160"/>
      <c r="K160"/>
      <c r="L160"/>
      <c r="M160"/>
      <c r="N160"/>
      <c r="O160"/>
      <c r="P160"/>
      <c r="Q160"/>
      <c r="R160"/>
      <c r="S160"/>
      <c r="T160"/>
      <c r="U160"/>
      <c r="V160" s="10"/>
    </row>
    <row r="161" spans="1:22" ht="18" customHeight="1">
      <c r="A161" s="96" t="s">
        <v>345</v>
      </c>
      <c r="B161" s="156"/>
      <c r="C161" s="155"/>
      <c r="D161" s="155"/>
      <c r="E161" s="419" t="s">
        <v>368</v>
      </c>
      <c r="F161" s="28" t="s">
        <v>127</v>
      </c>
      <c r="G161" s="155"/>
      <c r="H161" s="28" t="s">
        <v>310</v>
      </c>
      <c r="I161" s="102" t="s">
        <v>347</v>
      </c>
      <c r="J161" s="30" t="s">
        <v>369</v>
      </c>
      <c r="K161" s="27" t="s">
        <v>315</v>
      </c>
      <c r="L161" s="14" t="s">
        <v>370</v>
      </c>
      <c r="M161" s="155"/>
      <c r="N161" s="155"/>
      <c r="O161" s="155"/>
      <c r="P161" s="155"/>
      <c r="Q161" s="402"/>
      <c r="R161" s="155"/>
      <c r="S161" s="156"/>
      <c r="T161"/>
      <c r="U161"/>
      <c r="V161" s="10"/>
    </row>
    <row r="162" spans="1:22" ht="18" customHeight="1">
      <c r="A162" s="370"/>
      <c r="B162" s="155"/>
      <c r="C162" s="155"/>
      <c r="D162" s="155"/>
      <c r="E162" s="155"/>
      <c r="F162" s="250" t="s">
        <v>348</v>
      </c>
      <c r="G162" s="688">
        <f>N103</f>
        <v>0.10138858918881909</v>
      </c>
      <c r="H162" s="689"/>
      <c r="I162" s="102" t="s">
        <v>295</v>
      </c>
      <c r="J162" s="688">
        <f>Q103</f>
        <v>1.5208288378322858</v>
      </c>
      <c r="K162" s="689"/>
      <c r="L162" s="28" t="s">
        <v>371</v>
      </c>
      <c r="M162" s="27">
        <v>0.8</v>
      </c>
      <c r="N162" s="27" t="s">
        <v>372</v>
      </c>
      <c r="O162" s="711">
        <f>L81</f>
        <v>3.8454000000000002E-2</v>
      </c>
      <c r="P162" s="689"/>
      <c r="Q162" s="102" t="s">
        <v>295</v>
      </c>
      <c r="R162" s="711">
        <f>O81</f>
        <v>0.27839999999999998</v>
      </c>
      <c r="S162" s="689"/>
      <c r="T162" s="14" t="s">
        <v>350</v>
      </c>
      <c r="U162"/>
      <c r="V162" s="10"/>
    </row>
    <row r="163" spans="1:22" ht="18" customHeight="1">
      <c r="A163" s="159"/>
      <c r="B163" s="155"/>
      <c r="C163" s="155"/>
      <c r="D163" s="155"/>
      <c r="E163" s="155"/>
      <c r="F163" s="28" t="s">
        <v>127</v>
      </c>
      <c r="G163" s="688">
        <f>G162+(0.8*O162)</f>
        <v>0.13215178918881909</v>
      </c>
      <c r="H163" s="689"/>
      <c r="I163" s="102" t="s">
        <v>351</v>
      </c>
      <c r="J163" s="688">
        <f>J162+(0.8*R162)</f>
        <v>1.7435488378322859</v>
      </c>
      <c r="K163" s="689"/>
      <c r="L163" s="43" t="s">
        <v>333</v>
      </c>
      <c r="M163" s="155"/>
      <c r="N163" s="155"/>
      <c r="O163" s="155"/>
      <c r="P163" s="155"/>
      <c r="Q163" s="155"/>
      <c r="R163" s="155"/>
      <c r="S163" s="156"/>
      <c r="T163"/>
      <c r="U163"/>
      <c r="V163" s="10"/>
    </row>
    <row r="164" spans="1:22" ht="18" customHeight="1">
      <c r="A164" s="159"/>
      <c r="B164" s="155"/>
      <c r="C164" s="155"/>
      <c r="D164" s="155"/>
      <c r="E164" s="155"/>
      <c r="F164" s="28" t="s">
        <v>127</v>
      </c>
      <c r="G164" s="703">
        <f>SQRT(G163^2+J163^2)</f>
        <v>1.7485498692608459</v>
      </c>
      <c r="H164" s="689"/>
      <c r="I164" s="278" t="s">
        <v>352</v>
      </c>
      <c r="J164" s="704">
        <f>DEGREES(ATAN(J163/G163))</f>
        <v>85.665570180505625</v>
      </c>
      <c r="K164" s="689"/>
      <c r="L164" s="43" t="s">
        <v>333</v>
      </c>
      <c r="M164" s="155"/>
      <c r="N164" s="155"/>
      <c r="O164" s="155"/>
      <c r="P164" s="155"/>
      <c r="Q164" s="155"/>
      <c r="R164" s="155"/>
      <c r="S164" s="156"/>
      <c r="T164"/>
      <c r="U164"/>
      <c r="V164" s="10"/>
    </row>
    <row r="165" spans="1:22" ht="18" customHeight="1">
      <c r="A165" s="159"/>
      <c r="B165" s="155"/>
      <c r="C165" s="155"/>
      <c r="D165" s="155"/>
      <c r="E165" s="120" t="s">
        <v>353</v>
      </c>
      <c r="F165" s="28" t="s">
        <v>127</v>
      </c>
      <c r="G165" s="705">
        <f>J163/G163</f>
        <v>13.193531835888315</v>
      </c>
      <c r="H165" s="689"/>
      <c r="I165" s="155"/>
      <c r="J165" s="155"/>
      <c r="K165" s="124"/>
      <c r="L165" s="121"/>
      <c r="M165" s="406"/>
      <c r="N165" s="372"/>
      <c r="O165" s="376"/>
      <c r="P165" s="153"/>
      <c r="Q165" s="407"/>
      <c r="R165" s="375"/>
      <c r="S165" s="156"/>
      <c r="T165"/>
      <c r="U165"/>
      <c r="V165" s="10"/>
    </row>
    <row r="166" spans="1:22" ht="18" customHeight="1">
      <c r="A166" s="159"/>
      <c r="B166" s="47" t="s">
        <v>373</v>
      </c>
      <c r="C166" s="397"/>
      <c r="D166" s="155"/>
      <c r="E166" s="397"/>
      <c r="F166" s="375"/>
      <c r="G166" s="375"/>
      <c r="H166" s="156"/>
      <c r="I166" s="156"/>
      <c r="J166" s="156"/>
      <c r="K166" s="156"/>
      <c r="L166" s="236" t="s">
        <v>127</v>
      </c>
      <c r="M166" s="706">
        <f>Q88</f>
        <v>132000</v>
      </c>
      <c r="N166" s="706"/>
      <c r="O166" s="229" t="s">
        <v>315</v>
      </c>
      <c r="P166" s="707">
        <f>Q92</f>
        <v>1</v>
      </c>
      <c r="Q166" s="708"/>
      <c r="R166" s="155"/>
      <c r="S166" s="156"/>
      <c r="T166"/>
      <c r="U166"/>
      <c r="V166" s="10"/>
    </row>
    <row r="167" spans="1:22" ht="18" customHeight="1">
      <c r="A167" s="159"/>
      <c r="B167" s="156"/>
      <c r="C167" s="397"/>
      <c r="D167" s="375"/>
      <c r="E167" s="397"/>
      <c r="F167" s="375"/>
      <c r="G167" s="375"/>
      <c r="H167" s="156"/>
      <c r="I167" s="156"/>
      <c r="J167" s="156"/>
      <c r="K167" s="156"/>
      <c r="L167" s="236"/>
      <c r="M167" s="688">
        <f>+G164</f>
        <v>1.7485498692608459</v>
      </c>
      <c r="N167" s="688"/>
      <c r="O167" s="28" t="s">
        <v>315</v>
      </c>
      <c r="P167" s="689" t="s">
        <v>355</v>
      </c>
      <c r="Q167" s="689">
        <f>SQRT(3)</f>
        <v>1.7320508075688772</v>
      </c>
      <c r="R167" s="375"/>
      <c r="S167" s="156"/>
      <c r="T167"/>
      <c r="U167"/>
      <c r="V167" s="10"/>
    </row>
    <row r="168" spans="1:22" ht="18" customHeight="1">
      <c r="A168" s="159"/>
      <c r="B168" s="156"/>
      <c r="C168" s="397"/>
      <c r="D168" s="375"/>
      <c r="E168" s="397"/>
      <c r="F168" s="375"/>
      <c r="G168" s="375"/>
      <c r="H168" s="156"/>
      <c r="I168" s="156"/>
      <c r="J168" s="156"/>
      <c r="K168" s="156"/>
      <c r="L168" s="102" t="s">
        <v>127</v>
      </c>
      <c r="M168" s="709">
        <f>M166*P166/(M167*SQRT(3))</f>
        <v>43584.822413584639</v>
      </c>
      <c r="N168" s="710"/>
      <c r="O168" s="30" t="s">
        <v>8</v>
      </c>
      <c r="P168" s="121"/>
      <c r="Q168" s="121"/>
      <c r="R168" s="375"/>
      <c r="S168" s="156"/>
      <c r="T168"/>
      <c r="U168"/>
      <c r="V168" s="10"/>
    </row>
    <row r="169" spans="1:22" ht="18" customHeight="1">
      <c r="A169" s="159"/>
      <c r="B169" s="156"/>
      <c r="C169" s="397"/>
      <c r="D169" s="375"/>
      <c r="E169" s="397"/>
      <c r="F169" s="375"/>
      <c r="G169" s="375"/>
      <c r="H169" s="156"/>
      <c r="I169" s="156"/>
      <c r="J169" s="156"/>
      <c r="K169" s="156"/>
      <c r="L169" s="102"/>
      <c r="M169" s="418"/>
      <c r="N169" s="418"/>
      <c r="P169" s="121"/>
      <c r="Q169" s="121"/>
      <c r="R169" s="375"/>
      <c r="S169" s="156"/>
      <c r="T169"/>
      <c r="U169"/>
      <c r="V169" s="10"/>
    </row>
    <row r="170" spans="1:22" ht="18" customHeight="1">
      <c r="A170" s="159"/>
      <c r="B170" s="156"/>
      <c r="C170" s="397"/>
      <c r="D170" s="375"/>
      <c r="E170" s="397"/>
      <c r="F170" s="375"/>
      <c r="G170" s="375"/>
      <c r="H170" s="156"/>
      <c r="I170" s="156"/>
      <c r="J170" s="156"/>
      <c r="K170" s="156"/>
      <c r="L170" s="102"/>
      <c r="M170" s="418"/>
      <c r="N170" s="418"/>
      <c r="P170" s="121"/>
      <c r="Q170" s="121"/>
      <c r="R170" s="375"/>
      <c r="S170" s="156"/>
      <c r="T170"/>
      <c r="U170"/>
      <c r="V170" s="10"/>
    </row>
    <row r="171" spans="1:22" ht="18" customHeight="1">
      <c r="A171" s="159"/>
      <c r="B171" s="156"/>
      <c r="C171" s="397"/>
      <c r="D171" s="375"/>
      <c r="E171" s="397"/>
      <c r="F171" s="375"/>
      <c r="G171" s="375"/>
      <c r="H171" s="156"/>
      <c r="I171" s="156"/>
      <c r="J171" s="156"/>
      <c r="K171" s="156"/>
      <c r="L171" s="102"/>
      <c r="M171" s="418"/>
      <c r="N171" s="418"/>
      <c r="P171" s="121"/>
      <c r="Q171" s="121"/>
      <c r="R171" s="375"/>
      <c r="S171" s="156"/>
      <c r="T171"/>
      <c r="U171"/>
      <c r="V171" s="10"/>
    </row>
    <row r="172" spans="1:22" ht="18" customHeight="1">
      <c r="A172" s="159"/>
      <c r="B172" s="156"/>
      <c r="C172" s="397"/>
      <c r="D172" s="375"/>
      <c r="E172" s="397"/>
      <c r="F172" s="375"/>
      <c r="G172" s="375"/>
      <c r="H172" s="156"/>
      <c r="I172" s="156"/>
      <c r="J172" s="156"/>
      <c r="K172" s="156"/>
      <c r="L172" s="157"/>
      <c r="M172" s="420"/>
      <c r="N172" s="420"/>
      <c r="O172" s="121"/>
      <c r="P172" s="121"/>
      <c r="Q172" s="121"/>
      <c r="R172" s="375"/>
      <c r="S172" s="156"/>
      <c r="T172"/>
      <c r="U172"/>
      <c r="V172" s="10"/>
    </row>
    <row r="173" spans="1:22" ht="18" customHeight="1">
      <c r="A173" s="193" t="s">
        <v>374</v>
      </c>
      <c r="B173"/>
      <c r="C173" s="155"/>
      <c r="D173" s="397"/>
      <c r="E173" s="397"/>
      <c r="F173" s="397"/>
      <c r="G173" s="375"/>
      <c r="H173" s="375"/>
      <c r="I173" s="156"/>
      <c r="J173" s="156"/>
      <c r="K173" s="156"/>
      <c r="L173" s="156"/>
      <c r="M173" s="410"/>
      <c r="N173" s="411"/>
      <c r="O173" s="412"/>
      <c r="P173" s="413"/>
      <c r="Q173" s="157"/>
      <c r="R173" s="402"/>
      <c r="S173" s="414"/>
      <c r="T173"/>
      <c r="U173"/>
      <c r="V173" s="10"/>
    </row>
    <row r="174" spans="1:22" s="14" customFormat="1" ht="18" customHeight="1">
      <c r="A174" s="396"/>
      <c r="B174" s="47" t="s">
        <v>357</v>
      </c>
      <c r="C174" s="156"/>
      <c r="D174" s="397"/>
      <c r="E174"/>
      <c r="F174" s="376"/>
      <c r="G174" s="102" t="s">
        <v>127</v>
      </c>
      <c r="H174" s="28">
        <v>2</v>
      </c>
      <c r="I174" s="28" t="s">
        <v>315</v>
      </c>
      <c r="J174" s="278" t="s">
        <v>318</v>
      </c>
      <c r="K174" s="28" t="s">
        <v>315</v>
      </c>
      <c r="L174" s="28" t="s">
        <v>319</v>
      </c>
      <c r="M174" s="28" t="s">
        <v>315</v>
      </c>
      <c r="N174" s="47" t="s">
        <v>320</v>
      </c>
      <c r="O174" s="376"/>
      <c r="P174" s="163"/>
      <c r="Q174" s="398"/>
      <c r="R174"/>
      <c r="S174" s="376"/>
      <c r="T174"/>
      <c r="U174"/>
      <c r="V174" s="10"/>
    </row>
    <row r="175" spans="1:22" ht="18" customHeight="1">
      <c r="A175" s="396"/>
      <c r="B175" s="47" t="s">
        <v>375</v>
      </c>
      <c r="C175" s="156"/>
      <c r="D175" s="375"/>
      <c r="E175" s="376"/>
      <c r="F175" s="376"/>
      <c r="G175"/>
      <c r="H175" s="376"/>
      <c r="I175" s="152"/>
      <c r="J175" s="152"/>
      <c r="K175" s="152"/>
      <c r="L175" s="152"/>
      <c r="M175"/>
      <c r="N175" s="376"/>
      <c r="O175" s="28" t="s">
        <v>322</v>
      </c>
      <c r="P175" s="102" t="s">
        <v>127</v>
      </c>
      <c r="Q175" s="692">
        <f>G165</f>
        <v>13.193531835888315</v>
      </c>
      <c r="R175" s="692"/>
      <c r="S175" s="372"/>
      <c r="T175"/>
      <c r="U175"/>
      <c r="V175" s="10"/>
    </row>
    <row r="176" spans="1:22" ht="18" customHeight="1">
      <c r="A176" s="396"/>
      <c r="B176" s="47" t="s">
        <v>263</v>
      </c>
      <c r="C176" s="156"/>
      <c r="D176" s="397"/>
      <c r="E176" s="7"/>
      <c r="F176" s="7"/>
      <c r="G176"/>
      <c r="H176" s="376"/>
      <c r="I176" s="152"/>
      <c r="J176" s="152"/>
      <c r="K176" s="152"/>
      <c r="L176" s="152"/>
      <c r="M176"/>
      <c r="N176" s="376"/>
      <c r="O176" s="28" t="s">
        <v>319</v>
      </c>
      <c r="P176" s="102" t="s">
        <v>127</v>
      </c>
      <c r="Q176" s="694">
        <f>Q61</f>
        <v>50</v>
      </c>
      <c r="R176" s="689"/>
      <c r="S176" s="47" t="s">
        <v>264</v>
      </c>
      <c r="T176"/>
      <c r="U176"/>
      <c r="V176" s="10"/>
    </row>
    <row r="177" spans="1:22" ht="18" customHeight="1">
      <c r="A177" s="396"/>
      <c r="B177" s="249" t="s">
        <v>340</v>
      </c>
      <c r="C177" s="156"/>
      <c r="D177" s="397"/>
      <c r="E177"/>
      <c r="F177" s="123"/>
      <c r="G177" s="28" t="s">
        <v>127</v>
      </c>
      <c r="H177" s="28" t="s">
        <v>341</v>
      </c>
      <c r="I177" s="399" t="s">
        <v>342</v>
      </c>
      <c r="J177" s="28">
        <v>2</v>
      </c>
      <c r="K177" s="28" t="s">
        <v>315</v>
      </c>
      <c r="L177" s="278" t="s">
        <v>318</v>
      </c>
      <c r="M177" s="400" t="s">
        <v>315</v>
      </c>
      <c r="N177" s="218" t="s">
        <v>319</v>
      </c>
      <c r="O177" s="376"/>
      <c r="P177" s="102" t="s">
        <v>127</v>
      </c>
      <c r="Q177" s="696">
        <f>(Q175*1000)/(J177*(22/7)*Q176)</f>
        <v>41.979419477826461</v>
      </c>
      <c r="R177" s="697"/>
      <c r="S177" s="47" t="s">
        <v>343</v>
      </c>
      <c r="T177"/>
      <c r="U177"/>
      <c r="V177" s="10"/>
    </row>
    <row r="178" spans="1:22" ht="18" customHeight="1">
      <c r="A178" s="9"/>
      <c r="B178"/>
      <c r="C178"/>
      <c r="D178"/>
      <c r="E178"/>
      <c r="F178"/>
      <c r="G178"/>
      <c r="H178"/>
      <c r="I178"/>
      <c r="J178"/>
      <c r="K178"/>
      <c r="L178"/>
      <c r="M178"/>
      <c r="N178"/>
      <c r="O178"/>
      <c r="P178"/>
      <c r="Q178"/>
      <c r="R178"/>
      <c r="S178"/>
      <c r="T178"/>
      <c r="U178"/>
      <c r="V178" s="10"/>
    </row>
    <row r="179" spans="1:22" ht="18" customHeight="1">
      <c r="A179" s="193" t="s">
        <v>376</v>
      </c>
      <c r="B179"/>
      <c r="C179"/>
      <c r="D179"/>
      <c r="E179"/>
      <c r="F179"/>
      <c r="G179"/>
      <c r="H179"/>
      <c r="I179"/>
      <c r="J179"/>
      <c r="K179"/>
      <c r="L179"/>
      <c r="M179"/>
      <c r="N179"/>
      <c r="O179"/>
      <c r="P179"/>
      <c r="Q179"/>
      <c r="R179"/>
      <c r="S179"/>
      <c r="T179"/>
      <c r="U179"/>
      <c r="V179" s="10"/>
    </row>
    <row r="180" spans="1:22" ht="18" customHeight="1">
      <c r="A180" s="184" t="s">
        <v>360</v>
      </c>
      <c r="B180"/>
      <c r="C180"/>
      <c r="D180"/>
      <c r="E180" s="421" t="s">
        <v>377</v>
      </c>
      <c r="F180" s="28" t="s">
        <v>127</v>
      </c>
      <c r="G180" s="155"/>
      <c r="H180" s="28" t="s">
        <v>310</v>
      </c>
      <c r="I180" s="102" t="s">
        <v>347</v>
      </c>
      <c r="J180" s="30" t="s">
        <v>369</v>
      </c>
      <c r="K180" s="27" t="s">
        <v>378</v>
      </c>
      <c r="L180" s="14" t="s">
        <v>379</v>
      </c>
      <c r="M180"/>
      <c r="N180"/>
      <c r="O180"/>
      <c r="P180"/>
      <c r="Q180"/>
      <c r="R180"/>
      <c r="S180"/>
      <c r="T180"/>
      <c r="U180"/>
      <c r="V180" s="10"/>
    </row>
    <row r="181" spans="1:22" ht="18" customHeight="1">
      <c r="A181" s="9"/>
      <c r="B181"/>
      <c r="C181"/>
      <c r="D181"/>
      <c r="E181"/>
      <c r="F181" s="250" t="s">
        <v>348</v>
      </c>
      <c r="G181" s="688">
        <f>N103</f>
        <v>0.10138858918881909</v>
      </c>
      <c r="H181" s="689"/>
      <c r="I181" s="102" t="s">
        <v>295</v>
      </c>
      <c r="J181" s="688">
        <f>Q103</f>
        <v>1.5208288378322858</v>
      </c>
      <c r="K181" s="689"/>
      <c r="L181" s="28" t="s">
        <v>371</v>
      </c>
      <c r="M181" s="27">
        <v>0.8</v>
      </c>
      <c r="N181" s="27" t="s">
        <v>372</v>
      </c>
      <c r="O181" s="711">
        <f>L82</f>
        <v>0.22620000000000001</v>
      </c>
      <c r="P181" s="684"/>
      <c r="Q181" s="102" t="s">
        <v>295</v>
      </c>
      <c r="R181" s="711">
        <f>O82</f>
        <v>0.10439999999999999</v>
      </c>
      <c r="S181" s="684"/>
      <c r="T181" s="14" t="s">
        <v>350</v>
      </c>
      <c r="U181"/>
      <c r="V181" s="10"/>
    </row>
    <row r="182" spans="1:22" ht="18" customHeight="1">
      <c r="A182" s="159"/>
      <c r="B182"/>
      <c r="C182"/>
      <c r="D182"/>
      <c r="E182"/>
      <c r="F182" s="28" t="s">
        <v>127</v>
      </c>
      <c r="G182" s="688">
        <f>G181+(0.8*O181)</f>
        <v>0.28234858918881911</v>
      </c>
      <c r="H182" s="689"/>
      <c r="I182" s="102" t="s">
        <v>351</v>
      </c>
      <c r="J182" s="688">
        <f>J181+(0.8*R181)</f>
        <v>1.6043488378322859</v>
      </c>
      <c r="K182" s="689"/>
      <c r="L182" s="43" t="s">
        <v>333</v>
      </c>
      <c r="M182"/>
      <c r="N182"/>
      <c r="O182" s="155"/>
      <c r="P182" s="415"/>
      <c r="Q182" s="121"/>
      <c r="R182" s="414"/>
      <c r="S182"/>
      <c r="T182"/>
      <c r="U182"/>
      <c r="V182" s="10"/>
    </row>
    <row r="183" spans="1:22" ht="18" customHeight="1">
      <c r="A183" s="159"/>
      <c r="B183"/>
      <c r="C183"/>
      <c r="D183"/>
      <c r="E183"/>
      <c r="F183" s="28" t="s">
        <v>127</v>
      </c>
      <c r="G183" s="703">
        <f>SQRT(G182^2+J182^2)</f>
        <v>1.6290045792663452</v>
      </c>
      <c r="H183" s="689"/>
      <c r="I183" s="278" t="s">
        <v>352</v>
      </c>
      <c r="J183" s="704">
        <f>DEGREES(ATAN(J182/G182))</f>
        <v>80.018752878989744</v>
      </c>
      <c r="K183" s="689"/>
      <c r="L183" s="43" t="s">
        <v>333</v>
      </c>
      <c r="M183" s="155"/>
      <c r="N183" s="155"/>
      <c r="O183" s="155"/>
      <c r="P183" s="415"/>
      <c r="Q183" s="121"/>
      <c r="R183" s="414"/>
      <c r="S183"/>
      <c r="T183"/>
      <c r="U183"/>
      <c r="V183" s="10"/>
    </row>
    <row r="184" spans="1:22" ht="18" customHeight="1">
      <c r="A184" s="184" t="s">
        <v>345</v>
      </c>
      <c r="B184"/>
      <c r="C184"/>
      <c r="D184"/>
      <c r="E184" s="421" t="s">
        <v>380</v>
      </c>
      <c r="F184" s="121" t="s">
        <v>127</v>
      </c>
      <c r="G184" s="689" t="s">
        <v>368</v>
      </c>
      <c r="H184" s="689"/>
      <c r="I184" s="102" t="s">
        <v>347</v>
      </c>
      <c r="J184" s="689" t="s">
        <v>381</v>
      </c>
      <c r="K184" s="689"/>
      <c r="L184" s="28" t="s">
        <v>347</v>
      </c>
      <c r="M184" s="689" t="s">
        <v>377</v>
      </c>
      <c r="N184" s="689"/>
      <c r="O184"/>
      <c r="P184"/>
      <c r="Q184"/>
      <c r="R184"/>
      <c r="S184"/>
      <c r="T184"/>
      <c r="U184"/>
      <c r="V184" s="10"/>
    </row>
    <row r="185" spans="1:22" ht="18" customHeight="1">
      <c r="A185" s="9"/>
      <c r="B185" s="250" t="s">
        <v>348</v>
      </c>
      <c r="C185" s="702">
        <f>G163</f>
        <v>0.13215178918881909</v>
      </c>
      <c r="D185" s="684"/>
      <c r="E185" s="191" t="s">
        <v>351</v>
      </c>
      <c r="F185" s="702">
        <f>J163</f>
        <v>1.7435488378322859</v>
      </c>
      <c r="G185" s="684"/>
      <c r="H185" s="27" t="s">
        <v>349</v>
      </c>
      <c r="I185" s="702">
        <f>G163</f>
        <v>0.13215178918881909</v>
      </c>
      <c r="J185" s="684"/>
      <c r="K185" s="191" t="s">
        <v>351</v>
      </c>
      <c r="L185" s="702">
        <f>J163</f>
        <v>1.7435488378322859</v>
      </c>
      <c r="M185" s="684"/>
      <c r="N185" s="27" t="s">
        <v>349</v>
      </c>
      <c r="O185" s="701">
        <f>G182</f>
        <v>0.28234858918881911</v>
      </c>
      <c r="P185" s="684"/>
      <c r="Q185" s="191" t="s">
        <v>351</v>
      </c>
      <c r="R185" s="701">
        <f>J182</f>
        <v>1.6043488378322859</v>
      </c>
      <c r="S185" s="684"/>
      <c r="T185" s="30" t="s">
        <v>350</v>
      </c>
      <c r="U185"/>
      <c r="V185" s="10"/>
    </row>
    <row r="186" spans="1:22" ht="18" customHeight="1">
      <c r="A186" s="9"/>
      <c r="B186" s="27" t="s">
        <v>127</v>
      </c>
      <c r="C186" s="702">
        <f>C185+I185+O185</f>
        <v>0.54665216756645729</v>
      </c>
      <c r="D186" s="684"/>
      <c r="E186" s="191" t="s">
        <v>351</v>
      </c>
      <c r="F186" s="702">
        <f>F185+L185+R185</f>
        <v>5.0914465134968578</v>
      </c>
      <c r="G186" s="684"/>
      <c r="H186"/>
      <c r="I186"/>
      <c r="J186"/>
      <c r="K186"/>
      <c r="L186"/>
      <c r="M186"/>
      <c r="N186"/>
      <c r="O186"/>
      <c r="P186"/>
      <c r="Q186"/>
      <c r="R186"/>
      <c r="S186"/>
      <c r="T186"/>
      <c r="U186"/>
      <c r="V186" s="10"/>
    </row>
    <row r="187" spans="1:22" ht="18" customHeight="1">
      <c r="A187" s="9"/>
      <c r="B187" s="28" t="s">
        <v>127</v>
      </c>
      <c r="C187" s="703">
        <f>SQRT(C186^2+F186^2)</f>
        <v>5.1207085634806848</v>
      </c>
      <c r="D187" s="689"/>
      <c r="E187" s="278" t="s">
        <v>352</v>
      </c>
      <c r="F187" s="704">
        <f>DEGREES(ATAN(F186/C186))</f>
        <v>83.871813067551713</v>
      </c>
      <c r="G187" s="689"/>
      <c r="H187" s="422" t="s">
        <v>333</v>
      </c>
      <c r="I187"/>
      <c r="J187"/>
      <c r="K187"/>
      <c r="L187"/>
      <c r="M187"/>
      <c r="N187"/>
      <c r="O187"/>
      <c r="P187"/>
      <c r="Q187"/>
      <c r="R187"/>
      <c r="S187"/>
      <c r="T187"/>
      <c r="U187"/>
      <c r="V187" s="10"/>
    </row>
    <row r="188" spans="1:22" ht="18" customHeight="1">
      <c r="A188" s="9"/>
      <c r="B188"/>
      <c r="C188"/>
      <c r="D188"/>
      <c r="E188"/>
      <c r="F188"/>
      <c r="G188"/>
      <c r="H188"/>
      <c r="I188"/>
      <c r="J188"/>
      <c r="K188" s="120" t="s">
        <v>353</v>
      </c>
      <c r="L188" s="28" t="s">
        <v>127</v>
      </c>
      <c r="M188" s="705">
        <f>F186/C186</f>
        <v>9.3138687003886869</v>
      </c>
      <c r="N188" s="705"/>
      <c r="O188"/>
      <c r="P188"/>
      <c r="Q188"/>
      <c r="R188"/>
      <c r="S188"/>
      <c r="T188"/>
      <c r="U188"/>
      <c r="V188" s="10"/>
    </row>
    <row r="189" spans="1:22" ht="18" customHeight="1">
      <c r="A189" s="9"/>
      <c r="B189"/>
      <c r="C189"/>
      <c r="D189"/>
      <c r="E189"/>
      <c r="F189"/>
      <c r="G189"/>
      <c r="H189"/>
      <c r="I189"/>
      <c r="J189"/>
      <c r="K189"/>
      <c r="L189"/>
      <c r="M189"/>
      <c r="N189"/>
      <c r="O189"/>
      <c r="P189"/>
      <c r="Q189"/>
      <c r="R189"/>
      <c r="S189"/>
      <c r="T189"/>
      <c r="U189"/>
      <c r="V189" s="10"/>
    </row>
    <row r="190" spans="1:22" ht="18" customHeight="1">
      <c r="A190" s="9"/>
      <c r="B190" s="47" t="s">
        <v>382</v>
      </c>
      <c r="C190" s="397"/>
      <c r="D190" s="155"/>
      <c r="E190" s="397"/>
      <c r="F190" s="375"/>
      <c r="G190" s="375"/>
      <c r="H190" s="156"/>
      <c r="I190" s="156"/>
      <c r="J190" s="156"/>
      <c r="K190" s="156"/>
      <c r="L190" s="157" t="s">
        <v>127</v>
      </c>
      <c r="M190" s="706">
        <f>Q88</f>
        <v>132000</v>
      </c>
      <c r="N190" s="706"/>
      <c r="O190" s="229" t="s">
        <v>315</v>
      </c>
      <c r="P190" s="707">
        <f>Q92</f>
        <v>1</v>
      </c>
      <c r="Q190" s="708"/>
      <c r="R190" s="229" t="s">
        <v>315</v>
      </c>
      <c r="S190" s="229">
        <v>3</v>
      </c>
      <c r="T190"/>
      <c r="U190"/>
      <c r="V190" s="10"/>
    </row>
    <row r="191" spans="1:22" ht="18" customHeight="1">
      <c r="A191" s="9"/>
      <c r="B191" s="156"/>
      <c r="C191" s="397"/>
      <c r="D191" s="375"/>
      <c r="E191" s="397"/>
      <c r="F191" s="375"/>
      <c r="G191" s="375"/>
      <c r="H191" s="156"/>
      <c r="I191" s="156"/>
      <c r="J191" s="156"/>
      <c r="K191" s="156"/>
      <c r="L191" s="157"/>
      <c r="M191" s="688">
        <f>+C187</f>
        <v>5.1207085634806848</v>
      </c>
      <c r="N191" s="688"/>
      <c r="O191" s="28" t="s">
        <v>315</v>
      </c>
      <c r="P191" s="689" t="s">
        <v>355</v>
      </c>
      <c r="Q191" s="689">
        <f>SQRT(3)</f>
        <v>1.7320508075688772</v>
      </c>
      <c r="R191" s="375"/>
      <c r="S191" s="156"/>
      <c r="T191"/>
      <c r="U191"/>
      <c r="V191" s="10"/>
    </row>
    <row r="192" spans="1:22" ht="18" customHeight="1">
      <c r="A192" s="9"/>
      <c r="B192"/>
      <c r="C192"/>
      <c r="D192"/>
      <c r="E192"/>
      <c r="F192"/>
      <c r="G192"/>
      <c r="H192"/>
      <c r="I192"/>
      <c r="J192"/>
      <c r="K192"/>
      <c r="L192" s="102" t="s">
        <v>127</v>
      </c>
      <c r="M192" s="709">
        <f>(M190*P190*S190)/(M191*SQRT(3))</f>
        <v>44648.255952235893</v>
      </c>
      <c r="N192" s="710"/>
      <c r="O192" s="30" t="s">
        <v>8</v>
      </c>
      <c r="P192"/>
      <c r="Q192"/>
      <c r="R192"/>
      <c r="S192"/>
      <c r="T192"/>
      <c r="U192"/>
      <c r="V192" s="10"/>
    </row>
    <row r="193" spans="1:22" ht="18" customHeight="1">
      <c r="A193" s="9"/>
      <c r="B193"/>
      <c r="C193"/>
      <c r="D193"/>
      <c r="E193"/>
      <c r="F193"/>
      <c r="G193"/>
      <c r="H193"/>
      <c r="I193"/>
      <c r="J193"/>
      <c r="K193"/>
      <c r="L193"/>
      <c r="M193"/>
      <c r="N193"/>
      <c r="O193"/>
      <c r="P193"/>
      <c r="Q193"/>
      <c r="R193"/>
      <c r="S193"/>
      <c r="T193"/>
      <c r="U193"/>
      <c r="V193" s="10"/>
    </row>
    <row r="194" spans="1:22" ht="18" customHeight="1">
      <c r="A194" s="9"/>
      <c r="B194"/>
      <c r="C194"/>
      <c r="D194"/>
      <c r="E194"/>
      <c r="F194"/>
      <c r="G194"/>
      <c r="H194"/>
      <c r="I194"/>
      <c r="J194"/>
      <c r="K194"/>
      <c r="L194"/>
      <c r="M194"/>
      <c r="N194"/>
      <c r="O194"/>
      <c r="P194"/>
      <c r="Q194"/>
      <c r="R194"/>
      <c r="S194"/>
      <c r="T194"/>
      <c r="U194"/>
      <c r="V194" s="10"/>
    </row>
    <row r="195" spans="1:22" ht="18" customHeight="1">
      <c r="A195" s="345"/>
      <c r="B195" s="346"/>
      <c r="C195" s="346"/>
      <c r="D195" s="346"/>
      <c r="E195" s="346"/>
      <c r="F195" s="346"/>
      <c r="G195" s="346"/>
      <c r="H195" s="346"/>
      <c r="I195" s="346"/>
      <c r="J195" s="346"/>
      <c r="K195" s="346"/>
      <c r="L195" s="346"/>
      <c r="M195" s="346"/>
      <c r="N195" s="346"/>
      <c r="O195" s="346"/>
      <c r="P195" s="346"/>
      <c r="Q195" s="346"/>
      <c r="R195" s="346"/>
      <c r="S195" s="346"/>
      <c r="T195" s="346"/>
      <c r="U195" s="346"/>
      <c r="V195" s="347"/>
    </row>
    <row r="196" spans="1:22" ht="18" customHeight="1">
      <c r="A196" s="382"/>
      <c r="B196" s="20"/>
      <c r="C196" s="20"/>
      <c r="D196" s="20"/>
      <c r="E196" s="20"/>
      <c r="F196" s="20"/>
      <c r="G196" s="20"/>
      <c r="H196" s="20"/>
      <c r="I196" s="20"/>
      <c r="J196" s="20"/>
      <c r="K196" s="20"/>
      <c r="L196" s="20"/>
      <c r="M196" s="20"/>
      <c r="N196" s="20"/>
      <c r="O196" s="20"/>
      <c r="P196" s="20"/>
      <c r="Q196" s="21"/>
      <c r="R196" s="22"/>
      <c r="S196" s="23"/>
      <c r="T196" s="20"/>
      <c r="U196" s="20"/>
      <c r="V196" s="134"/>
    </row>
    <row r="197" spans="1:22" ht="18" customHeight="1">
      <c r="A197" s="383" t="s">
        <v>383</v>
      </c>
      <c r="B197" s="384"/>
      <c r="C197" s="349"/>
      <c r="D197" s="385"/>
      <c r="E197" s="385"/>
      <c r="F197" s="385"/>
      <c r="G197" s="386"/>
      <c r="H197" s="386"/>
      <c r="I197" s="387"/>
      <c r="J197" s="387"/>
      <c r="K197" s="387"/>
      <c r="L197" s="387"/>
      <c r="M197" s="388"/>
      <c r="N197" s="389"/>
      <c r="O197" s="390"/>
      <c r="P197" s="391"/>
      <c r="Q197" s="392"/>
      <c r="R197" s="393"/>
      <c r="S197" s="394"/>
      <c r="T197" s="384"/>
      <c r="U197" s="384"/>
      <c r="V197" s="395"/>
    </row>
    <row r="198" spans="1:22" ht="18" customHeight="1">
      <c r="A198" s="396"/>
      <c r="B198" s="47" t="s">
        <v>357</v>
      </c>
      <c r="C198" s="156"/>
      <c r="D198" s="397"/>
      <c r="E198"/>
      <c r="F198" s="376"/>
      <c r="G198" s="102" t="s">
        <v>127</v>
      </c>
      <c r="H198" s="28">
        <v>2</v>
      </c>
      <c r="I198" s="28" t="s">
        <v>315</v>
      </c>
      <c r="J198" s="278" t="s">
        <v>318</v>
      </c>
      <c r="K198" s="28" t="s">
        <v>315</v>
      </c>
      <c r="L198" s="28" t="s">
        <v>319</v>
      </c>
      <c r="M198" s="28" t="s">
        <v>315</v>
      </c>
      <c r="N198" s="47" t="s">
        <v>320</v>
      </c>
      <c r="O198" s="376"/>
      <c r="P198" s="163"/>
      <c r="Q198" s="398"/>
      <c r="R198"/>
      <c r="S198" s="376"/>
      <c r="T198"/>
      <c r="U198"/>
      <c r="V198" s="10"/>
    </row>
    <row r="199" spans="1:22" ht="18" customHeight="1">
      <c r="A199" s="396"/>
      <c r="B199" s="47" t="s">
        <v>358</v>
      </c>
      <c r="C199" s="156"/>
      <c r="D199" s="375"/>
      <c r="E199" s="376"/>
      <c r="F199" s="376"/>
      <c r="H199" s="376"/>
      <c r="I199" s="152"/>
      <c r="J199" s="152"/>
      <c r="K199" s="152"/>
      <c r="L199" s="152"/>
      <c r="M199"/>
      <c r="N199" s="376"/>
      <c r="O199" s="28" t="s">
        <v>322</v>
      </c>
      <c r="P199" s="102" t="s">
        <v>127</v>
      </c>
      <c r="Q199" s="692">
        <f>M188</f>
        <v>9.3138687003886869</v>
      </c>
      <c r="R199" s="693"/>
      <c r="S199" s="372"/>
      <c r="T199"/>
      <c r="U199"/>
      <c r="V199" s="10"/>
    </row>
    <row r="200" spans="1:22" ht="18" customHeight="1">
      <c r="A200" s="396"/>
      <c r="B200" s="47" t="s">
        <v>263</v>
      </c>
      <c r="C200" s="156"/>
      <c r="D200" s="397"/>
      <c r="E200" s="7"/>
      <c r="F200" s="7"/>
      <c r="H200" s="376"/>
      <c r="I200" s="152"/>
      <c r="J200" s="152"/>
      <c r="K200" s="152"/>
      <c r="L200" s="152"/>
      <c r="M200"/>
      <c r="N200" s="376"/>
      <c r="O200" s="28" t="s">
        <v>319</v>
      </c>
      <c r="P200" s="102" t="s">
        <v>127</v>
      </c>
      <c r="Q200" s="694">
        <f>Q61</f>
        <v>50</v>
      </c>
      <c r="R200" s="695"/>
      <c r="S200" s="47" t="s">
        <v>264</v>
      </c>
      <c r="T200"/>
      <c r="U200"/>
      <c r="V200" s="10"/>
    </row>
    <row r="201" spans="1:22" ht="18" customHeight="1">
      <c r="A201" s="396"/>
      <c r="B201" s="249" t="s">
        <v>340</v>
      </c>
      <c r="C201" s="156"/>
      <c r="D201" s="397"/>
      <c r="E201"/>
      <c r="F201" s="123"/>
      <c r="G201" s="28" t="s">
        <v>127</v>
      </c>
      <c r="H201" s="28" t="s">
        <v>341</v>
      </c>
      <c r="I201" s="399" t="s">
        <v>342</v>
      </c>
      <c r="J201" s="28">
        <v>2</v>
      </c>
      <c r="K201" s="28" t="s">
        <v>315</v>
      </c>
      <c r="L201" s="278" t="s">
        <v>318</v>
      </c>
      <c r="M201" s="400" t="s">
        <v>315</v>
      </c>
      <c r="N201" s="218" t="s">
        <v>319</v>
      </c>
      <c r="O201" s="103"/>
      <c r="P201" s="102" t="s">
        <v>127</v>
      </c>
      <c r="Q201" s="696">
        <f>(Q199*1000)/(J201*(22/7)*Q200)</f>
        <v>29.635036773964003</v>
      </c>
      <c r="R201" s="697"/>
      <c r="S201" s="47" t="s">
        <v>343</v>
      </c>
      <c r="T201"/>
      <c r="U201"/>
      <c r="V201" s="10"/>
    </row>
    <row r="202" spans="1:22" ht="18" customHeight="1">
      <c r="A202" s="685" t="s">
        <v>1076</v>
      </c>
      <c r="B202" s="684"/>
      <c r="C202" s="684"/>
      <c r="D202" s="684"/>
      <c r="E202" s="684"/>
      <c r="F202" s="684"/>
      <c r="G202" s="684"/>
      <c r="H202" s="684"/>
      <c r="I202" s="684"/>
      <c r="J202" s="684"/>
      <c r="K202" s="684"/>
      <c r="L202" s="684"/>
      <c r="M202" s="684"/>
      <c r="N202" s="684"/>
      <c r="O202" s="684"/>
      <c r="P202" s="684"/>
      <c r="Q202" s="684"/>
      <c r="R202" s="684"/>
      <c r="S202" s="684"/>
      <c r="T202" s="684"/>
      <c r="U202" s="684"/>
      <c r="V202" s="699"/>
    </row>
    <row r="203" spans="1:22" ht="18" customHeight="1">
      <c r="A203" s="685"/>
      <c r="B203" s="684"/>
      <c r="C203" s="684"/>
      <c r="D203" s="684"/>
      <c r="E203" s="684"/>
      <c r="F203" s="684"/>
      <c r="G203" s="684"/>
      <c r="H203" s="684"/>
      <c r="I203" s="684"/>
      <c r="J203" s="684"/>
      <c r="K203" s="684"/>
      <c r="L203" s="684"/>
      <c r="M203" s="684"/>
      <c r="N203" s="684"/>
      <c r="O203" s="684"/>
      <c r="P203" s="684"/>
      <c r="Q203" s="684"/>
      <c r="R203" s="684"/>
      <c r="S203" s="684"/>
      <c r="T203" s="684"/>
      <c r="U203" s="684"/>
      <c r="V203" s="699"/>
    </row>
  </sheetData>
  <mergeCells count="197">
    <mergeCell ref="M191:N191"/>
    <mergeCell ref="P191:Q191"/>
    <mergeCell ref="M192:N192"/>
    <mergeCell ref="Q199:R199"/>
    <mergeCell ref="Q200:R200"/>
    <mergeCell ref="Q201:R201"/>
    <mergeCell ref="A202:V203"/>
    <mergeCell ref="O185:P185"/>
    <mergeCell ref="R185:S185"/>
    <mergeCell ref="C186:D186"/>
    <mergeCell ref="F186:G186"/>
    <mergeCell ref="C187:D187"/>
    <mergeCell ref="F187:G187"/>
    <mergeCell ref="M188:N188"/>
    <mergeCell ref="M190:N190"/>
    <mergeCell ref="P190:Q190"/>
    <mergeCell ref="G183:H183"/>
    <mergeCell ref="J183:K183"/>
    <mergeCell ref="G184:H184"/>
    <mergeCell ref="J184:K184"/>
    <mergeCell ref="M184:N184"/>
    <mergeCell ref="C185:D185"/>
    <mergeCell ref="F185:G185"/>
    <mergeCell ref="I185:J185"/>
    <mergeCell ref="L185:M185"/>
    <mergeCell ref="M168:N168"/>
    <mergeCell ref="Q175:R175"/>
    <mergeCell ref="Q176:R176"/>
    <mergeCell ref="Q177:R177"/>
    <mergeCell ref="G181:H181"/>
    <mergeCell ref="J181:K181"/>
    <mergeCell ref="O181:P181"/>
    <mergeCell ref="R181:S181"/>
    <mergeCell ref="G182:H182"/>
    <mergeCell ref="J182:K182"/>
    <mergeCell ref="G163:H163"/>
    <mergeCell ref="J163:K163"/>
    <mergeCell ref="G164:H164"/>
    <mergeCell ref="J164:K164"/>
    <mergeCell ref="G165:H165"/>
    <mergeCell ref="M166:N166"/>
    <mergeCell ref="P166:Q166"/>
    <mergeCell ref="M167:N167"/>
    <mergeCell ref="P167:Q167"/>
    <mergeCell ref="M146:N146"/>
    <mergeCell ref="P146:Q146"/>
    <mergeCell ref="M147:N147"/>
    <mergeCell ref="P147:Q147"/>
    <mergeCell ref="M148:N148"/>
    <mergeCell ref="Q156:R156"/>
    <mergeCell ref="Q157:R157"/>
    <mergeCell ref="Q158:R158"/>
    <mergeCell ref="G162:H162"/>
    <mergeCell ref="J162:K162"/>
    <mergeCell ref="O162:P162"/>
    <mergeCell ref="R162:S162"/>
    <mergeCell ref="C142:D142"/>
    <mergeCell ref="F142:G142"/>
    <mergeCell ref="I142:J142"/>
    <mergeCell ref="L142:M142"/>
    <mergeCell ref="R142:S142"/>
    <mergeCell ref="C143:D143"/>
    <mergeCell ref="F143:G143"/>
    <mergeCell ref="C144:D144"/>
    <mergeCell ref="F144:G144"/>
    <mergeCell ref="P144:Q144"/>
    <mergeCell ref="E106:F106"/>
    <mergeCell ref="H106:I106"/>
    <mergeCell ref="E107:F107"/>
    <mergeCell ref="Q113:R113"/>
    <mergeCell ref="Q114:R114"/>
    <mergeCell ref="Q115:R115"/>
    <mergeCell ref="G119:H119"/>
    <mergeCell ref="J119:K119"/>
    <mergeCell ref="M119:N119"/>
    <mergeCell ref="P119:Q119"/>
    <mergeCell ref="Q63:R63"/>
    <mergeCell ref="Q64:R64"/>
    <mergeCell ref="Q65:R65"/>
    <mergeCell ref="Q66:R66"/>
    <mergeCell ref="Q67:R67"/>
    <mergeCell ref="J70:K70"/>
    <mergeCell ref="Q73:R73"/>
    <mergeCell ref="Q74:R74"/>
    <mergeCell ref="Q75:R75"/>
    <mergeCell ref="S38:T38"/>
    <mergeCell ref="S39:T39"/>
    <mergeCell ref="S40:T40"/>
    <mergeCell ref="A42:V43"/>
    <mergeCell ref="Q46:R46"/>
    <mergeCell ref="S46:T46"/>
    <mergeCell ref="A47:K48"/>
    <mergeCell ref="Q47:R47"/>
    <mergeCell ref="S47:T4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8:T8"/>
    <mergeCell ref="S9:T9"/>
    <mergeCell ref="S10:T10"/>
    <mergeCell ref="S32:T32"/>
    <mergeCell ref="S28:T28"/>
    <mergeCell ref="S29:T29"/>
    <mergeCell ref="S33:T33"/>
    <mergeCell ref="S34:T34"/>
    <mergeCell ref="S35:T35"/>
    <mergeCell ref="S13:T13"/>
    <mergeCell ref="S14:T14"/>
    <mergeCell ref="S15:T15"/>
    <mergeCell ref="S16:T16"/>
    <mergeCell ref="S19:T19"/>
    <mergeCell ref="S20:T20"/>
    <mergeCell ref="S21:T21"/>
    <mergeCell ref="S22:T22"/>
    <mergeCell ref="S27:T27"/>
    <mergeCell ref="A49:O49"/>
    <mergeCell ref="Q50:R50"/>
    <mergeCell ref="S50:T50"/>
    <mergeCell ref="Q51:R51"/>
    <mergeCell ref="S51:T51"/>
    <mergeCell ref="Q52:R52"/>
    <mergeCell ref="S52:T52"/>
    <mergeCell ref="Q53:R53"/>
    <mergeCell ref="S53:T53"/>
    <mergeCell ref="Q54:R54"/>
    <mergeCell ref="S54:T54"/>
    <mergeCell ref="Q55:R55"/>
    <mergeCell ref="S55:T55"/>
    <mergeCell ref="Q56:R56"/>
    <mergeCell ref="S56:T56"/>
    <mergeCell ref="A57:V58"/>
    <mergeCell ref="Q61:R61"/>
    <mergeCell ref="Q62:R62"/>
    <mergeCell ref="Q76:R76"/>
    <mergeCell ref="Q77:R77"/>
    <mergeCell ref="L79:M79"/>
    <mergeCell ref="O79:P79"/>
    <mergeCell ref="L80:M80"/>
    <mergeCell ref="O80:P80"/>
    <mergeCell ref="L81:M81"/>
    <mergeCell ref="O81:P81"/>
    <mergeCell ref="L82:M82"/>
    <mergeCell ref="O82:P82"/>
    <mergeCell ref="Q85:R85"/>
    <mergeCell ref="J106:K106"/>
    <mergeCell ref="Q98:R98"/>
    <mergeCell ref="Q99:R99"/>
    <mergeCell ref="Q101:R101"/>
    <mergeCell ref="Q102:R102"/>
    <mergeCell ref="N103:O103"/>
    <mergeCell ref="Q103:R103"/>
    <mergeCell ref="P105:Q105"/>
    <mergeCell ref="Q88:R88"/>
    <mergeCell ref="Q89:R89"/>
    <mergeCell ref="Q90:R90"/>
    <mergeCell ref="Q92:R92"/>
    <mergeCell ref="Q93:R93"/>
    <mergeCell ref="Q94:R94"/>
    <mergeCell ref="Q95:R95"/>
    <mergeCell ref="Q96:R96"/>
    <mergeCell ref="Q97:R97"/>
    <mergeCell ref="M126:N126"/>
    <mergeCell ref="Q131:R131"/>
    <mergeCell ref="Q132:R132"/>
    <mergeCell ref="O142:P142"/>
    <mergeCell ref="G120:H120"/>
    <mergeCell ref="J120:K120"/>
    <mergeCell ref="G122:H122"/>
    <mergeCell ref="J122:K122"/>
    <mergeCell ref="G123:H123"/>
    <mergeCell ref="M124:N124"/>
    <mergeCell ref="P124:Q124"/>
    <mergeCell ref="M125:N125"/>
    <mergeCell ref="P125:Q125"/>
    <mergeCell ref="Q133:R133"/>
    <mergeCell ref="G137:H137"/>
    <mergeCell ref="J137:K137"/>
    <mergeCell ref="M137:N137"/>
    <mergeCell ref="P137:Q137"/>
    <mergeCell ref="G138:H138"/>
    <mergeCell ref="J138:K138"/>
    <mergeCell ref="G139:H139"/>
    <mergeCell ref="J139:K139"/>
  </mergeCells>
  <dataValidations count="3">
    <dataValidation type="list" allowBlank="1" showInputMessage="1" showErrorMessage="1" sqref="WVL983039:WVM983040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5:E65536 IZ65535:JA65536 SV65535:SW65536 ACR65535:ACS65536 AMN65535:AMO65536 AWJ65535:AWK65536 BGF65535:BGG65536 BQB65535:BQC65536 BZX65535:BZY65536 CJT65535:CJU65536 CTP65535:CTQ65536 DDL65535:DDM65536 DNH65535:DNI65536 DXD65535:DXE65536 EGZ65535:EHA65536 EQV65535:EQW65536 FAR65535:FAS65536 FKN65535:FKO65536 FUJ65535:FUK65536 GEF65535:GEG65536 GOB65535:GOC65536 GXX65535:GXY65536 HHT65535:HHU65536 HRP65535:HRQ65536 IBL65535:IBM65536 ILH65535:ILI65536 IVD65535:IVE65536 JEZ65535:JFA65536 JOV65535:JOW65536 JYR65535:JYS65536 KIN65535:KIO65536 KSJ65535:KSK65536 LCF65535:LCG65536 LMB65535:LMC65536 LVX65535:LVY65536 MFT65535:MFU65536 MPP65535:MPQ65536 MZL65535:MZM65536 NJH65535:NJI65536 NTD65535:NTE65536 OCZ65535:ODA65536 OMV65535:OMW65536 OWR65535:OWS65536 PGN65535:PGO65536 PQJ65535:PQK65536 QAF65535:QAG65536 QKB65535:QKC65536 QTX65535:QTY65536 RDT65535:RDU65536 RNP65535:RNQ65536 RXL65535:RXM65536 SHH65535:SHI65536 SRD65535:SRE65536 TAZ65535:TBA65536 TKV65535:TKW65536 TUR65535:TUS65536 UEN65535:UEO65536 UOJ65535:UOK65536 UYF65535:UYG65536 VIB65535:VIC65536 VRX65535:VRY65536 WBT65535:WBU65536 WLP65535:WLQ65536 WVL65535:WVM65536 D131071:E131072 IZ131071:JA131072 SV131071:SW131072 ACR131071:ACS131072 AMN131071:AMO131072 AWJ131071:AWK131072 BGF131071:BGG131072 BQB131071:BQC131072 BZX131071:BZY131072 CJT131071:CJU131072 CTP131071:CTQ131072 DDL131071:DDM131072 DNH131071:DNI131072 DXD131071:DXE131072 EGZ131071:EHA131072 EQV131071:EQW131072 FAR131071:FAS131072 FKN131071:FKO131072 FUJ131071:FUK131072 GEF131071:GEG131072 GOB131071:GOC131072 GXX131071:GXY131072 HHT131071:HHU131072 HRP131071:HRQ131072 IBL131071:IBM131072 ILH131071:ILI131072 IVD131071:IVE131072 JEZ131071:JFA131072 JOV131071:JOW131072 JYR131071:JYS131072 KIN131071:KIO131072 KSJ131071:KSK131072 LCF131071:LCG131072 LMB131071:LMC131072 LVX131071:LVY131072 MFT131071:MFU131072 MPP131071:MPQ131072 MZL131071:MZM131072 NJH131071:NJI131072 NTD131071:NTE131072 OCZ131071:ODA131072 OMV131071:OMW131072 OWR131071:OWS131072 PGN131071:PGO131072 PQJ131071:PQK131072 QAF131071:QAG131072 QKB131071:QKC131072 QTX131071:QTY131072 RDT131071:RDU131072 RNP131071:RNQ131072 RXL131071:RXM131072 SHH131071:SHI131072 SRD131071:SRE131072 TAZ131071:TBA131072 TKV131071:TKW131072 TUR131071:TUS131072 UEN131071:UEO131072 UOJ131071:UOK131072 UYF131071:UYG131072 VIB131071:VIC131072 VRX131071:VRY131072 WBT131071:WBU131072 WLP131071:WLQ131072 WVL131071:WVM131072 D196607:E196608 IZ196607:JA196608 SV196607:SW196608 ACR196607:ACS196608 AMN196607:AMO196608 AWJ196607:AWK196608 BGF196607:BGG196608 BQB196607:BQC196608 BZX196607:BZY196608 CJT196607:CJU196608 CTP196607:CTQ196608 DDL196607:DDM196608 DNH196607:DNI196608 DXD196607:DXE196608 EGZ196607:EHA196608 EQV196607:EQW196608 FAR196607:FAS196608 FKN196607:FKO196608 FUJ196607:FUK196608 GEF196607:GEG196608 GOB196607:GOC196608 GXX196607:GXY196608 HHT196607:HHU196608 HRP196607:HRQ196608 IBL196607:IBM196608 ILH196607:ILI196608 IVD196607:IVE196608 JEZ196607:JFA196608 JOV196607:JOW196608 JYR196607:JYS196608 KIN196607:KIO196608 KSJ196607:KSK196608 LCF196607:LCG196608 LMB196607:LMC196608 LVX196607:LVY196608 MFT196607:MFU196608 MPP196607:MPQ196608 MZL196607:MZM196608 NJH196607:NJI196608 NTD196607:NTE196608 OCZ196607:ODA196608 OMV196607:OMW196608 OWR196607:OWS196608 PGN196607:PGO196608 PQJ196607:PQK196608 QAF196607:QAG196608 QKB196607:QKC196608 QTX196607:QTY196608 RDT196607:RDU196608 RNP196607:RNQ196608 RXL196607:RXM196608 SHH196607:SHI196608 SRD196607:SRE196608 TAZ196607:TBA196608 TKV196607:TKW196608 TUR196607:TUS196608 UEN196607:UEO196608 UOJ196607:UOK196608 UYF196607:UYG196608 VIB196607:VIC196608 VRX196607:VRY196608 WBT196607:WBU196608 WLP196607:WLQ196608 WVL196607:WVM196608 D262143:E262144 IZ262143:JA262144 SV262143:SW262144 ACR262143:ACS262144 AMN262143:AMO262144 AWJ262143:AWK262144 BGF262143:BGG262144 BQB262143:BQC262144 BZX262143:BZY262144 CJT262143:CJU262144 CTP262143:CTQ262144 DDL262143:DDM262144 DNH262143:DNI262144 DXD262143:DXE262144 EGZ262143:EHA262144 EQV262143:EQW262144 FAR262143:FAS262144 FKN262143:FKO262144 FUJ262143:FUK262144 GEF262143:GEG262144 GOB262143:GOC262144 GXX262143:GXY262144 HHT262143:HHU262144 HRP262143:HRQ262144 IBL262143:IBM262144 ILH262143:ILI262144 IVD262143:IVE262144 JEZ262143:JFA262144 JOV262143:JOW262144 JYR262143:JYS262144 KIN262143:KIO262144 KSJ262143:KSK262144 LCF262143:LCG262144 LMB262143:LMC262144 LVX262143:LVY262144 MFT262143:MFU262144 MPP262143:MPQ262144 MZL262143:MZM262144 NJH262143:NJI262144 NTD262143:NTE262144 OCZ262143:ODA262144 OMV262143:OMW262144 OWR262143:OWS262144 PGN262143:PGO262144 PQJ262143:PQK262144 QAF262143:QAG262144 QKB262143:QKC262144 QTX262143:QTY262144 RDT262143:RDU262144 RNP262143:RNQ262144 RXL262143:RXM262144 SHH262143:SHI262144 SRD262143:SRE262144 TAZ262143:TBA262144 TKV262143:TKW262144 TUR262143:TUS262144 UEN262143:UEO262144 UOJ262143:UOK262144 UYF262143:UYG262144 VIB262143:VIC262144 VRX262143:VRY262144 WBT262143:WBU262144 WLP262143:WLQ262144 WVL262143:WVM262144 D327679:E327680 IZ327679:JA327680 SV327679:SW327680 ACR327679:ACS327680 AMN327679:AMO327680 AWJ327679:AWK327680 BGF327679:BGG327680 BQB327679:BQC327680 BZX327679:BZY327680 CJT327679:CJU327680 CTP327679:CTQ327680 DDL327679:DDM327680 DNH327679:DNI327680 DXD327679:DXE327680 EGZ327679:EHA327680 EQV327679:EQW327680 FAR327679:FAS327680 FKN327679:FKO327680 FUJ327679:FUK327680 GEF327679:GEG327680 GOB327679:GOC327680 GXX327679:GXY327680 HHT327679:HHU327680 HRP327679:HRQ327680 IBL327679:IBM327680 ILH327679:ILI327680 IVD327679:IVE327680 JEZ327679:JFA327680 JOV327679:JOW327680 JYR327679:JYS327680 KIN327679:KIO327680 KSJ327679:KSK327680 LCF327679:LCG327680 LMB327679:LMC327680 LVX327679:LVY327680 MFT327679:MFU327680 MPP327679:MPQ327680 MZL327679:MZM327680 NJH327679:NJI327680 NTD327679:NTE327680 OCZ327679:ODA327680 OMV327679:OMW327680 OWR327679:OWS327680 PGN327679:PGO327680 PQJ327679:PQK327680 QAF327679:QAG327680 QKB327679:QKC327680 QTX327679:QTY327680 RDT327679:RDU327680 RNP327679:RNQ327680 RXL327679:RXM327680 SHH327679:SHI327680 SRD327679:SRE327680 TAZ327679:TBA327680 TKV327679:TKW327680 TUR327679:TUS327680 UEN327679:UEO327680 UOJ327679:UOK327680 UYF327679:UYG327680 VIB327679:VIC327680 VRX327679:VRY327680 WBT327679:WBU327680 WLP327679:WLQ327680 WVL327679:WVM327680 D393215:E393216 IZ393215:JA393216 SV393215:SW393216 ACR393215:ACS393216 AMN393215:AMO393216 AWJ393215:AWK393216 BGF393215:BGG393216 BQB393215:BQC393216 BZX393215:BZY393216 CJT393215:CJU393216 CTP393215:CTQ393216 DDL393215:DDM393216 DNH393215:DNI393216 DXD393215:DXE393216 EGZ393215:EHA393216 EQV393215:EQW393216 FAR393215:FAS393216 FKN393215:FKO393216 FUJ393215:FUK393216 GEF393215:GEG393216 GOB393215:GOC393216 GXX393215:GXY393216 HHT393215:HHU393216 HRP393215:HRQ393216 IBL393215:IBM393216 ILH393215:ILI393216 IVD393215:IVE393216 JEZ393215:JFA393216 JOV393215:JOW393216 JYR393215:JYS393216 KIN393215:KIO393216 KSJ393215:KSK393216 LCF393215:LCG393216 LMB393215:LMC393216 LVX393215:LVY393216 MFT393215:MFU393216 MPP393215:MPQ393216 MZL393215:MZM393216 NJH393215:NJI393216 NTD393215:NTE393216 OCZ393215:ODA393216 OMV393215:OMW393216 OWR393215:OWS393216 PGN393215:PGO393216 PQJ393215:PQK393216 QAF393215:QAG393216 QKB393215:QKC393216 QTX393215:QTY393216 RDT393215:RDU393216 RNP393215:RNQ393216 RXL393215:RXM393216 SHH393215:SHI393216 SRD393215:SRE393216 TAZ393215:TBA393216 TKV393215:TKW393216 TUR393215:TUS393216 UEN393215:UEO393216 UOJ393215:UOK393216 UYF393215:UYG393216 VIB393215:VIC393216 VRX393215:VRY393216 WBT393215:WBU393216 WLP393215:WLQ393216 WVL393215:WVM393216 D458751:E458752 IZ458751:JA458752 SV458751:SW458752 ACR458751:ACS458752 AMN458751:AMO458752 AWJ458751:AWK458752 BGF458751:BGG458752 BQB458751:BQC458752 BZX458751:BZY458752 CJT458751:CJU458752 CTP458751:CTQ458752 DDL458751:DDM458752 DNH458751:DNI458752 DXD458751:DXE458752 EGZ458751:EHA458752 EQV458751:EQW458752 FAR458751:FAS458752 FKN458751:FKO458752 FUJ458751:FUK458752 GEF458751:GEG458752 GOB458751:GOC458752 GXX458751:GXY458752 HHT458751:HHU458752 HRP458751:HRQ458752 IBL458751:IBM458752 ILH458751:ILI458752 IVD458751:IVE458752 JEZ458751:JFA458752 JOV458751:JOW458752 JYR458751:JYS458752 KIN458751:KIO458752 KSJ458751:KSK458752 LCF458751:LCG458752 LMB458751:LMC458752 LVX458751:LVY458752 MFT458751:MFU458752 MPP458751:MPQ458752 MZL458751:MZM458752 NJH458751:NJI458752 NTD458751:NTE458752 OCZ458751:ODA458752 OMV458751:OMW458752 OWR458751:OWS458752 PGN458751:PGO458752 PQJ458751:PQK458752 QAF458751:QAG458752 QKB458751:QKC458752 QTX458751:QTY458752 RDT458751:RDU458752 RNP458751:RNQ458752 RXL458751:RXM458752 SHH458751:SHI458752 SRD458751:SRE458752 TAZ458751:TBA458752 TKV458751:TKW458752 TUR458751:TUS458752 UEN458751:UEO458752 UOJ458751:UOK458752 UYF458751:UYG458752 VIB458751:VIC458752 VRX458751:VRY458752 WBT458751:WBU458752 WLP458751:WLQ458752 WVL458751:WVM458752 D524287:E524288 IZ524287:JA524288 SV524287:SW524288 ACR524287:ACS524288 AMN524287:AMO524288 AWJ524287:AWK524288 BGF524287:BGG524288 BQB524287:BQC524288 BZX524287:BZY524288 CJT524287:CJU524288 CTP524287:CTQ524288 DDL524287:DDM524288 DNH524287:DNI524288 DXD524287:DXE524288 EGZ524287:EHA524288 EQV524287:EQW524288 FAR524287:FAS524288 FKN524287:FKO524288 FUJ524287:FUK524288 GEF524287:GEG524288 GOB524287:GOC524288 GXX524287:GXY524288 HHT524287:HHU524288 HRP524287:HRQ524288 IBL524287:IBM524288 ILH524287:ILI524288 IVD524287:IVE524288 JEZ524287:JFA524288 JOV524287:JOW524288 JYR524287:JYS524288 KIN524287:KIO524288 KSJ524287:KSK524288 LCF524287:LCG524288 LMB524287:LMC524288 LVX524287:LVY524288 MFT524287:MFU524288 MPP524287:MPQ524288 MZL524287:MZM524288 NJH524287:NJI524288 NTD524287:NTE524288 OCZ524287:ODA524288 OMV524287:OMW524288 OWR524287:OWS524288 PGN524287:PGO524288 PQJ524287:PQK524288 QAF524287:QAG524288 QKB524287:QKC524288 QTX524287:QTY524288 RDT524287:RDU524288 RNP524287:RNQ524288 RXL524287:RXM524288 SHH524287:SHI524288 SRD524287:SRE524288 TAZ524287:TBA524288 TKV524287:TKW524288 TUR524287:TUS524288 UEN524287:UEO524288 UOJ524287:UOK524288 UYF524287:UYG524288 VIB524287:VIC524288 VRX524287:VRY524288 WBT524287:WBU524288 WLP524287:WLQ524288 WVL524287:WVM524288 D589823:E589824 IZ589823:JA589824 SV589823:SW589824 ACR589823:ACS589824 AMN589823:AMO589824 AWJ589823:AWK589824 BGF589823:BGG589824 BQB589823:BQC589824 BZX589823:BZY589824 CJT589823:CJU589824 CTP589823:CTQ589824 DDL589823:DDM589824 DNH589823:DNI589824 DXD589823:DXE589824 EGZ589823:EHA589824 EQV589823:EQW589824 FAR589823:FAS589824 FKN589823:FKO589824 FUJ589823:FUK589824 GEF589823:GEG589824 GOB589823:GOC589824 GXX589823:GXY589824 HHT589823:HHU589824 HRP589823:HRQ589824 IBL589823:IBM589824 ILH589823:ILI589824 IVD589823:IVE589824 JEZ589823:JFA589824 JOV589823:JOW589824 JYR589823:JYS589824 KIN589823:KIO589824 KSJ589823:KSK589824 LCF589823:LCG589824 LMB589823:LMC589824 LVX589823:LVY589824 MFT589823:MFU589824 MPP589823:MPQ589824 MZL589823:MZM589824 NJH589823:NJI589824 NTD589823:NTE589824 OCZ589823:ODA589824 OMV589823:OMW589824 OWR589823:OWS589824 PGN589823:PGO589824 PQJ589823:PQK589824 QAF589823:QAG589824 QKB589823:QKC589824 QTX589823:QTY589824 RDT589823:RDU589824 RNP589823:RNQ589824 RXL589823:RXM589824 SHH589823:SHI589824 SRD589823:SRE589824 TAZ589823:TBA589824 TKV589823:TKW589824 TUR589823:TUS589824 UEN589823:UEO589824 UOJ589823:UOK589824 UYF589823:UYG589824 VIB589823:VIC589824 VRX589823:VRY589824 WBT589823:WBU589824 WLP589823:WLQ589824 WVL589823:WVM589824 D655359:E655360 IZ655359:JA655360 SV655359:SW655360 ACR655359:ACS655360 AMN655359:AMO655360 AWJ655359:AWK655360 BGF655359:BGG655360 BQB655359:BQC655360 BZX655359:BZY655360 CJT655359:CJU655360 CTP655359:CTQ655360 DDL655359:DDM655360 DNH655359:DNI655360 DXD655359:DXE655360 EGZ655359:EHA655360 EQV655359:EQW655360 FAR655359:FAS655360 FKN655359:FKO655360 FUJ655359:FUK655360 GEF655359:GEG655360 GOB655359:GOC655360 GXX655359:GXY655360 HHT655359:HHU655360 HRP655359:HRQ655360 IBL655359:IBM655360 ILH655359:ILI655360 IVD655359:IVE655360 JEZ655359:JFA655360 JOV655359:JOW655360 JYR655359:JYS655360 KIN655359:KIO655360 KSJ655359:KSK655360 LCF655359:LCG655360 LMB655359:LMC655360 LVX655359:LVY655360 MFT655359:MFU655360 MPP655359:MPQ655360 MZL655359:MZM655360 NJH655359:NJI655360 NTD655359:NTE655360 OCZ655359:ODA655360 OMV655359:OMW655360 OWR655359:OWS655360 PGN655359:PGO655360 PQJ655359:PQK655360 QAF655359:QAG655360 QKB655359:QKC655360 QTX655359:QTY655360 RDT655359:RDU655360 RNP655359:RNQ655360 RXL655359:RXM655360 SHH655359:SHI655360 SRD655359:SRE655360 TAZ655359:TBA655360 TKV655359:TKW655360 TUR655359:TUS655360 UEN655359:UEO655360 UOJ655359:UOK655360 UYF655359:UYG655360 VIB655359:VIC655360 VRX655359:VRY655360 WBT655359:WBU655360 WLP655359:WLQ655360 WVL655359:WVM655360 D720895:E720896 IZ720895:JA720896 SV720895:SW720896 ACR720895:ACS720896 AMN720895:AMO720896 AWJ720895:AWK720896 BGF720895:BGG720896 BQB720895:BQC720896 BZX720895:BZY720896 CJT720895:CJU720896 CTP720895:CTQ720896 DDL720895:DDM720896 DNH720895:DNI720896 DXD720895:DXE720896 EGZ720895:EHA720896 EQV720895:EQW720896 FAR720895:FAS720896 FKN720895:FKO720896 FUJ720895:FUK720896 GEF720895:GEG720896 GOB720895:GOC720896 GXX720895:GXY720896 HHT720895:HHU720896 HRP720895:HRQ720896 IBL720895:IBM720896 ILH720895:ILI720896 IVD720895:IVE720896 JEZ720895:JFA720896 JOV720895:JOW720896 JYR720895:JYS720896 KIN720895:KIO720896 KSJ720895:KSK720896 LCF720895:LCG720896 LMB720895:LMC720896 LVX720895:LVY720896 MFT720895:MFU720896 MPP720895:MPQ720896 MZL720895:MZM720896 NJH720895:NJI720896 NTD720895:NTE720896 OCZ720895:ODA720896 OMV720895:OMW720896 OWR720895:OWS720896 PGN720895:PGO720896 PQJ720895:PQK720896 QAF720895:QAG720896 QKB720895:QKC720896 QTX720895:QTY720896 RDT720895:RDU720896 RNP720895:RNQ720896 RXL720895:RXM720896 SHH720895:SHI720896 SRD720895:SRE720896 TAZ720895:TBA720896 TKV720895:TKW720896 TUR720895:TUS720896 UEN720895:UEO720896 UOJ720895:UOK720896 UYF720895:UYG720896 VIB720895:VIC720896 VRX720895:VRY720896 WBT720895:WBU720896 WLP720895:WLQ720896 WVL720895:WVM720896 D786431:E786432 IZ786431:JA786432 SV786431:SW786432 ACR786431:ACS786432 AMN786431:AMO786432 AWJ786431:AWK786432 BGF786431:BGG786432 BQB786431:BQC786432 BZX786431:BZY786432 CJT786431:CJU786432 CTP786431:CTQ786432 DDL786431:DDM786432 DNH786431:DNI786432 DXD786431:DXE786432 EGZ786431:EHA786432 EQV786431:EQW786432 FAR786431:FAS786432 FKN786431:FKO786432 FUJ786431:FUK786432 GEF786431:GEG786432 GOB786431:GOC786432 GXX786431:GXY786432 HHT786431:HHU786432 HRP786431:HRQ786432 IBL786431:IBM786432 ILH786431:ILI786432 IVD786431:IVE786432 JEZ786431:JFA786432 JOV786431:JOW786432 JYR786431:JYS786432 KIN786431:KIO786432 KSJ786431:KSK786432 LCF786431:LCG786432 LMB786431:LMC786432 LVX786431:LVY786432 MFT786431:MFU786432 MPP786431:MPQ786432 MZL786431:MZM786432 NJH786431:NJI786432 NTD786431:NTE786432 OCZ786431:ODA786432 OMV786431:OMW786432 OWR786431:OWS786432 PGN786431:PGO786432 PQJ786431:PQK786432 QAF786431:QAG786432 QKB786431:QKC786432 QTX786431:QTY786432 RDT786431:RDU786432 RNP786431:RNQ786432 RXL786431:RXM786432 SHH786431:SHI786432 SRD786431:SRE786432 TAZ786431:TBA786432 TKV786431:TKW786432 TUR786431:TUS786432 UEN786431:UEO786432 UOJ786431:UOK786432 UYF786431:UYG786432 VIB786431:VIC786432 VRX786431:VRY786432 WBT786431:WBU786432 WLP786431:WLQ786432 WVL786431:WVM786432 D851967:E851968 IZ851967:JA851968 SV851967:SW851968 ACR851967:ACS851968 AMN851967:AMO851968 AWJ851967:AWK851968 BGF851967:BGG851968 BQB851967:BQC851968 BZX851967:BZY851968 CJT851967:CJU851968 CTP851967:CTQ851968 DDL851967:DDM851968 DNH851967:DNI851968 DXD851967:DXE851968 EGZ851967:EHA851968 EQV851967:EQW851968 FAR851967:FAS851968 FKN851967:FKO851968 FUJ851967:FUK851968 GEF851967:GEG851968 GOB851967:GOC851968 GXX851967:GXY851968 HHT851967:HHU851968 HRP851967:HRQ851968 IBL851967:IBM851968 ILH851967:ILI851968 IVD851967:IVE851968 JEZ851967:JFA851968 JOV851967:JOW851968 JYR851967:JYS851968 KIN851967:KIO851968 KSJ851967:KSK851968 LCF851967:LCG851968 LMB851967:LMC851968 LVX851967:LVY851968 MFT851967:MFU851968 MPP851967:MPQ851968 MZL851967:MZM851968 NJH851967:NJI851968 NTD851967:NTE851968 OCZ851967:ODA851968 OMV851967:OMW851968 OWR851967:OWS851968 PGN851967:PGO851968 PQJ851967:PQK851968 QAF851967:QAG851968 QKB851967:QKC851968 QTX851967:QTY851968 RDT851967:RDU851968 RNP851967:RNQ851968 RXL851967:RXM851968 SHH851967:SHI851968 SRD851967:SRE851968 TAZ851967:TBA851968 TKV851967:TKW851968 TUR851967:TUS851968 UEN851967:UEO851968 UOJ851967:UOK851968 UYF851967:UYG851968 VIB851967:VIC851968 VRX851967:VRY851968 WBT851967:WBU851968 WLP851967:WLQ851968 WVL851967:WVM851968 D917503:E917504 IZ917503:JA917504 SV917503:SW917504 ACR917503:ACS917504 AMN917503:AMO917504 AWJ917503:AWK917504 BGF917503:BGG917504 BQB917503:BQC917504 BZX917503:BZY917504 CJT917503:CJU917504 CTP917503:CTQ917504 DDL917503:DDM917504 DNH917503:DNI917504 DXD917503:DXE917504 EGZ917503:EHA917504 EQV917503:EQW917504 FAR917503:FAS917504 FKN917503:FKO917504 FUJ917503:FUK917504 GEF917503:GEG917504 GOB917503:GOC917504 GXX917503:GXY917504 HHT917503:HHU917504 HRP917503:HRQ917504 IBL917503:IBM917504 ILH917503:ILI917504 IVD917503:IVE917504 JEZ917503:JFA917504 JOV917503:JOW917504 JYR917503:JYS917504 KIN917503:KIO917504 KSJ917503:KSK917504 LCF917503:LCG917504 LMB917503:LMC917504 LVX917503:LVY917504 MFT917503:MFU917504 MPP917503:MPQ917504 MZL917503:MZM917504 NJH917503:NJI917504 NTD917503:NTE917504 OCZ917503:ODA917504 OMV917503:OMW917504 OWR917503:OWS917504 PGN917503:PGO917504 PQJ917503:PQK917504 QAF917503:QAG917504 QKB917503:QKC917504 QTX917503:QTY917504 RDT917503:RDU917504 RNP917503:RNQ917504 RXL917503:RXM917504 SHH917503:SHI917504 SRD917503:SRE917504 TAZ917503:TBA917504 TKV917503:TKW917504 TUR917503:TUS917504 UEN917503:UEO917504 UOJ917503:UOK917504 UYF917503:UYG917504 VIB917503:VIC917504 VRX917503:VRY917504 WBT917503:WBU917504 WLP917503:WLQ917504 WVL917503:WVM917504 D983039:E983040 IZ983039:JA983040 SV983039:SW983040 ACR983039:ACS983040 AMN983039:AMO983040 AWJ983039:AWK983040 BGF983039:BGG983040 BQB983039:BQC983040 BZX983039:BZY983040 CJT983039:CJU983040 CTP983039:CTQ983040 DDL983039:DDM983040 DNH983039:DNI983040 DXD983039:DXE983040 EGZ983039:EHA983040 EQV983039:EQW983040 FAR983039:FAS983040 FKN983039:FKO983040 FUJ983039:FUK983040 GEF983039:GEG983040 GOB983039:GOC983040 GXX983039:GXY983040 HHT983039:HHU983040 HRP983039:HRQ983040 IBL983039:IBM983040 ILH983039:ILI983040 IVD983039:IVE983040 JEZ983039:JFA983040 JOV983039:JOW983040 JYR983039:JYS983040 KIN983039:KIO983040 KSJ983039:KSK983040 LCF983039:LCG983040 LMB983039:LMC983040 LVX983039:LVY983040 MFT983039:MFU983040 MPP983039:MPQ983040 MZL983039:MZM983040 NJH983039:NJI983040 NTD983039:NTE983040 OCZ983039:ODA983040 OMV983039:OMW983040 OWR983039:OWS983040 PGN983039:PGO983040 PQJ983039:PQK983040 QAF983039:QAG983040 QKB983039:QKC983040 QTX983039:QTY983040 RDT983039:RDU983040 RNP983039:RNQ983040 RXL983039:RXM983040 SHH983039:SHI983040 SRD983039:SRE983040 TAZ983039:TBA983040 TKV983039:TKW983040 TUR983039:TUS983040 UEN983039:UEO983040 UOJ983039:UOK983040 UYF983039:UYG983040 VIB983039:VIC983040 VRX983039:VRY983040 WBT983039:WBU983040 WLP983039:WLQ983040" xr:uid="{C9A76931-3F1A-4A09-8853-EA82E9FB4279}">
      <formula1>"Core1,Core2,Core3,Core4,Core5"</formula1>
    </dataValidation>
    <dataValidation type="list" allowBlank="1" showInputMessage="1" showErrorMessage="1" sqref="WLP983083 IZ91 SV91 ACR91 AMN91 AWJ91 BGF91 BQB91 BZX91 CJT91 CTP91 DDL91 DNH91 DXD91 EGZ91 EQV91 FAR91 FKN91 FUJ91 GEF91 GOB91 GXX91 HHT91 HRP91 IBL91 ILH91 IVD91 JEZ91 JOV91 JYR91 KIN91 KSJ91 LCF91 LMB91 LVX91 MFT91 MPP91 MZL91 NJH91 NTD91 OCZ91 OMV91 OWR91 PGN91 PQJ91 QAF91 QKB91 QTX91 RDT91 RNP91 RXL91 SHH91 SRD91 TAZ91 TKV91 TUR91 UEN91 UOJ91 UYF91 VIB91 VRX91 WBT91 WLP91 WVL91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WVL983083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xr:uid="{C9AEBEA8-721E-4C31-8390-1BE25632E8A3}">
      <formula1>"Core1,Core2,Core3"</formula1>
    </dataValidation>
    <dataValidation type="list" allowBlank="1" showInputMessage="1" showErrorMessage="1" sqref="G70" xr:uid="{67F6F6FD-2824-44E5-A16D-157545CB547F}">
      <formula1>"AL, CU,"</formula1>
    </dataValidation>
  </dataValidations>
  <printOptions horizontalCentered="1" verticalCentered="1"/>
  <pageMargins left="0.5" right="0.5" top="0.5" bottom="0.5" header="0" footer="0"/>
  <pageSetup paperSize="9" scale="90" orientation="portrait" r:id="rId1"/>
  <headerFooter alignWithMargins="0"/>
  <rowBreaks count="2" manualBreakCount="2">
    <brk id="47" max="21" man="1"/>
    <brk id="87" max="21" man="1"/>
  </row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BBA3-B253-4D60-B89C-21E4AFD5D5B0}">
  <sheetPr>
    <tabColor rgb="FF00B050"/>
  </sheetPr>
  <dimension ref="A1:Y293"/>
  <sheetViews>
    <sheetView showZeros="0" view="pageBreakPreview" zoomScale="145" zoomScaleNormal="100" zoomScaleSheetLayoutView="145" workbookViewId="0">
      <selection activeCell="T8" sqref="T8:U8"/>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108</v>
      </c>
      <c r="C7" s="1076"/>
      <c r="D7" s="1092" t="s">
        <v>113</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219">
        <v>3200</v>
      </c>
      <c r="I10" s="1219"/>
      <c r="J10" s="1075">
        <v>2000</v>
      </c>
      <c r="K10" s="1076"/>
      <c r="L10" s="1075"/>
      <c r="M10" s="1076"/>
      <c r="N10" s="191" t="s">
        <v>342</v>
      </c>
      <c r="O10" s="501">
        <v>1</v>
      </c>
      <c r="P10" s="27" t="s">
        <v>8</v>
      </c>
      <c r="R10" s="255"/>
      <c r="S10" s="255"/>
      <c r="V10" s="185"/>
    </row>
    <row r="11" spans="1:24" ht="18" customHeight="1">
      <c r="A11" s="184"/>
      <c r="B11" s="47" t="s">
        <v>394</v>
      </c>
      <c r="H11" s="1092" t="s">
        <v>395</v>
      </c>
      <c r="I11" s="1092"/>
      <c r="V11" s="185"/>
    </row>
    <row r="12" spans="1:24" ht="18" customHeight="1">
      <c r="A12" s="184"/>
      <c r="B12" s="47" t="s">
        <v>396</v>
      </c>
      <c r="G12" s="120" t="s">
        <v>497</v>
      </c>
      <c r="H12" s="1092">
        <v>8</v>
      </c>
      <c r="I12" s="1092"/>
      <c r="J12" s="192" t="s">
        <v>333</v>
      </c>
      <c r="V12" s="185"/>
    </row>
    <row r="13" spans="1:24" ht="18" customHeight="1">
      <c r="A13" s="184"/>
      <c r="B13" s="47" t="s">
        <v>398</v>
      </c>
      <c r="G13" s="120" t="s">
        <v>498</v>
      </c>
      <c r="H13" s="1092">
        <v>900</v>
      </c>
      <c r="I13" s="1092"/>
      <c r="J13" s="14" t="s">
        <v>305</v>
      </c>
      <c r="U13" s="18"/>
      <c r="V13" s="185"/>
      <c r="W13" s="30" t="str">
        <f>H74</f>
        <v>Suitably Dimensioned</v>
      </c>
    </row>
    <row r="14" spans="1:24" ht="18" customHeight="1">
      <c r="A14" s="184"/>
      <c r="B14" s="14" t="s">
        <v>401</v>
      </c>
      <c r="G14" s="120" t="s">
        <v>402</v>
      </c>
      <c r="H14" s="1092">
        <v>10</v>
      </c>
      <c r="I14" s="1092"/>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Burdens'!S24</f>
        <v>1.0770224400000001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1.2770224400000001</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3200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1.2770224400000001</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1.2770224400000001</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8</v>
      </c>
      <c r="M39" s="689"/>
      <c r="N39" s="689" t="s">
        <v>347</v>
      </c>
      <c r="O39" s="692">
        <f>S29</f>
        <v>1.2770224400000001</v>
      </c>
      <c r="P39" s="689"/>
      <c r="Q39" s="689" t="s">
        <v>674</v>
      </c>
      <c r="R39" s="689">
        <f>S27</f>
        <v>1</v>
      </c>
      <c r="S39" s="14"/>
      <c r="T39" s="14"/>
      <c r="U39" s="14"/>
      <c r="V39" s="185"/>
    </row>
    <row r="40" spans="1:22" ht="18" customHeight="1">
      <c r="A40" s="184"/>
      <c r="B40" s="14"/>
      <c r="C40" s="14"/>
      <c r="D40" s="689"/>
      <c r="E40" s="689"/>
      <c r="F40" s="689"/>
      <c r="G40" s="211">
        <v>1.3</v>
      </c>
      <c r="H40" s="218" t="s">
        <v>315</v>
      </c>
      <c r="I40" s="689">
        <f>S26</f>
        <v>3200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55.751336778846152</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8</v>
      </c>
      <c r="I51" s="689"/>
      <c r="J51" s="689" t="s">
        <v>347</v>
      </c>
      <c r="K51" s="692">
        <f>S29</f>
        <v>1.2770224400000001</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713.61711076923075</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900</v>
      </c>
      <c r="F67" s="692"/>
      <c r="G67" s="28" t="str">
        <f>G66</f>
        <v>&gt;</v>
      </c>
      <c r="H67" s="692">
        <f>E42</f>
        <v>55.751336778846152</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900</v>
      </c>
      <c r="F71" s="692"/>
      <c r="G71" s="28" t="str">
        <f>G70</f>
        <v>&gt;</v>
      </c>
      <c r="H71" s="692">
        <f>E54</f>
        <v>713.61711076923075</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Dimensioned",IF(AND(G66="&gt;",G70="&gt;"),"Over Dimentioned",IF(G66="&lt;","Under Dimensioned","")))</f>
        <v>Suitably Dimensioned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T1</v>
      </c>
      <c r="C87" s="831"/>
      <c r="D87" s="854" t="str">
        <f>D7</f>
        <v>Core4</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3200</v>
      </c>
      <c r="I90" s="831"/>
      <c r="J90" s="863">
        <f>J10</f>
        <v>2000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Dimensioned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1.0770224400000001</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1.2770224400000001</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2000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1.2770224400000001</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1.2770224400000001</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1.2770224400000001</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2000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60.355984999999997</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1.2770224400000001</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482.84787999999998</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60.355984999999997</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482.84787999999998</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Dimensioned",IF(AND(G146="&gt;",G150="&gt;"),"Over Dimentioned",IF(G146="&lt;","Under Dimensioned","")))</f>
        <v>Suitably Dimensioned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T1</v>
      </c>
      <c r="C167" s="831"/>
      <c r="D167" s="854" t="str">
        <f>D87</f>
        <v>Core4</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3200</v>
      </c>
      <c r="I170" s="831"/>
      <c r="J170" s="854">
        <f>J90</f>
        <v>2000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1.0770224400000001</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1.2770224400000001</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1.2770224400000001</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1.2770224400000001</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1.2770224400000001</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1.2770224400000001</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98.23249538461539</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98.23249538461539</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T1</v>
      </c>
      <c r="B261" s="765" t="str">
        <f>D7</f>
        <v>Core4</v>
      </c>
      <c r="C261" s="765"/>
      <c r="D261" s="870">
        <f>H10</f>
        <v>3200</v>
      </c>
      <c r="E261" s="870"/>
      <c r="F261" s="871">
        <f>O10</f>
        <v>1</v>
      </c>
      <c r="G261" s="961">
        <f>'CT-VT Burdens'!S21</f>
        <v>120</v>
      </c>
      <c r="H261" s="959">
        <f>'CT-VT Burdens'!S10</f>
        <v>6</v>
      </c>
      <c r="I261" s="874" t="str">
        <f>H11</f>
        <v>PX</v>
      </c>
      <c r="J261" s="874"/>
      <c r="K261" s="869">
        <f>H12</f>
        <v>8</v>
      </c>
      <c r="L261" s="869"/>
      <c r="M261" s="869">
        <f>H13</f>
        <v>900</v>
      </c>
      <c r="N261" s="869"/>
      <c r="O261" s="870">
        <f>H14</f>
        <v>10</v>
      </c>
      <c r="P261" s="870"/>
      <c r="Q261" s="879" t="str">
        <f>CONCATENATE(T7," ",T8," ",T9," ",T10)</f>
        <v xml:space="preserve">7SS522 6MU85  </v>
      </c>
      <c r="R261" s="879"/>
      <c r="S261" s="878" t="str">
        <f>H74</f>
        <v>Suitably Dimensioned</v>
      </c>
      <c r="T261" s="878"/>
      <c r="U261" s="878"/>
      <c r="V261" s="878"/>
    </row>
    <row r="262" spans="1:22" ht="18" customHeight="1">
      <c r="A262" s="765"/>
      <c r="B262" s="765"/>
      <c r="C262" s="765"/>
      <c r="D262" s="870">
        <f>J10</f>
        <v>2000</v>
      </c>
      <c r="E262" s="870"/>
      <c r="F262" s="872"/>
      <c r="G262" s="961"/>
      <c r="H262" s="959"/>
      <c r="I262" s="874"/>
      <c r="J262" s="874"/>
      <c r="K262" s="875">
        <f>J92</f>
        <v>5</v>
      </c>
      <c r="L262" s="869"/>
      <c r="M262" s="875">
        <f>J93</f>
        <v>900</v>
      </c>
      <c r="N262" s="869"/>
      <c r="O262" s="870">
        <f>J94</f>
        <v>10</v>
      </c>
      <c r="P262" s="870"/>
      <c r="Q262" s="879"/>
      <c r="R262" s="879"/>
      <c r="S262" s="877" t="str">
        <f>H154</f>
        <v>Suitably Dimensioned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S261:V261"/>
    <mergeCell ref="D262:E262"/>
    <mergeCell ref="K262:L262"/>
    <mergeCell ref="M262:N262"/>
    <mergeCell ref="O262:P262"/>
    <mergeCell ref="S262:V262"/>
    <mergeCell ref="O257:P260"/>
    <mergeCell ref="Q257:R260"/>
    <mergeCell ref="S257:V260"/>
    <mergeCell ref="K257:L260"/>
    <mergeCell ref="M257:N260"/>
    <mergeCell ref="K263:L263"/>
    <mergeCell ref="M263:N263"/>
    <mergeCell ref="O263:P263"/>
    <mergeCell ref="S263:V263"/>
    <mergeCell ref="K261:L261"/>
    <mergeCell ref="M261:N261"/>
    <mergeCell ref="O261:P261"/>
    <mergeCell ref="A261:A263"/>
    <mergeCell ref="B261:C263"/>
    <mergeCell ref="D261:E261"/>
    <mergeCell ref="F261:F263"/>
    <mergeCell ref="G261:G263"/>
    <mergeCell ref="H261:H263"/>
    <mergeCell ref="I261:J263"/>
    <mergeCell ref="A257:C260"/>
    <mergeCell ref="D257:F260"/>
    <mergeCell ref="G257:H260"/>
    <mergeCell ref="I257:J260"/>
    <mergeCell ref="D263:E263"/>
    <mergeCell ref="A1:G4"/>
    <mergeCell ref="E235:F235"/>
    <mergeCell ref="H235:I235"/>
    <mergeCell ref="K215:L216"/>
    <mergeCell ref="M215:M216"/>
    <mergeCell ref="N215:N216"/>
    <mergeCell ref="E216:F216"/>
    <mergeCell ref="E218:F218"/>
    <mergeCell ref="E231:F231"/>
    <mergeCell ref="H231:I231"/>
    <mergeCell ref="J212:J213"/>
    <mergeCell ref="K212:L213"/>
    <mergeCell ref="M212:M213"/>
    <mergeCell ref="N212:N213"/>
    <mergeCell ref="E213:F213"/>
    <mergeCell ref="D215:D216"/>
    <mergeCell ref="E215:F215"/>
    <mergeCell ref="G215:G216"/>
    <mergeCell ref="H215:I216"/>
    <mergeCell ref="J215:J216"/>
    <mergeCell ref="E202:F202"/>
    <mergeCell ref="B212:C213"/>
    <mergeCell ref="D212:D213"/>
    <mergeCell ref="E212:F212"/>
    <mergeCell ref="G212:G213"/>
    <mergeCell ref="H212:I213"/>
    <mergeCell ref="L199:M200"/>
    <mergeCell ref="N199:N200"/>
    <mergeCell ref="O199:P200"/>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8:T108"/>
    <mergeCell ref="S109:T109"/>
    <mergeCell ref="S110:T110"/>
    <mergeCell ref="B116:C117"/>
    <mergeCell ref="D116:D117"/>
    <mergeCell ref="E116:E117"/>
    <mergeCell ref="F116:F117"/>
    <mergeCell ref="G116:J116"/>
    <mergeCell ref="K116:K117"/>
    <mergeCell ref="L116:M117"/>
    <mergeCell ref="J100:K100"/>
    <mergeCell ref="J101:K101"/>
    <mergeCell ref="J102:K102"/>
    <mergeCell ref="S105:T105"/>
    <mergeCell ref="S106:T106"/>
    <mergeCell ref="S107:T107"/>
    <mergeCell ref="J91:K91"/>
    <mergeCell ref="J92:K92"/>
    <mergeCell ref="J93:K93"/>
    <mergeCell ref="J94:K94"/>
    <mergeCell ref="J98:K98"/>
    <mergeCell ref="J99:K99"/>
    <mergeCell ref="T88:U88"/>
    <mergeCell ref="H89:I89"/>
    <mergeCell ref="J89:K89"/>
    <mergeCell ref="L89:M89"/>
    <mergeCell ref="T89:U89"/>
    <mergeCell ref="H90:I90"/>
    <mergeCell ref="J90:K90"/>
    <mergeCell ref="L90:M90"/>
    <mergeCell ref="E71:F71"/>
    <mergeCell ref="H71:I71"/>
    <mergeCell ref="D51:D52"/>
    <mergeCell ref="E51:F51"/>
    <mergeCell ref="G51:G52"/>
    <mergeCell ref="H51:I52"/>
    <mergeCell ref="J51:J52"/>
    <mergeCell ref="B87:C87"/>
    <mergeCell ref="D87:E87"/>
    <mergeCell ref="H87:M87"/>
    <mergeCell ref="T87:U87"/>
    <mergeCell ref="K51:L52"/>
    <mergeCell ref="M51:M52"/>
    <mergeCell ref="N51:N52"/>
    <mergeCell ref="E52:F52"/>
    <mergeCell ref="E54:F54"/>
    <mergeCell ref="E67:F67"/>
    <mergeCell ref="H67:I67"/>
    <mergeCell ref="E42:F42"/>
    <mergeCell ref="B48:C49"/>
    <mergeCell ref="D48:D49"/>
    <mergeCell ref="E48:F48"/>
    <mergeCell ref="G48:G49"/>
    <mergeCell ref="H48:I49"/>
    <mergeCell ref="L39:M40"/>
    <mergeCell ref="N39:N40"/>
    <mergeCell ref="O39:P40"/>
    <mergeCell ref="J48:J49"/>
    <mergeCell ref="K48:L49"/>
    <mergeCell ref="M48:M49"/>
    <mergeCell ref="N48:N49"/>
    <mergeCell ref="E49:F49"/>
    <mergeCell ref="Q39:Q40"/>
    <mergeCell ref="R39:R40"/>
    <mergeCell ref="I40:J40"/>
    <mergeCell ref="N36:N37"/>
    <mergeCell ref="O36:P37"/>
    <mergeCell ref="Q36:Q37"/>
    <mergeCell ref="R36:R37"/>
    <mergeCell ref="I37:J37"/>
    <mergeCell ref="D39:D40"/>
    <mergeCell ref="E39:E40"/>
    <mergeCell ref="F39:F40"/>
    <mergeCell ref="G39:J39"/>
    <mergeCell ref="K39:K40"/>
    <mergeCell ref="S28:T28"/>
    <mergeCell ref="S29:T29"/>
    <mergeCell ref="S30:T30"/>
    <mergeCell ref="B36:C37"/>
    <mergeCell ref="D36:D37"/>
    <mergeCell ref="E36:E37"/>
    <mergeCell ref="F36:F37"/>
    <mergeCell ref="G36:J36"/>
    <mergeCell ref="K36:K37"/>
    <mergeCell ref="L36:M37"/>
    <mergeCell ref="J20:K20"/>
    <mergeCell ref="J21:K21"/>
    <mergeCell ref="J22:K22"/>
    <mergeCell ref="S25:T25"/>
    <mergeCell ref="S26:T26"/>
    <mergeCell ref="S27:T2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A5:B5"/>
    <mergeCell ref="D5:F5"/>
    <mergeCell ref="H5:N5"/>
    <mergeCell ref="O5:Q5"/>
    <mergeCell ref="R5:V5"/>
    <mergeCell ref="B7:C7"/>
    <mergeCell ref="D7:E7"/>
    <mergeCell ref="H7:M7"/>
    <mergeCell ref="T7:U7"/>
    <mergeCell ref="H3:N4"/>
    <mergeCell ref="O3:Q3"/>
    <mergeCell ref="R3:V3"/>
    <mergeCell ref="O4:Q4"/>
    <mergeCell ref="R4:V4"/>
    <mergeCell ref="H1:N1"/>
    <mergeCell ref="O1:Q1"/>
    <mergeCell ref="R1:V1"/>
    <mergeCell ref="H2:N2"/>
    <mergeCell ref="O2:Q2"/>
    <mergeCell ref="R2:V2"/>
  </mergeCells>
  <conditionalFormatting sqref="G61 G141 G207 G225">
    <cfRule type="cellIs" dxfId="212" priority="8" stopIfTrue="1" operator="equal">
      <formula>"Under Dimentioned"</formula>
    </cfRule>
  </conditionalFormatting>
  <conditionalFormatting sqref="H74">
    <cfRule type="cellIs" dxfId="211" priority="5" stopIfTrue="1" operator="equal">
      <formula>"Under Dimentioned"</formula>
    </cfRule>
    <cfRule type="cellIs" dxfId="210" priority="6" stopIfTrue="1" operator="equal">
      <formula>"Over Dimentioned"</formula>
    </cfRule>
  </conditionalFormatting>
  <conditionalFormatting sqref="H154 H238">
    <cfRule type="containsText" dxfId="209" priority="7" operator="containsText" text="Under Dimentioned">
      <formula>NOT(ISERROR(SEARCH("Under Dimentioned",H154)))</formula>
    </cfRule>
  </conditionalFormatting>
  <conditionalFormatting sqref="H154">
    <cfRule type="cellIs" dxfId="208" priority="3" stopIfTrue="1" operator="equal">
      <formula>"Under Dimentioned"</formula>
    </cfRule>
    <cfRule type="cellIs" dxfId="207" priority="4" stopIfTrue="1" operator="equal">
      <formula>"Over Dimentioned"</formula>
    </cfRule>
  </conditionalFormatting>
  <conditionalFormatting sqref="H238">
    <cfRule type="cellIs" dxfId="206" priority="1" stopIfTrue="1" operator="equal">
      <formula>"Under Dimentioned"</formula>
    </cfRule>
    <cfRule type="cellIs" dxfId="205" priority="2" stopIfTrue="1" operator="equal">
      <formula>"Over Dimentioned"</formula>
    </cfRule>
  </conditionalFormatting>
  <dataValidations count="2">
    <dataValidation type="list" allowBlank="1" showInputMessage="1" showErrorMessage="1" sqref="D87 D167" xr:uid="{5B45AAA9-B9C3-48D1-AFBF-3C1664A47A1B}">
      <formula1>"Core1,Core2,Core3"</formula1>
    </dataValidation>
    <dataValidation type="list" allowBlank="1" showInputMessage="1" showErrorMessage="1" sqref="D7:E7" xr:uid="{9D8F132C-DC6D-4F7F-BC0F-C348679495AC}">
      <formula1>"Core1,Core2,Core3,Core4"</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topLeftCell="A10" zoomScaleNormal="100" zoomScaleSheetLayoutView="100" workbookViewId="0">
      <selection activeCell="H6" sqref="H6"/>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Title!D5</f>
        <v>Checked By</v>
      </c>
      <c r="E5" s="881"/>
      <c r="F5" s="943"/>
      <c r="G5" s="25" t="str">
        <f>[4]Title!G5</f>
        <v>LN</v>
      </c>
      <c r="H5" s="1229" t="s">
        <v>953</v>
      </c>
      <c r="I5" s="1230"/>
      <c r="J5" s="1230"/>
      <c r="K5" s="1230"/>
      <c r="L5" s="1230"/>
      <c r="M5" s="1230"/>
      <c r="N5" s="1231"/>
      <c r="O5" s="947" t="str">
        <f>Title!O5</f>
        <v>Contractor</v>
      </c>
      <c r="P5" s="948"/>
      <c r="Q5" s="949"/>
      <c r="R5" s="775" t="str">
        <f>[4]Title!R5</f>
        <v>HITACHI ENERGY</v>
      </c>
      <c r="S5" s="1068"/>
      <c r="T5" s="1068"/>
      <c r="U5" s="1068"/>
      <c r="V5" s="776"/>
      <c r="W5" s="14"/>
      <c r="X5" s="14"/>
    </row>
    <row r="6" spans="1:24" ht="18" customHeight="1">
      <c r="A6" s="184"/>
      <c r="V6" s="185"/>
    </row>
    <row r="7" spans="1:24" ht="18" customHeight="1">
      <c r="A7" s="184"/>
      <c r="B7" s="1075" t="s">
        <v>108</v>
      </c>
      <c r="C7" s="1076"/>
      <c r="D7" s="544" t="s">
        <v>385</v>
      </c>
      <c r="E7" s="546"/>
      <c r="F7" s="255"/>
      <c r="H7" s="549"/>
      <c r="I7" s="549"/>
      <c r="J7" s="549"/>
      <c r="K7" s="549"/>
      <c r="L7" s="549"/>
      <c r="M7" s="549"/>
      <c r="P7" s="186"/>
      <c r="S7" s="187" t="s">
        <v>387</v>
      </c>
      <c r="T7" s="1226" t="s">
        <v>893</v>
      </c>
      <c r="U7" s="1227"/>
      <c r="V7" s="185"/>
    </row>
    <row r="8" spans="1:24" ht="18" customHeight="1">
      <c r="A8" s="184"/>
      <c r="B8" s="1228"/>
      <c r="C8" s="1228"/>
      <c r="D8" s="547"/>
      <c r="E8" s="547"/>
      <c r="F8" s="255"/>
      <c r="T8" s="1226" t="s">
        <v>508</v>
      </c>
      <c r="U8" s="1227"/>
      <c r="V8" s="185"/>
    </row>
    <row r="9" spans="1:24" ht="18" customHeight="1">
      <c r="A9" s="184"/>
      <c r="H9" s="789" t="s">
        <v>390</v>
      </c>
      <c r="I9" s="789"/>
      <c r="J9" s="790" t="s">
        <v>391</v>
      </c>
      <c r="K9" s="790"/>
      <c r="L9" s="790" t="s">
        <v>392</v>
      </c>
      <c r="M9" s="790"/>
      <c r="T9" s="1226"/>
      <c r="U9" s="1227"/>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813</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c r="I13" s="1076"/>
      <c r="J13" s="14" t="s">
        <v>305</v>
      </c>
      <c r="T13" s="295"/>
      <c r="U13" s="18"/>
      <c r="V13" s="185"/>
      <c r="W13" s="30" t="str">
        <f>G61</f>
        <v>Suitably Dimentioned</v>
      </c>
    </row>
    <row r="14" spans="1:24" ht="18" customHeight="1">
      <c r="A14" s="184"/>
      <c r="B14" s="14" t="s">
        <v>401</v>
      </c>
      <c r="G14" s="120" t="s">
        <v>402</v>
      </c>
      <c r="H14" s="1075"/>
      <c r="I14" s="1076"/>
      <c r="J14" s="14" t="s">
        <v>403</v>
      </c>
      <c r="V14" s="185"/>
    </row>
    <row r="15" spans="1:24" ht="18" customHeight="1">
      <c r="A15" s="184"/>
      <c r="V15" s="185"/>
    </row>
    <row r="16" spans="1:24" ht="18" customHeight="1">
      <c r="A16" s="193" t="s">
        <v>404</v>
      </c>
      <c r="V16" s="185"/>
    </row>
    <row r="17" spans="1:23" ht="18" customHeight="1">
      <c r="A17" s="184"/>
      <c r="V17" s="185"/>
    </row>
    <row r="18" spans="1:23" ht="18" customHeight="1">
      <c r="A18" s="184"/>
      <c r="B18" s="135" t="s">
        <v>405</v>
      </c>
      <c r="C18" s="273"/>
      <c r="D18" s="139" t="str">
        <f>T7</f>
        <v>REF650</v>
      </c>
      <c r="E18" s="227"/>
      <c r="F18" s="227"/>
      <c r="G18" s="227"/>
      <c r="H18" s="138"/>
      <c r="I18" s="260" t="s">
        <v>127</v>
      </c>
      <c r="J18" s="1077">
        <f>'CT-VT Burdens'!Q104</f>
        <v>0.02</v>
      </c>
      <c r="K18" s="1078"/>
      <c r="L18" s="3" t="s">
        <v>157</v>
      </c>
      <c r="N18" s="197" t="s">
        <v>510</v>
      </c>
      <c r="V18" s="185"/>
    </row>
    <row r="19" spans="1:23" ht="18" customHeight="1">
      <c r="A19" s="184"/>
      <c r="B19" s="96" t="s">
        <v>405</v>
      </c>
      <c r="D19" s="296" t="str">
        <f>T8</f>
        <v>REC670</v>
      </c>
      <c r="I19" s="177" t="s">
        <v>127</v>
      </c>
      <c r="J19" s="1232">
        <f>'CT-VT Burdens'!Q104</f>
        <v>0.02</v>
      </c>
      <c r="K19" s="1233"/>
      <c r="L19" s="198" t="s">
        <v>157</v>
      </c>
      <c r="P19" s="244"/>
      <c r="V19" s="185"/>
    </row>
    <row r="20" spans="1:23" ht="18" customHeight="1">
      <c r="A20" s="184"/>
      <c r="B20" s="96" t="s">
        <v>405</v>
      </c>
      <c r="C20" s="14"/>
      <c r="D20" s="47">
        <f>T9</f>
        <v>0</v>
      </c>
      <c r="E20" s="14"/>
      <c r="G20" s="199"/>
      <c r="H20" s="27"/>
      <c r="I20" s="101" t="s">
        <v>127</v>
      </c>
      <c r="J20" s="1220"/>
      <c r="K20" s="1221"/>
      <c r="L20" s="202" t="s">
        <v>157</v>
      </c>
      <c r="N20" s="120" t="s">
        <v>491</v>
      </c>
      <c r="O20" s="27" t="s">
        <v>127</v>
      </c>
      <c r="P20" s="27" t="s">
        <v>511</v>
      </c>
      <c r="Q20" s="27" t="s">
        <v>315</v>
      </c>
      <c r="R20" s="27" t="s">
        <v>511</v>
      </c>
      <c r="S20" s="27" t="s">
        <v>315</v>
      </c>
      <c r="T20" s="27" t="s">
        <v>420</v>
      </c>
      <c r="V20" s="185"/>
    </row>
    <row r="21" spans="1:23" ht="18" customHeight="1">
      <c r="A21" s="184"/>
      <c r="B21" s="184" t="s">
        <v>412</v>
      </c>
      <c r="C21" s="14"/>
      <c r="D21" s="14"/>
      <c r="E21" s="14"/>
      <c r="H21" s="27"/>
      <c r="I21" s="101" t="s">
        <v>127</v>
      </c>
      <c r="J21" s="1081">
        <f>'CT-VT Burdens'!S24</f>
        <v>1.0770224400000001</v>
      </c>
      <c r="K21" s="1082"/>
      <c r="L21" s="297" t="s">
        <v>157</v>
      </c>
      <c r="O21" s="27" t="s">
        <v>127</v>
      </c>
      <c r="P21" s="27">
        <f>O10</f>
        <v>1</v>
      </c>
      <c r="Q21" s="27" t="s">
        <v>315</v>
      </c>
      <c r="R21" s="27">
        <f>O10</f>
        <v>1</v>
      </c>
      <c r="S21" s="27" t="s">
        <v>315</v>
      </c>
      <c r="T21" s="27">
        <f>H12</f>
        <v>5</v>
      </c>
      <c r="V21" s="185"/>
    </row>
    <row r="22" spans="1:23" ht="18" customHeight="1">
      <c r="A22" s="184"/>
      <c r="B22" s="1" t="s">
        <v>413</v>
      </c>
      <c r="C22" s="2"/>
      <c r="D22" s="2"/>
      <c r="E22" s="2"/>
      <c r="F22" s="196"/>
      <c r="G22" s="196"/>
      <c r="H22" s="224" t="s">
        <v>512</v>
      </c>
      <c r="I22" s="183" t="s">
        <v>127</v>
      </c>
      <c r="J22" s="722">
        <f>SUM(J18:J21)</f>
        <v>1.1170224400000002</v>
      </c>
      <c r="K22" s="958"/>
      <c r="L22" s="3" t="s">
        <v>157</v>
      </c>
      <c r="O22" s="27" t="s">
        <v>127</v>
      </c>
      <c r="P22" s="795">
        <f>P21*R21*T21</f>
        <v>5</v>
      </c>
      <c r="Q22" s="684"/>
      <c r="R22" s="27" t="s">
        <v>157</v>
      </c>
      <c r="S22" s="27"/>
      <c r="T22" s="27"/>
      <c r="V22" s="185"/>
    </row>
    <row r="23" spans="1:23" ht="18" customHeight="1">
      <c r="A23" s="184"/>
      <c r="B23" s="47"/>
      <c r="C23" s="47"/>
      <c r="D23" s="47"/>
      <c r="E23" s="47"/>
      <c r="H23" s="27"/>
      <c r="I23" s="28"/>
      <c r="J23" s="199"/>
      <c r="L23" s="47"/>
      <c r="O23" s="27"/>
      <c r="P23" s="211"/>
      <c r="Q23" s="27"/>
      <c r="R23" s="204"/>
      <c r="S23" s="27"/>
      <c r="V23" s="185"/>
    </row>
    <row r="24" spans="1:23"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c r="W24" s="30" t="s">
        <v>536</v>
      </c>
    </row>
    <row r="25" spans="1:23"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3" ht="18" customHeight="1">
      <c r="A26" s="184"/>
      <c r="Q26" s="211"/>
      <c r="R26" s="192"/>
      <c r="V26" s="185"/>
    </row>
    <row r="27" spans="1:23" ht="18" customHeight="1">
      <c r="A27" s="184"/>
      <c r="C27" s="28" t="s">
        <v>473</v>
      </c>
      <c r="D27" s="28" t="s">
        <v>127</v>
      </c>
      <c r="E27" s="28" t="s">
        <v>537</v>
      </c>
      <c r="F27" s="120" t="s">
        <v>493</v>
      </c>
      <c r="G27" s="28" t="s">
        <v>347</v>
      </c>
      <c r="H27" s="120" t="s">
        <v>491</v>
      </c>
      <c r="I27" s="28" t="s">
        <v>538</v>
      </c>
      <c r="J27" s="28" t="s">
        <v>495</v>
      </c>
      <c r="K27" s="28" t="s">
        <v>539</v>
      </c>
      <c r="L27" s="28" t="s">
        <v>511</v>
      </c>
      <c r="M27" s="28" t="s">
        <v>315</v>
      </c>
      <c r="N27" s="28">
        <v>1.3</v>
      </c>
      <c r="O27" s="47" t="s">
        <v>350</v>
      </c>
      <c r="V27" s="185"/>
    </row>
    <row r="28" spans="1:23" ht="18" customHeight="1">
      <c r="A28" s="184" t="s">
        <v>540</v>
      </c>
      <c r="C28" s="28"/>
      <c r="D28" s="28"/>
      <c r="E28" s="14"/>
      <c r="F28" s="14"/>
      <c r="G28" s="14"/>
      <c r="H28" s="14"/>
      <c r="I28" s="14"/>
      <c r="J28" s="14"/>
      <c r="K28" s="14"/>
      <c r="L28" s="14"/>
      <c r="M28" s="14"/>
      <c r="N28" s="14"/>
      <c r="O28" s="14"/>
      <c r="V28" s="185"/>
    </row>
    <row r="29" spans="1:23" ht="18" customHeight="1">
      <c r="A29" s="184"/>
      <c r="C29" s="28" t="s">
        <v>493</v>
      </c>
      <c r="D29" s="28" t="s">
        <v>127</v>
      </c>
      <c r="E29" s="28" t="s">
        <v>537</v>
      </c>
      <c r="F29" s="28">
        <v>1.3</v>
      </c>
      <c r="G29" s="28" t="s">
        <v>315</v>
      </c>
      <c r="H29" s="689" t="s">
        <v>473</v>
      </c>
      <c r="I29" s="716"/>
      <c r="J29" s="28" t="s">
        <v>315</v>
      </c>
      <c r="K29" s="28" t="s">
        <v>511</v>
      </c>
      <c r="L29" s="28" t="s">
        <v>541</v>
      </c>
      <c r="M29" s="28" t="s">
        <v>495</v>
      </c>
      <c r="N29" s="47" t="s">
        <v>542</v>
      </c>
      <c r="O29" s="120" t="s">
        <v>491</v>
      </c>
      <c r="V29" s="185"/>
    </row>
    <row r="30" spans="1:23" ht="18" customHeight="1">
      <c r="A30" s="184"/>
      <c r="V30" s="185"/>
    </row>
    <row r="31" spans="1:23" ht="18" customHeight="1">
      <c r="A31" s="168"/>
      <c r="B31" s="5"/>
      <c r="C31" s="47" t="s">
        <v>543</v>
      </c>
      <c r="D31" s="14"/>
      <c r="E31" s="14"/>
      <c r="F31" s="14"/>
      <c r="G31" s="14"/>
      <c r="H31" s="279"/>
      <c r="I31" s="120"/>
      <c r="J31" s="279"/>
      <c r="K31" s="279"/>
      <c r="L31" s="14"/>
      <c r="M31" s="14"/>
      <c r="N31" s="14"/>
      <c r="O31" s="14"/>
      <c r="P31" s="14"/>
      <c r="Q31" s="120" t="s">
        <v>544</v>
      </c>
      <c r="R31" s="102" t="s">
        <v>127</v>
      </c>
      <c r="S31" s="689">
        <f>'Parameters &amp; Fault Cal. (4)'!Q32</f>
        <v>50000</v>
      </c>
      <c r="T31" s="689"/>
      <c r="U31" s="47" t="s">
        <v>8</v>
      </c>
      <c r="V31" s="185"/>
    </row>
    <row r="32" spans="1:23" ht="18" customHeight="1">
      <c r="A32" s="168"/>
      <c r="B32" s="5"/>
      <c r="C32" s="47" t="s">
        <v>545</v>
      </c>
      <c r="D32" s="14"/>
      <c r="E32" s="14"/>
      <c r="F32" s="18"/>
      <c r="G32" s="18"/>
      <c r="H32" s="279"/>
      <c r="I32" s="120"/>
      <c r="J32" s="279"/>
      <c r="K32" s="279"/>
      <c r="L32" s="14"/>
      <c r="M32" s="14"/>
      <c r="N32" s="14"/>
      <c r="O32" s="14"/>
      <c r="P32" s="14"/>
      <c r="Q32" s="120" t="s">
        <v>423</v>
      </c>
      <c r="R32" s="102" t="s">
        <v>127</v>
      </c>
      <c r="S32" s="689">
        <f>H10</f>
        <v>2500</v>
      </c>
      <c r="T32" s="689"/>
      <c r="U32" s="14" t="s">
        <v>8</v>
      </c>
      <c r="V32" s="185"/>
    </row>
    <row r="33" spans="1:25" ht="18" customHeight="1">
      <c r="A33" s="168"/>
      <c r="B33" s="5"/>
      <c r="C33" s="47" t="s">
        <v>546</v>
      </c>
      <c r="D33" s="14"/>
      <c r="E33" s="14"/>
      <c r="F33" s="18"/>
      <c r="G33" s="18"/>
      <c r="H33" s="279"/>
      <c r="I33" s="120"/>
      <c r="J33" s="279"/>
      <c r="K33" s="279"/>
      <c r="L33" s="14"/>
      <c r="M33" s="14"/>
      <c r="N33" s="14"/>
      <c r="O33" s="14"/>
      <c r="P33" s="14"/>
      <c r="Q33" s="120" t="s">
        <v>473</v>
      </c>
      <c r="R33" s="102" t="s">
        <v>127</v>
      </c>
      <c r="S33" s="689">
        <f>H13</f>
        <v>0</v>
      </c>
      <c r="T33" s="689"/>
      <c r="U33" s="14" t="s">
        <v>305</v>
      </c>
      <c r="V33" s="185"/>
    </row>
    <row r="34" spans="1:25" ht="18" customHeight="1">
      <c r="A34" s="168"/>
      <c r="B34" s="5"/>
      <c r="C34" s="47" t="s">
        <v>547</v>
      </c>
      <c r="D34" s="14"/>
      <c r="E34" s="14"/>
      <c r="F34" s="18"/>
      <c r="G34" s="18"/>
      <c r="H34" s="279"/>
      <c r="I34" s="120"/>
      <c r="J34" s="279"/>
      <c r="K34" s="279"/>
      <c r="L34" s="14"/>
      <c r="M34" s="14"/>
      <c r="N34" s="14"/>
      <c r="O34" s="14"/>
      <c r="P34" s="14"/>
      <c r="Q34" s="120" t="s">
        <v>491</v>
      </c>
      <c r="R34" s="102" t="s">
        <v>127</v>
      </c>
      <c r="S34" s="692">
        <f>P22</f>
        <v>5</v>
      </c>
      <c r="T34" s="689"/>
      <c r="U34" s="14" t="s">
        <v>157</v>
      </c>
      <c r="V34" s="185"/>
      <c r="W34" s="279"/>
      <c r="X34" s="279"/>
      <c r="Y34" s="279"/>
    </row>
    <row r="35" spans="1:25" ht="18" customHeight="1">
      <c r="A35" s="168"/>
      <c r="B35" s="5"/>
      <c r="C35" s="47" t="s">
        <v>548</v>
      </c>
      <c r="D35" s="14"/>
      <c r="E35" s="14"/>
      <c r="F35" s="18"/>
      <c r="G35" s="18"/>
      <c r="H35" s="279"/>
      <c r="I35" s="120"/>
      <c r="J35" s="279"/>
      <c r="K35" s="279"/>
      <c r="L35" s="14"/>
      <c r="M35" s="14"/>
      <c r="N35" s="14"/>
      <c r="O35" s="14"/>
      <c r="P35" s="14"/>
      <c r="Q35" s="120" t="s">
        <v>512</v>
      </c>
      <c r="R35" s="102" t="s">
        <v>127</v>
      </c>
      <c r="S35" s="692">
        <f>J22</f>
        <v>1.1170224400000002</v>
      </c>
      <c r="T35" s="689"/>
      <c r="U35" s="14" t="s">
        <v>157</v>
      </c>
      <c r="V35" s="185"/>
      <c r="X35" s="279"/>
      <c r="Y35" s="279"/>
    </row>
    <row r="36" spans="1:25" ht="18" customHeight="1">
      <c r="A36" s="168"/>
      <c r="B36" s="5"/>
      <c r="C36" s="47" t="s">
        <v>549</v>
      </c>
      <c r="D36" s="14"/>
      <c r="E36" s="14"/>
      <c r="F36" s="14"/>
      <c r="G36" s="14"/>
      <c r="H36" s="279"/>
      <c r="I36" s="120"/>
      <c r="J36" s="279"/>
      <c r="K36" s="279"/>
      <c r="L36" s="14"/>
      <c r="M36" s="14"/>
      <c r="N36" s="14"/>
      <c r="O36" s="14"/>
      <c r="P36" s="14"/>
      <c r="Q36" s="120" t="s">
        <v>511</v>
      </c>
      <c r="R36" s="102" t="s">
        <v>127</v>
      </c>
      <c r="S36" s="689">
        <f>O10</f>
        <v>1</v>
      </c>
      <c r="T36" s="689"/>
      <c r="U36" s="14" t="s">
        <v>8</v>
      </c>
      <c r="V36" s="185"/>
      <c r="X36" s="279"/>
      <c r="Y36" s="279"/>
    </row>
    <row r="37" spans="1:25" ht="18" customHeight="1">
      <c r="A37" s="168"/>
      <c r="B37" s="5"/>
      <c r="C37" s="47" t="s">
        <v>550</v>
      </c>
      <c r="D37" s="14"/>
      <c r="E37" s="14"/>
      <c r="F37" s="14"/>
      <c r="G37" s="14"/>
      <c r="H37" s="279"/>
      <c r="I37" s="120"/>
      <c r="J37" s="279"/>
      <c r="K37" s="279"/>
      <c r="L37" s="14"/>
      <c r="M37" s="14"/>
      <c r="N37" s="14"/>
      <c r="O37" s="14"/>
      <c r="P37" s="14"/>
      <c r="Q37" s="120" t="s">
        <v>495</v>
      </c>
      <c r="R37" s="102" t="s">
        <v>127</v>
      </c>
      <c r="S37" s="689">
        <v>20</v>
      </c>
      <c r="T37" s="689"/>
      <c r="U37" s="47"/>
      <c r="V37" s="185"/>
    </row>
    <row r="38" spans="1:25" ht="18" customHeight="1">
      <c r="A38" s="299"/>
      <c r="B38" s="279"/>
      <c r="C38" s="47" t="s">
        <v>492</v>
      </c>
      <c r="D38" s="14"/>
      <c r="E38" s="14"/>
      <c r="F38" s="14"/>
      <c r="G38" s="14"/>
      <c r="H38" s="279"/>
      <c r="I38" s="120"/>
      <c r="J38" s="279"/>
      <c r="K38" s="279"/>
      <c r="L38" s="14"/>
      <c r="M38" s="14"/>
      <c r="N38" s="279"/>
      <c r="O38" s="279"/>
      <c r="P38" s="14"/>
      <c r="Q38" s="120" t="s">
        <v>493</v>
      </c>
      <c r="R38" s="27" t="s">
        <v>127</v>
      </c>
      <c r="S38" s="684">
        <v>30</v>
      </c>
      <c r="T38" s="684"/>
      <c r="U38" s="279"/>
      <c r="V38" s="300"/>
      <c r="W38" s="279"/>
      <c r="X38" s="279"/>
      <c r="Y38" s="279"/>
    </row>
    <row r="39" spans="1:25" ht="18" customHeight="1">
      <c r="A39" s="299"/>
      <c r="B39" s="279"/>
      <c r="C39" s="47"/>
      <c r="D39" s="14"/>
      <c r="E39" s="14"/>
      <c r="F39" s="14"/>
      <c r="G39" s="14"/>
      <c r="H39" s="279"/>
      <c r="I39" s="120"/>
      <c r="J39" s="279"/>
      <c r="K39" s="279"/>
      <c r="L39" s="14"/>
      <c r="M39" s="14"/>
      <c r="N39" s="279"/>
      <c r="O39" s="279"/>
      <c r="P39" s="14"/>
      <c r="Q39" s="120"/>
      <c r="R39" s="27"/>
      <c r="S39" s="27"/>
      <c r="T39" s="27"/>
      <c r="U39" s="279"/>
      <c r="V39" s="300"/>
      <c r="W39" s="279"/>
      <c r="X39" s="279"/>
      <c r="Y39" s="279"/>
    </row>
    <row r="40" spans="1:25" ht="18" customHeight="1">
      <c r="A40" s="299"/>
      <c r="B40" s="279"/>
      <c r="C40" s="47"/>
      <c r="D40" s="14"/>
      <c r="E40" s="14"/>
      <c r="F40" s="14"/>
      <c r="G40" s="14"/>
      <c r="H40" s="279"/>
      <c r="I40" s="120"/>
      <c r="J40" s="279"/>
      <c r="K40" s="279"/>
      <c r="L40" s="14"/>
      <c r="M40" s="14"/>
      <c r="N40" s="279"/>
      <c r="O40" s="279"/>
      <c r="P40" s="14"/>
      <c r="Q40" s="120"/>
      <c r="R40" s="27"/>
      <c r="S40" s="27"/>
      <c r="T40" s="27"/>
      <c r="U40" s="279"/>
      <c r="V40" s="300"/>
      <c r="W40" s="279"/>
      <c r="X40" s="279"/>
      <c r="Y40" s="279"/>
    </row>
    <row r="41" spans="1:25" ht="18" customHeight="1">
      <c r="A41" s="299"/>
      <c r="B41" s="279"/>
      <c r="C41" s="47"/>
      <c r="D41" s="14"/>
      <c r="E41" s="14"/>
      <c r="F41" s="14"/>
      <c r="G41" s="14"/>
      <c r="H41" s="279"/>
      <c r="I41" s="120"/>
      <c r="J41" s="279"/>
      <c r="K41" s="279"/>
      <c r="L41" s="14"/>
      <c r="M41" s="14"/>
      <c r="N41" s="279"/>
      <c r="O41" s="279"/>
      <c r="P41" s="14"/>
      <c r="Q41" s="120"/>
      <c r="R41" s="27"/>
      <c r="S41" s="27"/>
      <c r="T41" s="27"/>
      <c r="U41" s="279"/>
      <c r="V41" s="300"/>
      <c r="W41" s="279"/>
      <c r="X41" s="279"/>
      <c r="Y41" s="279"/>
    </row>
    <row r="42" spans="1:25" ht="18" customHeight="1">
      <c r="A42" s="299"/>
      <c r="B42" s="279"/>
      <c r="C42" s="47"/>
      <c r="D42" s="14"/>
      <c r="E42" s="14"/>
      <c r="F42" s="14"/>
      <c r="G42" s="14"/>
      <c r="H42" s="279"/>
      <c r="I42" s="120"/>
      <c r="J42" s="279"/>
      <c r="K42" s="279"/>
      <c r="L42" s="14"/>
      <c r="M42" s="14"/>
      <c r="N42" s="279"/>
      <c r="O42" s="279"/>
      <c r="P42" s="14"/>
      <c r="Q42" s="120"/>
      <c r="R42" s="27"/>
      <c r="S42" s="27"/>
      <c r="T42" s="27"/>
      <c r="U42" s="279"/>
      <c r="V42" s="300"/>
      <c r="W42" s="279"/>
      <c r="X42" s="279"/>
      <c r="Y42" s="279"/>
    </row>
    <row r="43" spans="1:25" ht="18" customHeight="1">
      <c r="A43" s="299"/>
      <c r="B43" s="279"/>
      <c r="C43" s="47"/>
      <c r="D43" s="14"/>
      <c r="E43" s="14"/>
      <c r="F43" s="14"/>
      <c r="G43" s="14"/>
      <c r="H43" s="279"/>
      <c r="I43" s="120"/>
      <c r="J43" s="279"/>
      <c r="K43" s="279"/>
      <c r="L43" s="14"/>
      <c r="M43" s="14"/>
      <c r="N43" s="279"/>
      <c r="O43" s="279"/>
      <c r="P43" s="14"/>
      <c r="Q43" s="120"/>
      <c r="R43" s="27"/>
      <c r="S43" s="27"/>
      <c r="T43" s="27"/>
      <c r="U43" s="279"/>
      <c r="V43" s="300"/>
      <c r="W43" s="279"/>
      <c r="X43" s="279"/>
      <c r="Y43" s="279"/>
    </row>
    <row r="44" spans="1:25" ht="18" customHeight="1">
      <c r="A44" s="184"/>
      <c r="V44" s="185"/>
    </row>
    <row r="45" spans="1:25" ht="18" hidden="1" customHeight="1">
      <c r="A45" s="184"/>
      <c r="C45" s="120" t="s">
        <v>493</v>
      </c>
      <c r="D45" s="28" t="s">
        <v>127</v>
      </c>
      <c r="E45" s="28" t="s">
        <v>537</v>
      </c>
      <c r="F45" s="221">
        <v>1.3</v>
      </c>
      <c r="G45" s="221" t="s">
        <v>315</v>
      </c>
      <c r="H45" s="805" t="s">
        <v>473</v>
      </c>
      <c r="I45" s="815"/>
      <c r="J45" s="221" t="s">
        <v>315</v>
      </c>
      <c r="K45" s="221" t="s">
        <v>511</v>
      </c>
      <c r="L45" s="221" t="s">
        <v>541</v>
      </c>
      <c r="M45" s="221" t="s">
        <v>495</v>
      </c>
      <c r="N45" s="527" t="s">
        <v>542</v>
      </c>
      <c r="O45" s="542" t="s">
        <v>491</v>
      </c>
      <c r="V45" s="185"/>
    </row>
    <row r="46" spans="1:25" ht="18" hidden="1" customHeight="1">
      <c r="A46" s="184"/>
      <c r="C46" s="120"/>
      <c r="D46" s="27" t="s">
        <v>127</v>
      </c>
      <c r="E46" s="27" t="s">
        <v>537</v>
      </c>
      <c r="F46" s="245">
        <v>1.3</v>
      </c>
      <c r="G46" s="245" t="s">
        <v>315</v>
      </c>
      <c r="H46" s="993">
        <f>S33</f>
        <v>0</v>
      </c>
      <c r="I46" s="1234"/>
      <c r="J46" s="245" t="s">
        <v>315</v>
      </c>
      <c r="K46" s="245">
        <f>S36</f>
        <v>1</v>
      </c>
      <c r="L46" s="245" t="s">
        <v>541</v>
      </c>
      <c r="M46" s="245">
        <f>S37</f>
        <v>20</v>
      </c>
      <c r="N46" s="461" t="s">
        <v>542</v>
      </c>
      <c r="O46" s="502">
        <f>S34</f>
        <v>5</v>
      </c>
      <c r="V46" s="185"/>
    </row>
    <row r="47" spans="1:25" ht="18" hidden="1" customHeight="1">
      <c r="A47" s="184"/>
      <c r="D47" s="27" t="s">
        <v>127</v>
      </c>
      <c r="E47" s="684">
        <f>((F46*H46)/(K46*M46))-O46</f>
        <v>-5</v>
      </c>
      <c r="F47" s="684"/>
      <c r="G47" s="27" t="s">
        <v>157</v>
      </c>
      <c r="V47" s="185"/>
    </row>
    <row r="48" spans="1:25" ht="18" customHeight="1">
      <c r="A48" s="184"/>
      <c r="V48" s="185"/>
    </row>
    <row r="49" spans="1:22" s="14" customFormat="1" ht="18" customHeight="1">
      <c r="A49" s="194"/>
      <c r="B49" s="195"/>
      <c r="C49" s="195"/>
      <c r="D49" s="195"/>
      <c r="E49" s="195"/>
      <c r="F49" s="195"/>
      <c r="G49" s="195"/>
      <c r="H49" s="195"/>
      <c r="I49" s="195"/>
      <c r="J49" s="195"/>
      <c r="K49" s="195"/>
      <c r="L49" s="195"/>
      <c r="M49" s="195"/>
      <c r="N49" s="195"/>
      <c r="O49" s="195"/>
      <c r="P49" s="195"/>
      <c r="Q49" s="224"/>
      <c r="R49" s="182"/>
      <c r="S49" s="225"/>
      <c r="T49" s="195"/>
      <c r="U49" s="195"/>
      <c r="V49" s="134"/>
    </row>
    <row r="50" spans="1:22" ht="18" customHeight="1">
      <c r="A50" s="226"/>
      <c r="B50" s="227"/>
      <c r="C50" s="227"/>
      <c r="D50" s="227"/>
      <c r="E50" s="227"/>
      <c r="F50" s="227"/>
      <c r="G50" s="227"/>
      <c r="H50" s="227"/>
      <c r="I50" s="227"/>
      <c r="J50" s="227"/>
      <c r="K50" s="227"/>
      <c r="L50" s="227"/>
      <c r="M50" s="227"/>
      <c r="N50" s="227"/>
      <c r="O50" s="227"/>
      <c r="P50" s="227"/>
      <c r="Q50" s="227"/>
      <c r="R50" s="227"/>
      <c r="S50" s="227"/>
      <c r="T50" s="227"/>
      <c r="U50" s="227"/>
      <c r="V50" s="228"/>
    </row>
    <row r="51" spans="1:22" ht="18" customHeight="1">
      <c r="A51" s="184"/>
      <c r="E51" s="244" t="s">
        <v>111</v>
      </c>
      <c r="F51" s="27" t="s">
        <v>127</v>
      </c>
      <c r="G51" s="689" t="s">
        <v>544</v>
      </c>
      <c r="H51" s="689"/>
      <c r="I51" s="191" t="s">
        <v>342</v>
      </c>
      <c r="J51" s="684" t="s">
        <v>423</v>
      </c>
      <c r="K51" s="684"/>
      <c r="V51" s="185"/>
    </row>
    <row r="52" spans="1:22" ht="18" customHeight="1">
      <c r="A52" s="184"/>
      <c r="F52" s="27" t="s">
        <v>127</v>
      </c>
      <c r="G52" s="684">
        <f>S31</f>
        <v>50000</v>
      </c>
      <c r="H52" s="684"/>
      <c r="I52" s="191" t="s">
        <v>342</v>
      </c>
      <c r="J52" s="684">
        <f>S32</f>
        <v>2500</v>
      </c>
      <c r="K52" s="684"/>
      <c r="V52" s="185"/>
    </row>
    <row r="53" spans="1:22" ht="18" customHeight="1">
      <c r="A53" s="184"/>
      <c r="F53" s="27" t="s">
        <v>127</v>
      </c>
      <c r="G53" s="795">
        <f>G52/J52</f>
        <v>20</v>
      </c>
      <c r="H53" s="795"/>
      <c r="I53" s="27"/>
      <c r="J53" s="27"/>
      <c r="K53" s="27"/>
      <c r="V53" s="185"/>
    </row>
    <row r="54" spans="1:22" ht="18" customHeight="1">
      <c r="A54" s="184"/>
      <c r="V54" s="185"/>
    </row>
    <row r="55" spans="1:22" ht="17.399999999999999" customHeight="1">
      <c r="A55" s="184"/>
      <c r="E55" s="244" t="s">
        <v>553</v>
      </c>
      <c r="F55" s="27" t="s">
        <v>127</v>
      </c>
      <c r="G55" s="221" t="s">
        <v>495</v>
      </c>
      <c r="H55" s="221" t="s">
        <v>554</v>
      </c>
      <c r="I55" s="542" t="s">
        <v>491</v>
      </c>
      <c r="J55" s="221" t="s">
        <v>347</v>
      </c>
      <c r="K55" s="542" t="s">
        <v>493</v>
      </c>
      <c r="L55" s="221" t="s">
        <v>539</v>
      </c>
      <c r="M55" s="542" t="s">
        <v>491</v>
      </c>
      <c r="N55" s="221" t="s">
        <v>347</v>
      </c>
      <c r="O55" s="542" t="s">
        <v>512</v>
      </c>
      <c r="P55" s="28" t="s">
        <v>350</v>
      </c>
      <c r="V55" s="185"/>
    </row>
    <row r="56" spans="1:22" ht="18" customHeight="1">
      <c r="A56" s="184"/>
      <c r="F56" s="27" t="s">
        <v>127</v>
      </c>
      <c r="G56" s="242">
        <f>S37</f>
        <v>20</v>
      </c>
      <c r="H56" s="245" t="s">
        <v>554</v>
      </c>
      <c r="I56" s="301">
        <f>S34</f>
        <v>5</v>
      </c>
      <c r="J56" s="245" t="s">
        <v>347</v>
      </c>
      <c r="K56" s="301">
        <f>S38</f>
        <v>30</v>
      </c>
      <c r="L56" s="245" t="s">
        <v>539</v>
      </c>
      <c r="M56" s="301">
        <f>S34</f>
        <v>5</v>
      </c>
      <c r="N56" s="245" t="s">
        <v>347</v>
      </c>
      <c r="O56" s="301">
        <f>S35</f>
        <v>1.1170224400000002</v>
      </c>
      <c r="P56" s="27" t="s">
        <v>350</v>
      </c>
      <c r="V56" s="185"/>
    </row>
    <row r="57" spans="1:22" ht="18" customHeight="1">
      <c r="A57" s="184"/>
      <c r="F57" s="27" t="s">
        <v>127</v>
      </c>
      <c r="G57" s="1111">
        <f>G56*((I56+K56)/(M56+O56))</f>
        <v>114.43476084419922</v>
      </c>
      <c r="H57" s="1111"/>
      <c r="I57" s="242"/>
      <c r="J57" s="242"/>
      <c r="K57" s="242"/>
      <c r="L57" s="242"/>
      <c r="M57" s="242"/>
      <c r="N57" s="242"/>
      <c r="O57" s="242"/>
      <c r="V57" s="185"/>
    </row>
    <row r="58" spans="1:22" ht="18" customHeight="1">
      <c r="A58" s="184"/>
      <c r="V58" s="185"/>
    </row>
    <row r="59" spans="1:22" ht="18" customHeight="1">
      <c r="A59" s="184"/>
      <c r="E59" s="244" t="s">
        <v>555</v>
      </c>
      <c r="F59" s="27" t="str">
        <f>IF(D60&gt;G60,"&gt;","&lt;")</f>
        <v>&gt;</v>
      </c>
      <c r="G59" s="296" t="s">
        <v>111</v>
      </c>
      <c r="V59" s="185"/>
    </row>
    <row r="60" spans="1:22" ht="18" customHeight="1">
      <c r="A60" s="184"/>
      <c r="D60" s="795">
        <f>G57</f>
        <v>114.43476084419922</v>
      </c>
      <c r="E60" s="795"/>
      <c r="F60" s="27" t="str">
        <f>F59</f>
        <v>&gt;</v>
      </c>
      <c r="G60" s="795">
        <f>G53</f>
        <v>20</v>
      </c>
      <c r="H60" s="795"/>
      <c r="V60" s="185"/>
    </row>
    <row r="61" spans="1:22" ht="18" customHeight="1">
      <c r="A61" s="184"/>
      <c r="E61" s="244" t="s">
        <v>478</v>
      </c>
      <c r="G61" s="18" t="str">
        <f>IF(F59="&gt;","Suitably Dimentioned","Under Dimentioned")</f>
        <v>Suitably Dimentioned</v>
      </c>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44" ht="18" customHeight="1">
      <c r="A81" s="184"/>
      <c r="V81" s="185"/>
    </row>
    <row r="82" spans="1:44" ht="18" customHeight="1">
      <c r="A82" s="184"/>
      <c r="V82" s="185"/>
    </row>
    <row r="83" spans="1:44" ht="18" customHeight="1">
      <c r="A83" s="184"/>
      <c r="V83" s="185"/>
    </row>
    <row r="84" spans="1:44" ht="18" customHeight="1">
      <c r="A84" s="184"/>
      <c r="V84" s="185"/>
    </row>
    <row r="85" spans="1:44" ht="18" customHeight="1">
      <c r="A85" s="184"/>
      <c r="V85" s="185"/>
    </row>
    <row r="86" spans="1:44" ht="18" customHeight="1">
      <c r="A86" s="184"/>
      <c r="V86" s="185"/>
    </row>
    <row r="87" spans="1:44" ht="18" customHeight="1">
      <c r="A87" s="184"/>
      <c r="V87" s="185"/>
    </row>
    <row r="88" spans="1:44" ht="18" customHeight="1">
      <c r="A88" s="184"/>
      <c r="V88" s="185"/>
    </row>
    <row r="89" spans="1:44" ht="18" customHeight="1">
      <c r="A89" s="184"/>
      <c r="V89" s="185"/>
    </row>
    <row r="90" spans="1:44" ht="18" customHeight="1">
      <c r="A90" s="290"/>
      <c r="B90" s="196"/>
      <c r="C90" s="196"/>
      <c r="D90" s="196"/>
      <c r="E90" s="196"/>
      <c r="F90" s="196"/>
      <c r="G90" s="196"/>
      <c r="H90" s="196"/>
      <c r="I90" s="196"/>
      <c r="J90" s="196"/>
      <c r="K90" s="196"/>
      <c r="L90" s="196"/>
      <c r="M90" s="196"/>
      <c r="N90" s="196"/>
      <c r="O90" s="196"/>
      <c r="P90" s="196"/>
      <c r="Q90" s="196"/>
      <c r="R90" s="196"/>
      <c r="S90" s="196"/>
      <c r="T90" s="196"/>
      <c r="U90" s="196"/>
      <c r="V90" s="291"/>
    </row>
    <row r="91" spans="1:44" ht="18" customHeight="1">
      <c r="A91" s="135"/>
      <c r="B91" s="273"/>
      <c r="C91" s="273"/>
      <c r="D91" s="274"/>
      <c r="E91" s="274"/>
      <c r="F91" s="537"/>
      <c r="G91" s="537"/>
      <c r="H91" s="273"/>
      <c r="I91" s="273"/>
      <c r="J91" s="273"/>
      <c r="K91" s="273"/>
      <c r="L91" s="273"/>
      <c r="M91" s="273"/>
      <c r="N91" s="273"/>
      <c r="O91" s="273"/>
      <c r="P91" s="138"/>
      <c r="Q91" s="274"/>
      <c r="R91" s="139"/>
      <c r="S91" s="139"/>
      <c r="T91" s="273"/>
      <c r="U91" s="273"/>
      <c r="V91" s="521"/>
    </row>
    <row r="92" spans="1:44" ht="18" customHeight="1">
      <c r="A92" s="262" t="s">
        <v>501</v>
      </c>
      <c r="B92" s="14"/>
      <c r="C92" s="14"/>
      <c r="D92" s="120"/>
      <c r="E92" s="120"/>
      <c r="F92" s="18"/>
      <c r="G92" s="18"/>
      <c r="H92" s="14"/>
      <c r="I92" s="14"/>
      <c r="J92" s="14"/>
      <c r="S92" s="207"/>
      <c r="T92" s="207"/>
      <c r="V92" s="185"/>
    </row>
    <row r="93" spans="1:44" ht="18" customHeight="1">
      <c r="A93" s="955" t="s">
        <v>85</v>
      </c>
      <c r="B93" s="956"/>
      <c r="C93" s="957"/>
      <c r="D93" s="955" t="s">
        <v>86</v>
      </c>
      <c r="E93" s="956"/>
      <c r="F93" s="957"/>
      <c r="G93" s="955" t="s">
        <v>87</v>
      </c>
      <c r="H93" s="957"/>
      <c r="I93" s="955" t="s">
        <v>88</v>
      </c>
      <c r="J93" s="957"/>
      <c r="K93" s="955" t="s">
        <v>502</v>
      </c>
      <c r="L93" s="957"/>
      <c r="M93" s="955" t="s">
        <v>111</v>
      </c>
      <c r="N93" s="957"/>
      <c r="O93" s="955" t="s">
        <v>904</v>
      </c>
      <c r="P93" s="957"/>
      <c r="Q93" s="955" t="s">
        <v>505</v>
      </c>
      <c r="R93" s="957"/>
      <c r="S93" s="955" t="s">
        <v>93</v>
      </c>
      <c r="T93" s="956"/>
      <c r="U93" s="956"/>
      <c r="V93" s="957"/>
      <c r="W93" s="184"/>
      <c r="AR93" s="185"/>
    </row>
    <row r="94" spans="1:44" ht="18" customHeight="1">
      <c r="A94" s="1125"/>
      <c r="B94" s="983"/>
      <c r="C94" s="1126"/>
      <c r="D94" s="1125"/>
      <c r="E94" s="983"/>
      <c r="F94" s="1126"/>
      <c r="G94" s="1125"/>
      <c r="H94" s="1126"/>
      <c r="I94" s="1125"/>
      <c r="J94" s="1126"/>
      <c r="K94" s="1125"/>
      <c r="L94" s="1126"/>
      <c r="M94" s="1125"/>
      <c r="N94" s="1126"/>
      <c r="O94" s="1125"/>
      <c r="P94" s="1126"/>
      <c r="Q94" s="1125"/>
      <c r="R94" s="1126"/>
      <c r="S94" s="1125"/>
      <c r="T94" s="983"/>
      <c r="U94" s="983"/>
      <c r="V94" s="1126"/>
      <c r="W94" s="184"/>
      <c r="AR94" s="185"/>
    </row>
    <row r="95" spans="1:44" ht="18" customHeight="1">
      <c r="A95" s="1125"/>
      <c r="B95" s="983"/>
      <c r="C95" s="1126"/>
      <c r="D95" s="1125"/>
      <c r="E95" s="983"/>
      <c r="F95" s="1126"/>
      <c r="G95" s="1125"/>
      <c r="H95" s="1126"/>
      <c r="I95" s="1125"/>
      <c r="J95" s="1126"/>
      <c r="K95" s="1125"/>
      <c r="L95" s="1126"/>
      <c r="M95" s="1125"/>
      <c r="N95" s="1126"/>
      <c r="O95" s="1125"/>
      <c r="P95" s="1126"/>
      <c r="Q95" s="1125"/>
      <c r="R95" s="1126"/>
      <c r="S95" s="1125"/>
      <c r="T95" s="983"/>
      <c r="U95" s="983"/>
      <c r="V95" s="1126"/>
      <c r="W95" s="184"/>
      <c r="AR95" s="185"/>
    </row>
    <row r="96" spans="1:44" ht="18" customHeight="1">
      <c r="A96" s="1047"/>
      <c r="B96" s="1048"/>
      <c r="C96" s="1049"/>
      <c r="D96" s="1047"/>
      <c r="E96" s="1048"/>
      <c r="F96" s="1049"/>
      <c r="G96" s="1047"/>
      <c r="H96" s="1049"/>
      <c r="I96" s="1047"/>
      <c r="J96" s="1049"/>
      <c r="K96" s="1047"/>
      <c r="L96" s="1049"/>
      <c r="M96" s="1047"/>
      <c r="N96" s="1049"/>
      <c r="O96" s="1047"/>
      <c r="P96" s="1049"/>
      <c r="Q96" s="1047"/>
      <c r="R96" s="1049"/>
      <c r="S96" s="1047"/>
      <c r="T96" s="1048"/>
      <c r="U96" s="1048"/>
      <c r="V96" s="1049"/>
      <c r="W96" s="184"/>
      <c r="AR96" s="185"/>
    </row>
    <row r="97" spans="1:44" ht="18" customHeight="1">
      <c r="A97" s="765" t="str">
        <f>B7</f>
        <v>T1</v>
      </c>
      <c r="B97" s="765" t="str">
        <f>D7</f>
        <v>Core1</v>
      </c>
      <c r="C97" s="765"/>
      <c r="D97" s="870">
        <f>H10</f>
        <v>2500</v>
      </c>
      <c r="E97" s="870"/>
      <c r="F97" s="871">
        <f>O10</f>
        <v>1</v>
      </c>
      <c r="G97" s="870">
        <f>'CT-VT Burdens'!S21</f>
        <v>120</v>
      </c>
      <c r="H97" s="874">
        <f>'CT-VT Burdens'!S10</f>
        <v>6</v>
      </c>
      <c r="I97" s="874" t="str">
        <f>H11</f>
        <v>5P20</v>
      </c>
      <c r="J97" s="874" t="e">
        <f>#REF!</f>
        <v>#REF!</v>
      </c>
      <c r="K97" s="869">
        <f>H12</f>
        <v>5</v>
      </c>
      <c r="L97" s="869"/>
      <c r="M97" s="1235">
        <f>G60</f>
        <v>20</v>
      </c>
      <c r="N97" s="869"/>
      <c r="O97" s="1236">
        <f>D60</f>
        <v>114.43476084419922</v>
      </c>
      <c r="P97" s="870"/>
      <c r="Q97" s="879" t="str">
        <f>IF(T8="",T7,IF(T9="",T7&amp;" "&amp;T8,T7&amp;" "&amp;T8&amp;" "&amp;T9))</f>
        <v>REF650 REC670</v>
      </c>
      <c r="R97" s="879"/>
      <c r="S97" s="878" t="str">
        <f>G61</f>
        <v>Suitably Dimentioned</v>
      </c>
      <c r="T97" s="878"/>
      <c r="U97" s="878"/>
      <c r="V97" s="878"/>
      <c r="W97" s="184"/>
      <c r="AR97" s="185"/>
    </row>
    <row r="98" spans="1:44" ht="18" customHeight="1">
      <c r="A98" s="765"/>
      <c r="B98" s="765"/>
      <c r="C98" s="765"/>
      <c r="D98" s="876" t="s">
        <v>6</v>
      </c>
      <c r="E98" s="870"/>
      <c r="F98" s="872"/>
      <c r="G98" s="870"/>
      <c r="H98" s="870"/>
      <c r="I98" s="874"/>
      <c r="J98" s="874"/>
      <c r="K98" s="875" t="s">
        <v>6</v>
      </c>
      <c r="L98" s="869"/>
      <c r="M98" s="875" t="s">
        <v>6</v>
      </c>
      <c r="N98" s="869"/>
      <c r="O98" s="876" t="s">
        <v>6</v>
      </c>
      <c r="P98" s="870"/>
      <c r="Q98" s="879"/>
      <c r="R98" s="879"/>
      <c r="S98" s="877" t="s">
        <v>6</v>
      </c>
      <c r="T98" s="878"/>
      <c r="U98" s="878"/>
      <c r="V98" s="878"/>
      <c r="W98" s="184"/>
      <c r="AR98" s="185"/>
    </row>
    <row r="99" spans="1:44" ht="18" customHeight="1">
      <c r="A99" s="765"/>
      <c r="B99" s="765"/>
      <c r="C99" s="765"/>
      <c r="D99" s="876" t="s">
        <v>6</v>
      </c>
      <c r="E99" s="870"/>
      <c r="F99" s="873"/>
      <c r="G99" s="870"/>
      <c r="H99" s="870"/>
      <c r="I99" s="874"/>
      <c r="J99" s="874"/>
      <c r="K99" s="875" t="s">
        <v>6</v>
      </c>
      <c r="L99" s="869"/>
      <c r="M99" s="875" t="s">
        <v>6</v>
      </c>
      <c r="N99" s="869"/>
      <c r="O99" s="876" t="s">
        <v>6</v>
      </c>
      <c r="P99" s="870"/>
      <c r="Q99" s="879"/>
      <c r="R99" s="879"/>
      <c r="S99" s="878" t="s">
        <v>6</v>
      </c>
      <c r="T99" s="878"/>
      <c r="U99" s="878"/>
      <c r="V99" s="878"/>
      <c r="W99" s="184"/>
      <c r="AR99" s="185"/>
    </row>
    <row r="100" spans="1:44" ht="18" customHeight="1">
      <c r="A100" s="184"/>
      <c r="V100" s="185"/>
    </row>
    <row r="101" spans="1:44" ht="18" customHeight="1">
      <c r="A101" s="184"/>
      <c r="V101" s="185"/>
    </row>
    <row r="102" spans="1:44" ht="18" customHeight="1">
      <c r="A102" s="184"/>
      <c r="V102" s="185"/>
    </row>
    <row r="103" spans="1:44" ht="18" customHeight="1">
      <c r="A103" s="184"/>
      <c r="V103" s="185"/>
    </row>
    <row r="104" spans="1:44" ht="18" customHeight="1">
      <c r="A104" s="184"/>
      <c r="V104" s="185"/>
    </row>
    <row r="105" spans="1:44" ht="18" customHeight="1">
      <c r="A105" s="184"/>
      <c r="V105" s="185"/>
    </row>
    <row r="106" spans="1:44" ht="18" customHeight="1">
      <c r="A106" s="184"/>
      <c r="V106" s="185"/>
    </row>
    <row r="107" spans="1:44" ht="18" customHeight="1">
      <c r="A107" s="184"/>
      <c r="V107" s="185"/>
    </row>
    <row r="108" spans="1:44" ht="18" customHeight="1">
      <c r="A108" s="184"/>
      <c r="V108" s="185"/>
    </row>
    <row r="109" spans="1:44" ht="18" customHeight="1">
      <c r="A109" s="184"/>
      <c r="V109" s="185"/>
    </row>
    <row r="110" spans="1:44" ht="18" customHeight="1">
      <c r="A110" s="184"/>
      <c r="V110" s="185"/>
    </row>
    <row r="111" spans="1:44" ht="18" customHeight="1">
      <c r="A111" s="184"/>
      <c r="V111" s="185"/>
    </row>
    <row r="112" spans="1:44" ht="18" customHeight="1">
      <c r="A112" s="184"/>
      <c r="V112" s="185"/>
    </row>
    <row r="113" spans="1:22" ht="18" customHeight="1">
      <c r="A113" s="184"/>
      <c r="V113" s="185"/>
    </row>
    <row r="114" spans="1:22" ht="18" customHeight="1">
      <c r="A114" s="184"/>
      <c r="V114" s="185"/>
    </row>
    <row r="115" spans="1:22" ht="18" customHeight="1">
      <c r="A115" s="184"/>
      <c r="V115" s="185"/>
    </row>
    <row r="116" spans="1:22" ht="18" customHeight="1">
      <c r="A116" s="184"/>
      <c r="V116" s="185"/>
    </row>
    <row r="117" spans="1:22" ht="18" customHeight="1">
      <c r="A117" s="184"/>
      <c r="V117" s="185"/>
    </row>
    <row r="118" spans="1:22" ht="18" customHeight="1">
      <c r="A118" s="184"/>
      <c r="V118" s="185"/>
    </row>
    <row r="119" spans="1:22" ht="18" customHeight="1">
      <c r="A119" s="184"/>
      <c r="V119" s="185"/>
    </row>
    <row r="120" spans="1:22" ht="18" customHeight="1">
      <c r="A120" s="184"/>
      <c r="V120" s="185"/>
    </row>
    <row r="121" spans="1:22" ht="18" customHeight="1">
      <c r="A121" s="184"/>
      <c r="V121" s="185"/>
    </row>
    <row r="122" spans="1:22" ht="18" customHeight="1">
      <c r="A122" s="184"/>
      <c r="V122" s="185"/>
    </row>
    <row r="123" spans="1:22" ht="18" customHeight="1">
      <c r="A123" s="184"/>
      <c r="V123" s="185"/>
    </row>
    <row r="124" spans="1:22" ht="18" customHeight="1">
      <c r="A124" s="184"/>
      <c r="V124" s="185"/>
    </row>
    <row r="125" spans="1:22" ht="18" customHeight="1">
      <c r="A125" s="184"/>
      <c r="V125" s="185"/>
    </row>
    <row r="126" spans="1:22" ht="18" customHeight="1">
      <c r="A126" s="184"/>
      <c r="V126" s="185"/>
    </row>
    <row r="127" spans="1:22" ht="18" customHeight="1">
      <c r="A127" s="184"/>
      <c r="V127" s="185"/>
    </row>
    <row r="128" spans="1:22" ht="18" customHeight="1">
      <c r="A128" s="184"/>
      <c r="V128" s="185"/>
    </row>
    <row r="129" spans="1:22" ht="18" customHeight="1">
      <c r="A129" s="184"/>
      <c r="V129" s="185"/>
    </row>
    <row r="130" spans="1:22" ht="18" customHeight="1">
      <c r="A130" s="184"/>
      <c r="V130" s="185"/>
    </row>
    <row r="131" spans="1:22" s="14" customFormat="1" ht="18" customHeight="1">
      <c r="A131" s="194"/>
      <c r="B131" s="195"/>
      <c r="C131" s="195"/>
      <c r="D131" s="195"/>
      <c r="E131" s="195"/>
      <c r="F131" s="195"/>
      <c r="G131" s="195"/>
      <c r="H131" s="195"/>
      <c r="I131" s="195"/>
      <c r="J131" s="195"/>
      <c r="K131" s="195"/>
      <c r="L131" s="195"/>
      <c r="M131" s="195"/>
      <c r="N131" s="195"/>
      <c r="O131" s="195"/>
      <c r="P131" s="195"/>
      <c r="Q131" s="224"/>
      <c r="R131" s="182"/>
      <c r="S131" s="225"/>
      <c r="T131" s="195"/>
      <c r="U131" s="195"/>
      <c r="V131" s="134"/>
    </row>
  </sheetData>
  <mergeCells count="90">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 ref="O93:P96"/>
    <mergeCell ref="Q93:R96"/>
    <mergeCell ref="S93:V96"/>
    <mergeCell ref="K93:L96"/>
    <mergeCell ref="M93:N96"/>
    <mergeCell ref="A93:C96"/>
    <mergeCell ref="D93:F96"/>
    <mergeCell ref="G93:H96"/>
    <mergeCell ref="I93:J96"/>
    <mergeCell ref="D99:E99"/>
    <mergeCell ref="A97:A99"/>
    <mergeCell ref="B97:C99"/>
    <mergeCell ref="D97:E97"/>
    <mergeCell ref="F97:F99"/>
    <mergeCell ref="G97:G99"/>
    <mergeCell ref="G52:H52"/>
    <mergeCell ref="J52:K52"/>
    <mergeCell ref="G53:H53"/>
    <mergeCell ref="G57:H57"/>
    <mergeCell ref="D60:E60"/>
    <mergeCell ref="G60:H60"/>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J20:K20"/>
    <mergeCell ref="J21:K21"/>
    <mergeCell ref="J22:K22"/>
    <mergeCell ref="A5:B5"/>
    <mergeCell ref="D5:F5"/>
    <mergeCell ref="H5:N5"/>
    <mergeCell ref="B7:C7"/>
    <mergeCell ref="H11:I11"/>
    <mergeCell ref="H12:I12"/>
    <mergeCell ref="H13:I13"/>
    <mergeCell ref="H14:I14"/>
    <mergeCell ref="J18:K18"/>
    <mergeCell ref="J19:K19"/>
    <mergeCell ref="T7:U7"/>
    <mergeCell ref="B8:C8"/>
    <mergeCell ref="H10:I10"/>
    <mergeCell ref="J10:K10"/>
    <mergeCell ref="L10:M10"/>
    <mergeCell ref="T8:U8"/>
    <mergeCell ref="H9:I9"/>
    <mergeCell ref="J9:K9"/>
    <mergeCell ref="L9:M9"/>
    <mergeCell ref="T9:U9"/>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61">
    <cfRule type="cellIs" dxfId="204"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codeName="Sheet9">
    <tabColor rgb="FFFFFF00"/>
  </sheetPr>
  <dimension ref="A1:Y304"/>
  <sheetViews>
    <sheetView showZeros="0" view="pageBreakPreview" zoomScale="85" zoomScaleNormal="100" zoomScaleSheetLayoutView="85" workbookViewId="0">
      <selection activeCell="U21" sqref="U21"/>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[5]Title!O3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[5]Title!O4</f>
        <v>Revision No.</v>
      </c>
      <c r="P4" s="886"/>
      <c r="Q4" s="887"/>
      <c r="R4" s="775" t="str">
        <f>Title!R4</f>
        <v>A</v>
      </c>
      <c r="S4" s="1068"/>
      <c r="T4" s="1068"/>
      <c r="U4" s="1068"/>
      <c r="V4" s="776"/>
      <c r="W4" s="14"/>
      <c r="X4" s="14"/>
    </row>
    <row r="5" spans="1:24" ht="18" customHeight="1">
      <c r="A5" s="880" t="str">
        <f>[5]Title!A5</f>
        <v>Prep. By</v>
      </c>
      <c r="B5" s="943"/>
      <c r="C5" s="25" t="str">
        <f>[5]Title!C5</f>
        <v>AP</v>
      </c>
      <c r="D5" s="880" t="str">
        <f>[5]Title!D5</f>
        <v>Checked By</v>
      </c>
      <c r="E5" s="881"/>
      <c r="F5" s="943"/>
      <c r="G5" s="25" t="str">
        <f>[5]Title!G5</f>
        <v>RB</v>
      </c>
      <c r="H5" s="944" t="s">
        <v>881</v>
      </c>
      <c r="I5" s="945"/>
      <c r="J5" s="945"/>
      <c r="K5" s="945"/>
      <c r="L5" s="945"/>
      <c r="M5" s="945"/>
      <c r="N5" s="946"/>
      <c r="O5" s="947" t="str">
        <f>[5]Title!O5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1092" t="s">
        <v>506</v>
      </c>
      <c r="E7" s="1093"/>
      <c r="F7" s="455"/>
      <c r="H7" s="684"/>
      <c r="I7" s="684"/>
      <c r="J7" s="684"/>
      <c r="K7" s="684"/>
      <c r="L7" s="684"/>
      <c r="M7" s="684"/>
      <c r="P7" s="186"/>
      <c r="S7" s="187" t="s">
        <v>387</v>
      </c>
      <c r="T7" s="1075" t="s">
        <v>882</v>
      </c>
      <c r="U7" s="1076"/>
      <c r="V7" s="185"/>
    </row>
    <row r="8" spans="1:24" ht="18" customHeight="1">
      <c r="A8" s="456"/>
      <c r="F8" s="455"/>
      <c r="T8" s="1075"/>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224">
        <v>5</v>
      </c>
      <c r="I12" s="1225"/>
      <c r="J12" s="192" t="s">
        <v>333</v>
      </c>
      <c r="V12" s="185"/>
    </row>
    <row r="13" spans="1:24" ht="18" customHeight="1">
      <c r="A13" s="184"/>
      <c r="B13" s="47" t="s">
        <v>398</v>
      </c>
      <c r="G13" s="120" t="s">
        <v>498</v>
      </c>
      <c r="H13" s="1075">
        <v>750</v>
      </c>
      <c r="I13" s="1076"/>
      <c r="J13" s="14" t="s">
        <v>305</v>
      </c>
      <c r="U13" s="18"/>
      <c r="V13" s="185"/>
      <c r="W13" s="30" t="str">
        <f>H59</f>
        <v>Suitably Dimentioned</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P743</v>
      </c>
      <c r="E18" s="227"/>
      <c r="F18" s="227"/>
      <c r="G18" s="227"/>
      <c r="H18" s="138"/>
      <c r="I18" s="260" t="s">
        <v>127</v>
      </c>
      <c r="J18" s="1077">
        <f>'CT-VT Burdens'!Q159</f>
        <v>0.1</v>
      </c>
      <c r="K18" s="1078"/>
      <c r="L18" s="3" t="s">
        <v>157</v>
      </c>
      <c r="N18" s="197"/>
      <c r="V18" s="185"/>
    </row>
    <row r="19" spans="1:25" ht="18" customHeight="1">
      <c r="A19" s="184"/>
      <c r="B19" s="96" t="s">
        <v>405</v>
      </c>
      <c r="C19" s="14"/>
      <c r="D19" s="47">
        <f>T8</f>
        <v>0</v>
      </c>
      <c r="E19" s="14"/>
      <c r="G19" s="199"/>
      <c r="H19" s="27"/>
      <c r="I19" s="101" t="s">
        <v>127</v>
      </c>
      <c r="J19" s="1220"/>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Burdens'!S24</f>
        <v>1.0770224400000001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1.1770224400000002</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68"/>
      <c r="B24" s="5"/>
      <c r="C24" s="47" t="s">
        <v>817</v>
      </c>
      <c r="D24" s="14"/>
      <c r="E24" s="14"/>
      <c r="F24" s="14"/>
      <c r="G24" s="14"/>
      <c r="H24" s="279"/>
      <c r="I24" s="120"/>
      <c r="J24" s="279"/>
      <c r="K24" s="279"/>
      <c r="L24" s="14"/>
      <c r="M24" s="14"/>
      <c r="N24" s="14"/>
      <c r="O24" s="14"/>
      <c r="P24" s="14"/>
      <c r="Q24" s="120" t="s">
        <v>818</v>
      </c>
      <c r="R24" s="102" t="s">
        <v>127</v>
      </c>
      <c r="S24" s="1237">
        <f>'Parameters &amp; Fault Cal. (4)'!Q10 *1000</f>
        <v>50000</v>
      </c>
      <c r="T24" s="1238"/>
      <c r="U24" s="47" t="s">
        <v>8</v>
      </c>
      <c r="V24" s="185"/>
    </row>
    <row r="25" spans="1:25" ht="18" customHeight="1">
      <c r="A25" s="168"/>
      <c r="B25" s="5"/>
      <c r="C25" s="47" t="s">
        <v>654</v>
      </c>
      <c r="D25" s="14"/>
      <c r="E25" s="14"/>
      <c r="F25" s="18"/>
      <c r="G25" s="18"/>
      <c r="H25" s="279"/>
      <c r="I25" s="120"/>
      <c r="J25" s="279"/>
      <c r="K25" s="279"/>
      <c r="L25" s="14"/>
      <c r="M25" s="14"/>
      <c r="N25" s="14"/>
      <c r="O25" s="14"/>
      <c r="P25" s="14"/>
      <c r="Q25" s="120" t="s">
        <v>423</v>
      </c>
      <c r="R25" s="102" t="s">
        <v>127</v>
      </c>
      <c r="S25" s="689">
        <f>H10</f>
        <v>2500</v>
      </c>
      <c r="T25" s="689"/>
      <c r="U25" s="14" t="s">
        <v>8</v>
      </c>
      <c r="V25" s="185"/>
    </row>
    <row r="26" spans="1:25" ht="18" customHeight="1">
      <c r="A26" s="168"/>
      <c r="B26" s="5"/>
      <c r="C26" s="47" t="s">
        <v>819</v>
      </c>
      <c r="E26" s="14"/>
      <c r="F26" s="18"/>
      <c r="G26" s="18"/>
      <c r="H26" s="279"/>
      <c r="I26" s="120"/>
      <c r="J26" s="279"/>
      <c r="K26" s="279"/>
      <c r="L26" s="14"/>
      <c r="M26" s="14"/>
      <c r="N26" s="14"/>
      <c r="O26" s="14"/>
      <c r="P26" s="14"/>
      <c r="Q26" s="120" t="s">
        <v>820</v>
      </c>
      <c r="R26" s="28" t="s">
        <v>127</v>
      </c>
      <c r="S26" s="692">
        <f>S24/S25*O10</f>
        <v>20</v>
      </c>
      <c r="T26" s="692"/>
      <c r="U26" s="14" t="s">
        <v>8</v>
      </c>
      <c r="V26" s="185"/>
    </row>
    <row r="27" spans="1:25" ht="18" customHeight="1">
      <c r="A27" s="168"/>
      <c r="B27" s="5"/>
      <c r="C27" s="47" t="s">
        <v>821</v>
      </c>
      <c r="D27" s="14"/>
      <c r="E27" s="14"/>
      <c r="F27" s="18"/>
      <c r="G27" s="18"/>
      <c r="H27" s="279"/>
      <c r="I27" s="120"/>
      <c r="J27" s="279"/>
      <c r="K27" s="279"/>
      <c r="L27" s="14"/>
      <c r="M27" s="14"/>
      <c r="N27" s="14"/>
      <c r="O27" s="14"/>
      <c r="P27" s="14"/>
      <c r="Q27" s="120" t="s">
        <v>689</v>
      </c>
      <c r="R27" s="28" t="s">
        <v>127</v>
      </c>
      <c r="S27" s="692">
        <f>J22/O10*O10</f>
        <v>1.1770224400000002</v>
      </c>
      <c r="T27" s="692"/>
      <c r="U27" s="192" t="s">
        <v>333</v>
      </c>
      <c r="V27" s="185"/>
      <c r="X27" s="279"/>
      <c r="Y27" s="279"/>
    </row>
    <row r="28" spans="1:25" ht="18" customHeight="1">
      <c r="A28" s="168"/>
      <c r="B28" s="5"/>
      <c r="C28" s="47" t="s">
        <v>822</v>
      </c>
      <c r="Q28" s="120" t="s">
        <v>823</v>
      </c>
      <c r="R28" s="28" t="s">
        <v>127</v>
      </c>
      <c r="S28" s="1237">
        <f>20*S25</f>
        <v>50000</v>
      </c>
      <c r="T28" s="1238"/>
      <c r="U28" s="14" t="s">
        <v>8</v>
      </c>
      <c r="V28" s="185"/>
      <c r="X28" s="279"/>
      <c r="Y28" s="279"/>
    </row>
    <row r="29" spans="1:25" ht="18" customHeight="1">
      <c r="A29" s="299"/>
      <c r="B29" s="279"/>
      <c r="C29" s="47" t="s">
        <v>824</v>
      </c>
      <c r="Q29" s="244" t="s">
        <v>825</v>
      </c>
      <c r="R29" s="28" t="s">
        <v>127</v>
      </c>
      <c r="S29" s="795">
        <f>S28/S25</f>
        <v>20</v>
      </c>
      <c r="T29" s="795"/>
      <c r="U29" s="14" t="s">
        <v>8</v>
      </c>
      <c r="V29" s="300"/>
      <c r="W29" s="279"/>
      <c r="X29" s="279"/>
      <c r="Y29" s="279"/>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85"/>
    </row>
    <row r="31" spans="1:25" ht="18" customHeight="1">
      <c r="A31" s="193" t="s">
        <v>755</v>
      </c>
      <c r="B31" s="14"/>
      <c r="C31" s="14"/>
      <c r="D31" s="14"/>
      <c r="E31" s="14"/>
      <c r="F31" s="14"/>
      <c r="G31" s="14"/>
      <c r="H31" s="14"/>
      <c r="K31" s="14"/>
      <c r="T31" s="14"/>
      <c r="U31" s="14"/>
      <c r="V31" s="185"/>
    </row>
    <row r="32" spans="1:25" ht="18" customHeight="1">
      <c r="A32" s="96"/>
      <c r="B32" s="14"/>
      <c r="C32" s="14"/>
      <c r="D32" s="14"/>
      <c r="E32" s="14"/>
      <c r="F32" s="14"/>
      <c r="G32" s="14"/>
      <c r="H32" s="14"/>
      <c r="K32" s="14"/>
      <c r="T32" s="14"/>
      <c r="U32" s="14"/>
      <c r="V32" s="185"/>
    </row>
    <row r="33" spans="1:22" ht="18" customHeight="1">
      <c r="A33" s="193" t="s">
        <v>826</v>
      </c>
      <c r="H33" s="28"/>
      <c r="I33" s="28"/>
      <c r="J33" s="28"/>
      <c r="K33" s="28"/>
      <c r="T33" s="14"/>
      <c r="U33" s="14"/>
      <c r="V33" s="185"/>
    </row>
    <row r="34" spans="1:22" ht="18" customHeight="1">
      <c r="A34" s="193"/>
      <c r="H34" s="28"/>
      <c r="I34" s="28"/>
      <c r="J34" s="28"/>
      <c r="K34" s="28"/>
      <c r="T34" s="14"/>
      <c r="U34" s="14"/>
      <c r="V34" s="185"/>
    </row>
    <row r="35" spans="1:22" ht="18" customHeight="1">
      <c r="A35" s="184"/>
      <c r="B35" s="689" t="s">
        <v>473</v>
      </c>
      <c r="C35" s="689"/>
      <c r="D35" s="28" t="s">
        <v>827</v>
      </c>
      <c r="E35" s="28">
        <v>0.5</v>
      </c>
      <c r="F35" s="28" t="s">
        <v>315</v>
      </c>
      <c r="G35" s="689" t="s">
        <v>820</v>
      </c>
      <c r="H35" s="689"/>
      <c r="I35" s="28" t="s">
        <v>672</v>
      </c>
      <c r="J35" s="689" t="s">
        <v>420</v>
      </c>
      <c r="K35" s="689"/>
      <c r="L35" s="28" t="s">
        <v>347</v>
      </c>
      <c r="M35" s="689" t="s">
        <v>689</v>
      </c>
      <c r="N35" s="689"/>
      <c r="O35" s="14" t="s">
        <v>350</v>
      </c>
      <c r="P35" s="14"/>
      <c r="Q35" s="14"/>
      <c r="R35" s="14"/>
      <c r="T35" s="14"/>
      <c r="U35" s="14"/>
      <c r="V35" s="185"/>
    </row>
    <row r="36" spans="1:22" ht="18" customHeight="1">
      <c r="A36" s="184"/>
      <c r="B36" s="14"/>
      <c r="C36" s="14"/>
      <c r="D36" s="102" t="s">
        <v>127</v>
      </c>
      <c r="E36" s="28">
        <v>0.5</v>
      </c>
      <c r="F36" s="28" t="s">
        <v>315</v>
      </c>
      <c r="G36" s="692">
        <f>S26</f>
        <v>20</v>
      </c>
      <c r="H36" s="689"/>
      <c r="I36" s="28" t="s">
        <v>672</v>
      </c>
      <c r="J36" s="689">
        <f>H12</f>
        <v>5</v>
      </c>
      <c r="K36" s="689"/>
      <c r="L36" s="28" t="s">
        <v>347</v>
      </c>
      <c r="M36" s="692">
        <f>S27</f>
        <v>1.1770224400000002</v>
      </c>
      <c r="N36" s="689"/>
      <c r="O36" s="14" t="s">
        <v>350</v>
      </c>
      <c r="S36" s="14"/>
      <c r="T36" s="14"/>
      <c r="U36" s="14"/>
      <c r="V36" s="185"/>
    </row>
    <row r="37" spans="1:22" ht="18" customHeight="1">
      <c r="A37" s="184"/>
      <c r="B37" s="14"/>
      <c r="C37" s="14"/>
      <c r="D37" s="102" t="s">
        <v>127</v>
      </c>
      <c r="E37" s="692">
        <f>E36*G36*(J36+M36)</f>
        <v>61.770224400000004</v>
      </c>
      <c r="F37" s="692"/>
      <c r="G37" s="211"/>
      <c r="H37" s="218"/>
      <c r="I37" s="14"/>
      <c r="J37" s="14"/>
      <c r="K37" s="14"/>
      <c r="L37" s="14"/>
      <c r="M37" s="14"/>
      <c r="N37" s="14"/>
      <c r="O37" s="14"/>
      <c r="P37" s="14"/>
      <c r="Q37" s="14"/>
      <c r="R37" s="14"/>
      <c r="V37" s="185"/>
    </row>
    <row r="38" spans="1:22" ht="18" customHeight="1">
      <c r="A38" s="184"/>
      <c r="B38" s="14"/>
      <c r="C38" s="14"/>
      <c r="D38" s="28"/>
      <c r="E38" s="218"/>
      <c r="F38" s="218"/>
      <c r="G38" s="211"/>
      <c r="H38" s="218"/>
      <c r="I38" s="14"/>
      <c r="J38" s="14"/>
      <c r="K38" s="14"/>
      <c r="L38" s="14"/>
      <c r="M38" s="14"/>
      <c r="N38" s="14"/>
      <c r="O38" s="14"/>
      <c r="P38" s="14"/>
      <c r="Q38" s="14"/>
      <c r="R38" s="14"/>
      <c r="V38" s="185"/>
    </row>
    <row r="39" spans="1:22" ht="18" customHeight="1">
      <c r="A39" s="193" t="s">
        <v>828</v>
      </c>
      <c r="B39" s="14"/>
      <c r="C39" s="14"/>
      <c r="D39" s="28"/>
      <c r="E39" s="218"/>
      <c r="F39" s="218"/>
      <c r="G39" s="211"/>
      <c r="H39" s="218"/>
      <c r="I39" s="14"/>
      <c r="J39" s="14"/>
      <c r="K39" s="14"/>
      <c r="L39" s="14"/>
      <c r="M39" s="14"/>
      <c r="N39" s="14"/>
      <c r="O39" s="14"/>
      <c r="P39" s="14"/>
      <c r="Q39" s="14"/>
      <c r="R39" s="14"/>
      <c r="V39" s="185"/>
    </row>
    <row r="40" spans="1:22" ht="18" customHeight="1">
      <c r="A40" s="184"/>
      <c r="B40" s="14"/>
      <c r="C40" s="14"/>
      <c r="D40" s="28"/>
      <c r="E40" s="218"/>
      <c r="F40" s="218"/>
      <c r="G40" s="211"/>
      <c r="H40" s="218"/>
      <c r="I40" s="14"/>
      <c r="J40" s="14"/>
      <c r="K40" s="14"/>
      <c r="L40" s="14"/>
      <c r="M40" s="14"/>
      <c r="N40" s="14"/>
      <c r="O40" s="14"/>
      <c r="P40" s="14"/>
      <c r="Q40" s="14"/>
      <c r="R40" s="14"/>
      <c r="V40" s="185"/>
    </row>
    <row r="41" spans="1:22" ht="18" customHeight="1">
      <c r="A41" s="184"/>
      <c r="B41" s="689" t="s">
        <v>473</v>
      </c>
      <c r="C41" s="689"/>
      <c r="D41" s="28" t="s">
        <v>827</v>
      </c>
      <c r="E41" s="689" t="s">
        <v>825</v>
      </c>
      <c r="F41" s="689"/>
      <c r="G41" s="28" t="s">
        <v>672</v>
      </c>
      <c r="H41" s="689" t="s">
        <v>420</v>
      </c>
      <c r="I41" s="689"/>
      <c r="J41" s="28" t="s">
        <v>347</v>
      </c>
      <c r="K41" s="689" t="s">
        <v>689</v>
      </c>
      <c r="L41" s="689"/>
      <c r="M41" s="14" t="s">
        <v>350</v>
      </c>
      <c r="P41" s="14"/>
      <c r="Q41" s="14"/>
      <c r="R41" s="14"/>
      <c r="V41" s="185"/>
    </row>
    <row r="42" spans="1:22" ht="18" customHeight="1">
      <c r="A42" s="184"/>
      <c r="B42" s="14"/>
      <c r="C42" s="14"/>
      <c r="D42" s="102" t="s">
        <v>127</v>
      </c>
      <c r="E42" s="692">
        <f>S29</f>
        <v>20</v>
      </c>
      <c r="F42" s="689"/>
      <c r="G42" s="28" t="s">
        <v>672</v>
      </c>
      <c r="H42" s="689">
        <f>H12</f>
        <v>5</v>
      </c>
      <c r="I42" s="689"/>
      <c r="J42" s="28" t="s">
        <v>347</v>
      </c>
      <c r="K42" s="692">
        <f>S27</f>
        <v>1.1770224400000002</v>
      </c>
      <c r="L42" s="689"/>
      <c r="M42" s="14" t="s">
        <v>350</v>
      </c>
      <c r="N42" s="14"/>
      <c r="O42" s="14"/>
      <c r="P42" s="14"/>
      <c r="Q42" s="14"/>
      <c r="R42" s="14"/>
      <c r="V42" s="185"/>
    </row>
    <row r="43" spans="1:22" ht="18" customHeight="1">
      <c r="A43" s="184"/>
      <c r="B43" s="14"/>
      <c r="C43" s="14"/>
      <c r="D43" s="102" t="s">
        <v>127</v>
      </c>
      <c r="E43" s="692">
        <f>E42*(H42+K42)</f>
        <v>123.54044880000001</v>
      </c>
      <c r="F43" s="692"/>
      <c r="G43" s="211"/>
      <c r="H43" s="218"/>
      <c r="I43" s="14"/>
      <c r="J43" s="14"/>
      <c r="K43" s="14"/>
      <c r="L43" s="14"/>
      <c r="M43" s="14"/>
      <c r="N43" s="14"/>
      <c r="O43" s="14"/>
      <c r="P43" s="14"/>
      <c r="Q43" s="14"/>
      <c r="R43" s="14"/>
      <c r="V43" s="185"/>
    </row>
    <row r="44" spans="1:22" ht="18" customHeight="1">
      <c r="A44" s="184"/>
      <c r="B44" s="14"/>
      <c r="C44" s="14"/>
      <c r="D44" s="102"/>
      <c r="E44" s="218"/>
      <c r="F44" s="218"/>
      <c r="G44" s="211"/>
      <c r="H44" s="218"/>
      <c r="I44" s="14"/>
      <c r="J44" s="14"/>
      <c r="K44" s="14"/>
      <c r="L44" s="14"/>
      <c r="M44" s="14"/>
      <c r="N44" s="14"/>
      <c r="O44" s="14"/>
      <c r="P44" s="14"/>
      <c r="Q44" s="14"/>
      <c r="R44" s="14"/>
      <c r="V44" s="185"/>
    </row>
    <row r="45" spans="1:22" ht="18" customHeight="1">
      <c r="A45" s="184"/>
      <c r="B45" s="14"/>
      <c r="C45" s="14"/>
      <c r="D45" s="102"/>
      <c r="E45" s="218"/>
      <c r="F45" s="218"/>
      <c r="G45" s="211"/>
      <c r="H45" s="218"/>
      <c r="I45" s="14"/>
      <c r="J45" s="14"/>
      <c r="K45" s="14"/>
      <c r="L45" s="14"/>
      <c r="M45" s="14"/>
      <c r="N45" s="14"/>
      <c r="O45" s="14"/>
      <c r="P45" s="14"/>
      <c r="Q45" s="14"/>
      <c r="R45" s="14"/>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2" s="14" customFormat="1" ht="18" customHeight="1">
      <c r="A47" s="135"/>
      <c r="B47" s="273"/>
      <c r="C47" s="273"/>
      <c r="D47" s="273"/>
      <c r="E47" s="273"/>
      <c r="F47" s="273"/>
      <c r="G47" s="273"/>
      <c r="H47" s="273"/>
      <c r="I47" s="273"/>
      <c r="J47" s="273"/>
      <c r="K47" s="273"/>
      <c r="L47" s="273"/>
      <c r="M47" s="273"/>
      <c r="N47" s="273"/>
      <c r="O47" s="273"/>
      <c r="P47" s="273"/>
      <c r="Q47" s="274"/>
      <c r="R47" s="138"/>
      <c r="S47" s="275"/>
      <c r="T47" s="273"/>
      <c r="U47" s="273"/>
      <c r="V47" s="276"/>
    </row>
    <row r="48" spans="1:22" ht="18" customHeight="1">
      <c r="A48" s="193" t="s">
        <v>829</v>
      </c>
      <c r="B48" s="197"/>
      <c r="C48" s="197"/>
      <c r="D48" s="197"/>
      <c r="E48" s="14"/>
      <c r="F48" s="14"/>
      <c r="G48" s="14"/>
      <c r="H48" s="14"/>
      <c r="I48" s="14"/>
      <c r="J48" s="14"/>
      <c r="K48" s="14"/>
      <c r="L48" s="14"/>
      <c r="M48" s="14"/>
      <c r="N48" s="14"/>
      <c r="O48" s="14"/>
      <c r="P48" s="27"/>
      <c r="Q48" s="28"/>
      <c r="T48" s="14"/>
      <c r="U48" s="14"/>
      <c r="V48" s="185"/>
    </row>
    <row r="49" spans="1:22" ht="18" customHeight="1">
      <c r="A49" s="193"/>
      <c r="B49" s="197"/>
      <c r="C49" s="197"/>
      <c r="D49" s="197"/>
      <c r="E49" s="14"/>
      <c r="F49" s="14"/>
      <c r="G49" s="14"/>
      <c r="H49" s="14"/>
      <c r="I49" s="14"/>
      <c r="J49" s="14"/>
      <c r="K49" s="14"/>
      <c r="L49" s="14"/>
      <c r="M49" s="14"/>
      <c r="N49" s="14"/>
      <c r="O49" s="14"/>
      <c r="P49" s="27"/>
      <c r="Q49" s="28"/>
      <c r="T49" s="14"/>
      <c r="U49" s="14"/>
      <c r="V49" s="185"/>
    </row>
    <row r="50" spans="1:22" ht="18" customHeight="1">
      <c r="A50" s="96"/>
      <c r="B50" s="197" t="s">
        <v>826</v>
      </c>
      <c r="C50" s="197"/>
      <c r="D50" s="14"/>
      <c r="E50" s="14"/>
      <c r="F50" s="14"/>
      <c r="G50" s="14"/>
      <c r="H50" s="14"/>
      <c r="I50" s="14"/>
      <c r="J50" s="14"/>
      <c r="K50" s="14"/>
      <c r="L50" s="14"/>
      <c r="M50" s="14"/>
      <c r="N50" s="14"/>
      <c r="O50" s="14"/>
      <c r="P50" s="14"/>
      <c r="Q50" s="14"/>
      <c r="R50" s="14"/>
      <c r="S50" s="14"/>
      <c r="T50" s="14"/>
      <c r="U50" s="14"/>
      <c r="V50" s="185"/>
    </row>
    <row r="51" spans="1:22" ht="18" customHeight="1">
      <c r="A51" s="96"/>
      <c r="B51" s="14"/>
      <c r="C51" s="14"/>
      <c r="D51" s="14"/>
      <c r="E51" s="14"/>
      <c r="F51" s="244" t="s">
        <v>475</v>
      </c>
      <c r="G51" s="28" t="str">
        <f>IF(E52&gt;H52, "&gt;","&lt;")</f>
        <v>&gt;</v>
      </c>
      <c r="H51" s="14" t="s">
        <v>477</v>
      </c>
      <c r="I51" s="14"/>
      <c r="J51" s="14"/>
      <c r="K51" s="14"/>
      <c r="L51" s="14" t="s">
        <v>830</v>
      </c>
      <c r="M51" s="14"/>
      <c r="N51" s="14"/>
      <c r="O51" s="14"/>
      <c r="P51" s="14"/>
      <c r="Q51" s="14"/>
      <c r="R51" s="14"/>
      <c r="S51" s="14"/>
      <c r="T51" s="14"/>
      <c r="U51" s="14"/>
      <c r="V51" s="185"/>
    </row>
    <row r="52" spans="1:22" ht="18" customHeight="1">
      <c r="A52" s="96"/>
      <c r="B52" s="14"/>
      <c r="C52" s="14"/>
      <c r="D52" s="14"/>
      <c r="E52" s="834">
        <f>H13</f>
        <v>750</v>
      </c>
      <c r="F52" s="834"/>
      <c r="G52" s="28" t="str">
        <f>G51</f>
        <v>&gt;</v>
      </c>
      <c r="H52" s="692">
        <f>E37</f>
        <v>61.770224400000004</v>
      </c>
      <c r="I52" s="692"/>
      <c r="J52" s="14"/>
      <c r="K52" s="14"/>
      <c r="L52" s="14"/>
      <c r="M52" s="14"/>
      <c r="N52" s="14"/>
      <c r="O52" s="14"/>
      <c r="P52" s="14"/>
      <c r="Q52" s="14"/>
      <c r="R52" s="14"/>
      <c r="S52" s="14"/>
      <c r="T52" s="14"/>
      <c r="U52" s="14"/>
      <c r="V52" s="185"/>
    </row>
    <row r="53" spans="1:22" ht="18" customHeight="1">
      <c r="A53" s="184"/>
      <c r="D53" s="211"/>
      <c r="E53" s="218"/>
      <c r="F53" s="199" t="s">
        <v>831</v>
      </c>
      <c r="G53" s="211"/>
      <c r="H53" s="281" t="s">
        <v>832</v>
      </c>
      <c r="J53" s="28" t="s">
        <v>833</v>
      </c>
      <c r="K53" s="18" t="str">
        <f>IF(G52="&gt;", "Satisfied", "Not Satisfied")</f>
        <v>Satisfied</v>
      </c>
      <c r="P53" s="14"/>
      <c r="Q53" s="14"/>
      <c r="R53" s="14"/>
      <c r="S53" s="14"/>
      <c r="T53" s="14"/>
      <c r="U53" s="14"/>
      <c r="V53" s="185"/>
    </row>
    <row r="54" spans="1:22" ht="18" customHeight="1">
      <c r="A54" s="96"/>
      <c r="B54" s="197" t="s">
        <v>828</v>
      </c>
      <c r="C54" s="197"/>
      <c r="D54" s="14"/>
      <c r="E54" s="14"/>
      <c r="F54" s="14"/>
      <c r="G54" s="14"/>
      <c r="H54" s="14"/>
      <c r="I54" s="14"/>
      <c r="J54" s="14"/>
      <c r="K54" s="14"/>
      <c r="L54" s="14"/>
      <c r="M54" s="14"/>
      <c r="N54" s="14"/>
      <c r="O54" s="14"/>
      <c r="P54" s="120"/>
      <c r="Q54" s="296"/>
      <c r="V54" s="185"/>
    </row>
    <row r="55" spans="1:22" ht="18" customHeight="1">
      <c r="A55" s="96"/>
      <c r="B55" s="14"/>
      <c r="C55" s="14"/>
      <c r="D55" s="14"/>
      <c r="E55" s="14"/>
      <c r="F55" s="244" t="s">
        <v>475</v>
      </c>
      <c r="G55" s="28" t="str">
        <f>IF(E56&gt;H56, "&gt;","&lt;")</f>
        <v>&gt;</v>
      </c>
      <c r="H55" s="14" t="s">
        <v>477</v>
      </c>
      <c r="I55" s="14"/>
      <c r="J55" s="14"/>
      <c r="K55" s="14"/>
      <c r="L55" s="14" t="s">
        <v>834</v>
      </c>
      <c r="M55" s="14"/>
      <c r="N55" s="14"/>
      <c r="O55" s="14"/>
      <c r="P55" s="301"/>
      <c r="Q55" s="461"/>
      <c r="V55" s="185"/>
    </row>
    <row r="56" spans="1:22" ht="18" customHeight="1">
      <c r="A56" s="96"/>
      <c r="B56" s="14"/>
      <c r="C56" s="14"/>
      <c r="D56" s="14"/>
      <c r="E56" s="834">
        <f>H13</f>
        <v>750</v>
      </c>
      <c r="F56" s="834"/>
      <c r="G56" s="28" t="str">
        <f>G55</f>
        <v>&gt;</v>
      </c>
      <c r="H56" s="692">
        <f>E43</f>
        <v>123.54044880000001</v>
      </c>
      <c r="I56" s="692"/>
      <c r="J56" s="14"/>
      <c r="K56" s="14"/>
      <c r="L56" s="14"/>
      <c r="M56" s="14"/>
      <c r="N56" s="14"/>
      <c r="O56" s="14"/>
      <c r="V56" s="185"/>
    </row>
    <row r="57" spans="1:22" ht="18" customHeight="1">
      <c r="A57" s="184"/>
      <c r="D57" s="211"/>
      <c r="E57" s="14"/>
      <c r="F57" s="199" t="s">
        <v>831</v>
      </c>
      <c r="G57" s="211"/>
      <c r="H57" s="281" t="s">
        <v>828</v>
      </c>
      <c r="J57" s="28" t="s">
        <v>833</v>
      </c>
      <c r="K57" s="18" t="str">
        <f>IF(G56="&gt;", "Satisfied", "Not Satisfied")</f>
        <v>Satisfied</v>
      </c>
      <c r="P57" s="232"/>
      <c r="Q57" s="232"/>
      <c r="R57" s="232"/>
      <c r="S57" s="232"/>
      <c r="T57" s="232"/>
      <c r="U57" s="232"/>
      <c r="V57" s="233"/>
    </row>
    <row r="58" spans="1:22" ht="18" customHeight="1">
      <c r="A58" s="184"/>
      <c r="H58" s="28"/>
      <c r="I58" s="28"/>
      <c r="J58" s="28"/>
      <c r="K58" s="28"/>
      <c r="L58" s="28"/>
      <c r="M58" s="28"/>
      <c r="N58" s="28"/>
      <c r="O58" s="28"/>
      <c r="P58" s="232"/>
      <c r="Q58" s="232"/>
      <c r="R58" s="232"/>
      <c r="S58" s="232"/>
      <c r="T58" s="232"/>
      <c r="U58" s="232"/>
      <c r="V58" s="233"/>
    </row>
    <row r="59" spans="1:22" ht="18" customHeight="1">
      <c r="A59" s="96"/>
      <c r="B59" s="14"/>
      <c r="C59" s="14"/>
      <c r="D59" s="14"/>
      <c r="E59" s="14"/>
      <c r="F59" s="244" t="s">
        <v>478</v>
      </c>
      <c r="G59" s="14"/>
      <c r="H59" s="18" t="str">
        <f>IF(AND(E52&gt;H52,E56&gt;H56),"Suitably Dimentioned","Under Dimentioned")</f>
        <v>Suitably Dimentioned</v>
      </c>
      <c r="I59" s="18"/>
      <c r="J59" s="18"/>
      <c r="K59" s="18"/>
      <c r="L59" s="18"/>
      <c r="M59" s="18"/>
      <c r="N59" s="14"/>
      <c r="O59" s="14"/>
      <c r="V59" s="185"/>
    </row>
    <row r="60" spans="1:22" ht="18" customHeight="1">
      <c r="A60" s="184"/>
      <c r="B60" s="27"/>
      <c r="C60" s="27"/>
      <c r="D60" s="27"/>
      <c r="E60" s="28"/>
      <c r="F60" s="27"/>
      <c r="G60" s="28"/>
      <c r="H60" s="27"/>
      <c r="I60" s="28"/>
      <c r="J60" s="27"/>
      <c r="K60" s="27"/>
      <c r="L60" s="27"/>
      <c r="M60" s="27"/>
      <c r="V60" s="185"/>
    </row>
    <row r="61" spans="1:22" ht="18" customHeight="1">
      <c r="A61" s="184"/>
      <c r="C61" s="27"/>
      <c r="D61" s="245"/>
      <c r="E61" s="221"/>
      <c r="F61" s="245"/>
      <c r="G61" s="222"/>
      <c r="H61" s="245"/>
      <c r="I61" s="245"/>
      <c r="J61" s="245"/>
      <c r="K61" s="245"/>
      <c r="L61" s="245"/>
      <c r="M61" s="27"/>
      <c r="V61" s="185"/>
    </row>
    <row r="62" spans="1:22" ht="18" customHeight="1">
      <c r="A62" s="184"/>
      <c r="C62" s="27"/>
      <c r="D62" s="204"/>
      <c r="E62" s="204"/>
      <c r="G62" s="18"/>
      <c r="V62" s="185"/>
    </row>
    <row r="63" spans="1:22" s="14" customFormat="1" ht="18" customHeight="1">
      <c r="A63" s="96"/>
      <c r="Q63" s="120"/>
      <c r="R63" s="28"/>
      <c r="S63" s="525"/>
      <c r="V63" s="381"/>
    </row>
    <row r="64" spans="1:22" s="14" customFormat="1" ht="18" customHeight="1">
      <c r="A64" s="96"/>
      <c r="Q64" s="120"/>
      <c r="R64" s="28"/>
      <c r="S64" s="525"/>
      <c r="V64" s="381"/>
    </row>
    <row r="65" spans="1:22" s="14" customFormat="1" ht="18" customHeight="1">
      <c r="A65" s="96"/>
      <c r="Q65" s="120"/>
      <c r="R65" s="28"/>
      <c r="S65" s="525"/>
      <c r="V65" s="381"/>
    </row>
    <row r="66" spans="1:22" s="14" customFormat="1" ht="18" customHeight="1">
      <c r="A66" s="96"/>
      <c r="Q66" s="120"/>
      <c r="R66" s="28"/>
      <c r="S66" s="525"/>
      <c r="V66" s="381"/>
    </row>
    <row r="67" spans="1:22" s="14" customFormat="1" ht="18" customHeight="1">
      <c r="A67" s="96"/>
      <c r="Q67" s="120"/>
      <c r="R67" s="28"/>
      <c r="S67" s="525"/>
      <c r="V67" s="381"/>
    </row>
    <row r="68" spans="1:22" s="14" customFormat="1" ht="18" customHeight="1">
      <c r="A68" s="96"/>
      <c r="Q68" s="120"/>
      <c r="R68" s="28"/>
      <c r="S68" s="525"/>
      <c r="V68" s="381"/>
    </row>
    <row r="69" spans="1:22" s="14" customFormat="1" ht="18" customHeight="1">
      <c r="A69" s="96"/>
      <c r="Q69" s="120"/>
      <c r="R69" s="28"/>
      <c r="S69" s="525"/>
      <c r="V69" s="381"/>
    </row>
    <row r="70" spans="1:22" s="14" customFormat="1" ht="18" customHeight="1">
      <c r="A70" s="96"/>
      <c r="Q70" s="120"/>
      <c r="R70" s="28"/>
      <c r="S70" s="525"/>
      <c r="V70" s="381"/>
    </row>
    <row r="71" spans="1:22" s="14" customFormat="1" ht="18" customHeight="1">
      <c r="A71" s="96"/>
      <c r="Q71" s="120"/>
      <c r="R71" s="28"/>
      <c r="S71" s="525"/>
      <c r="V71" s="381"/>
    </row>
    <row r="72" spans="1:22" s="14" customFormat="1" ht="18" customHeight="1">
      <c r="A72" s="96"/>
      <c r="Q72" s="120"/>
      <c r="R72" s="28"/>
      <c r="S72" s="525"/>
      <c r="V72" s="381"/>
    </row>
    <row r="73" spans="1:22" s="14" customFormat="1" ht="18" customHeight="1">
      <c r="A73" s="96"/>
      <c r="Q73" s="120"/>
      <c r="R73" s="28"/>
      <c r="S73" s="525"/>
      <c r="V73" s="381"/>
    </row>
    <row r="74" spans="1:22" s="14" customFormat="1" ht="18" customHeight="1">
      <c r="A74" s="96"/>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96"/>
      <c r="Q85" s="120"/>
      <c r="R85" s="28"/>
      <c r="S85" s="525"/>
      <c r="V85" s="381"/>
    </row>
    <row r="86" spans="1:23" s="14" customFormat="1" ht="18" customHeight="1">
      <c r="A86" s="96"/>
      <c r="Q86" s="120"/>
      <c r="R86" s="28"/>
      <c r="S86" s="525"/>
      <c r="V86" s="381"/>
    </row>
    <row r="87" spans="1:23" s="14" customFormat="1" ht="18"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row r="88" spans="1:23" ht="18" hidden="1"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hidden="1" customHeight="1">
      <c r="A89" s="184"/>
      <c r="B89" s="854" t="str">
        <f>B7</f>
        <v>T1</v>
      </c>
      <c r="C89" s="831"/>
      <c r="D89" s="854" t="str">
        <f>D7</f>
        <v>Core2</v>
      </c>
      <c r="E89" s="831"/>
      <c r="F89" s="455"/>
      <c r="H89" s="684" t="s">
        <v>711</v>
      </c>
      <c r="I89" s="684"/>
      <c r="J89" s="684"/>
      <c r="K89" s="684"/>
      <c r="L89" s="684"/>
      <c r="M89" s="684"/>
      <c r="P89" s="186"/>
      <c r="S89" s="187" t="s">
        <v>387</v>
      </c>
      <c r="T89" s="854" t="str">
        <f>T7</f>
        <v>P743</v>
      </c>
      <c r="U89" s="831"/>
      <c r="V89" s="185"/>
    </row>
    <row r="90" spans="1:23" ht="18" hidden="1" customHeight="1">
      <c r="A90" s="456"/>
      <c r="F90" s="455"/>
      <c r="T90" s="854">
        <f>T8</f>
        <v>0</v>
      </c>
      <c r="U90" s="831"/>
      <c r="V90" s="185"/>
    </row>
    <row r="91" spans="1:23" ht="18" hidden="1" customHeight="1">
      <c r="A91" s="184"/>
      <c r="H91" s="708" t="s">
        <v>390</v>
      </c>
      <c r="I91" s="708"/>
      <c r="J91" s="789" t="s">
        <v>391</v>
      </c>
      <c r="K91" s="789"/>
      <c r="L91" s="790" t="s">
        <v>392</v>
      </c>
      <c r="M91" s="790"/>
      <c r="T91" s="854">
        <f>T9</f>
        <v>0</v>
      </c>
      <c r="U91" s="831"/>
      <c r="V91" s="185"/>
    </row>
    <row r="92" spans="1:23" ht="18" hidden="1" customHeight="1">
      <c r="A92" s="184"/>
      <c r="B92" s="47" t="s">
        <v>393</v>
      </c>
      <c r="H92" s="854">
        <f>H10</f>
        <v>2500</v>
      </c>
      <c r="I92" s="831"/>
      <c r="J92" s="863" t="str">
        <f>J10</f>
        <v>-</v>
      </c>
      <c r="K92" s="864"/>
      <c r="L92" s="854" t="str">
        <f>L10</f>
        <v>-</v>
      </c>
      <c r="M92" s="831"/>
      <c r="N92" s="191" t="s">
        <v>342</v>
      </c>
      <c r="O92" s="256">
        <f>O10</f>
        <v>1</v>
      </c>
      <c r="P92" s="27" t="s">
        <v>8</v>
      </c>
      <c r="R92" s="255"/>
      <c r="S92" s="255"/>
      <c r="V92" s="185"/>
    </row>
    <row r="93" spans="1:23" ht="18" hidden="1" customHeight="1">
      <c r="A93" s="184"/>
      <c r="B93" s="47" t="s">
        <v>394</v>
      </c>
      <c r="J93" s="854" t="str">
        <f>H11</f>
        <v>PX-B</v>
      </c>
      <c r="K93" s="831"/>
      <c r="V93" s="185"/>
    </row>
    <row r="94" spans="1:23" ht="18" hidden="1" customHeight="1">
      <c r="A94" s="184"/>
      <c r="B94" s="47" t="s">
        <v>396</v>
      </c>
      <c r="I94" s="120" t="s">
        <v>497</v>
      </c>
      <c r="J94" s="1224"/>
      <c r="K94" s="1225"/>
      <c r="L94" s="192" t="s">
        <v>333</v>
      </c>
      <c r="V94" s="185"/>
    </row>
    <row r="95" spans="1:23" ht="18" hidden="1" customHeight="1">
      <c r="A95" s="184"/>
      <c r="B95" s="47" t="s">
        <v>398</v>
      </c>
      <c r="I95" s="120" t="s">
        <v>498</v>
      </c>
      <c r="J95" s="1075"/>
      <c r="K95" s="1076"/>
      <c r="L95" s="14" t="s">
        <v>305</v>
      </c>
      <c r="U95" s="18"/>
      <c r="V95" s="185"/>
      <c r="W95" s="30" t="str">
        <f>H144</f>
        <v>Under Dimentioned</v>
      </c>
    </row>
    <row r="96" spans="1:23" ht="18" hidden="1" customHeight="1">
      <c r="A96" s="184"/>
      <c r="B96" s="14" t="s">
        <v>401</v>
      </c>
      <c r="I96" s="120" t="s">
        <v>402</v>
      </c>
      <c r="J96" s="1075"/>
      <c r="K96" s="1076"/>
      <c r="L96" s="14" t="s">
        <v>403</v>
      </c>
      <c r="V96" s="185"/>
    </row>
    <row r="97" spans="1:22" ht="18" hidden="1" customHeight="1">
      <c r="A97" s="184"/>
      <c r="V97" s="185"/>
    </row>
    <row r="98" spans="1:22" ht="18" hidden="1" customHeight="1">
      <c r="A98" s="193" t="s">
        <v>404</v>
      </c>
      <c r="V98" s="185"/>
    </row>
    <row r="99" spans="1:22" ht="18" hidden="1" customHeight="1">
      <c r="A99" s="184"/>
      <c r="V99" s="185"/>
    </row>
    <row r="100" spans="1:22" ht="18" hidden="1" customHeight="1">
      <c r="A100" s="184"/>
      <c r="B100" s="135" t="s">
        <v>405</v>
      </c>
      <c r="C100" s="273"/>
      <c r="D100" s="139" t="str">
        <f>T89</f>
        <v>P743</v>
      </c>
      <c r="E100" s="227"/>
      <c r="F100" s="227"/>
      <c r="G100" s="227"/>
      <c r="H100" s="138"/>
      <c r="I100" s="260" t="s">
        <v>127</v>
      </c>
      <c r="J100" s="696">
        <f>J18</f>
        <v>0.1</v>
      </c>
      <c r="K100" s="722"/>
      <c r="L100" s="3" t="s">
        <v>157</v>
      </c>
      <c r="N100" s="197"/>
      <c r="V100" s="185"/>
    </row>
    <row r="101" spans="1:22" ht="18" hidden="1" customHeight="1">
      <c r="A101" s="184"/>
      <c r="B101" s="96" t="s">
        <v>405</v>
      </c>
      <c r="C101" s="14"/>
      <c r="D101" s="47">
        <f>T90</f>
        <v>0</v>
      </c>
      <c r="E101" s="14"/>
      <c r="G101" s="199"/>
      <c r="H101" s="27"/>
      <c r="I101" s="101" t="s">
        <v>127</v>
      </c>
      <c r="J101" s="696">
        <f>J19</f>
        <v>0</v>
      </c>
      <c r="K101" s="722"/>
      <c r="L101" s="202" t="s">
        <v>157</v>
      </c>
      <c r="N101" s="28"/>
      <c r="O101" s="27"/>
      <c r="P101" s="28"/>
      <c r="Q101" s="102"/>
      <c r="R101" s="28"/>
      <c r="S101" s="27"/>
      <c r="T101" s="28"/>
      <c r="V101" s="185"/>
    </row>
    <row r="102" spans="1:22" ht="18" hidden="1" customHeight="1">
      <c r="A102" s="184"/>
      <c r="B102" s="96" t="s">
        <v>405</v>
      </c>
      <c r="C102" s="14"/>
      <c r="D102" s="47">
        <f>T91</f>
        <v>0</v>
      </c>
      <c r="E102" s="14"/>
      <c r="G102" s="199"/>
      <c r="H102" s="27"/>
      <c r="I102" s="101" t="s">
        <v>127</v>
      </c>
      <c r="J102" s="696">
        <f>J20</f>
        <v>0</v>
      </c>
      <c r="K102" s="722"/>
      <c r="L102" s="202" t="s">
        <v>157</v>
      </c>
      <c r="N102" s="27"/>
      <c r="O102" s="27"/>
      <c r="P102" s="27"/>
      <c r="Q102" s="102"/>
      <c r="R102" s="27"/>
      <c r="S102" s="27"/>
      <c r="T102" s="27"/>
      <c r="V102" s="185"/>
    </row>
    <row r="103" spans="1:22" ht="18" hidden="1" customHeight="1">
      <c r="A103" s="184"/>
      <c r="B103" s="184" t="s">
        <v>412</v>
      </c>
      <c r="C103" s="14"/>
      <c r="D103" s="14"/>
      <c r="E103" s="14"/>
      <c r="H103" s="27"/>
      <c r="I103" s="101" t="s">
        <v>127</v>
      </c>
      <c r="J103" s="696">
        <f>J21</f>
        <v>1.0770224400000001</v>
      </c>
      <c r="K103" s="722"/>
      <c r="L103" s="297" t="s">
        <v>157</v>
      </c>
      <c r="N103" s="27"/>
      <c r="O103" s="27"/>
      <c r="P103" s="204"/>
      <c r="R103" s="192"/>
      <c r="S103" s="27"/>
      <c r="T103" s="27"/>
      <c r="V103" s="185"/>
    </row>
    <row r="104" spans="1:22" ht="18" hidden="1" customHeight="1">
      <c r="A104" s="184"/>
      <c r="B104" s="1" t="s">
        <v>413</v>
      </c>
      <c r="C104" s="2"/>
      <c r="D104" s="2"/>
      <c r="E104" s="2"/>
      <c r="F104" s="196"/>
      <c r="G104" s="196"/>
      <c r="H104" s="224" t="s">
        <v>512</v>
      </c>
      <c r="I104" s="183" t="s">
        <v>127</v>
      </c>
      <c r="J104" s="722">
        <f>SUM(J100:J103)</f>
        <v>1.1770224400000002</v>
      </c>
      <c r="K104" s="958"/>
      <c r="L104" s="3" t="s">
        <v>157</v>
      </c>
      <c r="V104" s="185"/>
    </row>
    <row r="105" spans="1:22" ht="18" hidden="1" customHeight="1">
      <c r="A105" s="184"/>
      <c r="B105" s="47"/>
      <c r="C105" s="47"/>
      <c r="D105" s="47"/>
      <c r="E105" s="47"/>
      <c r="H105" s="27"/>
      <c r="I105" s="28"/>
      <c r="J105" s="199"/>
      <c r="L105" s="47"/>
      <c r="O105" s="27"/>
      <c r="P105" s="211"/>
      <c r="Q105" s="27"/>
      <c r="R105" s="204"/>
      <c r="S105" s="27"/>
      <c r="V105" s="185"/>
    </row>
    <row r="106" spans="1:22" ht="18" hidden="1" customHeight="1">
      <c r="A106" s="168"/>
      <c r="B106" s="5"/>
      <c r="C106" s="47" t="s">
        <v>817</v>
      </c>
      <c r="D106" s="14"/>
      <c r="E106" s="14"/>
      <c r="F106" s="14"/>
      <c r="G106" s="14"/>
      <c r="H106" s="279"/>
      <c r="I106" s="120"/>
      <c r="J106" s="279"/>
      <c r="K106" s="279"/>
      <c r="L106" s="14"/>
      <c r="M106" s="14"/>
      <c r="N106" s="14"/>
      <c r="O106" s="14"/>
      <c r="P106" s="14"/>
      <c r="Q106" s="120" t="s">
        <v>818</v>
      </c>
      <c r="R106" s="102" t="s">
        <v>127</v>
      </c>
      <c r="S106" s="854">
        <f>S24</f>
        <v>50000</v>
      </c>
      <c r="T106" s="831"/>
      <c r="U106" s="47" t="s">
        <v>8</v>
      </c>
      <c r="V106" s="185"/>
    </row>
    <row r="107" spans="1:22" ht="18" hidden="1" customHeight="1">
      <c r="A107" s="168"/>
      <c r="B107" s="5"/>
      <c r="C107" s="47" t="s">
        <v>654</v>
      </c>
      <c r="D107" s="14"/>
      <c r="E107" s="14"/>
      <c r="F107" s="18"/>
      <c r="G107" s="18"/>
      <c r="H107" s="279"/>
      <c r="I107" s="120"/>
      <c r="J107" s="279"/>
      <c r="K107" s="279"/>
      <c r="L107" s="14"/>
      <c r="M107" s="14"/>
      <c r="N107" s="14"/>
      <c r="O107" s="14"/>
      <c r="P107" s="14"/>
      <c r="Q107" s="120" t="s">
        <v>423</v>
      </c>
      <c r="R107" s="102" t="s">
        <v>127</v>
      </c>
      <c r="S107" s="689">
        <f>H92</f>
        <v>2500</v>
      </c>
      <c r="T107" s="689"/>
      <c r="U107" s="14" t="s">
        <v>8</v>
      </c>
      <c r="V107" s="185"/>
    </row>
    <row r="108" spans="1:22" ht="18" hidden="1" customHeight="1">
      <c r="A108" s="168"/>
      <c r="B108" s="5"/>
      <c r="C108" s="47" t="s">
        <v>819</v>
      </c>
      <c r="E108" s="14"/>
      <c r="F108" s="18"/>
      <c r="G108" s="18"/>
      <c r="H108" s="279"/>
      <c r="I108" s="120"/>
      <c r="J108" s="279"/>
      <c r="K108" s="279"/>
      <c r="L108" s="14"/>
      <c r="M108" s="14"/>
      <c r="N108" s="14"/>
      <c r="O108" s="14"/>
      <c r="P108" s="14"/>
      <c r="Q108" s="120" t="s">
        <v>820</v>
      </c>
      <c r="R108" s="28" t="s">
        <v>127</v>
      </c>
      <c r="S108" s="692">
        <f>S106/S107*O92</f>
        <v>20</v>
      </c>
      <c r="T108" s="692"/>
      <c r="U108" s="14" t="s">
        <v>8</v>
      </c>
      <c r="V108" s="185"/>
    </row>
    <row r="109" spans="1:22" ht="18" hidden="1" customHeight="1">
      <c r="A109" s="168"/>
      <c r="B109" s="5"/>
      <c r="C109" s="47" t="s">
        <v>821</v>
      </c>
      <c r="D109" s="14"/>
      <c r="E109" s="14"/>
      <c r="F109" s="18"/>
      <c r="G109" s="18"/>
      <c r="H109" s="279"/>
      <c r="I109" s="120"/>
      <c r="J109" s="279"/>
      <c r="K109" s="279"/>
      <c r="L109" s="14"/>
      <c r="M109" s="14"/>
      <c r="N109" s="14"/>
      <c r="O109" s="14"/>
      <c r="P109" s="14"/>
      <c r="Q109" s="120" t="s">
        <v>689</v>
      </c>
      <c r="R109" s="28" t="s">
        <v>127</v>
      </c>
      <c r="S109" s="692">
        <f>J104/O92*O92</f>
        <v>1.1770224400000002</v>
      </c>
      <c r="T109" s="692"/>
      <c r="U109" s="192" t="s">
        <v>333</v>
      </c>
      <c r="V109" s="185"/>
    </row>
    <row r="110" spans="1:22" ht="18" hidden="1" customHeight="1">
      <c r="A110" s="168"/>
      <c r="B110" s="5"/>
      <c r="C110" s="47" t="s">
        <v>822</v>
      </c>
      <c r="Q110" s="120" t="s">
        <v>823</v>
      </c>
      <c r="R110" s="28" t="s">
        <v>127</v>
      </c>
      <c r="S110" s="854">
        <f>S28</f>
        <v>50000</v>
      </c>
      <c r="T110" s="831"/>
      <c r="U110" s="14" t="s">
        <v>8</v>
      </c>
      <c r="V110" s="185"/>
    </row>
    <row r="111" spans="1:22" ht="18" hidden="1" customHeight="1">
      <c r="A111" s="299"/>
      <c r="B111" s="279"/>
      <c r="C111" s="47" t="s">
        <v>824</v>
      </c>
      <c r="Q111" s="244" t="s">
        <v>825</v>
      </c>
      <c r="R111" s="28" t="s">
        <v>127</v>
      </c>
      <c r="S111" s="795">
        <f>S110/S107</f>
        <v>20</v>
      </c>
      <c r="T111" s="795"/>
      <c r="U111" s="14" t="s">
        <v>8</v>
      </c>
      <c r="V111" s="300"/>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hidden="1" customHeight="1">
      <c r="A113" s="193" t="s">
        <v>755</v>
      </c>
      <c r="B113" s="14"/>
      <c r="C113" s="14"/>
      <c r="D113" s="14"/>
      <c r="E113" s="14"/>
      <c r="F113" s="14"/>
      <c r="G113" s="14"/>
      <c r="H113" s="14"/>
      <c r="K113" s="14"/>
      <c r="T113" s="14"/>
      <c r="U113" s="14"/>
      <c r="V113" s="185"/>
    </row>
    <row r="114" spans="1:22" ht="18" hidden="1" customHeight="1">
      <c r="A114" s="96"/>
      <c r="B114" s="14"/>
      <c r="C114" s="14"/>
      <c r="D114" s="14"/>
      <c r="E114" s="14"/>
      <c r="F114" s="14"/>
      <c r="G114" s="14"/>
      <c r="H114" s="14"/>
      <c r="K114" s="14"/>
      <c r="T114" s="14"/>
      <c r="U114" s="14"/>
      <c r="V114" s="185"/>
    </row>
    <row r="115" spans="1:22" ht="18" hidden="1" customHeight="1">
      <c r="A115" s="193" t="s">
        <v>826</v>
      </c>
      <c r="H115" s="28"/>
      <c r="I115" s="28"/>
      <c r="J115" s="28"/>
      <c r="K115" s="28"/>
      <c r="T115" s="14"/>
      <c r="U115" s="14"/>
      <c r="V115" s="185"/>
    </row>
    <row r="116" spans="1:22" ht="18" hidden="1" customHeight="1">
      <c r="A116" s="193"/>
      <c r="H116" s="28"/>
      <c r="I116" s="28"/>
      <c r="J116" s="28"/>
      <c r="K116" s="28"/>
      <c r="T116" s="14"/>
      <c r="U116" s="14"/>
      <c r="V116" s="185"/>
    </row>
    <row r="117" spans="1:22" ht="18" hidden="1" customHeight="1">
      <c r="A117" s="184"/>
      <c r="B117" s="689" t="s">
        <v>473</v>
      </c>
      <c r="C117" s="689"/>
      <c r="D117" s="28" t="s">
        <v>827</v>
      </c>
      <c r="E117" s="28">
        <v>0.5</v>
      </c>
      <c r="F117" s="28" t="s">
        <v>315</v>
      </c>
      <c r="G117" s="689" t="s">
        <v>820</v>
      </c>
      <c r="H117" s="689"/>
      <c r="I117" s="28" t="s">
        <v>672</v>
      </c>
      <c r="J117" s="689" t="s">
        <v>420</v>
      </c>
      <c r="K117" s="689"/>
      <c r="L117" s="28" t="s">
        <v>347</v>
      </c>
      <c r="M117" s="689" t="s">
        <v>689</v>
      </c>
      <c r="N117" s="689"/>
      <c r="O117" s="14" t="s">
        <v>350</v>
      </c>
      <c r="P117" s="14"/>
      <c r="Q117" s="14"/>
      <c r="R117" s="14"/>
      <c r="T117" s="14"/>
      <c r="U117" s="14"/>
      <c r="V117" s="185"/>
    </row>
    <row r="118" spans="1:22" ht="18" hidden="1" customHeight="1">
      <c r="A118" s="184"/>
      <c r="B118" s="14"/>
      <c r="C118" s="14"/>
      <c r="D118" s="102" t="s">
        <v>127</v>
      </c>
      <c r="E118" s="28">
        <v>0.5</v>
      </c>
      <c r="F118" s="28" t="s">
        <v>315</v>
      </c>
      <c r="G118" s="692">
        <f>S108</f>
        <v>20</v>
      </c>
      <c r="H118" s="689"/>
      <c r="I118" s="28" t="s">
        <v>672</v>
      </c>
      <c r="J118" s="689">
        <f>J94</f>
        <v>0</v>
      </c>
      <c r="K118" s="689"/>
      <c r="L118" s="28" t="s">
        <v>347</v>
      </c>
      <c r="M118" s="692">
        <f>S109</f>
        <v>1.1770224400000002</v>
      </c>
      <c r="N118" s="689"/>
      <c r="O118" s="14" t="s">
        <v>350</v>
      </c>
      <c r="S118" s="14"/>
      <c r="T118" s="14"/>
      <c r="U118" s="14"/>
      <c r="V118" s="185"/>
    </row>
    <row r="119" spans="1:22" ht="18" hidden="1" customHeight="1">
      <c r="A119" s="184"/>
      <c r="B119" s="14"/>
      <c r="C119" s="14"/>
      <c r="D119" s="102" t="s">
        <v>127</v>
      </c>
      <c r="E119" s="692">
        <f>E118*G118*(J118+M118)</f>
        <v>11.770224400000002</v>
      </c>
      <c r="F119" s="692"/>
      <c r="G119" s="211"/>
      <c r="H119" s="218"/>
      <c r="I119" s="14"/>
      <c r="J119" s="14"/>
      <c r="K119" s="14"/>
      <c r="L119" s="14"/>
      <c r="M119" s="14"/>
      <c r="N119" s="14"/>
      <c r="O119" s="14"/>
      <c r="P119" s="14"/>
      <c r="Q119" s="14"/>
      <c r="R119" s="14"/>
      <c r="V119" s="185"/>
    </row>
    <row r="120" spans="1:22" ht="18" hidden="1" customHeight="1">
      <c r="A120" s="184"/>
      <c r="B120" s="14"/>
      <c r="C120" s="14"/>
      <c r="D120" s="28"/>
      <c r="E120" s="218"/>
      <c r="F120" s="218"/>
      <c r="G120" s="211"/>
      <c r="H120" s="218"/>
      <c r="I120" s="14"/>
      <c r="J120" s="14"/>
      <c r="K120" s="14"/>
      <c r="L120" s="14"/>
      <c r="M120" s="14"/>
      <c r="N120" s="14"/>
      <c r="O120" s="14"/>
      <c r="P120" s="14"/>
      <c r="Q120" s="14"/>
      <c r="R120" s="14"/>
      <c r="V120" s="185"/>
    </row>
    <row r="121" spans="1:22" ht="18" hidden="1" customHeight="1">
      <c r="A121" s="193" t="s">
        <v>828</v>
      </c>
      <c r="B121" s="14"/>
      <c r="C121" s="14"/>
      <c r="D121" s="28"/>
      <c r="E121" s="218"/>
      <c r="F121" s="218"/>
      <c r="G121" s="211"/>
      <c r="H121" s="218"/>
      <c r="I121" s="14"/>
      <c r="J121" s="14"/>
      <c r="K121" s="14"/>
      <c r="L121" s="14"/>
      <c r="M121" s="14"/>
      <c r="N121" s="14"/>
      <c r="O121" s="14"/>
      <c r="P121" s="14"/>
      <c r="Q121" s="14"/>
      <c r="R121" s="14"/>
      <c r="V121" s="185"/>
    </row>
    <row r="122" spans="1:22" ht="18" hidden="1" customHeight="1">
      <c r="A122" s="184"/>
      <c r="B122" s="14"/>
      <c r="C122" s="14"/>
      <c r="D122" s="28"/>
      <c r="E122" s="218"/>
      <c r="F122" s="218"/>
      <c r="G122" s="211"/>
      <c r="H122" s="218"/>
      <c r="I122" s="14"/>
      <c r="J122" s="14"/>
      <c r="K122" s="14"/>
      <c r="L122" s="14"/>
      <c r="M122" s="14"/>
      <c r="N122" s="14"/>
      <c r="O122" s="14"/>
      <c r="P122" s="14"/>
      <c r="Q122" s="14"/>
      <c r="R122" s="14"/>
      <c r="V122" s="185"/>
    </row>
    <row r="123" spans="1:22" ht="18" hidden="1" customHeight="1">
      <c r="A123" s="184"/>
      <c r="B123" s="689" t="s">
        <v>473</v>
      </c>
      <c r="C123" s="689"/>
      <c r="D123" s="28" t="s">
        <v>827</v>
      </c>
      <c r="E123" s="689" t="s">
        <v>825</v>
      </c>
      <c r="F123" s="689"/>
      <c r="G123" s="28" t="s">
        <v>672</v>
      </c>
      <c r="H123" s="689" t="s">
        <v>420</v>
      </c>
      <c r="I123" s="689"/>
      <c r="J123" s="28" t="s">
        <v>347</v>
      </c>
      <c r="K123" s="689" t="s">
        <v>689</v>
      </c>
      <c r="L123" s="689"/>
      <c r="M123" s="14" t="s">
        <v>350</v>
      </c>
      <c r="P123" s="14"/>
      <c r="Q123" s="14"/>
      <c r="R123" s="14"/>
      <c r="V123" s="185"/>
    </row>
    <row r="124" spans="1:22" ht="18" hidden="1" customHeight="1">
      <c r="A124" s="184"/>
      <c r="B124" s="14"/>
      <c r="C124" s="14"/>
      <c r="D124" s="102" t="s">
        <v>127</v>
      </c>
      <c r="E124" s="692">
        <f>S111</f>
        <v>20</v>
      </c>
      <c r="F124" s="689"/>
      <c r="G124" s="28" t="s">
        <v>672</v>
      </c>
      <c r="H124" s="689">
        <f>J94</f>
        <v>0</v>
      </c>
      <c r="I124" s="689"/>
      <c r="J124" s="28" t="s">
        <v>347</v>
      </c>
      <c r="K124" s="692">
        <f>S109</f>
        <v>1.1770224400000002</v>
      </c>
      <c r="L124" s="689"/>
      <c r="M124" s="14" t="s">
        <v>350</v>
      </c>
      <c r="N124" s="14"/>
      <c r="O124" s="14"/>
      <c r="P124" s="14"/>
      <c r="Q124" s="14"/>
      <c r="R124" s="14"/>
      <c r="V124" s="185"/>
    </row>
    <row r="125" spans="1:22" ht="18" hidden="1" customHeight="1">
      <c r="A125" s="184"/>
      <c r="B125" s="14"/>
      <c r="C125" s="14"/>
      <c r="D125" s="102" t="s">
        <v>127</v>
      </c>
      <c r="E125" s="692">
        <f>E124*(H124+K124)</f>
        <v>23.540448800000004</v>
      </c>
      <c r="F125" s="692"/>
      <c r="G125" s="211"/>
      <c r="H125" s="218"/>
      <c r="I125" s="14"/>
      <c r="J125" s="14"/>
      <c r="K125" s="14"/>
      <c r="L125" s="14"/>
      <c r="M125" s="14"/>
      <c r="N125" s="14"/>
      <c r="O125" s="14"/>
      <c r="P125" s="14"/>
      <c r="Q125" s="14"/>
      <c r="R125" s="14"/>
      <c r="V125" s="185"/>
    </row>
    <row r="126" spans="1:22" ht="18" hidden="1" customHeight="1">
      <c r="A126" s="184"/>
      <c r="B126" s="14"/>
      <c r="C126" s="14"/>
      <c r="D126" s="102"/>
      <c r="E126" s="218"/>
      <c r="F126" s="218"/>
      <c r="G126" s="211"/>
      <c r="H126" s="218"/>
      <c r="I126" s="14"/>
      <c r="J126" s="14"/>
      <c r="K126" s="14"/>
      <c r="L126" s="14"/>
      <c r="M126" s="14"/>
      <c r="N126" s="14"/>
      <c r="O126" s="14"/>
      <c r="P126" s="14"/>
      <c r="Q126" s="14"/>
      <c r="R126" s="14"/>
      <c r="V126" s="185"/>
    </row>
    <row r="127" spans="1:22" ht="18" hidden="1" customHeight="1">
      <c r="A127" s="184"/>
      <c r="B127" s="14"/>
      <c r="C127" s="14"/>
      <c r="D127" s="102"/>
      <c r="E127" s="218"/>
      <c r="F127" s="218"/>
      <c r="G127" s="211"/>
      <c r="H127" s="218"/>
      <c r="I127" s="14"/>
      <c r="J127" s="14"/>
      <c r="K127" s="14"/>
      <c r="L127" s="14"/>
      <c r="M127" s="14"/>
      <c r="N127" s="14"/>
      <c r="O127" s="14"/>
      <c r="P127" s="14"/>
      <c r="Q127" s="14"/>
      <c r="R127" s="14"/>
      <c r="V127" s="185"/>
    </row>
    <row r="128" spans="1:22" ht="18" hidden="1" customHeight="1">
      <c r="A128" s="184"/>
      <c r="B128" s="14"/>
      <c r="C128" s="14"/>
      <c r="D128" s="102"/>
      <c r="E128" s="218"/>
      <c r="F128" s="218"/>
      <c r="G128" s="211"/>
      <c r="H128" s="218"/>
      <c r="I128" s="14"/>
      <c r="J128" s="14"/>
      <c r="K128" s="14"/>
      <c r="L128" s="14"/>
      <c r="M128" s="14"/>
      <c r="N128" s="14"/>
      <c r="O128" s="14"/>
      <c r="P128" s="14"/>
      <c r="Q128" s="14"/>
      <c r="R128" s="14"/>
      <c r="V128" s="185"/>
    </row>
    <row r="129" spans="1:22" ht="18" hidden="1" customHeight="1">
      <c r="A129" s="184"/>
      <c r="G129" s="211"/>
      <c r="H129" s="218"/>
      <c r="J129" s="28"/>
      <c r="K129" s="28"/>
      <c r="L129" s="28"/>
      <c r="M129" s="28"/>
      <c r="N129" s="28"/>
      <c r="O129" s="28"/>
      <c r="P129" s="28"/>
      <c r="Q129" s="28"/>
      <c r="R129" s="28"/>
      <c r="V129" s="185"/>
    </row>
    <row r="130" spans="1:22" ht="18" hidden="1" customHeight="1">
      <c r="A130" s="184"/>
      <c r="V130" s="185"/>
    </row>
    <row r="131" spans="1:22" ht="18" hidden="1" customHeight="1">
      <c r="A131" s="194"/>
      <c r="B131" s="195"/>
      <c r="C131" s="195"/>
      <c r="D131" s="195"/>
      <c r="E131" s="195"/>
      <c r="F131" s="195"/>
      <c r="G131" s="195"/>
      <c r="H131" s="195"/>
      <c r="I131" s="195"/>
      <c r="J131" s="195"/>
      <c r="K131" s="195"/>
      <c r="L131" s="195"/>
      <c r="M131" s="195"/>
      <c r="N131" s="195"/>
      <c r="O131" s="195"/>
      <c r="P131" s="195"/>
      <c r="Q131" s="224"/>
      <c r="R131" s="182"/>
      <c r="S131" s="225"/>
      <c r="T131" s="195"/>
      <c r="U131" s="195"/>
      <c r="V131" s="134"/>
    </row>
    <row r="132" spans="1:22" ht="18" hidden="1" customHeight="1">
      <c r="A132" s="135"/>
      <c r="B132" s="273"/>
      <c r="C132" s="273"/>
      <c r="D132" s="273"/>
      <c r="E132" s="273"/>
      <c r="F132" s="273"/>
      <c r="G132" s="273"/>
      <c r="H132" s="273"/>
      <c r="I132" s="273"/>
      <c r="J132" s="273"/>
      <c r="K132" s="273"/>
      <c r="L132" s="273"/>
      <c r="M132" s="273"/>
      <c r="N132" s="273"/>
      <c r="O132" s="273"/>
      <c r="P132" s="273"/>
      <c r="Q132" s="274"/>
      <c r="R132" s="138"/>
      <c r="S132" s="275"/>
      <c r="T132" s="273"/>
      <c r="U132" s="273"/>
      <c r="V132" s="276"/>
    </row>
    <row r="133" spans="1:22" ht="18" hidden="1" customHeight="1">
      <c r="A133" s="193" t="s">
        <v>829</v>
      </c>
      <c r="B133" s="197"/>
      <c r="C133" s="197"/>
      <c r="D133" s="197"/>
      <c r="E133" s="14"/>
      <c r="F133" s="14"/>
      <c r="G133" s="14"/>
      <c r="H133" s="14"/>
      <c r="I133" s="14"/>
      <c r="J133" s="14"/>
      <c r="K133" s="14"/>
      <c r="L133" s="14"/>
      <c r="M133" s="14"/>
      <c r="N133" s="14"/>
      <c r="O133" s="14"/>
      <c r="P133" s="27"/>
      <c r="Q133" s="28"/>
      <c r="T133" s="14"/>
      <c r="U133" s="14"/>
      <c r="V133" s="185"/>
    </row>
    <row r="134" spans="1:22" ht="18" hidden="1" customHeight="1">
      <c r="A134" s="193"/>
      <c r="B134" s="197"/>
      <c r="C134" s="197"/>
      <c r="D134" s="197"/>
      <c r="E134" s="14"/>
      <c r="F134" s="14"/>
      <c r="G134" s="14"/>
      <c r="H134" s="14"/>
      <c r="I134" s="14"/>
      <c r="J134" s="14"/>
      <c r="K134" s="14"/>
      <c r="L134" s="14"/>
      <c r="M134" s="14"/>
      <c r="N134" s="14"/>
      <c r="O134" s="14"/>
      <c r="P134" s="27"/>
      <c r="Q134" s="28"/>
      <c r="T134" s="14"/>
      <c r="U134" s="14"/>
      <c r="V134" s="185"/>
    </row>
    <row r="135" spans="1:22" ht="18" hidden="1" customHeight="1">
      <c r="A135" s="96"/>
      <c r="B135" s="197" t="s">
        <v>826</v>
      </c>
      <c r="C135" s="197"/>
      <c r="D135" s="14"/>
      <c r="E135" s="14"/>
      <c r="F135" s="14"/>
      <c r="G135" s="14"/>
      <c r="H135" s="14"/>
      <c r="I135" s="14"/>
      <c r="J135" s="14"/>
      <c r="K135" s="14"/>
      <c r="L135" s="14"/>
      <c r="M135" s="14"/>
      <c r="N135" s="14"/>
      <c r="O135" s="14"/>
      <c r="P135" s="14"/>
      <c r="Q135" s="14"/>
      <c r="R135" s="14"/>
      <c r="S135" s="14"/>
      <c r="T135" s="14"/>
      <c r="U135" s="14"/>
      <c r="V135" s="185"/>
    </row>
    <row r="136" spans="1:22" ht="18" hidden="1" customHeight="1">
      <c r="A136" s="96"/>
      <c r="B136" s="14"/>
      <c r="C136" s="14"/>
      <c r="D136" s="14"/>
      <c r="E136" s="14"/>
      <c r="F136" s="244" t="s">
        <v>475</v>
      </c>
      <c r="G136" s="28" t="str">
        <f>IF(E137&gt;H137, "&gt;","&lt;")</f>
        <v>&lt;</v>
      </c>
      <c r="H136" s="14" t="s">
        <v>477</v>
      </c>
      <c r="I136" s="14"/>
      <c r="J136" s="14"/>
      <c r="K136" s="14"/>
      <c r="L136" s="14" t="s">
        <v>830</v>
      </c>
      <c r="M136" s="14"/>
      <c r="N136" s="14"/>
      <c r="O136" s="14"/>
      <c r="P136" s="14"/>
      <c r="Q136" s="14"/>
      <c r="R136" s="14"/>
      <c r="S136" s="14"/>
      <c r="T136" s="14"/>
      <c r="U136" s="14"/>
      <c r="V136" s="185"/>
    </row>
    <row r="137" spans="1:22" ht="18" hidden="1" customHeight="1">
      <c r="A137" s="96"/>
      <c r="B137" s="14"/>
      <c r="C137" s="14"/>
      <c r="D137" s="14"/>
      <c r="E137" s="834">
        <f>J95</f>
        <v>0</v>
      </c>
      <c r="F137" s="834"/>
      <c r="G137" s="28" t="str">
        <f>G136</f>
        <v>&lt;</v>
      </c>
      <c r="H137" s="692">
        <f>E119</f>
        <v>11.770224400000002</v>
      </c>
      <c r="I137" s="692"/>
      <c r="J137" s="14"/>
      <c r="K137" s="14"/>
      <c r="L137" s="14"/>
      <c r="M137" s="14"/>
      <c r="N137" s="14"/>
      <c r="O137" s="14"/>
      <c r="P137" s="14"/>
      <c r="Q137" s="14"/>
      <c r="R137" s="14"/>
      <c r="S137" s="14"/>
      <c r="T137" s="14"/>
      <c r="U137" s="14"/>
      <c r="V137" s="185"/>
    </row>
    <row r="138" spans="1:22" ht="18" hidden="1" customHeight="1">
      <c r="A138" s="184"/>
      <c r="D138" s="211"/>
      <c r="E138" s="218"/>
      <c r="F138" s="199" t="s">
        <v>831</v>
      </c>
      <c r="G138" s="211"/>
      <c r="H138" s="281" t="s">
        <v>832</v>
      </c>
      <c r="J138" s="28" t="s">
        <v>833</v>
      </c>
      <c r="K138" s="18" t="str">
        <f>IF(G137="&gt;", "Satisfied", "Not Satisfied")</f>
        <v>Not Satisfied</v>
      </c>
      <c r="P138" s="14"/>
      <c r="Q138" s="14"/>
      <c r="R138" s="14"/>
      <c r="S138" s="14"/>
      <c r="T138" s="14"/>
      <c r="U138" s="14"/>
      <c r="V138" s="185"/>
    </row>
    <row r="139" spans="1:22" ht="18" hidden="1" customHeight="1">
      <c r="A139" s="96"/>
      <c r="B139" s="197" t="s">
        <v>828</v>
      </c>
      <c r="C139" s="197"/>
      <c r="D139" s="14"/>
      <c r="E139" s="14"/>
      <c r="F139" s="14"/>
      <c r="G139" s="14"/>
      <c r="H139" s="14"/>
      <c r="I139" s="14"/>
      <c r="J139" s="14"/>
      <c r="K139" s="14"/>
      <c r="L139" s="14"/>
      <c r="M139" s="14"/>
      <c r="N139" s="14"/>
      <c r="O139" s="14"/>
      <c r="P139" s="120"/>
      <c r="Q139" s="296"/>
      <c r="V139" s="185"/>
    </row>
    <row r="140" spans="1:22" ht="18" hidden="1" customHeight="1">
      <c r="A140" s="96"/>
      <c r="B140" s="14"/>
      <c r="C140" s="14"/>
      <c r="D140" s="14"/>
      <c r="E140" s="14"/>
      <c r="F140" s="244" t="s">
        <v>475</v>
      </c>
      <c r="G140" s="28" t="str">
        <f>IF(E141&gt;H141, "&gt;","&lt;")</f>
        <v>&lt;</v>
      </c>
      <c r="H140" s="14" t="s">
        <v>477</v>
      </c>
      <c r="I140" s="14"/>
      <c r="J140" s="14"/>
      <c r="K140" s="14"/>
      <c r="L140" s="14" t="s">
        <v>834</v>
      </c>
      <c r="M140" s="14"/>
      <c r="N140" s="14"/>
      <c r="O140" s="14"/>
      <c r="P140" s="301"/>
      <c r="Q140" s="461"/>
      <c r="V140" s="185"/>
    </row>
    <row r="141" spans="1:22" ht="18" hidden="1" customHeight="1">
      <c r="A141" s="96"/>
      <c r="B141" s="14"/>
      <c r="C141" s="14"/>
      <c r="D141" s="14"/>
      <c r="E141" s="834">
        <f>J95</f>
        <v>0</v>
      </c>
      <c r="F141" s="834"/>
      <c r="G141" s="28" t="str">
        <f>G140</f>
        <v>&lt;</v>
      </c>
      <c r="H141" s="692">
        <f>E125</f>
        <v>23.540448800000004</v>
      </c>
      <c r="I141" s="692"/>
      <c r="J141" s="14"/>
      <c r="K141" s="14"/>
      <c r="L141" s="14"/>
      <c r="M141" s="14"/>
      <c r="N141" s="14"/>
      <c r="O141" s="14"/>
      <c r="V141" s="185"/>
    </row>
    <row r="142" spans="1:22" ht="18" hidden="1" customHeight="1">
      <c r="A142" s="184"/>
      <c r="D142" s="211"/>
      <c r="E142" s="14"/>
      <c r="F142" s="199" t="s">
        <v>831</v>
      </c>
      <c r="G142" s="211"/>
      <c r="H142" s="281" t="s">
        <v>828</v>
      </c>
      <c r="J142" s="28" t="s">
        <v>833</v>
      </c>
      <c r="K142" s="18" t="str">
        <f>IF(G141="&gt;", "Satisfied", "Not Satisfied")</f>
        <v>Not Satisfied</v>
      </c>
      <c r="P142" s="232"/>
      <c r="Q142" s="232"/>
      <c r="R142" s="232"/>
      <c r="S142" s="232"/>
      <c r="T142" s="232"/>
      <c r="U142" s="232"/>
      <c r="V142" s="233"/>
    </row>
    <row r="143" spans="1:22" ht="18" hidden="1" customHeight="1">
      <c r="A143" s="184"/>
      <c r="H143" s="28"/>
      <c r="I143" s="28"/>
      <c r="J143" s="28"/>
      <c r="K143" s="28"/>
      <c r="L143" s="28"/>
      <c r="M143" s="28"/>
      <c r="N143" s="28"/>
      <c r="O143" s="28"/>
      <c r="P143" s="232"/>
      <c r="Q143" s="232"/>
      <c r="R143" s="232"/>
      <c r="S143" s="232"/>
      <c r="T143" s="232"/>
      <c r="U143" s="232"/>
      <c r="V143" s="233"/>
    </row>
    <row r="144" spans="1:22" ht="18" hidden="1" customHeight="1">
      <c r="A144" s="96"/>
      <c r="B144" s="14"/>
      <c r="C144" s="14"/>
      <c r="D144" s="14"/>
      <c r="E144" s="14"/>
      <c r="F144" s="244" t="s">
        <v>478</v>
      </c>
      <c r="G144" s="14"/>
      <c r="H144" s="18" t="str">
        <f>IF(AND(E137&gt;H137,E141&gt;H141),"Suitably Dimentioned","Under Dimentioned")</f>
        <v>Under Dimentioned</v>
      </c>
      <c r="I144" s="18"/>
      <c r="J144" s="18"/>
      <c r="K144" s="18"/>
      <c r="L144" s="18"/>
      <c r="M144" s="18"/>
      <c r="N144" s="14"/>
      <c r="O144" s="14"/>
      <c r="V144" s="185"/>
    </row>
    <row r="145" spans="1:22" ht="18" hidden="1" customHeight="1">
      <c r="A145" s="184"/>
      <c r="B145" s="27"/>
      <c r="C145" s="27"/>
      <c r="D145" s="27"/>
      <c r="E145" s="28"/>
      <c r="F145" s="27"/>
      <c r="G145" s="28"/>
      <c r="H145" s="27"/>
      <c r="I145" s="28"/>
      <c r="J145" s="27"/>
      <c r="K145" s="27"/>
      <c r="L145" s="27"/>
      <c r="M145" s="27"/>
      <c r="V145" s="185"/>
    </row>
    <row r="146" spans="1:22" ht="18" hidden="1" customHeight="1">
      <c r="A146" s="184"/>
      <c r="C146" s="27"/>
      <c r="D146" s="245"/>
      <c r="E146" s="221"/>
      <c r="F146" s="245"/>
      <c r="G146" s="222"/>
      <c r="H146" s="245"/>
      <c r="I146" s="245"/>
      <c r="J146" s="245"/>
      <c r="K146" s="245"/>
      <c r="L146" s="245"/>
      <c r="M146" s="27"/>
      <c r="V146" s="185"/>
    </row>
    <row r="147" spans="1:22" ht="18" hidden="1" customHeight="1">
      <c r="A147" s="184"/>
      <c r="C147" s="27"/>
      <c r="D147" s="204"/>
      <c r="E147" s="204"/>
      <c r="G147" s="18"/>
      <c r="V147" s="185"/>
    </row>
    <row r="148" spans="1:22" ht="18" hidden="1" customHeight="1">
      <c r="A148" s="96"/>
      <c r="B148" s="14"/>
      <c r="C148" s="14"/>
      <c r="D148" s="14"/>
      <c r="E148" s="14"/>
      <c r="F148" s="14"/>
      <c r="G148" s="14"/>
      <c r="H148" s="14"/>
      <c r="I148" s="14"/>
      <c r="J148" s="14"/>
      <c r="K148" s="14"/>
      <c r="L148" s="14"/>
      <c r="M148" s="14"/>
      <c r="N148" s="14"/>
      <c r="O148" s="14"/>
      <c r="P148" s="14"/>
      <c r="Q148" s="120"/>
      <c r="R148" s="28"/>
      <c r="S148" s="525"/>
      <c r="T148" s="14"/>
      <c r="U148" s="14"/>
      <c r="V148" s="381"/>
    </row>
    <row r="149" spans="1:22" ht="18" hidden="1" customHeight="1">
      <c r="A149" s="96"/>
      <c r="B149" s="14"/>
      <c r="C149" s="14"/>
      <c r="D149" s="14"/>
      <c r="E149" s="14"/>
      <c r="F149" s="14"/>
      <c r="G149" s="14"/>
      <c r="H149" s="14"/>
      <c r="I149" s="14"/>
      <c r="J149" s="14"/>
      <c r="K149" s="14"/>
      <c r="L149" s="14"/>
      <c r="M149" s="14"/>
      <c r="N149" s="14"/>
      <c r="O149" s="14"/>
      <c r="P149" s="14"/>
      <c r="Q149" s="120"/>
      <c r="R149" s="28"/>
      <c r="S149" s="525"/>
      <c r="T149" s="14"/>
      <c r="U149" s="14"/>
      <c r="V149" s="381"/>
    </row>
    <row r="150" spans="1:22" ht="18" hidden="1" customHeight="1">
      <c r="A150" s="96"/>
      <c r="B150" s="14"/>
      <c r="C150" s="14"/>
      <c r="D150" s="14"/>
      <c r="E150" s="14"/>
      <c r="F150" s="14"/>
      <c r="G150" s="14"/>
      <c r="H150" s="14"/>
      <c r="I150" s="14"/>
      <c r="J150" s="14"/>
      <c r="K150" s="14"/>
      <c r="L150" s="14"/>
      <c r="M150" s="14"/>
      <c r="N150" s="14"/>
      <c r="O150" s="14"/>
      <c r="P150" s="14"/>
      <c r="Q150" s="120"/>
      <c r="R150" s="28"/>
      <c r="S150" s="525"/>
      <c r="T150" s="14"/>
      <c r="U150" s="14"/>
      <c r="V150" s="381"/>
    </row>
    <row r="151" spans="1:22" ht="18" hidden="1" customHeight="1">
      <c r="A151" s="96"/>
      <c r="B151" s="14"/>
      <c r="C151" s="14"/>
      <c r="D151" s="14"/>
      <c r="E151" s="14"/>
      <c r="F151" s="14"/>
      <c r="G151" s="14"/>
      <c r="H151" s="14"/>
      <c r="I151" s="14"/>
      <c r="J151" s="14"/>
      <c r="K151" s="14"/>
      <c r="L151" s="14"/>
      <c r="M151" s="14"/>
      <c r="N151" s="14"/>
      <c r="O151" s="14"/>
      <c r="P151" s="14"/>
      <c r="Q151" s="120"/>
      <c r="R151" s="28"/>
      <c r="S151" s="525"/>
      <c r="T151" s="14"/>
      <c r="U151" s="14"/>
      <c r="V151" s="381"/>
    </row>
    <row r="152" spans="1:22" ht="18" hidden="1" customHeight="1">
      <c r="A152" s="96"/>
      <c r="B152" s="14"/>
      <c r="C152" s="14"/>
      <c r="D152" s="14"/>
      <c r="E152" s="14"/>
      <c r="F152" s="14"/>
      <c r="G152" s="14"/>
      <c r="H152" s="14"/>
      <c r="I152" s="14"/>
      <c r="J152" s="14"/>
      <c r="K152" s="14"/>
      <c r="L152" s="14"/>
      <c r="M152" s="14"/>
      <c r="N152" s="14"/>
      <c r="O152" s="14"/>
      <c r="P152" s="14"/>
      <c r="Q152" s="120"/>
      <c r="R152" s="28"/>
      <c r="S152" s="525"/>
      <c r="T152" s="14"/>
      <c r="U152" s="14"/>
      <c r="V152" s="381"/>
    </row>
    <row r="153" spans="1:22" ht="18" hidden="1" customHeight="1">
      <c r="A153" s="96"/>
      <c r="B153" s="14"/>
      <c r="C153" s="14"/>
      <c r="D153" s="14"/>
      <c r="E153" s="14"/>
      <c r="F153" s="14"/>
      <c r="G153" s="14"/>
      <c r="H153" s="14"/>
      <c r="I153" s="14"/>
      <c r="J153" s="14"/>
      <c r="K153" s="14"/>
      <c r="L153" s="14"/>
      <c r="M153" s="14"/>
      <c r="N153" s="14"/>
      <c r="O153" s="14"/>
      <c r="P153" s="14"/>
      <c r="Q153" s="120"/>
      <c r="R153" s="28"/>
      <c r="S153" s="525"/>
      <c r="T153" s="14"/>
      <c r="U153" s="14"/>
      <c r="V153" s="381"/>
    </row>
    <row r="154" spans="1:22" ht="18" hidden="1" customHeight="1">
      <c r="A154" s="96"/>
      <c r="B154" s="14"/>
      <c r="C154" s="14"/>
      <c r="D154" s="14"/>
      <c r="E154" s="14"/>
      <c r="F154" s="14"/>
      <c r="G154" s="14"/>
      <c r="H154" s="14"/>
      <c r="I154" s="14"/>
      <c r="J154" s="14"/>
      <c r="K154" s="14"/>
      <c r="L154" s="14"/>
      <c r="M154" s="14"/>
      <c r="N154" s="14"/>
      <c r="O154" s="14"/>
      <c r="P154" s="14"/>
      <c r="Q154" s="120"/>
      <c r="R154" s="28"/>
      <c r="S154" s="525"/>
      <c r="T154" s="14"/>
      <c r="U154" s="14"/>
      <c r="V154" s="381"/>
    </row>
    <row r="155" spans="1:22" ht="18" hidden="1"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hidden="1"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hidden="1"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hidden="1"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hidden="1"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hidden="1"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2" ht="18" hidden="1"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2" ht="18" hidden="1"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2" ht="18" hidden="1"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2" ht="18" hidden="1"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2" ht="18" hidden="1" customHeight="1">
      <c r="A165" s="96"/>
      <c r="B165" s="14"/>
      <c r="C165" s="14"/>
      <c r="D165" s="14"/>
      <c r="E165" s="14"/>
      <c r="F165" s="14"/>
      <c r="G165" s="14"/>
      <c r="H165" s="14"/>
      <c r="I165" s="14"/>
      <c r="J165" s="14"/>
      <c r="K165" s="14"/>
      <c r="L165" s="14"/>
      <c r="M165" s="14"/>
      <c r="N165" s="14"/>
      <c r="O165" s="14"/>
      <c r="P165" s="14"/>
      <c r="Q165" s="120"/>
      <c r="R165" s="28"/>
      <c r="S165" s="525"/>
      <c r="T165" s="14"/>
      <c r="U165" s="14"/>
      <c r="V165" s="381"/>
    </row>
    <row r="166" spans="1:22" ht="18" hidden="1" customHeight="1">
      <c r="A166" s="96"/>
      <c r="B166" s="14"/>
      <c r="C166" s="14"/>
      <c r="D166" s="14"/>
      <c r="E166" s="14"/>
      <c r="F166" s="14"/>
      <c r="G166" s="14"/>
      <c r="H166" s="14"/>
      <c r="I166" s="14"/>
      <c r="J166" s="14"/>
      <c r="K166" s="14"/>
      <c r="L166" s="14"/>
      <c r="M166" s="14"/>
      <c r="N166" s="14"/>
      <c r="O166" s="14"/>
      <c r="P166" s="14"/>
      <c r="Q166" s="120"/>
      <c r="R166" s="28"/>
      <c r="S166" s="525"/>
      <c r="T166" s="14"/>
      <c r="U166" s="14"/>
      <c r="V166" s="381"/>
    </row>
    <row r="167" spans="1:22" ht="18" hidden="1" customHeight="1">
      <c r="A167" s="96"/>
      <c r="B167" s="14"/>
      <c r="C167" s="14"/>
      <c r="D167" s="14"/>
      <c r="E167" s="14"/>
      <c r="F167" s="14"/>
      <c r="G167" s="14"/>
      <c r="H167" s="14"/>
      <c r="I167" s="14"/>
      <c r="J167" s="14"/>
      <c r="K167" s="14"/>
      <c r="L167" s="14"/>
      <c r="M167" s="14"/>
      <c r="N167" s="14"/>
      <c r="O167" s="14"/>
      <c r="P167" s="14"/>
      <c r="Q167" s="120"/>
      <c r="R167" s="28"/>
      <c r="S167" s="525"/>
      <c r="T167" s="14"/>
      <c r="U167" s="14"/>
      <c r="V167" s="381"/>
    </row>
    <row r="168" spans="1:22" ht="18" hidden="1" customHeight="1">
      <c r="A168" s="96"/>
      <c r="B168" s="14"/>
      <c r="C168" s="14"/>
      <c r="D168" s="14"/>
      <c r="E168" s="14"/>
      <c r="F168" s="14"/>
      <c r="G168" s="14"/>
      <c r="H168" s="14"/>
      <c r="I168" s="14"/>
      <c r="J168" s="14"/>
      <c r="K168" s="14"/>
      <c r="L168" s="14"/>
      <c r="M168" s="14"/>
      <c r="N168" s="14"/>
      <c r="O168" s="14"/>
      <c r="P168" s="14"/>
      <c r="Q168" s="120"/>
      <c r="R168" s="28"/>
      <c r="S168" s="525"/>
      <c r="T168" s="14"/>
      <c r="U168" s="14"/>
      <c r="V168" s="381"/>
    </row>
    <row r="169" spans="1:22" ht="18" hidden="1" customHeight="1">
      <c r="A169" s="96"/>
      <c r="B169" s="14"/>
      <c r="C169" s="14"/>
      <c r="D169" s="14"/>
      <c r="E169" s="14"/>
      <c r="F169" s="14"/>
      <c r="G169" s="14"/>
      <c r="H169" s="14"/>
      <c r="I169" s="14"/>
      <c r="J169" s="14"/>
      <c r="K169" s="14"/>
      <c r="L169" s="14"/>
      <c r="M169" s="14"/>
      <c r="N169" s="14"/>
      <c r="O169" s="14"/>
      <c r="P169" s="14"/>
      <c r="Q169" s="120"/>
      <c r="R169" s="28"/>
      <c r="S169" s="525"/>
      <c r="T169" s="14"/>
      <c r="U169" s="14"/>
      <c r="V169" s="381"/>
    </row>
    <row r="170" spans="1:22" ht="18" hidden="1" customHeight="1">
      <c r="A170" s="96"/>
      <c r="B170" s="14"/>
      <c r="C170" s="14"/>
      <c r="D170" s="14"/>
      <c r="E170" s="14"/>
      <c r="F170" s="14"/>
      <c r="G170" s="14"/>
      <c r="H170" s="14"/>
      <c r="I170" s="14"/>
      <c r="J170" s="14"/>
      <c r="K170" s="14"/>
      <c r="L170" s="14"/>
      <c r="M170" s="14"/>
      <c r="N170" s="14"/>
      <c r="O170" s="14"/>
      <c r="P170" s="14"/>
      <c r="Q170" s="120"/>
      <c r="R170" s="28"/>
      <c r="S170" s="525"/>
      <c r="T170" s="14"/>
      <c r="U170" s="14"/>
      <c r="V170" s="381"/>
    </row>
    <row r="171" spans="1:22" ht="18" hidden="1" customHeight="1">
      <c r="A171" s="96"/>
      <c r="B171" s="14"/>
      <c r="C171" s="14"/>
      <c r="D171" s="14"/>
      <c r="E171" s="14"/>
      <c r="F171" s="14"/>
      <c r="G171" s="14"/>
      <c r="H171" s="14"/>
      <c r="I171" s="14"/>
      <c r="J171" s="14"/>
      <c r="K171" s="14"/>
      <c r="L171" s="14"/>
      <c r="M171" s="14"/>
      <c r="N171" s="14"/>
      <c r="O171" s="14"/>
      <c r="P171" s="14"/>
      <c r="Q171" s="120"/>
      <c r="R171" s="28"/>
      <c r="S171" s="525"/>
      <c r="T171" s="14"/>
      <c r="U171" s="14"/>
      <c r="V171" s="381"/>
    </row>
    <row r="172" spans="1:22" ht="18" hidden="1" customHeight="1">
      <c r="A172" s="96"/>
      <c r="B172" s="14"/>
      <c r="C172" s="14"/>
      <c r="D172" s="14"/>
      <c r="E172" s="14"/>
      <c r="F172" s="14"/>
      <c r="G172" s="14"/>
      <c r="H172" s="14"/>
      <c r="I172" s="14"/>
      <c r="J172" s="14"/>
      <c r="K172" s="14"/>
      <c r="L172" s="14"/>
      <c r="M172" s="14"/>
      <c r="N172" s="14"/>
      <c r="O172" s="14"/>
      <c r="P172" s="14"/>
      <c r="Q172" s="120"/>
      <c r="R172" s="28"/>
      <c r="S172" s="525"/>
      <c r="T172" s="14"/>
      <c r="U172" s="14"/>
      <c r="V172" s="381"/>
    </row>
    <row r="173" spans="1:22" ht="18" hidden="1" customHeight="1">
      <c r="A173" s="96"/>
      <c r="B173" s="14"/>
      <c r="C173" s="14"/>
      <c r="D173" s="14"/>
      <c r="E173" s="14"/>
      <c r="F173" s="14"/>
      <c r="G173" s="14"/>
      <c r="H173" s="14"/>
      <c r="I173" s="14"/>
      <c r="J173" s="14"/>
      <c r="K173" s="14"/>
      <c r="L173" s="14"/>
      <c r="M173" s="14"/>
      <c r="N173" s="14"/>
      <c r="O173" s="14"/>
      <c r="P173" s="14"/>
      <c r="Q173" s="120"/>
      <c r="R173" s="28"/>
      <c r="S173" s="525"/>
      <c r="T173" s="14"/>
      <c r="U173" s="14"/>
      <c r="V173" s="381"/>
    </row>
    <row r="174" spans="1:22" ht="18" hidden="1" customHeight="1">
      <c r="A174" s="96"/>
      <c r="B174" s="14"/>
      <c r="C174" s="14"/>
      <c r="D174" s="14"/>
      <c r="E174" s="14"/>
      <c r="F174" s="14"/>
      <c r="G174" s="14"/>
      <c r="H174" s="14"/>
      <c r="I174" s="14"/>
      <c r="J174" s="14"/>
      <c r="K174" s="14"/>
      <c r="L174" s="14"/>
      <c r="M174" s="14"/>
      <c r="N174" s="14"/>
      <c r="O174" s="14"/>
      <c r="P174" s="14"/>
      <c r="Q174" s="120"/>
      <c r="R174" s="28"/>
      <c r="S174" s="525"/>
      <c r="T174" s="14"/>
      <c r="U174" s="14"/>
      <c r="V174" s="381"/>
    </row>
    <row r="175" spans="1:22" ht="18" hidden="1" customHeight="1">
      <c r="A175" s="194"/>
      <c r="B175" s="195"/>
      <c r="C175" s="195"/>
      <c r="D175" s="195"/>
      <c r="E175" s="195"/>
      <c r="F175" s="195"/>
      <c r="G175" s="195"/>
      <c r="H175" s="195"/>
      <c r="I175" s="195"/>
      <c r="J175" s="195"/>
      <c r="K175" s="195"/>
      <c r="L175" s="195"/>
      <c r="M175" s="195"/>
      <c r="N175" s="195"/>
      <c r="O175" s="195"/>
      <c r="P175" s="195"/>
      <c r="Q175" s="224"/>
      <c r="R175" s="182"/>
      <c r="S175" s="225"/>
      <c r="T175" s="195"/>
      <c r="U175" s="195"/>
      <c r="V175" s="134" t="s">
        <v>552</v>
      </c>
    </row>
    <row r="176" spans="1:22" ht="18" hidden="1" customHeight="1">
      <c r="A176" s="226"/>
      <c r="B176" s="227"/>
      <c r="C176" s="227"/>
      <c r="D176" s="227"/>
      <c r="E176" s="227"/>
      <c r="F176" s="227"/>
      <c r="G176" s="227"/>
      <c r="H176" s="227"/>
      <c r="I176" s="227"/>
      <c r="J176" s="227"/>
      <c r="K176" s="227"/>
      <c r="L176" s="227"/>
      <c r="M176" s="227"/>
      <c r="N176" s="227"/>
      <c r="O176" s="227"/>
      <c r="P176" s="227"/>
      <c r="Q176" s="227"/>
      <c r="R176" s="227"/>
      <c r="S176" s="227"/>
      <c r="T176" s="227"/>
      <c r="U176" s="227"/>
      <c r="V176" s="228"/>
    </row>
    <row r="177" spans="1:23" ht="18" hidden="1" customHeight="1">
      <c r="A177" s="184"/>
      <c r="B177" s="854" t="str">
        <f>B89</f>
        <v>T1</v>
      </c>
      <c r="C177" s="831"/>
      <c r="D177" s="854" t="str">
        <f>D89</f>
        <v>Core2</v>
      </c>
      <c r="E177" s="831"/>
      <c r="F177" s="455"/>
      <c r="H177" s="684" t="s">
        <v>711</v>
      </c>
      <c r="I177" s="684"/>
      <c r="J177" s="684"/>
      <c r="K177" s="684"/>
      <c r="L177" s="684"/>
      <c r="M177" s="684"/>
      <c r="P177" s="186"/>
      <c r="S177" s="187" t="s">
        <v>387</v>
      </c>
      <c r="T177" s="854" t="str">
        <f>T89</f>
        <v>P743</v>
      </c>
      <c r="U177" s="831"/>
      <c r="V177" s="185"/>
    </row>
    <row r="178" spans="1:23" ht="18" hidden="1" customHeight="1">
      <c r="A178" s="456"/>
      <c r="F178" s="455"/>
      <c r="T178" s="854">
        <f>T90</f>
        <v>0</v>
      </c>
      <c r="U178" s="831"/>
      <c r="V178" s="185"/>
    </row>
    <row r="179" spans="1:23" ht="18" hidden="1" customHeight="1">
      <c r="A179" s="184"/>
      <c r="H179" s="708" t="s">
        <v>390</v>
      </c>
      <c r="I179" s="708"/>
      <c r="J179" s="708" t="s">
        <v>391</v>
      </c>
      <c r="K179" s="708"/>
      <c r="L179" s="789" t="s">
        <v>392</v>
      </c>
      <c r="M179" s="789"/>
      <c r="T179" s="854">
        <f>T91</f>
        <v>0</v>
      </c>
      <c r="U179" s="831"/>
      <c r="V179" s="185"/>
    </row>
    <row r="180" spans="1:23" ht="18" hidden="1" customHeight="1">
      <c r="A180" s="184"/>
      <c r="B180" s="47" t="s">
        <v>393</v>
      </c>
      <c r="H180" s="854">
        <f>H92</f>
        <v>2500</v>
      </c>
      <c r="I180" s="831"/>
      <c r="J180" s="854" t="str">
        <f>J92</f>
        <v>-</v>
      </c>
      <c r="K180" s="831"/>
      <c r="L180" s="863" t="str">
        <f>L92</f>
        <v>-</v>
      </c>
      <c r="M180" s="864"/>
      <c r="N180" s="191" t="s">
        <v>342</v>
      </c>
      <c r="O180" s="256">
        <f>O92</f>
        <v>1</v>
      </c>
      <c r="P180" s="27" t="s">
        <v>8</v>
      </c>
      <c r="R180" s="255"/>
      <c r="S180" s="255"/>
      <c r="V180" s="185"/>
    </row>
    <row r="181" spans="1:23" ht="18" hidden="1" customHeight="1">
      <c r="A181" s="184"/>
      <c r="B181" s="47" t="s">
        <v>394</v>
      </c>
      <c r="L181" s="854" t="str">
        <f>J93</f>
        <v>PX-B</v>
      </c>
      <c r="M181" s="831"/>
      <c r="V181" s="185"/>
    </row>
    <row r="182" spans="1:23" ht="18" hidden="1" customHeight="1">
      <c r="A182" s="184"/>
      <c r="B182" s="47" t="s">
        <v>396</v>
      </c>
      <c r="K182" s="120" t="s">
        <v>497</v>
      </c>
      <c r="L182" s="1224"/>
      <c r="M182" s="1225"/>
      <c r="N182" s="192" t="s">
        <v>333</v>
      </c>
      <c r="V182" s="185"/>
    </row>
    <row r="183" spans="1:23" ht="18" hidden="1" customHeight="1">
      <c r="A183" s="184"/>
      <c r="B183" s="47" t="s">
        <v>398</v>
      </c>
      <c r="K183" s="120" t="s">
        <v>498</v>
      </c>
      <c r="L183" s="1075"/>
      <c r="M183" s="1076"/>
      <c r="N183" s="14" t="s">
        <v>305</v>
      </c>
      <c r="U183" s="18"/>
      <c r="V183" s="185"/>
      <c r="W183" s="30" t="e">
        <f>H232</f>
        <v>#VALUE!</v>
      </c>
    </row>
    <row r="184" spans="1:23" ht="18" hidden="1" customHeight="1">
      <c r="A184" s="184"/>
      <c r="B184" s="14" t="s">
        <v>401</v>
      </c>
      <c r="K184" s="120" t="s">
        <v>402</v>
      </c>
      <c r="L184" s="1075"/>
      <c r="M184" s="1076"/>
      <c r="N184" s="14" t="s">
        <v>403</v>
      </c>
      <c r="V184" s="185"/>
    </row>
    <row r="185" spans="1:23" ht="18" hidden="1" customHeight="1">
      <c r="A185" s="184"/>
      <c r="V185" s="185"/>
    </row>
    <row r="186" spans="1:23" ht="18" hidden="1" customHeight="1">
      <c r="A186" s="193" t="s">
        <v>404</v>
      </c>
      <c r="V186" s="185"/>
    </row>
    <row r="187" spans="1:23" ht="18" hidden="1" customHeight="1">
      <c r="A187" s="184"/>
      <c r="V187" s="185"/>
    </row>
    <row r="188" spans="1:23" ht="18" hidden="1" customHeight="1">
      <c r="A188" s="184"/>
      <c r="B188" s="135" t="s">
        <v>405</v>
      </c>
      <c r="C188" s="273"/>
      <c r="D188" s="139" t="str">
        <f>T177</f>
        <v>P743</v>
      </c>
      <c r="E188" s="227"/>
      <c r="F188" s="227"/>
      <c r="G188" s="227"/>
      <c r="H188" s="138"/>
      <c r="I188" s="260" t="s">
        <v>127</v>
      </c>
      <c r="J188" s="696">
        <f>J100</f>
        <v>0.1</v>
      </c>
      <c r="K188" s="722"/>
      <c r="L188" s="3" t="s">
        <v>157</v>
      </c>
      <c r="N188" s="197"/>
      <c r="V188" s="185"/>
    </row>
    <row r="189" spans="1:23" ht="18" hidden="1" customHeight="1">
      <c r="A189" s="184"/>
      <c r="B189" s="96" t="s">
        <v>405</v>
      </c>
      <c r="C189" s="14"/>
      <c r="D189" s="47">
        <f>T178</f>
        <v>0</v>
      </c>
      <c r="E189" s="14"/>
      <c r="G189" s="199"/>
      <c r="H189" s="27"/>
      <c r="I189" s="101" t="s">
        <v>127</v>
      </c>
      <c r="J189" s="696">
        <f>J101</f>
        <v>0</v>
      </c>
      <c r="K189" s="722"/>
      <c r="L189" s="202" t="s">
        <v>157</v>
      </c>
      <c r="N189" s="28"/>
      <c r="O189" s="27"/>
      <c r="P189" s="28"/>
      <c r="Q189" s="102"/>
      <c r="R189" s="28"/>
      <c r="S189" s="27"/>
      <c r="T189" s="28"/>
      <c r="V189" s="185"/>
    </row>
    <row r="190" spans="1:23" ht="18" hidden="1" customHeight="1">
      <c r="A190" s="184"/>
      <c r="B190" s="96" t="s">
        <v>405</v>
      </c>
      <c r="C190" s="14"/>
      <c r="D190" s="47">
        <f>T179</f>
        <v>0</v>
      </c>
      <c r="E190" s="14"/>
      <c r="G190" s="199"/>
      <c r="H190" s="27"/>
      <c r="I190" s="101" t="s">
        <v>127</v>
      </c>
      <c r="J190" s="696">
        <f>J102</f>
        <v>0</v>
      </c>
      <c r="K190" s="722"/>
      <c r="L190" s="202" t="s">
        <v>157</v>
      </c>
      <c r="N190" s="27"/>
      <c r="O190" s="27"/>
      <c r="P190" s="27"/>
      <c r="Q190" s="102"/>
      <c r="R190" s="27"/>
      <c r="S190" s="27"/>
      <c r="T190" s="27"/>
      <c r="V190" s="185"/>
    </row>
    <row r="191" spans="1:23" ht="18" hidden="1" customHeight="1">
      <c r="A191" s="184"/>
      <c r="B191" s="184" t="s">
        <v>412</v>
      </c>
      <c r="C191" s="14"/>
      <c r="D191" s="14"/>
      <c r="E191" s="14"/>
      <c r="H191" s="27"/>
      <c r="I191" s="101" t="s">
        <v>127</v>
      </c>
      <c r="J191" s="696">
        <f>J103</f>
        <v>1.0770224400000001</v>
      </c>
      <c r="K191" s="722"/>
      <c r="L191" s="297" t="s">
        <v>157</v>
      </c>
      <c r="N191" s="27"/>
      <c r="O191" s="27"/>
      <c r="P191" s="204"/>
      <c r="R191" s="192"/>
      <c r="S191" s="27"/>
      <c r="T191" s="27"/>
      <c r="V191" s="185"/>
    </row>
    <row r="192" spans="1:23" ht="18" hidden="1" customHeight="1">
      <c r="A192" s="184"/>
      <c r="B192" s="1" t="s">
        <v>413</v>
      </c>
      <c r="C192" s="2"/>
      <c r="D192" s="2"/>
      <c r="E192" s="2"/>
      <c r="F192" s="196"/>
      <c r="G192" s="196"/>
      <c r="H192" s="224" t="s">
        <v>512</v>
      </c>
      <c r="I192" s="183" t="s">
        <v>127</v>
      </c>
      <c r="J192" s="722">
        <f>SUM(J188:J191)</f>
        <v>1.1770224400000002</v>
      </c>
      <c r="K192" s="958"/>
      <c r="L192" s="3" t="s">
        <v>157</v>
      </c>
      <c r="V192" s="185"/>
    </row>
    <row r="193" spans="1:22" ht="18" hidden="1" customHeight="1">
      <c r="A193" s="184"/>
      <c r="B193" s="47"/>
      <c r="C193" s="47"/>
      <c r="D193" s="47"/>
      <c r="E193" s="47"/>
      <c r="H193" s="27"/>
      <c r="I193" s="28"/>
      <c r="J193" s="199"/>
      <c r="L193" s="47"/>
      <c r="O193" s="27"/>
      <c r="P193" s="211"/>
      <c r="Q193" s="27"/>
      <c r="R193" s="204"/>
      <c r="S193" s="27"/>
      <c r="V193" s="185"/>
    </row>
    <row r="194" spans="1:22" ht="18" hidden="1" customHeight="1">
      <c r="A194" s="168"/>
      <c r="B194" s="5"/>
      <c r="C194" s="47" t="s">
        <v>817</v>
      </c>
      <c r="D194" s="14"/>
      <c r="E194" s="14"/>
      <c r="F194" s="14"/>
      <c r="G194" s="14"/>
      <c r="H194" s="279"/>
      <c r="I194" s="120"/>
      <c r="J194" s="279"/>
      <c r="K194" s="279"/>
      <c r="L194" s="14"/>
      <c r="M194" s="14"/>
      <c r="N194" s="14"/>
      <c r="O194" s="14"/>
      <c r="P194" s="14"/>
      <c r="Q194" s="120" t="s">
        <v>818</v>
      </c>
      <c r="R194" s="102" t="s">
        <v>127</v>
      </c>
      <c r="S194" s="854">
        <f>S106</f>
        <v>50000</v>
      </c>
      <c r="T194" s="831"/>
      <c r="U194" s="47" t="s">
        <v>8</v>
      </c>
      <c r="V194" s="185"/>
    </row>
    <row r="195" spans="1:22" ht="18" hidden="1" customHeight="1">
      <c r="A195" s="168"/>
      <c r="B195" s="5"/>
      <c r="C195" s="47" t="s">
        <v>654</v>
      </c>
      <c r="D195" s="14"/>
      <c r="E195" s="14"/>
      <c r="F195" s="18"/>
      <c r="G195" s="18"/>
      <c r="H195" s="279"/>
      <c r="I195" s="120"/>
      <c r="J195" s="279"/>
      <c r="K195" s="279"/>
      <c r="L195" s="14"/>
      <c r="M195" s="14"/>
      <c r="N195" s="14"/>
      <c r="O195" s="14"/>
      <c r="P195" s="14"/>
      <c r="Q195" s="120" t="s">
        <v>423</v>
      </c>
      <c r="R195" s="102" t="s">
        <v>127</v>
      </c>
      <c r="S195" s="689" t="str">
        <f>L180</f>
        <v>-</v>
      </c>
      <c r="T195" s="689"/>
      <c r="U195" s="14" t="s">
        <v>8</v>
      </c>
      <c r="V195" s="185"/>
    </row>
    <row r="196" spans="1:22" ht="18" hidden="1" customHeight="1">
      <c r="A196" s="168"/>
      <c r="B196" s="5"/>
      <c r="C196" s="47" t="s">
        <v>819</v>
      </c>
      <c r="E196" s="14"/>
      <c r="F196" s="18"/>
      <c r="G196" s="18"/>
      <c r="H196" s="279"/>
      <c r="I196" s="120"/>
      <c r="J196" s="279"/>
      <c r="K196" s="279"/>
      <c r="L196" s="14"/>
      <c r="M196" s="14"/>
      <c r="N196" s="14"/>
      <c r="O196" s="14"/>
      <c r="P196" s="14"/>
      <c r="Q196" s="120" t="s">
        <v>820</v>
      </c>
      <c r="R196" s="28" t="s">
        <v>127</v>
      </c>
      <c r="S196" s="692" t="e">
        <f>S194/S195*O180</f>
        <v>#VALUE!</v>
      </c>
      <c r="T196" s="692"/>
      <c r="U196" s="14" t="s">
        <v>8</v>
      </c>
      <c r="V196" s="185"/>
    </row>
    <row r="197" spans="1:22" ht="18" hidden="1" customHeight="1">
      <c r="A197" s="168"/>
      <c r="B197" s="5"/>
      <c r="C197" s="47" t="s">
        <v>821</v>
      </c>
      <c r="D197" s="14"/>
      <c r="E197" s="14"/>
      <c r="F197" s="18"/>
      <c r="G197" s="18"/>
      <c r="H197" s="279"/>
      <c r="I197" s="120"/>
      <c r="J197" s="279"/>
      <c r="K197" s="279"/>
      <c r="L197" s="14"/>
      <c r="M197" s="14"/>
      <c r="N197" s="14"/>
      <c r="O197" s="14"/>
      <c r="P197" s="14"/>
      <c r="Q197" s="120" t="s">
        <v>689</v>
      </c>
      <c r="R197" s="28" t="s">
        <v>127</v>
      </c>
      <c r="S197" s="692">
        <f>J192/O180*O180</f>
        <v>1.1770224400000002</v>
      </c>
      <c r="T197" s="692"/>
      <c r="U197" s="192" t="s">
        <v>333</v>
      </c>
      <c r="V197" s="185"/>
    </row>
    <row r="198" spans="1:22" ht="18" hidden="1" customHeight="1">
      <c r="A198" s="168"/>
      <c r="B198" s="5"/>
      <c r="C198" s="47" t="s">
        <v>822</v>
      </c>
      <c r="Q198" s="120" t="s">
        <v>823</v>
      </c>
      <c r="R198" s="28" t="s">
        <v>127</v>
      </c>
      <c r="S198" s="854">
        <f>S110</f>
        <v>50000</v>
      </c>
      <c r="T198" s="831"/>
      <c r="U198" s="14" t="s">
        <v>8</v>
      </c>
      <c r="V198" s="185"/>
    </row>
    <row r="199" spans="1:22" ht="18" hidden="1" customHeight="1">
      <c r="A199" s="299"/>
      <c r="B199" s="279"/>
      <c r="C199" s="47" t="s">
        <v>824</v>
      </c>
      <c r="Q199" s="244" t="s">
        <v>825</v>
      </c>
      <c r="R199" s="28" t="s">
        <v>127</v>
      </c>
      <c r="S199" s="795" t="e">
        <f>S198/S195</f>
        <v>#VALUE!</v>
      </c>
      <c r="T199" s="795"/>
      <c r="U199" s="14" t="s">
        <v>8</v>
      </c>
      <c r="V199" s="300"/>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85"/>
    </row>
    <row r="201" spans="1:22" ht="18" hidden="1" customHeight="1">
      <c r="A201" s="193" t="s">
        <v>755</v>
      </c>
      <c r="B201" s="14"/>
      <c r="C201" s="14"/>
      <c r="D201" s="14"/>
      <c r="E201" s="14"/>
      <c r="F201" s="14"/>
      <c r="G201" s="14"/>
      <c r="H201" s="14"/>
      <c r="K201" s="14"/>
      <c r="T201" s="14"/>
      <c r="U201" s="14"/>
      <c r="V201" s="185"/>
    </row>
    <row r="202" spans="1:22" ht="18" hidden="1" customHeight="1">
      <c r="A202" s="96"/>
      <c r="B202" s="14"/>
      <c r="C202" s="14"/>
      <c r="D202" s="14"/>
      <c r="E202" s="14"/>
      <c r="F202" s="14"/>
      <c r="G202" s="14"/>
      <c r="H202" s="14"/>
      <c r="K202" s="14"/>
      <c r="T202" s="14"/>
      <c r="U202" s="14"/>
      <c r="V202" s="185"/>
    </row>
    <row r="203" spans="1:22" ht="18" hidden="1" customHeight="1">
      <c r="A203" s="193" t="s">
        <v>826</v>
      </c>
      <c r="H203" s="28"/>
      <c r="I203" s="28"/>
      <c r="J203" s="28"/>
      <c r="K203" s="28"/>
      <c r="T203" s="14"/>
      <c r="U203" s="14"/>
      <c r="V203" s="185"/>
    </row>
    <row r="204" spans="1:22" ht="18" hidden="1" customHeight="1">
      <c r="A204" s="193"/>
      <c r="H204" s="28"/>
      <c r="I204" s="28"/>
      <c r="J204" s="28"/>
      <c r="K204" s="28"/>
      <c r="T204" s="14"/>
      <c r="U204" s="14"/>
      <c r="V204" s="185"/>
    </row>
    <row r="205" spans="1:22" ht="18" hidden="1" customHeight="1">
      <c r="A205" s="184"/>
      <c r="B205" s="689" t="s">
        <v>473</v>
      </c>
      <c r="C205" s="689"/>
      <c r="D205" s="28" t="s">
        <v>827</v>
      </c>
      <c r="E205" s="28">
        <v>0.5</v>
      </c>
      <c r="F205" s="28" t="s">
        <v>315</v>
      </c>
      <c r="G205" s="689" t="s">
        <v>820</v>
      </c>
      <c r="H205" s="689"/>
      <c r="I205" s="28" t="s">
        <v>672</v>
      </c>
      <c r="J205" s="689" t="s">
        <v>420</v>
      </c>
      <c r="K205" s="689"/>
      <c r="L205" s="28" t="s">
        <v>347</v>
      </c>
      <c r="M205" s="689" t="s">
        <v>689</v>
      </c>
      <c r="N205" s="689"/>
      <c r="O205" s="14" t="s">
        <v>350</v>
      </c>
      <c r="P205" s="14"/>
      <c r="Q205" s="14"/>
      <c r="R205" s="14"/>
      <c r="T205" s="14"/>
      <c r="U205" s="14"/>
      <c r="V205" s="185"/>
    </row>
    <row r="206" spans="1:22" ht="18" hidden="1" customHeight="1">
      <c r="A206" s="184"/>
      <c r="B206" s="14"/>
      <c r="C206" s="14"/>
      <c r="D206" s="102" t="s">
        <v>127</v>
      </c>
      <c r="E206" s="28">
        <v>0.5</v>
      </c>
      <c r="F206" s="28" t="s">
        <v>315</v>
      </c>
      <c r="G206" s="692" t="e">
        <f>S196</f>
        <v>#VALUE!</v>
      </c>
      <c r="H206" s="689"/>
      <c r="I206" s="28" t="s">
        <v>672</v>
      </c>
      <c r="J206" s="689">
        <f>L182</f>
        <v>0</v>
      </c>
      <c r="K206" s="689"/>
      <c r="L206" s="28" t="s">
        <v>347</v>
      </c>
      <c r="M206" s="692">
        <f>S197</f>
        <v>1.1770224400000002</v>
      </c>
      <c r="N206" s="689"/>
      <c r="O206" s="14" t="s">
        <v>350</v>
      </c>
      <c r="S206" s="14"/>
      <c r="T206" s="14"/>
      <c r="U206" s="14"/>
      <c r="V206" s="185"/>
    </row>
    <row r="207" spans="1:22" ht="18" hidden="1" customHeight="1">
      <c r="A207" s="184"/>
      <c r="B207" s="14"/>
      <c r="C207" s="14"/>
      <c r="D207" s="102" t="s">
        <v>127</v>
      </c>
      <c r="E207" s="692" t="e">
        <f>E206*G206*(J206+M206)</f>
        <v>#VALUE!</v>
      </c>
      <c r="F207" s="692"/>
      <c r="G207" s="211"/>
      <c r="H207" s="218"/>
      <c r="I207" s="14"/>
      <c r="J207" s="14"/>
      <c r="K207" s="14"/>
      <c r="L207" s="14"/>
      <c r="M207" s="14"/>
      <c r="N207" s="14"/>
      <c r="O207" s="14"/>
      <c r="P207" s="14"/>
      <c r="Q207" s="14"/>
      <c r="R207" s="14"/>
      <c r="V207" s="185"/>
    </row>
    <row r="208" spans="1:22" ht="18" hidden="1" customHeight="1">
      <c r="A208" s="184"/>
      <c r="B208" s="14"/>
      <c r="C208" s="14"/>
      <c r="D208" s="28"/>
      <c r="E208" s="218"/>
      <c r="F208" s="218"/>
      <c r="G208" s="211"/>
      <c r="H208" s="218"/>
      <c r="I208" s="14"/>
      <c r="J208" s="14"/>
      <c r="K208" s="14"/>
      <c r="L208" s="14"/>
      <c r="M208" s="14"/>
      <c r="N208" s="14"/>
      <c r="O208" s="14"/>
      <c r="P208" s="14"/>
      <c r="Q208" s="14"/>
      <c r="R208" s="14"/>
      <c r="V208" s="185"/>
    </row>
    <row r="209" spans="1:22" ht="18" hidden="1" customHeight="1">
      <c r="A209" s="193" t="s">
        <v>828</v>
      </c>
      <c r="B209" s="14"/>
      <c r="C209" s="14"/>
      <c r="D209" s="28"/>
      <c r="E209" s="218"/>
      <c r="F209" s="218"/>
      <c r="G209" s="211"/>
      <c r="H209" s="218"/>
      <c r="I209" s="14"/>
      <c r="J209" s="14"/>
      <c r="K209" s="14"/>
      <c r="L209" s="14"/>
      <c r="M209" s="14"/>
      <c r="N209" s="14"/>
      <c r="O209" s="14"/>
      <c r="P209" s="14"/>
      <c r="Q209" s="14"/>
      <c r="R209" s="14"/>
      <c r="V209" s="185"/>
    </row>
    <row r="210" spans="1:22" ht="18" hidden="1" customHeight="1">
      <c r="A210" s="184"/>
      <c r="B210" s="14"/>
      <c r="C210" s="14"/>
      <c r="D210" s="28"/>
      <c r="E210" s="218"/>
      <c r="F210" s="218"/>
      <c r="G210" s="211"/>
      <c r="H210" s="218"/>
      <c r="I210" s="14"/>
      <c r="J210" s="14"/>
      <c r="K210" s="14"/>
      <c r="L210" s="14"/>
      <c r="M210" s="14"/>
      <c r="N210" s="14"/>
      <c r="O210" s="14"/>
      <c r="P210" s="14"/>
      <c r="Q210" s="14"/>
      <c r="R210" s="14"/>
      <c r="V210" s="185"/>
    </row>
    <row r="211" spans="1:22" ht="18" hidden="1" customHeight="1">
      <c r="A211" s="184"/>
      <c r="B211" s="689" t="s">
        <v>473</v>
      </c>
      <c r="C211" s="689"/>
      <c r="D211" s="28" t="s">
        <v>827</v>
      </c>
      <c r="E211" s="689" t="s">
        <v>825</v>
      </c>
      <c r="F211" s="689"/>
      <c r="G211" s="28" t="s">
        <v>672</v>
      </c>
      <c r="H211" s="689" t="s">
        <v>420</v>
      </c>
      <c r="I211" s="689"/>
      <c r="J211" s="28" t="s">
        <v>347</v>
      </c>
      <c r="K211" s="689" t="s">
        <v>689</v>
      </c>
      <c r="L211" s="689"/>
      <c r="M211" s="14" t="s">
        <v>350</v>
      </c>
      <c r="P211" s="14"/>
      <c r="Q211" s="14"/>
      <c r="R211" s="14"/>
      <c r="V211" s="185"/>
    </row>
    <row r="212" spans="1:22" ht="18" hidden="1" customHeight="1">
      <c r="A212" s="184"/>
      <c r="B212" s="14"/>
      <c r="C212" s="14"/>
      <c r="D212" s="102" t="s">
        <v>127</v>
      </c>
      <c r="E212" s="692" t="e">
        <f>S199</f>
        <v>#VALUE!</v>
      </c>
      <c r="F212" s="689"/>
      <c r="G212" s="28" t="s">
        <v>672</v>
      </c>
      <c r="H212" s="689">
        <f>L182</f>
        <v>0</v>
      </c>
      <c r="I212" s="689"/>
      <c r="J212" s="28" t="s">
        <v>347</v>
      </c>
      <c r="K212" s="692">
        <f>S197</f>
        <v>1.1770224400000002</v>
      </c>
      <c r="L212" s="689"/>
      <c r="M212" s="14" t="s">
        <v>350</v>
      </c>
      <c r="N212" s="14"/>
      <c r="O212" s="14"/>
      <c r="P212" s="14"/>
      <c r="Q212" s="14"/>
      <c r="R212" s="14"/>
      <c r="V212" s="185"/>
    </row>
    <row r="213" spans="1:22" ht="18" hidden="1" customHeight="1">
      <c r="A213" s="184"/>
      <c r="B213" s="14"/>
      <c r="C213" s="14"/>
      <c r="D213" s="102" t="s">
        <v>127</v>
      </c>
      <c r="E213" s="692" t="e">
        <f>E212*(H212+K212)</f>
        <v>#VALUE!</v>
      </c>
      <c r="F213" s="692"/>
      <c r="G213" s="211"/>
      <c r="H213" s="218"/>
      <c r="I213" s="14"/>
      <c r="J213" s="14"/>
      <c r="K213" s="14"/>
      <c r="L213" s="14"/>
      <c r="M213" s="14"/>
      <c r="N213" s="14"/>
      <c r="O213" s="14"/>
      <c r="P213" s="14"/>
      <c r="Q213" s="14"/>
      <c r="R213" s="14"/>
      <c r="V213" s="185"/>
    </row>
    <row r="214" spans="1:22" ht="18" hidden="1" customHeight="1">
      <c r="A214" s="184"/>
      <c r="B214" s="14"/>
      <c r="C214" s="14"/>
      <c r="D214" s="102"/>
      <c r="E214" s="218"/>
      <c r="F214" s="218"/>
      <c r="G214" s="211"/>
      <c r="H214" s="218"/>
      <c r="I214" s="14"/>
      <c r="J214" s="14"/>
      <c r="K214" s="14"/>
      <c r="L214" s="14"/>
      <c r="M214" s="14"/>
      <c r="N214" s="14"/>
      <c r="O214" s="14"/>
      <c r="P214" s="14"/>
      <c r="Q214" s="14"/>
      <c r="R214" s="14"/>
      <c r="V214" s="185"/>
    </row>
    <row r="215" spans="1:22" ht="18" hidden="1" customHeight="1">
      <c r="A215" s="184"/>
      <c r="B215" s="14"/>
      <c r="C215" s="14"/>
      <c r="D215" s="102"/>
      <c r="E215" s="218"/>
      <c r="F215" s="218"/>
      <c r="G215" s="211"/>
      <c r="H215" s="218"/>
      <c r="I215" s="14"/>
      <c r="J215" s="14"/>
      <c r="K215" s="14"/>
      <c r="L215" s="14"/>
      <c r="M215" s="14"/>
      <c r="N215" s="14"/>
      <c r="O215" s="14"/>
      <c r="P215" s="14"/>
      <c r="Q215" s="14"/>
      <c r="R215" s="14"/>
      <c r="V215" s="185"/>
    </row>
    <row r="216" spans="1:22" ht="18" hidden="1" customHeight="1">
      <c r="A216" s="184"/>
      <c r="B216" s="14"/>
      <c r="C216" s="14"/>
      <c r="D216" s="102"/>
      <c r="E216" s="218"/>
      <c r="F216" s="218"/>
      <c r="G216" s="211"/>
      <c r="H216" s="218"/>
      <c r="I216" s="14"/>
      <c r="J216" s="14"/>
      <c r="K216" s="14"/>
      <c r="L216" s="14"/>
      <c r="M216" s="14"/>
      <c r="N216" s="14"/>
      <c r="O216" s="14"/>
      <c r="P216" s="14"/>
      <c r="Q216" s="14"/>
      <c r="R216" s="14"/>
      <c r="V216" s="185"/>
    </row>
    <row r="217" spans="1:22" ht="18" hidden="1" customHeight="1">
      <c r="A217" s="184"/>
      <c r="G217" s="211"/>
      <c r="H217" s="218"/>
      <c r="J217" s="28"/>
      <c r="K217" s="28"/>
      <c r="L217" s="28"/>
      <c r="M217" s="28"/>
      <c r="N217" s="28"/>
      <c r="O217" s="28"/>
      <c r="P217" s="28"/>
      <c r="Q217" s="28"/>
      <c r="R217" s="28"/>
      <c r="V217" s="185"/>
    </row>
    <row r="218" spans="1:22" ht="18" hidden="1" customHeight="1">
      <c r="A218" s="184"/>
      <c r="V218" s="185"/>
    </row>
    <row r="219" spans="1:22" ht="18" hidden="1" customHeight="1">
      <c r="A219" s="194"/>
      <c r="B219" s="195"/>
      <c r="C219" s="195"/>
      <c r="D219" s="195"/>
      <c r="E219" s="195"/>
      <c r="F219" s="195"/>
      <c r="G219" s="195"/>
      <c r="H219" s="195"/>
      <c r="I219" s="195"/>
      <c r="J219" s="195"/>
      <c r="K219" s="195"/>
      <c r="L219" s="195"/>
      <c r="M219" s="195"/>
      <c r="N219" s="195"/>
      <c r="O219" s="195"/>
      <c r="P219" s="195"/>
      <c r="Q219" s="224"/>
      <c r="R219" s="182"/>
      <c r="S219" s="225"/>
      <c r="T219" s="195"/>
      <c r="U219" s="195"/>
      <c r="V219" s="134" t="s">
        <v>552</v>
      </c>
    </row>
    <row r="220" spans="1:22" ht="18" hidden="1" customHeight="1">
      <c r="A220" s="135"/>
      <c r="B220" s="273"/>
      <c r="C220" s="273"/>
      <c r="D220" s="273"/>
      <c r="E220" s="273"/>
      <c r="F220" s="273"/>
      <c r="G220" s="273"/>
      <c r="H220" s="273"/>
      <c r="I220" s="273"/>
      <c r="J220" s="273"/>
      <c r="K220" s="273"/>
      <c r="L220" s="273"/>
      <c r="M220" s="273"/>
      <c r="N220" s="273"/>
      <c r="O220" s="273"/>
      <c r="P220" s="273"/>
      <c r="Q220" s="274"/>
      <c r="R220" s="138"/>
      <c r="S220" s="275"/>
      <c r="T220" s="273"/>
      <c r="U220" s="273"/>
      <c r="V220" s="276"/>
    </row>
    <row r="221" spans="1:22" ht="18" hidden="1" customHeight="1">
      <c r="A221" s="193" t="s">
        <v>829</v>
      </c>
      <c r="B221" s="197"/>
      <c r="C221" s="197"/>
      <c r="D221" s="197"/>
      <c r="E221" s="14"/>
      <c r="F221" s="14"/>
      <c r="G221" s="14"/>
      <c r="H221" s="14"/>
      <c r="I221" s="14"/>
      <c r="J221" s="14"/>
      <c r="K221" s="14"/>
      <c r="L221" s="14"/>
      <c r="M221" s="14"/>
      <c r="N221" s="14"/>
      <c r="O221" s="14"/>
      <c r="P221" s="27"/>
      <c r="Q221" s="28"/>
      <c r="T221" s="14"/>
      <c r="U221" s="14"/>
      <c r="V221" s="185"/>
    </row>
    <row r="222" spans="1:22" ht="18" hidden="1" customHeight="1">
      <c r="A222" s="193"/>
      <c r="B222" s="197"/>
      <c r="C222" s="197"/>
      <c r="D222" s="197"/>
      <c r="E222" s="14"/>
      <c r="F222" s="14"/>
      <c r="G222" s="14"/>
      <c r="H222" s="14"/>
      <c r="I222" s="14"/>
      <c r="J222" s="14"/>
      <c r="K222" s="14"/>
      <c r="L222" s="14"/>
      <c r="M222" s="14"/>
      <c r="N222" s="14"/>
      <c r="O222" s="14"/>
      <c r="P222" s="27"/>
      <c r="Q222" s="28"/>
      <c r="T222" s="14"/>
      <c r="U222" s="14"/>
      <c r="V222" s="185"/>
    </row>
    <row r="223" spans="1:22" ht="18" hidden="1" customHeight="1">
      <c r="A223" s="96"/>
      <c r="B223" s="197" t="s">
        <v>826</v>
      </c>
      <c r="C223" s="197"/>
      <c r="D223" s="14"/>
      <c r="E223" s="14"/>
      <c r="F223" s="14"/>
      <c r="G223" s="14"/>
      <c r="H223" s="14"/>
      <c r="I223" s="14"/>
      <c r="J223" s="14"/>
      <c r="K223" s="14"/>
      <c r="L223" s="14"/>
      <c r="M223" s="14"/>
      <c r="N223" s="14"/>
      <c r="O223" s="14"/>
      <c r="P223" s="14"/>
      <c r="Q223" s="14"/>
      <c r="R223" s="14"/>
      <c r="S223" s="14"/>
      <c r="T223" s="14"/>
      <c r="U223" s="14"/>
      <c r="V223" s="185"/>
    </row>
    <row r="224" spans="1:22" ht="18" hidden="1" customHeight="1">
      <c r="A224" s="96"/>
      <c r="B224" s="14"/>
      <c r="C224" s="14"/>
      <c r="D224" s="14"/>
      <c r="E224" s="14"/>
      <c r="F224" s="244" t="s">
        <v>475</v>
      </c>
      <c r="G224" s="28" t="e">
        <f>IF(E225&gt;H225, "&gt;","&lt;")</f>
        <v>#VALUE!</v>
      </c>
      <c r="H224" s="14" t="s">
        <v>477</v>
      </c>
      <c r="I224" s="14"/>
      <c r="J224" s="14"/>
      <c r="K224" s="14"/>
      <c r="L224" s="14" t="s">
        <v>830</v>
      </c>
      <c r="M224" s="14"/>
      <c r="N224" s="14"/>
      <c r="O224" s="14"/>
      <c r="P224" s="14"/>
      <c r="Q224" s="14"/>
      <c r="R224" s="14"/>
      <c r="S224" s="14"/>
      <c r="T224" s="14"/>
      <c r="U224" s="14"/>
      <c r="V224" s="185"/>
    </row>
    <row r="225" spans="1:22" ht="18" hidden="1" customHeight="1">
      <c r="A225" s="96"/>
      <c r="B225" s="14"/>
      <c r="C225" s="14"/>
      <c r="D225" s="14"/>
      <c r="E225" s="834">
        <f>L183</f>
        <v>0</v>
      </c>
      <c r="F225" s="834"/>
      <c r="G225" s="28" t="e">
        <f>G224</f>
        <v>#VALUE!</v>
      </c>
      <c r="H225" s="692" t="e">
        <f>E207</f>
        <v>#VALUE!</v>
      </c>
      <c r="I225" s="692"/>
      <c r="J225" s="14"/>
      <c r="K225" s="14"/>
      <c r="L225" s="14"/>
      <c r="M225" s="14"/>
      <c r="N225" s="14"/>
      <c r="O225" s="14"/>
      <c r="P225" s="14"/>
      <c r="Q225" s="14"/>
      <c r="R225" s="14"/>
      <c r="S225" s="14"/>
      <c r="T225" s="14"/>
      <c r="U225" s="14"/>
      <c r="V225" s="185"/>
    </row>
    <row r="226" spans="1:22" ht="18" hidden="1" customHeight="1">
      <c r="A226" s="184"/>
      <c r="D226" s="211"/>
      <c r="E226" s="218"/>
      <c r="F226" s="199" t="s">
        <v>831</v>
      </c>
      <c r="G226" s="211"/>
      <c r="H226" s="281" t="s">
        <v>832</v>
      </c>
      <c r="J226" s="28" t="s">
        <v>833</v>
      </c>
      <c r="K226" s="18" t="e">
        <f>IF(G225="&gt;", "Satisfied", "Not Satisfied")</f>
        <v>#VALUE!</v>
      </c>
      <c r="P226" s="14"/>
      <c r="Q226" s="14"/>
      <c r="R226" s="14"/>
      <c r="S226" s="14"/>
      <c r="T226" s="14"/>
      <c r="U226" s="14"/>
      <c r="V226" s="185"/>
    </row>
    <row r="227" spans="1:22" ht="18" hidden="1" customHeight="1">
      <c r="A227" s="96"/>
      <c r="B227" s="197" t="s">
        <v>828</v>
      </c>
      <c r="C227" s="197"/>
      <c r="D227" s="14"/>
      <c r="E227" s="14"/>
      <c r="F227" s="14"/>
      <c r="G227" s="14"/>
      <c r="H227" s="14"/>
      <c r="I227" s="14"/>
      <c r="J227" s="14"/>
      <c r="K227" s="14"/>
      <c r="L227" s="14"/>
      <c r="M227" s="14"/>
      <c r="N227" s="14"/>
      <c r="O227" s="14"/>
      <c r="P227" s="120"/>
      <c r="Q227" s="296"/>
      <c r="V227" s="185"/>
    </row>
    <row r="228" spans="1:22" ht="18" hidden="1" customHeight="1">
      <c r="A228" s="96"/>
      <c r="B228" s="14"/>
      <c r="C228" s="14"/>
      <c r="D228" s="14"/>
      <c r="E228" s="14"/>
      <c r="F228" s="244" t="s">
        <v>475</v>
      </c>
      <c r="G228" s="28" t="e">
        <f>IF(E229&gt;H229, "&gt;","&lt;")</f>
        <v>#VALUE!</v>
      </c>
      <c r="H228" s="14" t="s">
        <v>477</v>
      </c>
      <c r="I228" s="14"/>
      <c r="J228" s="14"/>
      <c r="K228" s="14"/>
      <c r="L228" s="14" t="s">
        <v>834</v>
      </c>
      <c r="M228" s="14"/>
      <c r="N228" s="14"/>
      <c r="O228" s="14"/>
      <c r="P228" s="301"/>
      <c r="Q228" s="461"/>
      <c r="V228" s="185"/>
    </row>
    <row r="229" spans="1:22" ht="18" hidden="1" customHeight="1">
      <c r="A229" s="96"/>
      <c r="B229" s="14"/>
      <c r="C229" s="14"/>
      <c r="D229" s="14"/>
      <c r="E229" s="834">
        <f>L183</f>
        <v>0</v>
      </c>
      <c r="F229" s="834"/>
      <c r="G229" s="28" t="e">
        <f>G228</f>
        <v>#VALUE!</v>
      </c>
      <c r="H229" s="692" t="e">
        <f>E213</f>
        <v>#VALUE!</v>
      </c>
      <c r="I229" s="692"/>
      <c r="J229" s="14"/>
      <c r="K229" s="14"/>
      <c r="L229" s="14"/>
      <c r="M229" s="14"/>
      <c r="N229" s="14"/>
      <c r="O229" s="14"/>
      <c r="V229" s="185"/>
    </row>
    <row r="230" spans="1:22" ht="18" hidden="1" customHeight="1">
      <c r="A230" s="184"/>
      <c r="D230" s="211"/>
      <c r="E230" s="14"/>
      <c r="F230" s="199" t="s">
        <v>831</v>
      </c>
      <c r="G230" s="211"/>
      <c r="H230" s="281" t="s">
        <v>828</v>
      </c>
      <c r="J230" s="28" t="s">
        <v>833</v>
      </c>
      <c r="K230" s="18" t="e">
        <f>IF(G229="&gt;", "Satisfied", "Not Satisfied")</f>
        <v>#VALUE!</v>
      </c>
      <c r="P230" s="232"/>
      <c r="Q230" s="232"/>
      <c r="R230" s="232"/>
      <c r="S230" s="232"/>
      <c r="T230" s="232"/>
      <c r="U230" s="232"/>
      <c r="V230" s="233"/>
    </row>
    <row r="231" spans="1:22" ht="18" hidden="1" customHeight="1">
      <c r="A231" s="184"/>
      <c r="H231" s="28"/>
      <c r="I231" s="28"/>
      <c r="J231" s="28"/>
      <c r="K231" s="28"/>
      <c r="L231" s="28"/>
      <c r="M231" s="28"/>
      <c r="N231" s="28"/>
      <c r="O231" s="28"/>
      <c r="P231" s="232"/>
      <c r="Q231" s="232"/>
      <c r="R231" s="232"/>
      <c r="S231" s="232"/>
      <c r="T231" s="232"/>
      <c r="U231" s="232"/>
      <c r="V231" s="233"/>
    </row>
    <row r="232" spans="1:22" ht="18" hidden="1" customHeight="1">
      <c r="A232" s="96"/>
      <c r="B232" s="14"/>
      <c r="C232" s="14"/>
      <c r="D232" s="14"/>
      <c r="E232" s="14"/>
      <c r="F232" s="244" t="s">
        <v>478</v>
      </c>
      <c r="G232" s="14"/>
      <c r="H232" s="18" t="e">
        <f>IF(AND(E225&gt;H225,E229&gt;H229),"Suitably Dimentioned","Under Dimentioned")</f>
        <v>#VALUE!</v>
      </c>
      <c r="I232" s="18"/>
      <c r="J232" s="18"/>
      <c r="K232" s="18"/>
      <c r="L232" s="18"/>
      <c r="M232" s="18"/>
      <c r="N232" s="14"/>
      <c r="O232" s="14"/>
      <c r="V232" s="185"/>
    </row>
    <row r="233" spans="1:22" ht="18" hidden="1" customHeight="1">
      <c r="A233" s="184"/>
      <c r="B233" s="27"/>
      <c r="C233" s="27"/>
      <c r="D233" s="27"/>
      <c r="E233" s="28"/>
      <c r="F233" s="27"/>
      <c r="G233" s="28"/>
      <c r="H233" s="27"/>
      <c r="I233" s="28"/>
      <c r="J233" s="27"/>
      <c r="K233" s="27"/>
      <c r="L233" s="27"/>
      <c r="M233" s="27"/>
      <c r="V233" s="185"/>
    </row>
    <row r="234" spans="1:22" ht="18" hidden="1" customHeight="1">
      <c r="A234" s="184"/>
      <c r="C234" s="27"/>
      <c r="D234" s="245"/>
      <c r="E234" s="221"/>
      <c r="F234" s="245"/>
      <c r="G234" s="222"/>
      <c r="H234" s="245"/>
      <c r="I234" s="245"/>
      <c r="J234" s="245"/>
      <c r="K234" s="245"/>
      <c r="L234" s="245"/>
      <c r="M234" s="27"/>
      <c r="V234" s="185"/>
    </row>
    <row r="235" spans="1:22" ht="18" hidden="1" customHeight="1">
      <c r="A235" s="184"/>
      <c r="C235" s="27"/>
      <c r="D235" s="204"/>
      <c r="E235" s="204"/>
      <c r="G235" s="18"/>
      <c r="V235" s="185"/>
    </row>
    <row r="236" spans="1:22" ht="18" hidden="1" customHeight="1">
      <c r="A236" s="96"/>
      <c r="B236" s="14"/>
      <c r="C236" s="14"/>
      <c r="D236" s="14"/>
      <c r="E236" s="14"/>
      <c r="F236" s="14"/>
      <c r="G236" s="14"/>
      <c r="H236" s="14"/>
      <c r="I236" s="14"/>
      <c r="J236" s="14"/>
      <c r="K236" s="14"/>
      <c r="L236" s="14"/>
      <c r="M236" s="14"/>
      <c r="N236" s="14"/>
      <c r="O236" s="14"/>
      <c r="P236" s="14"/>
      <c r="Q236" s="120"/>
      <c r="R236" s="28"/>
      <c r="S236" s="525"/>
      <c r="T236" s="14"/>
      <c r="U236" s="14"/>
      <c r="V236" s="381"/>
    </row>
    <row r="237" spans="1:22" ht="18" hidden="1" customHeight="1">
      <c r="A237" s="96"/>
      <c r="B237" s="14"/>
      <c r="C237" s="14"/>
      <c r="D237" s="14"/>
      <c r="E237" s="14"/>
      <c r="F237" s="14"/>
      <c r="G237" s="14"/>
      <c r="H237" s="14"/>
      <c r="I237" s="14"/>
      <c r="J237" s="14"/>
      <c r="K237" s="14"/>
      <c r="L237" s="14"/>
      <c r="M237" s="14"/>
      <c r="N237" s="14"/>
      <c r="O237" s="14"/>
      <c r="P237" s="14"/>
      <c r="Q237" s="120"/>
      <c r="R237" s="28"/>
      <c r="S237" s="525"/>
      <c r="T237" s="14"/>
      <c r="U237" s="14"/>
      <c r="V237" s="381"/>
    </row>
    <row r="238" spans="1:22" ht="18" hidden="1" customHeight="1">
      <c r="A238" s="96"/>
      <c r="B238" s="14"/>
      <c r="C238" s="14"/>
      <c r="D238" s="14"/>
      <c r="E238" s="14"/>
      <c r="F238" s="14"/>
      <c r="G238" s="14"/>
      <c r="H238" s="14"/>
      <c r="I238" s="14"/>
      <c r="J238" s="14"/>
      <c r="K238" s="14"/>
      <c r="L238" s="14"/>
      <c r="M238" s="14"/>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96"/>
      <c r="B253" s="14"/>
      <c r="C253" s="14"/>
      <c r="D253" s="14"/>
      <c r="E253" s="14"/>
      <c r="F253" s="14"/>
      <c r="G253" s="14"/>
      <c r="H253" s="14"/>
      <c r="I253" s="14"/>
      <c r="J253" s="14"/>
      <c r="K253" s="14"/>
      <c r="L253" s="14"/>
      <c r="M253" s="14"/>
      <c r="N253" s="14"/>
      <c r="O253" s="14"/>
      <c r="P253" s="14"/>
      <c r="Q253" s="120"/>
      <c r="R253" s="28"/>
      <c r="S253" s="525"/>
      <c r="T253" s="14"/>
      <c r="U253" s="14"/>
      <c r="V253" s="381"/>
    </row>
    <row r="254" spans="1:22" ht="18" hidden="1" customHeight="1">
      <c r="A254" s="96"/>
      <c r="B254" s="14"/>
      <c r="C254" s="14"/>
      <c r="D254" s="14"/>
      <c r="E254" s="14"/>
      <c r="F254" s="14"/>
      <c r="G254" s="14"/>
      <c r="H254" s="14"/>
      <c r="I254" s="14"/>
      <c r="J254" s="14"/>
      <c r="K254" s="14"/>
      <c r="L254" s="14"/>
      <c r="M254" s="14"/>
      <c r="N254" s="14"/>
      <c r="O254" s="14"/>
      <c r="P254" s="14"/>
      <c r="Q254" s="120"/>
      <c r="R254" s="28"/>
      <c r="S254" s="525"/>
      <c r="T254" s="14"/>
      <c r="U254" s="14"/>
      <c r="V254" s="381"/>
    </row>
    <row r="255" spans="1:22" ht="18" hidden="1" customHeight="1">
      <c r="A255" s="96"/>
      <c r="B255" s="14"/>
      <c r="C255" s="14"/>
      <c r="D255" s="14"/>
      <c r="E255" s="14"/>
      <c r="F255" s="14"/>
      <c r="G255" s="14"/>
      <c r="H255" s="14"/>
      <c r="I255" s="14"/>
      <c r="J255" s="14"/>
      <c r="K255" s="14"/>
      <c r="L255" s="14"/>
      <c r="M255" s="14"/>
      <c r="N255" s="14"/>
      <c r="O255" s="14"/>
      <c r="P255" s="14"/>
      <c r="Q255" s="120"/>
      <c r="R255" s="28"/>
      <c r="S255" s="525"/>
      <c r="T255" s="14"/>
      <c r="U255" s="14"/>
      <c r="V255" s="381"/>
    </row>
    <row r="256" spans="1:22" ht="18" hidden="1" customHeight="1">
      <c r="A256" s="96"/>
      <c r="B256" s="14"/>
      <c r="C256" s="14"/>
      <c r="D256" s="14"/>
      <c r="E256" s="14"/>
      <c r="F256" s="14"/>
      <c r="G256" s="14"/>
      <c r="H256" s="14"/>
      <c r="I256" s="14"/>
      <c r="J256" s="14"/>
      <c r="K256" s="14"/>
      <c r="L256" s="14"/>
      <c r="M256" s="14"/>
      <c r="N256" s="14"/>
      <c r="O256" s="14"/>
      <c r="P256" s="14"/>
      <c r="Q256" s="120"/>
      <c r="R256" s="28"/>
      <c r="S256" s="525"/>
      <c r="T256" s="14"/>
      <c r="U256" s="14"/>
      <c r="V256" s="381"/>
    </row>
    <row r="257" spans="1:22" ht="18" hidden="1" customHeight="1">
      <c r="A257" s="96"/>
      <c r="B257" s="14"/>
      <c r="C257" s="14"/>
      <c r="D257" s="14"/>
      <c r="E257" s="14"/>
      <c r="F257" s="14"/>
      <c r="G257" s="14"/>
      <c r="H257" s="14"/>
      <c r="I257" s="14"/>
      <c r="J257" s="14"/>
      <c r="K257" s="14"/>
      <c r="L257" s="14"/>
      <c r="M257" s="14"/>
      <c r="N257" s="14"/>
      <c r="O257" s="14"/>
      <c r="P257" s="14"/>
      <c r="Q257" s="120"/>
      <c r="R257" s="28"/>
      <c r="S257" s="525"/>
      <c r="T257" s="14"/>
      <c r="U257" s="14"/>
      <c r="V257" s="381"/>
    </row>
    <row r="258" spans="1:22" ht="18" hidden="1" customHeight="1">
      <c r="A258" s="96"/>
      <c r="B258" s="14"/>
      <c r="C258" s="14"/>
      <c r="D258" s="14"/>
      <c r="E258" s="14"/>
      <c r="F258" s="14"/>
      <c r="G258" s="14"/>
      <c r="H258" s="14"/>
      <c r="I258" s="14"/>
      <c r="J258" s="14"/>
      <c r="K258" s="14"/>
      <c r="L258" s="14"/>
      <c r="M258" s="14"/>
      <c r="N258" s="14"/>
      <c r="O258" s="14"/>
      <c r="P258" s="14"/>
      <c r="Q258" s="120"/>
      <c r="R258" s="28"/>
      <c r="S258" s="525"/>
      <c r="T258" s="14"/>
      <c r="U258" s="14"/>
      <c r="V258" s="381"/>
    </row>
    <row r="259" spans="1:22" ht="18" hidden="1" customHeight="1">
      <c r="A259" s="96"/>
      <c r="B259" s="14"/>
      <c r="C259" s="14"/>
      <c r="D259" s="14"/>
      <c r="E259" s="14"/>
      <c r="F259" s="14"/>
      <c r="G259" s="14"/>
      <c r="H259" s="14"/>
      <c r="I259" s="14"/>
      <c r="J259" s="14"/>
      <c r="K259" s="14"/>
      <c r="L259" s="14"/>
      <c r="M259" s="14"/>
      <c r="N259" s="14"/>
      <c r="O259" s="14"/>
      <c r="P259" s="14"/>
      <c r="Q259" s="120"/>
      <c r="R259" s="28"/>
      <c r="S259" s="525"/>
      <c r="T259" s="14"/>
      <c r="U259" s="14"/>
      <c r="V259" s="381"/>
    </row>
    <row r="260" spans="1:22" ht="18" hidden="1" customHeight="1">
      <c r="A260" s="96"/>
      <c r="B260" s="14"/>
      <c r="C260" s="14"/>
      <c r="D260" s="14"/>
      <c r="E260" s="14"/>
      <c r="F260" s="14"/>
      <c r="G260" s="14"/>
      <c r="H260" s="14"/>
      <c r="I260" s="14"/>
      <c r="J260" s="14"/>
      <c r="K260" s="14"/>
      <c r="L260" s="14"/>
      <c r="M260" s="14"/>
      <c r="N260" s="14"/>
      <c r="O260" s="14"/>
      <c r="P260" s="14"/>
      <c r="Q260" s="120"/>
      <c r="R260" s="28"/>
      <c r="S260" s="525"/>
      <c r="T260" s="14"/>
      <c r="U260" s="14"/>
      <c r="V260" s="381"/>
    </row>
    <row r="261" spans="1:22" ht="18" hidden="1" customHeight="1">
      <c r="A261" s="96"/>
      <c r="B261" s="14"/>
      <c r="C261" s="14"/>
      <c r="D261" s="14"/>
      <c r="E261" s="14"/>
      <c r="F261" s="14"/>
      <c r="G261" s="14"/>
      <c r="H261" s="14"/>
      <c r="I261" s="14"/>
      <c r="J261" s="14"/>
      <c r="K261" s="14"/>
      <c r="L261" s="14"/>
      <c r="M261" s="14"/>
      <c r="N261" s="14"/>
      <c r="O261" s="14"/>
      <c r="P261" s="14"/>
      <c r="Q261" s="120"/>
      <c r="R261" s="28"/>
      <c r="S261" s="525"/>
      <c r="T261" s="14"/>
      <c r="U261" s="14"/>
      <c r="V261" s="381"/>
    </row>
    <row r="262" spans="1:22" ht="18" hidden="1" customHeight="1">
      <c r="A262" s="96"/>
      <c r="B262" s="14"/>
      <c r="C262" s="14"/>
      <c r="D262" s="14"/>
      <c r="E262" s="14"/>
      <c r="F262" s="14"/>
      <c r="G262" s="14"/>
      <c r="H262" s="14"/>
      <c r="I262" s="14"/>
      <c r="J262" s="14"/>
      <c r="K262" s="14"/>
      <c r="L262" s="14"/>
      <c r="M262" s="14"/>
      <c r="N262" s="14"/>
      <c r="O262" s="14"/>
      <c r="P262" s="14"/>
      <c r="Q262" s="120"/>
      <c r="R262" s="28"/>
      <c r="S262" s="525"/>
      <c r="T262" s="14"/>
      <c r="U262" s="14"/>
      <c r="V262" s="381"/>
    </row>
    <row r="263" spans="1:22" ht="18" hidden="1" customHeight="1">
      <c r="A263" s="194"/>
      <c r="B263" s="195"/>
      <c r="C263" s="195"/>
      <c r="D263" s="195"/>
      <c r="E263" s="195"/>
      <c r="F263" s="195"/>
      <c r="G263" s="195"/>
      <c r="H263" s="195"/>
      <c r="I263" s="195"/>
      <c r="J263" s="195"/>
      <c r="K263" s="195"/>
      <c r="L263" s="195"/>
      <c r="M263" s="195"/>
      <c r="N263" s="195"/>
      <c r="O263" s="195"/>
      <c r="P263" s="195"/>
      <c r="Q263" s="224"/>
      <c r="R263" s="182"/>
      <c r="S263" s="225"/>
      <c r="T263" s="195"/>
      <c r="U263" s="195"/>
      <c r="V263" s="134" t="s">
        <v>552</v>
      </c>
    </row>
    <row r="264" spans="1:22" ht="18" customHeight="1">
      <c r="A264" s="226"/>
      <c r="B264" s="227"/>
      <c r="C264" s="227"/>
      <c r="D264" s="227"/>
      <c r="E264" s="227"/>
      <c r="F264" s="227"/>
      <c r="G264" s="227"/>
      <c r="H264" s="227"/>
      <c r="I264" s="227"/>
      <c r="J264" s="227"/>
      <c r="K264" s="227"/>
      <c r="L264" s="227"/>
      <c r="M264" s="227"/>
      <c r="N264" s="227"/>
      <c r="O264" s="227"/>
      <c r="P264" s="227"/>
      <c r="Q264" s="227"/>
      <c r="R264" s="227"/>
      <c r="S264" s="227"/>
      <c r="T264" s="227"/>
      <c r="U264" s="227"/>
      <c r="V264" s="228"/>
    </row>
    <row r="265" spans="1:22" ht="18" customHeight="1">
      <c r="A265" s="262" t="s">
        <v>501</v>
      </c>
      <c r="B265" s="14"/>
      <c r="C265" s="14"/>
      <c r="D265" s="120"/>
      <c r="E265" s="120"/>
      <c r="F265" s="18"/>
      <c r="G265" s="18"/>
      <c r="H265" s="14"/>
      <c r="I265" s="14"/>
      <c r="J265" s="14"/>
      <c r="K265" s="14"/>
      <c r="V265" s="185"/>
    </row>
    <row r="266" spans="1:22" ht="18" customHeight="1">
      <c r="A266" s="955" t="s">
        <v>85</v>
      </c>
      <c r="B266" s="956"/>
      <c r="C266" s="957"/>
      <c r="D266" s="955" t="s">
        <v>86</v>
      </c>
      <c r="E266" s="956"/>
      <c r="F266" s="957"/>
      <c r="G266" s="955" t="s">
        <v>87</v>
      </c>
      <c r="H266" s="957"/>
      <c r="I266" s="955" t="s">
        <v>88</v>
      </c>
      <c r="J266" s="957"/>
      <c r="K266" s="955" t="s">
        <v>502</v>
      </c>
      <c r="L266" s="957"/>
      <c r="M266" s="955" t="s">
        <v>503</v>
      </c>
      <c r="N266" s="957"/>
      <c r="O266" s="955" t="s">
        <v>504</v>
      </c>
      <c r="P266" s="957"/>
      <c r="Q266" s="955" t="s">
        <v>505</v>
      </c>
      <c r="R266" s="957"/>
      <c r="S266" s="955" t="s">
        <v>93</v>
      </c>
      <c r="T266" s="956"/>
      <c r="U266" s="956"/>
      <c r="V266" s="957"/>
    </row>
    <row r="267" spans="1:22" ht="18" customHeight="1">
      <c r="A267" s="1125"/>
      <c r="B267" s="983"/>
      <c r="C267" s="1126"/>
      <c r="D267" s="1125"/>
      <c r="E267" s="983"/>
      <c r="F267" s="1126"/>
      <c r="G267" s="1125"/>
      <c r="H267" s="1126"/>
      <c r="I267" s="1125"/>
      <c r="J267" s="1126"/>
      <c r="K267" s="1125"/>
      <c r="L267" s="1126"/>
      <c r="M267" s="1125"/>
      <c r="N267" s="1126"/>
      <c r="O267" s="1125"/>
      <c r="P267" s="1126"/>
      <c r="Q267" s="1125"/>
      <c r="R267" s="1126"/>
      <c r="S267" s="1125"/>
      <c r="T267" s="983"/>
      <c r="U267" s="983"/>
      <c r="V267" s="1126"/>
    </row>
    <row r="268" spans="1:22" ht="18" customHeight="1">
      <c r="A268" s="1125"/>
      <c r="B268" s="983"/>
      <c r="C268" s="1126"/>
      <c r="D268" s="1125"/>
      <c r="E268" s="983"/>
      <c r="F268" s="1126"/>
      <c r="G268" s="1125"/>
      <c r="H268" s="1126"/>
      <c r="I268" s="1125"/>
      <c r="J268" s="1126"/>
      <c r="K268" s="1125"/>
      <c r="L268" s="1126"/>
      <c r="M268" s="1125"/>
      <c r="N268" s="1126"/>
      <c r="O268" s="1125"/>
      <c r="P268" s="1126"/>
      <c r="Q268" s="1125"/>
      <c r="R268" s="1126"/>
      <c r="S268" s="1125"/>
      <c r="T268" s="983"/>
      <c r="U268" s="983"/>
      <c r="V268" s="1126"/>
    </row>
    <row r="269" spans="1:22" ht="18" customHeight="1">
      <c r="A269" s="1047"/>
      <c r="B269" s="1048"/>
      <c r="C269" s="1049"/>
      <c r="D269" s="1047"/>
      <c r="E269" s="1048"/>
      <c r="F269" s="1049"/>
      <c r="G269" s="1047"/>
      <c r="H269" s="1049"/>
      <c r="I269" s="1047"/>
      <c r="J269" s="1049"/>
      <c r="K269" s="1047"/>
      <c r="L269" s="1049"/>
      <c r="M269" s="1047"/>
      <c r="N269" s="1049"/>
      <c r="O269" s="1047"/>
      <c r="P269" s="1049"/>
      <c r="Q269" s="1047"/>
      <c r="R269" s="1049"/>
      <c r="S269" s="1047"/>
      <c r="T269" s="1048"/>
      <c r="U269" s="1048"/>
      <c r="V269" s="1049"/>
    </row>
    <row r="270" spans="1:22" ht="18" customHeight="1">
      <c r="A270" s="765" t="str">
        <f>B7</f>
        <v>T1</v>
      </c>
      <c r="B270" s="765" t="str">
        <f>D7</f>
        <v>Core2</v>
      </c>
      <c r="C270" s="765"/>
      <c r="D270" s="870">
        <f>H10</f>
        <v>2500</v>
      </c>
      <c r="E270" s="870"/>
      <c r="F270" s="871">
        <f>O10</f>
        <v>1</v>
      </c>
      <c r="G270" s="870">
        <f>'CT-VT Burdens'!S21</f>
        <v>120</v>
      </c>
      <c r="H270" s="874">
        <f>'CT-VT Burdens'!S10</f>
        <v>6</v>
      </c>
      <c r="I270" s="874" t="str">
        <f>H11</f>
        <v>PX-B</v>
      </c>
      <c r="J270" s="874" t="e">
        <f>#REF!</f>
        <v>#REF!</v>
      </c>
      <c r="K270" s="869">
        <f>H12</f>
        <v>5</v>
      </c>
      <c r="L270" s="869"/>
      <c r="M270" s="869">
        <f>H13</f>
        <v>750</v>
      </c>
      <c r="N270" s="869"/>
      <c r="O270" s="870">
        <f>H14</f>
        <v>60</v>
      </c>
      <c r="P270" s="870"/>
      <c r="Q270" s="879" t="str">
        <f>T7</f>
        <v>P743</v>
      </c>
      <c r="R270" s="879"/>
      <c r="S270" s="878" t="str">
        <f>H59</f>
        <v>Suitably Dimentioned</v>
      </c>
      <c r="T270" s="878"/>
      <c r="U270" s="878"/>
      <c r="V270" s="878"/>
    </row>
    <row r="271" spans="1:22" ht="18" customHeight="1">
      <c r="A271" s="765"/>
      <c r="B271" s="765"/>
      <c r="C271" s="765"/>
      <c r="D271" s="876" t="s">
        <v>6</v>
      </c>
      <c r="E271" s="870"/>
      <c r="F271" s="872"/>
      <c r="G271" s="870"/>
      <c r="H271" s="870"/>
      <c r="I271" s="874"/>
      <c r="J271" s="874"/>
      <c r="K271" s="875" t="s">
        <v>6</v>
      </c>
      <c r="L271" s="869"/>
      <c r="M271" s="875" t="s">
        <v>6</v>
      </c>
      <c r="N271" s="869"/>
      <c r="O271" s="876" t="s">
        <v>6</v>
      </c>
      <c r="P271" s="870"/>
      <c r="Q271" s="879"/>
      <c r="R271" s="879"/>
      <c r="S271" s="877" t="s">
        <v>6</v>
      </c>
      <c r="T271" s="878"/>
      <c r="U271" s="878"/>
      <c r="V271" s="878"/>
    </row>
    <row r="272" spans="1:22" ht="18" customHeight="1">
      <c r="A272" s="765"/>
      <c r="B272" s="765"/>
      <c r="C272" s="765"/>
      <c r="D272" s="876" t="s">
        <v>6</v>
      </c>
      <c r="E272" s="870"/>
      <c r="F272" s="873"/>
      <c r="G272" s="870"/>
      <c r="H272" s="870"/>
      <c r="I272" s="874"/>
      <c r="J272" s="874"/>
      <c r="K272" s="875" t="s">
        <v>6</v>
      </c>
      <c r="L272" s="869"/>
      <c r="M272" s="875" t="s">
        <v>6</v>
      </c>
      <c r="N272" s="869"/>
      <c r="O272" s="876" t="s">
        <v>6</v>
      </c>
      <c r="P272" s="870"/>
      <c r="Q272" s="879"/>
      <c r="R272" s="879"/>
      <c r="S272" s="878" t="s">
        <v>6</v>
      </c>
      <c r="T272" s="878"/>
      <c r="U272" s="878"/>
      <c r="V272" s="878"/>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94"/>
      <c r="B304" s="195"/>
      <c r="C304" s="195"/>
      <c r="D304" s="195"/>
      <c r="E304" s="195"/>
      <c r="F304" s="195"/>
      <c r="G304" s="195"/>
      <c r="H304" s="195"/>
      <c r="I304" s="195"/>
      <c r="J304" s="195"/>
      <c r="K304" s="195"/>
      <c r="L304" s="195"/>
      <c r="M304" s="195"/>
      <c r="N304" s="195"/>
      <c r="O304" s="195"/>
      <c r="P304" s="195"/>
      <c r="Q304" s="224"/>
      <c r="R304" s="182"/>
      <c r="S304" s="225"/>
      <c r="T304" s="195"/>
      <c r="U304" s="195"/>
      <c r="V304" s="134"/>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9:C89"/>
    <mergeCell ref="D89:E89"/>
    <mergeCell ref="H89:M89"/>
    <mergeCell ref="E37:F37"/>
    <mergeCell ref="B41:C41"/>
    <mergeCell ref="E41:F41"/>
    <mergeCell ref="H41:I41"/>
    <mergeCell ref="K41:L41"/>
    <mergeCell ref="E42:F42"/>
    <mergeCell ref="H42:I42"/>
    <mergeCell ref="K42:L42"/>
    <mergeCell ref="T89:U89"/>
    <mergeCell ref="T90:U90"/>
    <mergeCell ref="H91:I91"/>
    <mergeCell ref="J91:K91"/>
    <mergeCell ref="L91:M91"/>
    <mergeCell ref="T91:U91"/>
    <mergeCell ref="E43:F43"/>
    <mergeCell ref="E52:F52"/>
    <mergeCell ref="H52:I52"/>
    <mergeCell ref="E56:F56"/>
    <mergeCell ref="H56:I56"/>
    <mergeCell ref="J96:K96"/>
    <mergeCell ref="J100:K100"/>
    <mergeCell ref="J101:K101"/>
    <mergeCell ref="J102:K102"/>
    <mergeCell ref="J103:K103"/>
    <mergeCell ref="J104:K104"/>
    <mergeCell ref="H92:I92"/>
    <mergeCell ref="J92:K92"/>
    <mergeCell ref="L92:M92"/>
    <mergeCell ref="J93:K93"/>
    <mergeCell ref="J94:K94"/>
    <mergeCell ref="J95:K95"/>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H180:I180"/>
    <mergeCell ref="J180:K180"/>
    <mergeCell ref="L180:M180"/>
    <mergeCell ref="L181:M181"/>
    <mergeCell ref="L182:M182"/>
    <mergeCell ref="L183:M183"/>
    <mergeCell ref="T177:U177"/>
    <mergeCell ref="T178:U178"/>
    <mergeCell ref="H179:I179"/>
    <mergeCell ref="J179:K179"/>
    <mergeCell ref="L179:M179"/>
    <mergeCell ref="T179:U179"/>
    <mergeCell ref="S194:T194"/>
    <mergeCell ref="S195:T195"/>
    <mergeCell ref="S196:T196"/>
    <mergeCell ref="S197:T197"/>
    <mergeCell ref="S198:T198"/>
    <mergeCell ref="S199:T199"/>
    <mergeCell ref="L184:M184"/>
    <mergeCell ref="J188:K188"/>
    <mergeCell ref="J189:K189"/>
    <mergeCell ref="J190:K190"/>
    <mergeCell ref="J191:K191"/>
    <mergeCell ref="J192:K192"/>
    <mergeCell ref="K211:L211"/>
    <mergeCell ref="E212:F212"/>
    <mergeCell ref="H212:I212"/>
    <mergeCell ref="K212:L212"/>
    <mergeCell ref="B205:C205"/>
    <mergeCell ref="G205:H205"/>
    <mergeCell ref="J205:K205"/>
    <mergeCell ref="M205:N205"/>
    <mergeCell ref="G206:H206"/>
    <mergeCell ref="J206:K206"/>
    <mergeCell ref="M206:N206"/>
    <mergeCell ref="E213:F213"/>
    <mergeCell ref="E225:F225"/>
    <mergeCell ref="H225:I225"/>
    <mergeCell ref="E229:F229"/>
    <mergeCell ref="H229:I229"/>
    <mergeCell ref="E207:F207"/>
    <mergeCell ref="B211:C211"/>
    <mergeCell ref="E211:F211"/>
    <mergeCell ref="H211:I211"/>
    <mergeCell ref="A270:A272"/>
    <mergeCell ref="B270:C272"/>
    <mergeCell ref="D270:E270"/>
    <mergeCell ref="F270:F272"/>
    <mergeCell ref="G270:G272"/>
    <mergeCell ref="H270:H272"/>
    <mergeCell ref="I270:J272"/>
    <mergeCell ref="A266:C269"/>
    <mergeCell ref="D266:F269"/>
    <mergeCell ref="G266:H269"/>
    <mergeCell ref="I266:J269"/>
    <mergeCell ref="D272:E272"/>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s>
  <conditionalFormatting sqref="G62 G147 G235">
    <cfRule type="cellIs" dxfId="203" priority="2" stopIfTrue="1" operator="equal">
      <formula>"Under Dimentioned"</formula>
    </cfRule>
  </conditionalFormatting>
  <conditionalFormatting sqref="H59 H144 H232">
    <cfRule type="cellIs" dxfId="202"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topLeftCell="A70" zoomScale="115" zoomScaleNormal="100" zoomScaleSheetLayoutView="115" workbookViewId="0">
      <selection activeCell="S138" sqref="S138:V138"/>
    </sheetView>
  </sheetViews>
  <sheetFormatPr defaultColWidth="4.33203125" defaultRowHeight="18" customHeight="1"/>
  <cols>
    <col min="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9"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9"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9" ht="18" customHeight="1">
      <c r="A5" s="880" t="str">
        <f>Title!A5</f>
        <v>Prep. By</v>
      </c>
      <c r="B5" s="943"/>
      <c r="C5" s="25" t="str">
        <f>Title!C5</f>
        <v>AP</v>
      </c>
      <c r="D5" s="880" t="str">
        <f>Title!D5</f>
        <v>Checked By</v>
      </c>
      <c r="E5" s="881"/>
      <c r="F5" s="943"/>
      <c r="G5" s="25" t="str">
        <f>Title!G5</f>
        <v>RB</v>
      </c>
      <c r="H5" s="944" t="s">
        <v>384</v>
      </c>
      <c r="I5" s="945"/>
      <c r="J5" s="945"/>
      <c r="K5" s="945"/>
      <c r="L5" s="945"/>
      <c r="M5" s="945"/>
      <c r="N5" s="946"/>
      <c r="O5" s="947" t="str">
        <f>Title!O5</f>
        <v>Contractor</v>
      </c>
      <c r="P5" s="948"/>
      <c r="Q5" s="949"/>
      <c r="R5" s="775" t="str">
        <f>Title!R5</f>
        <v>HITACHI</v>
      </c>
      <c r="S5" s="1068"/>
      <c r="T5" s="1068"/>
      <c r="U5" s="1068"/>
      <c r="V5" s="776"/>
      <c r="W5" s="14"/>
      <c r="X5" s="14"/>
    </row>
    <row r="6" spans="1:29" ht="18" customHeight="1">
      <c r="A6" s="184"/>
      <c r="V6" s="185"/>
    </row>
    <row r="7" spans="1:29" ht="18" customHeight="1">
      <c r="A7" s="184"/>
      <c r="B7" s="1099" t="s">
        <v>108</v>
      </c>
      <c r="C7" s="1100"/>
      <c r="D7" s="1099" t="s">
        <v>506</v>
      </c>
      <c r="E7" s="1101"/>
      <c r="F7" s="255"/>
      <c r="H7" s="689" t="s">
        <v>559</v>
      </c>
      <c r="I7" s="684"/>
      <c r="J7" s="684"/>
      <c r="K7" s="684"/>
      <c r="L7" s="684"/>
      <c r="M7" s="684"/>
      <c r="P7" s="186"/>
      <c r="S7" s="187" t="s">
        <v>387</v>
      </c>
      <c r="T7" s="1095" t="s">
        <v>560</v>
      </c>
      <c r="U7" s="1096"/>
      <c r="V7" s="185"/>
    </row>
    <row r="8" spans="1:29" ht="18" customHeight="1">
      <c r="A8" s="184"/>
      <c r="B8" s="1097"/>
      <c r="C8" s="1098"/>
      <c r="D8" s="1102"/>
      <c r="E8" s="1103"/>
      <c r="F8" s="255"/>
      <c r="T8" s="1095" t="s">
        <v>232</v>
      </c>
      <c r="U8" s="1096"/>
      <c r="V8" s="185"/>
    </row>
    <row r="9" spans="1:29" ht="18" customHeight="1">
      <c r="A9" s="184"/>
      <c r="H9" s="789" t="s">
        <v>390</v>
      </c>
      <c r="I9" s="789"/>
      <c r="J9" s="790" t="s">
        <v>391</v>
      </c>
      <c r="K9" s="790"/>
      <c r="L9" s="790" t="s">
        <v>392</v>
      </c>
      <c r="M9" s="790"/>
      <c r="T9" s="1095"/>
      <c r="U9" s="1096"/>
      <c r="V9" s="185"/>
    </row>
    <row r="10" spans="1:29" ht="18" customHeight="1">
      <c r="A10" s="184"/>
      <c r="B10" s="47" t="s">
        <v>393</v>
      </c>
      <c r="H10" s="791">
        <v>600</v>
      </c>
      <c r="I10" s="792"/>
      <c r="J10" s="781">
        <v>200</v>
      </c>
      <c r="K10" s="782"/>
      <c r="L10" s="781" t="s">
        <v>6</v>
      </c>
      <c r="M10" s="782"/>
      <c r="N10" s="191" t="s">
        <v>342</v>
      </c>
      <c r="O10" s="125">
        <v>1</v>
      </c>
      <c r="P10" s="27" t="s">
        <v>8</v>
      </c>
      <c r="R10" s="255"/>
      <c r="S10" s="255"/>
      <c r="T10" s="1095"/>
      <c r="U10" s="1096"/>
      <c r="V10" s="185"/>
    </row>
    <row r="11" spans="1:29" ht="18" customHeight="1">
      <c r="A11" s="184"/>
      <c r="B11" s="47" t="s">
        <v>394</v>
      </c>
      <c r="H11" s="293" t="s">
        <v>561</v>
      </c>
      <c r="I11" s="294">
        <v>20</v>
      </c>
      <c r="V11" s="185"/>
    </row>
    <row r="12" spans="1:29" ht="18" customHeight="1">
      <c r="A12" s="184"/>
      <c r="B12" s="47" t="s">
        <v>396</v>
      </c>
      <c r="G12" s="120" t="s">
        <v>497</v>
      </c>
      <c r="H12" s="1097">
        <v>8</v>
      </c>
      <c r="I12" s="1098"/>
      <c r="J12" s="192" t="s">
        <v>333</v>
      </c>
      <c r="L12" s="451"/>
      <c r="M12" s="451"/>
      <c r="N12" s="451"/>
      <c r="O12" s="451"/>
      <c r="P12" s="451"/>
      <c r="Q12" s="451"/>
      <c r="R12" s="451"/>
      <c r="S12" s="451"/>
      <c r="T12" s="451"/>
      <c r="U12" s="451"/>
      <c r="V12" s="185"/>
    </row>
    <row r="13" spans="1:29" ht="18" customHeight="1">
      <c r="A13" s="184"/>
      <c r="B13" s="47" t="s">
        <v>562</v>
      </c>
      <c r="G13" s="120" t="s">
        <v>493</v>
      </c>
      <c r="H13" s="1097">
        <v>7.5</v>
      </c>
      <c r="I13" s="1098"/>
      <c r="J13" s="14" t="s">
        <v>157</v>
      </c>
      <c r="L13" s="451"/>
      <c r="M13" s="451"/>
      <c r="N13" s="451"/>
      <c r="O13" s="451"/>
      <c r="P13" s="451"/>
      <c r="Q13" s="451"/>
      <c r="R13" s="451"/>
      <c r="S13" s="451"/>
      <c r="T13" s="451"/>
      <c r="U13" s="451"/>
      <c r="V13" s="185"/>
      <c r="W13" s="30" t="str">
        <f>G42</f>
        <v>Under Dimensioned</v>
      </c>
      <c r="AC13" s="30">
        <v>5</v>
      </c>
    </row>
    <row r="14" spans="1:29" ht="18" customHeight="1">
      <c r="A14" s="184"/>
      <c r="H14" s="14"/>
      <c r="L14" s="451"/>
      <c r="M14" s="451"/>
      <c r="N14" s="451"/>
      <c r="O14" s="451"/>
      <c r="P14" s="451"/>
      <c r="Q14" s="451"/>
      <c r="R14" s="451"/>
      <c r="S14" s="451"/>
      <c r="T14" s="451"/>
      <c r="U14" s="451"/>
      <c r="V14" s="185"/>
    </row>
    <row r="15" spans="1:29" ht="18" customHeight="1">
      <c r="A15" s="193" t="s">
        <v>404</v>
      </c>
      <c r="L15" s="451"/>
      <c r="M15" s="451"/>
      <c r="N15" s="451"/>
      <c r="O15" s="451"/>
      <c r="P15" s="451"/>
      <c r="Q15" s="451"/>
      <c r="R15" s="451"/>
      <c r="S15" s="451"/>
      <c r="T15" s="451"/>
      <c r="U15" s="451"/>
      <c r="V15" s="185"/>
    </row>
    <row r="16" spans="1:29" ht="18" customHeight="1">
      <c r="A16" s="184"/>
      <c r="V16" s="185"/>
    </row>
    <row r="17" spans="1:25" ht="18" customHeight="1">
      <c r="A17" s="184"/>
      <c r="B17" s="135" t="s">
        <v>405</v>
      </c>
      <c r="C17" s="273"/>
      <c r="D17" s="139" t="str">
        <f>T7</f>
        <v>7SJ85</v>
      </c>
      <c r="E17" s="227"/>
      <c r="F17" s="227"/>
      <c r="G17" s="227"/>
      <c r="H17" s="138"/>
      <c r="I17" s="260" t="s">
        <v>127</v>
      </c>
      <c r="J17" s="1104">
        <f>'CT-VT Burdens'!Q110</f>
        <v>0.02</v>
      </c>
      <c r="K17" s="1105"/>
      <c r="L17" s="3" t="s">
        <v>157</v>
      </c>
      <c r="N17" s="197" t="s">
        <v>510</v>
      </c>
      <c r="V17" s="185"/>
    </row>
    <row r="18" spans="1:25" ht="18" customHeight="1">
      <c r="A18" s="184"/>
      <c r="B18" s="96" t="s">
        <v>405</v>
      </c>
      <c r="D18" s="296" t="str">
        <f>T8</f>
        <v>SEL751</v>
      </c>
      <c r="I18" s="177" t="s">
        <v>127</v>
      </c>
      <c r="J18" s="1106">
        <f>'CT-VT Burdens'!Q111</f>
        <v>0.02</v>
      </c>
      <c r="K18" s="1107"/>
      <c r="L18" s="198" t="s">
        <v>157</v>
      </c>
      <c r="P18" s="244"/>
      <c r="V18" s="185"/>
    </row>
    <row r="19" spans="1:25" ht="18" customHeight="1">
      <c r="A19" s="184"/>
      <c r="B19" s="96" t="s">
        <v>405</v>
      </c>
      <c r="C19" s="14"/>
      <c r="D19" s="47">
        <f>T9</f>
        <v>0</v>
      </c>
      <c r="E19" s="14"/>
      <c r="G19" s="199"/>
      <c r="H19" s="27"/>
      <c r="I19" s="101" t="s">
        <v>127</v>
      </c>
      <c r="J19" s="1108"/>
      <c r="K19" s="788"/>
      <c r="L19" s="202" t="s">
        <v>157</v>
      </c>
      <c r="V19" s="185"/>
    </row>
    <row r="20" spans="1:25" ht="18" customHeight="1">
      <c r="A20" s="184"/>
      <c r="B20" s="96" t="s">
        <v>405</v>
      </c>
      <c r="C20" s="14"/>
      <c r="D20" s="47"/>
      <c r="E20" s="14"/>
      <c r="G20" s="199"/>
      <c r="H20" s="27"/>
      <c r="I20" s="101"/>
      <c r="J20" s="1108"/>
      <c r="K20" s="1104"/>
      <c r="L20" s="202" t="s">
        <v>157</v>
      </c>
      <c r="N20" s="120" t="s">
        <v>491</v>
      </c>
      <c r="O20" s="27" t="s">
        <v>127</v>
      </c>
      <c r="P20" s="27" t="s">
        <v>511</v>
      </c>
      <c r="Q20" s="27" t="s">
        <v>315</v>
      </c>
      <c r="R20" s="27" t="s">
        <v>511</v>
      </c>
      <c r="S20" s="27" t="s">
        <v>315</v>
      </c>
      <c r="T20" s="27" t="s">
        <v>420</v>
      </c>
      <c r="V20" s="185"/>
    </row>
    <row r="21" spans="1:25" ht="18" customHeight="1">
      <c r="A21" s="184"/>
      <c r="B21" s="184" t="s">
        <v>412</v>
      </c>
      <c r="C21" s="14"/>
      <c r="D21" s="14"/>
      <c r="E21" s="14"/>
      <c r="H21" s="27"/>
      <c r="I21" s="101" t="s">
        <v>127</v>
      </c>
      <c r="J21" s="1109">
        <f>'CT-VT Burdens'!S24</f>
        <v>1.0770224400000001</v>
      </c>
      <c r="K21" s="1110"/>
      <c r="L21" s="297" t="s">
        <v>157</v>
      </c>
      <c r="O21" s="27" t="s">
        <v>127</v>
      </c>
      <c r="P21" s="27">
        <f>O10</f>
        <v>1</v>
      </c>
      <c r="Q21" s="27" t="s">
        <v>315</v>
      </c>
      <c r="R21" s="27">
        <f>O10</f>
        <v>1</v>
      </c>
      <c r="S21" s="27" t="s">
        <v>315</v>
      </c>
      <c r="T21" s="27">
        <f>H12</f>
        <v>8</v>
      </c>
      <c r="V21" s="185"/>
    </row>
    <row r="22" spans="1:25" ht="18" customHeight="1">
      <c r="A22" s="184"/>
      <c r="B22" s="1" t="s">
        <v>413</v>
      </c>
      <c r="C22" s="2"/>
      <c r="D22" s="2"/>
      <c r="E22" s="2"/>
      <c r="F22" s="196"/>
      <c r="G22" s="196"/>
      <c r="H22" s="224" t="s">
        <v>512</v>
      </c>
      <c r="I22" s="183" t="s">
        <v>127</v>
      </c>
      <c r="J22" s="722">
        <f>SUM(J17:J21)</f>
        <v>1.1170224400000002</v>
      </c>
      <c r="K22" s="958"/>
      <c r="L22" s="3" t="s">
        <v>157</v>
      </c>
      <c r="O22" s="27" t="s">
        <v>127</v>
      </c>
      <c r="P22" s="795">
        <f>P21*R21*T21</f>
        <v>8</v>
      </c>
      <c r="Q22" s="684"/>
      <c r="R22" s="27" t="s">
        <v>157</v>
      </c>
      <c r="S22" s="27"/>
      <c r="T22" s="27"/>
      <c r="V22" s="185"/>
    </row>
    <row r="23" spans="1:25" ht="18" customHeight="1">
      <c r="A23" s="184"/>
      <c r="B23" s="47"/>
      <c r="C23" s="47"/>
      <c r="D23" s="47"/>
      <c r="E23" s="47"/>
      <c r="H23" s="27"/>
      <c r="I23" s="28"/>
      <c r="J23" s="199"/>
      <c r="L23" s="47"/>
      <c r="O23" s="27"/>
      <c r="P23" s="211"/>
      <c r="Q23" s="27"/>
      <c r="R23" s="204"/>
      <c r="S23" s="27"/>
      <c r="V23" s="185"/>
    </row>
    <row r="24" spans="1:25" ht="18" customHeight="1">
      <c r="A24" s="168"/>
      <c r="B24" s="5"/>
      <c r="C24" s="47" t="s">
        <v>543</v>
      </c>
      <c r="D24" s="14"/>
      <c r="E24" s="14"/>
      <c r="F24" s="14"/>
      <c r="G24" s="14"/>
      <c r="H24" s="279"/>
      <c r="I24" s="120"/>
      <c r="J24" s="279"/>
      <c r="K24" s="279"/>
      <c r="L24" s="14"/>
      <c r="M24" s="14"/>
      <c r="N24" s="14"/>
      <c r="O24" s="14"/>
      <c r="P24" s="14"/>
      <c r="Q24" s="120" t="s">
        <v>544</v>
      </c>
      <c r="R24" s="102" t="s">
        <v>127</v>
      </c>
      <c r="S24" s="689">
        <f>'Parameters &amp; Fault Cal. (4)'!Q10*1000</f>
        <v>50000</v>
      </c>
      <c r="T24" s="689"/>
      <c r="U24" s="47" t="s">
        <v>8</v>
      </c>
      <c r="V24" s="97" t="s">
        <v>129</v>
      </c>
      <c r="X24" s="298" t="s">
        <v>563</v>
      </c>
    </row>
    <row r="25" spans="1:25" ht="18" customHeight="1">
      <c r="A25" s="168"/>
      <c r="B25" s="5"/>
      <c r="C25" s="47" t="s">
        <v>545</v>
      </c>
      <c r="D25" s="14"/>
      <c r="E25" s="14"/>
      <c r="F25" s="18"/>
      <c r="G25" s="18"/>
      <c r="H25" s="279"/>
      <c r="I25" s="120"/>
      <c r="J25" s="279"/>
      <c r="K25" s="279"/>
      <c r="L25" s="14"/>
      <c r="M25" s="14"/>
      <c r="N25" s="14"/>
      <c r="O25" s="14"/>
      <c r="P25" s="14"/>
      <c r="Q25" s="120" t="s">
        <v>423</v>
      </c>
      <c r="R25" s="102" t="s">
        <v>127</v>
      </c>
      <c r="S25" s="689">
        <f>H10</f>
        <v>600</v>
      </c>
      <c r="T25" s="689"/>
      <c r="U25" s="14" t="s">
        <v>8</v>
      </c>
      <c r="V25" s="185"/>
    </row>
    <row r="26" spans="1:25" ht="18" customHeight="1">
      <c r="A26" s="168"/>
      <c r="B26" s="5"/>
      <c r="C26" s="47" t="s">
        <v>547</v>
      </c>
      <c r="D26" s="14"/>
      <c r="E26" s="14"/>
      <c r="F26" s="18"/>
      <c r="G26" s="18"/>
      <c r="H26" s="279"/>
      <c r="I26" s="120"/>
      <c r="J26" s="279"/>
      <c r="K26" s="279"/>
      <c r="L26" s="14"/>
      <c r="M26" s="14"/>
      <c r="N26" s="14"/>
      <c r="O26" s="14"/>
      <c r="P26" s="14"/>
      <c r="Q26" s="120" t="s">
        <v>491</v>
      </c>
      <c r="R26" s="102" t="s">
        <v>127</v>
      </c>
      <c r="S26" s="692">
        <f>P22</f>
        <v>8</v>
      </c>
      <c r="T26" s="689"/>
      <c r="U26" s="14" t="s">
        <v>157</v>
      </c>
      <c r="V26" s="185"/>
      <c r="W26" s="279"/>
      <c r="X26" s="279"/>
      <c r="Y26" s="279"/>
    </row>
    <row r="27" spans="1:25" ht="18" customHeight="1">
      <c r="A27" s="168"/>
      <c r="B27" s="5"/>
      <c r="C27" s="47" t="s">
        <v>548</v>
      </c>
      <c r="D27" s="14"/>
      <c r="E27" s="14"/>
      <c r="F27" s="18"/>
      <c r="G27" s="18"/>
      <c r="H27" s="279"/>
      <c r="I27" s="120"/>
      <c r="J27" s="279"/>
      <c r="K27" s="279"/>
      <c r="L27" s="14"/>
      <c r="M27" s="14"/>
      <c r="N27" s="14"/>
      <c r="O27" s="14"/>
      <c r="P27" s="14"/>
      <c r="Q27" s="120" t="s">
        <v>512</v>
      </c>
      <c r="R27" s="102" t="s">
        <v>127</v>
      </c>
      <c r="S27" s="692">
        <f>J22</f>
        <v>1.1170224400000002</v>
      </c>
      <c r="T27" s="689"/>
      <c r="U27" s="14" t="s">
        <v>157</v>
      </c>
      <c r="V27" s="185"/>
      <c r="X27" s="279"/>
      <c r="Y27" s="279"/>
    </row>
    <row r="28" spans="1:25" ht="18" customHeight="1">
      <c r="A28" s="168"/>
      <c r="B28" s="5"/>
      <c r="C28" s="47" t="s">
        <v>549</v>
      </c>
      <c r="D28" s="14"/>
      <c r="E28" s="14"/>
      <c r="F28" s="14"/>
      <c r="G28" s="14"/>
      <c r="H28" s="279"/>
      <c r="I28" s="120"/>
      <c r="J28" s="279"/>
      <c r="K28" s="279"/>
      <c r="L28" s="14"/>
      <c r="M28" s="14"/>
      <c r="N28" s="14"/>
      <c r="O28" s="14"/>
      <c r="P28" s="14"/>
      <c r="Q28" s="120" t="s">
        <v>511</v>
      </c>
      <c r="R28" s="102" t="s">
        <v>127</v>
      </c>
      <c r="S28" s="689">
        <f>O10</f>
        <v>1</v>
      </c>
      <c r="T28" s="689"/>
      <c r="U28" s="14" t="s">
        <v>8</v>
      </c>
      <c r="V28" s="185"/>
      <c r="X28" s="279"/>
      <c r="Y28" s="279"/>
    </row>
    <row r="29" spans="1:25" ht="18" customHeight="1">
      <c r="A29" s="168"/>
      <c r="B29" s="5"/>
      <c r="C29" s="47" t="s">
        <v>550</v>
      </c>
      <c r="D29" s="14"/>
      <c r="E29" s="14"/>
      <c r="F29" s="14"/>
      <c r="G29" s="14"/>
      <c r="H29" s="279"/>
      <c r="I29" s="120"/>
      <c r="J29" s="279"/>
      <c r="K29" s="279"/>
      <c r="L29" s="14"/>
      <c r="M29" s="14"/>
      <c r="N29" s="14"/>
      <c r="O29" s="14"/>
      <c r="P29" s="14"/>
      <c r="Q29" s="120" t="s">
        <v>495</v>
      </c>
      <c r="R29" s="102" t="s">
        <v>127</v>
      </c>
      <c r="S29" s="689">
        <f>I11</f>
        <v>20</v>
      </c>
      <c r="T29" s="689"/>
      <c r="U29" s="47"/>
      <c r="V29" s="185"/>
    </row>
    <row r="30" spans="1:25" ht="18" customHeight="1">
      <c r="A30" s="299"/>
      <c r="B30" s="279"/>
      <c r="C30" s="47" t="s">
        <v>551</v>
      </c>
      <c r="D30" s="14"/>
      <c r="E30" s="14"/>
      <c r="F30" s="14"/>
      <c r="G30" s="14"/>
      <c r="H30" s="279"/>
      <c r="I30" s="120"/>
      <c r="J30" s="279"/>
      <c r="K30" s="279"/>
      <c r="L30" s="14"/>
      <c r="M30" s="14"/>
      <c r="N30" s="279"/>
      <c r="O30" s="279"/>
      <c r="P30" s="14"/>
      <c r="Q30" s="120" t="s">
        <v>493</v>
      </c>
      <c r="R30" s="102" t="s">
        <v>127</v>
      </c>
      <c r="S30" s="689">
        <f>H13</f>
        <v>7.5</v>
      </c>
      <c r="T30" s="689"/>
      <c r="U30" s="14" t="s">
        <v>157</v>
      </c>
      <c r="V30" s="300"/>
      <c r="W30" s="279"/>
      <c r="X30" s="279"/>
      <c r="Y30" s="279"/>
    </row>
    <row r="31" spans="1:25" ht="18" customHeight="1">
      <c r="A31" s="184"/>
      <c r="V31" s="185"/>
    </row>
    <row r="32" spans="1:25" ht="18" customHeight="1">
      <c r="A32" s="184"/>
      <c r="E32" s="244" t="s">
        <v>111</v>
      </c>
      <c r="F32" s="27" t="s">
        <v>127</v>
      </c>
      <c r="G32" s="689" t="s">
        <v>544</v>
      </c>
      <c r="H32" s="689"/>
      <c r="I32" s="191" t="s">
        <v>342</v>
      </c>
      <c r="J32" s="684" t="s">
        <v>423</v>
      </c>
      <c r="K32" s="684"/>
      <c r="V32" s="185"/>
    </row>
    <row r="33" spans="1:22" ht="18" customHeight="1">
      <c r="A33" s="184"/>
      <c r="F33" s="27" t="s">
        <v>127</v>
      </c>
      <c r="G33" s="684">
        <f>S24</f>
        <v>50000</v>
      </c>
      <c r="H33" s="684"/>
      <c r="I33" s="191" t="s">
        <v>342</v>
      </c>
      <c r="J33" s="684">
        <f>S25</f>
        <v>600</v>
      </c>
      <c r="K33" s="684"/>
      <c r="V33" s="185"/>
    </row>
    <row r="34" spans="1:22" ht="18" customHeight="1">
      <c r="A34" s="184"/>
      <c r="F34" s="27" t="s">
        <v>127</v>
      </c>
      <c r="G34" s="795">
        <f>G33/J33</f>
        <v>83.333333333333329</v>
      </c>
      <c r="H34" s="795"/>
      <c r="I34" s="27"/>
      <c r="J34" s="27"/>
      <c r="K34" s="27"/>
      <c r="V34" s="185"/>
    </row>
    <row r="35" spans="1:22" ht="18" customHeight="1">
      <c r="A35" s="184"/>
      <c r="V35" s="185"/>
    </row>
    <row r="36" spans="1:22" ht="18" customHeight="1">
      <c r="A36" s="184"/>
      <c r="E36" s="244" t="s">
        <v>553</v>
      </c>
      <c r="F36" s="27" t="s">
        <v>127</v>
      </c>
      <c r="G36" s="27" t="s">
        <v>495</v>
      </c>
      <c r="H36" s="27" t="s">
        <v>554</v>
      </c>
      <c r="I36" s="120" t="s">
        <v>491</v>
      </c>
      <c r="J36" s="28" t="s">
        <v>347</v>
      </c>
      <c r="K36" s="120" t="s">
        <v>493</v>
      </c>
      <c r="L36" s="28" t="s">
        <v>539</v>
      </c>
      <c r="M36" s="120" t="s">
        <v>491</v>
      </c>
      <c r="N36" s="28" t="s">
        <v>347</v>
      </c>
      <c r="O36" s="120" t="s">
        <v>512</v>
      </c>
      <c r="P36" s="296" t="s">
        <v>350</v>
      </c>
      <c r="Q36" s="14"/>
      <c r="V36" s="185"/>
    </row>
    <row r="37" spans="1:22" ht="18" customHeight="1">
      <c r="A37" s="184"/>
      <c r="F37" s="27" t="s">
        <v>127</v>
      </c>
      <c r="G37" s="242">
        <f>S29</f>
        <v>20</v>
      </c>
      <c r="H37" s="245" t="s">
        <v>554</v>
      </c>
      <c r="I37" s="301">
        <f>S26</f>
        <v>8</v>
      </c>
      <c r="J37" s="245" t="s">
        <v>347</v>
      </c>
      <c r="K37" s="242">
        <f>S30</f>
        <v>7.5</v>
      </c>
      <c r="L37" s="245" t="s">
        <v>539</v>
      </c>
      <c r="M37" s="301">
        <f>S26</f>
        <v>8</v>
      </c>
      <c r="N37" s="245" t="s">
        <v>347</v>
      </c>
      <c r="O37" s="301">
        <f>S27</f>
        <v>1.1170224400000002</v>
      </c>
      <c r="P37" s="296" t="s">
        <v>350</v>
      </c>
      <c r="V37" s="185"/>
    </row>
    <row r="38" spans="1:22" ht="18" customHeight="1">
      <c r="A38" s="184"/>
      <c r="F38" s="27" t="s">
        <v>127</v>
      </c>
      <c r="G38" s="1111">
        <f>G37*((I37+K37)/(M37+O37))</f>
        <v>34.002329383320024</v>
      </c>
      <c r="H38" s="1111"/>
      <c r="I38" s="242"/>
      <c r="J38" s="242"/>
      <c r="K38" s="242"/>
      <c r="L38" s="242"/>
      <c r="M38" s="242"/>
      <c r="N38" s="242"/>
      <c r="O38" s="242"/>
      <c r="V38" s="185"/>
    </row>
    <row r="39" spans="1:22" ht="18" customHeight="1">
      <c r="A39" s="184"/>
      <c r="V39" s="185"/>
    </row>
    <row r="40" spans="1:22" ht="18" customHeight="1">
      <c r="A40" s="184"/>
      <c r="E40" s="244" t="s">
        <v>555</v>
      </c>
      <c r="F40" s="27" t="str">
        <f>IF(D41&gt;G41,"&gt;","&lt;")</f>
        <v>&lt;</v>
      </c>
      <c r="G40" s="296" t="s">
        <v>111</v>
      </c>
      <c r="V40" s="185"/>
    </row>
    <row r="41" spans="1:22" ht="18" customHeight="1">
      <c r="A41" s="184"/>
      <c r="D41" s="795">
        <f>G38</f>
        <v>34.002329383320024</v>
      </c>
      <c r="E41" s="795"/>
      <c r="F41" s="27" t="str">
        <f>F40</f>
        <v>&lt;</v>
      </c>
      <c r="G41" s="795">
        <f>G34</f>
        <v>83.333333333333329</v>
      </c>
      <c r="H41" s="795"/>
      <c r="V41" s="185"/>
    </row>
    <row r="42" spans="1:22" ht="18" customHeight="1">
      <c r="A42" s="184"/>
      <c r="E42" s="244" t="s">
        <v>478</v>
      </c>
      <c r="G42" s="18" t="str">
        <f>IF(F40="&gt;","Suitably Dimensioned","Under Dimensioned")</f>
        <v>Under Dimensioned</v>
      </c>
      <c r="V42" s="185"/>
    </row>
    <row r="43" spans="1:22" ht="18" customHeight="1">
      <c r="A43" s="184"/>
      <c r="V43" s="185"/>
    </row>
    <row r="44" spans="1:22" ht="18" customHeight="1">
      <c r="A44" s="184"/>
      <c r="B44" s="451"/>
      <c r="C44" s="451"/>
      <c r="D44" s="451"/>
      <c r="E44" s="451"/>
      <c r="F44" s="451"/>
      <c r="G44" s="451"/>
      <c r="H44" s="451"/>
      <c r="I44" s="451"/>
      <c r="J44" s="451"/>
      <c r="K44" s="451"/>
      <c r="L44" s="451"/>
      <c r="M44" s="451"/>
      <c r="N44" s="451"/>
      <c r="O44" s="451"/>
      <c r="P44" s="451"/>
      <c r="Q44" s="451"/>
      <c r="R44" s="451"/>
      <c r="S44" s="451"/>
      <c r="T44" s="451"/>
      <c r="U44" s="451"/>
      <c r="V44" s="185"/>
    </row>
    <row r="45" spans="1:22" ht="18" customHeight="1">
      <c r="A45" s="184"/>
      <c r="J45" s="14" t="s">
        <v>259</v>
      </c>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2"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2" ht="18" customHeight="1">
      <c r="A48" s="184"/>
      <c r="B48" s="835" t="str">
        <f>B7</f>
        <v>T1</v>
      </c>
      <c r="C48" s="836"/>
      <c r="D48" s="1112" t="str">
        <f>D7</f>
        <v>Core2</v>
      </c>
      <c r="E48" s="1113"/>
      <c r="F48" s="255"/>
      <c r="H48" s="684" t="str">
        <f>H7</f>
        <v>(OC +BCU)</v>
      </c>
      <c r="I48" s="684"/>
      <c r="J48" s="684"/>
      <c r="K48" s="684"/>
      <c r="L48" s="684"/>
      <c r="M48" s="684"/>
      <c r="P48" s="186"/>
      <c r="S48" s="187" t="s">
        <v>387</v>
      </c>
      <c r="T48" s="1116" t="str">
        <f>T7</f>
        <v>7SJ85</v>
      </c>
      <c r="U48" s="1117"/>
      <c r="V48" s="185"/>
    </row>
    <row r="49" spans="1:30" ht="18" customHeight="1">
      <c r="A49" s="184"/>
      <c r="B49" s="1118">
        <f>B8</f>
        <v>0</v>
      </c>
      <c r="C49" s="1118"/>
      <c r="D49" s="1114"/>
      <c r="E49" s="1115"/>
      <c r="F49" s="255"/>
      <c r="T49" s="1116" t="str">
        <f>T8</f>
        <v>SEL751</v>
      </c>
      <c r="U49" s="1117"/>
      <c r="V49" s="185"/>
    </row>
    <row r="50" spans="1:30" ht="18" customHeight="1">
      <c r="A50" s="184"/>
      <c r="H50" s="708" t="s">
        <v>390</v>
      </c>
      <c r="I50" s="708"/>
      <c r="J50" s="789" t="s">
        <v>391</v>
      </c>
      <c r="K50" s="789"/>
      <c r="L50" s="708" t="s">
        <v>392</v>
      </c>
      <c r="M50" s="708"/>
      <c r="T50" s="1241">
        <f>T9</f>
        <v>0</v>
      </c>
      <c r="U50" s="1242"/>
      <c r="V50" s="185"/>
    </row>
    <row r="51" spans="1:30" ht="18" customHeight="1">
      <c r="A51" s="184"/>
      <c r="B51" s="47" t="s">
        <v>393</v>
      </c>
      <c r="H51" s="835">
        <f>H10</f>
        <v>600</v>
      </c>
      <c r="I51" s="836"/>
      <c r="J51" s="1121">
        <f>J10</f>
        <v>200</v>
      </c>
      <c r="K51" s="1122"/>
      <c r="L51" s="835" t="str">
        <f>L10</f>
        <v>-</v>
      </c>
      <c r="M51" s="836"/>
      <c r="N51" s="191" t="s">
        <v>342</v>
      </c>
      <c r="O51" s="488">
        <f>O10</f>
        <v>1</v>
      </c>
      <c r="P51" s="27" t="s">
        <v>8</v>
      </c>
      <c r="R51" s="255"/>
      <c r="S51" s="255"/>
      <c r="T51" s="1241">
        <f>T10</f>
        <v>0</v>
      </c>
      <c r="U51" s="1242"/>
      <c r="V51" s="185"/>
    </row>
    <row r="52" spans="1:30" ht="18" customHeight="1">
      <c r="A52" s="184"/>
      <c r="B52" s="47" t="s">
        <v>394</v>
      </c>
      <c r="J52" s="490" t="str">
        <f>H11</f>
        <v>5P</v>
      </c>
      <c r="K52" s="489">
        <f>I11</f>
        <v>20</v>
      </c>
      <c r="V52" s="185"/>
    </row>
    <row r="53" spans="1:30" ht="18" customHeight="1">
      <c r="A53" s="184"/>
      <c r="B53" s="47" t="s">
        <v>396</v>
      </c>
      <c r="I53" s="120" t="s">
        <v>497</v>
      </c>
      <c r="J53" s="1243">
        <v>4</v>
      </c>
      <c r="K53" s="1244"/>
      <c r="L53" s="192" t="s">
        <v>333</v>
      </c>
      <c r="V53" s="185"/>
    </row>
    <row r="54" spans="1:30" ht="18" customHeight="1">
      <c r="A54" s="184"/>
      <c r="B54" s="47" t="s">
        <v>562</v>
      </c>
      <c r="I54" s="120" t="s">
        <v>493</v>
      </c>
      <c r="J54" s="1245">
        <v>5</v>
      </c>
      <c r="K54" s="1246"/>
      <c r="L54" s="14" t="s">
        <v>157</v>
      </c>
      <c r="T54" s="295"/>
      <c r="U54" s="18"/>
      <c r="V54" s="185"/>
      <c r="W54" s="30" t="str">
        <f>G83</f>
        <v>Under Dimentioned</v>
      </c>
      <c r="AD54" s="30">
        <v>5</v>
      </c>
    </row>
    <row r="55" spans="1:30" ht="18" customHeight="1">
      <c r="A55" s="184"/>
      <c r="V55" s="185"/>
    </row>
    <row r="56" spans="1:30" ht="18" customHeight="1">
      <c r="A56" s="193" t="s">
        <v>404</v>
      </c>
      <c r="V56" s="185"/>
    </row>
    <row r="57" spans="1:30" ht="18" customHeight="1">
      <c r="A57" s="184"/>
      <c r="V57" s="185"/>
    </row>
    <row r="58" spans="1:30" ht="18" customHeight="1">
      <c r="A58" s="184"/>
      <c r="B58" s="135" t="s">
        <v>405</v>
      </c>
      <c r="C58" s="273"/>
      <c r="D58" s="139" t="str">
        <f>T48</f>
        <v>7SJ85</v>
      </c>
      <c r="E58" s="227"/>
      <c r="F58" s="227"/>
      <c r="G58" s="227"/>
      <c r="H58" s="138"/>
      <c r="I58" s="260" t="s">
        <v>127</v>
      </c>
      <c r="J58" s="722">
        <f>J17</f>
        <v>0.02</v>
      </c>
      <c r="K58" s="958"/>
      <c r="L58" s="3" t="s">
        <v>157</v>
      </c>
      <c r="N58" s="197" t="s">
        <v>510</v>
      </c>
      <c r="V58" s="185"/>
    </row>
    <row r="59" spans="1:30" ht="18" customHeight="1">
      <c r="A59" s="184"/>
      <c r="B59" s="96" t="s">
        <v>405</v>
      </c>
      <c r="D59" s="296" t="str">
        <f>T49</f>
        <v>SEL751</v>
      </c>
      <c r="I59" s="177" t="s">
        <v>127</v>
      </c>
      <c r="J59" s="1119">
        <f>J18</f>
        <v>0.02</v>
      </c>
      <c r="K59" s="989"/>
      <c r="L59" s="198" t="s">
        <v>157</v>
      </c>
      <c r="P59" s="244"/>
      <c r="V59" s="185"/>
    </row>
    <row r="60" spans="1:30" ht="18" customHeight="1">
      <c r="A60" s="184"/>
      <c r="B60" s="96" t="s">
        <v>405</v>
      </c>
      <c r="C60" s="14"/>
      <c r="D60" s="47">
        <f>T50</f>
        <v>0</v>
      </c>
      <c r="E60" s="14"/>
      <c r="G60" s="199"/>
      <c r="H60" s="27"/>
      <c r="I60" s="101" t="s">
        <v>127</v>
      </c>
      <c r="J60" s="696">
        <f>J19</f>
        <v>0</v>
      </c>
      <c r="K60" s="820"/>
      <c r="L60" s="202" t="s">
        <v>157</v>
      </c>
      <c r="V60" s="185"/>
    </row>
    <row r="61" spans="1:30" ht="18" customHeight="1">
      <c r="A61" s="184"/>
      <c r="B61" s="96" t="s">
        <v>405</v>
      </c>
      <c r="C61" s="14"/>
      <c r="D61" s="47">
        <f>T51</f>
        <v>0</v>
      </c>
      <c r="E61" s="14"/>
      <c r="G61" s="199"/>
      <c r="H61" s="27"/>
      <c r="I61" s="101"/>
      <c r="J61" s="696">
        <f>J20</f>
        <v>0</v>
      </c>
      <c r="K61" s="820"/>
      <c r="L61" s="202" t="s">
        <v>157</v>
      </c>
      <c r="N61" s="120" t="s">
        <v>491</v>
      </c>
      <c r="O61" s="27" t="s">
        <v>127</v>
      </c>
      <c r="P61" s="27" t="s">
        <v>511</v>
      </c>
      <c r="Q61" s="27" t="s">
        <v>315</v>
      </c>
      <c r="R61" s="27" t="s">
        <v>511</v>
      </c>
      <c r="S61" s="27" t="s">
        <v>315</v>
      </c>
      <c r="T61" s="27" t="s">
        <v>420</v>
      </c>
      <c r="V61" s="185"/>
    </row>
    <row r="62" spans="1:30" ht="18" customHeight="1">
      <c r="A62" s="184"/>
      <c r="B62" s="184" t="s">
        <v>412</v>
      </c>
      <c r="C62" s="14"/>
      <c r="D62" s="14"/>
      <c r="E62" s="14"/>
      <c r="H62" s="27"/>
      <c r="I62" s="101" t="s">
        <v>127</v>
      </c>
      <c r="J62" s="1120">
        <f>J21</f>
        <v>1.0770224400000001</v>
      </c>
      <c r="K62" s="987"/>
      <c r="L62" s="297" t="s">
        <v>157</v>
      </c>
      <c r="O62" s="27" t="s">
        <v>127</v>
      </c>
      <c r="P62" s="27">
        <f>O51</f>
        <v>1</v>
      </c>
      <c r="Q62" s="27" t="s">
        <v>315</v>
      </c>
      <c r="R62" s="27">
        <f>O51</f>
        <v>1</v>
      </c>
      <c r="S62" s="27" t="s">
        <v>315</v>
      </c>
      <c r="T62" s="27">
        <f>J53</f>
        <v>4</v>
      </c>
      <c r="V62" s="185"/>
    </row>
    <row r="63" spans="1:30" ht="18" customHeight="1">
      <c r="A63" s="184"/>
      <c r="B63" s="1" t="s">
        <v>413</v>
      </c>
      <c r="C63" s="2"/>
      <c r="D63" s="2"/>
      <c r="E63" s="2"/>
      <c r="F63" s="196"/>
      <c r="G63" s="196"/>
      <c r="H63" s="224" t="s">
        <v>512</v>
      </c>
      <c r="I63" s="183" t="s">
        <v>127</v>
      </c>
      <c r="J63" s="722">
        <f>SUM(J58:J62)</f>
        <v>1.1170224400000002</v>
      </c>
      <c r="K63" s="958"/>
      <c r="L63" s="3" t="s">
        <v>157</v>
      </c>
      <c r="O63" s="27" t="s">
        <v>127</v>
      </c>
      <c r="P63" s="795">
        <f>P62*R62*T62</f>
        <v>4</v>
      </c>
      <c r="Q63" s="684"/>
      <c r="R63" s="27" t="s">
        <v>157</v>
      </c>
      <c r="S63" s="27"/>
      <c r="T63" s="27"/>
      <c r="V63" s="185"/>
    </row>
    <row r="64" spans="1:30" ht="18" customHeight="1">
      <c r="A64" s="184"/>
      <c r="B64" s="47"/>
      <c r="C64" s="47"/>
      <c r="D64" s="47"/>
      <c r="E64" s="47"/>
      <c r="H64" s="27"/>
      <c r="I64" s="28"/>
      <c r="J64" s="199"/>
      <c r="L64" s="47"/>
      <c r="O64" s="27"/>
      <c r="P64" s="211"/>
      <c r="Q64" s="27"/>
      <c r="R64" s="204"/>
      <c r="S64" s="27"/>
      <c r="V64" s="185"/>
    </row>
    <row r="65" spans="1:25" ht="18" customHeight="1">
      <c r="A65" s="168"/>
      <c r="B65" s="5"/>
      <c r="C65" s="47" t="s">
        <v>543</v>
      </c>
      <c r="D65" s="14"/>
      <c r="E65" s="14"/>
      <c r="F65" s="14"/>
      <c r="G65" s="14"/>
      <c r="H65" s="279"/>
      <c r="I65" s="120"/>
      <c r="J65" s="279"/>
      <c r="K65" s="279"/>
      <c r="L65" s="14"/>
      <c r="M65" s="14"/>
      <c r="N65" s="14"/>
      <c r="O65" s="14"/>
      <c r="P65" s="14"/>
      <c r="Q65" s="120" t="s">
        <v>544</v>
      </c>
      <c r="R65" s="102" t="s">
        <v>127</v>
      </c>
      <c r="S65" s="689">
        <f>S24</f>
        <v>50000</v>
      </c>
      <c r="T65" s="689"/>
      <c r="U65" s="47" t="s">
        <v>8</v>
      </c>
      <c r="V65" s="185"/>
    </row>
    <row r="66" spans="1:25" ht="18" customHeight="1">
      <c r="A66" s="168"/>
      <c r="B66" s="5"/>
      <c r="C66" s="47" t="s">
        <v>545</v>
      </c>
      <c r="D66" s="14"/>
      <c r="E66" s="14"/>
      <c r="F66" s="18"/>
      <c r="G66" s="18"/>
      <c r="H66" s="279"/>
      <c r="I66" s="120"/>
      <c r="J66" s="279"/>
      <c r="K66" s="279"/>
      <c r="L66" s="14"/>
      <c r="M66" s="14"/>
      <c r="N66" s="14"/>
      <c r="O66" s="14"/>
      <c r="P66" s="14"/>
      <c r="Q66" s="120" t="s">
        <v>423</v>
      </c>
      <c r="R66" s="102" t="s">
        <v>127</v>
      </c>
      <c r="S66" s="689">
        <f>J51</f>
        <v>200</v>
      </c>
      <c r="T66" s="689"/>
      <c r="U66" s="14" t="s">
        <v>8</v>
      </c>
      <c r="V66" s="185"/>
    </row>
    <row r="67" spans="1:25" ht="18" customHeight="1">
      <c r="A67" s="168"/>
      <c r="B67" s="5"/>
      <c r="C67" s="47" t="s">
        <v>547</v>
      </c>
      <c r="D67" s="14"/>
      <c r="E67" s="14"/>
      <c r="F67" s="18"/>
      <c r="G67" s="18"/>
      <c r="H67" s="279"/>
      <c r="I67" s="120"/>
      <c r="J67" s="279"/>
      <c r="K67" s="279"/>
      <c r="L67" s="14"/>
      <c r="M67" s="14"/>
      <c r="N67" s="14"/>
      <c r="O67" s="14"/>
      <c r="P67" s="14"/>
      <c r="Q67" s="120" t="s">
        <v>491</v>
      </c>
      <c r="R67" s="102" t="s">
        <v>127</v>
      </c>
      <c r="S67" s="692">
        <f>P63</f>
        <v>4</v>
      </c>
      <c r="T67" s="689"/>
      <c r="U67" s="14" t="s">
        <v>157</v>
      </c>
      <c r="V67" s="185"/>
      <c r="W67" s="279"/>
      <c r="X67" s="279"/>
      <c r="Y67" s="279"/>
    </row>
    <row r="68" spans="1:25" ht="18" customHeight="1">
      <c r="A68" s="168"/>
      <c r="B68" s="5"/>
      <c r="C68" s="47" t="s">
        <v>548</v>
      </c>
      <c r="D68" s="14"/>
      <c r="E68" s="14"/>
      <c r="F68" s="18"/>
      <c r="G68" s="18"/>
      <c r="H68" s="279"/>
      <c r="I68" s="120"/>
      <c r="J68" s="279"/>
      <c r="K68" s="279"/>
      <c r="L68" s="14"/>
      <c r="M68" s="14"/>
      <c r="N68" s="14"/>
      <c r="O68" s="14"/>
      <c r="P68" s="14"/>
      <c r="Q68" s="120" t="s">
        <v>512</v>
      </c>
      <c r="R68" s="102" t="s">
        <v>127</v>
      </c>
      <c r="S68" s="692">
        <f>J63</f>
        <v>1.1170224400000002</v>
      </c>
      <c r="T68" s="689"/>
      <c r="U68" s="14" t="s">
        <v>157</v>
      </c>
      <c r="V68" s="185"/>
      <c r="X68" s="279"/>
      <c r="Y68" s="279"/>
    </row>
    <row r="69" spans="1:25" ht="18" customHeight="1">
      <c r="A69" s="168"/>
      <c r="B69" s="5"/>
      <c r="C69" s="47" t="s">
        <v>549</v>
      </c>
      <c r="D69" s="14"/>
      <c r="E69" s="14"/>
      <c r="F69" s="14"/>
      <c r="G69" s="14"/>
      <c r="H69" s="279"/>
      <c r="I69" s="120"/>
      <c r="J69" s="279"/>
      <c r="K69" s="279"/>
      <c r="L69" s="14"/>
      <c r="M69" s="14"/>
      <c r="N69" s="14"/>
      <c r="O69" s="14"/>
      <c r="P69" s="14"/>
      <c r="Q69" s="120" t="s">
        <v>511</v>
      </c>
      <c r="R69" s="102" t="s">
        <v>127</v>
      </c>
      <c r="S69" s="689">
        <f>O51</f>
        <v>1</v>
      </c>
      <c r="T69" s="689"/>
      <c r="U69" s="14" t="s">
        <v>8</v>
      </c>
      <c r="V69" s="185"/>
      <c r="X69" s="279"/>
      <c r="Y69" s="279"/>
    </row>
    <row r="70" spans="1:25" ht="18" customHeight="1">
      <c r="A70" s="168"/>
      <c r="B70" s="5"/>
      <c r="C70" s="47" t="s">
        <v>550</v>
      </c>
      <c r="D70" s="14"/>
      <c r="E70" s="14"/>
      <c r="F70" s="14"/>
      <c r="G70" s="14"/>
      <c r="H70" s="279"/>
      <c r="I70" s="120"/>
      <c r="J70" s="279"/>
      <c r="K70" s="279"/>
      <c r="L70" s="14"/>
      <c r="M70" s="14"/>
      <c r="N70" s="14"/>
      <c r="O70" s="14"/>
      <c r="P70" s="14"/>
      <c r="Q70" s="120" t="s">
        <v>495</v>
      </c>
      <c r="R70" s="102" t="s">
        <v>127</v>
      </c>
      <c r="S70" s="689">
        <f>K52</f>
        <v>20</v>
      </c>
      <c r="T70" s="689"/>
      <c r="U70" s="47"/>
      <c r="V70" s="185"/>
    </row>
    <row r="71" spans="1:25" ht="18" customHeight="1">
      <c r="A71" s="299"/>
      <c r="B71" s="279"/>
      <c r="C71" s="47" t="s">
        <v>551</v>
      </c>
      <c r="D71" s="14"/>
      <c r="E71" s="14"/>
      <c r="F71" s="14"/>
      <c r="G71" s="14"/>
      <c r="H71" s="279"/>
      <c r="I71" s="120"/>
      <c r="J71" s="279"/>
      <c r="K71" s="279"/>
      <c r="L71" s="14"/>
      <c r="M71" s="14"/>
      <c r="N71" s="279"/>
      <c r="O71" s="279"/>
      <c r="P71" s="14"/>
      <c r="Q71" s="120" t="s">
        <v>493</v>
      </c>
      <c r="R71" s="102" t="s">
        <v>127</v>
      </c>
      <c r="S71" s="689">
        <f>J54</f>
        <v>5</v>
      </c>
      <c r="T71" s="689"/>
      <c r="U71" s="14" t="s">
        <v>157</v>
      </c>
      <c r="V71" s="300"/>
      <c r="W71" s="279"/>
      <c r="X71" s="279"/>
      <c r="Y71" s="279"/>
    </row>
    <row r="72" spans="1:25" ht="18" customHeight="1">
      <c r="A72" s="184"/>
      <c r="V72" s="185"/>
    </row>
    <row r="73" spans="1:25" ht="18" customHeight="1">
      <c r="A73" s="184"/>
      <c r="E73" s="244" t="s">
        <v>111</v>
      </c>
      <c r="F73" s="27" t="s">
        <v>127</v>
      </c>
      <c r="G73" s="689" t="s">
        <v>544</v>
      </c>
      <c r="H73" s="689"/>
      <c r="I73" s="191" t="s">
        <v>342</v>
      </c>
      <c r="J73" s="684" t="s">
        <v>423</v>
      </c>
      <c r="K73" s="684"/>
      <c r="V73" s="185"/>
    </row>
    <row r="74" spans="1:25" ht="18" customHeight="1">
      <c r="A74" s="184"/>
      <c r="F74" s="27" t="s">
        <v>127</v>
      </c>
      <c r="G74" s="684">
        <f>S65</f>
        <v>50000</v>
      </c>
      <c r="H74" s="684"/>
      <c r="I74" s="191" t="s">
        <v>342</v>
      </c>
      <c r="J74" s="684">
        <f>S66</f>
        <v>200</v>
      </c>
      <c r="K74" s="684"/>
      <c r="V74" s="185"/>
    </row>
    <row r="75" spans="1:25" ht="18" customHeight="1">
      <c r="A75" s="184"/>
      <c r="F75" s="27" t="s">
        <v>127</v>
      </c>
      <c r="G75" s="795">
        <f>G74/J74</f>
        <v>250</v>
      </c>
      <c r="H75" s="795"/>
      <c r="I75" s="27"/>
      <c r="J75" s="27"/>
      <c r="K75" s="27"/>
      <c r="V75" s="185"/>
    </row>
    <row r="76" spans="1:25" ht="18" customHeight="1">
      <c r="A76" s="184"/>
      <c r="V76" s="185"/>
    </row>
    <row r="77" spans="1:25" ht="18" customHeight="1">
      <c r="A77" s="184"/>
      <c r="E77" s="244" t="s">
        <v>553</v>
      </c>
      <c r="F77" s="27" t="s">
        <v>127</v>
      </c>
      <c r="G77" s="27" t="s">
        <v>495</v>
      </c>
      <c r="H77" s="27" t="s">
        <v>554</v>
      </c>
      <c r="I77" s="120" t="s">
        <v>491</v>
      </c>
      <c r="J77" s="28" t="s">
        <v>347</v>
      </c>
      <c r="K77" s="120" t="s">
        <v>493</v>
      </c>
      <c r="L77" s="28" t="s">
        <v>539</v>
      </c>
      <c r="M77" s="120" t="s">
        <v>491</v>
      </c>
      <c r="N77" s="28" t="s">
        <v>347</v>
      </c>
      <c r="O77" s="120" t="s">
        <v>512</v>
      </c>
      <c r="P77" s="296" t="s">
        <v>350</v>
      </c>
      <c r="V77" s="185"/>
    </row>
    <row r="78" spans="1:25" ht="18" customHeight="1">
      <c r="A78" s="184"/>
      <c r="F78" s="27" t="s">
        <v>127</v>
      </c>
      <c r="G78" s="242">
        <f>S70</f>
        <v>20</v>
      </c>
      <c r="H78" s="245" t="s">
        <v>554</v>
      </c>
      <c r="I78" s="301">
        <f>S67</f>
        <v>4</v>
      </c>
      <c r="J78" s="245" t="s">
        <v>347</v>
      </c>
      <c r="K78" s="242">
        <f>S71</f>
        <v>5</v>
      </c>
      <c r="L78" s="245" t="s">
        <v>539</v>
      </c>
      <c r="M78" s="301">
        <f>S67</f>
        <v>4</v>
      </c>
      <c r="N78" s="245" t="s">
        <v>347</v>
      </c>
      <c r="O78" s="301">
        <f>S68</f>
        <v>1.1170224400000002</v>
      </c>
      <c r="P78" s="296" t="s">
        <v>350</v>
      </c>
      <c r="V78" s="185"/>
    </row>
    <row r="79" spans="1:25" ht="18" customHeight="1">
      <c r="A79" s="184"/>
      <c r="F79" s="27" t="s">
        <v>127</v>
      </c>
      <c r="G79" s="1111">
        <f>G78*((I78+K78)/(M78+O78))</f>
        <v>35.176707178950728</v>
      </c>
      <c r="H79" s="1111"/>
      <c r="I79" s="242"/>
      <c r="J79" s="242"/>
      <c r="K79" s="242"/>
      <c r="L79" s="242"/>
      <c r="M79" s="242"/>
      <c r="N79" s="242"/>
      <c r="O79" s="242"/>
      <c r="V79" s="185"/>
    </row>
    <row r="80" spans="1:25" ht="18" customHeight="1">
      <c r="A80" s="184"/>
      <c r="V80" s="185"/>
    </row>
    <row r="81" spans="1:23" ht="18" customHeight="1">
      <c r="A81" s="184"/>
      <c r="E81" s="244" t="s">
        <v>555</v>
      </c>
      <c r="F81" s="27" t="str">
        <f>IF(D82&gt;G82,"&gt;","&lt;")</f>
        <v>&lt;</v>
      </c>
      <c r="G81" s="296" t="s">
        <v>111</v>
      </c>
      <c r="V81" s="185"/>
    </row>
    <row r="82" spans="1:23" ht="18" customHeight="1">
      <c r="A82" s="184"/>
      <c r="D82" s="795">
        <f>G79</f>
        <v>35.176707178950728</v>
      </c>
      <c r="E82" s="795"/>
      <c r="F82" s="27" t="str">
        <f>F81</f>
        <v>&lt;</v>
      </c>
      <c r="G82" s="795">
        <f>G75</f>
        <v>250</v>
      </c>
      <c r="H82" s="795"/>
      <c r="V82" s="185"/>
    </row>
    <row r="83" spans="1:23" ht="18" customHeight="1">
      <c r="A83" s="184"/>
      <c r="E83" s="244" t="s">
        <v>478</v>
      </c>
      <c r="G83" s="18" t="str">
        <f>IF(F81="&gt;","Suitably Dimentioned","Under Dimentioned")</f>
        <v>Under Dimentioned</v>
      </c>
      <c r="V83" s="185"/>
    </row>
    <row r="84" spans="1:23" ht="18" customHeight="1">
      <c r="A84" s="184"/>
      <c r="E84" s="244"/>
      <c r="G84" s="18"/>
      <c r="V84" s="185"/>
    </row>
    <row r="85" spans="1:23" ht="18" customHeight="1">
      <c r="A85" s="184"/>
      <c r="E85" s="244"/>
      <c r="G85" s="18"/>
      <c r="V85" s="185"/>
    </row>
    <row r="86" spans="1:23" ht="18" customHeight="1">
      <c r="A86" s="184"/>
      <c r="V86" s="185"/>
    </row>
    <row r="87" spans="1:23" s="14" customFormat="1" ht="18"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row r="88" spans="1:23" ht="18" hidden="1"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hidden="1" customHeight="1">
      <c r="A89" s="184"/>
      <c r="B89" s="854" t="str">
        <f>B48</f>
        <v>T1</v>
      </c>
      <c r="C89" s="831"/>
      <c r="D89" s="855" t="str">
        <f>D48</f>
        <v>Core2</v>
      </c>
      <c r="E89" s="856"/>
      <c r="F89" s="255"/>
      <c r="H89" s="684" t="str">
        <f>H48</f>
        <v>(OC +BCU)</v>
      </c>
      <c r="I89" s="684"/>
      <c r="J89" s="684"/>
      <c r="K89" s="684"/>
      <c r="L89" s="684"/>
      <c r="M89" s="684"/>
      <c r="P89" s="186"/>
      <c r="S89" s="187" t="s">
        <v>387</v>
      </c>
      <c r="T89" s="1123" t="str">
        <f>T48</f>
        <v>7SJ85</v>
      </c>
      <c r="U89" s="1124"/>
      <c r="V89" s="185"/>
    </row>
    <row r="90" spans="1:23" ht="18" hidden="1" customHeight="1">
      <c r="A90" s="184"/>
      <c r="B90" s="853">
        <f>B49</f>
        <v>0</v>
      </c>
      <c r="C90" s="853"/>
      <c r="D90" s="857"/>
      <c r="E90" s="858"/>
      <c r="F90" s="255"/>
      <c r="T90" s="1123" t="str">
        <f>T49</f>
        <v>SEL751</v>
      </c>
      <c r="U90" s="1124"/>
      <c r="V90" s="185"/>
    </row>
    <row r="91" spans="1:23" ht="18" hidden="1" customHeight="1">
      <c r="A91" s="184"/>
      <c r="H91" s="708" t="s">
        <v>390</v>
      </c>
      <c r="I91" s="708"/>
      <c r="J91" s="708" t="s">
        <v>391</v>
      </c>
      <c r="K91" s="708"/>
      <c r="L91" s="789" t="s">
        <v>392</v>
      </c>
      <c r="M91" s="789"/>
      <c r="T91" s="1123">
        <f>T50</f>
        <v>0</v>
      </c>
      <c r="U91" s="1124"/>
      <c r="V91" s="185"/>
    </row>
    <row r="92" spans="1:23" ht="18" hidden="1" customHeight="1">
      <c r="A92" s="184"/>
      <c r="B92" s="47" t="s">
        <v>393</v>
      </c>
      <c r="H92" s="854">
        <f>H51</f>
        <v>600</v>
      </c>
      <c r="I92" s="831"/>
      <c r="J92" s="854">
        <f>J51</f>
        <v>200</v>
      </c>
      <c r="K92" s="831"/>
      <c r="L92" s="863" t="str">
        <f>L51</f>
        <v>-</v>
      </c>
      <c r="M92" s="864"/>
      <c r="N92" s="191" t="s">
        <v>342</v>
      </c>
      <c r="O92" s="256">
        <f>O51</f>
        <v>1</v>
      </c>
      <c r="P92" s="27" t="s">
        <v>8</v>
      </c>
      <c r="R92" s="255"/>
      <c r="S92" s="255"/>
      <c r="V92" s="185"/>
    </row>
    <row r="93" spans="1:23" ht="18" hidden="1" customHeight="1">
      <c r="A93" s="184"/>
      <c r="B93" s="47" t="s">
        <v>394</v>
      </c>
      <c r="L93" s="302" t="str">
        <f>J52</f>
        <v>5P</v>
      </c>
      <c r="M93" s="303">
        <f>K52</f>
        <v>20</v>
      </c>
      <c r="V93" s="185"/>
    </row>
    <row r="94" spans="1:23" ht="18" hidden="1" customHeight="1">
      <c r="A94" s="184"/>
      <c r="B94" s="47" t="s">
        <v>396</v>
      </c>
      <c r="K94" s="120" t="s">
        <v>497</v>
      </c>
      <c r="L94" s="1097" t="s">
        <v>6</v>
      </c>
      <c r="M94" s="1098"/>
      <c r="N94" s="192" t="s">
        <v>333</v>
      </c>
      <c r="V94" s="185"/>
    </row>
    <row r="95" spans="1:23" ht="18" hidden="1" customHeight="1">
      <c r="A95" s="184"/>
      <c r="B95" s="47" t="s">
        <v>562</v>
      </c>
      <c r="K95" s="120" t="s">
        <v>493</v>
      </c>
      <c r="L95" s="781" t="s">
        <v>6</v>
      </c>
      <c r="M95" s="782"/>
      <c r="N95" s="14" t="s">
        <v>157</v>
      </c>
      <c r="T95" s="295"/>
      <c r="U95" s="18"/>
      <c r="V95" s="185"/>
      <c r="W95" s="30" t="e">
        <f>G123</f>
        <v>#VALUE!</v>
      </c>
    </row>
    <row r="96" spans="1:23" ht="18" hidden="1" customHeight="1">
      <c r="A96" s="184"/>
      <c r="V96" s="185"/>
    </row>
    <row r="97" spans="1:25" ht="18" hidden="1" customHeight="1">
      <c r="A97" s="193" t="s">
        <v>404</v>
      </c>
      <c r="V97" s="185"/>
    </row>
    <row r="98" spans="1:25" ht="18" hidden="1" customHeight="1">
      <c r="A98" s="184"/>
      <c r="V98" s="185"/>
    </row>
    <row r="99" spans="1:25" ht="18" hidden="1" customHeight="1">
      <c r="A99" s="184"/>
      <c r="B99" s="135" t="s">
        <v>405</v>
      </c>
      <c r="C99" s="273"/>
      <c r="D99" s="139" t="str">
        <f>T89</f>
        <v>7SJ85</v>
      </c>
      <c r="E99" s="227"/>
      <c r="F99" s="227"/>
      <c r="G99" s="227"/>
      <c r="H99" s="138"/>
      <c r="I99" s="260" t="s">
        <v>127</v>
      </c>
      <c r="J99" s="722">
        <f>J58</f>
        <v>0.02</v>
      </c>
      <c r="K99" s="958"/>
      <c r="L99" s="3" t="s">
        <v>157</v>
      </c>
      <c r="N99" s="197" t="s">
        <v>510</v>
      </c>
      <c r="V99" s="185"/>
    </row>
    <row r="100" spans="1:25" ht="18" hidden="1" customHeight="1">
      <c r="A100" s="184"/>
      <c r="B100" s="96" t="s">
        <v>405</v>
      </c>
      <c r="D100" s="296" t="str">
        <f>T90</f>
        <v>SEL751</v>
      </c>
      <c r="I100" s="177" t="s">
        <v>127</v>
      </c>
      <c r="J100" s="1119">
        <f>J59</f>
        <v>0.02</v>
      </c>
      <c r="K100" s="989"/>
      <c r="L100" s="198" t="s">
        <v>157</v>
      </c>
      <c r="P100" s="244"/>
      <c r="V100" s="185"/>
    </row>
    <row r="101" spans="1:25" ht="18" hidden="1" customHeight="1">
      <c r="A101" s="184"/>
      <c r="B101" s="96" t="s">
        <v>405</v>
      </c>
      <c r="C101" s="14"/>
      <c r="D101" s="47">
        <f>T91</f>
        <v>0</v>
      </c>
      <c r="E101" s="14"/>
      <c r="G101" s="199"/>
      <c r="H101" s="27"/>
      <c r="I101" s="101" t="s">
        <v>127</v>
      </c>
      <c r="J101" s="696">
        <f>J60</f>
        <v>0</v>
      </c>
      <c r="K101" s="820"/>
      <c r="L101" s="202" t="s">
        <v>157</v>
      </c>
      <c r="N101" s="120" t="s">
        <v>491</v>
      </c>
      <c r="O101" s="27" t="s">
        <v>127</v>
      </c>
      <c r="P101" s="27" t="s">
        <v>511</v>
      </c>
      <c r="Q101" s="27" t="s">
        <v>315</v>
      </c>
      <c r="R101" s="27" t="s">
        <v>511</v>
      </c>
      <c r="S101" s="27" t="s">
        <v>315</v>
      </c>
      <c r="T101" s="27" t="s">
        <v>420</v>
      </c>
      <c r="V101" s="185"/>
    </row>
    <row r="102" spans="1:25" ht="18" hidden="1" customHeight="1">
      <c r="A102" s="184"/>
      <c r="B102" s="184" t="s">
        <v>412</v>
      </c>
      <c r="C102" s="14"/>
      <c r="D102" s="14"/>
      <c r="E102" s="14"/>
      <c r="H102" s="27"/>
      <c r="I102" s="101" t="s">
        <v>127</v>
      </c>
      <c r="J102" s="1120">
        <f>J62</f>
        <v>1.0770224400000001</v>
      </c>
      <c r="K102" s="987"/>
      <c r="L102" s="297" t="s">
        <v>157</v>
      </c>
      <c r="O102" s="27" t="s">
        <v>127</v>
      </c>
      <c r="P102" s="27">
        <f>O92</f>
        <v>1</v>
      </c>
      <c r="Q102" s="27" t="s">
        <v>315</v>
      </c>
      <c r="R102" s="27">
        <f>O92</f>
        <v>1</v>
      </c>
      <c r="S102" s="27" t="s">
        <v>315</v>
      </c>
      <c r="T102" s="27" t="str">
        <f>L94</f>
        <v>-</v>
      </c>
      <c r="V102" s="185"/>
    </row>
    <row r="103" spans="1:25" ht="18" hidden="1" customHeight="1">
      <c r="A103" s="184"/>
      <c r="B103" s="1" t="s">
        <v>413</v>
      </c>
      <c r="C103" s="2"/>
      <c r="D103" s="2"/>
      <c r="E103" s="2"/>
      <c r="F103" s="196"/>
      <c r="G103" s="196"/>
      <c r="H103" s="224" t="s">
        <v>512</v>
      </c>
      <c r="I103" s="183" t="s">
        <v>127</v>
      </c>
      <c r="J103" s="722">
        <f>SUM(J99:J102)</f>
        <v>1.1170224400000002</v>
      </c>
      <c r="K103" s="958"/>
      <c r="L103" s="3" t="s">
        <v>157</v>
      </c>
      <c r="O103" s="27" t="s">
        <v>127</v>
      </c>
      <c r="P103" s="795" t="e">
        <f>P102*R102*T102</f>
        <v>#VALUE!</v>
      </c>
      <c r="Q103" s="684"/>
      <c r="R103" s="27" t="s">
        <v>157</v>
      </c>
      <c r="S103" s="27"/>
      <c r="T103" s="27"/>
      <c r="V103" s="185"/>
    </row>
    <row r="104" spans="1:25" ht="18" hidden="1" customHeight="1">
      <c r="A104" s="184"/>
      <c r="B104" s="47"/>
      <c r="C104" s="47"/>
      <c r="D104" s="47"/>
      <c r="E104" s="47"/>
      <c r="H104" s="27"/>
      <c r="I104" s="28"/>
      <c r="J104" s="199"/>
      <c r="L104" s="47"/>
      <c r="O104" s="27"/>
      <c r="P104" s="211"/>
      <c r="Q104" s="27"/>
      <c r="R104" s="204"/>
      <c r="S104" s="27"/>
      <c r="V104" s="185"/>
    </row>
    <row r="105" spans="1:25" ht="18" hidden="1" customHeight="1">
      <c r="A105" s="168"/>
      <c r="B105" s="5"/>
      <c r="C105" s="47" t="s">
        <v>543</v>
      </c>
      <c r="D105" s="14"/>
      <c r="E105" s="14"/>
      <c r="F105" s="14"/>
      <c r="G105" s="14"/>
      <c r="H105" s="279"/>
      <c r="I105" s="120"/>
      <c r="J105" s="279"/>
      <c r="K105" s="279"/>
      <c r="L105" s="14"/>
      <c r="M105" s="14"/>
      <c r="N105" s="14"/>
      <c r="O105" s="14"/>
      <c r="P105" s="14"/>
      <c r="Q105" s="120" t="s">
        <v>544</v>
      </c>
      <c r="R105" s="102" t="s">
        <v>127</v>
      </c>
      <c r="S105" s="689">
        <f>S65</f>
        <v>50000</v>
      </c>
      <c r="T105" s="689"/>
      <c r="U105" s="47" t="s">
        <v>8</v>
      </c>
      <c r="V105" s="185"/>
    </row>
    <row r="106" spans="1:25" ht="18" hidden="1" customHeight="1">
      <c r="A106" s="168"/>
      <c r="B106" s="5"/>
      <c r="C106" s="47" t="s">
        <v>545</v>
      </c>
      <c r="D106" s="14"/>
      <c r="E106" s="14"/>
      <c r="F106" s="18"/>
      <c r="G106" s="18"/>
      <c r="H106" s="279"/>
      <c r="I106" s="120"/>
      <c r="J106" s="279"/>
      <c r="K106" s="279"/>
      <c r="L106" s="14"/>
      <c r="M106" s="14"/>
      <c r="N106" s="14"/>
      <c r="O106" s="14"/>
      <c r="P106" s="14"/>
      <c r="Q106" s="120" t="s">
        <v>423</v>
      </c>
      <c r="R106" s="102" t="s">
        <v>127</v>
      </c>
      <c r="S106" s="689">
        <f>J92</f>
        <v>200</v>
      </c>
      <c r="T106" s="689"/>
      <c r="U106" s="14" t="s">
        <v>8</v>
      </c>
      <c r="V106" s="185"/>
    </row>
    <row r="107" spans="1:25" ht="18" hidden="1" customHeight="1">
      <c r="A107" s="168"/>
      <c r="B107" s="5"/>
      <c r="C107" s="47" t="s">
        <v>547</v>
      </c>
      <c r="D107" s="14"/>
      <c r="E107" s="14"/>
      <c r="F107" s="18"/>
      <c r="G107" s="18"/>
      <c r="H107" s="279"/>
      <c r="I107" s="120"/>
      <c r="J107" s="279"/>
      <c r="K107" s="279"/>
      <c r="L107" s="14"/>
      <c r="M107" s="14"/>
      <c r="N107" s="14"/>
      <c r="O107" s="14"/>
      <c r="P107" s="14"/>
      <c r="Q107" s="120" t="s">
        <v>491</v>
      </c>
      <c r="R107" s="102" t="s">
        <v>127</v>
      </c>
      <c r="S107" s="692" t="e">
        <f>P103</f>
        <v>#VALUE!</v>
      </c>
      <c r="T107" s="689"/>
      <c r="U107" s="14" t="s">
        <v>157</v>
      </c>
      <c r="V107" s="185"/>
      <c r="W107" s="279"/>
      <c r="X107" s="279"/>
      <c r="Y107" s="279"/>
    </row>
    <row r="108" spans="1:25" ht="18" hidden="1" customHeight="1">
      <c r="A108" s="168"/>
      <c r="B108" s="5"/>
      <c r="C108" s="47" t="s">
        <v>548</v>
      </c>
      <c r="D108" s="14"/>
      <c r="E108" s="14"/>
      <c r="F108" s="18"/>
      <c r="G108" s="18"/>
      <c r="H108" s="279"/>
      <c r="I108" s="120"/>
      <c r="J108" s="279"/>
      <c r="K108" s="279"/>
      <c r="L108" s="14"/>
      <c r="M108" s="14"/>
      <c r="N108" s="14"/>
      <c r="O108" s="14"/>
      <c r="P108" s="14"/>
      <c r="Q108" s="120" t="s">
        <v>512</v>
      </c>
      <c r="R108" s="102" t="s">
        <v>127</v>
      </c>
      <c r="S108" s="692">
        <f>J103</f>
        <v>1.1170224400000002</v>
      </c>
      <c r="T108" s="689"/>
      <c r="U108" s="14" t="s">
        <v>157</v>
      </c>
      <c r="V108" s="185"/>
      <c r="X108" s="279"/>
      <c r="Y108" s="279"/>
    </row>
    <row r="109" spans="1:25" ht="18" hidden="1" customHeight="1">
      <c r="A109" s="168"/>
      <c r="B109" s="5"/>
      <c r="C109" s="47" t="s">
        <v>549</v>
      </c>
      <c r="D109" s="14"/>
      <c r="E109" s="14"/>
      <c r="F109" s="14"/>
      <c r="G109" s="14"/>
      <c r="H109" s="279"/>
      <c r="I109" s="120"/>
      <c r="J109" s="279"/>
      <c r="K109" s="279"/>
      <c r="L109" s="14"/>
      <c r="M109" s="14"/>
      <c r="N109" s="14"/>
      <c r="O109" s="14"/>
      <c r="P109" s="14"/>
      <c r="Q109" s="120" t="s">
        <v>511</v>
      </c>
      <c r="R109" s="102" t="s">
        <v>127</v>
      </c>
      <c r="S109" s="689">
        <f>O92</f>
        <v>1</v>
      </c>
      <c r="T109" s="689"/>
      <c r="U109" s="14" t="s">
        <v>8</v>
      </c>
      <c r="V109" s="185"/>
      <c r="X109" s="279"/>
      <c r="Y109" s="279"/>
    </row>
    <row r="110" spans="1:25" ht="18" hidden="1" customHeight="1">
      <c r="A110" s="168"/>
      <c r="B110" s="5"/>
      <c r="C110" s="47" t="s">
        <v>550</v>
      </c>
      <c r="D110" s="14"/>
      <c r="E110" s="14"/>
      <c r="F110" s="14"/>
      <c r="G110" s="14"/>
      <c r="H110" s="279"/>
      <c r="I110" s="120"/>
      <c r="J110" s="279"/>
      <c r="K110" s="279"/>
      <c r="L110" s="14"/>
      <c r="M110" s="14"/>
      <c r="N110" s="14"/>
      <c r="O110" s="14"/>
      <c r="P110" s="14"/>
      <c r="Q110" s="120" t="s">
        <v>495</v>
      </c>
      <c r="R110" s="102" t="s">
        <v>127</v>
      </c>
      <c r="S110" s="689">
        <f>M93</f>
        <v>20</v>
      </c>
      <c r="T110" s="689"/>
      <c r="U110" s="47"/>
      <c r="V110" s="185"/>
    </row>
    <row r="111" spans="1:25" ht="18" hidden="1" customHeight="1">
      <c r="A111" s="299"/>
      <c r="B111" s="279"/>
      <c r="C111" s="47" t="s">
        <v>551</v>
      </c>
      <c r="D111" s="14"/>
      <c r="E111" s="14"/>
      <c r="F111" s="14"/>
      <c r="G111" s="14"/>
      <c r="H111" s="279"/>
      <c r="I111" s="120"/>
      <c r="J111" s="279"/>
      <c r="K111" s="279"/>
      <c r="L111" s="14"/>
      <c r="M111" s="14"/>
      <c r="N111" s="279"/>
      <c r="O111" s="279"/>
      <c r="P111" s="14"/>
      <c r="Q111" s="120" t="s">
        <v>493</v>
      </c>
      <c r="R111" s="102" t="s">
        <v>127</v>
      </c>
      <c r="S111" s="689" t="str">
        <f>L95</f>
        <v>-</v>
      </c>
      <c r="T111" s="689"/>
      <c r="U111" s="14" t="s">
        <v>157</v>
      </c>
      <c r="V111" s="300"/>
      <c r="W111" s="279"/>
      <c r="X111" s="279"/>
      <c r="Y111" s="279"/>
    </row>
    <row r="112" spans="1:25" ht="18" hidden="1" customHeight="1">
      <c r="A112" s="184"/>
      <c r="V112" s="185"/>
    </row>
    <row r="113" spans="1:22" ht="18" hidden="1" customHeight="1">
      <c r="A113" s="184"/>
      <c r="E113" s="244" t="s">
        <v>111</v>
      </c>
      <c r="F113" s="27" t="s">
        <v>127</v>
      </c>
      <c r="G113" s="689" t="s">
        <v>544</v>
      </c>
      <c r="H113" s="689"/>
      <c r="I113" s="191" t="s">
        <v>342</v>
      </c>
      <c r="J113" s="684" t="s">
        <v>423</v>
      </c>
      <c r="K113" s="684"/>
      <c r="V113" s="185"/>
    </row>
    <row r="114" spans="1:22" ht="18" hidden="1" customHeight="1">
      <c r="A114" s="184"/>
      <c r="F114" s="27" t="s">
        <v>127</v>
      </c>
      <c r="G114" s="684">
        <f>S105</f>
        <v>50000</v>
      </c>
      <c r="H114" s="684"/>
      <c r="I114" s="191" t="s">
        <v>342</v>
      </c>
      <c r="J114" s="684">
        <f>S106</f>
        <v>200</v>
      </c>
      <c r="K114" s="684"/>
      <c r="V114" s="185"/>
    </row>
    <row r="115" spans="1:22" ht="18" hidden="1" customHeight="1">
      <c r="A115" s="184"/>
      <c r="F115" s="27" t="s">
        <v>127</v>
      </c>
      <c r="G115" s="795">
        <f>G114/J114</f>
        <v>250</v>
      </c>
      <c r="H115" s="795"/>
      <c r="I115" s="27"/>
      <c r="J115" s="27"/>
      <c r="K115" s="27"/>
      <c r="V115" s="185"/>
    </row>
    <row r="116" spans="1:22" ht="18" hidden="1" customHeight="1">
      <c r="A116" s="184"/>
      <c r="V116" s="185"/>
    </row>
    <row r="117" spans="1:22" ht="18" hidden="1" customHeight="1">
      <c r="A117" s="184"/>
      <c r="E117" s="244" t="s">
        <v>553</v>
      </c>
      <c r="F117" s="27" t="s">
        <v>127</v>
      </c>
      <c r="G117" s="27" t="s">
        <v>495</v>
      </c>
      <c r="H117" s="27" t="s">
        <v>554</v>
      </c>
      <c r="I117" s="120" t="s">
        <v>491</v>
      </c>
      <c r="J117" s="28" t="s">
        <v>347</v>
      </c>
      <c r="K117" s="120" t="s">
        <v>493</v>
      </c>
      <c r="L117" s="28" t="s">
        <v>539</v>
      </c>
      <c r="M117" s="120" t="s">
        <v>491</v>
      </c>
      <c r="N117" s="28" t="s">
        <v>347</v>
      </c>
      <c r="O117" s="120" t="s">
        <v>512</v>
      </c>
      <c r="P117" s="296" t="s">
        <v>350</v>
      </c>
      <c r="V117" s="185"/>
    </row>
    <row r="118" spans="1:22" ht="18" hidden="1" customHeight="1">
      <c r="A118" s="184"/>
      <c r="F118" s="27" t="s">
        <v>127</v>
      </c>
      <c r="G118" s="242">
        <f>S110</f>
        <v>20</v>
      </c>
      <c r="H118" s="245" t="s">
        <v>554</v>
      </c>
      <c r="I118" s="301" t="e">
        <f>S107</f>
        <v>#VALUE!</v>
      </c>
      <c r="J118" s="245" t="s">
        <v>347</v>
      </c>
      <c r="K118" s="242" t="str">
        <f>S111</f>
        <v>-</v>
      </c>
      <c r="L118" s="245" t="s">
        <v>539</v>
      </c>
      <c r="M118" s="301" t="e">
        <f>S107</f>
        <v>#VALUE!</v>
      </c>
      <c r="N118" s="245" t="s">
        <v>347</v>
      </c>
      <c r="O118" s="301">
        <f>S108</f>
        <v>1.1170224400000002</v>
      </c>
      <c r="P118" s="296" t="s">
        <v>350</v>
      </c>
      <c r="V118" s="185"/>
    </row>
    <row r="119" spans="1:22" ht="18" hidden="1" customHeight="1">
      <c r="A119" s="184"/>
      <c r="F119" s="27" t="s">
        <v>127</v>
      </c>
      <c r="G119" s="1111" t="e">
        <f>G118*((I118+K118)/(M118+O118))</f>
        <v>#VALUE!</v>
      </c>
      <c r="H119" s="1111"/>
      <c r="I119" s="242"/>
      <c r="J119" s="242"/>
      <c r="K119" s="242"/>
      <c r="L119" s="242"/>
      <c r="M119" s="242"/>
      <c r="N119" s="242"/>
      <c r="O119" s="242"/>
      <c r="V119" s="185"/>
    </row>
    <row r="120" spans="1:22" ht="18" hidden="1" customHeight="1">
      <c r="A120" s="184"/>
      <c r="V120" s="185"/>
    </row>
    <row r="121" spans="1:22" ht="18" hidden="1" customHeight="1">
      <c r="A121" s="184"/>
      <c r="E121" s="244" t="s">
        <v>555</v>
      </c>
      <c r="F121" s="27" t="e">
        <f>IF(D122&gt;G122,"&gt;","&lt;")</f>
        <v>#VALUE!</v>
      </c>
      <c r="G121" s="296" t="s">
        <v>111</v>
      </c>
      <c r="V121" s="185"/>
    </row>
    <row r="122" spans="1:22" ht="18" hidden="1" customHeight="1">
      <c r="A122" s="184"/>
      <c r="D122" s="795" t="e">
        <f>G119</f>
        <v>#VALUE!</v>
      </c>
      <c r="E122" s="795"/>
      <c r="F122" s="27" t="e">
        <f>F121</f>
        <v>#VALUE!</v>
      </c>
      <c r="G122" s="795">
        <f>G115</f>
        <v>250</v>
      </c>
      <c r="H122" s="795"/>
      <c r="V122" s="185"/>
    </row>
    <row r="123" spans="1:22" ht="18" hidden="1" customHeight="1">
      <c r="A123" s="184"/>
      <c r="E123" s="244" t="s">
        <v>478</v>
      </c>
      <c r="G123" s="18" t="e">
        <f>IF(F121="&gt;","Suitably Dimentioned","Under Dimentioned")</f>
        <v>#VALUE!</v>
      </c>
      <c r="V123" s="185"/>
    </row>
    <row r="124" spans="1:22" ht="18" hidden="1" customHeight="1">
      <c r="A124" s="184"/>
      <c r="E124" s="244"/>
      <c r="G124" s="18"/>
      <c r="V124" s="185"/>
    </row>
    <row r="125" spans="1:22" ht="18" hidden="1" customHeight="1">
      <c r="A125" s="184"/>
      <c r="E125" s="244"/>
      <c r="G125" s="18"/>
      <c r="V125" s="185"/>
    </row>
    <row r="126" spans="1:22" ht="18" hidden="1" customHeight="1">
      <c r="A126" s="184"/>
      <c r="E126" s="244"/>
      <c r="G126" s="18"/>
      <c r="V126" s="185"/>
    </row>
    <row r="127" spans="1:22" ht="18" hidden="1" customHeight="1">
      <c r="A127" s="184"/>
      <c r="E127" s="244"/>
      <c r="G127" s="18"/>
      <c r="V127" s="185"/>
    </row>
    <row r="128" spans="1:22" ht="18" hidden="1" customHeight="1">
      <c r="A128" s="184"/>
      <c r="E128" s="244"/>
      <c r="G128" s="18"/>
      <c r="V128" s="185"/>
    </row>
    <row r="129" spans="1:22" ht="18" hidden="1" customHeight="1">
      <c r="A129" s="184"/>
      <c r="V129" s="185"/>
    </row>
    <row r="130" spans="1:22" ht="18" hidden="1" customHeight="1">
      <c r="A130" s="184"/>
      <c r="V130" s="185"/>
    </row>
    <row r="131" spans="1:22" s="14" customFormat="1" ht="18" hidden="1" customHeight="1">
      <c r="A131" s="194"/>
      <c r="B131" s="195"/>
      <c r="C131" s="195"/>
      <c r="D131" s="195"/>
      <c r="E131" s="195"/>
      <c r="F131" s="195"/>
      <c r="G131" s="195"/>
      <c r="H131" s="195"/>
      <c r="I131" s="195"/>
      <c r="J131" s="195"/>
      <c r="K131" s="195"/>
      <c r="L131" s="195"/>
      <c r="M131" s="195"/>
      <c r="N131" s="195"/>
      <c r="O131" s="195"/>
      <c r="P131" s="195"/>
      <c r="Q131" s="224"/>
      <c r="R131" s="182"/>
      <c r="S131" s="225"/>
      <c r="T131" s="195"/>
      <c r="U131" s="195"/>
      <c r="V131" s="134" t="s">
        <v>552</v>
      </c>
    </row>
    <row r="132" spans="1:22" ht="18" customHeight="1">
      <c r="A132" s="226"/>
      <c r="B132" s="227"/>
      <c r="C132" s="227"/>
      <c r="D132" s="227"/>
      <c r="E132" s="227"/>
      <c r="F132" s="227"/>
      <c r="G132" s="227"/>
      <c r="H132" s="227"/>
      <c r="I132" s="227"/>
      <c r="J132" s="227"/>
      <c r="K132" s="227"/>
      <c r="L132" s="227"/>
      <c r="M132" s="227"/>
      <c r="N132" s="227"/>
      <c r="O132" s="227"/>
      <c r="P132" s="227"/>
      <c r="Q132" s="227"/>
      <c r="R132" s="227"/>
      <c r="S132" s="227"/>
      <c r="T132" s="227"/>
      <c r="U132" s="227"/>
      <c r="V132" s="228"/>
    </row>
    <row r="133" spans="1:22" ht="18" customHeight="1">
      <c r="A133" s="262" t="s">
        <v>532</v>
      </c>
      <c r="B133" s="14"/>
      <c r="C133" s="14"/>
      <c r="D133" s="120"/>
      <c r="E133" s="120"/>
      <c r="F133" s="18"/>
      <c r="G133" s="18"/>
      <c r="H133" s="14"/>
      <c r="I133" s="14"/>
      <c r="J133" s="14"/>
      <c r="K133" s="14"/>
      <c r="L133" s="14"/>
      <c r="M133" s="14"/>
      <c r="N133" s="14"/>
      <c r="O133" s="14"/>
      <c r="P133" s="28"/>
      <c r="Q133" s="120"/>
      <c r="R133" s="47"/>
      <c r="S133" s="206"/>
      <c r="T133" s="259"/>
      <c r="U133" s="14"/>
      <c r="V133" s="97"/>
    </row>
    <row r="134" spans="1:22" ht="18" customHeight="1">
      <c r="A134" s="955" t="s">
        <v>85</v>
      </c>
      <c r="B134" s="956"/>
      <c r="C134" s="957"/>
      <c r="D134" s="955" t="s">
        <v>86</v>
      </c>
      <c r="E134" s="956"/>
      <c r="F134" s="957"/>
      <c r="G134" s="955" t="s">
        <v>87</v>
      </c>
      <c r="H134" s="957"/>
      <c r="I134" s="955" t="s">
        <v>88</v>
      </c>
      <c r="J134" s="957"/>
      <c r="K134" s="955" t="s">
        <v>502</v>
      </c>
      <c r="L134" s="957"/>
      <c r="M134" s="955" t="s">
        <v>564</v>
      </c>
      <c r="N134" s="957"/>
      <c r="O134" s="955"/>
      <c r="P134" s="957"/>
      <c r="Q134" s="955" t="s">
        <v>505</v>
      </c>
      <c r="R134" s="957"/>
      <c r="S134" s="955" t="s">
        <v>93</v>
      </c>
      <c r="T134" s="956"/>
      <c r="U134" s="956"/>
      <c r="V134" s="957"/>
    </row>
    <row r="135" spans="1:22" ht="18" customHeight="1">
      <c r="A135" s="1125"/>
      <c r="B135" s="983"/>
      <c r="C135" s="1126"/>
      <c r="D135" s="1125"/>
      <c r="E135" s="983"/>
      <c r="F135" s="1126"/>
      <c r="G135" s="1125"/>
      <c r="H135" s="1126"/>
      <c r="I135" s="1125"/>
      <c r="J135" s="1126"/>
      <c r="K135" s="1125"/>
      <c r="L135" s="1126"/>
      <c r="M135" s="1125"/>
      <c r="N135" s="1126"/>
      <c r="O135" s="1125"/>
      <c r="P135" s="1126"/>
      <c r="Q135" s="1125"/>
      <c r="R135" s="1126"/>
      <c r="S135" s="1125"/>
      <c r="T135" s="983"/>
      <c r="U135" s="983"/>
      <c r="V135" s="1126"/>
    </row>
    <row r="136" spans="1:22" ht="18" customHeight="1">
      <c r="A136" s="1125"/>
      <c r="B136" s="983"/>
      <c r="C136" s="1126"/>
      <c r="D136" s="1125"/>
      <c r="E136" s="983"/>
      <c r="F136" s="1126"/>
      <c r="G136" s="1125"/>
      <c r="H136" s="1126"/>
      <c r="I136" s="1125"/>
      <c r="J136" s="1126"/>
      <c r="K136" s="1125"/>
      <c r="L136" s="1126"/>
      <c r="M136" s="1125"/>
      <c r="N136" s="1126"/>
      <c r="O136" s="1125"/>
      <c r="P136" s="1126"/>
      <c r="Q136" s="1125"/>
      <c r="R136" s="1126"/>
      <c r="S136" s="1125"/>
      <c r="T136" s="983"/>
      <c r="U136" s="983"/>
      <c r="V136" s="1126"/>
    </row>
    <row r="137" spans="1:22" ht="18" customHeight="1">
      <c r="A137" s="1047"/>
      <c r="B137" s="1048"/>
      <c r="C137" s="1049"/>
      <c r="D137" s="1047"/>
      <c r="E137" s="1048"/>
      <c r="F137" s="1049"/>
      <c r="G137" s="1047"/>
      <c r="H137" s="1049"/>
      <c r="I137" s="1047"/>
      <c r="J137" s="1049"/>
      <c r="K137" s="1047"/>
      <c r="L137" s="1049"/>
      <c r="M137" s="1047"/>
      <c r="N137" s="1049"/>
      <c r="O137" s="1047"/>
      <c r="P137" s="1049"/>
      <c r="Q137" s="1047"/>
      <c r="R137" s="1049"/>
      <c r="S137" s="1047"/>
      <c r="T137" s="1048"/>
      <c r="U137" s="1048"/>
      <c r="V137" s="1049"/>
    </row>
    <row r="138" spans="1:22" ht="18" customHeight="1">
      <c r="A138" s="765" t="str">
        <f>B89</f>
        <v>T1</v>
      </c>
      <c r="B138" s="765" t="str">
        <f>D89</f>
        <v>Core2</v>
      </c>
      <c r="C138" s="765"/>
      <c r="D138" s="870">
        <f>H92</f>
        <v>600</v>
      </c>
      <c r="E138" s="870"/>
      <c r="F138" s="871">
        <f>O92</f>
        <v>1</v>
      </c>
      <c r="G138" s="961">
        <f>'CT-VT Burdens'!S21</f>
        <v>120</v>
      </c>
      <c r="H138" s="959">
        <f>'CT-VT Burdens'!S10</f>
        <v>6</v>
      </c>
      <c r="I138" s="1036" t="str">
        <f>L93</f>
        <v>5P</v>
      </c>
      <c r="J138" s="1019">
        <f>M93</f>
        <v>20</v>
      </c>
      <c r="K138" s="869">
        <f>H12</f>
        <v>8</v>
      </c>
      <c r="L138" s="869"/>
      <c r="M138" s="869">
        <f>H13</f>
        <v>7.5</v>
      </c>
      <c r="N138" s="869"/>
      <c r="O138" s="870" t="s">
        <v>6</v>
      </c>
      <c r="P138" s="870"/>
      <c r="Q138" s="879" t="str">
        <f>CONCATENATE(T7," ",T8," ",T9," ",T10)</f>
        <v xml:space="preserve">7SJ85 SEL751  </v>
      </c>
      <c r="R138" s="879"/>
      <c r="S138" s="878" t="str">
        <f>G42</f>
        <v>Under Dimensioned</v>
      </c>
      <c r="T138" s="878"/>
      <c r="U138" s="878"/>
      <c r="V138" s="878"/>
    </row>
    <row r="139" spans="1:22" ht="18" customHeight="1">
      <c r="A139" s="765"/>
      <c r="B139" s="765"/>
      <c r="C139" s="765"/>
      <c r="D139" s="870">
        <f>J92</f>
        <v>200</v>
      </c>
      <c r="E139" s="870"/>
      <c r="F139" s="872"/>
      <c r="G139" s="961"/>
      <c r="H139" s="959"/>
      <c r="I139" s="1127"/>
      <c r="J139" s="1020"/>
      <c r="K139" s="869">
        <f>J53</f>
        <v>4</v>
      </c>
      <c r="L139" s="869"/>
      <c r="M139" s="869">
        <f>J54</f>
        <v>5</v>
      </c>
      <c r="N139" s="869"/>
      <c r="O139" s="870" t="s">
        <v>6</v>
      </c>
      <c r="P139" s="870"/>
      <c r="Q139" s="879"/>
      <c r="R139" s="879"/>
      <c r="S139" s="878" t="str">
        <f>G83</f>
        <v>Under Dimentioned</v>
      </c>
      <c r="T139" s="878"/>
      <c r="U139" s="878"/>
      <c r="V139" s="878"/>
    </row>
    <row r="140" spans="1:22" ht="18" customHeight="1">
      <c r="A140" s="765"/>
      <c r="B140" s="765"/>
      <c r="C140" s="765"/>
      <c r="D140" s="870" t="s">
        <v>6</v>
      </c>
      <c r="E140" s="870"/>
      <c r="F140" s="873"/>
      <c r="G140" s="961"/>
      <c r="H140" s="959"/>
      <c r="I140" s="1128"/>
      <c r="J140" s="1021"/>
      <c r="K140" s="869" t="s">
        <v>6</v>
      </c>
      <c r="L140" s="869"/>
      <c r="M140" s="869" t="s">
        <v>6</v>
      </c>
      <c r="N140" s="869"/>
      <c r="O140" s="870" t="s">
        <v>6</v>
      </c>
      <c r="P140" s="870"/>
      <c r="Q140" s="879"/>
      <c r="R140" s="879"/>
      <c r="S140" s="878" t="s">
        <v>6</v>
      </c>
      <c r="T140" s="878"/>
      <c r="U140" s="878"/>
      <c r="V140" s="878"/>
    </row>
    <row r="141" spans="1:22" ht="18" customHeight="1">
      <c r="A141" s="184"/>
      <c r="V141" s="185"/>
    </row>
    <row r="142" spans="1:22" ht="18" customHeight="1">
      <c r="A142" s="184"/>
      <c r="V142" s="185"/>
    </row>
    <row r="143" spans="1:22" ht="18" customHeight="1">
      <c r="A143" s="184"/>
      <c r="V143" s="185"/>
    </row>
    <row r="144" spans="1:22" ht="18" customHeight="1">
      <c r="A144" s="184"/>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ht="18" customHeight="1">
      <c r="A170" s="184"/>
      <c r="V170" s="185"/>
    </row>
    <row r="171" spans="1:22" ht="18" customHeight="1">
      <c r="A171" s="184"/>
      <c r="V171" s="185"/>
    </row>
    <row r="172" spans="1:22" s="14" customFormat="1" ht="18" customHeight="1">
      <c r="A172" s="194"/>
      <c r="B172" s="195"/>
      <c r="C172" s="195"/>
      <c r="D172" s="195"/>
      <c r="E172" s="195"/>
      <c r="F172" s="195"/>
      <c r="G172" s="195"/>
      <c r="H172" s="195"/>
      <c r="I172" s="195"/>
      <c r="J172" s="195"/>
      <c r="K172" s="195"/>
      <c r="L172" s="195"/>
      <c r="M172" s="195"/>
      <c r="N172" s="195"/>
      <c r="O172" s="195"/>
      <c r="P172" s="195"/>
      <c r="Q172" s="224"/>
      <c r="R172" s="182"/>
      <c r="S172" s="225"/>
      <c r="T172" s="195"/>
      <c r="U172" s="195"/>
      <c r="V172" s="134"/>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201"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590</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99" t="s">
        <v>108</v>
      </c>
      <c r="C7" s="1100"/>
      <c r="D7" s="1099" t="s">
        <v>113</v>
      </c>
      <c r="E7" s="1101"/>
      <c r="F7" s="255"/>
      <c r="H7" s="689" t="s">
        <v>591</v>
      </c>
      <c r="I7" s="684"/>
      <c r="J7" s="684"/>
      <c r="K7" s="684"/>
      <c r="L7" s="684"/>
      <c r="M7" s="684"/>
      <c r="P7" s="186"/>
      <c r="R7" s="255"/>
      <c r="S7" s="187" t="s">
        <v>387</v>
      </c>
      <c r="T7" s="1216" t="s">
        <v>244</v>
      </c>
      <c r="U7" s="1247"/>
      <c r="V7" s="185"/>
    </row>
    <row r="8" spans="1:24" ht="18" customHeight="1">
      <c r="A8" s="184"/>
      <c r="B8" s="1097"/>
      <c r="C8" s="1098"/>
      <c r="D8" s="1102"/>
      <c r="E8" s="1103"/>
      <c r="F8" s="255"/>
      <c r="T8" s="1216" t="s">
        <v>246</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600</v>
      </c>
      <c r="I10" s="792"/>
      <c r="J10" s="781">
        <v>200</v>
      </c>
      <c r="K10" s="782"/>
      <c r="L10" s="781" t="s">
        <v>6</v>
      </c>
      <c r="M10" s="782"/>
      <c r="N10" s="191" t="s">
        <v>342</v>
      </c>
      <c r="O10" s="125">
        <v>1</v>
      </c>
      <c r="P10" s="27" t="s">
        <v>8</v>
      </c>
      <c r="T10" s="1216"/>
      <c r="U10" s="1247"/>
      <c r="V10" s="185"/>
    </row>
    <row r="11" spans="1:24" ht="18" customHeight="1">
      <c r="A11" s="184"/>
      <c r="B11" s="47" t="s">
        <v>394</v>
      </c>
      <c r="H11" s="781" t="s">
        <v>592</v>
      </c>
      <c r="I11" s="782"/>
      <c r="T11" s="1248"/>
      <c r="U11" s="1248"/>
      <c r="V11" s="185"/>
    </row>
    <row r="12" spans="1:24" ht="18" customHeight="1">
      <c r="A12" s="184"/>
      <c r="B12" s="47" t="s">
        <v>396</v>
      </c>
      <c r="G12" s="120" t="s">
        <v>497</v>
      </c>
      <c r="H12" s="781">
        <v>8</v>
      </c>
      <c r="I12" s="782"/>
      <c r="J12" s="192" t="s">
        <v>333</v>
      </c>
      <c r="T12" s="295"/>
      <c r="U12" s="18"/>
      <c r="V12" s="185"/>
    </row>
    <row r="13" spans="1:24" ht="18" customHeight="1">
      <c r="A13" s="184"/>
      <c r="B13" s="30" t="s">
        <v>568</v>
      </c>
      <c r="G13" s="120" t="s">
        <v>569</v>
      </c>
      <c r="H13" s="781">
        <v>10</v>
      </c>
      <c r="I13" s="782"/>
      <c r="T13" s="295"/>
      <c r="U13" s="18"/>
      <c r="V13" s="185"/>
      <c r="W13" s="30" t="str">
        <f>J47</f>
        <v>Suitable Dimensions</v>
      </c>
    </row>
    <row r="14" spans="1:24" ht="18" customHeight="1">
      <c r="A14" s="184"/>
      <c r="B14" s="47" t="s">
        <v>562</v>
      </c>
      <c r="G14" s="120" t="s">
        <v>493</v>
      </c>
      <c r="H14" s="781">
        <v>7.5</v>
      </c>
      <c r="I14" s="782"/>
      <c r="J14" s="14"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49">
        <f>'CT-VT Burdens'!Q142</f>
        <v>8.0000000000000002E-3</v>
      </c>
      <c r="K18" s="1250"/>
      <c r="L18" s="3" t="s">
        <v>157</v>
      </c>
      <c r="N18" s="197" t="s">
        <v>510</v>
      </c>
      <c r="V18" s="185"/>
      <c r="AC18" s="14" t="s">
        <v>570</v>
      </c>
      <c r="AE18" s="14" t="s">
        <v>571</v>
      </c>
    </row>
    <row r="19" spans="1:31" ht="18" customHeight="1">
      <c r="A19" s="184"/>
      <c r="B19" s="96" t="s">
        <v>405</v>
      </c>
      <c r="D19" s="296" t="str">
        <f>T8</f>
        <v>GOSSEN</v>
      </c>
      <c r="I19" s="177" t="s">
        <v>127</v>
      </c>
      <c r="J19" s="1108">
        <f>'CT-VT Burdens'!Q143</f>
        <v>0.25</v>
      </c>
      <c r="K19" s="1104"/>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8</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8</v>
      </c>
      <c r="Q22" s="684"/>
      <c r="R22" s="27" t="s">
        <v>157</v>
      </c>
      <c r="S22" s="27"/>
      <c r="T22" s="27"/>
      <c r="V22" s="185"/>
    </row>
    <row r="23" spans="1:31" ht="18" customHeight="1">
      <c r="A23" s="184"/>
      <c r="B23" s="1" t="s">
        <v>413</v>
      </c>
      <c r="C23" s="2"/>
      <c r="D23" s="2"/>
      <c r="E23" s="2"/>
      <c r="F23" s="196"/>
      <c r="G23" s="196"/>
      <c r="H23" s="224" t="s">
        <v>512</v>
      </c>
      <c r="I23" s="183" t="s">
        <v>127</v>
      </c>
      <c r="J23" s="722">
        <f>SUM(J18:K22)</f>
        <v>1.3350224400000001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600</v>
      </c>
      <c r="Q25" s="1251"/>
      <c r="R25" s="192" t="s">
        <v>8</v>
      </c>
      <c r="V25" s="185"/>
    </row>
    <row r="26" spans="1:31" ht="18" customHeight="1">
      <c r="A26" s="184"/>
      <c r="B26" s="47" t="s">
        <v>547</v>
      </c>
      <c r="C26" s="47"/>
      <c r="D26" s="47"/>
      <c r="E26" s="47"/>
      <c r="H26" s="27"/>
      <c r="I26" s="28"/>
      <c r="J26" s="199"/>
      <c r="L26" s="47"/>
      <c r="N26" s="120" t="s">
        <v>572</v>
      </c>
      <c r="O26" s="28" t="s">
        <v>127</v>
      </c>
      <c r="P26" s="1251">
        <f>H12</f>
        <v>8</v>
      </c>
      <c r="Q26" s="1251"/>
      <c r="R26" s="304" t="s">
        <v>157</v>
      </c>
      <c r="V26" s="185"/>
    </row>
    <row r="27" spans="1:31" ht="18" customHeight="1">
      <c r="A27" s="184"/>
      <c r="B27" s="47" t="s">
        <v>548</v>
      </c>
      <c r="C27" s="47"/>
      <c r="D27" s="47"/>
      <c r="E27" s="47"/>
      <c r="H27" s="27"/>
      <c r="I27" s="28"/>
      <c r="J27" s="199"/>
      <c r="L27" s="47"/>
      <c r="N27" s="120" t="s">
        <v>573</v>
      </c>
      <c r="O27" s="28" t="s">
        <v>127</v>
      </c>
      <c r="P27" s="1072">
        <f>J23</f>
        <v>1.3350224400000001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47" t="s">
        <v>577</v>
      </c>
      <c r="C30" s="47"/>
      <c r="D30" s="47"/>
      <c r="E30" s="47"/>
      <c r="H30" s="27"/>
      <c r="I30" s="28"/>
      <c r="J30" s="199"/>
      <c r="L30" s="47"/>
      <c r="O30" s="28" t="s">
        <v>127</v>
      </c>
      <c r="P30" s="1072">
        <v>20</v>
      </c>
      <c r="Q30" s="1072"/>
      <c r="R30" s="192" t="s">
        <v>129</v>
      </c>
      <c r="S30" s="14" t="s">
        <v>170</v>
      </c>
      <c r="V30" s="185"/>
    </row>
    <row r="31" spans="1:31" ht="18" customHeight="1">
      <c r="A31" s="184"/>
      <c r="B31" s="47"/>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1.3350224400000001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10</v>
      </c>
      <c r="K38" s="245" t="s">
        <v>554</v>
      </c>
      <c r="L38" s="301">
        <f>P22</f>
        <v>8</v>
      </c>
      <c r="M38" s="245" t="s">
        <v>347</v>
      </c>
      <c r="N38" s="242">
        <f>H14</f>
        <v>7.5</v>
      </c>
      <c r="O38" s="245" t="s">
        <v>539</v>
      </c>
      <c r="P38" s="301">
        <f>P22</f>
        <v>8</v>
      </c>
      <c r="Q38" s="245" t="s">
        <v>347</v>
      </c>
      <c r="R38" s="301">
        <f>J23</f>
        <v>1.3350224400000001</v>
      </c>
      <c r="S38" s="296" t="s">
        <v>350</v>
      </c>
      <c r="V38" s="185"/>
    </row>
    <row r="39" spans="1:22" ht="18" customHeight="1">
      <c r="A39" s="184"/>
      <c r="I39" s="27" t="s">
        <v>127</v>
      </c>
      <c r="J39" s="1111">
        <f>J38*((L38+N38)/(P38+R38))</f>
        <v>16.604137911424239</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7.5</v>
      </c>
      <c r="H43" s="684"/>
      <c r="I43" s="27" t="str">
        <f>IF(G43&gt;J43,"&gt;","&lt;")</f>
        <v>&gt;</v>
      </c>
      <c r="J43" s="795">
        <f>J35</f>
        <v>1.3350224400000001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&gt;</v>
      </c>
      <c r="J46" s="795">
        <f>J39</f>
        <v>16.604137911424239</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customHeight="1">
      <c r="A50" s="184"/>
      <c r="B50" s="835" t="str">
        <f>B7</f>
        <v>T1</v>
      </c>
      <c r="C50" s="836"/>
      <c r="D50" s="1112" t="str">
        <f>D7</f>
        <v>Core4</v>
      </c>
      <c r="E50" s="1113"/>
      <c r="F50" s="255"/>
      <c r="H50" s="684" t="str">
        <f>H7</f>
        <v>(Tariff Meter- Check)</v>
      </c>
      <c r="I50" s="684"/>
      <c r="J50" s="684"/>
      <c r="K50" s="684"/>
      <c r="L50" s="684"/>
      <c r="M50" s="684"/>
      <c r="P50" s="186"/>
      <c r="R50" s="255"/>
      <c r="S50" s="187" t="s">
        <v>387</v>
      </c>
      <c r="T50" s="1216" t="str">
        <f>T7</f>
        <v>XC-RACK</v>
      </c>
      <c r="U50" s="1247"/>
      <c r="V50" s="185"/>
    </row>
    <row r="51" spans="1:23" ht="18" customHeight="1">
      <c r="A51" s="184"/>
      <c r="B51" s="1118">
        <f>B8</f>
        <v>0</v>
      </c>
      <c r="C51" s="1118"/>
      <c r="D51" s="1114"/>
      <c r="E51" s="1115"/>
      <c r="F51" s="255"/>
      <c r="T51" s="1216" t="str">
        <f>T8</f>
        <v>GOSSEN</v>
      </c>
      <c r="U51" s="1247"/>
      <c r="V51" s="185"/>
    </row>
    <row r="52" spans="1:23" ht="18" customHeight="1">
      <c r="A52" s="184"/>
      <c r="H52" s="708" t="s">
        <v>390</v>
      </c>
      <c r="I52" s="708"/>
      <c r="J52" s="789" t="s">
        <v>391</v>
      </c>
      <c r="K52" s="789"/>
      <c r="L52" s="790" t="s">
        <v>392</v>
      </c>
      <c r="M52" s="790"/>
      <c r="T52" s="1216"/>
      <c r="U52" s="1247"/>
      <c r="V52" s="185"/>
    </row>
    <row r="53" spans="1:23" ht="18" customHeight="1">
      <c r="A53" s="184"/>
      <c r="B53" s="47" t="s">
        <v>393</v>
      </c>
      <c r="H53" s="835">
        <f>H10</f>
        <v>600</v>
      </c>
      <c r="I53" s="836"/>
      <c r="J53" s="843">
        <f>J10</f>
        <v>200</v>
      </c>
      <c r="K53" s="844"/>
      <c r="L53" s="835" t="str">
        <f>L10</f>
        <v>-</v>
      </c>
      <c r="M53" s="836"/>
      <c r="N53" s="191" t="s">
        <v>342</v>
      </c>
      <c r="O53" s="488">
        <f>O10</f>
        <v>1</v>
      </c>
      <c r="P53" s="27" t="s">
        <v>8</v>
      </c>
      <c r="T53" s="1216"/>
      <c r="U53" s="1247"/>
      <c r="V53" s="185"/>
    </row>
    <row r="54" spans="1:23" ht="18" customHeight="1">
      <c r="A54" s="184"/>
      <c r="B54" s="47" t="s">
        <v>394</v>
      </c>
      <c r="H54" s="14"/>
      <c r="I54" s="14"/>
      <c r="J54" s="835" t="str">
        <f>H11</f>
        <v>0.2FS10</v>
      </c>
      <c r="K54" s="836"/>
      <c r="L54" s="14"/>
      <c r="M54" s="14"/>
      <c r="V54" s="185"/>
    </row>
    <row r="55" spans="1:23" ht="18" customHeight="1">
      <c r="A55" s="184"/>
      <c r="B55" s="47" t="s">
        <v>396</v>
      </c>
      <c r="I55" s="120" t="s">
        <v>497</v>
      </c>
      <c r="J55" s="781">
        <v>4</v>
      </c>
      <c r="K55" s="782"/>
      <c r="L55" s="192" t="s">
        <v>333</v>
      </c>
      <c r="T55" s="295"/>
      <c r="U55" s="18"/>
      <c r="V55" s="185"/>
    </row>
    <row r="56" spans="1:23" ht="18" customHeight="1">
      <c r="A56" s="184"/>
      <c r="B56" s="30" t="s">
        <v>568</v>
      </c>
      <c r="I56" s="120" t="s">
        <v>569</v>
      </c>
      <c r="J56" s="781">
        <v>10</v>
      </c>
      <c r="K56" s="782"/>
      <c r="T56" s="295"/>
      <c r="U56" s="18"/>
      <c r="V56" s="185"/>
      <c r="W56" s="30" t="str">
        <f>J90</f>
        <v>Suitable Dimensions</v>
      </c>
    </row>
    <row r="57" spans="1:23" ht="18" customHeight="1">
      <c r="A57" s="184"/>
      <c r="B57" s="47" t="s">
        <v>562</v>
      </c>
      <c r="I57" s="120" t="s">
        <v>493</v>
      </c>
      <c r="J57" s="781">
        <v>5</v>
      </c>
      <c r="K57" s="782"/>
      <c r="L57" s="14" t="s">
        <v>157</v>
      </c>
      <c r="T57" s="295"/>
      <c r="U57" s="18"/>
      <c r="V57" s="185"/>
    </row>
    <row r="58" spans="1:23" ht="18" customHeight="1">
      <c r="A58" s="184"/>
      <c r="V58" s="185"/>
    </row>
    <row r="59" spans="1:23" ht="18" customHeight="1">
      <c r="A59" s="193" t="s">
        <v>404</v>
      </c>
      <c r="V59" s="185"/>
    </row>
    <row r="60" spans="1:23" ht="18" customHeight="1">
      <c r="A60" s="184"/>
      <c r="V60" s="185"/>
    </row>
    <row r="61" spans="1:23" ht="18"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customHeight="1">
      <c r="A62" s="184"/>
      <c r="B62" s="96" t="s">
        <v>405</v>
      </c>
      <c r="D62" s="296" t="str">
        <f>D19</f>
        <v>GOSSEN</v>
      </c>
      <c r="I62" s="177" t="s">
        <v>127</v>
      </c>
      <c r="J62" s="1119">
        <f t="shared" si="0"/>
        <v>0.25</v>
      </c>
      <c r="K62" s="989"/>
      <c r="L62" s="198" t="s">
        <v>157</v>
      </c>
      <c r="P62" s="244"/>
      <c r="V62" s="185"/>
    </row>
    <row r="63" spans="1:23" ht="18"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4</v>
      </c>
      <c r="V64" s="185"/>
    </row>
    <row r="65" spans="1:22" ht="18" customHeight="1">
      <c r="A65" s="184"/>
      <c r="B65" s="184" t="s">
        <v>412</v>
      </c>
      <c r="C65" s="14"/>
      <c r="D65" s="47"/>
      <c r="E65" s="14"/>
      <c r="H65" s="27"/>
      <c r="I65" s="101" t="s">
        <v>127</v>
      </c>
      <c r="J65" s="1120">
        <f t="shared" si="0"/>
        <v>1.0770224400000001</v>
      </c>
      <c r="K65" s="987"/>
      <c r="L65" s="297" t="s">
        <v>157</v>
      </c>
      <c r="O65" s="27" t="s">
        <v>127</v>
      </c>
      <c r="P65" s="795">
        <f>P64*R64*T64</f>
        <v>4</v>
      </c>
      <c r="Q65" s="684"/>
      <c r="R65" s="27" t="s">
        <v>157</v>
      </c>
      <c r="S65" s="27"/>
      <c r="T65" s="27"/>
      <c r="V65" s="185"/>
    </row>
    <row r="66" spans="1:22" ht="18" customHeight="1">
      <c r="A66" s="184"/>
      <c r="B66" s="1" t="s">
        <v>413</v>
      </c>
      <c r="C66" s="2"/>
      <c r="D66" s="2"/>
      <c r="E66" s="2"/>
      <c r="F66" s="196"/>
      <c r="G66" s="196"/>
      <c r="H66" s="224" t="s">
        <v>512</v>
      </c>
      <c r="I66" s="183" t="s">
        <v>127</v>
      </c>
      <c r="J66" s="722">
        <f t="shared" si="0"/>
        <v>1.3350224400000001</v>
      </c>
      <c r="K66" s="958"/>
      <c r="L66" s="3" t="s">
        <v>157</v>
      </c>
      <c r="O66" s="27"/>
      <c r="P66" s="211"/>
      <c r="Q66" s="211"/>
      <c r="R66" s="192"/>
      <c r="V66" s="185"/>
    </row>
    <row r="67" spans="1:22" ht="18" customHeight="1">
      <c r="A67" s="184"/>
      <c r="B67" s="47"/>
      <c r="C67" s="47"/>
      <c r="D67" s="47"/>
      <c r="E67" s="47"/>
      <c r="H67" s="27"/>
      <c r="I67" s="28"/>
      <c r="J67" s="218"/>
      <c r="K67" s="27"/>
      <c r="L67" s="47"/>
      <c r="O67" s="27"/>
      <c r="P67" s="211"/>
      <c r="Q67" s="211"/>
      <c r="R67" s="192"/>
      <c r="V67" s="185"/>
    </row>
    <row r="68" spans="1:22" ht="18" customHeight="1">
      <c r="A68" s="184"/>
      <c r="B68" s="47" t="s">
        <v>545</v>
      </c>
      <c r="C68" s="47"/>
      <c r="D68" s="47"/>
      <c r="E68" s="47"/>
      <c r="H68" s="27"/>
      <c r="I68" s="28"/>
      <c r="J68" s="199"/>
      <c r="L68" s="47"/>
      <c r="N68" s="120" t="s">
        <v>423</v>
      </c>
      <c r="O68" s="28" t="s">
        <v>127</v>
      </c>
      <c r="P68" s="1251">
        <f>J53</f>
        <v>200</v>
      </c>
      <c r="Q68" s="1251"/>
      <c r="R68" s="192" t="s">
        <v>8</v>
      </c>
      <c r="V68" s="185"/>
    </row>
    <row r="69" spans="1:22" ht="18" customHeight="1">
      <c r="A69" s="184"/>
      <c r="B69" s="47" t="s">
        <v>547</v>
      </c>
      <c r="C69" s="47"/>
      <c r="D69" s="47"/>
      <c r="E69" s="47"/>
      <c r="H69" s="27"/>
      <c r="I69" s="28"/>
      <c r="J69" s="199"/>
      <c r="L69" s="47"/>
      <c r="N69" s="120" t="s">
        <v>572</v>
      </c>
      <c r="O69" s="28" t="s">
        <v>127</v>
      </c>
      <c r="P69" s="1251">
        <f>J55</f>
        <v>4</v>
      </c>
      <c r="Q69" s="1251"/>
      <c r="R69" s="304" t="s">
        <v>157</v>
      </c>
      <c r="V69" s="185"/>
    </row>
    <row r="70" spans="1:22" ht="18" customHeight="1">
      <c r="A70" s="184"/>
      <c r="B70" s="47" t="s">
        <v>548</v>
      </c>
      <c r="C70" s="47"/>
      <c r="D70" s="47"/>
      <c r="E70" s="47"/>
      <c r="H70" s="27"/>
      <c r="I70" s="28"/>
      <c r="J70" s="199"/>
      <c r="L70" s="47"/>
      <c r="N70" s="120" t="s">
        <v>573</v>
      </c>
      <c r="O70" s="28" t="s">
        <v>127</v>
      </c>
      <c r="P70" s="1072">
        <f>J66</f>
        <v>1.3350224400000001</v>
      </c>
      <c r="Q70" s="1251"/>
      <c r="R70" s="304" t="s">
        <v>157</v>
      </c>
      <c r="V70" s="185"/>
    </row>
    <row r="71" spans="1:22" ht="18" customHeight="1">
      <c r="A71" s="184"/>
      <c r="B71" s="47" t="s">
        <v>549</v>
      </c>
      <c r="C71" s="47"/>
      <c r="D71" s="47"/>
      <c r="E71" s="47"/>
      <c r="H71" s="27"/>
      <c r="I71" s="28"/>
      <c r="J71" s="199"/>
      <c r="L71" s="47"/>
      <c r="N71" s="120" t="s">
        <v>511</v>
      </c>
      <c r="O71" s="28" t="s">
        <v>127</v>
      </c>
      <c r="P71" s="1251">
        <f>O53</f>
        <v>1</v>
      </c>
      <c r="Q71" s="1251"/>
      <c r="R71" s="192" t="s">
        <v>8</v>
      </c>
      <c r="V71" s="185"/>
    </row>
    <row r="72" spans="1:22" ht="18" customHeight="1">
      <c r="A72" s="184"/>
      <c r="B72" s="47" t="s">
        <v>574</v>
      </c>
      <c r="C72" s="47"/>
      <c r="D72" s="47"/>
      <c r="E72" s="47"/>
      <c r="H72" s="27"/>
      <c r="I72" s="28"/>
      <c r="J72" s="199"/>
      <c r="L72" s="47"/>
      <c r="N72" s="120" t="s">
        <v>495</v>
      </c>
      <c r="O72" s="28" t="s">
        <v>127</v>
      </c>
      <c r="P72" s="1251">
        <v>10</v>
      </c>
      <c r="Q72" s="1251"/>
      <c r="R72" s="192"/>
      <c r="V72" s="185"/>
    </row>
    <row r="73" spans="1:22" ht="18" customHeight="1">
      <c r="A73" s="184"/>
      <c r="B73" s="47" t="s">
        <v>577</v>
      </c>
      <c r="C73" s="47"/>
      <c r="D73" s="47"/>
      <c r="E73" s="47"/>
      <c r="H73" s="27"/>
      <c r="I73" s="28"/>
      <c r="J73" s="199"/>
      <c r="L73" s="47"/>
      <c r="O73" s="28" t="s">
        <v>127</v>
      </c>
      <c r="P73" s="1072">
        <v>20</v>
      </c>
      <c r="Q73" s="1072"/>
      <c r="R73" s="192" t="s">
        <v>129</v>
      </c>
      <c r="S73" s="14" t="s">
        <v>170</v>
      </c>
      <c r="V73" s="185"/>
    </row>
    <row r="74" spans="1:22" ht="18"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customHeight="1">
      <c r="A77" s="184"/>
      <c r="B77" s="47"/>
      <c r="C77" s="47" t="s">
        <v>581</v>
      </c>
      <c r="D77" s="47"/>
      <c r="E77" s="47"/>
      <c r="H77" s="27"/>
      <c r="I77" s="28" t="s">
        <v>127</v>
      </c>
      <c r="J77" s="281" t="s">
        <v>582</v>
      </c>
      <c r="L77" s="47"/>
      <c r="O77" s="27"/>
      <c r="P77" s="28" t="s">
        <v>347</v>
      </c>
      <c r="Q77" s="14" t="s">
        <v>583</v>
      </c>
      <c r="R77" s="192"/>
      <c r="V77" s="185"/>
    </row>
    <row r="78" spans="1:22" ht="18" customHeight="1">
      <c r="A78" s="184"/>
      <c r="I78" s="28" t="s">
        <v>127</v>
      </c>
      <c r="J78" s="795">
        <f>J66</f>
        <v>1.3350224400000001</v>
      </c>
      <c r="K78" s="684"/>
      <c r="L78" s="28"/>
      <c r="M78" s="795"/>
      <c r="N78" s="684"/>
      <c r="V78" s="185"/>
    </row>
    <row r="79" spans="1:22" ht="18" customHeight="1">
      <c r="A79" s="184"/>
      <c r="I79" s="28"/>
      <c r="J79" s="204"/>
      <c r="V79" s="185"/>
    </row>
    <row r="80" spans="1:22" ht="18"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customHeight="1">
      <c r="A81" s="184"/>
      <c r="I81" s="27" t="s">
        <v>127</v>
      </c>
      <c r="J81" s="245">
        <f>J56</f>
        <v>10</v>
      </c>
      <c r="K81" s="245" t="s">
        <v>554</v>
      </c>
      <c r="L81" s="301">
        <f>P65</f>
        <v>4</v>
      </c>
      <c r="M81" s="245" t="s">
        <v>347</v>
      </c>
      <c r="N81" s="242">
        <f>J57</f>
        <v>5</v>
      </c>
      <c r="O81" s="245" t="s">
        <v>539</v>
      </c>
      <c r="P81" s="301">
        <f>P65</f>
        <v>4</v>
      </c>
      <c r="Q81" s="245" t="s">
        <v>347</v>
      </c>
      <c r="R81" s="301">
        <f>J66</f>
        <v>1.3350224400000001</v>
      </c>
      <c r="S81" s="296" t="s">
        <v>350</v>
      </c>
      <c r="V81" s="185"/>
    </row>
    <row r="82" spans="1:22" ht="18" customHeight="1">
      <c r="A82" s="184"/>
      <c r="I82" s="27" t="s">
        <v>127</v>
      </c>
      <c r="J82" s="1111">
        <f>J81*((L81+N81)/(P81+R81))</f>
        <v>16.869657253025537</v>
      </c>
      <c r="K82" s="1111"/>
      <c r="L82" s="242"/>
      <c r="M82" s="242"/>
      <c r="N82" s="242"/>
      <c r="O82" s="242"/>
      <c r="P82" s="242"/>
      <c r="Q82" s="242"/>
      <c r="R82" s="242"/>
      <c r="V82" s="185"/>
    </row>
    <row r="83" spans="1:22" ht="18" customHeight="1">
      <c r="A83" s="184"/>
      <c r="I83" s="28"/>
      <c r="J83" s="211"/>
      <c r="K83" s="27"/>
      <c r="V83" s="185"/>
    </row>
    <row r="84" spans="1:22" ht="18" customHeight="1">
      <c r="A84" s="96" t="s">
        <v>584</v>
      </c>
      <c r="I84" s="28"/>
      <c r="J84" s="211"/>
      <c r="K84" s="27"/>
      <c r="V84" s="185"/>
    </row>
    <row r="85" spans="1:22" ht="18" customHeight="1">
      <c r="A85" s="184"/>
      <c r="B85" s="28">
        <v>1</v>
      </c>
      <c r="D85" s="14"/>
      <c r="H85" s="120" t="s">
        <v>492</v>
      </c>
      <c r="I85" s="28" t="s">
        <v>476</v>
      </c>
      <c r="J85" s="47" t="s">
        <v>104</v>
      </c>
      <c r="S85" s="14" t="s">
        <v>585</v>
      </c>
      <c r="V85" s="185"/>
    </row>
    <row r="86" spans="1:22" ht="18" customHeight="1">
      <c r="A86" s="184"/>
      <c r="G86" s="684">
        <f>J57</f>
        <v>5</v>
      </c>
      <c r="H86" s="684"/>
      <c r="I86" s="27" t="str">
        <f>IF(G86&gt;J86,"&gt;","&lt;")</f>
        <v>&gt;</v>
      </c>
      <c r="J86" s="795">
        <f>J78</f>
        <v>1.3350224400000001</v>
      </c>
      <c r="K86" s="684"/>
      <c r="S86" s="186" t="str">
        <f>IF(G86&gt;J86,"Satisfied","Not satisfied")</f>
        <v>Satisfied</v>
      </c>
      <c r="V86" s="185"/>
    </row>
    <row r="87" spans="1:22" ht="18" customHeight="1">
      <c r="A87" s="184"/>
      <c r="D87" s="14"/>
      <c r="H87" s="120"/>
      <c r="I87" s="27"/>
      <c r="R87" s="14"/>
      <c r="V87" s="185"/>
    </row>
    <row r="88" spans="1:22" ht="18" customHeight="1">
      <c r="A88" s="184"/>
      <c r="B88" s="28">
        <v>2</v>
      </c>
      <c r="D88" s="14"/>
      <c r="H88" s="244" t="s">
        <v>586</v>
      </c>
      <c r="I88" s="28" t="s">
        <v>476</v>
      </c>
      <c r="J88" s="14" t="s">
        <v>105</v>
      </c>
      <c r="K88" s="14"/>
      <c r="S88" s="14" t="s">
        <v>587</v>
      </c>
      <c r="V88" s="185"/>
    </row>
    <row r="89" spans="1:22" ht="18" customHeight="1">
      <c r="A89" s="184"/>
      <c r="D89" s="14"/>
      <c r="G89" s="795">
        <f>P73</f>
        <v>20</v>
      </c>
      <c r="H89" s="795"/>
      <c r="I89" s="27" t="str">
        <f>IF(G89&gt;J89,"&gt;","&lt;")</f>
        <v>&gt;</v>
      </c>
      <c r="J89" s="795">
        <f>J82</f>
        <v>16.869657253025537</v>
      </c>
      <c r="K89" s="795"/>
      <c r="R89" s="14"/>
      <c r="S89" s="186" t="str">
        <f>IF(G89&gt;J89,"Satisfied","Not satisfied")</f>
        <v>Satisfied</v>
      </c>
      <c r="V89" s="185"/>
    </row>
    <row r="90" spans="1:22" ht="18"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Core4</v>
      </c>
      <c r="E95" s="856"/>
      <c r="F95" s="255"/>
      <c r="H95" s="684" t="str">
        <f>H50</f>
        <v>(Tariff Meter- Check)</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600</v>
      </c>
      <c r="I98" s="831"/>
      <c r="J98" s="854">
        <f>J53</f>
        <v>200</v>
      </c>
      <c r="K98" s="831"/>
      <c r="L98" s="863" t="str">
        <f>L53</f>
        <v>-</v>
      </c>
      <c r="M98" s="864"/>
      <c r="N98" s="191" t="s">
        <v>342</v>
      </c>
      <c r="O98" s="256">
        <f>O53</f>
        <v>1</v>
      </c>
      <c r="P98" s="27" t="s">
        <v>8</v>
      </c>
      <c r="V98" s="185"/>
    </row>
    <row r="99" spans="1:23" ht="18" hidden="1" customHeight="1">
      <c r="A99" s="184"/>
      <c r="B99" s="47" t="s">
        <v>394</v>
      </c>
      <c r="H99" s="14"/>
      <c r="I99" s="14"/>
      <c r="K99" s="14"/>
      <c r="L99" s="854" t="str">
        <f>J54</f>
        <v>0.2FS10</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t="str">
        <f>D62</f>
        <v>GOSSEN</v>
      </c>
      <c r="I107" s="177" t="s">
        <v>127</v>
      </c>
      <c r="J107" s="1119">
        <f t="shared" si="1"/>
        <v>0.25</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1.3350224400000001</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1.3350224400000001</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1.3350224400000001</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532</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Core4</v>
      </c>
      <c r="C144" s="765"/>
      <c r="D144" s="870">
        <f>H98</f>
        <v>600</v>
      </c>
      <c r="E144" s="870"/>
      <c r="F144" s="871">
        <f>O98</f>
        <v>1</v>
      </c>
      <c r="G144" s="961">
        <f>'CT-VT Burdens'!S21</f>
        <v>120</v>
      </c>
      <c r="H144" s="959">
        <f>'CT-VT Burdens'!S10</f>
        <v>6</v>
      </c>
      <c r="I144" s="874" t="str">
        <f>L99</f>
        <v>0.2FS10</v>
      </c>
      <c r="J144" s="874"/>
      <c r="K144" s="869">
        <f>H12</f>
        <v>8</v>
      </c>
      <c r="L144" s="869"/>
      <c r="M144" s="869">
        <f>H14</f>
        <v>7.5</v>
      </c>
      <c r="N144" s="869"/>
      <c r="O144" s="870" t="s">
        <v>6</v>
      </c>
      <c r="P144" s="870"/>
      <c r="Q144" s="879" t="str">
        <f>CONCATENATE(T7," ",T8," ",T9," ",T10)</f>
        <v xml:space="preserve">XC-RACK GOSSEN  </v>
      </c>
      <c r="R144" s="879"/>
      <c r="S144" s="878" t="str">
        <f>J47</f>
        <v>Suitable Dimensions</v>
      </c>
      <c r="T144" s="878"/>
      <c r="U144" s="878"/>
      <c r="V144" s="878"/>
    </row>
    <row r="145" spans="1:22" ht="18" customHeight="1">
      <c r="A145" s="765"/>
      <c r="B145" s="765"/>
      <c r="C145" s="765"/>
      <c r="D145" s="870">
        <f>J98</f>
        <v>200</v>
      </c>
      <c r="E145" s="870"/>
      <c r="F145" s="872"/>
      <c r="G145" s="961"/>
      <c r="H145" s="959"/>
      <c r="I145" s="874"/>
      <c r="J145" s="874"/>
      <c r="K145" s="869">
        <f>J55</f>
        <v>4</v>
      </c>
      <c r="L145" s="869"/>
      <c r="M145" s="869">
        <f>J57</f>
        <v>5</v>
      </c>
      <c r="N145" s="869"/>
      <c r="O145" s="870" t="s">
        <v>6</v>
      </c>
      <c r="P145" s="870"/>
      <c r="Q145" s="879"/>
      <c r="R145" s="879"/>
      <c r="S145" s="878" t="str">
        <f>J90</f>
        <v>Suitable Dimensions</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265"/>
      <c r="B177" s="239"/>
      <c r="C177" s="239"/>
      <c r="D177" s="239"/>
      <c r="E177" s="239"/>
      <c r="F177" s="239"/>
      <c r="G177" s="239"/>
      <c r="H177" s="239"/>
      <c r="I177" s="239"/>
      <c r="J177" s="93"/>
      <c r="K177" s="93"/>
      <c r="L177" s="239"/>
      <c r="M177" s="239"/>
      <c r="N177" s="239"/>
      <c r="O177" s="239"/>
      <c r="P177" s="239"/>
      <c r="Q177" s="239"/>
      <c r="R177" s="239"/>
      <c r="S177" s="239"/>
      <c r="T177" s="239"/>
      <c r="U177" s="103"/>
      <c r="V177" s="310"/>
    </row>
    <row r="178" spans="1:22" ht="18" customHeight="1">
      <c r="A178" s="184"/>
      <c r="V178" s="185"/>
    </row>
    <row r="179" spans="1:22" s="14" customFormat="1" ht="18" customHeight="1">
      <c r="A179" s="194"/>
      <c r="B179" s="195"/>
      <c r="C179" s="195"/>
      <c r="D179" s="195"/>
      <c r="E179" s="195"/>
      <c r="F179" s="195"/>
      <c r="G179" s="195"/>
      <c r="H179" s="195"/>
      <c r="I179" s="195"/>
      <c r="J179" s="195"/>
      <c r="K179" s="195"/>
      <c r="L179" s="195"/>
      <c r="M179" s="195"/>
      <c r="N179" s="195"/>
      <c r="O179" s="195"/>
      <c r="P179" s="195"/>
      <c r="Q179" s="224"/>
      <c r="R179" s="182"/>
      <c r="S179" s="225"/>
      <c r="T179" s="195"/>
      <c r="U179" s="195"/>
      <c r="V179" s="134"/>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200" priority="2" stopIfTrue="1" operator="equal">
      <formula>"Not suitable"</formula>
    </cfRule>
  </conditionalFormatting>
  <conditionalFormatting sqref="S43 S46 S86 S89 S125 S128">
    <cfRule type="cellIs" dxfId="199"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topLeftCell="A16"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1035</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tabColor rgb="FF00B050"/>
  </sheetPr>
  <dimension ref="A1:AC1082"/>
  <sheetViews>
    <sheetView showZeros="0" view="pageBreakPreview" topLeftCell="A226" zoomScale="130" zoomScaleNormal="100" zoomScaleSheetLayoutView="130" workbookViewId="0">
      <selection activeCell="X21" sqref="X2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22.2"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Title!A5</f>
        <v>Prep. By</v>
      </c>
      <c r="B5" s="943"/>
      <c r="C5" s="25" t="str">
        <f>Title!C5</f>
        <v>AP</v>
      </c>
      <c r="D5" s="880" t="str">
        <f>Title!D5</f>
        <v>Checked By</v>
      </c>
      <c r="E5" s="881"/>
      <c r="F5" s="943"/>
      <c r="G5" s="25" t="str">
        <f>Title!G5</f>
        <v>RB</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16"/>
      <c r="B6" s="117" t="s">
        <v>124</v>
      </c>
      <c r="C6" s="7"/>
      <c r="D6" s="7"/>
      <c r="E6" s="7"/>
      <c r="F6" s="7"/>
      <c r="G6" s="7"/>
      <c r="H6" s="7"/>
      <c r="I6" s="7"/>
      <c r="J6" s="118"/>
      <c r="K6" s="7"/>
      <c r="L6" s="7"/>
      <c r="M6" s="7"/>
      <c r="N6" s="7"/>
      <c r="O6" s="7"/>
      <c r="P6" s="7"/>
      <c r="Q6" s="7"/>
      <c r="R6" s="7"/>
      <c r="S6" s="7"/>
      <c r="T6" s="7"/>
      <c r="U6" s="7"/>
      <c r="V6" s="112"/>
    </row>
    <row r="7" spans="1:29" ht="18" customHeight="1">
      <c r="A7" s="119"/>
      <c r="B7" s="18" t="s">
        <v>125</v>
      </c>
      <c r="C7" s="7"/>
      <c r="D7" s="7"/>
      <c r="E7" s="7"/>
      <c r="F7" s="7"/>
      <c r="G7" s="7"/>
      <c r="H7" s="7"/>
      <c r="I7" s="7"/>
      <c r="J7" s="7"/>
      <c r="K7" s="7"/>
      <c r="L7" s="7"/>
      <c r="M7" s="7"/>
      <c r="N7" s="7"/>
      <c r="O7" s="7"/>
      <c r="P7" s="7"/>
      <c r="Q7" s="7"/>
      <c r="R7" s="7"/>
      <c r="S7" s="7"/>
      <c r="T7" s="7"/>
      <c r="U7" s="7"/>
      <c r="V7" s="112"/>
      <c r="W7" s="30" t="s">
        <v>596</v>
      </c>
    </row>
    <row r="8" spans="1:29" ht="18" customHeight="1">
      <c r="A8" s="114"/>
      <c r="B8" s="7"/>
      <c r="C8" s="14" t="s">
        <v>126</v>
      </c>
      <c r="D8" s="7"/>
      <c r="E8" s="7"/>
      <c r="F8" s="7"/>
      <c r="G8" s="7"/>
      <c r="H8" s="7"/>
      <c r="I8" s="7"/>
      <c r="J8" s="7"/>
      <c r="K8" s="7"/>
      <c r="L8" s="7"/>
      <c r="M8" s="7"/>
      <c r="N8" s="7"/>
      <c r="O8" s="7"/>
      <c r="P8" s="7"/>
      <c r="Q8" s="120" t="s">
        <v>8</v>
      </c>
      <c r="R8" s="121" t="s">
        <v>127</v>
      </c>
      <c r="S8" s="778">
        <v>6</v>
      </c>
      <c r="T8" s="779"/>
      <c r="U8" s="47" t="s">
        <v>128</v>
      </c>
      <c r="V8" s="112" t="s">
        <v>129</v>
      </c>
      <c r="W8" s="30" t="s">
        <v>597</v>
      </c>
    </row>
    <row r="9" spans="1:29" ht="18" customHeight="1">
      <c r="A9" s="114"/>
      <c r="B9" s="7"/>
      <c r="C9" s="14" t="s">
        <v>130</v>
      </c>
      <c r="D9" s="7"/>
      <c r="E9" s="7"/>
      <c r="F9" s="7"/>
      <c r="G9" s="7"/>
      <c r="H9" s="7"/>
      <c r="I9" s="7"/>
      <c r="J9" s="7"/>
      <c r="K9" s="7"/>
      <c r="L9" s="7"/>
      <c r="M9" s="7"/>
      <c r="N9" s="7"/>
      <c r="O9" s="7"/>
      <c r="P9" s="7"/>
      <c r="Q9" s="120" t="s">
        <v>131</v>
      </c>
      <c r="R9" s="123" t="s">
        <v>127</v>
      </c>
      <c r="S9" s="780">
        <v>3.69</v>
      </c>
      <c r="T9" s="741"/>
      <c r="U9" s="47" t="s">
        <v>132</v>
      </c>
      <c r="V9" s="112"/>
      <c r="W9" s="30" t="s">
        <v>598</v>
      </c>
    </row>
    <row r="10" spans="1:29" ht="18" customHeight="1">
      <c r="A10" s="114"/>
      <c r="B10" s="7"/>
      <c r="C10" s="14" t="s">
        <v>133</v>
      </c>
      <c r="D10" s="7"/>
      <c r="E10" s="7"/>
      <c r="F10" s="7"/>
      <c r="G10" s="124"/>
      <c r="H10" s="124"/>
      <c r="I10" s="7" t="s">
        <v>134</v>
      </c>
      <c r="J10" s="7"/>
      <c r="K10" s="7"/>
      <c r="L10" s="7"/>
      <c r="M10" s="7"/>
      <c r="N10" s="7"/>
      <c r="O10" s="7"/>
      <c r="P10" s="7"/>
      <c r="Q10" s="120" t="s">
        <v>135</v>
      </c>
      <c r="R10" s="121" t="s">
        <v>127</v>
      </c>
      <c r="S10" s="743">
        <v>3.9300000000000003E-3</v>
      </c>
      <c r="T10" s="743"/>
      <c r="U10" s="47" t="s">
        <v>136</v>
      </c>
      <c r="V10" s="112"/>
    </row>
    <row r="11" spans="1:29" ht="18" customHeight="1">
      <c r="A11" s="96"/>
      <c r="B11" s="7"/>
      <c r="C11" s="7"/>
      <c r="D11" s="7"/>
      <c r="E11" s="7"/>
      <c r="F11" s="7"/>
      <c r="G11" s="7"/>
      <c r="H11" s="7"/>
      <c r="I11" s="7"/>
      <c r="J11" s="7"/>
      <c r="K11" s="7"/>
      <c r="L11" s="7"/>
      <c r="M11" s="7"/>
      <c r="N11" s="7"/>
      <c r="O11" s="7"/>
      <c r="P11" s="7"/>
      <c r="Q11" s="120"/>
      <c r="R11" s="121"/>
      <c r="S11" s="28"/>
      <c r="T11" s="28"/>
      <c r="U11" s="47"/>
      <c r="V11" s="112"/>
    </row>
    <row r="12" spans="1:29" ht="18" customHeight="1">
      <c r="A12" s="119"/>
      <c r="B12" s="18" t="s">
        <v>137</v>
      </c>
      <c r="C12" s="7"/>
      <c r="D12" s="7"/>
      <c r="E12" s="7"/>
      <c r="F12" s="7"/>
      <c r="G12" s="7"/>
      <c r="H12" s="18" t="s">
        <v>138</v>
      </c>
      <c r="I12" s="7"/>
      <c r="J12" s="7"/>
      <c r="K12" s="7"/>
      <c r="L12" s="7"/>
      <c r="M12" s="7"/>
      <c r="N12" s="7"/>
      <c r="O12" s="7"/>
      <c r="P12" s="7"/>
      <c r="Q12" s="120"/>
      <c r="R12" s="121"/>
      <c r="S12" s="28"/>
      <c r="T12" s="28"/>
      <c r="U12" s="47"/>
      <c r="V12" s="112"/>
    </row>
    <row r="13" spans="1:29" ht="18" customHeight="1">
      <c r="A13" s="114"/>
      <c r="B13" s="7"/>
      <c r="C13" s="14" t="s">
        <v>139</v>
      </c>
      <c r="D13" s="7"/>
      <c r="E13" s="7"/>
      <c r="F13" s="7"/>
      <c r="G13" s="7"/>
      <c r="H13" s="7"/>
      <c r="I13" s="7"/>
      <c r="J13" s="7"/>
      <c r="K13" s="7"/>
      <c r="L13" s="7"/>
      <c r="M13" s="7"/>
      <c r="N13" s="7"/>
      <c r="O13" s="7"/>
      <c r="P13" s="7"/>
      <c r="Q13" s="120"/>
      <c r="R13" s="121" t="s">
        <v>127</v>
      </c>
      <c r="S13" s="765">
        <f>S9*(1+S10*(75-20))</f>
        <v>4.4875935</v>
      </c>
      <c r="T13" s="765"/>
      <c r="U13" s="47" t="s">
        <v>132</v>
      </c>
      <c r="V13" s="112"/>
      <c r="W13" s="30" t="s">
        <v>400</v>
      </c>
      <c r="AB13" s="785">
        <f>Q307</f>
        <v>171.17022440000002</v>
      </c>
      <c r="AC13" s="786"/>
    </row>
    <row r="14" spans="1:29" ht="18" customHeight="1">
      <c r="A14" s="114"/>
      <c r="B14" s="7"/>
      <c r="C14" s="14" t="s">
        <v>140</v>
      </c>
      <c r="D14" s="7"/>
      <c r="E14" s="7"/>
      <c r="F14" s="7"/>
      <c r="G14" s="7"/>
      <c r="H14" s="7"/>
      <c r="I14" s="7"/>
      <c r="J14" s="7"/>
      <c r="K14" s="7"/>
      <c r="L14" s="7"/>
      <c r="M14" s="7"/>
      <c r="N14" s="7"/>
      <c r="O14" s="7"/>
      <c r="P14" s="7"/>
      <c r="Q14" s="120" t="s">
        <v>141</v>
      </c>
      <c r="R14" s="121" t="s">
        <v>127</v>
      </c>
      <c r="S14" s="765">
        <f>S13/1000</f>
        <v>4.4875935000000004E-3</v>
      </c>
      <c r="T14" s="765"/>
      <c r="U14" s="47" t="s">
        <v>142</v>
      </c>
      <c r="V14" s="112"/>
    </row>
    <row r="15" spans="1:29" ht="18" customHeight="1">
      <c r="A15" s="114"/>
      <c r="B15" s="7"/>
      <c r="C15" s="14" t="s">
        <v>143</v>
      </c>
      <c r="D15" s="7"/>
      <c r="E15" s="7"/>
      <c r="F15" s="7"/>
      <c r="G15" s="7"/>
      <c r="H15" s="7"/>
      <c r="I15" s="7"/>
      <c r="J15" s="7"/>
      <c r="K15" s="7"/>
      <c r="L15" s="7"/>
      <c r="M15" s="7"/>
      <c r="N15" s="7"/>
      <c r="O15" s="7"/>
      <c r="P15" s="7"/>
      <c r="Q15" s="120" t="s">
        <v>144</v>
      </c>
      <c r="R15" s="121" t="s">
        <v>127</v>
      </c>
      <c r="S15" s="743">
        <v>1</v>
      </c>
      <c r="T15" s="739"/>
      <c r="U15" s="47" t="s">
        <v>8</v>
      </c>
      <c r="V15" s="112"/>
    </row>
    <row r="16" spans="1:29" ht="18" customHeight="1">
      <c r="A16" s="114"/>
      <c r="B16" s="7"/>
      <c r="C16" s="14" t="s">
        <v>145</v>
      </c>
      <c r="D16" s="7"/>
      <c r="E16" s="7"/>
      <c r="F16" s="7"/>
      <c r="G16" s="7"/>
      <c r="H16" s="7"/>
      <c r="I16" s="7"/>
      <c r="J16" s="7"/>
      <c r="K16" s="7"/>
      <c r="L16" s="7"/>
      <c r="M16" s="7"/>
      <c r="N16" s="7"/>
      <c r="O16" s="7"/>
      <c r="P16" s="7"/>
      <c r="Q16" s="120" t="s">
        <v>146</v>
      </c>
      <c r="R16" s="121" t="s">
        <v>127</v>
      </c>
      <c r="S16" s="743">
        <v>1</v>
      </c>
      <c r="T16" s="739"/>
      <c r="U16" s="47" t="s">
        <v>8</v>
      </c>
      <c r="V16" s="112"/>
    </row>
    <row r="17" spans="1:22" ht="18" customHeight="1">
      <c r="A17" s="114"/>
      <c r="B17" s="7"/>
      <c r="C17" s="14"/>
      <c r="D17" s="7"/>
      <c r="E17" s="7"/>
      <c r="F17" s="7"/>
      <c r="G17" s="7"/>
      <c r="H17" s="7"/>
      <c r="I17" s="7"/>
      <c r="J17" s="7"/>
      <c r="K17" s="7"/>
      <c r="L17" s="7"/>
      <c r="M17" s="7"/>
      <c r="N17" s="7"/>
      <c r="O17" s="7"/>
      <c r="P17" s="7"/>
      <c r="Q17" s="120"/>
      <c r="R17" s="121"/>
      <c r="S17" s="455"/>
      <c r="T17" s="569"/>
      <c r="U17" s="47"/>
      <c r="V17" s="112"/>
    </row>
    <row r="18" spans="1:22" ht="18" customHeight="1">
      <c r="A18" s="114"/>
      <c r="B18" s="7"/>
      <c r="C18" s="18"/>
      <c r="D18" s="115"/>
      <c r="E18" s="115"/>
      <c r="F18" s="115"/>
      <c r="G18" s="115"/>
      <c r="H18" s="115"/>
      <c r="I18" s="7"/>
      <c r="J18" s="7"/>
      <c r="K18" s="7"/>
      <c r="L18" s="7"/>
      <c r="M18" s="7"/>
      <c r="N18" s="7"/>
      <c r="O18" s="7"/>
      <c r="P18" s="7"/>
      <c r="Q18" s="120"/>
      <c r="R18" s="121"/>
      <c r="S18" s="455"/>
      <c r="T18" s="569"/>
      <c r="U18" s="47"/>
      <c r="V18" s="112"/>
    </row>
    <row r="19" spans="1:22" ht="18" customHeight="1">
      <c r="A19" s="114"/>
      <c r="B19" s="7"/>
      <c r="C19" s="14" t="s">
        <v>147</v>
      </c>
      <c r="D19" s="7"/>
      <c r="E19" s="7"/>
      <c r="F19" s="7"/>
      <c r="G19" s="7"/>
      <c r="H19" s="7"/>
      <c r="I19" s="7"/>
      <c r="J19" s="126"/>
      <c r="K19" s="126"/>
      <c r="L19" s="7"/>
      <c r="M19" s="7"/>
      <c r="N19" s="7"/>
      <c r="O19" s="7"/>
      <c r="P19" s="7"/>
      <c r="Q19" s="120" t="s">
        <v>148</v>
      </c>
      <c r="R19" s="121" t="s">
        <v>127</v>
      </c>
      <c r="S19" s="743">
        <v>120</v>
      </c>
      <c r="T19" s="739"/>
      <c r="U19" s="47" t="s">
        <v>149</v>
      </c>
      <c r="V19" s="112" t="s">
        <v>129</v>
      </c>
    </row>
    <row r="20" spans="1:22" ht="18" customHeight="1">
      <c r="A20" s="114"/>
      <c r="B20" s="7"/>
      <c r="C20" s="14" t="s">
        <v>150</v>
      </c>
      <c r="D20" s="7"/>
      <c r="E20" s="7"/>
      <c r="F20" s="7"/>
      <c r="G20" s="7"/>
      <c r="H20" s="7"/>
      <c r="I20" s="7"/>
      <c r="J20" s="7"/>
      <c r="K20" s="7"/>
      <c r="L20" s="7"/>
      <c r="M20" s="7"/>
      <c r="N20" s="7"/>
      <c r="O20" s="7"/>
      <c r="P20" s="7"/>
      <c r="Q20" s="120" t="s">
        <v>151</v>
      </c>
      <c r="R20" s="121" t="s">
        <v>127</v>
      </c>
      <c r="S20" s="766">
        <f>S14*S19</f>
        <v>0.53851122000000007</v>
      </c>
      <c r="T20" s="766"/>
      <c r="U20" s="47" t="s">
        <v>152</v>
      </c>
      <c r="V20" s="112"/>
    </row>
    <row r="21" spans="1:22" ht="18" customHeight="1">
      <c r="A21" s="114"/>
      <c r="B21" s="7"/>
      <c r="C21" s="14" t="s">
        <v>153</v>
      </c>
      <c r="D21" s="7"/>
      <c r="E21" s="7"/>
      <c r="F21" s="7"/>
      <c r="G21" s="7"/>
      <c r="H21" s="7"/>
      <c r="I21" s="7"/>
      <c r="J21" s="7"/>
      <c r="K21" s="7"/>
      <c r="L21" s="7"/>
      <c r="M21" s="7"/>
      <c r="N21" s="7"/>
      <c r="O21" s="7"/>
      <c r="P21" s="7"/>
      <c r="Q21" s="120" t="s">
        <v>154</v>
      </c>
      <c r="R21" s="121" t="s">
        <v>127</v>
      </c>
      <c r="S21" s="766">
        <f>2*S14*S19</f>
        <v>1.0770224400000001</v>
      </c>
      <c r="T21" s="766"/>
      <c r="U21" s="47" t="s">
        <v>152</v>
      </c>
      <c r="V21" s="112"/>
    </row>
    <row r="22" spans="1:22" ht="18" customHeight="1">
      <c r="A22" s="114"/>
      <c r="B22" s="7"/>
      <c r="C22" s="14" t="s">
        <v>155</v>
      </c>
      <c r="D22" s="7"/>
      <c r="E22" s="7"/>
      <c r="F22" s="7"/>
      <c r="G22" s="7"/>
      <c r="H22" s="7"/>
      <c r="I22" s="7"/>
      <c r="J22" s="7"/>
      <c r="K22" s="7"/>
      <c r="L22" s="7"/>
      <c r="M22" s="7"/>
      <c r="N22" s="7"/>
      <c r="O22" s="7"/>
      <c r="P22" s="7"/>
      <c r="Q22" s="120" t="s">
        <v>156</v>
      </c>
      <c r="R22" s="121" t="s">
        <v>127</v>
      </c>
      <c r="S22" s="766">
        <f>S15*S15*S21</f>
        <v>1.0770224400000001</v>
      </c>
      <c r="T22" s="766"/>
      <c r="U22" s="47" t="s">
        <v>157</v>
      </c>
      <c r="V22" s="112"/>
    </row>
    <row r="23" spans="1:22" ht="18" customHeight="1">
      <c r="A23" s="114"/>
      <c r="B23" s="7"/>
      <c r="C23" s="14"/>
      <c r="D23" s="7"/>
      <c r="E23" s="7"/>
      <c r="F23" s="7"/>
      <c r="G23" s="7"/>
      <c r="H23" s="7"/>
      <c r="I23" s="7"/>
      <c r="J23" s="7"/>
      <c r="K23" s="7"/>
      <c r="L23" s="7"/>
      <c r="M23" s="7"/>
      <c r="N23" s="7"/>
      <c r="O23" s="7"/>
      <c r="P23" s="7"/>
      <c r="Q23" s="120"/>
      <c r="R23" s="121"/>
      <c r="S23" s="218"/>
      <c r="T23" s="218"/>
      <c r="U23" s="47"/>
      <c r="V23" s="112"/>
    </row>
    <row r="24" spans="1:22" s="14" customFormat="1" ht="18" customHeight="1">
      <c r="A24" s="96"/>
      <c r="B24" s="7"/>
      <c r="D24" s="7"/>
      <c r="E24" s="7"/>
      <c r="F24" s="7"/>
      <c r="G24" s="7"/>
      <c r="H24" s="7"/>
      <c r="I24" s="7"/>
      <c r="J24" s="7"/>
      <c r="K24" s="7"/>
      <c r="L24" s="7"/>
      <c r="M24" s="7"/>
      <c r="N24" s="7"/>
      <c r="O24" s="7"/>
      <c r="P24" s="7"/>
      <c r="Q24" s="120"/>
      <c r="R24" s="121"/>
      <c r="S24" s="218"/>
      <c r="T24" s="218"/>
      <c r="U24" s="47"/>
      <c r="V24" s="112"/>
    </row>
    <row r="25" spans="1:22" s="14" customFormat="1" ht="18" customHeight="1">
      <c r="A25" s="116"/>
      <c r="B25" s="117" t="s">
        <v>158</v>
      </c>
      <c r="C25" s="7"/>
      <c r="D25" s="7"/>
      <c r="E25" s="7"/>
      <c r="F25" s="7"/>
      <c r="G25" s="7"/>
      <c r="H25" s="7"/>
      <c r="I25" s="7"/>
      <c r="J25" s="7"/>
      <c r="K25" s="7"/>
      <c r="L25" s="7"/>
      <c r="M25" s="124"/>
      <c r="N25" s="121"/>
      <c r="O25" s="7"/>
      <c r="P25" s="7"/>
      <c r="Q25" s="130"/>
      <c r="R25" s="7"/>
      <c r="S25" s="28"/>
      <c r="T25" s="28"/>
      <c r="U25" s="47"/>
      <c r="V25" s="112"/>
    </row>
    <row r="26" spans="1:22" s="14" customFormat="1" ht="18" customHeight="1">
      <c r="A26" s="119"/>
      <c r="B26" s="18" t="s">
        <v>125</v>
      </c>
      <c r="V26" s="112"/>
    </row>
    <row r="27" spans="1:22" s="14" customFormat="1" ht="18" customHeight="1">
      <c r="A27" s="114"/>
      <c r="B27" s="7"/>
      <c r="C27" s="14" t="s">
        <v>126</v>
      </c>
      <c r="M27" s="7"/>
      <c r="Q27" s="120" t="s">
        <v>8</v>
      </c>
      <c r="R27" s="28" t="s">
        <v>127</v>
      </c>
      <c r="S27" s="778">
        <v>2.5</v>
      </c>
      <c r="T27" s="779"/>
      <c r="U27" s="47" t="s">
        <v>128</v>
      </c>
      <c r="V27" s="112" t="s">
        <v>129</v>
      </c>
    </row>
    <row r="28" spans="1:22" s="14" customFormat="1" ht="18" customHeight="1">
      <c r="A28" s="114"/>
      <c r="B28" s="7"/>
      <c r="C28" s="14" t="s">
        <v>130</v>
      </c>
      <c r="Q28" s="120" t="s">
        <v>131</v>
      </c>
      <c r="R28" s="102" t="s">
        <v>127</v>
      </c>
      <c r="S28" s="780">
        <v>8.8699999999999992</v>
      </c>
      <c r="T28" s="741"/>
      <c r="U28" s="47" t="s">
        <v>132</v>
      </c>
      <c r="V28" s="112"/>
    </row>
    <row r="29" spans="1:22" s="14" customFormat="1" ht="18" customHeight="1">
      <c r="A29" s="114"/>
      <c r="B29" s="7"/>
      <c r="C29" s="14" t="s">
        <v>133</v>
      </c>
      <c r="G29" s="120"/>
      <c r="H29" s="120"/>
      <c r="I29" s="14" t="s">
        <v>134</v>
      </c>
      <c r="Q29" s="120" t="s">
        <v>135</v>
      </c>
      <c r="R29" s="28" t="s">
        <v>127</v>
      </c>
      <c r="S29" s="743">
        <v>3.9300000000000003E-3</v>
      </c>
      <c r="T29" s="743"/>
      <c r="U29" s="47" t="s">
        <v>136</v>
      </c>
      <c r="V29" s="112"/>
    </row>
    <row r="30" spans="1:22" s="14" customFormat="1" ht="18" customHeight="1">
      <c r="A30" s="96"/>
      <c r="Q30" s="120"/>
      <c r="R30" s="28"/>
      <c r="S30" s="28"/>
      <c r="T30" s="28"/>
      <c r="U30" s="47"/>
      <c r="V30" s="112"/>
    </row>
    <row r="31" spans="1:22" s="14" customFormat="1" ht="18" customHeight="1">
      <c r="A31" s="119"/>
      <c r="B31" s="18" t="s">
        <v>137</v>
      </c>
      <c r="H31" s="7"/>
      <c r="I31" s="18" t="s">
        <v>138</v>
      </c>
      <c r="Q31" s="120"/>
      <c r="R31" s="28"/>
      <c r="S31" s="28"/>
      <c r="T31" s="28"/>
      <c r="U31" s="47"/>
      <c r="V31" s="112"/>
    </row>
    <row r="32" spans="1:22" s="14" customFormat="1" ht="18" customHeight="1">
      <c r="A32" s="114"/>
      <c r="B32" s="7"/>
      <c r="C32" s="14" t="s">
        <v>159</v>
      </c>
      <c r="Q32" s="120"/>
      <c r="R32" s="28" t="s">
        <v>127</v>
      </c>
      <c r="S32" s="765">
        <f>S28*(1+S29*(75-20))</f>
        <v>10.787250499999999</v>
      </c>
      <c r="T32" s="765"/>
      <c r="U32" s="47" t="s">
        <v>132</v>
      </c>
      <c r="V32" s="112"/>
    </row>
    <row r="33" spans="1:25" s="14" customFormat="1" ht="18" customHeight="1">
      <c r="A33" s="114"/>
      <c r="B33" s="7"/>
      <c r="C33" s="14" t="s">
        <v>160</v>
      </c>
      <c r="Q33" s="120" t="s">
        <v>141</v>
      </c>
      <c r="R33" s="28" t="s">
        <v>127</v>
      </c>
      <c r="S33" s="765">
        <f>S32/1000</f>
        <v>1.07872505E-2</v>
      </c>
      <c r="T33" s="765"/>
      <c r="U33" s="47" t="s">
        <v>142</v>
      </c>
      <c r="V33" s="112"/>
    </row>
    <row r="34" spans="1:25" s="14" customFormat="1" ht="18" customHeight="1">
      <c r="A34" s="114"/>
      <c r="B34" s="7"/>
      <c r="C34" s="14" t="s">
        <v>161</v>
      </c>
      <c r="Q34" s="120" t="s">
        <v>162</v>
      </c>
      <c r="R34" s="28" t="s">
        <v>127</v>
      </c>
      <c r="S34" s="743" t="s">
        <v>951</v>
      </c>
      <c r="T34" s="739"/>
      <c r="U34" s="47" t="s">
        <v>163</v>
      </c>
      <c r="V34" s="112"/>
    </row>
    <row r="35" spans="1:25" ht="18" customHeight="1">
      <c r="A35" s="114"/>
      <c r="B35" s="7"/>
      <c r="C35" s="14" t="s">
        <v>164</v>
      </c>
      <c r="D35" s="14"/>
      <c r="E35" s="14"/>
      <c r="F35" s="14"/>
      <c r="G35" s="14"/>
      <c r="H35" s="14"/>
      <c r="I35" s="14"/>
      <c r="J35" s="14"/>
      <c r="K35" s="14"/>
      <c r="L35" s="14"/>
      <c r="M35" s="14"/>
      <c r="N35" s="14"/>
      <c r="O35" s="14"/>
      <c r="P35" s="14"/>
      <c r="Q35" s="120" t="s">
        <v>165</v>
      </c>
      <c r="R35" s="28" t="s">
        <v>127</v>
      </c>
      <c r="S35" s="743" t="s">
        <v>166</v>
      </c>
      <c r="T35" s="739"/>
      <c r="U35" s="47" t="s">
        <v>163</v>
      </c>
      <c r="V35" s="112"/>
    </row>
    <row r="36" spans="1:25" ht="18" customHeight="1">
      <c r="A36" s="114"/>
      <c r="B36" s="7"/>
      <c r="C36" s="14"/>
      <c r="D36" s="14"/>
      <c r="E36" s="14"/>
      <c r="F36" s="14"/>
      <c r="G36" s="14"/>
      <c r="H36" s="14"/>
      <c r="I36" s="14"/>
      <c r="J36" s="14"/>
      <c r="K36" s="14"/>
      <c r="L36" s="14"/>
      <c r="M36" s="14"/>
      <c r="N36" s="14"/>
      <c r="O36" s="14"/>
      <c r="P36" s="14"/>
      <c r="Q36" s="120"/>
      <c r="R36" s="28"/>
      <c r="S36" s="455"/>
      <c r="T36" s="569"/>
      <c r="U36" s="47"/>
      <c r="V36" s="112"/>
    </row>
    <row r="37" spans="1:25" ht="18" customHeight="1">
      <c r="A37" s="114"/>
      <c r="B37" s="7"/>
      <c r="C37" s="18"/>
      <c r="D37" s="14"/>
      <c r="E37" s="14"/>
      <c r="F37" s="14"/>
      <c r="G37" s="14"/>
      <c r="H37" s="14"/>
      <c r="I37" s="14"/>
      <c r="J37" s="14"/>
      <c r="K37" s="14"/>
      <c r="L37" s="14"/>
      <c r="M37" s="14"/>
      <c r="N37" s="14"/>
      <c r="O37" s="14"/>
      <c r="P37" s="14"/>
      <c r="Q37" s="120"/>
      <c r="R37" s="28"/>
      <c r="S37" s="455"/>
      <c r="T37" s="569"/>
      <c r="U37" s="47"/>
      <c r="V37" s="112"/>
    </row>
    <row r="38" spans="1:25" ht="18" customHeight="1">
      <c r="A38" s="114"/>
      <c r="B38" s="7"/>
      <c r="C38" s="14" t="s">
        <v>167</v>
      </c>
      <c r="D38" s="14"/>
      <c r="E38" s="14"/>
      <c r="F38" s="14"/>
      <c r="G38" s="14"/>
      <c r="H38" s="14"/>
      <c r="I38" s="14"/>
      <c r="J38" s="14"/>
      <c r="K38" s="575"/>
      <c r="L38" s="575"/>
      <c r="M38" s="14"/>
      <c r="N38" s="14"/>
      <c r="O38" s="14"/>
      <c r="P38" s="14"/>
      <c r="Q38" s="120" t="s">
        <v>148</v>
      </c>
      <c r="R38" s="28" t="s">
        <v>127</v>
      </c>
      <c r="S38" s="743">
        <v>120</v>
      </c>
      <c r="T38" s="739"/>
      <c r="U38" s="47" t="s">
        <v>149</v>
      </c>
      <c r="V38" s="112" t="s">
        <v>129</v>
      </c>
    </row>
    <row r="39" spans="1:25" ht="18" customHeight="1">
      <c r="A39" s="114"/>
      <c r="B39" s="7"/>
      <c r="C39" s="14" t="s">
        <v>168</v>
      </c>
      <c r="D39" s="14"/>
      <c r="E39" s="14"/>
      <c r="F39" s="14"/>
      <c r="G39" s="14"/>
      <c r="H39" s="14"/>
      <c r="I39" s="14"/>
      <c r="J39" s="14"/>
      <c r="K39" s="14"/>
      <c r="L39" s="14"/>
      <c r="M39" s="14"/>
      <c r="N39" s="14"/>
      <c r="O39" s="14"/>
      <c r="P39" s="14"/>
      <c r="Q39" s="120" t="s">
        <v>151</v>
      </c>
      <c r="R39" s="28" t="s">
        <v>127</v>
      </c>
      <c r="S39" s="766">
        <f>S33*S38</f>
        <v>1.2944700599999999</v>
      </c>
      <c r="T39" s="766"/>
      <c r="U39" s="47" t="s">
        <v>152</v>
      </c>
      <c r="V39" s="112"/>
    </row>
    <row r="40" spans="1:25" ht="18" customHeight="1">
      <c r="A40" s="114"/>
      <c r="B40" s="7"/>
      <c r="C40" s="14" t="s">
        <v>169</v>
      </c>
      <c r="D40" s="14"/>
      <c r="E40" s="14"/>
      <c r="F40" s="14"/>
      <c r="G40" s="14"/>
      <c r="H40" s="14"/>
      <c r="I40" s="14"/>
      <c r="J40" s="14"/>
      <c r="K40" s="14"/>
      <c r="L40" s="14"/>
      <c r="M40" s="14"/>
      <c r="N40" s="14"/>
      <c r="O40" s="14"/>
      <c r="P40" s="14"/>
      <c r="Q40" s="120" t="s">
        <v>154</v>
      </c>
      <c r="R40" s="28" t="s">
        <v>127</v>
      </c>
      <c r="S40" s="766">
        <f>2*S33*S38</f>
        <v>2.5889401199999997</v>
      </c>
      <c r="T40" s="766"/>
      <c r="U40" s="47" t="s">
        <v>152</v>
      </c>
      <c r="V40" s="112"/>
      <c r="Y40" s="14" t="s">
        <v>615</v>
      </c>
    </row>
    <row r="41" spans="1:25" ht="18" customHeight="1">
      <c r="A41" s="114"/>
      <c r="B41" s="7"/>
      <c r="C41" s="14"/>
      <c r="D41" s="14"/>
      <c r="E41" s="14"/>
      <c r="F41" s="14"/>
      <c r="G41" s="14"/>
      <c r="H41" s="14"/>
      <c r="I41" s="14"/>
      <c r="J41" s="14"/>
      <c r="K41" s="14"/>
      <c r="L41" s="14"/>
      <c r="M41" s="14"/>
      <c r="N41" s="14"/>
      <c r="O41" s="14"/>
      <c r="P41" s="14"/>
      <c r="Q41" s="120"/>
      <c r="R41" s="28"/>
      <c r="S41" s="218"/>
      <c r="T41" s="218"/>
      <c r="U41" s="47"/>
      <c r="V41" s="112"/>
    </row>
    <row r="42" spans="1:25" ht="18" customHeight="1">
      <c r="A42" s="698" t="s">
        <v>1072</v>
      </c>
      <c r="B42" s="684"/>
      <c r="C42" s="684"/>
      <c r="D42" s="684"/>
      <c r="E42" s="684"/>
      <c r="F42" s="684"/>
      <c r="G42" s="684"/>
      <c r="H42" s="684"/>
      <c r="I42" s="684"/>
      <c r="J42" s="684"/>
      <c r="K42" s="684"/>
      <c r="L42" s="684"/>
      <c r="M42" s="684"/>
      <c r="N42" s="684"/>
      <c r="O42" s="684"/>
      <c r="P42" s="684"/>
      <c r="Q42" s="684"/>
      <c r="R42" s="684"/>
      <c r="S42" s="684"/>
      <c r="T42" s="684"/>
      <c r="U42" s="684"/>
      <c r="V42" s="699"/>
    </row>
    <row r="43" spans="1:25" ht="18" customHeight="1">
      <c r="A43" s="1217"/>
      <c r="B43" s="790"/>
      <c r="C43" s="790"/>
      <c r="D43" s="790"/>
      <c r="E43" s="790"/>
      <c r="F43" s="790"/>
      <c r="G43" s="790"/>
      <c r="H43" s="790"/>
      <c r="I43" s="790"/>
      <c r="J43" s="790"/>
      <c r="K43" s="790"/>
      <c r="L43" s="790"/>
      <c r="M43" s="790"/>
      <c r="N43" s="790"/>
      <c r="O43" s="790"/>
      <c r="P43" s="790"/>
      <c r="Q43" s="790"/>
      <c r="R43" s="790"/>
      <c r="S43" s="790"/>
      <c r="T43" s="790"/>
      <c r="U43" s="790"/>
      <c r="V43" s="1218"/>
    </row>
    <row r="44" spans="1:25" ht="18" customHeight="1">
      <c r="A44" s="644"/>
      <c r="B44" s="190"/>
      <c r="C44" s="190"/>
      <c r="D44" s="190"/>
      <c r="E44" s="190"/>
      <c r="F44" s="190"/>
      <c r="G44" s="190"/>
      <c r="H44" s="190"/>
      <c r="I44" s="190"/>
      <c r="J44" s="190"/>
      <c r="K44" s="190"/>
      <c r="L44" s="190"/>
      <c r="M44" s="190"/>
      <c r="N44" s="190"/>
      <c r="O44" s="190"/>
      <c r="P44" s="190"/>
      <c r="Q44" s="190"/>
      <c r="R44" s="190"/>
      <c r="S44" s="190"/>
      <c r="T44" s="190"/>
      <c r="U44" s="190"/>
      <c r="V44" s="645"/>
    </row>
    <row r="45" spans="1:25" s="14" customFormat="1" ht="18" customHeight="1">
      <c r="A45" s="194"/>
      <c r="B45" s="20"/>
      <c r="C45" s="20"/>
      <c r="D45" s="20"/>
      <c r="E45" s="20"/>
      <c r="F45" s="20"/>
      <c r="G45" s="20"/>
      <c r="H45" s="20"/>
      <c r="I45" s="20"/>
      <c r="J45" s="195"/>
      <c r="K45" s="20"/>
      <c r="L45" s="20"/>
      <c r="M45" s="21"/>
      <c r="N45" s="22"/>
      <c r="O45" s="20"/>
      <c r="P45" s="20"/>
      <c r="Q45" s="576"/>
      <c r="R45" s="20"/>
      <c r="S45" s="182"/>
      <c r="T45" s="182"/>
      <c r="U45" s="2"/>
      <c r="V45" s="570"/>
    </row>
    <row r="46" spans="1:25" ht="18" customHeight="1">
      <c r="A46" s="116"/>
      <c r="B46" s="117" t="s">
        <v>171</v>
      </c>
      <c r="C46" s="7"/>
      <c r="D46" s="7"/>
      <c r="E46" s="7"/>
      <c r="F46" s="7"/>
      <c r="G46" s="7"/>
      <c r="H46" s="7"/>
      <c r="I46" s="7"/>
      <c r="J46" s="7"/>
      <c r="K46" s="7"/>
      <c r="L46" s="7"/>
      <c r="M46" s="7"/>
      <c r="N46" s="121"/>
      <c r="O46" s="7"/>
      <c r="P46" s="7"/>
      <c r="Q46" s="771" t="s">
        <v>172</v>
      </c>
      <c r="R46" s="771"/>
      <c r="S46" s="772" t="s">
        <v>173</v>
      </c>
      <c r="T46" s="772"/>
      <c r="U46" s="47"/>
      <c r="V46" s="112"/>
    </row>
    <row r="47" spans="1:25" ht="18" customHeight="1">
      <c r="A47" s="773" t="s">
        <v>1073</v>
      </c>
      <c r="B47" s="749"/>
      <c r="C47" s="749"/>
      <c r="D47" s="749"/>
      <c r="E47" s="749"/>
      <c r="F47" s="749"/>
      <c r="G47" s="749"/>
      <c r="H47" s="749"/>
      <c r="I47" s="749"/>
      <c r="J47" s="749"/>
      <c r="K47" s="749"/>
      <c r="L47" s="142"/>
      <c r="M47" s="142"/>
      <c r="N47" s="579"/>
      <c r="O47" s="580" t="s">
        <v>176</v>
      </c>
      <c r="P47" s="142"/>
      <c r="Q47" s="750">
        <v>0.02</v>
      </c>
      <c r="R47" s="750"/>
      <c r="S47" s="751">
        <v>0.02</v>
      </c>
      <c r="T47" s="751"/>
      <c r="U47" s="581" t="s">
        <v>157</v>
      </c>
      <c r="V47" s="143"/>
    </row>
    <row r="48" spans="1:25" ht="18" customHeight="1">
      <c r="A48" s="748"/>
      <c r="B48" s="749"/>
      <c r="C48" s="749"/>
      <c r="D48" s="749"/>
      <c r="E48" s="749"/>
      <c r="F48" s="749"/>
      <c r="G48" s="749"/>
      <c r="H48" s="749"/>
      <c r="I48" s="749"/>
      <c r="J48" s="749"/>
      <c r="K48" s="749"/>
      <c r="L48" s="142"/>
      <c r="M48" s="142"/>
      <c r="N48" s="579"/>
      <c r="O48" s="580"/>
      <c r="P48" s="142"/>
      <c r="Q48" s="643"/>
      <c r="R48" s="643"/>
      <c r="S48" s="642"/>
      <c r="T48" s="642"/>
      <c r="U48" s="581"/>
      <c r="V48" s="143"/>
    </row>
    <row r="49" spans="1:22" ht="18" customHeight="1">
      <c r="A49" s="752" t="s">
        <v>1074</v>
      </c>
      <c r="B49" s="753"/>
      <c r="C49" s="753"/>
      <c r="D49" s="753"/>
      <c r="E49" s="753"/>
      <c r="F49" s="753"/>
      <c r="G49" s="753"/>
      <c r="H49" s="753"/>
      <c r="I49" s="753"/>
      <c r="J49" s="753"/>
      <c r="K49" s="753"/>
      <c r="L49" s="753"/>
      <c r="M49" s="753"/>
      <c r="N49" s="753"/>
      <c r="O49" s="753"/>
      <c r="P49" s="142"/>
      <c r="Q49" s="643"/>
      <c r="R49" s="643"/>
      <c r="S49" s="642"/>
      <c r="T49" s="642"/>
      <c r="U49" s="581"/>
      <c r="V49" s="143"/>
    </row>
    <row r="50" spans="1:22" ht="18" customHeight="1">
      <c r="A50" s="114"/>
      <c r="B50" s="142"/>
      <c r="C50" s="581" t="s">
        <v>178</v>
      </c>
      <c r="D50" s="142"/>
      <c r="E50" s="142"/>
      <c r="F50" s="142"/>
      <c r="G50" s="142"/>
      <c r="H50" s="142"/>
      <c r="I50" s="142"/>
      <c r="J50" s="142"/>
      <c r="K50" s="142"/>
      <c r="L50" s="582"/>
      <c r="M50" s="582"/>
      <c r="N50" s="142"/>
      <c r="O50" s="583" t="s">
        <v>179</v>
      </c>
      <c r="P50" s="142"/>
      <c r="Q50" s="750">
        <v>0.01</v>
      </c>
      <c r="R50" s="750"/>
      <c r="S50" s="751">
        <v>0.15</v>
      </c>
      <c r="T50" s="751"/>
      <c r="U50" s="581" t="s">
        <v>157</v>
      </c>
      <c r="V50" s="143"/>
    </row>
    <row r="51" spans="1:22" ht="18" customHeight="1">
      <c r="A51" s="141"/>
      <c r="B51" s="142"/>
      <c r="C51" s="578" t="s">
        <v>180</v>
      </c>
      <c r="D51" s="142"/>
      <c r="E51" s="142"/>
      <c r="F51" s="142"/>
      <c r="G51" s="142"/>
      <c r="H51" s="142"/>
      <c r="I51" s="142"/>
      <c r="J51" s="142"/>
      <c r="K51" s="142"/>
      <c r="L51" s="142"/>
      <c r="M51" s="142"/>
      <c r="N51" s="142"/>
      <c r="O51" s="583" t="s">
        <v>181</v>
      </c>
      <c r="P51" s="142"/>
      <c r="Q51" s="750">
        <v>0.1</v>
      </c>
      <c r="R51" s="750"/>
      <c r="S51" s="751">
        <v>0.5</v>
      </c>
      <c r="T51" s="751"/>
      <c r="U51" s="581" t="s">
        <v>157</v>
      </c>
      <c r="V51" s="143"/>
    </row>
    <row r="52" spans="1:22" ht="18" customHeight="1">
      <c r="A52" s="141"/>
      <c r="B52" s="142"/>
      <c r="C52" s="581" t="s">
        <v>182</v>
      </c>
      <c r="D52" s="142"/>
      <c r="E52" s="142"/>
      <c r="F52" s="142"/>
      <c r="G52" s="142"/>
      <c r="H52" s="142"/>
      <c r="I52" s="142"/>
      <c r="J52" s="142"/>
      <c r="K52" s="142"/>
      <c r="L52" s="142"/>
      <c r="M52" s="142"/>
      <c r="N52" s="142"/>
      <c r="O52" s="583" t="s">
        <v>183</v>
      </c>
      <c r="P52" s="142"/>
      <c r="Q52" s="750">
        <v>0.02</v>
      </c>
      <c r="R52" s="750"/>
      <c r="S52" s="751">
        <v>0.02</v>
      </c>
      <c r="T52" s="751"/>
      <c r="U52" s="581" t="s">
        <v>157</v>
      </c>
      <c r="V52" s="143"/>
    </row>
    <row r="53" spans="1:22" ht="18" hidden="1" customHeight="1">
      <c r="A53" s="141"/>
      <c r="B53" s="142"/>
      <c r="C53" s="578" t="s">
        <v>184</v>
      </c>
      <c r="D53" s="142"/>
      <c r="E53" s="142"/>
      <c r="F53" s="142"/>
      <c r="G53" s="142"/>
      <c r="H53" s="142"/>
      <c r="I53" s="142"/>
      <c r="J53" s="142"/>
      <c r="K53" s="142"/>
      <c r="L53" s="142"/>
      <c r="M53" s="142"/>
      <c r="N53" s="142"/>
      <c r="O53" s="583" t="s">
        <v>185</v>
      </c>
      <c r="P53" s="142"/>
      <c r="Q53" s="750">
        <v>0.1</v>
      </c>
      <c r="R53" s="750"/>
      <c r="S53" s="751">
        <v>0.5</v>
      </c>
      <c r="T53" s="751"/>
      <c r="U53" s="581" t="s">
        <v>157</v>
      </c>
      <c r="V53" s="143"/>
    </row>
    <row r="54" spans="1:22" ht="25.95" hidden="1" customHeight="1">
      <c r="A54" s="141"/>
      <c r="B54" s="142"/>
      <c r="C54" s="581" t="s">
        <v>186</v>
      </c>
      <c r="D54" s="142"/>
      <c r="E54" s="142"/>
      <c r="F54" s="142"/>
      <c r="G54" s="142"/>
      <c r="H54" s="142"/>
      <c r="I54" s="142"/>
      <c r="J54" s="142"/>
      <c r="K54" s="142"/>
      <c r="L54" s="142"/>
      <c r="M54" s="142"/>
      <c r="N54" s="142"/>
      <c r="O54" s="583" t="s">
        <v>187</v>
      </c>
      <c r="P54" s="142"/>
      <c r="Q54" s="750">
        <v>0.02</v>
      </c>
      <c r="R54" s="750"/>
      <c r="S54" s="751">
        <v>0.5</v>
      </c>
      <c r="T54" s="751"/>
      <c r="U54" s="581" t="s">
        <v>157</v>
      </c>
      <c r="V54" s="143"/>
    </row>
    <row r="55" spans="1:22" ht="18" hidden="1" customHeight="1">
      <c r="A55" s="141"/>
      <c r="B55" s="142"/>
      <c r="C55" s="581" t="s">
        <v>188</v>
      </c>
      <c r="D55" s="142"/>
      <c r="E55" s="142"/>
      <c r="F55" s="142"/>
      <c r="G55" s="142"/>
      <c r="H55" s="142"/>
      <c r="I55" s="142"/>
      <c r="J55" s="142"/>
      <c r="K55" s="142"/>
      <c r="L55" s="142"/>
      <c r="M55" s="142"/>
      <c r="N55" s="142"/>
      <c r="O55" s="583" t="s">
        <v>189</v>
      </c>
      <c r="P55" s="142"/>
      <c r="Q55" s="1045">
        <v>0.02</v>
      </c>
      <c r="R55" s="1046"/>
      <c r="S55" s="1051">
        <v>0.05</v>
      </c>
      <c r="T55" s="1052"/>
      <c r="U55" s="581" t="s">
        <v>157</v>
      </c>
      <c r="V55" s="143"/>
    </row>
    <row r="56" spans="1:22" ht="18" hidden="1" customHeight="1">
      <c r="A56" s="141"/>
      <c r="B56" s="142"/>
      <c r="C56" s="581" t="s">
        <v>190</v>
      </c>
      <c r="D56" s="142"/>
      <c r="E56" s="142"/>
      <c r="F56" s="142"/>
      <c r="G56" s="142"/>
      <c r="H56" s="142"/>
      <c r="I56" s="142"/>
      <c r="J56" s="142"/>
      <c r="K56" s="142"/>
      <c r="L56" s="142"/>
      <c r="M56" s="142"/>
      <c r="N56" s="142"/>
      <c r="O56" s="583" t="s">
        <v>191</v>
      </c>
      <c r="P56" s="142"/>
      <c r="Q56" s="1045">
        <v>0.02</v>
      </c>
      <c r="R56" s="1046"/>
      <c r="S56" s="1051">
        <v>0.05</v>
      </c>
      <c r="T56" s="1052"/>
      <c r="U56" s="581" t="s">
        <v>157</v>
      </c>
      <c r="V56" s="143"/>
    </row>
    <row r="57" spans="1:22" ht="18" hidden="1" customHeight="1">
      <c r="A57" s="755" t="s">
        <v>1075</v>
      </c>
      <c r="B57" s="756"/>
      <c r="C57" s="756"/>
      <c r="D57" s="756"/>
      <c r="E57" s="756"/>
      <c r="F57" s="756"/>
      <c r="G57" s="756"/>
      <c r="H57" s="756"/>
      <c r="I57" s="756"/>
      <c r="J57" s="756"/>
      <c r="K57" s="756"/>
      <c r="L57" s="756"/>
      <c r="M57" s="756"/>
      <c r="N57" s="756"/>
      <c r="O57" s="756"/>
      <c r="P57" s="756"/>
      <c r="Q57" s="756"/>
      <c r="R57" s="756"/>
      <c r="S57" s="756"/>
      <c r="T57" s="756"/>
      <c r="U57" s="756"/>
      <c r="V57" s="757"/>
    </row>
    <row r="58" spans="1:22" ht="18" hidden="1" customHeight="1">
      <c r="A58" s="755"/>
      <c r="B58" s="756"/>
      <c r="C58" s="756"/>
      <c r="D58" s="756"/>
      <c r="E58" s="756"/>
      <c r="F58" s="756"/>
      <c r="G58" s="756"/>
      <c r="H58" s="756"/>
      <c r="I58" s="756"/>
      <c r="J58" s="756"/>
      <c r="K58" s="756"/>
      <c r="L58" s="756"/>
      <c r="M58" s="756"/>
      <c r="N58" s="756"/>
      <c r="O58" s="756"/>
      <c r="P58" s="756"/>
      <c r="Q58" s="756"/>
      <c r="R58" s="756"/>
      <c r="S58" s="756"/>
      <c r="T58" s="756"/>
      <c r="U58" s="756"/>
      <c r="V58" s="757"/>
    </row>
    <row r="59" spans="1:22" ht="18" hidden="1" customHeight="1">
      <c r="A59" s="348"/>
      <c r="B59" s="349"/>
      <c r="C59" s="349"/>
      <c r="D59" s="349"/>
      <c r="E59" s="349"/>
      <c r="F59" s="349"/>
      <c r="G59" s="349"/>
      <c r="H59" s="349"/>
      <c r="I59" s="111"/>
      <c r="J59" s="111"/>
      <c r="K59" s="349"/>
      <c r="L59" s="349"/>
      <c r="M59" s="349"/>
      <c r="N59" s="349"/>
      <c r="O59" s="349"/>
      <c r="P59" s="349"/>
      <c r="Q59" s="349"/>
      <c r="R59" s="349"/>
      <c r="S59" s="349"/>
      <c r="T59" s="111"/>
      <c r="U59" s="349"/>
      <c r="V59" s="470"/>
    </row>
    <row r="60" spans="1:22" ht="18" customHeight="1">
      <c r="A60" s="351"/>
      <c r="B60" s="352" t="s">
        <v>262</v>
      </c>
      <c r="C60" s="155"/>
      <c r="D60" s="155"/>
      <c r="E60" s="155"/>
      <c r="F60" s="155"/>
      <c r="G60" s="155"/>
      <c r="H60" s="155"/>
      <c r="I60" s="155"/>
      <c r="J60" s="155"/>
      <c r="K60" s="155"/>
      <c r="L60" s="155"/>
      <c r="M60" s="155"/>
      <c r="N60" s="155"/>
      <c r="O60" s="155"/>
      <c r="P60" s="155"/>
      <c r="Q60" s="353"/>
      <c r="R60" s="354"/>
      <c r="S60" s="355"/>
      <c r="T60" s="356"/>
      <c r="U60" s="357"/>
      <c r="V60" s="350"/>
    </row>
    <row r="61" spans="1:22" ht="18" customHeight="1">
      <c r="A61" s="96"/>
      <c r="B61" s="7"/>
      <c r="C61" s="14" t="s">
        <v>263</v>
      </c>
      <c r="D61" s="7"/>
      <c r="E61" s="124"/>
      <c r="F61" s="7"/>
      <c r="G61" s="7"/>
      <c r="H61" s="7"/>
      <c r="I61" s="7"/>
      <c r="J61" s="7"/>
      <c r="K61" s="7"/>
      <c r="L61" s="7"/>
      <c r="M61" s="7"/>
      <c r="N61" s="7"/>
      <c r="O61" s="155"/>
      <c r="P61" s="155"/>
      <c r="Q61" s="743">
        <v>50</v>
      </c>
      <c r="R61" s="744"/>
      <c r="S61" s="14" t="s">
        <v>264</v>
      </c>
      <c r="T61" s="356"/>
      <c r="U61" s="357"/>
      <c r="V61" s="350"/>
    </row>
    <row r="62" spans="1:22" ht="18" customHeight="1">
      <c r="A62" s="96"/>
      <c r="B62" s="358"/>
      <c r="C62" s="30" t="s">
        <v>265</v>
      </c>
      <c r="D62" s="7"/>
      <c r="E62" s="7"/>
      <c r="F62" s="7"/>
      <c r="G62" s="7"/>
      <c r="H62" s="7"/>
      <c r="I62" s="7"/>
      <c r="J62" s="7"/>
      <c r="K62" s="7"/>
      <c r="L62" s="7"/>
      <c r="M62" s="7"/>
      <c r="N62" s="7"/>
      <c r="O62" s="155"/>
      <c r="P62" s="155"/>
      <c r="Q62" s="743">
        <v>132</v>
      </c>
      <c r="R62" s="744"/>
      <c r="S62" s="14" t="s">
        <v>163</v>
      </c>
      <c r="T62" s="155"/>
      <c r="U62" s="357"/>
      <c r="V62" s="350"/>
    </row>
    <row r="63" spans="1:22" ht="18" customHeight="1">
      <c r="A63" s="96"/>
      <c r="B63" s="7"/>
      <c r="C63" s="30" t="s">
        <v>266</v>
      </c>
      <c r="D63" s="7"/>
      <c r="E63" s="7"/>
      <c r="F63" s="7"/>
      <c r="G63" s="7"/>
      <c r="H63" s="7"/>
      <c r="I63" s="7"/>
      <c r="J63" s="7"/>
      <c r="K63" s="7"/>
      <c r="L63" s="7"/>
      <c r="M63" s="7"/>
      <c r="N63" s="7"/>
      <c r="O63" s="155"/>
      <c r="P63" s="155"/>
      <c r="Q63" s="743">
        <v>50</v>
      </c>
      <c r="R63" s="744"/>
      <c r="S63" s="14" t="s">
        <v>267</v>
      </c>
      <c r="T63" s="155"/>
      <c r="U63" s="357"/>
      <c r="V63" s="350"/>
    </row>
    <row r="64" spans="1:22" ht="18" customHeight="1">
      <c r="A64" s="96"/>
      <c r="B64" s="7"/>
      <c r="C64" s="30" t="s">
        <v>268</v>
      </c>
      <c r="D64" s="14"/>
      <c r="E64" s="7"/>
      <c r="F64" s="7"/>
      <c r="G64" s="7"/>
      <c r="H64" s="7"/>
      <c r="I64" s="7"/>
      <c r="J64" s="7"/>
      <c r="K64" s="7"/>
      <c r="L64" s="7"/>
      <c r="M64" s="7"/>
      <c r="N64" s="155"/>
      <c r="O64" s="155"/>
      <c r="P64" s="155"/>
      <c r="Q64" s="743">
        <v>15</v>
      </c>
      <c r="R64" s="744"/>
      <c r="S64" s="359"/>
      <c r="T64" s="356"/>
      <c r="U64" s="357"/>
      <c r="V64" s="350"/>
    </row>
    <row r="65" spans="1:22" ht="18" hidden="1" customHeight="1">
      <c r="A65" s="96"/>
      <c r="B65" s="7"/>
      <c r="C65" s="14" t="s">
        <v>270</v>
      </c>
      <c r="D65" s="7"/>
      <c r="E65" s="124"/>
      <c r="F65" s="360"/>
      <c r="G65" s="155"/>
      <c r="H65" s="155"/>
      <c r="I65" s="155"/>
      <c r="J65" s="155"/>
      <c r="K65" s="155"/>
      <c r="L65" s="155"/>
      <c r="M65" s="155"/>
      <c r="N65" s="155"/>
      <c r="O65" s="155"/>
      <c r="P65" s="155"/>
      <c r="Q65" s="743">
        <v>132</v>
      </c>
      <c r="R65" s="744"/>
      <c r="S65" s="14" t="s">
        <v>163</v>
      </c>
      <c r="T65" s="356"/>
      <c r="U65" s="357"/>
      <c r="V65" s="350"/>
    </row>
    <row r="66" spans="1:22" ht="18" hidden="1" customHeight="1">
      <c r="A66" s="96"/>
      <c r="B66" s="7"/>
      <c r="C66" s="14" t="s">
        <v>271</v>
      </c>
      <c r="D66" s="7"/>
      <c r="E66" s="124"/>
      <c r="F66" s="360"/>
      <c r="G66" s="155"/>
      <c r="H66" s="155"/>
      <c r="I66" s="155"/>
      <c r="J66" s="155"/>
      <c r="K66" s="155"/>
      <c r="L66" s="155"/>
      <c r="M66" s="155"/>
      <c r="N66" s="155"/>
      <c r="O66" s="155"/>
      <c r="P66" s="155"/>
      <c r="Q66" s="743">
        <v>40</v>
      </c>
      <c r="R66" s="744"/>
      <c r="S66" s="14" t="s">
        <v>267</v>
      </c>
      <c r="T66" s="356"/>
      <c r="U66" s="357"/>
      <c r="V66" s="350"/>
    </row>
    <row r="67" spans="1:22" ht="18" hidden="1" customHeight="1">
      <c r="A67" s="146"/>
      <c r="B67" s="32"/>
      <c r="C67" s="38" t="s">
        <v>273</v>
      </c>
      <c r="D67" s="32"/>
      <c r="E67" s="361"/>
      <c r="F67" s="362"/>
      <c r="G67" s="363"/>
      <c r="H67" s="363"/>
      <c r="I67" s="363"/>
      <c r="J67" s="363"/>
      <c r="K67" s="363"/>
      <c r="L67" s="363"/>
      <c r="M67" s="363"/>
      <c r="N67" s="363"/>
      <c r="O67" s="363"/>
      <c r="P67" s="363"/>
      <c r="Q67" s="1066"/>
      <c r="R67" s="1067"/>
      <c r="S67" s="38"/>
      <c r="T67" s="366"/>
      <c r="U67" s="367"/>
      <c r="V67" s="368"/>
    </row>
    <row r="68" spans="1:22" ht="18" customHeight="1">
      <c r="A68" s="96"/>
      <c r="B68" s="32"/>
      <c r="C68" s="38"/>
      <c r="D68" s="32"/>
      <c r="E68" s="361"/>
      <c r="F68" s="362"/>
      <c r="G68" s="363"/>
      <c r="H68" s="363"/>
      <c r="I68" s="363"/>
      <c r="J68" s="363"/>
      <c r="K68" s="363"/>
      <c r="L68" s="363"/>
      <c r="M68" s="363"/>
      <c r="N68" s="363"/>
      <c r="O68" s="363"/>
      <c r="P68" s="363"/>
      <c r="Q68" s="364"/>
      <c r="R68" s="365"/>
      <c r="S68" s="38"/>
      <c r="T68" s="366"/>
      <c r="U68" s="357"/>
      <c r="V68" s="350"/>
    </row>
    <row r="69" spans="1:22" ht="18" customHeight="1">
      <c r="A69" s="96"/>
      <c r="B69" s="352" t="s">
        <v>274</v>
      </c>
      <c r="C69" s="155"/>
      <c r="D69" s="155"/>
      <c r="E69" s="155"/>
      <c r="F69" s="155"/>
      <c r="G69" s="360"/>
      <c r="H69" s="353"/>
      <c r="I69" s="155"/>
      <c r="J69" s="155"/>
      <c r="K69" s="369"/>
      <c r="L69" s="155"/>
      <c r="M69" s="155"/>
      <c r="N69" s="155"/>
      <c r="O69" s="155"/>
      <c r="P69" s="155"/>
      <c r="Q69" s="353"/>
      <c r="R69" s="360"/>
      <c r="S69" s="355"/>
      <c r="T69" s="356"/>
      <c r="U69" s="357"/>
      <c r="V69" s="350"/>
    </row>
    <row r="70" spans="1:22" ht="18" customHeight="1">
      <c r="A70" s="272" t="s">
        <v>275</v>
      </c>
      <c r="B70" s="7"/>
      <c r="C70" s="7"/>
      <c r="D70" s="7"/>
      <c r="E70" s="125">
        <v>3</v>
      </c>
      <c r="F70" s="14" t="s">
        <v>276</v>
      </c>
      <c r="G70" s="125" t="s">
        <v>277</v>
      </c>
      <c r="H70" s="47" t="s">
        <v>278</v>
      </c>
      <c r="I70" s="7"/>
      <c r="J70" s="745">
        <v>240</v>
      </c>
      <c r="K70" s="746"/>
      <c r="L70" s="14" t="s">
        <v>279</v>
      </c>
      <c r="M70" s="7"/>
      <c r="N70" s="125">
        <v>1</v>
      </c>
      <c r="O70" s="14" t="s">
        <v>280</v>
      </c>
      <c r="P70" s="155"/>
      <c r="Q70" s="353"/>
      <c r="R70" s="360"/>
      <c r="S70" s="355"/>
      <c r="T70" s="356"/>
      <c r="U70" s="357"/>
      <c r="V70" s="350"/>
    </row>
    <row r="71" spans="1:22" ht="18" customHeight="1">
      <c r="A71" s="370"/>
      <c r="B71" s="352" t="s">
        <v>281</v>
      </c>
      <c r="C71" s="155"/>
      <c r="D71" s="155"/>
      <c r="E71" s="155"/>
      <c r="F71" s="155"/>
      <c r="G71" s="360"/>
      <c r="H71" s="353"/>
      <c r="I71" s="155"/>
      <c r="J71" s="155"/>
      <c r="K71" s="155"/>
      <c r="L71" s="155"/>
      <c r="M71" s="155"/>
      <c r="N71" s="155"/>
      <c r="O71" s="155"/>
      <c r="P71" s="155"/>
      <c r="Q71" s="353"/>
      <c r="R71" s="360"/>
      <c r="S71" s="355"/>
      <c r="T71" s="356"/>
      <c r="U71" s="357"/>
      <c r="V71" s="350"/>
    </row>
    <row r="72" spans="1:22" ht="18" customHeight="1">
      <c r="A72" s="370"/>
      <c r="B72" s="371"/>
      <c r="C72" s="155"/>
      <c r="D72" s="155"/>
      <c r="E72" s="155"/>
      <c r="F72" s="155"/>
      <c r="G72" s="360"/>
      <c r="H72" s="353"/>
      <c r="I72" s="155"/>
      <c r="J72" s="7"/>
      <c r="K72" s="155"/>
      <c r="L72" s="155"/>
      <c r="M72" s="155"/>
      <c r="N72" s="155"/>
      <c r="O72" s="7"/>
      <c r="P72" s="155"/>
      <c r="Q72" s="186"/>
      <c r="R72" s="360"/>
      <c r="S72" s="355"/>
      <c r="T72" s="356"/>
      <c r="U72" s="357"/>
      <c r="V72" s="350"/>
    </row>
    <row r="73" spans="1:22" ht="18" customHeight="1">
      <c r="A73" s="272"/>
      <c r="B73" s="155"/>
      <c r="C73" s="47" t="s">
        <v>282</v>
      </c>
      <c r="D73" s="357"/>
      <c r="E73" s="7"/>
      <c r="F73" s="7"/>
      <c r="G73" s="7"/>
      <c r="H73" s="7"/>
      <c r="I73" s="7"/>
      <c r="J73" s="7"/>
      <c r="K73" s="7"/>
      <c r="L73" s="7"/>
      <c r="M73" s="7"/>
      <c r="N73" s="7"/>
      <c r="O73" s="28" t="s">
        <v>283</v>
      </c>
      <c r="P73" s="102" t="s">
        <v>127</v>
      </c>
      <c r="Q73" s="738">
        <v>2.2100000000000002E-2</v>
      </c>
      <c r="R73" s="747"/>
      <c r="S73" s="47" t="s">
        <v>284</v>
      </c>
      <c r="T73" s="356"/>
      <c r="U73" s="357"/>
      <c r="V73" s="350"/>
    </row>
    <row r="74" spans="1:22" ht="18" customHeight="1">
      <c r="A74" s="272"/>
      <c r="B74" s="155"/>
      <c r="C74" s="47" t="s">
        <v>285</v>
      </c>
      <c r="D74" s="155"/>
      <c r="E74" s="7"/>
      <c r="F74" s="7"/>
      <c r="G74" s="7"/>
      <c r="H74" s="7"/>
      <c r="I74" s="7"/>
      <c r="J74" s="7"/>
      <c r="K74" s="7"/>
      <c r="L74" s="7"/>
      <c r="M74" s="7"/>
      <c r="N74" s="7"/>
      <c r="O74" s="28" t="s">
        <v>286</v>
      </c>
      <c r="P74" s="102" t="s">
        <v>127</v>
      </c>
      <c r="Q74" s="738">
        <v>0.16</v>
      </c>
      <c r="R74" s="739"/>
      <c r="S74" s="47" t="s">
        <v>284</v>
      </c>
      <c r="T74" s="356"/>
      <c r="U74" s="357"/>
      <c r="V74" s="350"/>
    </row>
    <row r="75" spans="1:22" ht="18" customHeight="1">
      <c r="A75" s="272"/>
      <c r="B75" s="155"/>
      <c r="C75" s="47" t="s">
        <v>287</v>
      </c>
      <c r="D75" s="155"/>
      <c r="E75" s="7"/>
      <c r="F75" s="7"/>
      <c r="G75" s="7"/>
      <c r="H75" s="7"/>
      <c r="I75" s="7"/>
      <c r="J75" s="7"/>
      <c r="K75" s="7"/>
      <c r="L75" s="7"/>
      <c r="M75" s="7"/>
      <c r="N75" s="7"/>
      <c r="O75" s="28" t="s">
        <v>288</v>
      </c>
      <c r="P75" s="102" t="s">
        <v>127</v>
      </c>
      <c r="Q75" s="738">
        <v>0.13</v>
      </c>
      <c r="R75" s="739"/>
      <c r="S75" s="47" t="s">
        <v>284</v>
      </c>
      <c r="T75" s="155"/>
      <c r="U75" s="357"/>
      <c r="V75" s="350"/>
    </row>
    <row r="76" spans="1:22" ht="18" customHeight="1">
      <c r="A76" s="272"/>
      <c r="B76" s="155"/>
      <c r="C76" s="47" t="s">
        <v>289</v>
      </c>
      <c r="D76" s="357"/>
      <c r="E76" s="7"/>
      <c r="F76" s="7"/>
      <c r="G76" s="7"/>
      <c r="H76" s="7"/>
      <c r="I76" s="7"/>
      <c r="J76" s="7"/>
      <c r="K76" s="7"/>
      <c r="L76" s="7"/>
      <c r="M76" s="7"/>
      <c r="N76" s="7"/>
      <c r="O76" s="28" t="s">
        <v>290</v>
      </c>
      <c r="P76" s="102" t="s">
        <v>127</v>
      </c>
      <c r="Q76" s="738">
        <v>0.06</v>
      </c>
      <c r="R76" s="739"/>
      <c r="S76" s="47" t="s">
        <v>284</v>
      </c>
      <c r="T76" s="356"/>
      <c r="U76" s="357"/>
      <c r="V76" s="350"/>
    </row>
    <row r="77" spans="1:22" ht="18" customHeight="1">
      <c r="A77" s="272"/>
      <c r="B77" s="357"/>
      <c r="C77" s="47" t="s">
        <v>291</v>
      </c>
      <c r="D77" s="155"/>
      <c r="E77" s="155"/>
      <c r="F77" s="155"/>
      <c r="G77" s="155"/>
      <c r="H77" s="7"/>
      <c r="I77" s="7"/>
      <c r="J77" s="7"/>
      <c r="K77" s="7"/>
      <c r="L77" s="7"/>
      <c r="M77" s="7"/>
      <c r="N77" s="7"/>
      <c r="O77" s="121"/>
      <c r="P77" s="102" t="s">
        <v>127</v>
      </c>
      <c r="Q77" s="740">
        <v>1.74</v>
      </c>
      <c r="R77" s="741"/>
      <c r="S77" s="372" t="s">
        <v>292</v>
      </c>
      <c r="T77" s="356"/>
      <c r="U77" s="357"/>
      <c r="V77" s="350"/>
    </row>
    <row r="78" spans="1:22" ht="18" customHeight="1">
      <c r="A78" s="373"/>
      <c r="B78" s="357"/>
      <c r="C78" s="155"/>
      <c r="D78" s="155"/>
      <c r="E78" s="155"/>
      <c r="F78" s="155"/>
      <c r="G78" s="155"/>
      <c r="H78" s="155"/>
      <c r="I78" s="155"/>
      <c r="J78" s="155"/>
      <c r="K78" s="155"/>
      <c r="L78" s="353"/>
      <c r="M78" s="353"/>
      <c r="N78" s="155"/>
      <c r="O78" s="155"/>
      <c r="P78" s="155"/>
      <c r="Q78" s="353"/>
      <c r="R78" s="360"/>
      <c r="S78" s="355"/>
      <c r="T78" s="356"/>
      <c r="U78" s="155"/>
      <c r="V78" s="350"/>
    </row>
    <row r="79" spans="1:22" ht="18" customHeight="1">
      <c r="A79" s="272"/>
      <c r="B79" s="357"/>
      <c r="C79" s="47" t="s">
        <v>293</v>
      </c>
      <c r="D79" s="155"/>
      <c r="E79" s="155"/>
      <c r="F79" s="155"/>
      <c r="G79" s="155"/>
      <c r="H79" s="7"/>
      <c r="I79" s="7"/>
      <c r="J79" s="28" t="s">
        <v>294</v>
      </c>
      <c r="K79" s="102" t="s">
        <v>127</v>
      </c>
      <c r="L79" s="737">
        <f>Q73/N70</f>
        <v>2.2100000000000002E-2</v>
      </c>
      <c r="M79" s="689"/>
      <c r="N79" s="102" t="s">
        <v>295</v>
      </c>
      <c r="O79" s="737">
        <f>Q74/N70</f>
        <v>0.16</v>
      </c>
      <c r="P79" s="689"/>
      <c r="Q79" s="47" t="s">
        <v>284</v>
      </c>
      <c r="R79" s="360"/>
      <c r="S79" s="355"/>
      <c r="T79" s="356"/>
      <c r="U79" s="155"/>
      <c r="V79" s="350"/>
    </row>
    <row r="80" spans="1:22" ht="18" customHeight="1">
      <c r="A80" s="272"/>
      <c r="B80" s="357"/>
      <c r="C80" s="47" t="s">
        <v>296</v>
      </c>
      <c r="D80" s="155"/>
      <c r="E80" s="155"/>
      <c r="F80" s="155"/>
      <c r="G80" s="155"/>
      <c r="H80" s="7"/>
      <c r="I80" s="7"/>
      <c r="J80" s="28" t="s">
        <v>297</v>
      </c>
      <c r="K80" s="102" t="s">
        <v>127</v>
      </c>
      <c r="L80" s="737">
        <f>Q75/N70</f>
        <v>0.13</v>
      </c>
      <c r="M80" s="689"/>
      <c r="N80" s="102" t="s">
        <v>295</v>
      </c>
      <c r="O80" s="737">
        <f>Q76/N70</f>
        <v>0.06</v>
      </c>
      <c r="P80" s="689"/>
      <c r="Q80" s="47" t="s">
        <v>284</v>
      </c>
      <c r="R80" s="360"/>
      <c r="S80" s="355"/>
      <c r="T80" s="356"/>
      <c r="U80" s="155"/>
      <c r="V80" s="350"/>
    </row>
    <row r="81" spans="1:22" ht="18" customHeight="1">
      <c r="A81" s="272"/>
      <c r="B81" s="155"/>
      <c r="C81" s="47" t="s">
        <v>298</v>
      </c>
      <c r="D81" s="155"/>
      <c r="E81" s="155"/>
      <c r="F81" s="155"/>
      <c r="G81" s="155"/>
      <c r="H81" s="7"/>
      <c r="I81" s="7"/>
      <c r="J81" s="28" t="s">
        <v>299</v>
      </c>
      <c r="K81" s="102" t="s">
        <v>127</v>
      </c>
      <c r="L81" s="711">
        <f>L79*Q77</f>
        <v>3.8454000000000002E-2</v>
      </c>
      <c r="M81" s="711"/>
      <c r="N81" s="102" t="s">
        <v>295</v>
      </c>
      <c r="O81" s="711">
        <f>O79*Q77</f>
        <v>0.27839999999999998</v>
      </c>
      <c r="P81" s="711"/>
      <c r="Q81" s="14" t="s">
        <v>152</v>
      </c>
      <c r="R81" s="360"/>
      <c r="S81" s="355"/>
      <c r="T81" s="356"/>
      <c r="U81" s="155"/>
      <c r="V81" s="350"/>
    </row>
    <row r="82" spans="1:22" ht="18" customHeight="1">
      <c r="A82" s="272"/>
      <c r="B82" s="155"/>
      <c r="C82" s="47" t="s">
        <v>300</v>
      </c>
      <c r="D82" s="155"/>
      <c r="E82" s="155"/>
      <c r="F82" s="155"/>
      <c r="G82" s="155"/>
      <c r="H82" s="7"/>
      <c r="I82" s="7"/>
      <c r="J82" s="28" t="s">
        <v>301</v>
      </c>
      <c r="K82" s="102" t="s">
        <v>127</v>
      </c>
      <c r="L82" s="711">
        <f>L80*Q77</f>
        <v>0.22620000000000001</v>
      </c>
      <c r="M82" s="711"/>
      <c r="N82" s="102" t="s">
        <v>295</v>
      </c>
      <c r="O82" s="711">
        <f>O80*Q77</f>
        <v>0.10439999999999999</v>
      </c>
      <c r="P82" s="711"/>
      <c r="Q82" s="14" t="s">
        <v>152</v>
      </c>
      <c r="R82" s="360"/>
      <c r="S82" s="355"/>
      <c r="T82" s="356"/>
      <c r="U82" s="155"/>
      <c r="V82" s="350"/>
    </row>
    <row r="83" spans="1:22" ht="18" customHeight="1">
      <c r="A83" s="370"/>
      <c r="B83" s="155"/>
      <c r="C83" s="155"/>
      <c r="D83" s="155"/>
      <c r="E83" s="155"/>
      <c r="F83" s="155"/>
      <c r="G83" s="155"/>
      <c r="H83" s="155"/>
      <c r="I83" s="155"/>
      <c r="J83" s="7"/>
      <c r="K83" s="155"/>
      <c r="L83" s="155"/>
      <c r="M83" s="155"/>
      <c r="N83" s="155"/>
      <c r="O83" s="155"/>
      <c r="P83" s="155"/>
      <c r="Q83" s="353"/>
      <c r="R83" s="360"/>
      <c r="S83" s="355"/>
      <c r="T83" s="356"/>
      <c r="U83" s="155"/>
      <c r="V83" s="350"/>
    </row>
    <row r="84" spans="1:22" ht="18" customHeight="1">
      <c r="A84" s="116"/>
      <c r="B84" s="117" t="s">
        <v>302</v>
      </c>
      <c r="C84" s="155"/>
      <c r="D84" s="155"/>
      <c r="E84" s="155"/>
      <c r="F84" s="155"/>
      <c r="G84" s="155"/>
      <c r="H84" s="155"/>
      <c r="I84" s="155"/>
      <c r="J84" s="155"/>
      <c r="K84" s="155"/>
      <c r="L84" s="155"/>
      <c r="M84" s="155"/>
      <c r="N84" s="155"/>
      <c r="O84" s="155"/>
      <c r="P84" s="155"/>
      <c r="Q84" s="353"/>
      <c r="R84" s="360"/>
      <c r="S84" s="355"/>
      <c r="T84" s="356"/>
      <c r="U84" s="155"/>
      <c r="V84" s="350"/>
    </row>
    <row r="85" spans="1:22" ht="18" customHeight="1">
      <c r="A85" s="272"/>
      <c r="B85" s="357"/>
      <c r="C85" s="47" t="s">
        <v>303</v>
      </c>
      <c r="D85" s="155"/>
      <c r="E85" s="155"/>
      <c r="F85" s="155"/>
      <c r="G85" s="155"/>
      <c r="H85" s="155"/>
      <c r="I85" s="155"/>
      <c r="J85" s="155"/>
      <c r="K85" s="155"/>
      <c r="L85" s="353"/>
      <c r="M85" s="353"/>
      <c r="N85" s="155"/>
      <c r="O85" s="155"/>
      <c r="P85" s="102" t="s">
        <v>127</v>
      </c>
      <c r="Q85" s="689">
        <f>Q63*1000</f>
        <v>50000</v>
      </c>
      <c r="R85" s="689"/>
      <c r="S85" s="47" t="s">
        <v>8</v>
      </c>
      <c r="T85" s="356"/>
      <c r="U85" s="155"/>
      <c r="V85" s="350"/>
    </row>
    <row r="86" spans="1:22" ht="18" customHeight="1">
      <c r="A86" s="272"/>
      <c r="B86" s="357"/>
      <c r="C86" s="47"/>
      <c r="D86" s="155"/>
      <c r="E86" s="155"/>
      <c r="F86" s="155"/>
      <c r="G86" s="155"/>
      <c r="H86" s="155"/>
      <c r="I86" s="155"/>
      <c r="J86" s="155"/>
      <c r="K86" s="155"/>
      <c r="L86" s="353"/>
      <c r="M86" s="353"/>
      <c r="N86" s="155"/>
      <c r="O86" s="155"/>
      <c r="P86" s="102"/>
      <c r="Q86" s="28"/>
      <c r="R86" s="28"/>
      <c r="S86" s="47"/>
      <c r="T86" s="356"/>
      <c r="U86" s="155"/>
      <c r="V86" s="350"/>
    </row>
    <row r="87" spans="1:22" ht="18" customHeight="1">
      <c r="A87" s="272"/>
      <c r="B87" s="357"/>
      <c r="C87" s="47"/>
      <c r="D87" s="155"/>
      <c r="E87" s="155"/>
      <c r="F87" s="155"/>
      <c r="G87" s="155"/>
      <c r="H87" s="155"/>
      <c r="I87" s="155"/>
      <c r="J87" s="155"/>
      <c r="K87" s="155"/>
      <c r="L87" s="353"/>
      <c r="M87" s="353"/>
      <c r="N87" s="155"/>
      <c r="O87" s="155"/>
      <c r="P87" s="102"/>
      <c r="Q87" s="28"/>
      <c r="R87" s="28"/>
      <c r="S87" s="47"/>
      <c r="T87" s="356"/>
      <c r="U87" s="155"/>
      <c r="V87" s="350"/>
    </row>
    <row r="88" spans="1:22" ht="18" customHeight="1">
      <c r="A88" s="272"/>
      <c r="B88" s="357"/>
      <c r="C88" s="47" t="s">
        <v>304</v>
      </c>
      <c r="D88" s="155"/>
      <c r="E88" s="155"/>
      <c r="F88" s="155"/>
      <c r="G88" s="155"/>
      <c r="H88" s="155"/>
      <c r="I88" s="155"/>
      <c r="J88" s="155"/>
      <c r="K88" s="155"/>
      <c r="L88" s="155"/>
      <c r="M88" s="155"/>
      <c r="N88" s="155"/>
      <c r="O88" s="155"/>
      <c r="P88" s="102" t="s">
        <v>127</v>
      </c>
      <c r="Q88" s="689">
        <f>Q62*1000</f>
        <v>132000</v>
      </c>
      <c r="R88" s="689"/>
      <c r="S88" s="47" t="s">
        <v>305</v>
      </c>
      <c r="T88" s="356"/>
      <c r="U88" s="155"/>
      <c r="V88" s="350"/>
    </row>
    <row r="89" spans="1:22" ht="18" customHeight="1">
      <c r="A89" s="272"/>
      <c r="B89" s="357"/>
      <c r="C89" s="47" t="s">
        <v>306</v>
      </c>
      <c r="D89" s="155"/>
      <c r="E89" s="155"/>
      <c r="F89" s="155"/>
      <c r="G89" s="155"/>
      <c r="H89" s="155"/>
      <c r="I89" s="155"/>
      <c r="J89" s="155"/>
      <c r="K89" s="155"/>
      <c r="L89" s="155"/>
      <c r="M89" s="155"/>
      <c r="N89" s="155"/>
      <c r="O89" s="155"/>
      <c r="P89" s="102" t="s">
        <v>127</v>
      </c>
      <c r="Q89" s="689">
        <f>Q66*1000</f>
        <v>40000</v>
      </c>
      <c r="R89" s="689"/>
      <c r="S89" s="47" t="s">
        <v>8</v>
      </c>
      <c r="T89" s="356"/>
      <c r="U89" s="155"/>
      <c r="V89" s="350"/>
    </row>
    <row r="90" spans="1:22" ht="18" customHeight="1">
      <c r="A90" s="272"/>
      <c r="B90" s="357"/>
      <c r="C90" s="47" t="s">
        <v>307</v>
      </c>
      <c r="D90" s="155"/>
      <c r="E90" s="155"/>
      <c r="F90" s="155"/>
      <c r="G90" s="155"/>
      <c r="H90" s="155"/>
      <c r="I90" s="155"/>
      <c r="J90" s="155"/>
      <c r="K90" s="155"/>
      <c r="L90" s="155"/>
      <c r="M90" s="155"/>
      <c r="N90" s="155"/>
      <c r="O90" s="155"/>
      <c r="P90" s="102" t="s">
        <v>127</v>
      </c>
      <c r="Q90" s="689">
        <f>Q65*1000</f>
        <v>132000</v>
      </c>
      <c r="R90" s="689"/>
      <c r="S90" s="47" t="s">
        <v>305</v>
      </c>
      <c r="T90" s="356"/>
      <c r="U90" s="155"/>
      <c r="V90" s="350"/>
    </row>
    <row r="91" spans="1:22" ht="18" customHeight="1">
      <c r="A91" s="374"/>
      <c r="B91" s="375"/>
      <c r="C91" s="155"/>
      <c r="D91" s="155"/>
      <c r="E91" s="156"/>
      <c r="F91" s="156"/>
      <c r="G91" s="156"/>
      <c r="H91" s="156"/>
      <c r="I91" s="155"/>
      <c r="J91" s="155"/>
      <c r="K91" s="155"/>
      <c r="L91" s="155"/>
      <c r="M91" s="155"/>
      <c r="N91" s="155"/>
      <c r="O91" s="155"/>
      <c r="P91" s="7"/>
      <c r="Q91" s="353"/>
      <c r="R91" s="360"/>
      <c r="S91" s="7"/>
      <c r="T91" s="356"/>
      <c r="U91" s="155"/>
      <c r="V91" s="350"/>
    </row>
    <row r="92" spans="1:22" ht="18" customHeight="1">
      <c r="A92" s="272" t="s">
        <v>308</v>
      </c>
      <c r="B92" s="375"/>
      <c r="C92" s="155"/>
      <c r="D92" s="155"/>
      <c r="E92" s="156"/>
      <c r="F92" s="156"/>
      <c r="G92" s="156"/>
      <c r="H92" s="7"/>
      <c r="I92" s="155"/>
      <c r="J92" s="155"/>
      <c r="K92" s="155"/>
      <c r="L92" s="155"/>
      <c r="M92" s="376"/>
      <c r="N92" s="155"/>
      <c r="O92" s="155"/>
      <c r="P92" s="102" t="s">
        <v>127</v>
      </c>
      <c r="Q92" s="733">
        <v>1</v>
      </c>
      <c r="R92" s="734"/>
      <c r="S92" s="47" t="s">
        <v>309</v>
      </c>
      <c r="T92" s="356"/>
      <c r="U92" s="155"/>
      <c r="V92" s="350"/>
    </row>
    <row r="93" spans="1:22" ht="18" customHeight="1">
      <c r="A93" s="114"/>
      <c r="B93" s="353"/>
      <c r="C93" s="357"/>
      <c r="D93" s="357"/>
      <c r="E93" s="28" t="s">
        <v>310</v>
      </c>
      <c r="F93" s="102" t="s">
        <v>127</v>
      </c>
      <c r="G93" s="28" t="s">
        <v>311</v>
      </c>
      <c r="H93" s="28" t="s">
        <v>312</v>
      </c>
      <c r="I93" s="28">
        <f>Q92</f>
        <v>1</v>
      </c>
      <c r="J93" s="28" t="s">
        <v>313</v>
      </c>
      <c r="K93" s="28" t="s">
        <v>314</v>
      </c>
      <c r="L93" s="28" t="s">
        <v>315</v>
      </c>
      <c r="M93" s="28" t="s">
        <v>316</v>
      </c>
      <c r="N93" s="155"/>
      <c r="O93" s="155"/>
      <c r="P93" s="102" t="s">
        <v>127</v>
      </c>
      <c r="Q93" s="688">
        <f>(Q88*Q92)/(SQRT(3)*Q85)</f>
        <v>1.5242047106606122</v>
      </c>
      <c r="R93" s="688"/>
      <c r="S93" s="14" t="s">
        <v>152</v>
      </c>
      <c r="T93" s="356"/>
      <c r="U93" s="155"/>
      <c r="V93" s="350"/>
    </row>
    <row r="94" spans="1:22" ht="18" customHeight="1">
      <c r="A94" s="114"/>
      <c r="B94" s="372"/>
      <c r="C94" s="357"/>
      <c r="D94" s="357"/>
      <c r="E94" s="120" t="s">
        <v>317</v>
      </c>
      <c r="F94" s="102" t="s">
        <v>127</v>
      </c>
      <c r="G94" s="28">
        <v>2</v>
      </c>
      <c r="H94" s="28" t="s">
        <v>315</v>
      </c>
      <c r="I94" s="278" t="s">
        <v>318</v>
      </c>
      <c r="J94" s="28" t="s">
        <v>315</v>
      </c>
      <c r="K94" s="28" t="s">
        <v>319</v>
      </c>
      <c r="L94" s="28" t="s">
        <v>315</v>
      </c>
      <c r="M94" s="28" t="s">
        <v>320</v>
      </c>
      <c r="N94" s="155"/>
      <c r="O94" s="155"/>
      <c r="P94" s="377"/>
      <c r="Q94" s="764"/>
      <c r="R94" s="689"/>
      <c r="S94" s="355"/>
      <c r="T94" s="356"/>
      <c r="U94" s="155"/>
      <c r="V94" s="350"/>
    </row>
    <row r="95" spans="1:22" ht="18" customHeight="1">
      <c r="A95" s="373"/>
      <c r="B95" s="357"/>
      <c r="C95" s="155"/>
      <c r="D95" s="155"/>
      <c r="E95" s="47" t="s">
        <v>321</v>
      </c>
      <c r="F95" s="155"/>
      <c r="G95" s="155"/>
      <c r="H95" s="155"/>
      <c r="I95" s="155"/>
      <c r="J95" s="155"/>
      <c r="K95" s="155"/>
      <c r="L95" s="47" t="s">
        <v>322</v>
      </c>
      <c r="M95" s="155"/>
      <c r="N95" s="155"/>
      <c r="O95" s="155"/>
      <c r="P95" s="102" t="s">
        <v>127</v>
      </c>
      <c r="Q95" s="689">
        <f>Q64</f>
        <v>15</v>
      </c>
      <c r="R95" s="689"/>
      <c r="S95" s="378"/>
      <c r="T95" s="356"/>
      <c r="U95" s="155"/>
      <c r="V95" s="350"/>
    </row>
    <row r="96" spans="1:22" s="14" customFormat="1" ht="18" hidden="1" customHeight="1">
      <c r="A96" s="373"/>
      <c r="B96" s="357"/>
      <c r="C96" s="155"/>
      <c r="D96" s="155"/>
      <c r="E96" s="47" t="s">
        <v>263</v>
      </c>
      <c r="F96" s="155"/>
      <c r="G96" s="155"/>
      <c r="H96" s="155"/>
      <c r="I96" s="155"/>
      <c r="J96" s="155"/>
      <c r="K96" s="155"/>
      <c r="L96" s="47" t="s">
        <v>319</v>
      </c>
      <c r="M96" s="155"/>
      <c r="N96" s="155"/>
      <c r="O96" s="155"/>
      <c r="P96" s="102" t="s">
        <v>127</v>
      </c>
      <c r="Q96" s="689">
        <f>Q61</f>
        <v>50</v>
      </c>
      <c r="R96" s="689"/>
      <c r="S96" s="378"/>
      <c r="T96" s="356"/>
      <c r="U96" s="155"/>
      <c r="V96" s="350"/>
    </row>
    <row r="97" spans="1:22" ht="18" hidden="1" customHeight="1">
      <c r="A97" s="373"/>
      <c r="B97" s="357"/>
      <c r="C97" s="14" t="s">
        <v>323</v>
      </c>
      <c r="D97" s="155"/>
      <c r="E97" s="47" t="s">
        <v>324</v>
      </c>
      <c r="F97" s="155"/>
      <c r="G97" s="155"/>
      <c r="H97" s="155"/>
      <c r="I97" s="155"/>
      <c r="J97" s="155"/>
      <c r="K97" s="155"/>
      <c r="L97" s="14" t="s">
        <v>325</v>
      </c>
      <c r="M97" s="379" t="s">
        <v>326</v>
      </c>
      <c r="N97" s="155"/>
      <c r="O97" s="155"/>
      <c r="P97" s="102"/>
      <c r="Q97" s="689"/>
      <c r="R97" s="689"/>
      <c r="S97" s="378"/>
      <c r="T97" s="7"/>
      <c r="U97" s="7"/>
      <c r="V97" s="112"/>
    </row>
    <row r="98" spans="1:22" ht="18" hidden="1" customHeight="1">
      <c r="A98" s="373"/>
      <c r="B98" s="357"/>
      <c r="C98" s="7"/>
      <c r="D98" s="155"/>
      <c r="E98" s="47" t="s">
        <v>327</v>
      </c>
      <c r="F98" s="155"/>
      <c r="G98" s="155"/>
      <c r="H98" s="155"/>
      <c r="I98" s="155"/>
      <c r="J98" s="155"/>
      <c r="K98" s="155"/>
      <c r="L98" s="14" t="s">
        <v>328</v>
      </c>
      <c r="M98" s="155"/>
      <c r="N98" s="155"/>
      <c r="O98" s="155"/>
      <c r="P98" s="102" t="s">
        <v>127</v>
      </c>
      <c r="Q98" s="688">
        <f>ATAN(Q95)</f>
        <v>1.5042281630190728</v>
      </c>
      <c r="R98" s="688"/>
      <c r="S98" s="378"/>
      <c r="T98" s="7"/>
      <c r="U98" s="7"/>
      <c r="V98" s="112"/>
    </row>
    <row r="99" spans="1:22" ht="18" hidden="1" customHeight="1">
      <c r="A99" s="373"/>
      <c r="B99" s="357"/>
      <c r="C99" s="155"/>
      <c r="D99" s="155"/>
      <c r="E99" s="47" t="s">
        <v>329</v>
      </c>
      <c r="F99" s="155"/>
      <c r="G99" s="155"/>
      <c r="H99" s="155"/>
      <c r="I99" s="155"/>
      <c r="J99" s="155"/>
      <c r="K99" s="155"/>
      <c r="L99" s="14" t="s">
        <v>328</v>
      </c>
      <c r="M99" s="155"/>
      <c r="N99" s="155"/>
      <c r="O99" s="155"/>
      <c r="P99" s="102" t="s">
        <v>127</v>
      </c>
      <c r="Q99" s="688">
        <f>DEGREES(Q98)</f>
        <v>86.185925165709648</v>
      </c>
      <c r="R99" s="688"/>
      <c r="S99" s="378"/>
      <c r="T99" s="7"/>
      <c r="U99" s="7"/>
      <c r="V99" s="112"/>
    </row>
    <row r="100" spans="1:22" ht="18" hidden="1" customHeight="1">
      <c r="A100" s="373"/>
      <c r="B100" s="357"/>
      <c r="C100" s="155"/>
      <c r="D100" s="155"/>
      <c r="E100" s="372"/>
      <c r="F100" s="155"/>
      <c r="G100" s="155"/>
      <c r="H100" s="155"/>
      <c r="I100" s="155"/>
      <c r="J100" s="155"/>
      <c r="K100" s="155"/>
      <c r="L100" s="7"/>
      <c r="M100" s="155"/>
      <c r="N100" s="155"/>
      <c r="O100" s="155"/>
      <c r="P100" s="123"/>
      <c r="Q100" s="380"/>
      <c r="R100" s="380"/>
      <c r="S100" s="378"/>
      <c r="T100" s="356"/>
      <c r="U100" s="155"/>
      <c r="V100" s="350"/>
    </row>
    <row r="101" spans="1:22" ht="18" customHeight="1">
      <c r="A101" s="370"/>
      <c r="B101" s="155"/>
      <c r="C101" s="155"/>
      <c r="D101" s="155"/>
      <c r="E101" s="47" t="s">
        <v>330</v>
      </c>
      <c r="F101" s="155"/>
      <c r="G101" s="155"/>
      <c r="H101" s="155"/>
      <c r="I101" s="155"/>
      <c r="J101" s="155"/>
      <c r="K101" s="28" t="s">
        <v>331</v>
      </c>
      <c r="L101" s="268" t="s">
        <v>332</v>
      </c>
      <c r="M101" s="155"/>
      <c r="N101" s="155"/>
      <c r="O101" s="155"/>
      <c r="P101" s="102" t="s">
        <v>127</v>
      </c>
      <c r="Q101" s="688">
        <f>Q93*COS(Q98)</f>
        <v>0.10138858918881909</v>
      </c>
      <c r="R101" s="688"/>
      <c r="S101" s="192" t="s">
        <v>333</v>
      </c>
      <c r="T101" s="356"/>
      <c r="U101" s="155"/>
      <c r="V101" s="350"/>
    </row>
    <row r="102" spans="1:22" ht="18" customHeight="1">
      <c r="A102" s="370"/>
      <c r="B102" s="155"/>
      <c r="C102" s="155"/>
      <c r="D102" s="155"/>
      <c r="E102" s="14" t="s">
        <v>334</v>
      </c>
      <c r="F102" s="155"/>
      <c r="G102" s="155"/>
      <c r="H102" s="155"/>
      <c r="I102" s="155"/>
      <c r="J102" s="155"/>
      <c r="K102" s="28" t="s">
        <v>335</v>
      </c>
      <c r="L102" s="268" t="s">
        <v>336</v>
      </c>
      <c r="M102" s="155"/>
      <c r="N102" s="155"/>
      <c r="O102" s="155"/>
      <c r="P102" s="102" t="s">
        <v>127</v>
      </c>
      <c r="Q102" s="688">
        <f>Q93*SIN(Q98)</f>
        <v>1.5208288378322858</v>
      </c>
      <c r="R102" s="688"/>
      <c r="S102" s="192" t="s">
        <v>333</v>
      </c>
      <c r="T102" s="356"/>
      <c r="U102" s="155"/>
      <c r="V102" s="350"/>
    </row>
    <row r="103" spans="1:22" ht="18" customHeight="1">
      <c r="A103" s="114"/>
      <c r="B103" s="7"/>
      <c r="C103" s="14" t="s">
        <v>337</v>
      </c>
      <c r="D103" s="155"/>
      <c r="E103" s="47" t="s">
        <v>338</v>
      </c>
      <c r="F103" s="7"/>
      <c r="G103" s="7"/>
      <c r="H103" s="7"/>
      <c r="I103" s="7"/>
      <c r="J103" s="7"/>
      <c r="K103" s="28" t="s">
        <v>310</v>
      </c>
      <c r="L103" s="235" t="s">
        <v>127</v>
      </c>
      <c r="M103" s="7"/>
      <c r="N103" s="688">
        <f>Q101</f>
        <v>0.10138858918881909</v>
      </c>
      <c r="O103" s="689"/>
      <c r="P103" s="102" t="s">
        <v>295</v>
      </c>
      <c r="Q103" s="688">
        <f>Q102</f>
        <v>1.5208288378322858</v>
      </c>
      <c r="R103" s="689"/>
      <c r="S103" s="192" t="s">
        <v>333</v>
      </c>
      <c r="T103" s="7"/>
      <c r="U103" s="7"/>
      <c r="V103" s="381"/>
    </row>
    <row r="104" spans="1:22" ht="18" customHeight="1">
      <c r="A104" s="193" t="s">
        <v>887</v>
      </c>
      <c r="B104" s="14"/>
      <c r="C104" s="14"/>
      <c r="D104" s="14"/>
      <c r="E104" s="14"/>
      <c r="F104" s="14"/>
      <c r="G104" s="14"/>
      <c r="H104" s="14"/>
      <c r="I104" s="14"/>
      <c r="J104" s="14"/>
      <c r="K104" s="14"/>
      <c r="L104" s="14"/>
      <c r="M104" s="14"/>
      <c r="N104" s="14"/>
      <c r="O104" s="14"/>
      <c r="P104" s="14"/>
      <c r="Q104" s="120"/>
      <c r="R104" s="28"/>
      <c r="S104" s="525"/>
      <c r="T104" s="14"/>
      <c r="U104" s="14"/>
      <c r="V104" s="381"/>
    </row>
    <row r="105" spans="1:22" ht="18" customHeight="1">
      <c r="A105" s="193"/>
      <c r="B105" s="14"/>
      <c r="C105" s="28" t="s">
        <v>867</v>
      </c>
      <c r="D105" s="218" t="s">
        <v>127</v>
      </c>
      <c r="E105" s="218" t="s">
        <v>310</v>
      </c>
      <c r="F105" s="28" t="s">
        <v>342</v>
      </c>
      <c r="G105" s="14" t="s">
        <v>888</v>
      </c>
      <c r="H105" s="14"/>
      <c r="I105" s="14"/>
      <c r="J105" s="120"/>
      <c r="K105" s="120"/>
      <c r="L105" s="47" t="s">
        <v>889</v>
      </c>
      <c r="M105" s="14"/>
      <c r="N105" s="257" t="s">
        <v>299</v>
      </c>
      <c r="O105" s="14" t="s">
        <v>127</v>
      </c>
      <c r="P105" s="688">
        <f>SQRT(L81^2+O81^2)</f>
        <v>0.28104318194185035</v>
      </c>
      <c r="Q105" s="688"/>
      <c r="R105" s="120" t="s">
        <v>520</v>
      </c>
      <c r="S105" s="28"/>
      <c r="T105" s="47"/>
      <c r="U105" s="14"/>
      <c r="V105" s="185"/>
    </row>
    <row r="106" spans="1:22" ht="18" hidden="1" customHeight="1">
      <c r="A106" s="96"/>
      <c r="B106" s="14"/>
      <c r="C106" s="14"/>
      <c r="D106" s="218" t="s">
        <v>127</v>
      </c>
      <c r="E106" s="724">
        <f>Q93</f>
        <v>1.5242047106606122</v>
      </c>
      <c r="F106" s="724"/>
      <c r="G106" s="28" t="s">
        <v>342</v>
      </c>
      <c r="H106" s="689" t="s">
        <v>890</v>
      </c>
      <c r="I106" s="689"/>
      <c r="J106" s="688">
        <f>P105</f>
        <v>0.28104318194185035</v>
      </c>
      <c r="K106" s="688"/>
      <c r="L106" s="14" t="s">
        <v>350</v>
      </c>
      <c r="M106" s="14"/>
      <c r="N106" s="14"/>
      <c r="O106" s="14"/>
      <c r="P106" s="14"/>
      <c r="Q106" s="120"/>
      <c r="R106" s="28"/>
      <c r="S106" s="525"/>
      <c r="T106" s="14"/>
      <c r="U106" s="14"/>
      <c r="V106" s="381"/>
    </row>
    <row r="107" spans="1:22" ht="18" customHeight="1">
      <c r="A107" s="96"/>
      <c r="B107" s="14"/>
      <c r="C107" s="14"/>
      <c r="D107" s="218" t="s">
        <v>127</v>
      </c>
      <c r="E107" s="689">
        <f>E106/(0.8*J106)</f>
        <v>6.7792282849970542</v>
      </c>
      <c r="F107" s="689"/>
      <c r="G107" s="14"/>
      <c r="H107" s="14"/>
      <c r="I107" s="14"/>
      <c r="J107" s="14"/>
      <c r="K107" s="14"/>
      <c r="L107" s="14"/>
      <c r="M107" s="14"/>
      <c r="N107" s="14"/>
      <c r="O107" s="14"/>
      <c r="P107" s="14"/>
      <c r="Q107" s="120"/>
      <c r="R107" s="28"/>
      <c r="S107" s="525"/>
      <c r="T107" s="14"/>
      <c r="U107" s="14"/>
      <c r="V107" s="381"/>
    </row>
    <row r="108" spans="1:22" ht="18" customHeight="1">
      <c r="A108" s="96"/>
      <c r="B108" s="14"/>
      <c r="C108" s="14"/>
      <c r="D108" s="218"/>
      <c r="E108" s="28"/>
      <c r="F108" s="28"/>
      <c r="G108" s="14"/>
      <c r="H108" s="14"/>
      <c r="I108" s="14"/>
      <c r="J108" s="14"/>
      <c r="K108" s="14"/>
      <c r="L108" s="14"/>
      <c r="M108" s="14"/>
      <c r="N108" s="14"/>
      <c r="O108" s="14"/>
      <c r="P108" s="14"/>
      <c r="Q108" s="120"/>
      <c r="R108" s="28"/>
      <c r="S108" s="525"/>
      <c r="T108" s="14"/>
      <c r="U108" s="14"/>
      <c r="V108" s="381"/>
    </row>
    <row r="109" spans="1:22" ht="18" customHeight="1">
      <c r="A109" s="560"/>
      <c r="B109" s="7"/>
      <c r="C109" s="14"/>
      <c r="D109" s="155"/>
      <c r="E109" s="47"/>
      <c r="F109" s="7"/>
      <c r="G109" s="7"/>
      <c r="H109" s="7"/>
      <c r="I109" s="7"/>
      <c r="J109" s="7"/>
      <c r="K109" s="28"/>
      <c r="L109" s="235"/>
      <c r="M109" s="7"/>
      <c r="N109" s="541"/>
      <c r="O109" s="28"/>
      <c r="P109" s="102"/>
      <c r="Q109" s="541"/>
      <c r="R109" s="28"/>
      <c r="S109" s="192"/>
      <c r="T109" s="7"/>
      <c r="U109" s="7"/>
      <c r="V109" s="558"/>
    </row>
    <row r="110" spans="1:22" ht="18" customHeight="1">
      <c r="A110" s="382"/>
      <c r="B110" s="20"/>
      <c r="C110" s="20"/>
      <c r="D110" s="20"/>
      <c r="E110" s="20"/>
      <c r="F110" s="20"/>
      <c r="G110" s="20"/>
      <c r="H110" s="20"/>
      <c r="I110" s="20"/>
      <c r="J110" s="20"/>
      <c r="K110" s="20"/>
      <c r="L110" s="20"/>
      <c r="M110" s="20"/>
      <c r="N110" s="20"/>
      <c r="O110" s="20"/>
      <c r="P110" s="20"/>
      <c r="Q110" s="21"/>
      <c r="R110" s="22"/>
      <c r="S110" s="23"/>
      <c r="T110" s="20"/>
      <c r="U110" s="20"/>
      <c r="V110" s="134"/>
    </row>
    <row r="111" spans="1:22" ht="18" customHeight="1">
      <c r="A111" s="383" t="s">
        <v>339</v>
      </c>
      <c r="B111" s="384"/>
      <c r="C111" s="349"/>
      <c r="D111" s="385"/>
      <c r="E111" s="385"/>
      <c r="F111" s="385"/>
      <c r="G111" s="386"/>
      <c r="H111" s="386"/>
      <c r="I111" s="387"/>
      <c r="J111" s="387"/>
      <c r="K111" s="387"/>
      <c r="L111" s="387"/>
      <c r="M111" s="388"/>
      <c r="N111" s="389"/>
      <c r="O111" s="390"/>
      <c r="P111" s="391"/>
      <c r="Q111" s="392"/>
      <c r="R111" s="393"/>
      <c r="S111" s="394"/>
      <c r="T111" s="384"/>
      <c r="U111" s="384"/>
      <c r="V111" s="395"/>
    </row>
    <row r="112" spans="1:22" ht="18" customHeight="1">
      <c r="A112" s="396"/>
      <c r="B112" s="47" t="s">
        <v>317</v>
      </c>
      <c r="C112" s="156"/>
      <c r="D112" s="397"/>
      <c r="E112"/>
      <c r="F112" s="376"/>
      <c r="G112" s="102" t="s">
        <v>127</v>
      </c>
      <c r="H112" s="28">
        <v>2</v>
      </c>
      <c r="I112" s="28" t="s">
        <v>315</v>
      </c>
      <c r="J112" s="278" t="s">
        <v>318</v>
      </c>
      <c r="K112" s="28" t="s">
        <v>315</v>
      </c>
      <c r="L112" s="28" t="s">
        <v>319</v>
      </c>
      <c r="M112" s="28" t="s">
        <v>315</v>
      </c>
      <c r="N112" s="47" t="s">
        <v>320</v>
      </c>
      <c r="O112" s="376"/>
      <c r="P112" s="163"/>
      <c r="Q112" s="398"/>
      <c r="R112"/>
      <c r="S112" s="376"/>
      <c r="T112"/>
      <c r="U112"/>
      <c r="V112" s="10"/>
    </row>
    <row r="113" spans="1:22" ht="18" customHeight="1">
      <c r="A113" s="396"/>
      <c r="B113" s="47" t="s">
        <v>321</v>
      </c>
      <c r="C113" s="156"/>
      <c r="D113" s="375"/>
      <c r="E113" s="376"/>
      <c r="F113" s="376"/>
      <c r="G113"/>
      <c r="H113" s="376"/>
      <c r="I113" s="152"/>
      <c r="J113" s="152"/>
      <c r="K113" s="152"/>
      <c r="L113" s="152"/>
      <c r="M113"/>
      <c r="N113" s="376"/>
      <c r="O113" s="28" t="s">
        <v>322</v>
      </c>
      <c r="P113" s="102" t="s">
        <v>127</v>
      </c>
      <c r="Q113" s="694">
        <f>Q64</f>
        <v>15</v>
      </c>
      <c r="R113" s="689"/>
      <c r="S113" s="372"/>
      <c r="T113"/>
      <c r="U113"/>
      <c r="V113" s="10"/>
    </row>
    <row r="114" spans="1:22" ht="18" customHeight="1">
      <c r="A114" s="396"/>
      <c r="B114" s="47" t="s">
        <v>263</v>
      </c>
      <c r="C114" s="156"/>
      <c r="D114" s="397"/>
      <c r="E114" s="7"/>
      <c r="F114" s="7"/>
      <c r="G114"/>
      <c r="H114" s="376"/>
      <c r="I114" s="152"/>
      <c r="J114" s="152"/>
      <c r="K114" s="152"/>
      <c r="L114" s="152"/>
      <c r="M114"/>
      <c r="N114" s="376"/>
      <c r="O114" s="28" t="s">
        <v>319</v>
      </c>
      <c r="P114" s="102" t="s">
        <v>127</v>
      </c>
      <c r="Q114" s="718">
        <f>Q61</f>
        <v>50</v>
      </c>
      <c r="R114" s="718"/>
      <c r="S114" s="47" t="s">
        <v>264</v>
      </c>
      <c r="T114"/>
      <c r="U114"/>
      <c r="V114" s="10"/>
    </row>
    <row r="115" spans="1:22" ht="18" customHeight="1">
      <c r="A115" s="396"/>
      <c r="B115" s="249" t="s">
        <v>340</v>
      </c>
      <c r="C115" s="156"/>
      <c r="D115" s="397"/>
      <c r="E115"/>
      <c r="F115" s="123"/>
      <c r="G115" s="28" t="s">
        <v>127</v>
      </c>
      <c r="H115" s="28" t="s">
        <v>341</v>
      </c>
      <c r="I115" s="399" t="s">
        <v>342</v>
      </c>
      <c r="J115" s="28">
        <v>2</v>
      </c>
      <c r="K115" s="28" t="s">
        <v>315</v>
      </c>
      <c r="L115" s="278" t="s">
        <v>318</v>
      </c>
      <c r="M115" s="400" t="s">
        <v>315</v>
      </c>
      <c r="N115" s="218" t="s">
        <v>319</v>
      </c>
      <c r="O115" s="376"/>
      <c r="P115" s="102" t="s">
        <v>127</v>
      </c>
      <c r="Q115" s="696">
        <f>(Q113*1000)/(J115*(22/7)*Q114)</f>
        <v>47.727272727272727</v>
      </c>
      <c r="R115" s="722"/>
      <c r="S115" s="47" t="s">
        <v>343</v>
      </c>
      <c r="T115"/>
      <c r="U115"/>
      <c r="V115" s="10"/>
    </row>
    <row r="116" spans="1:22" ht="18" customHeight="1">
      <c r="A116" s="401"/>
      <c r="B116" s="156"/>
      <c r="C116" s="156"/>
      <c r="D116" s="397"/>
      <c r="E116" s="155"/>
      <c r="F116" s="155"/>
      <c r="G116" s="155"/>
      <c r="H116" s="155"/>
      <c r="I116" s="155"/>
      <c r="J116" s="155"/>
      <c r="K116" s="155"/>
      <c r="L116" s="155"/>
      <c r="M116" s="155"/>
      <c r="N116" s="155"/>
      <c r="O116" s="155"/>
      <c r="P116" s="155"/>
      <c r="Q116" s="155"/>
      <c r="R116" s="155"/>
      <c r="S116" s="155"/>
      <c r="T116"/>
      <c r="U116"/>
      <c r="V116" s="10"/>
    </row>
    <row r="117" spans="1:22" ht="18" customHeight="1">
      <c r="A117" s="193" t="s">
        <v>344</v>
      </c>
      <c r="B117" s="162"/>
      <c r="C117" s="152"/>
      <c r="D117" s="152"/>
      <c r="E117" s="152"/>
      <c r="F117" s="152"/>
      <c r="G117" s="152"/>
      <c r="H117" s="152"/>
      <c r="I117" s="152"/>
      <c r="J117" s="152"/>
      <c r="K117" s="152"/>
      <c r="L117" s="152"/>
      <c r="M117" s="152"/>
      <c r="N117" s="163"/>
      <c r="O117" s="145"/>
      <c r="P117" s="152"/>
      <c r="Q117" s="49"/>
      <c r="R117"/>
      <c r="S117"/>
      <c r="T117"/>
      <c r="U117"/>
      <c r="V117" s="10"/>
    </row>
    <row r="118" spans="1:22" ht="18" customHeight="1">
      <c r="A118" s="96" t="s">
        <v>345</v>
      </c>
      <c r="B118" s="156"/>
      <c r="C118" s="155"/>
      <c r="D118" s="155"/>
      <c r="E118" s="28" t="s">
        <v>346</v>
      </c>
      <c r="F118" s="28" t="s">
        <v>127</v>
      </c>
      <c r="G118" s="155"/>
      <c r="H118" s="28" t="s">
        <v>310</v>
      </c>
      <c r="I118" s="102" t="s">
        <v>347</v>
      </c>
      <c r="J118" s="14" t="s">
        <v>299</v>
      </c>
      <c r="K118" s="155"/>
      <c r="L118" s="155"/>
      <c r="M118" s="155"/>
      <c r="N118" s="155"/>
      <c r="O118" s="155"/>
      <c r="P118" s="155"/>
      <c r="Q118" s="402"/>
      <c r="R118" s="155"/>
      <c r="S118" s="156"/>
      <c r="T118"/>
      <c r="U118"/>
      <c r="V118" s="10"/>
    </row>
    <row r="119" spans="1:22" ht="18" customHeight="1">
      <c r="A119" s="370"/>
      <c r="B119" s="155"/>
      <c r="C119" s="155"/>
      <c r="D119" s="155"/>
      <c r="E119" s="155"/>
      <c r="F119" s="403" t="s">
        <v>348</v>
      </c>
      <c r="G119" s="688">
        <f>N103</f>
        <v>0.10138858918881909</v>
      </c>
      <c r="H119" s="689"/>
      <c r="I119" s="102" t="s">
        <v>295</v>
      </c>
      <c r="J119" s="688">
        <f>Q103</f>
        <v>1.5208288378322858</v>
      </c>
      <c r="K119" s="689"/>
      <c r="L119" s="28" t="s">
        <v>349</v>
      </c>
      <c r="M119" s="711">
        <f>L81</f>
        <v>3.8454000000000002E-2</v>
      </c>
      <c r="N119" s="689"/>
      <c r="O119" s="102" t="s">
        <v>295</v>
      </c>
      <c r="P119" s="711">
        <f>O81</f>
        <v>0.27839999999999998</v>
      </c>
      <c r="Q119" s="689"/>
      <c r="R119" s="14" t="s">
        <v>350</v>
      </c>
      <c r="S119" s="156"/>
      <c r="T119"/>
      <c r="U119"/>
      <c r="V119" s="10"/>
    </row>
    <row r="120" spans="1:22" ht="18" customHeight="1">
      <c r="A120" s="159"/>
      <c r="B120" s="155"/>
      <c r="C120" s="155"/>
      <c r="D120" s="155"/>
      <c r="E120" s="155"/>
      <c r="F120" s="28" t="s">
        <v>127</v>
      </c>
      <c r="G120" s="688">
        <f>G119+M119</f>
        <v>0.13984258918881909</v>
      </c>
      <c r="H120" s="689"/>
      <c r="I120" s="102" t="s">
        <v>351</v>
      </c>
      <c r="J120" s="688">
        <f>J119+P119</f>
        <v>1.7992288378322858</v>
      </c>
      <c r="K120" s="689"/>
      <c r="L120" s="404" t="s">
        <v>333</v>
      </c>
      <c r="M120" s="155"/>
      <c r="N120" s="155"/>
      <c r="O120" s="155"/>
      <c r="P120" s="155"/>
      <c r="Q120" s="155"/>
      <c r="R120" s="155"/>
      <c r="S120" s="156"/>
      <c r="T120"/>
      <c r="U120"/>
      <c r="V120" s="10"/>
    </row>
    <row r="121" spans="1:22" ht="18" customHeight="1">
      <c r="A121" s="114"/>
      <c r="B121" s="7"/>
      <c r="C121" s="7"/>
      <c r="D121" s="7"/>
      <c r="E121" s="7"/>
      <c r="F121" s="7"/>
      <c r="G121" s="7"/>
      <c r="H121" s="7"/>
      <c r="I121" s="7"/>
      <c r="J121" s="7"/>
      <c r="K121" s="7"/>
      <c r="L121" s="7"/>
      <c r="M121" s="7"/>
      <c r="N121" s="7"/>
      <c r="O121" s="7"/>
      <c r="P121" s="7"/>
      <c r="Q121" s="124"/>
      <c r="R121" s="121"/>
      <c r="S121" s="405"/>
      <c r="T121" s="7"/>
      <c r="U121" s="7"/>
      <c r="V121" s="381"/>
    </row>
    <row r="122" spans="1:22" ht="18" customHeight="1">
      <c r="A122" s="159"/>
      <c r="B122" s="155"/>
      <c r="C122" s="155"/>
      <c r="D122" s="155"/>
      <c r="E122" s="155"/>
      <c r="F122" s="28" t="s">
        <v>127</v>
      </c>
      <c r="G122" s="703">
        <f>SQRT(G120^2+J120^2)</f>
        <v>1.8046551916192608</v>
      </c>
      <c r="H122" s="689"/>
      <c r="I122" s="278" t="s">
        <v>352</v>
      </c>
      <c r="J122" s="704">
        <f>DEGREES(ATAN(J120/G120))</f>
        <v>85.555699177658028</v>
      </c>
      <c r="K122" s="689"/>
      <c r="L122" s="404" t="s">
        <v>333</v>
      </c>
      <c r="M122" s="155"/>
      <c r="N122" s="155"/>
      <c r="O122" s="155"/>
      <c r="P122" s="155"/>
      <c r="Q122" s="155"/>
      <c r="R122" s="155"/>
      <c r="S122" s="156"/>
      <c r="T122"/>
      <c r="U122"/>
      <c r="V122" s="10"/>
    </row>
    <row r="123" spans="1:22" ht="18" customHeight="1">
      <c r="A123" s="159"/>
      <c r="B123" s="155"/>
      <c r="C123" s="155"/>
      <c r="D123" s="155"/>
      <c r="E123" s="120" t="s">
        <v>353</v>
      </c>
      <c r="F123" s="28" t="s">
        <v>127</v>
      </c>
      <c r="G123" s="705">
        <f>J120/G120</f>
        <v>12.866100722741342</v>
      </c>
      <c r="H123" s="689"/>
      <c r="I123" s="155"/>
      <c r="J123" s="155"/>
      <c r="K123" s="124"/>
      <c r="L123" s="121"/>
      <c r="M123" s="406"/>
      <c r="N123" s="372"/>
      <c r="O123" s="376"/>
      <c r="P123" s="153"/>
      <c r="Q123" s="407"/>
      <c r="R123" s="375"/>
      <c r="S123" s="156"/>
      <c r="T123"/>
      <c r="U123"/>
      <c r="V123" s="10"/>
    </row>
    <row r="124" spans="1:22" ht="18" customHeight="1">
      <c r="A124" s="159"/>
      <c r="B124" s="47" t="s">
        <v>354</v>
      </c>
      <c r="C124" s="397"/>
      <c r="D124" s="155"/>
      <c r="E124" s="397"/>
      <c r="F124" s="375"/>
      <c r="G124" s="375"/>
      <c r="H124" s="156"/>
      <c r="I124" s="156"/>
      <c r="J124" s="156"/>
      <c r="K124" s="156"/>
      <c r="L124" s="236" t="s">
        <v>127</v>
      </c>
      <c r="M124" s="706">
        <f>Q88</f>
        <v>132000</v>
      </c>
      <c r="N124" s="706"/>
      <c r="O124" s="229" t="s">
        <v>315</v>
      </c>
      <c r="P124" s="707">
        <f>Q92</f>
        <v>1</v>
      </c>
      <c r="Q124" s="708"/>
      <c r="R124" s="155"/>
      <c r="S124" s="156"/>
      <c r="T124"/>
      <c r="U124"/>
      <c r="V124" s="10"/>
    </row>
    <row r="125" spans="1:22" ht="18" customHeight="1">
      <c r="A125" s="159"/>
      <c r="B125" s="156"/>
      <c r="C125" s="397"/>
      <c r="D125" s="375"/>
      <c r="E125" s="397"/>
      <c r="F125" s="375"/>
      <c r="G125" s="375"/>
      <c r="H125" s="156"/>
      <c r="I125" s="156"/>
      <c r="J125" s="156"/>
      <c r="K125" s="156"/>
      <c r="L125" s="157"/>
      <c r="M125" s="688">
        <f>+G122</f>
        <v>1.8046551916192608</v>
      </c>
      <c r="N125" s="688"/>
      <c r="O125" s="28" t="s">
        <v>315</v>
      </c>
      <c r="P125" s="689" t="s">
        <v>355</v>
      </c>
      <c r="Q125" s="689">
        <f>SQRT(3)</f>
        <v>1.7320508075688772</v>
      </c>
      <c r="R125" s="375"/>
      <c r="S125" s="156"/>
      <c r="T125"/>
      <c r="U125"/>
      <c r="V125" s="10"/>
    </row>
    <row r="126" spans="1:22" ht="18" customHeight="1">
      <c r="A126" s="9"/>
      <c r="B126"/>
      <c r="C126"/>
      <c r="D126"/>
      <c r="E126"/>
      <c r="F126"/>
      <c r="G126"/>
      <c r="H126"/>
      <c r="I126"/>
      <c r="J126"/>
      <c r="K126"/>
      <c r="L126" s="102" t="s">
        <v>127</v>
      </c>
      <c r="M126" s="709">
        <f>M124*P124/(M125*SQRT(3))</f>
        <v>42229.804278926844</v>
      </c>
      <c r="N126" s="710"/>
      <c r="O126" s="30" t="s">
        <v>8</v>
      </c>
      <c r="P126"/>
      <c r="Q126"/>
      <c r="R126"/>
      <c r="S126"/>
      <c r="T126"/>
      <c r="U126"/>
      <c r="V126" s="10"/>
    </row>
    <row r="127" spans="1:22" ht="18" customHeight="1">
      <c r="A127" s="9"/>
      <c r="B127"/>
      <c r="C127"/>
      <c r="D127"/>
      <c r="E127"/>
      <c r="F127"/>
      <c r="G127"/>
      <c r="H127"/>
      <c r="I127"/>
      <c r="J127"/>
      <c r="K127"/>
      <c r="L127" s="354"/>
      <c r="M127" s="409"/>
      <c r="N127" s="409"/>
      <c r="O127"/>
      <c r="P127"/>
      <c r="Q127"/>
      <c r="R127"/>
      <c r="S127"/>
      <c r="T127"/>
      <c r="U127"/>
      <c r="V127" s="10"/>
    </row>
    <row r="128" spans="1:22" ht="18" customHeight="1">
      <c r="A128" s="9"/>
      <c r="B128"/>
      <c r="C128"/>
      <c r="D128"/>
      <c r="E128"/>
      <c r="F128"/>
      <c r="G128"/>
      <c r="H128"/>
      <c r="I128"/>
      <c r="J128"/>
      <c r="K128"/>
      <c r="L128" s="354"/>
      <c r="M128" s="409"/>
      <c r="N128" s="409"/>
      <c r="O128"/>
      <c r="P128"/>
      <c r="Q128"/>
      <c r="R128"/>
      <c r="S128"/>
      <c r="T128"/>
      <c r="U128"/>
      <c r="V128" s="10"/>
    </row>
    <row r="129" spans="1:22" ht="18" customHeight="1">
      <c r="A129" s="193" t="s">
        <v>356</v>
      </c>
      <c r="B129"/>
      <c r="C129" s="155"/>
      <c r="D129" s="397"/>
      <c r="E129" s="397"/>
      <c r="F129" s="397"/>
      <c r="G129" s="375"/>
      <c r="H129" s="375"/>
      <c r="I129" s="156"/>
      <c r="J129" s="156"/>
      <c r="K129" s="156"/>
      <c r="L129" s="156"/>
      <c r="M129" s="410"/>
      <c r="N129" s="411"/>
      <c r="O129" s="412"/>
      <c r="P129" s="413"/>
      <c r="Q129" s="157"/>
      <c r="R129" s="402"/>
      <c r="S129" s="414"/>
      <c r="T129"/>
      <c r="U129"/>
      <c r="V129" s="10"/>
    </row>
    <row r="130" spans="1:22" ht="18" customHeight="1">
      <c r="A130" s="396"/>
      <c r="B130" s="47" t="s">
        <v>357</v>
      </c>
      <c r="C130" s="156"/>
      <c r="D130" s="397"/>
      <c r="E130"/>
      <c r="F130" s="376"/>
      <c r="G130" s="102" t="s">
        <v>127</v>
      </c>
      <c r="H130" s="28">
        <v>2</v>
      </c>
      <c r="I130" s="28" t="s">
        <v>315</v>
      </c>
      <c r="J130" s="278" t="s">
        <v>318</v>
      </c>
      <c r="K130" s="28" t="s">
        <v>315</v>
      </c>
      <c r="L130" s="28" t="s">
        <v>319</v>
      </c>
      <c r="M130" s="28" t="s">
        <v>315</v>
      </c>
      <c r="N130" s="47" t="s">
        <v>320</v>
      </c>
      <c r="O130" s="376"/>
      <c r="P130" s="163"/>
      <c r="Q130" s="398"/>
      <c r="R130"/>
      <c r="S130" s="376"/>
      <c r="T130"/>
      <c r="U130"/>
      <c r="V130" s="10"/>
    </row>
    <row r="131" spans="1:22" ht="18" customHeight="1">
      <c r="A131" s="396"/>
      <c r="B131" s="47" t="s">
        <v>358</v>
      </c>
      <c r="C131" s="156"/>
      <c r="D131" s="375"/>
      <c r="E131" s="376"/>
      <c r="F131" s="376"/>
      <c r="G131"/>
      <c r="H131" s="376"/>
      <c r="I131" s="152"/>
      <c r="J131" s="152"/>
      <c r="K131" s="152"/>
      <c r="L131" s="152"/>
      <c r="M131"/>
      <c r="N131" s="376"/>
      <c r="O131" s="28" t="s">
        <v>322</v>
      </c>
      <c r="P131" s="102" t="s">
        <v>127</v>
      </c>
      <c r="Q131" s="692">
        <f>G123</f>
        <v>12.866100722741342</v>
      </c>
      <c r="R131" s="692"/>
      <c r="S131" s="372"/>
      <c r="T131"/>
      <c r="U131"/>
      <c r="V131" s="10"/>
    </row>
    <row r="132" spans="1:22" ht="18" customHeight="1">
      <c r="A132" s="396"/>
      <c r="B132" s="47" t="s">
        <v>263</v>
      </c>
      <c r="C132" s="156"/>
      <c r="D132" s="397"/>
      <c r="E132" s="7"/>
      <c r="F132" s="7"/>
      <c r="G132"/>
      <c r="H132" s="376"/>
      <c r="I132" s="152"/>
      <c r="J132" s="152"/>
      <c r="K132" s="152"/>
      <c r="L132" s="152"/>
      <c r="M132"/>
      <c r="N132" s="376"/>
      <c r="O132" s="28" t="s">
        <v>319</v>
      </c>
      <c r="P132" s="102" t="s">
        <v>127</v>
      </c>
      <c r="Q132" s="718">
        <f>Q61</f>
        <v>50</v>
      </c>
      <c r="R132" s="708"/>
      <c r="S132" s="47" t="s">
        <v>264</v>
      </c>
      <c r="T132"/>
      <c r="U132"/>
      <c r="V132" s="10"/>
    </row>
    <row r="133" spans="1:22" ht="18" customHeight="1">
      <c r="A133" s="396"/>
      <c r="B133" s="249" t="s">
        <v>340</v>
      </c>
      <c r="C133" s="156"/>
      <c r="D133" s="397"/>
      <c r="E133"/>
      <c r="F133" s="123"/>
      <c r="G133" s="28" t="s">
        <v>127</v>
      </c>
      <c r="H133" s="28" t="s">
        <v>341</v>
      </c>
      <c r="I133" s="399" t="s">
        <v>342</v>
      </c>
      <c r="J133" s="28">
        <v>2</v>
      </c>
      <c r="K133" s="28" t="s">
        <v>315</v>
      </c>
      <c r="L133" s="278" t="s">
        <v>318</v>
      </c>
      <c r="M133" s="400" t="s">
        <v>315</v>
      </c>
      <c r="N133" s="218" t="s">
        <v>319</v>
      </c>
      <c r="O133" s="376"/>
      <c r="P133" s="123" t="s">
        <v>127</v>
      </c>
      <c r="Q133" s="696">
        <f>(Q131*1000)/(J133*(22/7)*Q132)</f>
        <v>40.937593208722447</v>
      </c>
      <c r="R133" s="697"/>
      <c r="S133" s="47" t="s">
        <v>343</v>
      </c>
      <c r="T133"/>
      <c r="U133"/>
      <c r="V133" s="10"/>
    </row>
    <row r="134" spans="1:22" ht="18" customHeight="1">
      <c r="A134" s="9"/>
      <c r="B134"/>
      <c r="C134"/>
      <c r="D134"/>
      <c r="E134"/>
      <c r="F134"/>
      <c r="G134"/>
      <c r="H134"/>
      <c r="I134"/>
      <c r="J134"/>
      <c r="K134"/>
      <c r="L134"/>
      <c r="M134"/>
      <c r="N134"/>
      <c r="O134"/>
      <c r="P134"/>
      <c r="Q134"/>
      <c r="R134"/>
      <c r="S134"/>
      <c r="T134"/>
      <c r="U134"/>
      <c r="V134" s="10"/>
    </row>
    <row r="135" spans="1:22" ht="18" customHeight="1">
      <c r="A135" s="193" t="s">
        <v>359</v>
      </c>
      <c r="B135"/>
      <c r="C135"/>
      <c r="D135"/>
      <c r="E135"/>
      <c r="F135"/>
      <c r="G135"/>
      <c r="H135"/>
      <c r="I135"/>
      <c r="J135"/>
      <c r="K135"/>
      <c r="L135"/>
      <c r="M135"/>
      <c r="N135"/>
      <c r="O135"/>
      <c r="P135"/>
      <c r="Q135"/>
      <c r="R135"/>
      <c r="S135"/>
      <c r="T135"/>
      <c r="U135"/>
      <c r="V135" s="10"/>
    </row>
    <row r="136" spans="1:22" ht="18" customHeight="1">
      <c r="A136" s="184" t="s">
        <v>360</v>
      </c>
      <c r="B136"/>
      <c r="C136"/>
      <c r="D136"/>
      <c r="E136" s="28" t="s">
        <v>361</v>
      </c>
      <c r="F136" s="28" t="s">
        <v>127</v>
      </c>
      <c r="G136" s="279"/>
      <c r="H136" s="28" t="s">
        <v>310</v>
      </c>
      <c r="I136" s="102" t="s">
        <v>347</v>
      </c>
      <c r="J136" s="14" t="s">
        <v>301</v>
      </c>
      <c r="K136" s="7"/>
      <c r="L136"/>
      <c r="M136"/>
      <c r="N136"/>
      <c r="O136"/>
      <c r="P136"/>
      <c r="Q136"/>
      <c r="R136"/>
      <c r="S136"/>
      <c r="T136"/>
      <c r="U136"/>
      <c r="V136" s="10"/>
    </row>
    <row r="137" spans="1:22" ht="18" customHeight="1">
      <c r="A137" s="9"/>
      <c r="B137"/>
      <c r="C137"/>
      <c r="D137"/>
      <c r="E137"/>
      <c r="F137" s="250" t="s">
        <v>348</v>
      </c>
      <c r="G137" s="688">
        <f>N103</f>
        <v>0.10138858918881909</v>
      </c>
      <c r="H137" s="689"/>
      <c r="I137" s="102" t="s">
        <v>295</v>
      </c>
      <c r="J137" s="688">
        <f>Q103</f>
        <v>1.5208288378322858</v>
      </c>
      <c r="K137" s="689"/>
      <c r="L137" s="28" t="s">
        <v>349</v>
      </c>
      <c r="M137" s="711">
        <f>L82</f>
        <v>0.22620000000000001</v>
      </c>
      <c r="N137" s="689"/>
      <c r="O137" s="102" t="s">
        <v>295</v>
      </c>
      <c r="P137" s="711">
        <f>O82</f>
        <v>0.10439999999999999</v>
      </c>
      <c r="Q137" s="689"/>
      <c r="R137" s="14" t="s">
        <v>350</v>
      </c>
      <c r="S137"/>
      <c r="T137"/>
      <c r="U137"/>
      <c r="V137" s="10"/>
    </row>
    <row r="138" spans="1:22" ht="18" customHeight="1">
      <c r="A138" s="159"/>
      <c r="B138"/>
      <c r="C138"/>
      <c r="D138"/>
      <c r="E138"/>
      <c r="F138" s="28" t="s">
        <v>127</v>
      </c>
      <c r="G138" s="688">
        <f>G137+M137</f>
        <v>0.32758858918881911</v>
      </c>
      <c r="H138" s="689"/>
      <c r="I138" s="102" t="s">
        <v>351</v>
      </c>
      <c r="J138" s="688">
        <f>J137+P137</f>
        <v>1.6252288378322859</v>
      </c>
      <c r="K138" s="689"/>
      <c r="L138" s="192" t="s">
        <v>333</v>
      </c>
      <c r="M138"/>
      <c r="N138"/>
      <c r="O138" s="155"/>
      <c r="P138" s="415"/>
      <c r="Q138" s="121"/>
      <c r="R138" s="414"/>
      <c r="S138"/>
      <c r="T138"/>
      <c r="U138"/>
      <c r="V138" s="10"/>
    </row>
    <row r="139" spans="1:22" ht="18" customHeight="1">
      <c r="A139" s="159"/>
      <c r="B139"/>
      <c r="C139"/>
      <c r="D139"/>
      <c r="E139"/>
      <c r="F139" s="28" t="s">
        <v>127</v>
      </c>
      <c r="G139" s="703">
        <f>SQRT(G138^2+J138^2)</f>
        <v>1.6579152750030395</v>
      </c>
      <c r="H139" s="689"/>
      <c r="I139" s="278" t="s">
        <v>352</v>
      </c>
      <c r="J139" s="704">
        <f>DEGREES(ATAN(J138/G138))</f>
        <v>78.603896812409772</v>
      </c>
      <c r="K139" s="689"/>
      <c r="L139" s="192" t="s">
        <v>333</v>
      </c>
      <c r="M139" s="155"/>
      <c r="N139" s="155"/>
      <c r="O139" s="155"/>
      <c r="P139" s="415"/>
      <c r="Q139" s="121"/>
      <c r="R139" s="414"/>
      <c r="S139"/>
      <c r="T139"/>
      <c r="U139"/>
      <c r="V139" s="10"/>
    </row>
    <row r="140" spans="1:22" ht="18" customHeight="1">
      <c r="A140" s="9"/>
      <c r="B140"/>
      <c r="C140"/>
      <c r="D140"/>
      <c r="E140"/>
      <c r="F140"/>
      <c r="G140"/>
      <c r="H140"/>
      <c r="I140"/>
      <c r="J140"/>
      <c r="K140"/>
      <c r="L140"/>
      <c r="M140" s="416"/>
      <c r="N140" s="7"/>
      <c r="O140" s="417"/>
      <c r="P140" s="415"/>
      <c r="Q140" s="121"/>
      <c r="R140" s="414"/>
      <c r="S140"/>
      <c r="T140"/>
      <c r="U140"/>
      <c r="V140" s="10"/>
    </row>
    <row r="141" spans="1:22" s="14" customFormat="1" ht="18" customHeight="1">
      <c r="A141" s="184" t="s">
        <v>345</v>
      </c>
      <c r="B141"/>
      <c r="C141"/>
      <c r="D141"/>
      <c r="E141" s="28" t="s">
        <v>362</v>
      </c>
      <c r="F141" s="28" t="s">
        <v>127</v>
      </c>
      <c r="G141" s="279"/>
      <c r="H141" s="28" t="s">
        <v>346</v>
      </c>
      <c r="I141" s="102" t="s">
        <v>347</v>
      </c>
      <c r="J141" s="28" t="s">
        <v>363</v>
      </c>
      <c r="K141" s="28" t="s">
        <v>347</v>
      </c>
      <c r="L141" s="28" t="s">
        <v>361</v>
      </c>
      <c r="M141"/>
      <c r="N141"/>
      <c r="O141"/>
      <c r="P141"/>
      <c r="Q141"/>
      <c r="R141"/>
      <c r="S141"/>
      <c r="T141"/>
      <c r="U141"/>
      <c r="V141" s="10"/>
    </row>
    <row r="142" spans="1:22" ht="18" customHeight="1">
      <c r="A142" s="9"/>
      <c r="B142" s="250" t="s">
        <v>348</v>
      </c>
      <c r="C142" s="702">
        <f>G120</f>
        <v>0.13984258918881909</v>
      </c>
      <c r="D142" s="684"/>
      <c r="E142" s="191" t="s">
        <v>351</v>
      </c>
      <c r="F142" s="702">
        <f>J120</f>
        <v>1.7992288378322858</v>
      </c>
      <c r="G142" s="684"/>
      <c r="H142" s="27" t="s">
        <v>349</v>
      </c>
      <c r="I142" s="702">
        <f>G120</f>
        <v>0.13984258918881909</v>
      </c>
      <c r="J142" s="684"/>
      <c r="K142" s="191" t="s">
        <v>351</v>
      </c>
      <c r="L142" s="702">
        <f>J120</f>
        <v>1.7992288378322858</v>
      </c>
      <c r="M142" s="684"/>
      <c r="N142" s="27" t="s">
        <v>349</v>
      </c>
      <c r="O142" s="701">
        <f>G138</f>
        <v>0.32758858918881911</v>
      </c>
      <c r="P142" s="684"/>
      <c r="Q142" s="191" t="s">
        <v>351</v>
      </c>
      <c r="R142" s="701">
        <f>J138</f>
        <v>1.6252288378322859</v>
      </c>
      <c r="S142" s="684"/>
      <c r="T142" s="30" t="s">
        <v>350</v>
      </c>
      <c r="U142"/>
      <c r="V142" s="10"/>
    </row>
    <row r="143" spans="1:22" ht="18" customHeight="1">
      <c r="A143" s="9"/>
      <c r="B143" s="27" t="s">
        <v>127</v>
      </c>
      <c r="C143" s="702">
        <f>C142+I142+O142</f>
        <v>0.60727376756645723</v>
      </c>
      <c r="D143" s="684"/>
      <c r="E143" s="191" t="s">
        <v>351</v>
      </c>
      <c r="F143" s="702">
        <f>F142+L142+R142</f>
        <v>5.2236865134968573</v>
      </c>
      <c r="G143" s="684"/>
      <c r="H143"/>
      <c r="I143"/>
      <c r="J143"/>
      <c r="K143"/>
      <c r="L143"/>
      <c r="M143"/>
      <c r="N143"/>
      <c r="O143"/>
      <c r="P143"/>
      <c r="Q143"/>
      <c r="R143"/>
      <c r="S143"/>
      <c r="T143"/>
      <c r="U143"/>
      <c r="V143" s="10"/>
    </row>
    <row r="144" spans="1:22" ht="18" customHeight="1">
      <c r="A144" s="9"/>
      <c r="B144" s="28" t="s">
        <v>127</v>
      </c>
      <c r="C144" s="703">
        <f>SQRT(C143^2+F143^2)</f>
        <v>5.2588670091630298</v>
      </c>
      <c r="D144" s="689"/>
      <c r="E144" s="278" t="s">
        <v>352</v>
      </c>
      <c r="F144" s="704">
        <f>DEGREES(ATAN(F143/C143))</f>
        <v>83.368910025118566</v>
      </c>
      <c r="G144" s="689"/>
      <c r="H144" s="43" t="s">
        <v>333</v>
      </c>
      <c r="I144"/>
      <c r="J144"/>
      <c r="K144"/>
      <c r="L144"/>
      <c r="M144"/>
      <c r="N144" s="120" t="s">
        <v>353</v>
      </c>
      <c r="O144" s="28" t="s">
        <v>127</v>
      </c>
      <c r="P144" s="705">
        <f>F143/C143</f>
        <v>8.6018642537942345</v>
      </c>
      <c r="Q144" s="705"/>
      <c r="R144"/>
      <c r="S144"/>
      <c r="T144"/>
      <c r="U144"/>
      <c r="V144" s="10"/>
    </row>
    <row r="145" spans="1:29" ht="18" customHeight="1">
      <c r="A145" s="9"/>
      <c r="B145"/>
      <c r="C145"/>
      <c r="D145"/>
      <c r="E145"/>
      <c r="F145"/>
      <c r="G145"/>
      <c r="H145"/>
      <c r="I145"/>
      <c r="J145"/>
      <c r="K145"/>
      <c r="L145"/>
      <c r="M145"/>
      <c r="N145"/>
      <c r="O145"/>
      <c r="P145"/>
      <c r="Q145"/>
      <c r="R145"/>
      <c r="S145"/>
      <c r="T145"/>
      <c r="U145"/>
      <c r="V145" s="10"/>
    </row>
    <row r="146" spans="1:29" ht="18" customHeight="1">
      <c r="A146" s="9"/>
      <c r="B146" s="47" t="s">
        <v>364</v>
      </c>
      <c r="C146" s="397"/>
      <c r="D146" s="155"/>
      <c r="E146" s="397"/>
      <c r="F146" s="375"/>
      <c r="G146" s="375"/>
      <c r="H146" s="156"/>
      <c r="I146" s="156"/>
      <c r="J146" s="156"/>
      <c r="K146" s="156"/>
      <c r="L146" s="236" t="s">
        <v>127</v>
      </c>
      <c r="M146" s="706">
        <f>Q88</f>
        <v>132000</v>
      </c>
      <c r="N146" s="706"/>
      <c r="O146" s="229" t="s">
        <v>315</v>
      </c>
      <c r="P146" s="707">
        <f>Q92</f>
        <v>1</v>
      </c>
      <c r="Q146" s="708"/>
      <c r="R146" s="229" t="s">
        <v>315</v>
      </c>
      <c r="S146" s="229">
        <v>3</v>
      </c>
      <c r="T146"/>
      <c r="U146"/>
      <c r="V146" s="10"/>
    </row>
    <row r="147" spans="1:29" ht="18" customHeight="1">
      <c r="A147" s="9"/>
      <c r="B147" s="156"/>
      <c r="C147" s="397"/>
      <c r="D147" s="375"/>
      <c r="E147" s="397"/>
      <c r="F147" s="375"/>
      <c r="G147" s="375"/>
      <c r="H147" s="156"/>
      <c r="I147" s="156"/>
      <c r="J147" s="156"/>
      <c r="K147" s="156"/>
      <c r="L147" s="157"/>
      <c r="M147" s="688">
        <f>+C144</f>
        <v>5.2588670091630298</v>
      </c>
      <c r="N147" s="688"/>
      <c r="O147" s="28" t="s">
        <v>315</v>
      </c>
      <c r="P147" s="689" t="s">
        <v>355</v>
      </c>
      <c r="Q147" s="689">
        <f>SQRT(3)</f>
        <v>1.7320508075688772</v>
      </c>
      <c r="R147" s="375"/>
      <c r="S147" s="156"/>
      <c r="T147"/>
      <c r="U147"/>
      <c r="V147" s="10"/>
    </row>
    <row r="148" spans="1:29" ht="18" customHeight="1">
      <c r="A148" s="9"/>
      <c r="B148"/>
      <c r="C148"/>
      <c r="D148"/>
      <c r="E148"/>
      <c r="F148"/>
      <c r="G148"/>
      <c r="H148"/>
      <c r="I148"/>
      <c r="J148"/>
      <c r="K148"/>
      <c r="L148" s="102" t="s">
        <v>127</v>
      </c>
      <c r="M148" s="709">
        <f>(M146*P146*S146)/(M147*SQRT(3))</f>
        <v>43475.278268251794</v>
      </c>
      <c r="N148" s="710"/>
      <c r="O148" s="30" t="s">
        <v>8</v>
      </c>
      <c r="P148"/>
      <c r="Q148"/>
      <c r="R148"/>
      <c r="S148"/>
      <c r="T148"/>
      <c r="U148"/>
      <c r="V148" s="10"/>
    </row>
    <row r="149" spans="1:29" ht="18" customHeight="1">
      <c r="A149" s="9"/>
      <c r="B149"/>
      <c r="C149"/>
      <c r="D149"/>
      <c r="E149"/>
      <c r="F149"/>
      <c r="G149"/>
      <c r="H149"/>
      <c r="I149"/>
      <c r="J149"/>
      <c r="K149"/>
      <c r="L149" s="102"/>
      <c r="M149" s="418"/>
      <c r="N149" s="418"/>
      <c r="P149"/>
      <c r="Q149"/>
      <c r="R149"/>
      <c r="S149"/>
      <c r="T149"/>
      <c r="U149"/>
      <c r="V149" s="10"/>
      <c r="W149" s="30" t="s">
        <v>400</v>
      </c>
      <c r="AB149" s="785">
        <f>Q439</f>
        <v>219.57453013333335</v>
      </c>
      <c r="AC149" s="786"/>
    </row>
    <row r="150" spans="1:29" ht="18" customHeight="1">
      <c r="A150" s="9"/>
      <c r="B150"/>
      <c r="C150"/>
      <c r="D150"/>
      <c r="E150"/>
      <c r="F150"/>
      <c r="G150"/>
      <c r="H150"/>
      <c r="I150"/>
      <c r="J150"/>
      <c r="K150"/>
      <c r="L150" s="102"/>
      <c r="M150" s="418"/>
      <c r="N150" s="418"/>
      <c r="P150"/>
      <c r="Q150"/>
      <c r="R150"/>
      <c r="S150"/>
      <c r="T150"/>
      <c r="U150"/>
      <c r="V150" s="10"/>
    </row>
    <row r="151" spans="1:29" ht="18" customHeight="1">
      <c r="A151" s="345"/>
      <c r="B151" s="346"/>
      <c r="C151" s="346"/>
      <c r="D151" s="346"/>
      <c r="E151" s="346"/>
      <c r="F151" s="346"/>
      <c r="G151" s="346"/>
      <c r="H151" s="346"/>
      <c r="I151" s="346"/>
      <c r="J151" s="346"/>
      <c r="K151" s="346"/>
      <c r="L151" s="471"/>
      <c r="M151" s="408"/>
      <c r="N151" s="408"/>
      <c r="O151" s="207"/>
      <c r="P151" s="346"/>
      <c r="Q151" s="346"/>
      <c r="R151" s="346"/>
      <c r="S151" s="346"/>
      <c r="T151" s="346"/>
      <c r="U151" s="346"/>
      <c r="V151" s="347"/>
    </row>
    <row r="152" spans="1:29" ht="18" customHeight="1">
      <c r="A152" s="382"/>
      <c r="B152" s="20"/>
      <c r="C152" s="20"/>
      <c r="D152" s="20"/>
      <c r="E152" s="20"/>
      <c r="F152" s="20"/>
      <c r="G152" s="20"/>
      <c r="H152" s="20"/>
      <c r="I152" s="20"/>
      <c r="J152" s="20"/>
      <c r="K152" s="20"/>
      <c r="L152" s="20"/>
      <c r="M152" s="20"/>
      <c r="N152" s="20"/>
      <c r="O152" s="20"/>
      <c r="P152" s="20"/>
      <c r="Q152" s="21"/>
      <c r="R152" s="22"/>
      <c r="S152" s="23"/>
      <c r="T152" s="20"/>
      <c r="U152" s="20"/>
      <c r="V152" s="134"/>
    </row>
    <row r="153" spans="1:29" ht="18" customHeight="1">
      <c r="A153" s="442"/>
      <c r="B153" s="384"/>
      <c r="C153" s="384"/>
      <c r="D153" s="384"/>
      <c r="E153" s="384"/>
      <c r="F153" s="384"/>
      <c r="G153" s="384"/>
      <c r="H153" s="384"/>
      <c r="I153" s="384"/>
      <c r="J153" s="384"/>
      <c r="K153" s="384"/>
      <c r="L153" s="457"/>
      <c r="M153" s="472"/>
      <c r="N153" s="472"/>
      <c r="O153" s="227"/>
      <c r="P153" s="384"/>
      <c r="Q153" s="384"/>
      <c r="R153" s="384"/>
      <c r="S153" s="384"/>
      <c r="T153" s="384"/>
      <c r="U153" s="384"/>
      <c r="V153" s="395"/>
    </row>
    <row r="154" spans="1:29" ht="18" customHeight="1">
      <c r="A154" s="248" t="s">
        <v>365</v>
      </c>
      <c r="B154"/>
      <c r="C154" s="155"/>
      <c r="D154" s="397"/>
      <c r="E154" s="397"/>
      <c r="F154" s="397"/>
      <c r="G154" s="375"/>
      <c r="H154" s="375"/>
      <c r="I154" s="156"/>
      <c r="J154" s="156"/>
      <c r="K154" s="156"/>
      <c r="L154" s="156"/>
      <c r="M154" s="410"/>
      <c r="N154" s="411"/>
      <c r="O154" s="412"/>
      <c r="P154" s="413"/>
      <c r="Q154" s="157"/>
      <c r="R154" s="402"/>
      <c r="S154" s="414"/>
      <c r="T154"/>
      <c r="U154"/>
      <c r="V154" s="10"/>
    </row>
    <row r="155" spans="1:29" ht="18" customHeight="1">
      <c r="A155" s="396"/>
      <c r="B155" s="47" t="s">
        <v>357</v>
      </c>
      <c r="C155" s="156"/>
      <c r="D155" s="397"/>
      <c r="E155"/>
      <c r="F155" s="376"/>
      <c r="G155" s="102" t="s">
        <v>127</v>
      </c>
      <c r="H155" s="28">
        <v>2</v>
      </c>
      <c r="I155" s="28" t="s">
        <v>315</v>
      </c>
      <c r="J155" s="278" t="s">
        <v>318</v>
      </c>
      <c r="K155" s="28" t="s">
        <v>315</v>
      </c>
      <c r="L155" s="28" t="s">
        <v>319</v>
      </c>
      <c r="M155" s="28" t="s">
        <v>315</v>
      </c>
      <c r="N155" s="47" t="s">
        <v>320</v>
      </c>
      <c r="O155" s="376"/>
      <c r="P155" s="163"/>
      <c r="Q155" s="398"/>
      <c r="R155"/>
      <c r="S155" s="376"/>
      <c r="T155"/>
      <c r="U155"/>
      <c r="V155" s="10"/>
    </row>
    <row r="156" spans="1:29" ht="18" customHeight="1">
      <c r="A156" s="396"/>
      <c r="B156" s="47" t="s">
        <v>366</v>
      </c>
      <c r="C156" s="156"/>
      <c r="D156" s="375"/>
      <c r="E156" s="376"/>
      <c r="F156" s="376"/>
      <c r="G156"/>
      <c r="H156" s="376"/>
      <c r="I156" s="152"/>
      <c r="J156" s="152"/>
      <c r="K156" s="152"/>
      <c r="L156" s="152"/>
      <c r="M156"/>
      <c r="N156" s="376"/>
      <c r="O156" s="28" t="s">
        <v>322</v>
      </c>
      <c r="P156" s="102" t="s">
        <v>127</v>
      </c>
      <c r="Q156" s="692">
        <f>P144</f>
        <v>8.6018642537942345</v>
      </c>
      <c r="R156" s="692"/>
      <c r="S156" s="372"/>
      <c r="T156"/>
      <c r="U156"/>
      <c r="V156" s="10"/>
    </row>
    <row r="157" spans="1:29" ht="18" customHeight="1">
      <c r="A157" s="396"/>
      <c r="B157" s="47" t="s">
        <v>263</v>
      </c>
      <c r="C157" s="156"/>
      <c r="D157" s="397"/>
      <c r="E157" s="7"/>
      <c r="F157" s="7"/>
      <c r="G157"/>
      <c r="H157" s="376"/>
      <c r="I157" s="152"/>
      <c r="J157" s="152"/>
      <c r="K157" s="152"/>
      <c r="L157" s="152"/>
      <c r="M157"/>
      <c r="N157" s="376"/>
      <c r="O157" s="28" t="s">
        <v>319</v>
      </c>
      <c r="P157" s="102" t="s">
        <v>127</v>
      </c>
      <c r="Q157" s="715">
        <f>Q61</f>
        <v>50</v>
      </c>
      <c r="R157" s="716"/>
      <c r="S157" s="47" t="s">
        <v>264</v>
      </c>
      <c r="T157"/>
      <c r="U157"/>
      <c r="V157" s="10"/>
    </row>
    <row r="158" spans="1:29" ht="18" customHeight="1">
      <c r="A158" s="396"/>
      <c r="B158" s="249" t="s">
        <v>340</v>
      </c>
      <c r="C158" s="156"/>
      <c r="D158" s="397"/>
      <c r="E158"/>
      <c r="F158" s="123"/>
      <c r="G158" s="28" t="s">
        <v>127</v>
      </c>
      <c r="H158" s="28" t="s">
        <v>341</v>
      </c>
      <c r="I158" s="399" t="s">
        <v>342</v>
      </c>
      <c r="J158" s="28">
        <v>2</v>
      </c>
      <c r="K158" s="28" t="s">
        <v>315</v>
      </c>
      <c r="L158" s="278" t="s">
        <v>318</v>
      </c>
      <c r="M158" s="400" t="s">
        <v>315</v>
      </c>
      <c r="N158" s="218" t="s">
        <v>319</v>
      </c>
      <c r="O158" s="376"/>
      <c r="P158" s="102" t="s">
        <v>127</v>
      </c>
      <c r="Q158" s="696">
        <f>(Q156*1000)/(J158*(22/7)*Q157)</f>
        <v>27.369568080254382</v>
      </c>
      <c r="R158" s="697"/>
      <c r="S158" s="47" t="s">
        <v>343</v>
      </c>
      <c r="T158"/>
      <c r="U158"/>
      <c r="V158" s="10"/>
    </row>
    <row r="159" spans="1:29" ht="18" customHeight="1">
      <c r="A159" s="396"/>
      <c r="B159" s="249"/>
      <c r="C159" s="156"/>
      <c r="D159" s="397"/>
      <c r="E159"/>
      <c r="F159" s="123"/>
      <c r="G159" s="28"/>
      <c r="H159" s="28"/>
      <c r="I159" s="399"/>
      <c r="J159" s="28"/>
      <c r="K159" s="28"/>
      <c r="L159" s="278"/>
      <c r="M159" s="400"/>
      <c r="N159" s="218"/>
      <c r="O159" s="376"/>
      <c r="P159" s="102"/>
      <c r="Q159" s="218"/>
      <c r="R159" s="469"/>
      <c r="S159" s="47"/>
      <c r="T159"/>
      <c r="U159"/>
      <c r="V159" s="10"/>
    </row>
    <row r="160" spans="1:29" s="14" customFormat="1" ht="18" customHeight="1">
      <c r="A160" s="248" t="s">
        <v>367</v>
      </c>
      <c r="B160"/>
      <c r="C160"/>
      <c r="D160"/>
      <c r="E160"/>
      <c r="F160"/>
      <c r="G160"/>
      <c r="H160"/>
      <c r="I160"/>
      <c r="J160"/>
      <c r="K160"/>
      <c r="L160"/>
      <c r="M160"/>
      <c r="N160"/>
      <c r="O160"/>
      <c r="P160"/>
      <c r="Q160"/>
      <c r="R160"/>
      <c r="S160"/>
      <c r="T160"/>
      <c r="U160"/>
      <c r="V160" s="10"/>
    </row>
    <row r="161" spans="1:27" s="14" customFormat="1" ht="18" customHeight="1">
      <c r="A161" s="96" t="s">
        <v>345</v>
      </c>
      <c r="B161" s="156"/>
      <c r="C161" s="155"/>
      <c r="D161" s="155"/>
      <c r="E161" s="419" t="s">
        <v>368</v>
      </c>
      <c r="F161" s="28" t="s">
        <v>127</v>
      </c>
      <c r="G161" s="155"/>
      <c r="H161" s="28" t="s">
        <v>310</v>
      </c>
      <c r="I161" s="102" t="s">
        <v>347</v>
      </c>
      <c r="J161" s="30" t="s">
        <v>369</v>
      </c>
      <c r="K161" s="27" t="s">
        <v>315</v>
      </c>
      <c r="L161" s="14" t="s">
        <v>370</v>
      </c>
      <c r="M161" s="155"/>
      <c r="N161" s="155"/>
      <c r="O161" s="155"/>
      <c r="P161" s="155"/>
      <c r="Q161" s="402"/>
      <c r="R161" s="155"/>
      <c r="S161" s="156"/>
      <c r="T161"/>
      <c r="U161"/>
      <c r="V161" s="10"/>
    </row>
    <row r="162" spans="1:27" s="14" customFormat="1" ht="18" customHeight="1">
      <c r="A162" s="370"/>
      <c r="B162" s="155"/>
      <c r="C162" s="155"/>
      <c r="D162" s="155"/>
      <c r="E162" s="155"/>
      <c r="F162" s="250" t="s">
        <v>348</v>
      </c>
      <c r="G162" s="688">
        <f>N103</f>
        <v>0.10138858918881909</v>
      </c>
      <c r="H162" s="689"/>
      <c r="I162" s="102" t="s">
        <v>295</v>
      </c>
      <c r="J162" s="688">
        <f>Q103</f>
        <v>1.5208288378322858</v>
      </c>
      <c r="K162" s="689"/>
      <c r="L162" s="28" t="s">
        <v>371</v>
      </c>
      <c r="M162" s="27">
        <v>0.8</v>
      </c>
      <c r="N162" s="27" t="s">
        <v>372</v>
      </c>
      <c r="O162" s="711">
        <f>L81</f>
        <v>3.8454000000000002E-2</v>
      </c>
      <c r="P162" s="689"/>
      <c r="Q162" s="102" t="s">
        <v>295</v>
      </c>
      <c r="R162" s="711">
        <f>O81</f>
        <v>0.27839999999999998</v>
      </c>
      <c r="S162" s="689"/>
      <c r="T162" s="14" t="s">
        <v>350</v>
      </c>
      <c r="U162"/>
      <c r="V162" s="10"/>
    </row>
    <row r="163" spans="1:27" s="14" customFormat="1" ht="18" customHeight="1">
      <c r="A163" s="159"/>
      <c r="B163" s="155"/>
      <c r="C163" s="155"/>
      <c r="D163" s="155"/>
      <c r="E163" s="155"/>
      <c r="F163" s="28" t="s">
        <v>127</v>
      </c>
      <c r="G163" s="688">
        <f>G162+(0.8*O162)</f>
        <v>0.13215178918881909</v>
      </c>
      <c r="H163" s="689"/>
      <c r="I163" s="102" t="s">
        <v>351</v>
      </c>
      <c r="J163" s="688">
        <f>J162+(0.8*R162)</f>
        <v>1.7435488378322859</v>
      </c>
      <c r="K163" s="689"/>
      <c r="L163" s="43" t="s">
        <v>333</v>
      </c>
      <c r="M163" s="155"/>
      <c r="N163" s="155"/>
      <c r="O163" s="155"/>
      <c r="P163" s="155"/>
      <c r="Q163" s="155"/>
      <c r="R163" s="155"/>
      <c r="S163" s="156"/>
      <c r="T163"/>
      <c r="U163"/>
      <c r="V163" s="10"/>
    </row>
    <row r="164" spans="1:27" s="14" customFormat="1" ht="18" customHeight="1">
      <c r="A164" s="159"/>
      <c r="B164" s="155"/>
      <c r="C164" s="155"/>
      <c r="D164" s="155"/>
      <c r="E164" s="155"/>
      <c r="F164" s="28" t="s">
        <v>127</v>
      </c>
      <c r="G164" s="703">
        <f>SQRT(G163^2+J163^2)</f>
        <v>1.7485498692608459</v>
      </c>
      <c r="H164" s="689"/>
      <c r="I164" s="278" t="s">
        <v>352</v>
      </c>
      <c r="J164" s="704">
        <f>DEGREES(ATAN(J163/G163))</f>
        <v>85.665570180505625</v>
      </c>
      <c r="K164" s="689"/>
      <c r="L164" s="43" t="s">
        <v>333</v>
      </c>
      <c r="M164" s="155"/>
      <c r="N164" s="155"/>
      <c r="O164" s="155"/>
      <c r="P164" s="155"/>
      <c r="Q164" s="155"/>
      <c r="R164" s="155"/>
      <c r="S164" s="156"/>
      <c r="T164"/>
      <c r="U164"/>
      <c r="V164" s="10"/>
    </row>
    <row r="165" spans="1:27" s="14" customFormat="1" ht="18" customHeight="1">
      <c r="A165" s="159"/>
      <c r="B165" s="155"/>
      <c r="C165" s="155"/>
      <c r="D165" s="155"/>
      <c r="E165" s="120" t="s">
        <v>353</v>
      </c>
      <c r="F165" s="28" t="s">
        <v>127</v>
      </c>
      <c r="G165" s="705">
        <f>J163/G163</f>
        <v>13.193531835888315</v>
      </c>
      <c r="H165" s="689"/>
      <c r="I165" s="155"/>
      <c r="J165" s="155"/>
      <c r="K165" s="124"/>
      <c r="L165" s="121"/>
      <c r="M165" s="406"/>
      <c r="N165" s="372"/>
      <c r="O165" s="376"/>
      <c r="P165" s="153"/>
      <c r="Q165" s="407"/>
      <c r="R165" s="375"/>
      <c r="S165" s="156"/>
      <c r="T165"/>
      <c r="U165"/>
      <c r="V165" s="10"/>
    </row>
    <row r="166" spans="1:27" s="14" customFormat="1" ht="18" customHeight="1">
      <c r="A166" s="159"/>
      <c r="B166" s="47" t="s">
        <v>373</v>
      </c>
      <c r="C166" s="397"/>
      <c r="D166" s="155"/>
      <c r="E166" s="397"/>
      <c r="F166" s="375"/>
      <c r="G166" s="375"/>
      <c r="H166" s="156"/>
      <c r="I166" s="156"/>
      <c r="J166" s="156"/>
      <c r="K166" s="156"/>
      <c r="L166" s="236" t="s">
        <v>127</v>
      </c>
      <c r="M166" s="706">
        <f>Q88</f>
        <v>132000</v>
      </c>
      <c r="N166" s="706"/>
      <c r="O166" s="229" t="s">
        <v>315</v>
      </c>
      <c r="P166" s="707">
        <f>Q92</f>
        <v>1</v>
      </c>
      <c r="Q166" s="708"/>
      <c r="R166" s="155"/>
      <c r="S166" s="156"/>
      <c r="T166"/>
      <c r="U166"/>
      <c r="V166" s="10"/>
    </row>
    <row r="167" spans="1:27" s="14" customFormat="1" ht="18" customHeight="1">
      <c r="A167" s="159"/>
      <c r="B167" s="156"/>
      <c r="C167" s="397"/>
      <c r="D167" s="375"/>
      <c r="E167" s="397"/>
      <c r="F167" s="375"/>
      <c r="G167" s="375"/>
      <c r="H167" s="156"/>
      <c r="I167" s="156"/>
      <c r="J167" s="156"/>
      <c r="K167" s="156"/>
      <c r="L167" s="236"/>
      <c r="M167" s="688">
        <f>+G164</f>
        <v>1.7485498692608459</v>
      </c>
      <c r="N167" s="688"/>
      <c r="O167" s="28" t="s">
        <v>315</v>
      </c>
      <c r="P167" s="689" t="s">
        <v>355</v>
      </c>
      <c r="Q167" s="689">
        <f>SQRT(3)</f>
        <v>1.7320508075688772</v>
      </c>
      <c r="R167" s="375"/>
      <c r="S167" s="156"/>
      <c r="T167"/>
      <c r="U167"/>
      <c r="V167" s="10"/>
    </row>
    <row r="168" spans="1:27" s="14" customFormat="1" ht="18" customHeight="1">
      <c r="A168" s="159"/>
      <c r="B168" s="156"/>
      <c r="C168" s="397"/>
      <c r="D168" s="375"/>
      <c r="E168" s="397"/>
      <c r="F168" s="375"/>
      <c r="G168" s="375"/>
      <c r="H168" s="156"/>
      <c r="I168" s="156"/>
      <c r="J168" s="156"/>
      <c r="K168" s="156"/>
      <c r="L168" s="102" t="s">
        <v>127</v>
      </c>
      <c r="M168" s="709">
        <f>M166*P166/(M167*SQRT(3))</f>
        <v>43584.822413584639</v>
      </c>
      <c r="N168" s="710"/>
      <c r="O168" s="30" t="s">
        <v>8</v>
      </c>
      <c r="P168" s="121"/>
      <c r="Q168" s="121"/>
      <c r="R168" s="375"/>
      <c r="S168" s="156"/>
      <c r="T168"/>
      <c r="U168"/>
      <c r="V168" s="10"/>
    </row>
    <row r="169" spans="1:27" s="14" customFormat="1" ht="18" customHeight="1">
      <c r="A169" s="159"/>
      <c r="B169" s="156"/>
      <c r="C169" s="397"/>
      <c r="D169" s="375"/>
      <c r="E169" s="397"/>
      <c r="F169" s="375"/>
      <c r="G169" s="375"/>
      <c r="H169" s="156"/>
      <c r="I169" s="156"/>
      <c r="J169" s="156"/>
      <c r="K169" s="156"/>
      <c r="L169" s="102"/>
      <c r="M169" s="418"/>
      <c r="N169" s="418"/>
      <c r="O169" s="30"/>
      <c r="P169" s="121"/>
      <c r="Q169" s="121"/>
      <c r="R169" s="375"/>
      <c r="S169" s="156"/>
      <c r="T169"/>
      <c r="U169"/>
      <c r="V169" s="10"/>
    </row>
    <row r="170" spans="1:27" s="14" customFormat="1" ht="18" customHeight="1">
      <c r="A170" s="159"/>
      <c r="B170" s="156"/>
      <c r="C170" s="397"/>
      <c r="D170" s="375"/>
      <c r="E170" s="397"/>
      <c r="F170" s="375"/>
      <c r="G170" s="375"/>
      <c r="H170" s="156"/>
      <c r="I170" s="156"/>
      <c r="J170" s="156"/>
      <c r="K170" s="156"/>
      <c r="L170" s="102"/>
      <c r="M170" s="418"/>
      <c r="N170" s="418"/>
      <c r="O170" s="30"/>
      <c r="P170" s="121"/>
      <c r="Q170" s="121"/>
      <c r="R170" s="375"/>
      <c r="S170" s="156"/>
      <c r="T170"/>
      <c r="U170"/>
      <c r="V170" s="10"/>
    </row>
    <row r="171" spans="1:27" ht="18" customHeight="1">
      <c r="A171" s="159"/>
      <c r="B171" s="156"/>
      <c r="C171" s="397"/>
      <c r="D171" s="375"/>
      <c r="E171" s="397"/>
      <c r="F171" s="375"/>
      <c r="G171" s="375"/>
      <c r="H171" s="156"/>
      <c r="I171" s="156"/>
      <c r="J171" s="156"/>
      <c r="K171" s="156"/>
      <c r="L171" s="102"/>
      <c r="M171" s="418"/>
      <c r="N171" s="418"/>
      <c r="P171" s="121"/>
      <c r="Q171" s="121"/>
      <c r="R171" s="375"/>
      <c r="S171" s="156"/>
      <c r="T171"/>
      <c r="U171"/>
      <c r="V171" s="10"/>
    </row>
    <row r="172" spans="1:27" ht="18" customHeight="1">
      <c r="A172" s="159"/>
      <c r="B172" s="156"/>
      <c r="C172" s="397"/>
      <c r="D172" s="375"/>
      <c r="E172" s="397"/>
      <c r="F172" s="375"/>
      <c r="G172" s="375"/>
      <c r="H172" s="156"/>
      <c r="I172" s="156"/>
      <c r="J172" s="156"/>
      <c r="K172" s="156"/>
      <c r="L172" s="157"/>
      <c r="M172" s="420"/>
      <c r="N172" s="420"/>
      <c r="O172" s="121"/>
      <c r="P172" s="121"/>
      <c r="Q172" s="121"/>
      <c r="R172" s="375"/>
      <c r="S172" s="156"/>
      <c r="T172"/>
      <c r="U172"/>
      <c r="V172" s="10"/>
    </row>
    <row r="173" spans="1:27" ht="18" customHeight="1">
      <c r="A173" s="193" t="s">
        <v>374</v>
      </c>
      <c r="B173"/>
      <c r="C173" s="155"/>
      <c r="D173" s="397"/>
      <c r="E173" s="397"/>
      <c r="F173" s="397"/>
      <c r="G173" s="375"/>
      <c r="H173" s="375"/>
      <c r="I173" s="156"/>
      <c r="J173" s="156"/>
      <c r="K173" s="156"/>
      <c r="L173" s="156"/>
      <c r="M173" s="410"/>
      <c r="N173" s="411"/>
      <c r="O173" s="412"/>
      <c r="P173" s="413"/>
      <c r="Q173" s="157"/>
      <c r="R173" s="402"/>
      <c r="S173" s="414"/>
      <c r="T173"/>
      <c r="U173"/>
      <c r="V173" s="10"/>
      <c r="AA173" s="30">
        <f>O371/3000</f>
        <v>2.3327283603621245</v>
      </c>
    </row>
    <row r="174" spans="1:27" ht="18" customHeight="1">
      <c r="A174" s="396"/>
      <c r="B174" s="47" t="s">
        <v>357</v>
      </c>
      <c r="C174" s="156"/>
      <c r="D174" s="397"/>
      <c r="E174"/>
      <c r="F174" s="376"/>
      <c r="G174" s="102" t="s">
        <v>127</v>
      </c>
      <c r="H174" s="28">
        <v>2</v>
      </c>
      <c r="I174" s="28" t="s">
        <v>315</v>
      </c>
      <c r="J174" s="278" t="s">
        <v>318</v>
      </c>
      <c r="K174" s="28" t="s">
        <v>315</v>
      </c>
      <c r="L174" s="28" t="s">
        <v>319</v>
      </c>
      <c r="M174" s="28" t="s">
        <v>315</v>
      </c>
      <c r="N174" s="47" t="s">
        <v>320</v>
      </c>
      <c r="O174" s="376"/>
      <c r="P174" s="163"/>
      <c r="Q174" s="398"/>
      <c r="R174"/>
      <c r="S174" s="376"/>
      <c r="T174"/>
      <c r="U174"/>
      <c r="V174" s="10"/>
    </row>
    <row r="175" spans="1:27" ht="18" customHeight="1">
      <c r="A175" s="396"/>
      <c r="B175" s="47" t="s">
        <v>375</v>
      </c>
      <c r="C175" s="156"/>
      <c r="D175" s="375"/>
      <c r="E175" s="376"/>
      <c r="F175" s="376"/>
      <c r="G175"/>
      <c r="H175" s="376"/>
      <c r="I175" s="152"/>
      <c r="J175" s="152"/>
      <c r="K175" s="152"/>
      <c r="L175" s="152"/>
      <c r="M175"/>
      <c r="N175" s="376"/>
      <c r="O175" s="28" t="s">
        <v>322</v>
      </c>
      <c r="P175" s="102" t="s">
        <v>127</v>
      </c>
      <c r="Q175" s="692">
        <f>G165</f>
        <v>13.193531835888315</v>
      </c>
      <c r="R175" s="692"/>
      <c r="S175" s="372"/>
      <c r="T175"/>
      <c r="U175"/>
      <c r="V175" s="10"/>
      <c r="X175" s="14" t="s">
        <v>615</v>
      </c>
    </row>
    <row r="176" spans="1:27" ht="18" customHeight="1">
      <c r="A176" s="396"/>
      <c r="B176" s="47" t="s">
        <v>263</v>
      </c>
      <c r="C176" s="156"/>
      <c r="D176" s="397"/>
      <c r="E176" s="7"/>
      <c r="F176" s="7"/>
      <c r="G176"/>
      <c r="H176" s="376"/>
      <c r="I176" s="152"/>
      <c r="J176" s="152"/>
      <c r="K176" s="152"/>
      <c r="L176" s="152"/>
      <c r="M176"/>
      <c r="N176" s="376"/>
      <c r="O176" s="28" t="s">
        <v>319</v>
      </c>
      <c r="P176" s="102" t="s">
        <v>127</v>
      </c>
      <c r="Q176" s="694">
        <f>Q61</f>
        <v>50</v>
      </c>
      <c r="R176" s="689"/>
      <c r="S176" s="47" t="s">
        <v>264</v>
      </c>
      <c r="T176"/>
      <c r="U176"/>
      <c r="V176" s="10"/>
    </row>
    <row r="177" spans="1:22" ht="18" customHeight="1">
      <c r="A177" s="396"/>
      <c r="B177" s="249" t="s">
        <v>340</v>
      </c>
      <c r="C177" s="156"/>
      <c r="D177" s="397"/>
      <c r="E177"/>
      <c r="F177" s="123"/>
      <c r="G177" s="28" t="s">
        <v>127</v>
      </c>
      <c r="H177" s="28" t="s">
        <v>341</v>
      </c>
      <c r="I177" s="399" t="s">
        <v>342</v>
      </c>
      <c r="J177" s="28">
        <v>2</v>
      </c>
      <c r="K177" s="28" t="s">
        <v>315</v>
      </c>
      <c r="L177" s="278" t="s">
        <v>318</v>
      </c>
      <c r="M177" s="400" t="s">
        <v>315</v>
      </c>
      <c r="N177" s="218" t="s">
        <v>319</v>
      </c>
      <c r="O177" s="376"/>
      <c r="P177" s="102" t="s">
        <v>127</v>
      </c>
      <c r="Q177" s="696">
        <f>(Q175*1000)/(J177*(22/7)*Q176)</f>
        <v>41.979419477826461</v>
      </c>
      <c r="R177" s="697"/>
      <c r="S177" s="47" t="s">
        <v>343</v>
      </c>
      <c r="T177"/>
      <c r="U177"/>
      <c r="V177" s="10"/>
    </row>
    <row r="178" spans="1:22" ht="18" customHeight="1">
      <c r="A178" s="9"/>
      <c r="B178"/>
      <c r="C178"/>
      <c r="D178"/>
      <c r="E178"/>
      <c r="F178"/>
      <c r="G178"/>
      <c r="H178"/>
      <c r="I178"/>
      <c r="J178"/>
      <c r="K178"/>
      <c r="L178"/>
      <c r="M178"/>
      <c r="N178"/>
      <c r="O178"/>
      <c r="P178"/>
      <c r="Q178"/>
      <c r="R178"/>
      <c r="S178"/>
      <c r="T178"/>
      <c r="U178"/>
      <c r="V178" s="10"/>
    </row>
    <row r="179" spans="1:22" ht="18" customHeight="1">
      <c r="A179" s="193" t="s">
        <v>376</v>
      </c>
      <c r="B179"/>
      <c r="C179"/>
      <c r="D179"/>
      <c r="E179"/>
      <c r="F179"/>
      <c r="G179"/>
      <c r="H179"/>
      <c r="I179"/>
      <c r="J179"/>
      <c r="K179"/>
      <c r="L179"/>
      <c r="M179"/>
      <c r="N179"/>
      <c r="O179"/>
      <c r="P179"/>
      <c r="Q179"/>
      <c r="R179"/>
      <c r="S179"/>
      <c r="T179"/>
      <c r="U179"/>
      <c r="V179" s="10"/>
    </row>
    <row r="180" spans="1:22" ht="18" customHeight="1">
      <c r="A180" s="184" t="s">
        <v>360</v>
      </c>
      <c r="B180"/>
      <c r="C180"/>
      <c r="D180"/>
      <c r="E180" s="421" t="s">
        <v>377</v>
      </c>
      <c r="F180" s="28" t="s">
        <v>127</v>
      </c>
      <c r="G180" s="155"/>
      <c r="H180" s="28" t="s">
        <v>310</v>
      </c>
      <c r="I180" s="102" t="s">
        <v>347</v>
      </c>
      <c r="J180" s="30" t="s">
        <v>369</v>
      </c>
      <c r="K180" s="27" t="s">
        <v>378</v>
      </c>
      <c r="L180" s="14" t="s">
        <v>379</v>
      </c>
      <c r="M180"/>
      <c r="N180"/>
      <c r="O180"/>
      <c r="P180"/>
      <c r="Q180"/>
      <c r="R180"/>
      <c r="S180"/>
      <c r="T180"/>
      <c r="U180"/>
      <c r="V180" s="10"/>
    </row>
    <row r="181" spans="1:22" s="14" customFormat="1" ht="18" customHeight="1">
      <c r="A181" s="9"/>
      <c r="B181"/>
      <c r="C181"/>
      <c r="D181"/>
      <c r="E181"/>
      <c r="F181" s="250" t="s">
        <v>348</v>
      </c>
      <c r="G181" s="688">
        <f>N103</f>
        <v>0.10138858918881909</v>
      </c>
      <c r="H181" s="689"/>
      <c r="I181" s="102" t="s">
        <v>295</v>
      </c>
      <c r="J181" s="688">
        <f>Q103</f>
        <v>1.5208288378322858</v>
      </c>
      <c r="K181" s="689"/>
      <c r="L181" s="28" t="s">
        <v>371</v>
      </c>
      <c r="M181" s="27">
        <v>0.8</v>
      </c>
      <c r="N181" s="27" t="s">
        <v>372</v>
      </c>
      <c r="O181" s="711">
        <f>L82</f>
        <v>0.22620000000000001</v>
      </c>
      <c r="P181" s="684"/>
      <c r="Q181" s="102" t="s">
        <v>295</v>
      </c>
      <c r="R181" s="711">
        <f>O82</f>
        <v>0.10439999999999999</v>
      </c>
      <c r="S181" s="684"/>
      <c r="T181" s="14" t="s">
        <v>350</v>
      </c>
      <c r="U181"/>
      <c r="V181" s="10"/>
    </row>
    <row r="182" spans="1:22" ht="18" customHeight="1">
      <c r="A182" s="159"/>
      <c r="B182"/>
      <c r="C182"/>
      <c r="D182"/>
      <c r="E182"/>
      <c r="F182" s="28" t="s">
        <v>127</v>
      </c>
      <c r="G182" s="688">
        <f>G181+(0.8*O181)</f>
        <v>0.28234858918881911</v>
      </c>
      <c r="H182" s="689"/>
      <c r="I182" s="102" t="s">
        <v>351</v>
      </c>
      <c r="J182" s="688">
        <f>J181+(0.8*R181)</f>
        <v>1.6043488378322859</v>
      </c>
      <c r="K182" s="689"/>
      <c r="L182" s="43" t="s">
        <v>333</v>
      </c>
      <c r="M182"/>
      <c r="N182"/>
      <c r="O182" s="155"/>
      <c r="P182" s="415"/>
      <c r="Q182" s="121"/>
      <c r="R182" s="414"/>
      <c r="S182"/>
      <c r="T182"/>
      <c r="U182"/>
      <c r="V182" s="10"/>
    </row>
    <row r="183" spans="1:22" ht="18" customHeight="1">
      <c r="A183" s="159"/>
      <c r="B183"/>
      <c r="C183"/>
      <c r="D183"/>
      <c r="E183"/>
      <c r="F183" s="28" t="s">
        <v>127</v>
      </c>
      <c r="G183" s="703">
        <f>SQRT(G182^2+J182^2)</f>
        <v>1.6290045792663452</v>
      </c>
      <c r="H183" s="689"/>
      <c r="I183" s="278" t="s">
        <v>352</v>
      </c>
      <c r="J183" s="704">
        <f>DEGREES(ATAN(J182/G182))</f>
        <v>80.018752878989744</v>
      </c>
      <c r="K183" s="689"/>
      <c r="L183" s="43" t="s">
        <v>333</v>
      </c>
      <c r="M183" s="155"/>
      <c r="N183" s="155"/>
      <c r="O183" s="155"/>
      <c r="P183" s="415"/>
      <c r="Q183" s="121"/>
      <c r="R183" s="414"/>
      <c r="S183"/>
      <c r="T183"/>
      <c r="U183"/>
      <c r="V183" s="10"/>
    </row>
    <row r="184" spans="1:22" ht="18" customHeight="1">
      <c r="A184" s="184" t="s">
        <v>345</v>
      </c>
      <c r="B184"/>
      <c r="C184"/>
      <c r="D184"/>
      <c r="E184" s="421" t="s">
        <v>380</v>
      </c>
      <c r="F184" s="121" t="s">
        <v>127</v>
      </c>
      <c r="G184" s="689" t="s">
        <v>368</v>
      </c>
      <c r="H184" s="689"/>
      <c r="I184" s="102" t="s">
        <v>347</v>
      </c>
      <c r="J184" s="689" t="s">
        <v>381</v>
      </c>
      <c r="K184" s="689"/>
      <c r="L184" s="28" t="s">
        <v>347</v>
      </c>
      <c r="M184" s="689" t="s">
        <v>377</v>
      </c>
      <c r="N184" s="689"/>
      <c r="O184"/>
      <c r="P184"/>
      <c r="Q184"/>
      <c r="R184"/>
      <c r="S184"/>
      <c r="T184"/>
      <c r="U184"/>
      <c r="V184" s="10"/>
    </row>
    <row r="185" spans="1:22" ht="18" customHeight="1">
      <c r="A185" s="9"/>
      <c r="B185" s="250" t="s">
        <v>348</v>
      </c>
      <c r="C185" s="702">
        <f>G163</f>
        <v>0.13215178918881909</v>
      </c>
      <c r="D185" s="684"/>
      <c r="E185" s="191" t="s">
        <v>351</v>
      </c>
      <c r="F185" s="702">
        <f>J163</f>
        <v>1.7435488378322859</v>
      </c>
      <c r="G185" s="684"/>
      <c r="H185" s="27" t="s">
        <v>349</v>
      </c>
      <c r="I185" s="702">
        <f>G163</f>
        <v>0.13215178918881909</v>
      </c>
      <c r="J185" s="684"/>
      <c r="K185" s="191" t="s">
        <v>351</v>
      </c>
      <c r="L185" s="702">
        <f>J163</f>
        <v>1.7435488378322859</v>
      </c>
      <c r="M185" s="684"/>
      <c r="N185" s="27" t="s">
        <v>349</v>
      </c>
      <c r="O185" s="701">
        <f>G182</f>
        <v>0.28234858918881911</v>
      </c>
      <c r="P185" s="684"/>
      <c r="Q185" s="191" t="s">
        <v>351</v>
      </c>
      <c r="R185" s="701">
        <f>J182</f>
        <v>1.6043488378322859</v>
      </c>
      <c r="S185" s="684"/>
      <c r="T185" s="30" t="s">
        <v>350</v>
      </c>
      <c r="U185"/>
      <c r="V185" s="10"/>
    </row>
    <row r="186" spans="1:22" ht="18" customHeight="1">
      <c r="A186" s="9"/>
      <c r="B186" s="27" t="s">
        <v>127</v>
      </c>
      <c r="C186" s="702">
        <f>C185+I185+O185</f>
        <v>0.54665216756645729</v>
      </c>
      <c r="D186" s="684"/>
      <c r="E186" s="191" t="s">
        <v>351</v>
      </c>
      <c r="F186" s="702">
        <f>F185+L185+R185</f>
        <v>5.0914465134968578</v>
      </c>
      <c r="G186" s="684"/>
      <c r="H186"/>
      <c r="I186"/>
      <c r="J186"/>
      <c r="K186"/>
      <c r="L186"/>
      <c r="M186"/>
      <c r="N186"/>
      <c r="O186"/>
      <c r="P186"/>
      <c r="Q186"/>
      <c r="R186"/>
      <c r="S186"/>
      <c r="T186"/>
      <c r="U186"/>
      <c r="V186" s="10"/>
    </row>
    <row r="187" spans="1:22" ht="18" customHeight="1">
      <c r="A187" s="9"/>
      <c r="B187" s="28" t="s">
        <v>127</v>
      </c>
      <c r="C187" s="703">
        <f>SQRT(C186^2+F186^2)</f>
        <v>5.1207085634806848</v>
      </c>
      <c r="D187" s="689"/>
      <c r="E187" s="278" t="s">
        <v>352</v>
      </c>
      <c r="F187" s="704">
        <f>DEGREES(ATAN(F186/C186))</f>
        <v>83.871813067551713</v>
      </c>
      <c r="G187" s="689"/>
      <c r="H187" s="422" t="s">
        <v>333</v>
      </c>
      <c r="I187"/>
      <c r="J187"/>
      <c r="K187"/>
      <c r="L187"/>
      <c r="M187"/>
      <c r="N187"/>
      <c r="O187"/>
      <c r="P187"/>
      <c r="Q187"/>
      <c r="R187"/>
      <c r="S187"/>
      <c r="T187"/>
      <c r="U187"/>
      <c r="V187" s="10"/>
    </row>
    <row r="188" spans="1:22" ht="18" customHeight="1">
      <c r="A188" s="9"/>
      <c r="B188"/>
      <c r="C188"/>
      <c r="D188"/>
      <c r="E188"/>
      <c r="F188"/>
      <c r="G188"/>
      <c r="H188"/>
      <c r="I188"/>
      <c r="J188"/>
      <c r="K188" s="120" t="s">
        <v>353</v>
      </c>
      <c r="L188" s="28" t="s">
        <v>127</v>
      </c>
      <c r="M188" s="705">
        <f>F186/C186</f>
        <v>9.3138687003886869</v>
      </c>
      <c r="N188" s="705"/>
      <c r="O188"/>
      <c r="P188"/>
      <c r="Q188"/>
      <c r="R188"/>
      <c r="S188"/>
      <c r="T188"/>
      <c r="U188"/>
      <c r="V188" s="10"/>
    </row>
    <row r="189" spans="1:22" ht="18" hidden="1" customHeight="1">
      <c r="A189" s="9"/>
      <c r="B189"/>
      <c r="C189"/>
      <c r="D189"/>
      <c r="E189"/>
      <c r="F189"/>
      <c r="G189"/>
      <c r="H189"/>
      <c r="I189"/>
      <c r="J189"/>
      <c r="K189"/>
      <c r="L189"/>
      <c r="M189"/>
      <c r="N189"/>
      <c r="O189"/>
      <c r="P189"/>
      <c r="Q189"/>
      <c r="R189"/>
      <c r="S189"/>
      <c r="T189"/>
      <c r="U189"/>
      <c r="V189" s="10"/>
    </row>
    <row r="190" spans="1:22" ht="18" hidden="1" customHeight="1">
      <c r="A190" s="9"/>
      <c r="B190" s="47" t="s">
        <v>382</v>
      </c>
      <c r="C190" s="397"/>
      <c r="D190" s="155"/>
      <c r="E190" s="397"/>
      <c r="F190" s="375"/>
      <c r="G190" s="375"/>
      <c r="H190" s="156"/>
      <c r="I190" s="156"/>
      <c r="J190" s="156"/>
      <c r="K190" s="156"/>
      <c r="L190" s="157" t="s">
        <v>127</v>
      </c>
      <c r="M190" s="706">
        <f>Q88</f>
        <v>132000</v>
      </c>
      <c r="N190" s="706"/>
      <c r="O190" s="229" t="s">
        <v>315</v>
      </c>
      <c r="P190" s="707">
        <f>Q92</f>
        <v>1</v>
      </c>
      <c r="Q190" s="708"/>
      <c r="R190" s="229" t="s">
        <v>315</v>
      </c>
      <c r="S190" s="229">
        <v>3</v>
      </c>
      <c r="T190"/>
      <c r="U190"/>
      <c r="V190" s="10"/>
    </row>
    <row r="191" spans="1:22" ht="18" hidden="1" customHeight="1">
      <c r="A191" s="9"/>
      <c r="B191" s="156"/>
      <c r="C191" s="397"/>
      <c r="D191" s="375"/>
      <c r="E191" s="397"/>
      <c r="F191" s="375"/>
      <c r="G191" s="375"/>
      <c r="H191" s="156"/>
      <c r="I191" s="156"/>
      <c r="J191" s="156"/>
      <c r="K191" s="156"/>
      <c r="L191" s="157"/>
      <c r="M191" s="688">
        <f>+C187</f>
        <v>5.1207085634806848</v>
      </c>
      <c r="N191" s="688"/>
      <c r="O191" s="28" t="s">
        <v>315</v>
      </c>
      <c r="P191" s="689" t="s">
        <v>355</v>
      </c>
      <c r="Q191" s="689">
        <f>SQRT(3)</f>
        <v>1.7320508075688772</v>
      </c>
      <c r="R191" s="375"/>
      <c r="S191" s="156"/>
      <c r="T191"/>
      <c r="U191"/>
      <c r="V191" s="10"/>
    </row>
    <row r="192" spans="1:22" ht="18" hidden="1" customHeight="1">
      <c r="A192" s="9"/>
      <c r="B192"/>
      <c r="C192"/>
      <c r="D192"/>
      <c r="E192"/>
      <c r="F192"/>
      <c r="G192"/>
      <c r="H192"/>
      <c r="I192"/>
      <c r="J192"/>
      <c r="K192"/>
      <c r="L192" s="102" t="s">
        <v>127</v>
      </c>
      <c r="M192" s="709">
        <f>(M190*P190*S190)/(M191*SQRT(3))</f>
        <v>44648.255952235893</v>
      </c>
      <c r="N192" s="710"/>
      <c r="O192" s="30" t="s">
        <v>8</v>
      </c>
      <c r="P192"/>
      <c r="Q192"/>
      <c r="R192"/>
      <c r="S192"/>
      <c r="T192"/>
      <c r="U192"/>
      <c r="V192" s="10"/>
    </row>
    <row r="193" spans="1:22" ht="18" hidden="1" customHeight="1">
      <c r="A193" s="9"/>
      <c r="B193"/>
      <c r="C193"/>
      <c r="D193"/>
      <c r="E193"/>
      <c r="F193"/>
      <c r="G193"/>
      <c r="H193"/>
      <c r="I193"/>
      <c r="J193"/>
      <c r="K193"/>
      <c r="L193"/>
      <c r="M193"/>
      <c r="N193"/>
      <c r="O193"/>
      <c r="P193"/>
      <c r="Q193"/>
      <c r="R193"/>
      <c r="S193"/>
      <c r="T193"/>
      <c r="U193"/>
      <c r="V193" s="10"/>
    </row>
    <row r="194" spans="1:22" ht="18" hidden="1" customHeight="1">
      <c r="A194" s="9"/>
      <c r="B194"/>
      <c r="C194"/>
      <c r="D194"/>
      <c r="E194"/>
      <c r="F194"/>
      <c r="G194"/>
      <c r="H194"/>
      <c r="I194"/>
      <c r="J194"/>
      <c r="K194"/>
      <c r="L194"/>
      <c r="M194"/>
      <c r="N194"/>
      <c r="O194"/>
      <c r="P194"/>
      <c r="Q194"/>
      <c r="R194"/>
      <c r="S194"/>
      <c r="T194"/>
      <c r="U194"/>
      <c r="V194" s="10"/>
    </row>
    <row r="195" spans="1:22" ht="18" hidden="1" customHeight="1">
      <c r="A195" s="345"/>
      <c r="B195" s="346"/>
      <c r="C195" s="346"/>
      <c r="D195" s="346"/>
      <c r="E195" s="346"/>
      <c r="F195" s="346"/>
      <c r="G195" s="346"/>
      <c r="H195" s="346"/>
      <c r="I195" s="346"/>
      <c r="J195" s="346"/>
      <c r="K195" s="346"/>
      <c r="L195" s="346"/>
      <c r="M195" s="346"/>
      <c r="N195" s="346"/>
      <c r="O195" s="346"/>
      <c r="P195" s="346"/>
      <c r="Q195" s="346"/>
      <c r="R195" s="346"/>
      <c r="S195" s="346"/>
      <c r="T195" s="346"/>
      <c r="U195" s="346"/>
      <c r="V195" s="347"/>
    </row>
    <row r="196" spans="1:22" ht="18" customHeight="1">
      <c r="A196" s="382"/>
      <c r="B196" s="20"/>
      <c r="C196" s="20"/>
      <c r="D196" s="20"/>
      <c r="E196" s="20"/>
      <c r="F196" s="20"/>
      <c r="G196" s="20"/>
      <c r="H196" s="20"/>
      <c r="I196" s="20"/>
      <c r="J196" s="20"/>
      <c r="K196" s="20"/>
      <c r="L196" s="20"/>
      <c r="M196" s="20"/>
      <c r="N196" s="20"/>
      <c r="O196" s="20"/>
      <c r="P196" s="20"/>
      <c r="Q196" s="21"/>
      <c r="R196" s="22"/>
      <c r="S196" s="23"/>
      <c r="T196" s="20"/>
      <c r="U196" s="20"/>
      <c r="V196" s="134"/>
    </row>
    <row r="197" spans="1:22" ht="18" customHeight="1">
      <c r="A197" s="383" t="s">
        <v>383</v>
      </c>
      <c r="B197" s="384"/>
      <c r="C197" s="349"/>
      <c r="D197" s="385"/>
      <c r="E197" s="385"/>
      <c r="F197" s="385"/>
      <c r="G197" s="386"/>
      <c r="H197" s="386"/>
      <c r="I197" s="387"/>
      <c r="J197" s="387"/>
      <c r="K197" s="387"/>
      <c r="L197" s="387"/>
      <c r="M197" s="388"/>
      <c r="N197" s="389"/>
      <c r="O197" s="390"/>
      <c r="P197" s="391"/>
      <c r="Q197" s="392"/>
      <c r="R197" s="393"/>
      <c r="S197" s="394"/>
      <c r="T197" s="384"/>
      <c r="U197" s="384"/>
      <c r="V197" s="395"/>
    </row>
    <row r="198" spans="1:22" ht="18" customHeight="1">
      <c r="A198" s="396"/>
      <c r="B198" s="47" t="s">
        <v>357</v>
      </c>
      <c r="C198" s="156"/>
      <c r="D198" s="397"/>
      <c r="E198"/>
      <c r="F198" s="376"/>
      <c r="G198" s="102" t="s">
        <v>127</v>
      </c>
      <c r="H198" s="28">
        <v>2</v>
      </c>
      <c r="I198" s="28" t="s">
        <v>315</v>
      </c>
      <c r="J198" s="278" t="s">
        <v>318</v>
      </c>
      <c r="K198" s="28" t="s">
        <v>315</v>
      </c>
      <c r="L198" s="28" t="s">
        <v>319</v>
      </c>
      <c r="M198" s="28" t="s">
        <v>315</v>
      </c>
      <c r="N198" s="47" t="s">
        <v>320</v>
      </c>
      <c r="O198" s="376"/>
      <c r="P198" s="163"/>
      <c r="Q198" s="398"/>
      <c r="R198"/>
      <c r="S198" s="376"/>
      <c r="T198"/>
      <c r="U198"/>
      <c r="V198" s="10"/>
    </row>
    <row r="199" spans="1:22" ht="18" customHeight="1">
      <c r="A199" s="396"/>
      <c r="B199" s="47" t="s">
        <v>358</v>
      </c>
      <c r="C199" s="156"/>
      <c r="D199" s="375"/>
      <c r="E199" s="376"/>
      <c r="F199" s="376"/>
      <c r="H199" s="376"/>
      <c r="I199" s="152"/>
      <c r="J199" s="152"/>
      <c r="K199" s="152"/>
      <c r="L199" s="152"/>
      <c r="M199"/>
      <c r="N199" s="376"/>
      <c r="O199" s="28" t="s">
        <v>322</v>
      </c>
      <c r="P199" s="102" t="s">
        <v>127</v>
      </c>
      <c r="Q199" s="692">
        <f>M188</f>
        <v>9.3138687003886869</v>
      </c>
      <c r="R199" s="693"/>
      <c r="S199" s="372"/>
      <c r="T199"/>
      <c r="U199"/>
      <c r="V199" s="10"/>
    </row>
    <row r="200" spans="1:22" ht="18" customHeight="1">
      <c r="A200" s="396"/>
      <c r="B200" s="47" t="s">
        <v>263</v>
      </c>
      <c r="C200" s="156"/>
      <c r="D200" s="397"/>
      <c r="E200" s="7"/>
      <c r="F200" s="7"/>
      <c r="H200" s="376"/>
      <c r="I200" s="152"/>
      <c r="J200" s="152"/>
      <c r="K200" s="152"/>
      <c r="L200" s="152"/>
      <c r="M200"/>
      <c r="N200" s="376"/>
      <c r="O200" s="28" t="s">
        <v>319</v>
      </c>
      <c r="P200" s="102" t="s">
        <v>127</v>
      </c>
      <c r="Q200" s="694">
        <f>Q61</f>
        <v>50</v>
      </c>
      <c r="R200" s="695"/>
      <c r="S200" s="47" t="s">
        <v>264</v>
      </c>
      <c r="T200"/>
      <c r="U200"/>
      <c r="V200" s="10"/>
    </row>
    <row r="201" spans="1:22" ht="18" customHeight="1">
      <c r="A201" s="396"/>
      <c r="B201" s="249" t="s">
        <v>340</v>
      </c>
      <c r="C201" s="156"/>
      <c r="D201" s="397"/>
      <c r="E201"/>
      <c r="F201" s="123"/>
      <c r="G201" s="28" t="s">
        <v>127</v>
      </c>
      <c r="H201" s="28" t="s">
        <v>341</v>
      </c>
      <c r="I201" s="399" t="s">
        <v>342</v>
      </c>
      <c r="J201" s="28">
        <v>2</v>
      </c>
      <c r="K201" s="28" t="s">
        <v>315</v>
      </c>
      <c r="L201" s="278" t="s">
        <v>318</v>
      </c>
      <c r="M201" s="400" t="s">
        <v>315</v>
      </c>
      <c r="N201" s="218" t="s">
        <v>319</v>
      </c>
      <c r="O201" s="103"/>
      <c r="P201" s="102" t="s">
        <v>127</v>
      </c>
      <c r="Q201" s="696">
        <f>(Q199*1000)/(J201*(22/7)*Q200)</f>
        <v>29.635036773964003</v>
      </c>
      <c r="R201" s="697"/>
      <c r="S201" s="47" t="s">
        <v>343</v>
      </c>
      <c r="T201"/>
      <c r="U201"/>
      <c r="V201" s="10"/>
    </row>
    <row r="202" spans="1:22" ht="18" customHeight="1">
      <c r="A202" s="685" t="s">
        <v>1076</v>
      </c>
      <c r="B202" s="684"/>
      <c r="C202" s="684"/>
      <c r="D202" s="684"/>
      <c r="E202" s="684"/>
      <c r="F202" s="684"/>
      <c r="G202" s="684"/>
      <c r="H202" s="684"/>
      <c r="I202" s="684"/>
      <c r="J202" s="684"/>
      <c r="K202" s="684"/>
      <c r="L202" s="684"/>
      <c r="M202" s="684"/>
      <c r="N202" s="684"/>
      <c r="O202" s="684"/>
      <c r="P202" s="684"/>
      <c r="Q202" s="684"/>
      <c r="R202" s="684"/>
      <c r="S202" s="684"/>
      <c r="T202" s="684"/>
      <c r="U202" s="684"/>
      <c r="V202" s="699"/>
    </row>
    <row r="203" spans="1:22" ht="18" customHeight="1">
      <c r="A203" s="685"/>
      <c r="B203" s="684"/>
      <c r="C203" s="684"/>
      <c r="D203" s="684"/>
      <c r="E203" s="684"/>
      <c r="F203" s="684"/>
      <c r="G203" s="684"/>
      <c r="H203" s="684"/>
      <c r="I203" s="684"/>
      <c r="J203" s="684"/>
      <c r="K203" s="684"/>
      <c r="L203" s="684"/>
      <c r="M203" s="684"/>
      <c r="N203" s="684"/>
      <c r="O203" s="684"/>
      <c r="P203" s="684"/>
      <c r="Q203" s="684"/>
      <c r="R203" s="684"/>
      <c r="S203" s="684"/>
      <c r="T203" s="684"/>
      <c r="U203" s="684"/>
      <c r="V203" s="699"/>
    </row>
    <row r="204" spans="1:22" ht="18" customHeight="1">
      <c r="A204" s="184"/>
      <c r="V204" s="185"/>
    </row>
    <row r="205" spans="1:22" ht="18" customHeight="1">
      <c r="A205" s="184"/>
      <c r="B205" s="781" t="s">
        <v>108</v>
      </c>
      <c r="C205" s="782"/>
      <c r="D205" s="781" t="s">
        <v>385</v>
      </c>
      <c r="E205" s="782"/>
      <c r="F205" s="186"/>
      <c r="G205" s="684" t="s">
        <v>1043</v>
      </c>
      <c r="H205" s="684"/>
      <c r="I205" s="684"/>
      <c r="J205" s="684"/>
      <c r="K205" s="684"/>
      <c r="L205" s="684"/>
      <c r="M205" s="684"/>
      <c r="N205" s="684"/>
      <c r="O205" s="684"/>
      <c r="P205" s="186"/>
      <c r="S205" s="187" t="s">
        <v>387</v>
      </c>
      <c r="T205" s="781" t="s">
        <v>595</v>
      </c>
      <c r="U205" s="782"/>
      <c r="V205" s="185"/>
    </row>
    <row r="206" spans="1:22" ht="18" customHeight="1">
      <c r="A206" s="184"/>
      <c r="B206" s="1254"/>
      <c r="C206" s="1254"/>
      <c r="D206" s="1254"/>
      <c r="E206" s="1254"/>
      <c r="F206" s="186"/>
      <c r="T206" s="781"/>
      <c r="U206" s="782"/>
      <c r="V206" s="185"/>
    </row>
    <row r="207" spans="1:22" ht="18" customHeight="1">
      <c r="A207" s="184"/>
      <c r="H207" s="789" t="s">
        <v>390</v>
      </c>
      <c r="I207" s="789"/>
      <c r="J207" s="790" t="s">
        <v>391</v>
      </c>
      <c r="K207" s="790"/>
      <c r="L207" s="790" t="s">
        <v>392</v>
      </c>
      <c r="M207" s="790"/>
      <c r="T207" s="781"/>
      <c r="U207" s="782"/>
      <c r="V207" s="185"/>
    </row>
    <row r="208" spans="1:22" ht="18" customHeight="1">
      <c r="A208" s="184"/>
      <c r="B208" s="47" t="s">
        <v>393</v>
      </c>
      <c r="H208" s="791">
        <v>3200</v>
      </c>
      <c r="I208" s="792"/>
      <c r="J208" s="781">
        <v>600</v>
      </c>
      <c r="K208" s="782"/>
      <c r="L208" s="781" t="s">
        <v>6</v>
      </c>
      <c r="M208" s="782"/>
      <c r="N208" s="191" t="s">
        <v>342</v>
      </c>
      <c r="O208" s="125">
        <v>1</v>
      </c>
      <c r="P208" s="27" t="s">
        <v>8</v>
      </c>
      <c r="V208" s="185"/>
    </row>
    <row r="209" spans="1:22" ht="18" customHeight="1">
      <c r="A209" s="184"/>
      <c r="B209" s="47" t="s">
        <v>394</v>
      </c>
      <c r="H209" s="781" t="s">
        <v>395</v>
      </c>
      <c r="I209" s="782"/>
      <c r="V209" s="185"/>
    </row>
    <row r="210" spans="1:22" ht="18" customHeight="1">
      <c r="A210" s="184"/>
      <c r="B210" s="47" t="s">
        <v>396</v>
      </c>
      <c r="G210" s="120" t="s">
        <v>397</v>
      </c>
      <c r="H210" s="781">
        <v>16</v>
      </c>
      <c r="I210" s="782"/>
      <c r="J210" s="192" t="s">
        <v>333</v>
      </c>
      <c r="M210" s="14"/>
      <c r="V210" s="185"/>
    </row>
    <row r="211" spans="1:22" ht="18" customHeight="1">
      <c r="A211" s="184"/>
      <c r="B211" s="47" t="s">
        <v>398</v>
      </c>
      <c r="G211" s="120" t="s">
        <v>498</v>
      </c>
      <c r="H211" s="781">
        <v>1600</v>
      </c>
      <c r="I211" s="782"/>
      <c r="J211" s="14" t="s">
        <v>305</v>
      </c>
      <c r="V211" s="185"/>
    </row>
    <row r="212" spans="1:22" ht="18" customHeight="1">
      <c r="A212" s="184"/>
      <c r="B212" s="14" t="s">
        <v>401</v>
      </c>
      <c r="G212" s="120" t="s">
        <v>402</v>
      </c>
      <c r="H212" s="781">
        <v>10</v>
      </c>
      <c r="I212" s="782"/>
      <c r="J212" s="14" t="s">
        <v>403</v>
      </c>
      <c r="M212" s="14"/>
      <c r="V212" s="185"/>
    </row>
    <row r="213" spans="1:22" ht="18" customHeight="1">
      <c r="A213" s="184"/>
      <c r="B213" s="14"/>
      <c r="V213" s="185"/>
    </row>
    <row r="214" spans="1:22" ht="18" customHeight="1">
      <c r="A214" s="193" t="s">
        <v>404</v>
      </c>
      <c r="V214" s="185"/>
    </row>
    <row r="215" spans="1:22" ht="18" customHeight="1">
      <c r="A215" s="184"/>
      <c r="V215" s="185"/>
    </row>
    <row r="216" spans="1:22" ht="18" customHeight="1">
      <c r="A216" s="184"/>
      <c r="B216" s="194" t="s">
        <v>405</v>
      </c>
      <c r="C216" s="195"/>
      <c r="D216" s="195" t="str">
        <f>T205</f>
        <v>RET670</v>
      </c>
      <c r="E216" s="196"/>
      <c r="F216" s="196"/>
      <c r="G216" s="196"/>
      <c r="H216" s="182" t="s">
        <v>406</v>
      </c>
      <c r="I216" s="183" t="s">
        <v>127</v>
      </c>
      <c r="J216" s="1108">
        <f>'CT-VT Burdens'!Q104</f>
        <v>0.02</v>
      </c>
      <c r="K216" s="1104"/>
      <c r="L216" s="3" t="s">
        <v>157</v>
      </c>
      <c r="N216" s="197" t="s">
        <v>407</v>
      </c>
      <c r="V216" s="185"/>
    </row>
    <row r="217" spans="1:22" ht="18" customHeight="1">
      <c r="A217" s="184"/>
      <c r="B217" s="96" t="s">
        <v>405</v>
      </c>
      <c r="D217" s="30">
        <f>T206</f>
        <v>0</v>
      </c>
      <c r="H217" s="27"/>
      <c r="I217" s="177" t="s">
        <v>127</v>
      </c>
      <c r="J217" s="1108"/>
      <c r="K217" s="1104"/>
      <c r="L217" s="198" t="s">
        <v>157</v>
      </c>
      <c r="V217" s="185"/>
    </row>
    <row r="218" spans="1:22" ht="18" customHeight="1">
      <c r="A218" s="184"/>
      <c r="B218" s="96" t="s">
        <v>405</v>
      </c>
      <c r="D218" s="30">
        <f>T207</f>
        <v>0</v>
      </c>
      <c r="E218" s="14"/>
      <c r="G218" s="199"/>
      <c r="H218" s="27"/>
      <c r="I218" s="177" t="s">
        <v>127</v>
      </c>
      <c r="J218" s="1108"/>
      <c r="K218" s="1104"/>
      <c r="L218" s="202" t="s">
        <v>157</v>
      </c>
      <c r="N218" s="27" t="s">
        <v>408</v>
      </c>
      <c r="O218" s="27" t="s">
        <v>127</v>
      </c>
      <c r="P218" s="27" t="s">
        <v>409</v>
      </c>
      <c r="Q218" s="191" t="s">
        <v>410</v>
      </c>
      <c r="R218" s="27" t="s">
        <v>411</v>
      </c>
      <c r="S218" s="27" t="s">
        <v>315</v>
      </c>
      <c r="T218" s="27" t="s">
        <v>411</v>
      </c>
      <c r="U218" s="30" t="s">
        <v>350</v>
      </c>
      <c r="V218" s="185"/>
    </row>
    <row r="219" spans="1:22" ht="18" customHeight="1">
      <c r="A219" s="184"/>
      <c r="B219" s="184" t="s">
        <v>412</v>
      </c>
      <c r="H219" s="27" t="s">
        <v>599</v>
      </c>
      <c r="I219" s="177" t="s">
        <v>127</v>
      </c>
      <c r="J219" s="1157">
        <f>'CT-VT Burdens'!S24</f>
        <v>1.0770224400000001</v>
      </c>
      <c r="K219" s="1215"/>
      <c r="L219" s="203" t="s">
        <v>157</v>
      </c>
      <c r="O219" s="27" t="s">
        <v>127</v>
      </c>
      <c r="P219" s="204">
        <f>J220</f>
        <v>1.0970224400000002</v>
      </c>
      <c r="Q219" s="191" t="s">
        <v>410</v>
      </c>
      <c r="R219" s="27">
        <f>O208</f>
        <v>1</v>
      </c>
      <c r="S219" s="27" t="s">
        <v>315</v>
      </c>
      <c r="T219" s="27">
        <f>O208</f>
        <v>1</v>
      </c>
      <c r="U219" s="30" t="s">
        <v>350</v>
      </c>
      <c r="V219" s="185"/>
    </row>
    <row r="220" spans="1:22" ht="18" hidden="1" customHeight="1">
      <c r="A220" s="184"/>
      <c r="B220" s="205" t="s">
        <v>413</v>
      </c>
      <c r="C220" s="206"/>
      <c r="D220" s="206"/>
      <c r="E220" s="206"/>
      <c r="F220" s="207"/>
      <c r="G220" s="207"/>
      <c r="H220" s="190" t="s">
        <v>409</v>
      </c>
      <c r="I220" s="208" t="s">
        <v>127</v>
      </c>
      <c r="J220" s="696">
        <f>J216+J219</f>
        <v>1.0970224400000002</v>
      </c>
      <c r="K220" s="722"/>
      <c r="L220" s="210" t="s">
        <v>157</v>
      </c>
      <c r="O220" s="27" t="s">
        <v>127</v>
      </c>
      <c r="P220" s="795">
        <f>P219/(R219*T219)</f>
        <v>1.0970224400000002</v>
      </c>
      <c r="Q220" s="795"/>
      <c r="R220" s="192" t="s">
        <v>333</v>
      </c>
      <c r="V220" s="185"/>
    </row>
    <row r="221" spans="1:22" ht="18" hidden="1" customHeight="1">
      <c r="A221" s="184"/>
      <c r="V221" s="185"/>
    </row>
    <row r="222" spans="1:22" ht="18" hidden="1" customHeight="1">
      <c r="A222" s="193" t="s">
        <v>600</v>
      </c>
      <c r="B222" s="5"/>
      <c r="C222" s="5"/>
      <c r="D222" s="5"/>
      <c r="E222" s="5"/>
      <c r="F222" s="5"/>
      <c r="G222" s="5"/>
      <c r="H222" s="212"/>
      <c r="I222" s="212"/>
      <c r="J222" s="5"/>
      <c r="K222" s="5"/>
      <c r="L222" s="5"/>
      <c r="M222" s="5"/>
      <c r="N222" s="5"/>
      <c r="O222" s="5"/>
      <c r="P222" s="103"/>
      <c r="Q222" s="212"/>
      <c r="R222" s="213"/>
      <c r="S222" s="214"/>
      <c r="T222" s="18"/>
      <c r="U222" s="18"/>
      <c r="V222" s="97"/>
    </row>
    <row r="223" spans="1:22" ht="18" hidden="1" customHeight="1">
      <c r="A223" s="96"/>
      <c r="B223" s="47" t="s">
        <v>601</v>
      </c>
      <c r="C223" s="5"/>
      <c r="D223" s="5"/>
      <c r="E223" s="5"/>
      <c r="F223" s="14"/>
      <c r="G223" s="14"/>
      <c r="H223" s="14"/>
      <c r="I223" s="215"/>
      <c r="J223" s="14"/>
      <c r="K223" s="14"/>
      <c r="L223" s="14"/>
      <c r="M223" s="5"/>
      <c r="N223" s="14"/>
      <c r="O223" s="103" t="s">
        <v>127</v>
      </c>
      <c r="P223" s="781">
        <v>100</v>
      </c>
      <c r="Q223" s="782"/>
      <c r="R223" s="14" t="s">
        <v>602</v>
      </c>
      <c r="S223" s="214"/>
      <c r="T223" s="18"/>
      <c r="U223" s="18"/>
      <c r="V223" s="97"/>
    </row>
    <row r="224" spans="1:22" ht="18" customHeight="1">
      <c r="A224" s="96"/>
      <c r="B224" s="47" t="s">
        <v>603</v>
      </c>
      <c r="C224" s="5"/>
      <c r="D224" s="5"/>
      <c r="E224" s="5"/>
      <c r="F224" s="14"/>
      <c r="G224" s="14"/>
      <c r="H224" s="14"/>
      <c r="I224" s="215"/>
      <c r="J224" s="14"/>
      <c r="K224" s="14"/>
      <c r="L224" s="14"/>
      <c r="M224" s="5"/>
      <c r="N224" s="14"/>
      <c r="O224" s="103" t="s">
        <v>127</v>
      </c>
      <c r="P224" s="781">
        <v>25</v>
      </c>
      <c r="Q224" s="782"/>
      <c r="R224" s="14" t="s">
        <v>604</v>
      </c>
      <c r="S224" s="214"/>
      <c r="T224" s="18"/>
      <c r="U224" s="14"/>
      <c r="V224" s="97"/>
    </row>
    <row r="225" spans="1:22" ht="18" customHeight="1">
      <c r="A225" s="96"/>
      <c r="B225" s="47" t="s">
        <v>605</v>
      </c>
      <c r="C225" s="5"/>
      <c r="D225" s="5"/>
      <c r="E225" s="5"/>
      <c r="F225" s="14"/>
      <c r="G225" s="14"/>
      <c r="H225" s="14"/>
      <c r="I225" s="14"/>
      <c r="J225" s="14"/>
      <c r="K225" s="14"/>
      <c r="L225" s="14"/>
      <c r="M225" s="14"/>
      <c r="N225" s="120" t="s">
        <v>606</v>
      </c>
      <c r="O225" s="103" t="s">
        <v>607</v>
      </c>
      <c r="P225" s="854">
        <v>132</v>
      </c>
      <c r="Q225" s="831"/>
      <c r="R225" s="14" t="s">
        <v>163</v>
      </c>
      <c r="S225" s="214"/>
      <c r="T225" s="18"/>
      <c r="U225" s="18"/>
      <c r="V225" s="97"/>
    </row>
    <row r="226" spans="1:22" ht="18" customHeight="1">
      <c r="A226" s="216"/>
      <c r="B226" s="212"/>
      <c r="C226" s="212"/>
      <c r="D226" s="212"/>
      <c r="E226" s="212"/>
      <c r="F226" s="14"/>
      <c r="G226" s="14"/>
      <c r="H226" s="14"/>
      <c r="I226" s="14"/>
      <c r="J226" s="14"/>
      <c r="K226" s="14"/>
      <c r="L226" s="14"/>
      <c r="M226" s="14"/>
      <c r="N226" s="14"/>
      <c r="O226" s="14"/>
      <c r="P226" s="14"/>
      <c r="Q226" s="14"/>
      <c r="R226" s="14"/>
      <c r="S226" s="14"/>
      <c r="T226" s="18"/>
      <c r="U226" s="18"/>
      <c r="V226" s="97"/>
    </row>
    <row r="227" spans="1:22" ht="18" customHeight="1">
      <c r="A227" s="96"/>
      <c r="B227" s="14" t="s">
        <v>608</v>
      </c>
      <c r="C227" s="213"/>
      <c r="D227" s="213"/>
      <c r="E227" s="213"/>
      <c r="F227" s="14"/>
      <c r="G227" s="14"/>
      <c r="H227" s="120" t="s">
        <v>609</v>
      </c>
      <c r="I227" s="28" t="s">
        <v>127</v>
      </c>
      <c r="J227" s="689" t="s">
        <v>610</v>
      </c>
      <c r="K227" s="689"/>
      <c r="L227" s="28" t="s">
        <v>315</v>
      </c>
      <c r="M227" s="217">
        <v>1000</v>
      </c>
      <c r="N227" s="102" t="s">
        <v>342</v>
      </c>
      <c r="O227" s="28" t="s">
        <v>611</v>
      </c>
      <c r="P227" s="28" t="s">
        <v>315</v>
      </c>
      <c r="Q227" s="28" t="s">
        <v>606</v>
      </c>
      <c r="R227" s="47"/>
      <c r="S227" s="14"/>
      <c r="T227" s="18"/>
      <c r="U227" s="18"/>
      <c r="V227" s="97"/>
    </row>
    <row r="228" spans="1:22" ht="18" customHeight="1">
      <c r="A228" s="216"/>
      <c r="B228" s="213"/>
      <c r="C228" s="213"/>
      <c r="D228" s="213"/>
      <c r="E228" s="213"/>
      <c r="F228" s="212"/>
      <c r="G228" s="212"/>
      <c r="H228" s="28"/>
      <c r="I228" s="28" t="s">
        <v>127</v>
      </c>
      <c r="J228" s="689">
        <f>P223</f>
        <v>100</v>
      </c>
      <c r="K228" s="689"/>
      <c r="L228" s="28" t="s">
        <v>315</v>
      </c>
      <c r="M228" s="217">
        <v>1000</v>
      </c>
      <c r="N228" s="102" t="s">
        <v>342</v>
      </c>
      <c r="O228" s="28" t="s">
        <v>611</v>
      </c>
      <c r="P228" s="28" t="s">
        <v>315</v>
      </c>
      <c r="Q228" s="28">
        <f>P225</f>
        <v>132</v>
      </c>
      <c r="R228" s="47"/>
      <c r="S228" s="14"/>
      <c r="T228" s="18"/>
      <c r="U228" s="18"/>
      <c r="V228" s="97"/>
    </row>
    <row r="229" spans="1:22" ht="18" customHeight="1">
      <c r="A229" s="216"/>
      <c r="B229" s="212"/>
      <c r="C229" s="212"/>
      <c r="D229" s="212"/>
      <c r="E229" s="212"/>
      <c r="F229" s="212"/>
      <c r="G229" s="212"/>
      <c r="H229" s="14"/>
      <c r="I229" s="28" t="s">
        <v>127</v>
      </c>
      <c r="J229" s="692">
        <f>(P223*1000)/(SQRT(3)*P225)</f>
        <v>437.38656756789834</v>
      </c>
      <c r="K229" s="692"/>
      <c r="L229" s="14" t="s">
        <v>8</v>
      </c>
      <c r="M229" s="120"/>
      <c r="N229" s="120"/>
      <c r="O229" s="120"/>
      <c r="P229" s="14"/>
      <c r="Q229" s="14"/>
      <c r="R229" s="14"/>
      <c r="S229" s="14"/>
      <c r="T229" s="18"/>
      <c r="U229" s="18"/>
      <c r="V229" s="97"/>
    </row>
    <row r="230" spans="1:22" ht="18" customHeight="1">
      <c r="A230" s="216"/>
      <c r="B230" s="212"/>
      <c r="C230" s="212"/>
      <c r="D230" s="212"/>
      <c r="E230" s="212"/>
      <c r="F230" s="14"/>
      <c r="G230" s="212"/>
      <c r="H230" s="28"/>
      <c r="I230" s="103"/>
      <c r="J230" s="28"/>
      <c r="K230" s="14"/>
      <c r="L230" s="14"/>
      <c r="M230" s="212"/>
      <c r="N230" s="219"/>
      <c r="O230" s="212"/>
      <c r="P230" s="14"/>
      <c r="Q230" s="14"/>
      <c r="R230" s="14"/>
      <c r="S230" s="14"/>
      <c r="T230" s="18"/>
      <c r="U230" s="18"/>
      <c r="V230" s="97"/>
    </row>
    <row r="231" spans="1:22" ht="18" customHeight="1">
      <c r="A231" s="147"/>
      <c r="B231" s="5"/>
      <c r="C231" s="5"/>
      <c r="D231" s="5"/>
      <c r="E231" s="5"/>
      <c r="F231" s="212"/>
      <c r="G231" s="212"/>
      <c r="H231" s="5"/>
      <c r="I231" s="5"/>
      <c r="J231" s="5"/>
      <c r="K231" s="5"/>
      <c r="L231" s="103"/>
      <c r="M231" s="103"/>
      <c r="N231" s="103"/>
      <c r="O231" s="103"/>
      <c r="P231" s="212"/>
      <c r="Q231" s="213"/>
      <c r="R231" s="14"/>
      <c r="S231" s="14"/>
      <c r="T231" s="14"/>
      <c r="U231" s="18"/>
      <c r="V231" s="97"/>
    </row>
    <row r="232" spans="1:22" s="14" customFormat="1" ht="18" customHeight="1">
      <c r="A232" s="147"/>
      <c r="B232" s="5"/>
      <c r="C232" s="5"/>
      <c r="D232" s="5"/>
      <c r="E232" s="5"/>
      <c r="F232" s="212"/>
      <c r="G232" s="212"/>
      <c r="H232" s="5"/>
      <c r="I232" s="5"/>
      <c r="J232" s="5"/>
      <c r="K232" s="5"/>
      <c r="L232" s="103"/>
      <c r="M232" s="103"/>
      <c r="N232" s="103"/>
      <c r="O232" s="103"/>
      <c r="P232" s="212"/>
      <c r="Q232" s="213"/>
      <c r="S232" s="214"/>
      <c r="T232" s="18"/>
      <c r="U232" s="18"/>
      <c r="V232" s="97"/>
    </row>
    <row r="233" spans="1:22" ht="18" customHeight="1">
      <c r="A233" s="184"/>
      <c r="B233" s="14" t="s">
        <v>612</v>
      </c>
      <c r="C233" s="14"/>
      <c r="D233" s="14"/>
      <c r="E233" s="14"/>
      <c r="M233" s="28" t="s">
        <v>613</v>
      </c>
      <c r="N233" s="28" t="s">
        <v>127</v>
      </c>
      <c r="O233" s="689" t="s">
        <v>609</v>
      </c>
      <c r="P233" s="689"/>
      <c r="Q233" s="245" t="s">
        <v>342</v>
      </c>
      <c r="R233" s="805" t="str">
        <f>B224</f>
        <v>Percentage Impedance</v>
      </c>
      <c r="S233" s="805"/>
      <c r="T233" s="805"/>
      <c r="U233" s="805"/>
      <c r="V233" s="968"/>
    </row>
    <row r="234" spans="1:22" ht="18" customHeight="1">
      <c r="A234" s="96"/>
      <c r="B234" s="5"/>
      <c r="C234" s="5"/>
      <c r="D234" s="5"/>
      <c r="E234" s="5"/>
      <c r="M234" s="102"/>
      <c r="N234" s="28" t="s">
        <v>127</v>
      </c>
      <c r="O234" s="692">
        <f>+J229</f>
        <v>437.38656756789834</v>
      </c>
      <c r="P234" s="692"/>
      <c r="Q234" s="245" t="s">
        <v>342</v>
      </c>
      <c r="R234" s="221">
        <f>P224%</f>
        <v>0.25</v>
      </c>
      <c r="S234" s="214"/>
      <c r="V234" s="185"/>
    </row>
    <row r="235" spans="1:22" ht="18" customHeight="1">
      <c r="A235" s="96"/>
      <c r="B235" s="5"/>
      <c r="C235" s="5"/>
      <c r="D235" s="5"/>
      <c r="E235" s="5"/>
      <c r="M235" s="28" t="s">
        <v>613</v>
      </c>
      <c r="N235" s="28" t="s">
        <v>127</v>
      </c>
      <c r="O235" s="692">
        <f>O234/R234</f>
        <v>1749.5462702715934</v>
      </c>
      <c r="P235" s="692"/>
      <c r="Q235" s="222" t="s">
        <v>8</v>
      </c>
      <c r="R235" s="28"/>
      <c r="S235" s="214"/>
      <c r="V235" s="185"/>
    </row>
    <row r="236" spans="1:22" ht="18" customHeight="1">
      <c r="A236" s="96"/>
      <c r="B236" s="5"/>
      <c r="C236" s="5"/>
      <c r="D236" s="5"/>
      <c r="E236" s="5"/>
      <c r="M236" s="212"/>
      <c r="N236" s="212"/>
      <c r="O236" s="103"/>
      <c r="Q236" s="223"/>
      <c r="R236" s="14"/>
      <c r="S236" s="214"/>
      <c r="V236" s="185"/>
    </row>
    <row r="237" spans="1:22" ht="18" customHeight="1">
      <c r="A237" s="1206" t="s">
        <v>614</v>
      </c>
      <c r="B237" s="1255"/>
      <c r="C237" s="1255"/>
      <c r="D237" s="1255"/>
      <c r="E237" s="1255"/>
      <c r="F237" s="1255"/>
      <c r="G237" s="1255"/>
      <c r="H237" s="1255"/>
      <c r="I237" s="1255"/>
      <c r="J237" s="1255"/>
      <c r="K237" s="1255"/>
      <c r="L237" s="1255"/>
      <c r="M237" s="1255"/>
      <c r="N237" s="1255"/>
      <c r="O237" s="1255"/>
      <c r="P237" s="1255"/>
      <c r="Q237" s="1255"/>
      <c r="R237" s="1255"/>
      <c r="S237" s="1255"/>
      <c r="T237" s="1255"/>
      <c r="U237" s="1255"/>
      <c r="V237" s="1256"/>
    </row>
    <row r="238" spans="1:22" ht="18" customHeight="1">
      <c r="A238" s="1206"/>
      <c r="B238" s="1255"/>
      <c r="C238" s="1255"/>
      <c r="D238" s="1255"/>
      <c r="E238" s="1255"/>
      <c r="F238" s="1255"/>
      <c r="G238" s="1255"/>
      <c r="H238" s="1255"/>
      <c r="I238" s="1255"/>
      <c r="J238" s="1255"/>
      <c r="K238" s="1255"/>
      <c r="L238" s="1255"/>
      <c r="M238" s="1255"/>
      <c r="N238" s="1255"/>
      <c r="O238" s="1255"/>
      <c r="P238" s="1255"/>
      <c r="Q238" s="1255"/>
      <c r="R238" s="1255"/>
      <c r="S238" s="1255"/>
      <c r="T238" s="1255"/>
      <c r="U238" s="1255"/>
      <c r="V238" s="1256"/>
    </row>
    <row r="239" spans="1:22" ht="18" customHeight="1">
      <c r="A239" s="96"/>
      <c r="B239" s="5"/>
      <c r="C239" s="5"/>
      <c r="D239" s="5"/>
      <c r="E239" s="5"/>
      <c r="M239" s="212"/>
      <c r="N239" s="212"/>
      <c r="O239" s="103"/>
      <c r="Q239" s="223"/>
      <c r="R239" s="14"/>
      <c r="S239" s="214"/>
      <c r="V239" s="185"/>
    </row>
    <row r="240" spans="1:22" ht="18" customHeight="1">
      <c r="A240" s="96"/>
      <c r="B240" s="5"/>
      <c r="C240" s="5"/>
      <c r="D240" s="5"/>
      <c r="E240" s="5"/>
      <c r="M240" s="212"/>
      <c r="N240" s="212"/>
      <c r="O240" s="103"/>
      <c r="Q240" s="223"/>
      <c r="R240" s="14"/>
      <c r="S240" s="214"/>
      <c r="V240" s="185"/>
    </row>
    <row r="241" spans="1:22" ht="18" customHeight="1">
      <c r="A241" s="184"/>
      <c r="V241" s="185"/>
    </row>
    <row r="242" spans="1:22" ht="18" customHeight="1">
      <c r="A242" s="184"/>
      <c r="I242" s="14"/>
      <c r="J242" s="14"/>
      <c r="V242" s="185"/>
    </row>
    <row r="243" spans="1:22" ht="18" customHeight="1">
      <c r="A243" s="194"/>
      <c r="B243" s="195"/>
      <c r="C243" s="195"/>
      <c r="D243" s="195"/>
      <c r="E243" s="195"/>
      <c r="F243" s="195"/>
      <c r="G243" s="195"/>
      <c r="H243" s="195"/>
      <c r="I243" s="195"/>
      <c r="J243" s="195"/>
      <c r="K243" s="195"/>
      <c r="L243" s="195"/>
      <c r="M243" s="195"/>
      <c r="N243" s="195"/>
      <c r="O243" s="195"/>
      <c r="P243" s="195"/>
      <c r="Q243" s="224"/>
      <c r="R243" s="182"/>
      <c r="S243" s="225"/>
      <c r="T243" s="195"/>
      <c r="U243" s="195"/>
      <c r="V243" s="134"/>
    </row>
    <row r="244" spans="1:22" ht="18" customHeight="1">
      <c r="A244" s="226"/>
      <c r="B244" s="227"/>
      <c r="C244" s="227"/>
      <c r="D244" s="227"/>
      <c r="E244" s="227"/>
      <c r="F244" s="227"/>
      <c r="G244" s="227"/>
      <c r="H244" s="227"/>
      <c r="I244" s="227"/>
      <c r="J244" s="227"/>
      <c r="K244" s="227"/>
      <c r="L244" s="227"/>
      <c r="M244" s="227"/>
      <c r="N244" s="227"/>
      <c r="O244" s="227"/>
      <c r="P244" s="227"/>
      <c r="Q244" s="227"/>
      <c r="R244" s="227"/>
      <c r="S244" s="227"/>
      <c r="T244" s="227"/>
      <c r="U244" s="227"/>
      <c r="V244" s="228"/>
    </row>
    <row r="245" spans="1:22" ht="18" customHeight="1">
      <c r="A245" s="799" t="s">
        <v>417</v>
      </c>
      <c r="B245" s="1074"/>
      <c r="C245" s="1074"/>
      <c r="D245" s="689">
        <v>30</v>
      </c>
      <c r="E245" s="689" t="s">
        <v>315</v>
      </c>
      <c r="F245" s="689" t="s">
        <v>609</v>
      </c>
      <c r="G245" s="689"/>
      <c r="H245" s="689" t="s">
        <v>315</v>
      </c>
      <c r="I245" s="708" t="s">
        <v>411</v>
      </c>
      <c r="J245" s="708"/>
      <c r="K245" s="689" t="s">
        <v>315</v>
      </c>
      <c r="L245" s="802" t="s">
        <v>419</v>
      </c>
      <c r="M245" s="716" t="s">
        <v>420</v>
      </c>
      <c r="N245" s="729" t="s">
        <v>347</v>
      </c>
      <c r="O245" s="716" t="s">
        <v>408</v>
      </c>
      <c r="P245" s="689" t="s">
        <v>347</v>
      </c>
      <c r="Q245" s="759" t="s">
        <v>421</v>
      </c>
      <c r="R245" s="759"/>
      <c r="S245" s="759"/>
      <c r="T245" s="798" t="s">
        <v>350</v>
      </c>
      <c r="U245" s="230" t="s">
        <v>422</v>
      </c>
      <c r="V245" s="97"/>
    </row>
    <row r="246" spans="1:22" ht="18" customHeight="1">
      <c r="A246" s="799"/>
      <c r="B246" s="1074"/>
      <c r="C246" s="1074"/>
      <c r="D246" s="689"/>
      <c r="E246" s="689"/>
      <c r="F246" s="689"/>
      <c r="G246" s="689"/>
      <c r="H246" s="689"/>
      <c r="I246" s="1189" t="s">
        <v>423</v>
      </c>
      <c r="J246" s="1189"/>
      <c r="K246" s="689"/>
      <c r="L246" s="802"/>
      <c r="M246" s="716"/>
      <c r="N246" s="729"/>
      <c r="O246" s="716"/>
      <c r="P246" s="689"/>
      <c r="Q246" s="28" t="s">
        <v>146</v>
      </c>
      <c r="R246" s="28" t="s">
        <v>315</v>
      </c>
      <c r="S246" s="28" t="s">
        <v>146</v>
      </c>
      <c r="T246" s="798"/>
      <c r="U246" s="14"/>
      <c r="V246" s="97"/>
    </row>
    <row r="247" spans="1:22" ht="18" customHeight="1">
      <c r="A247" s="184"/>
      <c r="V247" s="185"/>
    </row>
    <row r="248" spans="1:22" ht="18" customHeight="1">
      <c r="A248" s="799" t="s">
        <v>417</v>
      </c>
      <c r="B248" s="1074"/>
      <c r="C248" s="1074"/>
      <c r="D248" s="689">
        <v>2</v>
      </c>
      <c r="E248" s="689" t="s">
        <v>315</v>
      </c>
      <c r="F248" s="689" t="s">
        <v>613</v>
      </c>
      <c r="G248" s="689"/>
      <c r="H248" s="689" t="s">
        <v>315</v>
      </c>
      <c r="I248" s="708" t="s">
        <v>411</v>
      </c>
      <c r="J248" s="708"/>
      <c r="K248" s="689" t="s">
        <v>315</v>
      </c>
      <c r="L248" s="802" t="s">
        <v>419</v>
      </c>
      <c r="M248" s="716" t="s">
        <v>420</v>
      </c>
      <c r="N248" s="729" t="s">
        <v>347</v>
      </c>
      <c r="O248" s="716" t="s">
        <v>408</v>
      </c>
      <c r="P248" s="689" t="s">
        <v>347</v>
      </c>
      <c r="Q248" s="759" t="s">
        <v>421</v>
      </c>
      <c r="R248" s="759"/>
      <c r="S248" s="759"/>
      <c r="T248" s="798" t="s">
        <v>350</v>
      </c>
      <c r="U248" s="230" t="s">
        <v>426</v>
      </c>
      <c r="V248" s="97"/>
    </row>
    <row r="249" spans="1:22" ht="18" customHeight="1">
      <c r="A249" s="799"/>
      <c r="B249" s="1074"/>
      <c r="C249" s="1074"/>
      <c r="D249" s="689"/>
      <c r="E249" s="689"/>
      <c r="F249" s="689"/>
      <c r="G249" s="689"/>
      <c r="H249" s="689"/>
      <c r="I249" s="1189" t="s">
        <v>423</v>
      </c>
      <c r="J249" s="1189"/>
      <c r="K249" s="689"/>
      <c r="L249" s="802"/>
      <c r="M249" s="716"/>
      <c r="N249" s="729"/>
      <c r="O249" s="716"/>
      <c r="P249" s="689"/>
      <c r="Q249" s="28" t="s">
        <v>146</v>
      </c>
      <c r="R249" s="28" t="s">
        <v>315</v>
      </c>
      <c r="S249" s="28" t="s">
        <v>146</v>
      </c>
      <c r="T249" s="798"/>
      <c r="U249" s="14"/>
      <c r="V249" s="97"/>
    </row>
    <row r="250" spans="1:22" ht="18" customHeight="1">
      <c r="A250" s="184"/>
      <c r="V250" s="185"/>
    </row>
    <row r="251" spans="1:22" ht="18" customHeight="1">
      <c r="A251" s="1206" t="s">
        <v>616</v>
      </c>
      <c r="B251" s="1255"/>
      <c r="C251" s="1255"/>
      <c r="D251" s="1255"/>
      <c r="E251" s="1255"/>
      <c r="F251" s="1255"/>
      <c r="G251" s="1255"/>
      <c r="H251" s="1255"/>
      <c r="I251" s="1255"/>
      <c r="J251" s="1255"/>
      <c r="K251" s="1255"/>
      <c r="L251" s="1255"/>
      <c r="M251" s="1255"/>
      <c r="N251" s="1255"/>
      <c r="O251" s="1255"/>
      <c r="P251" s="1255"/>
      <c r="Q251" s="1255"/>
      <c r="R251" s="1255"/>
      <c r="S251" s="1255"/>
      <c r="T251" s="1255"/>
      <c r="U251" s="1255"/>
      <c r="V251" s="1256"/>
    </row>
    <row r="252" spans="1:22" ht="18" customHeight="1">
      <c r="A252" s="1206"/>
      <c r="B252" s="1255"/>
      <c r="C252" s="1255"/>
      <c r="D252" s="1255"/>
      <c r="E252" s="1255"/>
      <c r="F252" s="1255"/>
      <c r="G252" s="1255"/>
      <c r="H252" s="1255"/>
      <c r="I252" s="1255"/>
      <c r="J252" s="1255"/>
      <c r="K252" s="1255"/>
      <c r="L252" s="1255"/>
      <c r="M252" s="1255"/>
      <c r="N252" s="1255"/>
      <c r="O252" s="1255"/>
      <c r="P252" s="1255"/>
      <c r="Q252" s="1255"/>
      <c r="R252" s="1255"/>
      <c r="S252" s="1255"/>
      <c r="T252" s="1255"/>
      <c r="U252" s="1255"/>
      <c r="V252" s="1256"/>
    </row>
    <row r="253" spans="1:22" ht="18" customHeight="1">
      <c r="A253" s="231"/>
      <c r="B253" s="232"/>
      <c r="C253" s="232"/>
      <c r="D253" s="232"/>
      <c r="E253" s="232"/>
      <c r="F253" s="232"/>
      <c r="G253" s="232"/>
      <c r="H253" s="232"/>
      <c r="I253" s="232"/>
      <c r="J253" s="232"/>
      <c r="K253" s="232"/>
      <c r="L253" s="232"/>
      <c r="M253" s="232"/>
      <c r="N253" s="232"/>
      <c r="O253" s="232"/>
      <c r="P253" s="232"/>
      <c r="Q253" s="232"/>
      <c r="R253" s="232"/>
      <c r="S253" s="232"/>
      <c r="T253" s="232"/>
      <c r="U253" s="232"/>
      <c r="V253" s="233"/>
    </row>
    <row r="254" spans="1:22" ht="18" customHeight="1">
      <c r="A254" s="1257" t="s">
        <v>417</v>
      </c>
      <c r="B254" s="1258"/>
      <c r="C254" s="1258"/>
      <c r="D254" s="689"/>
      <c r="E254" s="689"/>
      <c r="F254" s="689" t="s">
        <v>617</v>
      </c>
      <c r="G254" s="689"/>
      <c r="H254" s="689" t="s">
        <v>315</v>
      </c>
      <c r="I254" s="708" t="s">
        <v>411</v>
      </c>
      <c r="J254" s="708"/>
      <c r="K254" s="689" t="s">
        <v>315</v>
      </c>
      <c r="L254" s="802" t="s">
        <v>419</v>
      </c>
      <c r="M254" s="716" t="s">
        <v>420</v>
      </c>
      <c r="N254" s="729" t="s">
        <v>347</v>
      </c>
      <c r="O254" s="716" t="s">
        <v>408</v>
      </c>
      <c r="P254" s="689" t="s">
        <v>347</v>
      </c>
      <c r="Q254" s="759" t="s">
        <v>421</v>
      </c>
      <c r="R254" s="759"/>
      <c r="S254" s="759"/>
      <c r="T254" s="798" t="s">
        <v>350</v>
      </c>
      <c r="U254" s="230" t="s">
        <v>618</v>
      </c>
      <c r="V254" s="97"/>
    </row>
    <row r="255" spans="1:22" ht="18" customHeight="1">
      <c r="A255" s="1257"/>
      <c r="B255" s="1258"/>
      <c r="C255" s="1258"/>
      <c r="D255" s="689"/>
      <c r="E255" s="689"/>
      <c r="F255" s="689"/>
      <c r="G255" s="689"/>
      <c r="H255" s="689"/>
      <c r="I255" s="1189" t="s">
        <v>423</v>
      </c>
      <c r="J255" s="1189"/>
      <c r="K255" s="689"/>
      <c r="L255" s="802"/>
      <c r="M255" s="716"/>
      <c r="N255" s="729"/>
      <c r="O255" s="716"/>
      <c r="P255" s="689"/>
      <c r="Q255" s="28" t="s">
        <v>146</v>
      </c>
      <c r="R255" s="28" t="s">
        <v>315</v>
      </c>
      <c r="S255" s="28" t="s">
        <v>146</v>
      </c>
      <c r="T255" s="798"/>
      <c r="U255" s="14"/>
      <c r="V255" s="97"/>
    </row>
    <row r="256" spans="1:22" ht="18" customHeight="1">
      <c r="A256" s="96"/>
      <c r="B256" s="14"/>
      <c r="C256" s="14"/>
      <c r="D256" s="28"/>
      <c r="E256" s="28"/>
      <c r="F256" s="27"/>
      <c r="G256" s="27"/>
      <c r="H256" s="28"/>
      <c r="I256" s="28"/>
      <c r="K256" s="28"/>
      <c r="L256" s="120"/>
      <c r="M256" s="14"/>
      <c r="N256" s="102"/>
      <c r="O256" s="14"/>
      <c r="P256" s="28"/>
      <c r="Q256" s="28"/>
      <c r="R256" s="28"/>
      <c r="S256" s="28"/>
      <c r="T256" s="40"/>
      <c r="U256" s="14"/>
      <c r="V256" s="97"/>
    </row>
    <row r="257" spans="1:22" ht="18" customHeight="1">
      <c r="A257" s="184"/>
      <c r="H257" s="30" t="s">
        <v>619</v>
      </c>
      <c r="M257" s="781" t="s">
        <v>1077</v>
      </c>
      <c r="N257" s="782"/>
      <c r="V257" s="185"/>
    </row>
    <row r="258" spans="1:22" ht="18" customHeight="1">
      <c r="A258" s="96"/>
      <c r="B258" s="14"/>
      <c r="C258" s="14"/>
      <c r="D258" s="28"/>
      <c r="E258" s="28"/>
      <c r="F258" s="27"/>
      <c r="G258" s="27"/>
      <c r="H258" s="28"/>
      <c r="I258" s="28"/>
      <c r="K258" s="28"/>
      <c r="L258" s="120"/>
      <c r="M258" s="14"/>
      <c r="N258" s="102"/>
      <c r="O258" s="14"/>
      <c r="P258" s="28"/>
      <c r="Q258" s="28"/>
      <c r="R258" s="28"/>
      <c r="S258" s="28"/>
      <c r="T258" s="40"/>
      <c r="U258" s="14"/>
      <c r="V258" s="97"/>
    </row>
    <row r="259" spans="1:22" ht="18" customHeight="1">
      <c r="A259" s="184"/>
      <c r="B259" s="14" t="s">
        <v>427</v>
      </c>
      <c r="C259" s="14"/>
      <c r="D259" s="103"/>
      <c r="E259" s="103"/>
      <c r="F259" s="14"/>
      <c r="G259" s="14"/>
      <c r="H259" s="5"/>
      <c r="I259" s="5"/>
      <c r="J259" s="5"/>
      <c r="P259" s="120" t="s">
        <v>428</v>
      </c>
      <c r="V259" s="185"/>
    </row>
    <row r="260" spans="1:22" ht="18" customHeight="1">
      <c r="A260" s="184"/>
      <c r="B260" s="14" t="s">
        <v>429</v>
      </c>
      <c r="C260" s="14"/>
      <c r="D260" s="103"/>
      <c r="E260" s="103"/>
      <c r="F260" s="14"/>
      <c r="G260" s="14"/>
      <c r="H260" s="5"/>
      <c r="I260" s="5"/>
      <c r="J260" s="5"/>
      <c r="P260" s="120" t="s">
        <v>430</v>
      </c>
      <c r="Q260" s="234" t="s">
        <v>127</v>
      </c>
      <c r="R260" s="689">
        <f>H208</f>
        <v>3200</v>
      </c>
      <c r="S260" s="689"/>
      <c r="T260" s="14" t="s">
        <v>8</v>
      </c>
      <c r="V260" s="185"/>
    </row>
    <row r="261" spans="1:22" ht="18" customHeight="1">
      <c r="A261" s="184"/>
      <c r="B261" s="14" t="s">
        <v>621</v>
      </c>
      <c r="C261" s="14"/>
      <c r="D261" s="14"/>
      <c r="E261" s="14"/>
      <c r="F261" s="14"/>
      <c r="G261" s="14"/>
      <c r="H261" s="14"/>
      <c r="I261" s="14"/>
      <c r="J261" s="14"/>
      <c r="P261" s="120" t="s">
        <v>609</v>
      </c>
      <c r="Q261" s="234" t="s">
        <v>127</v>
      </c>
      <c r="R261" s="795">
        <f>J229</f>
        <v>437.38656756789834</v>
      </c>
      <c r="S261" s="795"/>
      <c r="T261" s="14" t="s">
        <v>8</v>
      </c>
      <c r="V261" s="185"/>
    </row>
    <row r="262" spans="1:22" ht="18" customHeight="1">
      <c r="A262" s="184"/>
      <c r="B262" s="14" t="s">
        <v>622</v>
      </c>
      <c r="C262" s="14"/>
      <c r="D262" s="14"/>
      <c r="E262" s="14"/>
      <c r="F262" s="14"/>
      <c r="G262" s="14"/>
      <c r="H262" s="14"/>
      <c r="I262" s="14"/>
      <c r="J262" s="14"/>
      <c r="P262" s="120" t="s">
        <v>613</v>
      </c>
      <c r="Q262" s="234" t="s">
        <v>127</v>
      </c>
      <c r="R262" s="795">
        <f>O235</f>
        <v>1749.5462702715934</v>
      </c>
      <c r="S262" s="795"/>
      <c r="T262" s="14" t="s">
        <v>8</v>
      </c>
      <c r="V262" s="185"/>
    </row>
    <row r="263" spans="1:22" ht="18" customHeight="1">
      <c r="A263" s="184"/>
      <c r="B263" s="235" t="s">
        <v>623</v>
      </c>
      <c r="C263" s="14"/>
      <c r="D263" s="14"/>
      <c r="E263" s="14"/>
      <c r="F263" s="14"/>
      <c r="G263" s="14"/>
      <c r="H263" s="14"/>
      <c r="I263" s="14"/>
      <c r="J263" s="14"/>
      <c r="P263" s="120"/>
      <c r="Q263" s="236"/>
      <c r="R263" s="27"/>
      <c r="S263" s="27"/>
      <c r="T263" s="14"/>
      <c r="V263" s="185"/>
    </row>
    <row r="264" spans="1:22" ht="18" customHeight="1">
      <c r="A264" s="184"/>
      <c r="B264" s="14" t="s">
        <v>622</v>
      </c>
      <c r="C264" s="14"/>
      <c r="D264" s="14"/>
      <c r="E264" s="14"/>
      <c r="F264" s="14"/>
      <c r="G264" s="14"/>
      <c r="H264" s="14"/>
      <c r="I264" s="14"/>
      <c r="J264" s="14"/>
      <c r="P264" s="120" t="s">
        <v>617</v>
      </c>
      <c r="Q264" s="234" t="s">
        <v>127</v>
      </c>
      <c r="R264" s="684">
        <f>IF(M257="Y",'[2]Parameters &amp; Fault Cal.'!Q31,"-")</f>
        <v>40000</v>
      </c>
      <c r="S264" s="684"/>
      <c r="T264" s="14" t="s">
        <v>8</v>
      </c>
      <c r="V264" s="185"/>
    </row>
    <row r="265" spans="1:22" ht="18" customHeight="1">
      <c r="A265" s="184"/>
      <c r="B265" s="235" t="s">
        <v>624</v>
      </c>
      <c r="C265" s="14"/>
      <c r="D265" s="14"/>
      <c r="E265" s="14"/>
      <c r="F265" s="14"/>
      <c r="G265" s="14"/>
      <c r="H265" s="14"/>
      <c r="I265" s="14"/>
      <c r="J265" s="14"/>
      <c r="R265" s="27"/>
      <c r="S265" s="27"/>
      <c r="T265" s="14"/>
      <c r="V265" s="185"/>
    </row>
    <row r="266" spans="1:22" ht="18" customHeight="1">
      <c r="A266" s="184"/>
      <c r="B266" s="14" t="s">
        <v>435</v>
      </c>
      <c r="C266" s="14"/>
      <c r="D266" s="103"/>
      <c r="E266" s="103"/>
      <c r="F266" s="14"/>
      <c r="G266" s="14"/>
      <c r="H266" s="5"/>
      <c r="I266" s="5"/>
      <c r="J266" s="5"/>
      <c r="P266" s="120" t="s">
        <v>436</v>
      </c>
      <c r="Q266" s="234" t="s">
        <v>127</v>
      </c>
      <c r="R266" s="684">
        <f>O208</f>
        <v>1</v>
      </c>
      <c r="S266" s="684"/>
      <c r="T266" s="14" t="s">
        <v>8</v>
      </c>
      <c r="V266" s="185"/>
    </row>
    <row r="267" spans="1:22" ht="18" customHeight="1">
      <c r="A267" s="184"/>
      <c r="B267" s="14" t="s">
        <v>437</v>
      </c>
      <c r="C267" s="14"/>
      <c r="D267" s="103"/>
      <c r="E267" s="103"/>
      <c r="F267" s="14"/>
      <c r="G267" s="14"/>
      <c r="H267" s="5"/>
      <c r="I267" s="5"/>
      <c r="J267" s="5"/>
      <c r="P267" s="120" t="s">
        <v>438</v>
      </c>
      <c r="Q267" s="234" t="s">
        <v>127</v>
      </c>
      <c r="R267" s="684">
        <f>'CT-VT Burdens'!S18</f>
        <v>1</v>
      </c>
      <c r="S267" s="684"/>
      <c r="T267" s="14" t="s">
        <v>8</v>
      </c>
      <c r="V267" s="185"/>
    </row>
    <row r="268" spans="1:22" ht="18" customHeight="1">
      <c r="A268" s="184"/>
      <c r="B268" s="14" t="s">
        <v>439</v>
      </c>
      <c r="C268" s="14"/>
      <c r="D268" s="103"/>
      <c r="E268" s="103"/>
      <c r="F268" s="14"/>
      <c r="G268" s="14"/>
      <c r="H268" s="5"/>
      <c r="I268" s="5"/>
      <c r="J268" s="5"/>
      <c r="P268" s="120" t="s">
        <v>440</v>
      </c>
      <c r="Q268" s="234" t="s">
        <v>127</v>
      </c>
      <c r="R268" s="684">
        <f>H210</f>
        <v>16</v>
      </c>
      <c r="S268" s="684"/>
      <c r="T268" s="192" t="s">
        <v>333</v>
      </c>
      <c r="V268" s="185"/>
    </row>
    <row r="269" spans="1:22" ht="18" customHeight="1">
      <c r="A269" s="184"/>
      <c r="B269" s="14" t="s">
        <v>625</v>
      </c>
      <c r="C269" s="14"/>
      <c r="D269" s="14"/>
      <c r="E269" s="14"/>
      <c r="F269" s="14"/>
      <c r="G269" s="14"/>
      <c r="H269" s="14"/>
      <c r="I269" s="14"/>
      <c r="J269" s="14"/>
      <c r="P269" s="237" t="s">
        <v>441</v>
      </c>
      <c r="Q269" s="234" t="s">
        <v>127</v>
      </c>
      <c r="R269" s="795">
        <f>P220</f>
        <v>1.0970224400000002</v>
      </c>
      <c r="S269" s="795"/>
      <c r="T269" s="192" t="s">
        <v>333</v>
      </c>
      <c r="V269" s="185"/>
    </row>
    <row r="270" spans="1:22" ht="18" customHeight="1">
      <c r="A270" s="184"/>
      <c r="B270" s="40" t="s">
        <v>626</v>
      </c>
      <c r="C270" s="14"/>
      <c r="D270" s="14"/>
      <c r="E270" s="14"/>
      <c r="F270" s="14"/>
      <c r="G270" s="14"/>
      <c r="H270" s="5"/>
      <c r="I270" s="5"/>
      <c r="J270" s="5"/>
      <c r="P270" s="237" t="s">
        <v>443</v>
      </c>
      <c r="Q270" s="234" t="s">
        <v>127</v>
      </c>
      <c r="R270" s="795">
        <f>J216</f>
        <v>0.02</v>
      </c>
      <c r="S270" s="795"/>
      <c r="T270" s="14" t="s">
        <v>157</v>
      </c>
      <c r="V270" s="185"/>
    </row>
    <row r="271" spans="1:22" ht="18" customHeight="1">
      <c r="A271" s="184"/>
      <c r="V271" s="185"/>
    </row>
    <row r="272" spans="1:22" s="14" customFormat="1" ht="18" hidden="1" customHeight="1">
      <c r="A272" s="799" t="s">
        <v>417</v>
      </c>
      <c r="B272" s="1074"/>
      <c r="C272" s="1074"/>
      <c r="D272" s="805">
        <v>30</v>
      </c>
      <c r="E272" s="805" t="s">
        <v>315</v>
      </c>
      <c r="F272" s="1184">
        <f>R261</f>
        <v>437.38656756789834</v>
      </c>
      <c r="G272" s="1184"/>
      <c r="H272" s="805" t="s">
        <v>315</v>
      </c>
      <c r="I272" s="822">
        <f>R266</f>
        <v>1</v>
      </c>
      <c r="J272" s="822"/>
      <c r="K272" s="805" t="s">
        <v>315</v>
      </c>
      <c r="L272" s="815" t="s">
        <v>419</v>
      </c>
      <c r="M272" s="815">
        <f>R268</f>
        <v>16</v>
      </c>
      <c r="N272" s="816" t="s">
        <v>347</v>
      </c>
      <c r="O272" s="817">
        <f>R269</f>
        <v>1.0970224400000002</v>
      </c>
      <c r="P272" s="805" t="s">
        <v>347</v>
      </c>
      <c r="Q272" s="1259">
        <f>R270</f>
        <v>0.02</v>
      </c>
      <c r="R272" s="1259"/>
      <c r="S272" s="1259"/>
      <c r="T272" s="798" t="s">
        <v>350</v>
      </c>
      <c r="U272" s="230" t="s">
        <v>422</v>
      </c>
      <c r="V272" s="97"/>
    </row>
    <row r="273" spans="1:29" ht="18" hidden="1" customHeight="1">
      <c r="A273" s="799"/>
      <c r="B273" s="1074"/>
      <c r="C273" s="1074"/>
      <c r="D273" s="805"/>
      <c r="E273" s="805"/>
      <c r="F273" s="1184"/>
      <c r="G273" s="1184"/>
      <c r="H273" s="805"/>
      <c r="I273" s="978">
        <f>R260</f>
        <v>3200</v>
      </c>
      <c r="J273" s="978"/>
      <c r="K273" s="805"/>
      <c r="L273" s="815"/>
      <c r="M273" s="815"/>
      <c r="N273" s="816"/>
      <c r="O273" s="817"/>
      <c r="P273" s="805"/>
      <c r="Q273" s="221">
        <f>R267</f>
        <v>1</v>
      </c>
      <c r="R273" s="221" t="s">
        <v>315</v>
      </c>
      <c r="S273" s="221">
        <f>R267</f>
        <v>1</v>
      </c>
      <c r="T273" s="798"/>
      <c r="U273" s="14"/>
      <c r="V273" s="97"/>
    </row>
    <row r="274" spans="1:29" ht="18" hidden="1" customHeight="1">
      <c r="A274" s="184"/>
      <c r="V274" s="185"/>
    </row>
    <row r="275" spans="1:29" ht="18" hidden="1" customHeight="1">
      <c r="A275" s="184"/>
      <c r="C275" s="30" t="s">
        <v>127</v>
      </c>
      <c r="D275" s="812">
        <f>D272*F272*(I272/I273)*(M272+O272+(Q272/(Q273*S273)))</f>
        <v>70.18833461263398</v>
      </c>
      <c r="E275" s="813"/>
      <c r="F275" s="30" t="s">
        <v>305</v>
      </c>
      <c r="V275" s="185"/>
    </row>
    <row r="276" spans="1:29" ht="18" hidden="1" customHeight="1">
      <c r="A276" s="184"/>
      <c r="V276" s="185"/>
    </row>
    <row r="277" spans="1:29" ht="18" hidden="1" customHeight="1">
      <c r="A277" s="799" t="s">
        <v>417</v>
      </c>
      <c r="B277" s="1074"/>
      <c r="C277" s="1074"/>
      <c r="D277" s="805">
        <v>2</v>
      </c>
      <c r="E277" s="805" t="s">
        <v>315</v>
      </c>
      <c r="F277" s="1184">
        <f>R262</f>
        <v>1749.5462702715934</v>
      </c>
      <c r="G277" s="1184"/>
      <c r="H277" s="805" t="s">
        <v>315</v>
      </c>
      <c r="I277" s="822">
        <f>R266</f>
        <v>1</v>
      </c>
      <c r="J277" s="822"/>
      <c r="K277" s="805" t="s">
        <v>315</v>
      </c>
      <c r="L277" s="808" t="s">
        <v>419</v>
      </c>
      <c r="M277" s="815">
        <f>R268</f>
        <v>16</v>
      </c>
      <c r="N277" s="816" t="s">
        <v>347</v>
      </c>
      <c r="O277" s="817">
        <f>R269</f>
        <v>1.0970224400000002</v>
      </c>
      <c r="P277" s="805" t="s">
        <v>347</v>
      </c>
      <c r="Q277" s="1259">
        <f>R270</f>
        <v>0.02</v>
      </c>
      <c r="R277" s="1259"/>
      <c r="S277" s="1259"/>
      <c r="T277" s="798" t="s">
        <v>350</v>
      </c>
      <c r="U277" s="230" t="s">
        <v>426</v>
      </c>
      <c r="V277" s="97"/>
    </row>
    <row r="278" spans="1:29" ht="18" hidden="1" customHeight="1">
      <c r="A278" s="799"/>
      <c r="B278" s="1074"/>
      <c r="C278" s="1074"/>
      <c r="D278" s="805"/>
      <c r="E278" s="805"/>
      <c r="F278" s="1184"/>
      <c r="G278" s="1184"/>
      <c r="H278" s="805"/>
      <c r="I278" s="978">
        <f>R260</f>
        <v>3200</v>
      </c>
      <c r="J278" s="978"/>
      <c r="K278" s="805"/>
      <c r="L278" s="808"/>
      <c r="M278" s="815"/>
      <c r="N278" s="816"/>
      <c r="O278" s="817"/>
      <c r="P278" s="805"/>
      <c r="Q278" s="221">
        <f>R267</f>
        <v>1</v>
      </c>
      <c r="R278" s="221" t="s">
        <v>315</v>
      </c>
      <c r="S278" s="221">
        <f>R267</f>
        <v>1</v>
      </c>
      <c r="T278" s="798"/>
      <c r="U278" s="14"/>
      <c r="V278" s="97"/>
    </row>
    <row r="279" spans="1:29" ht="18" hidden="1" customHeight="1">
      <c r="A279" s="184"/>
      <c r="L279" s="244"/>
      <c r="V279" s="185"/>
    </row>
    <row r="280" spans="1:29" ht="18" hidden="1" customHeight="1">
      <c r="A280" s="184"/>
      <c r="C280" s="30" t="s">
        <v>127</v>
      </c>
      <c r="D280" s="812">
        <f>D277*F277*(I277/I278)*(M277+O277+(Q277/(Q278*S278)))</f>
        <v>18.716889230035729</v>
      </c>
      <c r="E280" s="813"/>
      <c r="F280" s="30" t="s">
        <v>305</v>
      </c>
      <c r="L280" s="244"/>
      <c r="V280" s="185"/>
      <c r="W280" s="30" t="s">
        <v>400</v>
      </c>
      <c r="AB280" s="785" t="e">
        <f>Q567</f>
        <v>#VALUE!</v>
      </c>
      <c r="AC280" s="786"/>
    </row>
    <row r="281" spans="1:29" ht="18" hidden="1" customHeight="1">
      <c r="A281" s="184"/>
      <c r="D281" s="211"/>
      <c r="E281" s="211"/>
      <c r="L281" s="244"/>
      <c r="V281" s="185"/>
    </row>
    <row r="282" spans="1:29" ht="18" hidden="1" customHeight="1">
      <c r="A282" s="184"/>
      <c r="D282" s="211"/>
      <c r="E282" s="211"/>
      <c r="L282" s="244"/>
      <c r="V282" s="185"/>
    </row>
    <row r="283" spans="1:29" ht="18" hidden="1" customHeight="1">
      <c r="A283" s="184"/>
      <c r="D283" s="211"/>
      <c r="E283" s="211"/>
      <c r="L283" s="244"/>
      <c r="V283" s="185"/>
    </row>
    <row r="284" spans="1:29" ht="18" hidden="1" customHeight="1">
      <c r="A284" s="184"/>
      <c r="D284" s="211"/>
      <c r="E284" s="211"/>
      <c r="L284" s="244"/>
      <c r="V284" s="185"/>
    </row>
    <row r="285" spans="1:29" ht="18" hidden="1" customHeight="1">
      <c r="A285" s="184"/>
      <c r="D285" s="211"/>
      <c r="E285" s="211"/>
      <c r="L285" s="244"/>
      <c r="V285" s="185"/>
    </row>
    <row r="286" spans="1:29" ht="18" hidden="1" customHeight="1">
      <c r="A286" s="184"/>
      <c r="D286" s="211"/>
      <c r="E286" s="211"/>
      <c r="L286" s="244"/>
      <c r="V286" s="185"/>
    </row>
    <row r="287" spans="1:29" ht="18" hidden="1" customHeight="1">
      <c r="A287" s="184"/>
      <c r="D287" s="211"/>
      <c r="E287" s="211"/>
      <c r="L287" s="244"/>
      <c r="V287" s="185"/>
    </row>
    <row r="288" spans="1:29" ht="18" hidden="1" customHeight="1">
      <c r="A288" s="184"/>
      <c r="D288" s="211"/>
      <c r="E288" s="211"/>
      <c r="L288" s="244"/>
      <c r="V288" s="185"/>
    </row>
    <row r="289" spans="1:22" ht="18" hidden="1" customHeight="1">
      <c r="A289" s="184"/>
      <c r="D289" s="211"/>
      <c r="E289" s="211"/>
      <c r="L289" s="244"/>
      <c r="V289" s="185"/>
    </row>
    <row r="290" spans="1:22" ht="18" hidden="1" customHeight="1">
      <c r="A290" s="184"/>
      <c r="D290" s="211"/>
      <c r="E290" s="211"/>
      <c r="L290" s="244"/>
      <c r="V290" s="185"/>
    </row>
    <row r="291" spans="1:22" s="14" customFormat="1" ht="18" hidden="1" customHeight="1">
      <c r="A291" s="184"/>
      <c r="B291" s="30"/>
      <c r="C291" s="30"/>
      <c r="D291" s="211"/>
      <c r="E291" s="211"/>
      <c r="F291" s="30"/>
      <c r="G291" s="30"/>
      <c r="H291" s="30"/>
      <c r="I291" s="30"/>
      <c r="J291" s="30"/>
      <c r="K291" s="30"/>
      <c r="L291" s="244"/>
      <c r="M291" s="30"/>
      <c r="N291" s="30"/>
      <c r="O291" s="30"/>
      <c r="P291" s="30"/>
      <c r="Q291" s="30"/>
      <c r="R291" s="30"/>
      <c r="S291" s="30"/>
      <c r="T291" s="30"/>
      <c r="U291" s="30"/>
      <c r="V291" s="185"/>
    </row>
    <row r="292" spans="1:22" s="14" customFormat="1" ht="18" hidden="1" customHeight="1">
      <c r="A292" s="184"/>
      <c r="B292" s="30"/>
      <c r="C292" s="30"/>
      <c r="D292" s="211"/>
      <c r="E292" s="211"/>
      <c r="F292" s="30"/>
      <c r="G292" s="30"/>
      <c r="H292" s="30"/>
      <c r="I292" s="30"/>
      <c r="J292" s="30"/>
      <c r="K292" s="30"/>
      <c r="L292" s="244"/>
      <c r="M292" s="30"/>
      <c r="N292" s="30"/>
      <c r="O292" s="30"/>
      <c r="P292" s="30"/>
      <c r="Q292" s="30"/>
      <c r="R292" s="30"/>
      <c r="S292" s="30"/>
      <c r="T292" s="30"/>
      <c r="U292" s="30"/>
      <c r="V292" s="185"/>
    </row>
    <row r="293" spans="1:22" s="14" customFormat="1" ht="18" hidden="1" customHeight="1">
      <c r="A293" s="290"/>
      <c r="B293" s="196"/>
      <c r="C293" s="196"/>
      <c r="D293" s="308"/>
      <c r="E293" s="308"/>
      <c r="F293" s="196"/>
      <c r="G293" s="196"/>
      <c r="H293" s="196"/>
      <c r="I293" s="196"/>
      <c r="J293" s="196"/>
      <c r="K293" s="196"/>
      <c r="L293" s="306"/>
      <c r="M293" s="196"/>
      <c r="N293" s="196"/>
      <c r="O293" s="196"/>
      <c r="P293" s="196"/>
      <c r="Q293" s="196"/>
      <c r="R293" s="196"/>
      <c r="S293" s="196"/>
      <c r="T293" s="196"/>
      <c r="U293" s="196"/>
      <c r="V293" s="291"/>
    </row>
    <row r="294" spans="1:22" s="14" customFormat="1" ht="18" hidden="1" customHeight="1">
      <c r="A294" s="194"/>
      <c r="B294" s="195"/>
      <c r="C294" s="195"/>
      <c r="D294" s="195"/>
      <c r="E294" s="195"/>
      <c r="F294" s="195"/>
      <c r="G294" s="195"/>
      <c r="H294" s="195"/>
      <c r="I294" s="195"/>
      <c r="J294" s="195"/>
      <c r="K294" s="195"/>
      <c r="L294" s="195"/>
      <c r="M294" s="195"/>
      <c r="N294" s="195"/>
      <c r="O294" s="195"/>
      <c r="P294" s="195"/>
      <c r="Q294" s="224"/>
      <c r="R294" s="182"/>
      <c r="S294" s="225"/>
      <c r="T294" s="195"/>
      <c r="U294" s="195"/>
      <c r="V294" s="134"/>
    </row>
    <row r="295" spans="1:22" s="14" customFormat="1" ht="18" hidden="1" customHeight="1">
      <c r="A295" s="1264" t="s">
        <v>417</v>
      </c>
      <c r="B295" s="1265"/>
      <c r="C295" s="1265"/>
      <c r="D295" s="1189"/>
      <c r="E295" s="1189"/>
      <c r="F295" s="978">
        <f>R264</f>
        <v>40000</v>
      </c>
      <c r="G295" s="978"/>
      <c r="H295" s="978" t="s">
        <v>315</v>
      </c>
      <c r="I295" s="972">
        <f>R266</f>
        <v>1</v>
      </c>
      <c r="J295" s="972"/>
      <c r="K295" s="978" t="s">
        <v>315</v>
      </c>
      <c r="L295" s="1260" t="s">
        <v>419</v>
      </c>
      <c r="M295" s="1261">
        <f>R268</f>
        <v>16</v>
      </c>
      <c r="N295" s="1262" t="s">
        <v>347</v>
      </c>
      <c r="O295" s="1263">
        <f>R269</f>
        <v>1.0970224400000002</v>
      </c>
      <c r="P295" s="978" t="s">
        <v>347</v>
      </c>
      <c r="Q295" s="1267">
        <f>R270</f>
        <v>0.02</v>
      </c>
      <c r="R295" s="1267"/>
      <c r="S295" s="1267"/>
      <c r="T295" s="1268" t="s">
        <v>350</v>
      </c>
      <c r="U295" s="230" t="s">
        <v>618</v>
      </c>
      <c r="V295" s="97"/>
    </row>
    <row r="296" spans="1:22" s="14" customFormat="1" ht="18" hidden="1" customHeight="1">
      <c r="A296" s="799"/>
      <c r="B296" s="1074"/>
      <c r="C296" s="1074"/>
      <c r="D296" s="689"/>
      <c r="E296" s="689"/>
      <c r="F296" s="805"/>
      <c r="G296" s="805"/>
      <c r="H296" s="805"/>
      <c r="I296" s="978">
        <f>R260</f>
        <v>3200</v>
      </c>
      <c r="J296" s="978"/>
      <c r="K296" s="805"/>
      <c r="L296" s="808"/>
      <c r="M296" s="815"/>
      <c r="N296" s="816"/>
      <c r="O296" s="817"/>
      <c r="P296" s="805"/>
      <c r="Q296" s="221">
        <f>R267</f>
        <v>1</v>
      </c>
      <c r="R296" s="221" t="s">
        <v>315</v>
      </c>
      <c r="S296" s="221">
        <f>R267</f>
        <v>1</v>
      </c>
      <c r="T296" s="798"/>
      <c r="V296" s="97"/>
    </row>
    <row r="297" spans="1:22" s="14" customFormat="1" ht="18" hidden="1" customHeight="1">
      <c r="A297" s="184"/>
      <c r="B297" s="30"/>
      <c r="C297" s="30"/>
      <c r="D297" s="30"/>
      <c r="E297" s="30"/>
      <c r="F297" s="30"/>
      <c r="G297" s="30"/>
      <c r="H297" s="30"/>
      <c r="I297" s="30"/>
      <c r="J297" s="30"/>
      <c r="K297" s="30"/>
      <c r="L297" s="30"/>
      <c r="M297" s="30"/>
      <c r="N297" s="30"/>
      <c r="O297" s="30"/>
      <c r="P297" s="30"/>
      <c r="Q297" s="30"/>
      <c r="R297" s="30"/>
      <c r="S297" s="30"/>
      <c r="T297" s="30"/>
      <c r="U297" s="30"/>
      <c r="V297" s="185"/>
    </row>
    <row r="298" spans="1:22" s="14" customFormat="1" ht="18" hidden="1" customHeight="1">
      <c r="A298" s="184"/>
      <c r="B298" s="30"/>
      <c r="C298" s="30" t="s">
        <v>127</v>
      </c>
      <c r="D298" s="812">
        <f>F295*(I295/I296)*(M295+O295+(Q295/(Q296*S296)))</f>
        <v>213.96278050000001</v>
      </c>
      <c r="E298" s="813"/>
      <c r="F298" s="30" t="s">
        <v>305</v>
      </c>
      <c r="G298" s="187" t="s">
        <v>378</v>
      </c>
      <c r="H298" s="186" t="str">
        <f>IF(M257="y","Applicable","Not applicable")</f>
        <v>Applicable</v>
      </c>
      <c r="I298" s="30"/>
      <c r="J298" s="30"/>
      <c r="K298" s="30"/>
      <c r="L298" s="30"/>
      <c r="M298" s="30"/>
      <c r="N298" s="30"/>
      <c r="O298" s="30"/>
      <c r="P298" s="30"/>
      <c r="Q298" s="30"/>
      <c r="R298" s="30"/>
      <c r="S298" s="30"/>
      <c r="T298" s="30"/>
      <c r="U298" s="30"/>
      <c r="V298" s="185"/>
    </row>
    <row r="299" spans="1:22" s="14" customFormat="1" ht="18" hidden="1" customHeight="1">
      <c r="A299" s="184"/>
      <c r="B299" s="30"/>
      <c r="C299" s="30"/>
      <c r="D299" s="30"/>
      <c r="E299" s="30"/>
      <c r="F299" s="30"/>
      <c r="G299" s="30"/>
      <c r="H299" s="30"/>
      <c r="I299" s="30"/>
      <c r="J299" s="30"/>
      <c r="K299" s="30"/>
      <c r="L299" s="30"/>
      <c r="M299" s="30"/>
      <c r="N299" s="30"/>
      <c r="O299" s="30"/>
      <c r="P299" s="30"/>
      <c r="Q299" s="30"/>
      <c r="R299" s="30"/>
      <c r="S299" s="30"/>
      <c r="T299" s="30"/>
      <c r="U299" s="30"/>
      <c r="V299" s="185"/>
    </row>
    <row r="300" spans="1:22" s="14" customFormat="1" ht="18" hidden="1" customHeight="1">
      <c r="A300" s="96" t="s">
        <v>627</v>
      </c>
      <c r="B300" s="30"/>
      <c r="C300" s="30"/>
      <c r="D300" s="30"/>
      <c r="E300" s="30"/>
      <c r="F300" s="30"/>
      <c r="G300" s="30"/>
      <c r="H300" s="30"/>
      <c r="I300" s="30"/>
      <c r="J300" s="30"/>
      <c r="K300" s="30"/>
      <c r="L300" s="30"/>
      <c r="M300" s="775">
        <f>R260</f>
        <v>3200</v>
      </c>
      <c r="N300" s="776"/>
      <c r="O300" s="30" t="s">
        <v>470</v>
      </c>
      <c r="P300" s="30"/>
      <c r="Q300" s="812">
        <f>IF(M257="Y",MAX(D275,D298),MAX(D275,D280))</f>
        <v>213.96278050000001</v>
      </c>
      <c r="R300" s="813"/>
      <c r="S300" s="30" t="s">
        <v>305</v>
      </c>
      <c r="T300" s="30"/>
      <c r="U300" s="30"/>
      <c r="V300" s="185"/>
    </row>
    <row r="301" spans="1:22" s="14" customFormat="1" ht="18" hidden="1" customHeight="1">
      <c r="A301" s="184"/>
      <c r="B301" s="30"/>
      <c r="C301" s="30"/>
      <c r="D301" s="30"/>
      <c r="E301" s="30"/>
      <c r="F301" s="30"/>
      <c r="G301" s="30"/>
      <c r="H301" s="30"/>
      <c r="I301" s="30"/>
      <c r="J301" s="30"/>
      <c r="K301" s="30"/>
      <c r="L301" s="30"/>
      <c r="M301" s="247"/>
      <c r="N301" s="247"/>
      <c r="O301" s="30"/>
      <c r="P301" s="30"/>
      <c r="Q301" s="211"/>
      <c r="R301" s="27"/>
      <c r="S301" s="30"/>
      <c r="T301" s="30"/>
      <c r="U301" s="30"/>
      <c r="V301" s="185"/>
    </row>
    <row r="302" spans="1:22" ht="18" hidden="1" customHeight="1">
      <c r="A302" s="248" t="s">
        <v>471</v>
      </c>
      <c r="B302" s="14"/>
      <c r="C302" s="14"/>
      <c r="D302" s="249"/>
      <c r="E302" s="14"/>
      <c r="F302" s="14"/>
      <c r="G302" s="47"/>
      <c r="H302" s="14"/>
      <c r="J302" s="14"/>
      <c r="K302" s="14"/>
      <c r="L302" s="14"/>
      <c r="M302" s="14"/>
      <c r="N302" s="14"/>
      <c r="O302" s="14"/>
      <c r="P302" s="250"/>
      <c r="Q302" s="251"/>
      <c r="R302" s="47"/>
      <c r="S302" s="14"/>
      <c r="V302" s="185"/>
    </row>
    <row r="303" spans="1:22" ht="18" hidden="1" customHeight="1">
      <c r="A303" s="248"/>
      <c r="B303" s="14"/>
      <c r="C303" s="14"/>
      <c r="D303" s="249"/>
      <c r="E303" s="14"/>
      <c r="F303" s="14"/>
      <c r="G303" s="47"/>
      <c r="H303" s="14"/>
      <c r="J303" s="14"/>
      <c r="K303" s="14"/>
      <c r="L303" s="14"/>
      <c r="M303" s="14"/>
      <c r="N303" s="14"/>
      <c r="O303" s="14"/>
      <c r="P303" s="250"/>
      <c r="Q303" s="251"/>
      <c r="R303" s="47"/>
      <c r="S303" s="14"/>
      <c r="V303" s="185"/>
    </row>
    <row r="304" spans="1:22" ht="18" hidden="1" customHeight="1">
      <c r="A304" s="96" t="s">
        <v>628</v>
      </c>
      <c r="V304" s="185"/>
    </row>
    <row r="305" spans="1:22" ht="18" hidden="1" customHeight="1">
      <c r="A305" s="184"/>
      <c r="N305" s="14"/>
      <c r="O305" s="14" t="s">
        <v>473</v>
      </c>
      <c r="P305" s="102" t="s">
        <v>127</v>
      </c>
      <c r="Q305" s="694" t="s">
        <v>474</v>
      </c>
      <c r="R305" s="694"/>
      <c r="S305" s="28" t="s">
        <v>315</v>
      </c>
      <c r="T305" s="28">
        <v>0.8</v>
      </c>
      <c r="V305" s="185"/>
    </row>
    <row r="306" spans="1:22" ht="18" hidden="1" customHeight="1">
      <c r="A306" s="184"/>
      <c r="N306" s="252"/>
      <c r="O306" s="14"/>
      <c r="P306" s="102" t="s">
        <v>127</v>
      </c>
      <c r="Q306" s="829">
        <f>+Q300</f>
        <v>213.96278050000001</v>
      </c>
      <c r="R306" s="829"/>
      <c r="S306" s="222" t="s">
        <v>315</v>
      </c>
      <c r="T306" s="253">
        <f>+T305</f>
        <v>0.8</v>
      </c>
      <c r="V306" s="185"/>
    </row>
    <row r="307" spans="1:22" ht="18" hidden="1" customHeight="1">
      <c r="A307" s="184"/>
      <c r="O307" s="14"/>
      <c r="P307" s="28" t="s">
        <v>127</v>
      </c>
      <c r="Q307" s="830">
        <f>Q306*T306</f>
        <v>171.17022440000002</v>
      </c>
      <c r="R307" s="1266"/>
      <c r="S307" s="28" t="s">
        <v>305</v>
      </c>
      <c r="T307" s="28"/>
      <c r="V307" s="185"/>
    </row>
    <row r="308" spans="1:22" ht="18" hidden="1" customHeight="1">
      <c r="A308" s="184"/>
      <c r="F308" s="28"/>
      <c r="G308" s="28"/>
      <c r="H308" s="14"/>
      <c r="V308" s="185"/>
    </row>
    <row r="309" spans="1:22" ht="18" hidden="1" customHeight="1">
      <c r="A309" s="184"/>
      <c r="D309" s="14" t="s">
        <v>475</v>
      </c>
      <c r="G309" s="28" t="s">
        <v>476</v>
      </c>
      <c r="H309" s="14" t="s">
        <v>477</v>
      </c>
      <c r="V309" s="185"/>
    </row>
    <row r="310" spans="1:22" ht="18" hidden="1" customHeight="1">
      <c r="A310" s="184"/>
      <c r="E310" s="684">
        <f>H211</f>
        <v>1600</v>
      </c>
      <c r="F310" s="684"/>
      <c r="G310" s="28" t="s">
        <v>476</v>
      </c>
      <c r="H310" s="795">
        <f>Q307</f>
        <v>171.17022440000002</v>
      </c>
      <c r="I310" s="795"/>
      <c r="V310" s="185"/>
    </row>
    <row r="311" spans="1:22" ht="18" hidden="1" customHeight="1">
      <c r="A311" s="184"/>
      <c r="F311" s="244" t="s">
        <v>478</v>
      </c>
      <c r="H311" s="18" t="str">
        <f>IF(E310&gt;H310,"Suitably Dimensioned","Under Dimensioned")</f>
        <v>Suitably Dimensioned</v>
      </c>
      <c r="V311" s="185"/>
    </row>
    <row r="312" spans="1:22" ht="18" hidden="1" customHeight="1">
      <c r="A312" s="184"/>
      <c r="F312" s="244"/>
      <c r="H312" s="18"/>
      <c r="V312" s="185"/>
    </row>
    <row r="313" spans="1:22" ht="18" hidden="1" customHeight="1">
      <c r="A313" s="184"/>
      <c r="F313" s="244"/>
      <c r="H313" s="18"/>
      <c r="V313" s="185"/>
    </row>
    <row r="314" spans="1:22" ht="18" hidden="1" customHeight="1">
      <c r="A314" s="184"/>
      <c r="F314" s="244"/>
      <c r="H314" s="18"/>
      <c r="V314" s="185"/>
    </row>
    <row r="315" spans="1:22" ht="18" hidden="1" customHeight="1">
      <c r="A315" s="184"/>
      <c r="F315" s="244"/>
      <c r="H315" s="18"/>
      <c r="V315" s="185"/>
    </row>
    <row r="316" spans="1:22" s="14" customFormat="1" ht="18" hidden="1" customHeight="1">
      <c r="A316" s="184"/>
      <c r="B316" s="30"/>
      <c r="C316" s="30"/>
      <c r="D316" s="30"/>
      <c r="E316" s="30"/>
      <c r="F316" s="244"/>
      <c r="G316" s="30"/>
      <c r="H316" s="18"/>
      <c r="I316" s="30"/>
      <c r="J316" s="30"/>
      <c r="K316" s="30"/>
      <c r="L316" s="30"/>
      <c r="M316" s="30"/>
      <c r="N316" s="30"/>
      <c r="O316" s="30"/>
      <c r="P316" s="30"/>
      <c r="Q316" s="30"/>
      <c r="R316" s="30"/>
      <c r="S316" s="30"/>
      <c r="T316" s="30"/>
      <c r="U316" s="30"/>
      <c r="V316" s="185"/>
    </row>
    <row r="317" spans="1:22" ht="18" hidden="1" customHeight="1">
      <c r="A317" s="184"/>
      <c r="F317" s="244"/>
      <c r="H317" s="18"/>
      <c r="V317" s="185"/>
    </row>
    <row r="318" spans="1:22" ht="18" hidden="1" customHeight="1">
      <c r="A318" s="184"/>
      <c r="F318" s="244"/>
      <c r="H318" s="18"/>
      <c r="V318" s="185"/>
    </row>
    <row r="319" spans="1:22" ht="18" hidden="1" customHeight="1">
      <c r="A319" s="184"/>
      <c r="F319" s="244"/>
      <c r="H319" s="18"/>
      <c r="V319" s="185"/>
    </row>
    <row r="320" spans="1:22" ht="18" hidden="1" customHeight="1">
      <c r="A320" s="184"/>
      <c r="F320" s="244"/>
      <c r="H320" s="18"/>
      <c r="V320" s="185"/>
    </row>
    <row r="321" spans="1:22" ht="18" hidden="1" customHeight="1">
      <c r="A321" s="184"/>
      <c r="F321" s="244"/>
      <c r="H321" s="18"/>
      <c r="V321" s="185"/>
    </row>
    <row r="322" spans="1:22" ht="18" hidden="1" customHeight="1">
      <c r="A322" s="184"/>
      <c r="F322" s="244"/>
      <c r="H322" s="18"/>
      <c r="V322" s="185"/>
    </row>
    <row r="323" spans="1:22" ht="18" hidden="1" customHeight="1">
      <c r="A323" s="184"/>
      <c r="F323" s="244"/>
      <c r="H323" s="18"/>
      <c r="V323" s="185"/>
    </row>
    <row r="324" spans="1:22" ht="18" hidden="1" customHeight="1">
      <c r="A324" s="184"/>
      <c r="F324" s="244"/>
      <c r="H324" s="18"/>
      <c r="V324" s="185"/>
    </row>
    <row r="325" spans="1:22" ht="18" hidden="1" customHeight="1">
      <c r="A325" s="184"/>
      <c r="F325" s="244"/>
      <c r="H325" s="18"/>
      <c r="V325" s="185"/>
    </row>
    <row r="326" spans="1:22" ht="18" hidden="1" customHeight="1">
      <c r="A326" s="184"/>
      <c r="F326" s="244"/>
      <c r="H326" s="18"/>
      <c r="V326" s="185"/>
    </row>
    <row r="327" spans="1:22" ht="18" hidden="1" customHeight="1">
      <c r="A327" s="184"/>
      <c r="F327" s="244"/>
      <c r="H327" s="18"/>
      <c r="V327" s="185"/>
    </row>
    <row r="328" spans="1:22" ht="18" hidden="1" customHeight="1">
      <c r="A328" s="184"/>
      <c r="F328" s="244"/>
      <c r="H328" s="18"/>
      <c r="V328" s="185"/>
    </row>
    <row r="329" spans="1:22" ht="18" hidden="1" customHeight="1">
      <c r="A329" s="184"/>
      <c r="F329" s="244"/>
      <c r="H329" s="18"/>
      <c r="V329" s="185"/>
    </row>
    <row r="330" spans="1:22" ht="18" hidden="1" customHeight="1">
      <c r="A330" s="184"/>
      <c r="F330" s="244"/>
      <c r="H330" s="18"/>
      <c r="V330" s="185"/>
    </row>
    <row r="331" spans="1:22" ht="18" hidden="1" customHeight="1">
      <c r="A331" s="184"/>
      <c r="F331" s="244"/>
      <c r="H331" s="18"/>
      <c r="V331" s="185"/>
    </row>
    <row r="332" spans="1:22" ht="18" hidden="1" customHeight="1">
      <c r="A332" s="184"/>
      <c r="F332" s="244"/>
      <c r="H332" s="18"/>
      <c r="V332" s="185"/>
    </row>
    <row r="333" spans="1:22" ht="18" hidden="1" customHeight="1">
      <c r="A333" s="184"/>
      <c r="F333" s="244"/>
      <c r="H333" s="18"/>
      <c r="V333" s="185"/>
    </row>
    <row r="334" spans="1:22" ht="18" hidden="1" customHeight="1">
      <c r="A334" s="184"/>
      <c r="F334" s="244"/>
      <c r="H334" s="18"/>
      <c r="V334" s="185"/>
    </row>
    <row r="335" spans="1:22" ht="18" hidden="1" customHeight="1">
      <c r="A335" s="184"/>
      <c r="F335" s="244"/>
      <c r="H335" s="18"/>
      <c r="V335" s="185"/>
    </row>
    <row r="336" spans="1:22" ht="18" hidden="1" customHeight="1">
      <c r="A336" s="184"/>
      <c r="F336" s="244"/>
      <c r="H336" s="18"/>
      <c r="V336" s="185"/>
    </row>
    <row r="337" spans="1:22" ht="18" hidden="1" customHeight="1">
      <c r="A337" s="184"/>
      <c r="V337" s="185"/>
    </row>
    <row r="338" spans="1:22" ht="18" hidden="1" customHeight="1">
      <c r="A338" s="184"/>
      <c r="V338" s="185"/>
    </row>
    <row r="339" spans="1:22" ht="18" hidden="1" customHeight="1">
      <c r="A339" s="194"/>
      <c r="B339" s="195"/>
      <c r="C339" s="195"/>
      <c r="D339" s="195"/>
      <c r="E339" s="195"/>
      <c r="F339" s="195"/>
      <c r="G339" s="195"/>
      <c r="H339" s="195"/>
      <c r="I339" s="195"/>
      <c r="J339" s="195"/>
      <c r="K339" s="195"/>
      <c r="L339" s="195"/>
      <c r="M339" s="195"/>
      <c r="N339" s="195"/>
      <c r="O339" s="195"/>
      <c r="P339" s="195"/>
      <c r="Q339" s="224"/>
      <c r="R339" s="182"/>
      <c r="S339" s="225"/>
      <c r="T339" s="195"/>
      <c r="U339" s="195"/>
      <c r="V339" s="134"/>
    </row>
    <row r="340" spans="1:22" ht="18" hidden="1" customHeight="1">
      <c r="A340" s="226"/>
      <c r="B340" s="227"/>
      <c r="C340" s="227"/>
      <c r="D340" s="227"/>
      <c r="E340" s="227"/>
      <c r="F340" s="227"/>
      <c r="G340" s="227"/>
      <c r="H340" s="227"/>
      <c r="I340" s="227"/>
      <c r="J340" s="227"/>
      <c r="K340" s="227"/>
      <c r="L340" s="227"/>
      <c r="M340" s="227"/>
      <c r="N340" s="227"/>
      <c r="O340" s="227"/>
      <c r="P340" s="227"/>
      <c r="Q340" s="227"/>
      <c r="R340" s="227"/>
      <c r="S340" s="227"/>
      <c r="T340" s="227"/>
      <c r="U340" s="227"/>
      <c r="V340" s="228"/>
    </row>
    <row r="341" spans="1:22" ht="18" hidden="1" customHeight="1">
      <c r="A341" s="184"/>
      <c r="B341" s="781" t="str">
        <f>B205</f>
        <v>T1</v>
      </c>
      <c r="C341" s="782"/>
      <c r="D341" s="781" t="str">
        <f>D205</f>
        <v>Core1</v>
      </c>
      <c r="E341" s="782"/>
      <c r="F341" s="186"/>
      <c r="H341" s="684" t="str">
        <f>G205</f>
        <v>(Multi Func. Trans. Protection +HV REF)</v>
      </c>
      <c r="I341" s="684"/>
      <c r="J341" s="684"/>
      <c r="K341" s="684"/>
      <c r="L341" s="684"/>
      <c r="M341" s="684"/>
      <c r="N341" s="684"/>
      <c r="P341" s="186"/>
      <c r="S341" s="187" t="s">
        <v>387</v>
      </c>
      <c r="T341" s="835" t="str">
        <f>T205</f>
        <v>RET670</v>
      </c>
      <c r="U341" s="836"/>
      <c r="V341" s="185"/>
    </row>
    <row r="342" spans="1:22" ht="18" hidden="1" customHeight="1">
      <c r="A342" s="184"/>
      <c r="B342" s="18">
        <f>B206</f>
        <v>0</v>
      </c>
      <c r="C342" s="18"/>
      <c r="D342" s="538"/>
      <c r="E342" s="538"/>
      <c r="F342" s="255"/>
      <c r="T342" s="839">
        <f>T206</f>
        <v>0</v>
      </c>
      <c r="U342" s="840"/>
      <c r="V342" s="185"/>
    </row>
    <row r="343" spans="1:22" ht="18" hidden="1" customHeight="1">
      <c r="A343" s="184"/>
      <c r="H343" s="708" t="s">
        <v>390</v>
      </c>
      <c r="I343" s="708"/>
      <c r="J343" s="789" t="s">
        <v>391</v>
      </c>
      <c r="K343" s="789"/>
      <c r="L343" s="708" t="s">
        <v>392</v>
      </c>
      <c r="M343" s="708"/>
      <c r="T343" s="839">
        <f>T207</f>
        <v>0</v>
      </c>
      <c r="U343" s="840"/>
      <c r="V343" s="185"/>
    </row>
    <row r="344" spans="1:22" ht="18" hidden="1" customHeight="1">
      <c r="A344" s="184"/>
      <c r="B344" s="47" t="s">
        <v>393</v>
      </c>
      <c r="H344" s="781">
        <f>H208</f>
        <v>3200</v>
      </c>
      <c r="I344" s="782"/>
      <c r="J344" s="791">
        <f>J208</f>
        <v>600</v>
      </c>
      <c r="K344" s="792"/>
      <c r="L344" s="839" t="str">
        <f>L208</f>
        <v>-</v>
      </c>
      <c r="M344" s="840"/>
      <c r="N344" s="102" t="s">
        <v>342</v>
      </c>
      <c r="O344" s="254">
        <f>O208</f>
        <v>1</v>
      </c>
      <c r="P344" s="27" t="s">
        <v>8</v>
      </c>
      <c r="V344" s="185"/>
    </row>
    <row r="345" spans="1:22" ht="18" hidden="1" customHeight="1">
      <c r="A345" s="184"/>
      <c r="B345" s="47" t="s">
        <v>394</v>
      </c>
      <c r="H345" s="14"/>
      <c r="I345" s="14"/>
      <c r="J345" s="781" t="s">
        <v>395</v>
      </c>
      <c r="K345" s="782"/>
      <c r="L345" s="14"/>
      <c r="M345" s="14"/>
      <c r="V345" s="185"/>
    </row>
    <row r="346" spans="1:22" ht="18" hidden="1" customHeight="1">
      <c r="A346" s="184"/>
      <c r="B346" s="47" t="s">
        <v>396</v>
      </c>
      <c r="I346" s="120" t="s">
        <v>497</v>
      </c>
      <c r="J346" s="781">
        <v>3</v>
      </c>
      <c r="K346" s="782"/>
      <c r="L346" s="192" t="s">
        <v>333</v>
      </c>
      <c r="N346" s="14"/>
      <c r="V346" s="185"/>
    </row>
    <row r="347" spans="1:22" ht="18" hidden="1" customHeight="1">
      <c r="A347" s="184"/>
      <c r="B347" s="47" t="s">
        <v>398</v>
      </c>
      <c r="I347" s="120" t="s">
        <v>498</v>
      </c>
      <c r="J347" s="781">
        <v>400</v>
      </c>
      <c r="K347" s="782"/>
      <c r="L347" s="14" t="s">
        <v>305</v>
      </c>
      <c r="N347" s="14"/>
      <c r="V347" s="185"/>
    </row>
    <row r="348" spans="1:22" ht="18" hidden="1" customHeight="1">
      <c r="A348" s="184"/>
      <c r="B348" s="14" t="s">
        <v>401</v>
      </c>
      <c r="I348" s="120" t="s">
        <v>402</v>
      </c>
      <c r="J348" s="781">
        <v>30</v>
      </c>
      <c r="K348" s="782"/>
      <c r="L348" s="14" t="s">
        <v>403</v>
      </c>
      <c r="N348" s="14"/>
      <c r="V348" s="185"/>
    </row>
    <row r="349" spans="1:22" ht="18" hidden="1" customHeight="1">
      <c r="A349" s="184"/>
      <c r="V349" s="185"/>
    </row>
    <row r="350" spans="1:22" ht="18" hidden="1" customHeight="1">
      <c r="A350" s="193" t="s">
        <v>404</v>
      </c>
      <c r="V350" s="185"/>
    </row>
    <row r="351" spans="1:22" ht="18" hidden="1" customHeight="1">
      <c r="A351" s="184"/>
      <c r="V351" s="185"/>
    </row>
    <row r="352" spans="1:22" ht="18" hidden="1" customHeight="1">
      <c r="A352" s="184"/>
      <c r="B352" s="194" t="s">
        <v>405</v>
      </c>
      <c r="C352" s="195"/>
      <c r="D352" s="195" t="str">
        <f>T341</f>
        <v>RET670</v>
      </c>
      <c r="E352" s="196"/>
      <c r="F352" s="196"/>
      <c r="G352" s="196"/>
      <c r="H352" s="182" t="s">
        <v>406</v>
      </c>
      <c r="I352" s="183" t="s">
        <v>127</v>
      </c>
      <c r="J352" s="696">
        <f>J216</f>
        <v>0.02</v>
      </c>
      <c r="K352" s="722"/>
      <c r="L352" s="3" t="s">
        <v>157</v>
      </c>
      <c r="N352" s="197" t="s">
        <v>407</v>
      </c>
      <c r="V352" s="185"/>
    </row>
    <row r="353" spans="1:22" ht="18" hidden="1" customHeight="1">
      <c r="A353" s="184"/>
      <c r="B353" s="96" t="s">
        <v>405</v>
      </c>
      <c r="D353" s="30">
        <f>T342</f>
        <v>0</v>
      </c>
      <c r="H353" s="27"/>
      <c r="I353" s="177" t="s">
        <v>127</v>
      </c>
      <c r="J353" s="696">
        <f>J217</f>
        <v>0</v>
      </c>
      <c r="K353" s="722"/>
      <c r="L353" s="198" t="s">
        <v>157</v>
      </c>
      <c r="V353" s="185"/>
    </row>
    <row r="354" spans="1:22" ht="18" hidden="1" customHeight="1">
      <c r="A354" s="184"/>
      <c r="B354" s="96" t="s">
        <v>405</v>
      </c>
      <c r="D354" s="30">
        <f>T343</f>
        <v>0</v>
      </c>
      <c r="E354" s="14"/>
      <c r="G354" s="199"/>
      <c r="H354" s="27"/>
      <c r="I354" s="177" t="s">
        <v>127</v>
      </c>
      <c r="J354" s="696">
        <f>J218</f>
        <v>0</v>
      </c>
      <c r="K354" s="722"/>
      <c r="L354" s="202" t="s">
        <v>157</v>
      </c>
      <c r="N354" s="30" t="s">
        <v>408</v>
      </c>
      <c r="O354" s="27" t="s">
        <v>127</v>
      </c>
      <c r="P354" s="30" t="s">
        <v>409</v>
      </c>
      <c r="Q354" s="191" t="s">
        <v>410</v>
      </c>
      <c r="R354" s="244" t="s">
        <v>411</v>
      </c>
      <c r="S354" s="27" t="s">
        <v>315</v>
      </c>
      <c r="T354" s="30" t="s">
        <v>411</v>
      </c>
      <c r="U354" s="30" t="s">
        <v>350</v>
      </c>
      <c r="V354" s="185"/>
    </row>
    <row r="355" spans="1:22" ht="18" hidden="1" customHeight="1">
      <c r="A355" s="184"/>
      <c r="B355" s="184" t="s">
        <v>412</v>
      </c>
      <c r="H355" s="27" t="s">
        <v>599</v>
      </c>
      <c r="I355" s="177" t="s">
        <v>127</v>
      </c>
      <c r="J355" s="696">
        <f>J219</f>
        <v>1.0770224400000001</v>
      </c>
      <c r="K355" s="722"/>
      <c r="L355" s="203" t="s">
        <v>157</v>
      </c>
      <c r="O355" s="27" t="s">
        <v>127</v>
      </c>
      <c r="P355" s="204">
        <f>J356</f>
        <v>1.0970224400000002</v>
      </c>
      <c r="Q355" s="191" t="s">
        <v>410</v>
      </c>
      <c r="R355" s="27">
        <f>O344</f>
        <v>1</v>
      </c>
      <c r="S355" s="27" t="s">
        <v>315</v>
      </c>
      <c r="T355" s="27">
        <f>O344</f>
        <v>1</v>
      </c>
      <c r="U355" s="30" t="s">
        <v>350</v>
      </c>
      <c r="V355" s="185"/>
    </row>
    <row r="356" spans="1:22" ht="18" hidden="1" customHeight="1">
      <c r="A356" s="184"/>
      <c r="B356" s="205" t="s">
        <v>413</v>
      </c>
      <c r="C356" s="206"/>
      <c r="D356" s="206"/>
      <c r="E356" s="206"/>
      <c r="F356" s="207"/>
      <c r="G356" s="207"/>
      <c r="H356" s="190" t="s">
        <v>409</v>
      </c>
      <c r="I356" s="208" t="s">
        <v>127</v>
      </c>
      <c r="J356" s="696">
        <f>J352+J355</f>
        <v>1.0970224400000002</v>
      </c>
      <c r="K356" s="722"/>
      <c r="L356" s="210" t="s">
        <v>157</v>
      </c>
      <c r="O356" s="27" t="s">
        <v>127</v>
      </c>
      <c r="P356" s="795">
        <f>P355/(R355*T355)</f>
        <v>1.0970224400000002</v>
      </c>
      <c r="Q356" s="795"/>
      <c r="R356" s="192" t="s">
        <v>333</v>
      </c>
      <c r="V356" s="185"/>
    </row>
    <row r="357" spans="1:22" ht="18" hidden="1" customHeight="1">
      <c r="A357" s="184"/>
      <c r="V357" s="185"/>
    </row>
    <row r="358" spans="1:22" ht="18" hidden="1" customHeight="1">
      <c r="A358" s="193" t="s">
        <v>600</v>
      </c>
      <c r="B358" s="5"/>
      <c r="C358" s="5"/>
      <c r="D358" s="5"/>
      <c r="E358" s="5"/>
      <c r="F358" s="5"/>
      <c r="G358" s="5"/>
      <c r="H358" s="212"/>
      <c r="I358" s="212"/>
      <c r="J358" s="5"/>
      <c r="K358" s="5"/>
      <c r="L358" s="5"/>
      <c r="M358" s="5"/>
      <c r="N358" s="5"/>
      <c r="O358" s="5"/>
      <c r="P358" s="103"/>
      <c r="Q358" s="212"/>
      <c r="R358" s="213"/>
      <c r="S358" s="214"/>
      <c r="T358" s="18"/>
      <c r="U358" s="18"/>
      <c r="V358" s="97"/>
    </row>
    <row r="359" spans="1:22" ht="18" hidden="1" customHeight="1">
      <c r="A359" s="96"/>
      <c r="B359" s="47" t="s">
        <v>601</v>
      </c>
      <c r="C359" s="5"/>
      <c r="D359" s="5"/>
      <c r="E359" s="5"/>
      <c r="F359" s="14"/>
      <c r="G359" s="14"/>
      <c r="H359" s="14"/>
      <c r="I359" s="215"/>
      <c r="J359" s="14"/>
      <c r="K359" s="14"/>
      <c r="L359" s="14"/>
      <c r="M359" s="5"/>
      <c r="N359" s="14"/>
      <c r="O359" s="103" t="s">
        <v>127</v>
      </c>
      <c r="P359" s="854">
        <v>100</v>
      </c>
      <c r="Q359" s="831"/>
      <c r="R359" s="14" t="s">
        <v>602</v>
      </c>
      <c r="S359" s="214"/>
      <c r="T359" s="18"/>
      <c r="U359" s="18"/>
      <c r="V359" s="97"/>
    </row>
    <row r="360" spans="1:22" s="14" customFormat="1" ht="18" hidden="1" customHeight="1">
      <c r="A360" s="96"/>
      <c r="B360" s="47" t="s">
        <v>603</v>
      </c>
      <c r="C360" s="5"/>
      <c r="D360" s="5"/>
      <c r="E360" s="5"/>
      <c r="I360" s="215"/>
      <c r="M360" s="5"/>
      <c r="O360" s="103" t="s">
        <v>127</v>
      </c>
      <c r="P360" s="854">
        <f>P224</f>
        <v>25</v>
      </c>
      <c r="Q360" s="831"/>
      <c r="R360" s="14" t="s">
        <v>604</v>
      </c>
      <c r="S360" s="214"/>
      <c r="T360" s="18"/>
      <c r="U360" s="18"/>
      <c r="V360" s="97"/>
    </row>
    <row r="361" spans="1:22" ht="18" hidden="1" customHeight="1">
      <c r="A361" s="96"/>
      <c r="B361" s="47" t="s">
        <v>605</v>
      </c>
      <c r="C361" s="5"/>
      <c r="D361" s="5"/>
      <c r="E361" s="5"/>
      <c r="F361" s="14"/>
      <c r="G361" s="14"/>
      <c r="H361" s="14"/>
      <c r="I361" s="14"/>
      <c r="J361" s="14"/>
      <c r="K361" s="14"/>
      <c r="L361" s="14"/>
      <c r="M361" s="14"/>
      <c r="N361" s="120" t="s">
        <v>606</v>
      </c>
      <c r="O361" s="103" t="s">
        <v>607</v>
      </c>
      <c r="P361" s="854">
        <f>P225</f>
        <v>132</v>
      </c>
      <c r="Q361" s="831"/>
      <c r="R361" s="14" t="s">
        <v>163</v>
      </c>
      <c r="S361" s="214"/>
      <c r="T361" s="18"/>
      <c r="U361" s="18"/>
      <c r="V361" s="97"/>
    </row>
    <row r="362" spans="1:22" ht="18" hidden="1" customHeight="1">
      <c r="A362" s="216"/>
      <c r="B362" s="212"/>
      <c r="C362" s="212"/>
      <c r="D362" s="212"/>
      <c r="E362" s="212"/>
      <c r="F362" s="14"/>
      <c r="G362" s="14"/>
      <c r="H362" s="14"/>
      <c r="I362" s="14"/>
      <c r="J362" s="14"/>
      <c r="K362" s="14"/>
      <c r="L362" s="14"/>
      <c r="M362" s="14"/>
      <c r="N362" s="14"/>
      <c r="O362" s="14"/>
      <c r="P362" s="14"/>
      <c r="Q362" s="14"/>
      <c r="R362" s="14"/>
      <c r="S362" s="14"/>
      <c r="T362" s="18"/>
      <c r="U362" s="18"/>
      <c r="V362" s="97"/>
    </row>
    <row r="363" spans="1:22" ht="18" hidden="1" customHeight="1">
      <c r="A363" s="96"/>
      <c r="B363" s="14" t="s">
        <v>608</v>
      </c>
      <c r="C363" s="213"/>
      <c r="D363" s="213"/>
      <c r="E363" s="213"/>
      <c r="F363" s="14"/>
      <c r="G363" s="14"/>
      <c r="H363" s="120" t="s">
        <v>609</v>
      </c>
      <c r="I363" s="28" t="s">
        <v>127</v>
      </c>
      <c r="J363" s="689" t="s">
        <v>610</v>
      </c>
      <c r="K363" s="689"/>
      <c r="L363" s="28" t="s">
        <v>315</v>
      </c>
      <c r="M363" s="217">
        <v>1000</v>
      </c>
      <c r="N363" s="102" t="s">
        <v>342</v>
      </c>
      <c r="O363" s="14" t="s">
        <v>611</v>
      </c>
      <c r="P363" s="28" t="s">
        <v>315</v>
      </c>
      <c r="Q363" s="28" t="s">
        <v>606</v>
      </c>
      <c r="R363" s="47"/>
      <c r="S363" s="14"/>
      <c r="T363" s="18"/>
      <c r="U363" s="18"/>
      <c r="V363" s="97"/>
    </row>
    <row r="364" spans="1:22" ht="18" hidden="1" customHeight="1">
      <c r="A364" s="216"/>
      <c r="B364" s="213"/>
      <c r="C364" s="213"/>
      <c r="D364" s="213"/>
      <c r="E364" s="213"/>
      <c r="F364" s="212"/>
      <c r="G364" s="212"/>
      <c r="H364" s="28"/>
      <c r="I364" s="28" t="s">
        <v>127</v>
      </c>
      <c r="J364" s="689">
        <f>P359</f>
        <v>100</v>
      </c>
      <c r="K364" s="689"/>
      <c r="L364" s="28" t="s">
        <v>315</v>
      </c>
      <c r="M364" s="217">
        <v>1000</v>
      </c>
      <c r="N364" s="102" t="s">
        <v>342</v>
      </c>
      <c r="O364" s="14" t="s">
        <v>611</v>
      </c>
      <c r="P364" s="28" t="s">
        <v>315</v>
      </c>
      <c r="Q364" s="28">
        <f>P361</f>
        <v>132</v>
      </c>
      <c r="R364" s="47"/>
      <c r="S364" s="14"/>
      <c r="T364" s="18"/>
      <c r="U364" s="18"/>
      <c r="V364" s="97"/>
    </row>
    <row r="365" spans="1:22" ht="18" hidden="1" customHeight="1">
      <c r="A365" s="216"/>
      <c r="B365" s="212"/>
      <c r="C365" s="212"/>
      <c r="D365" s="212"/>
      <c r="E365" s="212"/>
      <c r="F365" s="212"/>
      <c r="G365" s="212"/>
      <c r="H365" s="14"/>
      <c r="I365" s="28" t="s">
        <v>127</v>
      </c>
      <c r="J365" s="692">
        <f>(P359*1000)/(SQRT(3)*P361)</f>
        <v>437.38656756789834</v>
      </c>
      <c r="K365" s="692"/>
      <c r="L365" s="14" t="s">
        <v>8</v>
      </c>
      <c r="M365" s="120"/>
      <c r="N365" s="120"/>
      <c r="O365" s="120"/>
      <c r="P365" s="14"/>
      <c r="Q365" s="14"/>
      <c r="R365" s="14"/>
      <c r="S365" s="14"/>
      <c r="T365" s="18"/>
      <c r="U365" s="18"/>
      <c r="V365" s="97"/>
    </row>
    <row r="366" spans="1:22" ht="18" hidden="1" customHeight="1">
      <c r="A366" s="216"/>
      <c r="B366" s="212"/>
      <c r="C366" s="212"/>
      <c r="D366" s="212"/>
      <c r="E366" s="212"/>
      <c r="F366" s="14"/>
      <c r="G366" s="212"/>
      <c r="H366" s="28"/>
      <c r="I366" s="103"/>
      <c r="J366" s="28"/>
      <c r="K366" s="14"/>
      <c r="L366" s="14"/>
      <c r="M366" s="212"/>
      <c r="N366" s="219"/>
      <c r="O366" s="212"/>
      <c r="P366" s="14"/>
      <c r="Q366" s="14"/>
      <c r="R366" s="14"/>
      <c r="S366" s="14"/>
      <c r="T366" s="18"/>
      <c r="U366" s="18"/>
      <c r="V366" s="97"/>
    </row>
    <row r="367" spans="1:22" ht="18" hidden="1" customHeight="1">
      <c r="A367" s="147" t="s">
        <v>629</v>
      </c>
      <c r="B367" s="5"/>
      <c r="C367" s="5"/>
      <c r="D367" s="5"/>
      <c r="E367" s="5"/>
      <c r="F367" s="212"/>
      <c r="G367" s="212"/>
      <c r="H367" s="5"/>
      <c r="I367" s="5"/>
      <c r="J367" s="5"/>
      <c r="K367" s="5"/>
      <c r="L367" s="103"/>
      <c r="M367" s="103"/>
      <c r="N367" s="103"/>
      <c r="O367" s="103"/>
      <c r="P367" s="212"/>
      <c r="Q367" s="213"/>
      <c r="R367" s="14"/>
      <c r="S367" s="220"/>
      <c r="T367" s="18"/>
      <c r="U367" s="18"/>
      <c r="V367" s="97"/>
    </row>
    <row r="368" spans="1:22" ht="18" hidden="1" customHeight="1">
      <c r="A368" s="147"/>
      <c r="B368" s="5"/>
      <c r="C368" s="5"/>
      <c r="D368" s="5"/>
      <c r="E368" s="5"/>
      <c r="F368" s="212"/>
      <c r="G368" s="212"/>
      <c r="H368" s="5"/>
      <c r="I368" s="5"/>
      <c r="J368" s="5"/>
      <c r="K368" s="5"/>
      <c r="L368" s="103"/>
      <c r="M368" s="103"/>
      <c r="N368" s="103"/>
      <c r="O368" s="103"/>
      <c r="P368" s="212"/>
      <c r="Q368" s="213"/>
      <c r="R368" s="14"/>
      <c r="S368" s="214"/>
      <c r="T368" s="18"/>
      <c r="U368" s="18"/>
      <c r="V368" s="97"/>
    </row>
    <row r="369" spans="1:22" ht="18" hidden="1" customHeight="1">
      <c r="A369" s="184"/>
      <c r="B369" s="14" t="s">
        <v>612</v>
      </c>
      <c r="C369" s="14"/>
      <c r="D369" s="14"/>
      <c r="E369" s="14"/>
      <c r="M369" s="120" t="s">
        <v>613</v>
      </c>
      <c r="N369" s="28" t="s">
        <v>127</v>
      </c>
      <c r="O369" s="689" t="s">
        <v>609</v>
      </c>
      <c r="P369" s="689"/>
      <c r="Q369" s="221" t="s">
        <v>630</v>
      </c>
      <c r="R369" s="221">
        <v>16</v>
      </c>
      <c r="S369" s="214"/>
      <c r="V369" s="185"/>
    </row>
    <row r="370" spans="1:22" ht="18" hidden="1" customHeight="1">
      <c r="A370" s="96"/>
      <c r="B370" s="5"/>
      <c r="C370" s="5"/>
      <c r="D370" s="5"/>
      <c r="E370" s="5"/>
      <c r="M370" s="250"/>
      <c r="N370" s="28" t="s">
        <v>127</v>
      </c>
      <c r="O370" s="692">
        <f>+J365</f>
        <v>437.38656756789834</v>
      </c>
      <c r="P370" s="692"/>
      <c r="Q370" s="221" t="s">
        <v>630</v>
      </c>
      <c r="R370" s="221">
        <v>16</v>
      </c>
      <c r="S370" s="214"/>
      <c r="V370" s="185"/>
    </row>
    <row r="371" spans="1:22" ht="18" hidden="1" customHeight="1">
      <c r="A371" s="96"/>
      <c r="B371" s="5"/>
      <c r="C371" s="5"/>
      <c r="D371" s="5"/>
      <c r="E371" s="5"/>
      <c r="M371" s="120" t="s">
        <v>613</v>
      </c>
      <c r="N371" s="28" t="s">
        <v>127</v>
      </c>
      <c r="O371" s="689">
        <f>O370*R370</f>
        <v>6998.1850810863734</v>
      </c>
      <c r="P371" s="689"/>
      <c r="Q371" s="241" t="s">
        <v>8</v>
      </c>
      <c r="R371" s="14"/>
      <c r="S371" s="214"/>
      <c r="V371" s="185"/>
    </row>
    <row r="372" spans="1:22" ht="18" hidden="1" customHeight="1">
      <c r="A372" s="96"/>
      <c r="B372" s="5"/>
      <c r="C372" s="5"/>
      <c r="D372" s="5"/>
      <c r="E372" s="5"/>
      <c r="M372" s="212"/>
      <c r="N372" s="212"/>
      <c r="O372" s="103"/>
      <c r="Q372" s="223"/>
      <c r="R372" s="14"/>
      <c r="S372" s="214"/>
      <c r="V372" s="185"/>
    </row>
    <row r="373" spans="1:22" ht="18" hidden="1" customHeight="1">
      <c r="A373" s="678" t="s">
        <v>614</v>
      </c>
      <c r="B373" s="679"/>
      <c r="C373" s="679"/>
      <c r="D373" s="679"/>
      <c r="E373" s="679"/>
      <c r="F373" s="679"/>
      <c r="G373" s="679"/>
      <c r="H373" s="679"/>
      <c r="I373" s="679"/>
      <c r="J373" s="679"/>
      <c r="K373" s="679"/>
      <c r="L373" s="679"/>
      <c r="M373" s="679"/>
      <c r="N373" s="679"/>
      <c r="O373" s="679"/>
      <c r="P373" s="679"/>
      <c r="Q373" s="679"/>
      <c r="R373" s="679"/>
      <c r="S373" s="679"/>
      <c r="T373" s="679"/>
      <c r="U373" s="679"/>
      <c r="V373" s="680"/>
    </row>
    <row r="374" spans="1:22" ht="18" hidden="1" customHeight="1">
      <c r="A374" s="678"/>
      <c r="B374" s="679"/>
      <c r="C374" s="679"/>
      <c r="D374" s="679"/>
      <c r="E374" s="679"/>
      <c r="F374" s="679"/>
      <c r="G374" s="679"/>
      <c r="H374" s="679"/>
      <c r="I374" s="679"/>
      <c r="J374" s="679"/>
      <c r="K374" s="679"/>
      <c r="L374" s="679"/>
      <c r="M374" s="679"/>
      <c r="N374" s="679"/>
      <c r="O374" s="679"/>
      <c r="P374" s="679"/>
      <c r="Q374" s="679"/>
      <c r="R374" s="679"/>
      <c r="S374" s="679"/>
      <c r="T374" s="679"/>
      <c r="U374" s="679"/>
      <c r="V374" s="680"/>
    </row>
    <row r="375" spans="1:22" ht="18" hidden="1" customHeight="1">
      <c r="A375" s="231"/>
      <c r="B375" s="232"/>
      <c r="C375" s="232"/>
      <c r="D375" s="232"/>
      <c r="E375" s="232"/>
      <c r="F375" s="232"/>
      <c r="G375" s="232"/>
      <c r="H375" s="232"/>
      <c r="I375" s="232"/>
      <c r="J375" s="232"/>
      <c r="K375" s="232"/>
      <c r="L375" s="232"/>
      <c r="M375" s="232"/>
      <c r="N375" s="232"/>
      <c r="O375" s="232"/>
      <c r="P375" s="232"/>
      <c r="Q375" s="232"/>
      <c r="R375" s="232"/>
      <c r="S375" s="232"/>
      <c r="T375" s="232"/>
      <c r="U375" s="232"/>
      <c r="V375" s="233"/>
    </row>
    <row r="376" spans="1:22" ht="18" hidden="1" customHeight="1">
      <c r="A376" s="231"/>
      <c r="B376" s="232"/>
      <c r="C376" s="232"/>
      <c r="D376" s="232"/>
      <c r="E376" s="232"/>
      <c r="F376" s="232"/>
      <c r="G376" s="232"/>
      <c r="H376" s="232"/>
      <c r="I376" s="232"/>
      <c r="J376" s="232"/>
      <c r="K376" s="232"/>
      <c r="L376" s="232"/>
      <c r="M376" s="232"/>
      <c r="N376" s="232"/>
      <c r="O376" s="232"/>
      <c r="P376" s="232"/>
      <c r="Q376" s="232"/>
      <c r="R376" s="232"/>
      <c r="S376" s="232"/>
      <c r="T376" s="232"/>
      <c r="U376" s="232"/>
      <c r="V376" s="233"/>
    </row>
    <row r="377" spans="1:22" ht="18" hidden="1" customHeight="1">
      <c r="A377" s="231"/>
      <c r="B377" s="232"/>
      <c r="C377" s="232"/>
      <c r="D377" s="232"/>
      <c r="E377" s="232"/>
      <c r="F377" s="232"/>
      <c r="G377" s="232"/>
      <c r="H377" s="232"/>
      <c r="I377" s="232"/>
      <c r="J377" s="232"/>
      <c r="K377" s="232"/>
      <c r="L377" s="232"/>
      <c r="M377" s="232"/>
      <c r="N377" s="232"/>
      <c r="O377" s="232"/>
      <c r="P377" s="232"/>
      <c r="Q377" s="232"/>
      <c r="R377" s="232"/>
      <c r="S377" s="232"/>
      <c r="T377" s="232"/>
      <c r="U377" s="232"/>
      <c r="V377" s="233"/>
    </row>
    <row r="378" spans="1:22" ht="18" hidden="1" customHeight="1">
      <c r="A378" s="231"/>
      <c r="B378" s="232"/>
      <c r="C378" s="232"/>
      <c r="D378" s="232"/>
      <c r="E378" s="232"/>
      <c r="F378" s="232"/>
      <c r="G378" s="232"/>
      <c r="H378" s="232"/>
      <c r="I378" s="232"/>
      <c r="J378" s="232"/>
      <c r="K378" s="232"/>
      <c r="L378" s="232"/>
      <c r="M378" s="232"/>
      <c r="N378" s="232"/>
      <c r="O378" s="232"/>
      <c r="P378" s="232"/>
      <c r="Q378" s="232"/>
      <c r="R378" s="232"/>
      <c r="S378" s="232"/>
      <c r="T378" s="232"/>
      <c r="U378" s="232"/>
      <c r="V378" s="233"/>
    </row>
    <row r="379" spans="1:22" ht="18" hidden="1" customHeight="1">
      <c r="A379" s="194"/>
      <c r="B379" s="195"/>
      <c r="C379" s="195"/>
      <c r="D379" s="195"/>
      <c r="E379" s="195"/>
      <c r="F379" s="195"/>
      <c r="G379" s="195"/>
      <c r="H379" s="195"/>
      <c r="I379" s="195"/>
      <c r="J379" s="195"/>
      <c r="K379" s="195"/>
      <c r="L379" s="195"/>
      <c r="M379" s="195"/>
      <c r="N379" s="195"/>
      <c r="O379" s="195"/>
      <c r="P379" s="195"/>
      <c r="Q379" s="224"/>
      <c r="R379" s="182"/>
      <c r="S379" s="225"/>
      <c r="T379" s="195"/>
      <c r="U379" s="195"/>
      <c r="V379" s="134"/>
    </row>
    <row r="380" spans="1:22" ht="18" hidden="1" customHeight="1">
      <c r="A380" s="226"/>
      <c r="B380" s="227"/>
      <c r="C380" s="227"/>
      <c r="D380" s="227"/>
      <c r="E380" s="227"/>
      <c r="F380" s="227"/>
      <c r="G380" s="227"/>
      <c r="H380" s="227"/>
      <c r="I380" s="227"/>
      <c r="J380" s="227"/>
      <c r="K380" s="227"/>
      <c r="L380" s="227"/>
      <c r="M380" s="227"/>
      <c r="N380" s="227"/>
      <c r="O380" s="227"/>
      <c r="P380" s="227"/>
      <c r="Q380" s="227"/>
      <c r="R380" s="227"/>
      <c r="S380" s="227"/>
      <c r="T380" s="227"/>
      <c r="U380" s="227"/>
      <c r="V380" s="228"/>
    </row>
    <row r="381" spans="1:22" ht="18" hidden="1" customHeight="1">
      <c r="A381" s="799" t="s">
        <v>417</v>
      </c>
      <c r="B381" s="1074"/>
      <c r="C381" s="1074"/>
      <c r="D381" s="689">
        <v>30</v>
      </c>
      <c r="E381" s="689" t="s">
        <v>315</v>
      </c>
      <c r="F381" s="689" t="s">
        <v>609</v>
      </c>
      <c r="G381" s="689"/>
      <c r="H381" s="689" t="s">
        <v>315</v>
      </c>
      <c r="I381" s="708" t="s">
        <v>411</v>
      </c>
      <c r="J381" s="708"/>
      <c r="K381" s="689" t="s">
        <v>315</v>
      </c>
      <c r="L381" s="802" t="s">
        <v>419</v>
      </c>
      <c r="M381" s="716" t="s">
        <v>420</v>
      </c>
      <c r="N381" s="729" t="s">
        <v>347</v>
      </c>
      <c r="O381" s="716" t="s">
        <v>408</v>
      </c>
      <c r="P381" s="689" t="s">
        <v>347</v>
      </c>
      <c r="Q381" s="759" t="s">
        <v>421</v>
      </c>
      <c r="R381" s="759"/>
      <c r="S381" s="759"/>
      <c r="T381" s="798" t="s">
        <v>350</v>
      </c>
      <c r="U381" s="230" t="s">
        <v>422</v>
      </c>
      <c r="V381" s="97"/>
    </row>
    <row r="382" spans="1:22" ht="18" hidden="1" customHeight="1">
      <c r="A382" s="799"/>
      <c r="B382" s="1074"/>
      <c r="C382" s="1074"/>
      <c r="D382" s="689"/>
      <c r="E382" s="689"/>
      <c r="F382" s="689"/>
      <c r="G382" s="689"/>
      <c r="H382" s="689"/>
      <c r="I382" s="1189" t="s">
        <v>423</v>
      </c>
      <c r="J382" s="1189"/>
      <c r="K382" s="689"/>
      <c r="L382" s="802"/>
      <c r="M382" s="716"/>
      <c r="N382" s="729"/>
      <c r="O382" s="716"/>
      <c r="P382" s="689"/>
      <c r="Q382" s="28" t="s">
        <v>146</v>
      </c>
      <c r="R382" s="28" t="s">
        <v>315</v>
      </c>
      <c r="S382" s="28" t="s">
        <v>146</v>
      </c>
      <c r="T382" s="798"/>
      <c r="U382" s="14"/>
      <c r="V382" s="97"/>
    </row>
    <row r="383" spans="1:22" ht="18" hidden="1" customHeight="1">
      <c r="A383" s="184"/>
      <c r="V383" s="185"/>
    </row>
    <row r="384" spans="1:22" ht="18" hidden="1" customHeight="1">
      <c r="A384" s="799" t="s">
        <v>417</v>
      </c>
      <c r="B384" s="1074"/>
      <c r="C384" s="1074"/>
      <c r="D384" s="689">
        <v>2</v>
      </c>
      <c r="E384" s="689" t="s">
        <v>315</v>
      </c>
      <c r="F384" s="689" t="s">
        <v>613</v>
      </c>
      <c r="G384" s="689"/>
      <c r="H384" s="689" t="s">
        <v>315</v>
      </c>
      <c r="I384" s="708" t="s">
        <v>411</v>
      </c>
      <c r="J384" s="708"/>
      <c r="K384" s="689" t="s">
        <v>315</v>
      </c>
      <c r="L384" s="802" t="s">
        <v>419</v>
      </c>
      <c r="M384" s="716" t="s">
        <v>420</v>
      </c>
      <c r="N384" s="729" t="s">
        <v>347</v>
      </c>
      <c r="O384" s="716" t="s">
        <v>408</v>
      </c>
      <c r="P384" s="689" t="s">
        <v>347</v>
      </c>
      <c r="Q384" s="759" t="s">
        <v>421</v>
      </c>
      <c r="R384" s="759"/>
      <c r="S384" s="759"/>
      <c r="T384" s="798" t="s">
        <v>350</v>
      </c>
      <c r="U384" s="230" t="s">
        <v>426</v>
      </c>
      <c r="V384" s="97"/>
    </row>
    <row r="385" spans="1:22" ht="18" hidden="1" customHeight="1">
      <c r="A385" s="799"/>
      <c r="B385" s="1074"/>
      <c r="C385" s="1074"/>
      <c r="D385" s="689"/>
      <c r="E385" s="689"/>
      <c r="F385" s="689"/>
      <c r="G385" s="689"/>
      <c r="H385" s="689"/>
      <c r="I385" s="1189" t="s">
        <v>423</v>
      </c>
      <c r="J385" s="1189"/>
      <c r="K385" s="689"/>
      <c r="L385" s="802"/>
      <c r="M385" s="716"/>
      <c r="N385" s="729"/>
      <c r="O385" s="716"/>
      <c r="P385" s="689"/>
      <c r="Q385" s="28" t="s">
        <v>146</v>
      </c>
      <c r="R385" s="28" t="s">
        <v>315</v>
      </c>
      <c r="S385" s="28" t="s">
        <v>146</v>
      </c>
      <c r="T385" s="798"/>
      <c r="U385" s="14"/>
      <c r="V385" s="97"/>
    </row>
    <row r="386" spans="1:22" ht="18" hidden="1" customHeight="1">
      <c r="A386" s="184"/>
      <c r="V386" s="185"/>
    </row>
    <row r="387" spans="1:22" ht="18" hidden="1" customHeight="1">
      <c r="A387" s="678" t="s">
        <v>616</v>
      </c>
      <c r="B387" s="679"/>
      <c r="C387" s="679"/>
      <c r="D387" s="679"/>
      <c r="E387" s="679"/>
      <c r="F387" s="679"/>
      <c r="G387" s="679"/>
      <c r="H387" s="679"/>
      <c r="I387" s="679"/>
      <c r="J387" s="679"/>
      <c r="K387" s="679"/>
      <c r="L387" s="679"/>
      <c r="M387" s="679"/>
      <c r="N387" s="679"/>
      <c r="O387" s="679"/>
      <c r="P387" s="679"/>
      <c r="Q387" s="679"/>
      <c r="R387" s="679"/>
      <c r="S387" s="679"/>
      <c r="T387" s="679"/>
      <c r="U387" s="679"/>
      <c r="V387" s="680"/>
    </row>
    <row r="388" spans="1:22" ht="18" hidden="1" customHeight="1">
      <c r="A388" s="678"/>
      <c r="B388" s="679"/>
      <c r="C388" s="679"/>
      <c r="D388" s="679"/>
      <c r="E388" s="679"/>
      <c r="F388" s="679"/>
      <c r="G388" s="679"/>
      <c r="H388" s="679"/>
      <c r="I388" s="679"/>
      <c r="J388" s="679"/>
      <c r="K388" s="679"/>
      <c r="L388" s="679"/>
      <c r="M388" s="679"/>
      <c r="N388" s="679"/>
      <c r="O388" s="679"/>
      <c r="P388" s="679"/>
      <c r="Q388" s="679"/>
      <c r="R388" s="679"/>
      <c r="S388" s="679"/>
      <c r="T388" s="679"/>
      <c r="U388" s="679"/>
      <c r="V388" s="680"/>
    </row>
    <row r="389" spans="1:22" ht="18" hidden="1" customHeight="1">
      <c r="A389" s="231"/>
      <c r="B389" s="232"/>
      <c r="C389" s="232"/>
      <c r="D389" s="232"/>
      <c r="E389" s="232"/>
      <c r="F389" s="232"/>
      <c r="G389" s="232"/>
      <c r="H389" s="232"/>
      <c r="I389" s="232"/>
      <c r="J389" s="232"/>
      <c r="K389" s="232"/>
      <c r="L389" s="232"/>
      <c r="M389" s="232"/>
      <c r="N389" s="232"/>
      <c r="O389" s="232"/>
      <c r="P389" s="232"/>
      <c r="Q389" s="232"/>
      <c r="R389" s="232"/>
      <c r="S389" s="232"/>
      <c r="T389" s="232"/>
      <c r="U389" s="232"/>
      <c r="V389" s="233"/>
    </row>
    <row r="390" spans="1:22" ht="18" hidden="1" customHeight="1">
      <c r="A390" s="799" t="s">
        <v>417</v>
      </c>
      <c r="B390" s="1074"/>
      <c r="C390" s="1074"/>
      <c r="D390" s="689"/>
      <c r="E390" s="689"/>
      <c r="F390" s="689" t="s">
        <v>617</v>
      </c>
      <c r="G390" s="689"/>
      <c r="H390" s="689" t="s">
        <v>315</v>
      </c>
      <c r="I390" s="708" t="s">
        <v>411</v>
      </c>
      <c r="J390" s="708"/>
      <c r="K390" s="689" t="s">
        <v>315</v>
      </c>
      <c r="L390" s="802" t="s">
        <v>419</v>
      </c>
      <c r="M390" s="716" t="s">
        <v>420</v>
      </c>
      <c r="N390" s="729" t="s">
        <v>347</v>
      </c>
      <c r="O390" s="716" t="s">
        <v>408</v>
      </c>
      <c r="P390" s="689" t="s">
        <v>347</v>
      </c>
      <c r="Q390" s="759" t="s">
        <v>421</v>
      </c>
      <c r="R390" s="759"/>
      <c r="S390" s="759"/>
      <c r="T390" s="798" t="s">
        <v>350</v>
      </c>
      <c r="U390" s="230" t="s">
        <v>618</v>
      </c>
      <c r="V390" s="97"/>
    </row>
    <row r="391" spans="1:22" ht="18" hidden="1" customHeight="1">
      <c r="A391" s="799"/>
      <c r="B391" s="1074"/>
      <c r="C391" s="1074"/>
      <c r="D391" s="689"/>
      <c r="E391" s="689"/>
      <c r="F391" s="689"/>
      <c r="G391" s="689"/>
      <c r="H391" s="689"/>
      <c r="I391" s="1189" t="s">
        <v>423</v>
      </c>
      <c r="J391" s="1189"/>
      <c r="K391" s="689"/>
      <c r="L391" s="802"/>
      <c r="M391" s="716"/>
      <c r="N391" s="729"/>
      <c r="O391" s="716"/>
      <c r="P391" s="689"/>
      <c r="Q391" s="28" t="s">
        <v>146</v>
      </c>
      <c r="R391" s="28" t="s">
        <v>315</v>
      </c>
      <c r="S391" s="28" t="s">
        <v>146</v>
      </c>
      <c r="T391" s="798"/>
      <c r="U391" s="14"/>
      <c r="V391" s="97"/>
    </row>
    <row r="392" spans="1:22" ht="18" hidden="1" customHeight="1">
      <c r="A392" s="96"/>
      <c r="B392" s="14"/>
      <c r="C392" s="14"/>
      <c r="D392" s="28"/>
      <c r="E392" s="28"/>
      <c r="F392" s="27"/>
      <c r="G392" s="27"/>
      <c r="H392" s="28"/>
      <c r="I392" s="28"/>
      <c r="K392" s="28"/>
      <c r="L392" s="120"/>
      <c r="M392" s="14"/>
      <c r="N392" s="102"/>
      <c r="O392" s="14"/>
      <c r="P392" s="28"/>
      <c r="Q392" s="28"/>
      <c r="R392" s="28"/>
      <c r="S392" s="28"/>
      <c r="T392" s="40"/>
      <c r="U392" s="14"/>
      <c r="V392" s="97"/>
    </row>
    <row r="393" spans="1:22" ht="18" hidden="1" customHeight="1">
      <c r="A393" s="184"/>
      <c r="H393" s="30" t="s">
        <v>619</v>
      </c>
      <c r="M393" s="854" t="str">
        <f>M257</f>
        <v>Y</v>
      </c>
      <c r="N393" s="831"/>
      <c r="V393" s="185"/>
    </row>
    <row r="394" spans="1:22" ht="18" hidden="1" customHeight="1">
      <c r="A394" s="96"/>
      <c r="B394" s="14"/>
      <c r="C394" s="14"/>
      <c r="D394" s="28"/>
      <c r="E394" s="28"/>
      <c r="F394" s="27"/>
      <c r="G394" s="27"/>
      <c r="H394" s="28"/>
      <c r="I394" s="28"/>
      <c r="K394" s="28"/>
      <c r="L394" s="120"/>
      <c r="M394" s="14"/>
      <c r="N394" s="102"/>
      <c r="O394" s="14"/>
      <c r="P394" s="28"/>
      <c r="Q394" s="28"/>
      <c r="R394" s="28"/>
      <c r="S394" s="28"/>
      <c r="T394" s="40"/>
      <c r="U394" s="14"/>
      <c r="V394" s="97"/>
    </row>
    <row r="395" spans="1:22" ht="18" hidden="1" customHeight="1">
      <c r="A395" s="184"/>
      <c r="B395" s="14" t="s">
        <v>427</v>
      </c>
      <c r="C395" s="14"/>
      <c r="D395" s="103"/>
      <c r="E395" s="103"/>
      <c r="F395" s="14"/>
      <c r="G395" s="14"/>
      <c r="H395" s="5"/>
      <c r="I395" s="5"/>
      <c r="J395" s="5"/>
      <c r="P395" s="120" t="s">
        <v>428</v>
      </c>
      <c r="V395" s="185"/>
    </row>
    <row r="396" spans="1:22" ht="18" hidden="1" customHeight="1">
      <c r="A396" s="184"/>
      <c r="B396" s="14" t="s">
        <v>429</v>
      </c>
      <c r="C396" s="14"/>
      <c r="D396" s="103"/>
      <c r="E396" s="103"/>
      <c r="F396" s="14"/>
      <c r="G396" s="14"/>
      <c r="H396" s="5"/>
      <c r="I396" s="5"/>
      <c r="J396" s="5"/>
      <c r="P396" s="120" t="s">
        <v>430</v>
      </c>
      <c r="Q396" s="234" t="s">
        <v>127</v>
      </c>
      <c r="R396" s="684">
        <f>J344</f>
        <v>600</v>
      </c>
      <c r="S396" s="684"/>
      <c r="T396" s="14" t="s">
        <v>8</v>
      </c>
      <c r="V396" s="185"/>
    </row>
    <row r="397" spans="1:22" ht="18" hidden="1" customHeight="1">
      <c r="A397" s="184"/>
      <c r="B397" s="14" t="s">
        <v>621</v>
      </c>
      <c r="C397" s="14"/>
      <c r="D397" s="14"/>
      <c r="E397" s="14"/>
      <c r="F397" s="14"/>
      <c r="G397" s="14"/>
      <c r="H397" s="14"/>
      <c r="I397" s="14"/>
      <c r="J397" s="14"/>
      <c r="P397" s="120" t="s">
        <v>609</v>
      </c>
      <c r="Q397" s="234" t="s">
        <v>127</v>
      </c>
      <c r="R397" s="684">
        <f>J365</f>
        <v>437.38656756789834</v>
      </c>
      <c r="S397" s="684"/>
      <c r="T397" s="14" t="s">
        <v>8</v>
      </c>
      <c r="V397" s="185"/>
    </row>
    <row r="398" spans="1:22" ht="18" hidden="1" customHeight="1">
      <c r="A398" s="184"/>
      <c r="B398" s="14" t="s">
        <v>622</v>
      </c>
      <c r="C398" s="14"/>
      <c r="D398" s="14"/>
      <c r="E398" s="14"/>
      <c r="F398" s="14"/>
      <c r="G398" s="14"/>
      <c r="H398" s="14"/>
      <c r="I398" s="14"/>
      <c r="J398" s="14"/>
      <c r="P398" s="120" t="s">
        <v>613</v>
      </c>
      <c r="Q398" s="234" t="s">
        <v>127</v>
      </c>
      <c r="R398" s="684">
        <f>O371</f>
        <v>6998.1850810863734</v>
      </c>
      <c r="S398" s="684"/>
      <c r="T398" s="14" t="s">
        <v>8</v>
      </c>
      <c r="V398" s="185"/>
    </row>
    <row r="399" spans="1:22" ht="18" hidden="1" customHeight="1">
      <c r="A399" s="184"/>
      <c r="B399" s="235" t="s">
        <v>623</v>
      </c>
      <c r="C399" s="14"/>
      <c r="D399" s="14"/>
      <c r="E399" s="14"/>
      <c r="F399" s="14"/>
      <c r="G399" s="14"/>
      <c r="H399" s="14"/>
      <c r="I399" s="14"/>
      <c r="J399" s="14"/>
      <c r="P399" s="120"/>
      <c r="Q399" s="236"/>
      <c r="R399" s="27"/>
      <c r="S399" s="27"/>
      <c r="T399" s="14"/>
      <c r="V399" s="185"/>
    </row>
    <row r="400" spans="1:22" ht="18" hidden="1" customHeight="1">
      <c r="A400" s="184"/>
      <c r="B400" s="14" t="s">
        <v>622</v>
      </c>
      <c r="C400" s="14"/>
      <c r="D400" s="14"/>
      <c r="E400" s="14"/>
      <c r="F400" s="14"/>
      <c r="G400" s="14"/>
      <c r="H400" s="14"/>
      <c r="I400" s="14"/>
      <c r="J400" s="14"/>
      <c r="P400" s="120" t="s">
        <v>617</v>
      </c>
      <c r="Q400" s="234" t="s">
        <v>127</v>
      </c>
      <c r="R400" s="684">
        <f>R264</f>
        <v>40000</v>
      </c>
      <c r="S400" s="684"/>
      <c r="T400" s="14" t="s">
        <v>8</v>
      </c>
      <c r="V400" s="185"/>
    </row>
    <row r="401" spans="1:22" ht="18" hidden="1" customHeight="1">
      <c r="A401" s="184"/>
      <c r="B401" s="235" t="s">
        <v>624</v>
      </c>
      <c r="C401" s="14"/>
      <c r="D401" s="14"/>
      <c r="E401" s="14"/>
      <c r="F401" s="14"/>
      <c r="G401" s="14"/>
      <c r="H401" s="14"/>
      <c r="I401" s="14"/>
      <c r="J401" s="14"/>
      <c r="R401" s="27"/>
      <c r="S401" s="27"/>
      <c r="T401" s="14"/>
      <c r="V401" s="185"/>
    </row>
    <row r="402" spans="1:22" ht="18" hidden="1" customHeight="1">
      <c r="A402" s="184"/>
      <c r="B402" s="14" t="s">
        <v>435</v>
      </c>
      <c r="C402" s="14"/>
      <c r="D402" s="103"/>
      <c r="E402" s="103"/>
      <c r="F402" s="14"/>
      <c r="G402" s="14"/>
      <c r="H402" s="5"/>
      <c r="I402" s="5"/>
      <c r="J402" s="5"/>
      <c r="P402" s="120" t="s">
        <v>436</v>
      </c>
      <c r="Q402" s="234" t="s">
        <v>127</v>
      </c>
      <c r="R402" s="684">
        <f>O344</f>
        <v>1</v>
      </c>
      <c r="S402" s="684"/>
      <c r="T402" s="14" t="s">
        <v>8</v>
      </c>
      <c r="V402" s="185"/>
    </row>
    <row r="403" spans="1:22" ht="18" hidden="1" customHeight="1">
      <c r="A403" s="184"/>
      <c r="B403" s="14" t="s">
        <v>437</v>
      </c>
      <c r="C403" s="14"/>
      <c r="D403" s="103"/>
      <c r="E403" s="103"/>
      <c r="F403" s="14"/>
      <c r="G403" s="14"/>
      <c r="H403" s="5"/>
      <c r="I403" s="5"/>
      <c r="J403" s="5"/>
      <c r="P403" s="120" t="s">
        <v>438</v>
      </c>
      <c r="Q403" s="234" t="s">
        <v>127</v>
      </c>
      <c r="R403" s="684">
        <f>R267</f>
        <v>1</v>
      </c>
      <c r="S403" s="684"/>
      <c r="T403" s="14" t="s">
        <v>8</v>
      </c>
      <c r="V403" s="185"/>
    </row>
    <row r="404" spans="1:22" s="14" customFormat="1" ht="18" customHeight="1">
      <c r="A404" s="184"/>
      <c r="B404" s="14" t="s">
        <v>439</v>
      </c>
      <c r="D404" s="103"/>
      <c r="E404" s="103"/>
      <c r="H404" s="5"/>
      <c r="I404" s="5"/>
      <c r="J404" s="5"/>
      <c r="K404" s="30"/>
      <c r="L404" s="30"/>
      <c r="M404" s="30"/>
      <c r="N404" s="30"/>
      <c r="O404" s="30"/>
      <c r="P404" s="120" t="s">
        <v>440</v>
      </c>
      <c r="Q404" s="234" t="s">
        <v>127</v>
      </c>
      <c r="R404" s="684">
        <f>J346</f>
        <v>3</v>
      </c>
      <c r="S404" s="684"/>
      <c r="T404" s="192" t="s">
        <v>333</v>
      </c>
      <c r="U404" s="30"/>
      <c r="V404" s="185"/>
    </row>
    <row r="405" spans="1:22" ht="18" customHeight="1">
      <c r="A405" s="184"/>
      <c r="B405" s="14" t="s">
        <v>625</v>
      </c>
      <c r="C405" s="14"/>
      <c r="D405" s="14"/>
      <c r="E405" s="14"/>
      <c r="F405" s="14"/>
      <c r="G405" s="14"/>
      <c r="H405" s="14"/>
      <c r="I405" s="14"/>
      <c r="J405" s="14"/>
      <c r="P405" s="237" t="s">
        <v>441</v>
      </c>
      <c r="Q405" s="234" t="s">
        <v>127</v>
      </c>
      <c r="R405" s="795">
        <f>P356</f>
        <v>1.0970224400000002</v>
      </c>
      <c r="S405" s="684"/>
      <c r="T405" s="192" t="s">
        <v>333</v>
      </c>
      <c r="V405" s="185"/>
    </row>
    <row r="406" spans="1:22" ht="18" customHeight="1">
      <c r="A406" s="184"/>
      <c r="B406" s="40" t="s">
        <v>626</v>
      </c>
      <c r="C406" s="14"/>
      <c r="D406" s="14"/>
      <c r="E406" s="14"/>
      <c r="F406" s="14"/>
      <c r="G406" s="14"/>
      <c r="H406" s="5"/>
      <c r="I406" s="5"/>
      <c r="J406" s="5"/>
      <c r="P406" s="237" t="s">
        <v>443</v>
      </c>
      <c r="Q406" s="234" t="s">
        <v>127</v>
      </c>
      <c r="R406" s="795">
        <f>J352</f>
        <v>0.02</v>
      </c>
      <c r="S406" s="684"/>
      <c r="T406" s="14" t="s">
        <v>157</v>
      </c>
      <c r="V406" s="185"/>
    </row>
    <row r="407" spans="1:22" ht="18" customHeight="1">
      <c r="A407" s="184"/>
      <c r="V407" s="185"/>
    </row>
    <row r="408" spans="1:22" ht="18" customHeight="1">
      <c r="A408" s="799" t="s">
        <v>417</v>
      </c>
      <c r="B408" s="802"/>
      <c r="C408" s="802"/>
      <c r="D408" s="805">
        <v>30</v>
      </c>
      <c r="E408" s="805" t="s">
        <v>315</v>
      </c>
      <c r="F408" s="1184">
        <f>R397</f>
        <v>437.38656756789834</v>
      </c>
      <c r="G408" s="1111"/>
      <c r="H408" s="805" t="s">
        <v>315</v>
      </c>
      <c r="I408" s="822">
        <f>R402</f>
        <v>1</v>
      </c>
      <c r="J408" s="1269"/>
      <c r="K408" s="805" t="s">
        <v>315</v>
      </c>
      <c r="L408" s="815" t="s">
        <v>419</v>
      </c>
      <c r="M408" s="815">
        <f>R404</f>
        <v>3</v>
      </c>
      <c r="N408" s="816" t="s">
        <v>347</v>
      </c>
      <c r="O408" s="817">
        <f>R405</f>
        <v>1.0970224400000002</v>
      </c>
      <c r="P408" s="805" t="s">
        <v>347</v>
      </c>
      <c r="Q408" s="1259">
        <f>R406</f>
        <v>0.02</v>
      </c>
      <c r="R408" s="807"/>
      <c r="S408" s="807"/>
      <c r="T408" s="798" t="s">
        <v>350</v>
      </c>
      <c r="U408" s="230" t="s">
        <v>422</v>
      </c>
      <c r="V408" s="97"/>
    </row>
    <row r="409" spans="1:22" ht="18" customHeight="1">
      <c r="A409" s="827"/>
      <c r="B409" s="802"/>
      <c r="C409" s="802"/>
      <c r="D409" s="805"/>
      <c r="E409" s="805"/>
      <c r="F409" s="1111"/>
      <c r="G409" s="1111"/>
      <c r="H409" s="805"/>
      <c r="I409" s="805">
        <f>R396</f>
        <v>600</v>
      </c>
      <c r="J409" s="1234"/>
      <c r="K409" s="805"/>
      <c r="L409" s="815"/>
      <c r="M409" s="815"/>
      <c r="N409" s="816"/>
      <c r="O409" s="815"/>
      <c r="P409" s="805"/>
      <c r="Q409" s="221">
        <f>R403</f>
        <v>1</v>
      </c>
      <c r="R409" s="221" t="s">
        <v>315</v>
      </c>
      <c r="S409" s="221">
        <f>R403</f>
        <v>1</v>
      </c>
      <c r="T409" s="798"/>
      <c r="U409" s="14"/>
      <c r="V409" s="97"/>
    </row>
    <row r="410" spans="1:22" ht="18" customHeight="1">
      <c r="A410" s="184"/>
      <c r="V410" s="185"/>
    </row>
    <row r="411" spans="1:22" ht="18" customHeight="1">
      <c r="A411" s="184"/>
      <c r="C411" s="30" t="s">
        <v>127</v>
      </c>
      <c r="D411" s="812">
        <f>D408*F408*(I408/I409)*(M408+O408+(Q408/(Q409*S409)))</f>
        <v>90.036515681580681</v>
      </c>
      <c r="E411" s="813"/>
      <c r="F411" s="30" t="s">
        <v>305</v>
      </c>
      <c r="V411" s="185"/>
    </row>
    <row r="412" spans="1:22" ht="18" customHeight="1">
      <c r="A412" s="184"/>
      <c r="V412" s="185"/>
    </row>
    <row r="413" spans="1:22" ht="18" customHeight="1">
      <c r="A413" s="799" t="s">
        <v>417</v>
      </c>
      <c r="B413" s="802"/>
      <c r="C413" s="802"/>
      <c r="D413" s="805">
        <v>2</v>
      </c>
      <c r="E413" s="805" t="s">
        <v>315</v>
      </c>
      <c r="F413" s="1184">
        <f>R398</f>
        <v>6998.1850810863734</v>
      </c>
      <c r="G413" s="1111"/>
      <c r="H413" s="805" t="s">
        <v>315</v>
      </c>
      <c r="I413" s="822">
        <f>R402</f>
        <v>1</v>
      </c>
      <c r="J413" s="1269"/>
      <c r="K413" s="805" t="s">
        <v>315</v>
      </c>
      <c r="L413" s="808" t="s">
        <v>419</v>
      </c>
      <c r="M413" s="815">
        <f>R404</f>
        <v>3</v>
      </c>
      <c r="N413" s="816" t="s">
        <v>347</v>
      </c>
      <c r="O413" s="817">
        <f>R405</f>
        <v>1.0970224400000002</v>
      </c>
      <c r="P413" s="805" t="s">
        <v>347</v>
      </c>
      <c r="Q413" s="1259">
        <f>R406</f>
        <v>0.02</v>
      </c>
      <c r="R413" s="807"/>
      <c r="S413" s="807"/>
      <c r="T413" s="798" t="s">
        <v>350</v>
      </c>
      <c r="U413" s="230" t="s">
        <v>426</v>
      </c>
      <c r="V413" s="97"/>
    </row>
    <row r="414" spans="1:22" ht="18" customHeight="1">
      <c r="A414" s="827"/>
      <c r="B414" s="802"/>
      <c r="C414" s="802"/>
      <c r="D414" s="805"/>
      <c r="E414" s="805"/>
      <c r="F414" s="1111"/>
      <c r="G414" s="1111"/>
      <c r="H414" s="805"/>
      <c r="I414" s="805">
        <f>R396</f>
        <v>600</v>
      </c>
      <c r="J414" s="1234"/>
      <c r="K414" s="805"/>
      <c r="L414" s="808"/>
      <c r="M414" s="815"/>
      <c r="N414" s="816"/>
      <c r="O414" s="815"/>
      <c r="P414" s="805"/>
      <c r="Q414" s="221">
        <f>R403</f>
        <v>1</v>
      </c>
      <c r="R414" s="221" t="s">
        <v>315</v>
      </c>
      <c r="S414" s="221">
        <f>R403</f>
        <v>1</v>
      </c>
      <c r="T414" s="798"/>
      <c r="U414" s="14"/>
      <c r="V414" s="97"/>
    </row>
    <row r="415" spans="1:22" ht="18" customHeight="1">
      <c r="A415" s="184"/>
      <c r="L415" s="244"/>
      <c r="V415" s="185"/>
    </row>
    <row r="416" spans="1:22" ht="18" customHeight="1">
      <c r="A416" s="184"/>
      <c r="C416" s="30" t="s">
        <v>127</v>
      </c>
      <c r="D416" s="812">
        <f>D413*F413*(I413/I414)*(M413+O413+(Q413/(Q414*S414)))</f>
        <v>96.038950060352732</v>
      </c>
      <c r="E416" s="813"/>
      <c r="F416" s="30" t="s">
        <v>305</v>
      </c>
      <c r="L416" s="244"/>
      <c r="V416" s="185"/>
    </row>
    <row r="417" spans="1:22" ht="18" customHeight="1">
      <c r="A417" s="184"/>
      <c r="L417" s="244"/>
      <c r="V417" s="185"/>
    </row>
    <row r="418" spans="1:22" ht="18" customHeight="1">
      <c r="A418" s="799" t="s">
        <v>417</v>
      </c>
      <c r="B418" s="802"/>
      <c r="C418" s="802"/>
      <c r="D418" s="689"/>
      <c r="E418" s="689"/>
      <c r="F418" s="805">
        <f>R400</f>
        <v>40000</v>
      </c>
      <c r="G418" s="993"/>
      <c r="H418" s="805" t="s">
        <v>315</v>
      </c>
      <c r="I418" s="822">
        <f>R402</f>
        <v>1</v>
      </c>
      <c r="J418" s="1269"/>
      <c r="K418" s="805" t="s">
        <v>315</v>
      </c>
      <c r="L418" s="808" t="s">
        <v>419</v>
      </c>
      <c r="M418" s="815">
        <f>R404</f>
        <v>3</v>
      </c>
      <c r="N418" s="816" t="s">
        <v>347</v>
      </c>
      <c r="O418" s="817">
        <f>R405</f>
        <v>1.0970224400000002</v>
      </c>
      <c r="P418" s="805" t="s">
        <v>347</v>
      </c>
      <c r="Q418" s="1259">
        <f>R406</f>
        <v>0.02</v>
      </c>
      <c r="R418" s="807"/>
      <c r="S418" s="807"/>
      <c r="T418" s="798" t="s">
        <v>350</v>
      </c>
      <c r="U418" s="230" t="s">
        <v>618</v>
      </c>
      <c r="V418" s="97"/>
    </row>
    <row r="419" spans="1:22" ht="18" customHeight="1">
      <c r="A419" s="827"/>
      <c r="B419" s="802"/>
      <c r="C419" s="802"/>
      <c r="D419" s="689"/>
      <c r="E419" s="689"/>
      <c r="F419" s="993"/>
      <c r="G419" s="993"/>
      <c r="H419" s="805"/>
      <c r="I419" s="805">
        <f>R396</f>
        <v>600</v>
      </c>
      <c r="J419" s="1234"/>
      <c r="K419" s="805"/>
      <c r="L419" s="808"/>
      <c r="M419" s="815"/>
      <c r="N419" s="816"/>
      <c r="O419" s="815"/>
      <c r="P419" s="805"/>
      <c r="Q419" s="221">
        <f>R403</f>
        <v>1</v>
      </c>
      <c r="R419" s="221" t="s">
        <v>315</v>
      </c>
      <c r="S419" s="221">
        <f>R403</f>
        <v>1</v>
      </c>
      <c r="T419" s="798"/>
      <c r="U419" s="14"/>
      <c r="V419" s="97"/>
    </row>
    <row r="420" spans="1:22" ht="18" customHeight="1">
      <c r="A420" s="184"/>
      <c r="V420" s="185"/>
    </row>
    <row r="421" spans="1:22" ht="18" customHeight="1">
      <c r="A421" s="184"/>
      <c r="C421" s="30" t="s">
        <v>127</v>
      </c>
      <c r="D421" s="812">
        <f>F418*(I418/I419)*(M418+O418+(Q418/(Q419*S419)))</f>
        <v>274.46816266666667</v>
      </c>
      <c r="E421" s="813"/>
      <c r="F421" s="30" t="s">
        <v>305</v>
      </c>
      <c r="G421" s="187" t="s">
        <v>378</v>
      </c>
      <c r="H421" s="186" t="str">
        <f>IF(M393="y","Applicable","Not applicable")</f>
        <v>Applicable</v>
      </c>
      <c r="V421" s="185"/>
    </row>
    <row r="422" spans="1:22" ht="18" customHeight="1">
      <c r="A422" s="184"/>
      <c r="D422" s="211"/>
      <c r="E422" s="211"/>
      <c r="G422" s="187"/>
      <c r="H422" s="186"/>
      <c r="V422" s="185"/>
    </row>
    <row r="423" spans="1:22" ht="18" customHeight="1">
      <c r="A423" s="184"/>
      <c r="D423" s="211"/>
      <c r="E423" s="211"/>
      <c r="G423" s="187"/>
      <c r="H423" s="186"/>
      <c r="V423" s="185"/>
    </row>
    <row r="424" spans="1:22" ht="18" customHeight="1">
      <c r="A424" s="184"/>
      <c r="D424" s="211"/>
      <c r="E424" s="211"/>
      <c r="G424" s="187"/>
      <c r="H424" s="186"/>
      <c r="V424" s="185"/>
    </row>
    <row r="425" spans="1:22" ht="18" customHeight="1">
      <c r="A425" s="184"/>
      <c r="D425" s="211"/>
      <c r="E425" s="211"/>
      <c r="G425" s="187"/>
      <c r="H425" s="186"/>
      <c r="V425" s="185"/>
    </row>
    <row r="426" spans="1:22" ht="18" customHeight="1">
      <c r="A426" s="184"/>
      <c r="D426" s="211"/>
      <c r="E426" s="211"/>
      <c r="G426" s="187"/>
      <c r="H426" s="186"/>
      <c r="V426" s="185"/>
    </row>
    <row r="427" spans="1:22" ht="18" customHeight="1">
      <c r="A427" s="184"/>
      <c r="D427" s="211"/>
      <c r="E427" s="211"/>
      <c r="G427" s="187"/>
      <c r="H427" s="186"/>
      <c r="V427" s="185"/>
    </row>
    <row r="428" spans="1:22" ht="18" customHeight="1">
      <c r="A428" s="184"/>
      <c r="D428" s="211"/>
      <c r="E428" s="211"/>
      <c r="G428" s="187"/>
      <c r="H428" s="186"/>
      <c r="V428" s="185"/>
    </row>
    <row r="429" spans="1:22" ht="18" customHeight="1">
      <c r="A429" s="184"/>
      <c r="V429" s="185"/>
    </row>
    <row r="430" spans="1:22" ht="18" customHeight="1">
      <c r="A430" s="194"/>
      <c r="B430" s="195"/>
      <c r="C430" s="195"/>
      <c r="D430" s="195"/>
      <c r="E430" s="195"/>
      <c r="F430" s="195"/>
      <c r="G430" s="195"/>
      <c r="H430" s="195"/>
      <c r="I430" s="195"/>
      <c r="J430" s="195"/>
      <c r="K430" s="195"/>
      <c r="L430" s="195"/>
      <c r="M430" s="195"/>
      <c r="N430" s="195"/>
      <c r="O430" s="195"/>
      <c r="P430" s="195"/>
      <c r="Q430" s="224"/>
      <c r="R430" s="182"/>
      <c r="S430" s="225"/>
      <c r="T430" s="195"/>
      <c r="U430" s="195"/>
      <c r="V430" s="134"/>
    </row>
    <row r="431" spans="1:22" ht="18" customHeight="1">
      <c r="A431" s="226"/>
      <c r="B431" s="227"/>
      <c r="C431" s="227"/>
      <c r="D431" s="227"/>
      <c r="E431" s="227"/>
      <c r="F431" s="227"/>
      <c r="G431" s="227"/>
      <c r="H431" s="227"/>
      <c r="I431" s="227"/>
      <c r="J431" s="227"/>
      <c r="K431" s="227"/>
      <c r="L431" s="227"/>
      <c r="M431" s="227"/>
      <c r="N431" s="227"/>
      <c r="O431" s="227"/>
      <c r="P431" s="227"/>
      <c r="Q431" s="227"/>
      <c r="R431" s="227"/>
      <c r="S431" s="227"/>
      <c r="T431" s="227"/>
      <c r="U431" s="227"/>
      <c r="V431" s="228"/>
    </row>
    <row r="432" spans="1:22" ht="18" customHeight="1">
      <c r="A432" s="96" t="s">
        <v>627</v>
      </c>
      <c r="M432" s="825">
        <f>R396</f>
        <v>600</v>
      </c>
      <c r="N432" s="826"/>
      <c r="O432" s="30" t="s">
        <v>470</v>
      </c>
      <c r="Q432" s="812">
        <f>IF(M393="Y",MAX(D411,D421),MAX(D411,D416))</f>
        <v>274.46816266666667</v>
      </c>
      <c r="R432" s="820"/>
      <c r="S432" s="30" t="s">
        <v>305</v>
      </c>
      <c r="V432" s="185"/>
    </row>
    <row r="433" spans="1:22" ht="18" customHeight="1">
      <c r="A433" s="184"/>
      <c r="M433" s="247"/>
      <c r="N433" s="247"/>
      <c r="Q433" s="211"/>
      <c r="R433" s="27"/>
      <c r="V433" s="185"/>
    </row>
    <row r="434" spans="1:22" ht="18" customHeight="1">
      <c r="A434" s="248" t="s">
        <v>471</v>
      </c>
      <c r="B434" s="14"/>
      <c r="C434" s="14"/>
      <c r="D434" s="249"/>
      <c r="E434" s="14"/>
      <c r="F434" s="14"/>
      <c r="G434" s="47"/>
      <c r="H434" s="14"/>
      <c r="J434" s="14"/>
      <c r="K434" s="14"/>
      <c r="L434" s="14"/>
      <c r="M434" s="14"/>
      <c r="N434" s="14"/>
      <c r="O434" s="14"/>
      <c r="P434" s="250"/>
      <c r="Q434" s="251"/>
      <c r="R434" s="47"/>
      <c r="S434" s="14"/>
      <c r="V434" s="185"/>
    </row>
    <row r="435" spans="1:22" ht="18" customHeight="1">
      <c r="A435" s="248"/>
      <c r="B435" s="14"/>
      <c r="C435" s="14"/>
      <c r="D435" s="249"/>
      <c r="E435" s="14"/>
      <c r="F435" s="14"/>
      <c r="G435" s="47"/>
      <c r="H435" s="14"/>
      <c r="J435" s="14"/>
      <c r="K435" s="14"/>
      <c r="L435" s="14"/>
      <c r="M435" s="14"/>
      <c r="N435" s="14"/>
      <c r="O435" s="14"/>
      <c r="P435" s="250"/>
      <c r="Q435" s="251"/>
      <c r="R435" s="47"/>
      <c r="S435" s="14"/>
      <c r="V435" s="185"/>
    </row>
    <row r="436" spans="1:22" ht="18" customHeight="1">
      <c r="A436" s="96" t="s">
        <v>628</v>
      </c>
      <c r="V436" s="185"/>
    </row>
    <row r="437" spans="1:22" ht="18" customHeight="1">
      <c r="A437" s="184"/>
      <c r="N437" s="14"/>
      <c r="O437" s="14" t="s">
        <v>473</v>
      </c>
      <c r="P437" s="102" t="s">
        <v>127</v>
      </c>
      <c r="Q437" s="694" t="s">
        <v>474</v>
      </c>
      <c r="R437" s="694"/>
      <c r="S437" s="28" t="s">
        <v>315</v>
      </c>
      <c r="T437" s="28">
        <v>0.8</v>
      </c>
      <c r="V437" s="185"/>
    </row>
    <row r="438" spans="1:22" ht="18" customHeight="1">
      <c r="A438" s="184"/>
      <c r="N438" s="252"/>
      <c r="O438" s="14"/>
      <c r="P438" s="102" t="s">
        <v>127</v>
      </c>
      <c r="Q438" s="829">
        <f>+Q432</f>
        <v>274.46816266666667</v>
      </c>
      <c r="R438" s="1147"/>
      <c r="S438" s="222" t="s">
        <v>315</v>
      </c>
      <c r="T438" s="253">
        <f>+T437</f>
        <v>0.8</v>
      </c>
      <c r="V438" s="185"/>
    </row>
    <row r="439" spans="1:22" ht="18" customHeight="1">
      <c r="A439" s="184"/>
      <c r="O439" s="14"/>
      <c r="P439" s="28" t="s">
        <v>127</v>
      </c>
      <c r="Q439" s="830">
        <f>Q438*T438</f>
        <v>219.57453013333335</v>
      </c>
      <c r="R439" s="1270"/>
      <c r="S439" s="47" t="s">
        <v>305</v>
      </c>
      <c r="T439" s="14"/>
      <c r="V439" s="185"/>
    </row>
    <row r="440" spans="1:22" ht="18" customHeight="1">
      <c r="A440" s="184"/>
      <c r="V440" s="185"/>
    </row>
    <row r="441" spans="1:22" ht="18" customHeight="1">
      <c r="A441" s="184"/>
      <c r="D441" s="30" t="s">
        <v>475</v>
      </c>
      <c r="G441" s="28" t="s">
        <v>476</v>
      </c>
      <c r="H441" s="30" t="s">
        <v>477</v>
      </c>
      <c r="V441" s="185"/>
    </row>
    <row r="442" spans="1:22" ht="18" customHeight="1">
      <c r="A442" s="184"/>
      <c r="E442" s="684">
        <f>J347</f>
        <v>400</v>
      </c>
      <c r="F442" s="684"/>
      <c r="G442" s="28" t="s">
        <v>476</v>
      </c>
      <c r="H442" s="795">
        <f>Q439</f>
        <v>219.57453013333335</v>
      </c>
      <c r="I442" s="684"/>
      <c r="V442" s="185"/>
    </row>
    <row r="443" spans="1:22" ht="18" customHeight="1">
      <c r="A443" s="184"/>
      <c r="F443" s="244" t="s">
        <v>478</v>
      </c>
      <c r="H443" s="18" t="str">
        <f>IF(E442&gt;H442,"Suitably Dimensioned","Under Dimensioned")</f>
        <v>Suitably Dimensioned</v>
      </c>
      <c r="V443" s="185"/>
    </row>
    <row r="444" spans="1:22" s="14" customFormat="1" ht="18" customHeight="1">
      <c r="A444" s="184"/>
      <c r="B444" s="30"/>
      <c r="C444" s="30"/>
      <c r="D444" s="30"/>
      <c r="E444" s="30"/>
      <c r="F444" s="244"/>
      <c r="G444" s="30"/>
      <c r="H444" s="18"/>
      <c r="I444" s="30"/>
      <c r="J444" s="30"/>
      <c r="K444" s="30"/>
      <c r="L444" s="30"/>
      <c r="M444" s="30"/>
      <c r="N444" s="30"/>
      <c r="O444" s="30"/>
      <c r="P444" s="30"/>
      <c r="Q444" s="30"/>
      <c r="R444" s="30"/>
      <c r="S444" s="30"/>
      <c r="T444" s="30"/>
      <c r="U444" s="30"/>
      <c r="V444" s="185"/>
    </row>
    <row r="445" spans="1:22" ht="18" hidden="1" customHeight="1">
      <c r="A445" s="184"/>
      <c r="F445" s="244"/>
      <c r="H445" s="18"/>
      <c r="V445" s="185"/>
    </row>
    <row r="446" spans="1:22" ht="18" hidden="1" customHeight="1">
      <c r="A446" s="184"/>
      <c r="F446" s="244"/>
      <c r="H446" s="18"/>
      <c r="V446" s="185"/>
    </row>
    <row r="447" spans="1:22" ht="18" hidden="1" customHeight="1">
      <c r="A447" s="184"/>
      <c r="F447" s="244"/>
      <c r="H447" s="18"/>
      <c r="V447" s="185"/>
    </row>
    <row r="448" spans="1:22" ht="18" hidden="1" customHeight="1">
      <c r="A448" s="184"/>
      <c r="F448" s="244"/>
      <c r="H448" s="18"/>
      <c r="V448" s="185"/>
    </row>
    <row r="449" spans="1:29" ht="18" hidden="1" customHeight="1">
      <c r="A449" s="184"/>
      <c r="F449" s="244"/>
      <c r="H449" s="18"/>
      <c r="V449" s="185"/>
    </row>
    <row r="450" spans="1:29" ht="18" hidden="1" customHeight="1">
      <c r="A450" s="184"/>
      <c r="F450" s="244"/>
      <c r="H450" s="18"/>
      <c r="V450" s="185"/>
    </row>
    <row r="451" spans="1:29" ht="18" hidden="1" customHeight="1">
      <c r="A451" s="184"/>
      <c r="F451" s="244"/>
      <c r="H451" s="18"/>
      <c r="V451" s="185"/>
    </row>
    <row r="452" spans="1:29" ht="18" hidden="1" customHeight="1">
      <c r="A452" s="184"/>
      <c r="F452" s="244"/>
      <c r="H452" s="18"/>
      <c r="V452" s="185"/>
    </row>
    <row r="453" spans="1:29" ht="18" hidden="1" customHeight="1">
      <c r="A453" s="184"/>
      <c r="F453" s="244"/>
      <c r="H453" s="18"/>
      <c r="V453" s="185"/>
    </row>
    <row r="454" spans="1:29" ht="18" hidden="1" customHeight="1">
      <c r="A454" s="184"/>
      <c r="F454" s="244"/>
      <c r="H454" s="18"/>
      <c r="V454" s="185"/>
    </row>
    <row r="455" spans="1:29" ht="18" hidden="1" customHeight="1">
      <c r="A455" s="184"/>
      <c r="F455" s="244"/>
      <c r="H455" s="18"/>
      <c r="V455" s="185"/>
    </row>
    <row r="456" spans="1:29" ht="18" hidden="1" customHeight="1">
      <c r="A456" s="184"/>
      <c r="F456" s="244"/>
      <c r="H456" s="18"/>
      <c r="V456" s="185"/>
    </row>
    <row r="457" spans="1:29" ht="18" hidden="1" customHeight="1">
      <c r="A457" s="184"/>
      <c r="F457" s="244"/>
      <c r="H457" s="18"/>
      <c r="V457" s="185"/>
      <c r="W457" s="30" t="s">
        <v>400</v>
      </c>
      <c r="AB457" s="785">
        <f>Q739</f>
        <v>56.890788638209123</v>
      </c>
      <c r="AC457" s="786"/>
    </row>
    <row r="458" spans="1:29" ht="18" hidden="1" customHeight="1">
      <c r="A458" s="184"/>
      <c r="F458" s="244"/>
      <c r="H458" s="18"/>
      <c r="V458" s="185"/>
    </row>
    <row r="459" spans="1:29" ht="18" hidden="1" customHeight="1">
      <c r="A459" s="184"/>
      <c r="F459" s="244"/>
      <c r="H459" s="18"/>
      <c r="V459" s="185"/>
    </row>
    <row r="460" spans="1:29" ht="18" hidden="1" customHeight="1">
      <c r="A460" s="184"/>
      <c r="F460" s="244"/>
      <c r="H460" s="18"/>
      <c r="V460" s="185"/>
    </row>
    <row r="461" spans="1:29" ht="18" hidden="1" customHeight="1">
      <c r="A461" s="184"/>
      <c r="F461" s="244"/>
      <c r="H461" s="18"/>
      <c r="V461" s="185"/>
    </row>
    <row r="462" spans="1:29" ht="18" hidden="1" customHeight="1">
      <c r="A462" s="184"/>
      <c r="F462" s="244"/>
      <c r="H462" s="18"/>
      <c r="V462" s="185"/>
    </row>
    <row r="463" spans="1:29" s="14" customFormat="1" ht="18" hidden="1" customHeight="1">
      <c r="A463" s="184"/>
      <c r="B463" s="30"/>
      <c r="C463" s="30"/>
      <c r="D463" s="30"/>
      <c r="E463" s="30"/>
      <c r="F463" s="244"/>
      <c r="G463" s="30"/>
      <c r="H463" s="18"/>
      <c r="I463" s="30"/>
      <c r="J463" s="30"/>
      <c r="K463" s="30"/>
      <c r="L463" s="30"/>
      <c r="M463" s="30"/>
      <c r="N463" s="30"/>
      <c r="O463" s="30"/>
      <c r="P463" s="30"/>
      <c r="Q463" s="30"/>
      <c r="R463" s="30"/>
      <c r="S463" s="30"/>
      <c r="T463" s="30"/>
      <c r="U463" s="30"/>
      <c r="V463" s="185"/>
    </row>
    <row r="464" spans="1:29" s="14" customFormat="1" ht="18" hidden="1" customHeight="1">
      <c r="A464" s="184"/>
      <c r="B464" s="30"/>
      <c r="C464" s="30"/>
      <c r="D464" s="30"/>
      <c r="E464" s="30"/>
      <c r="F464" s="244"/>
      <c r="G464" s="30"/>
      <c r="H464" s="18"/>
      <c r="I464" s="30"/>
      <c r="J464" s="30"/>
      <c r="K464" s="30"/>
      <c r="L464" s="30"/>
      <c r="M464" s="30"/>
      <c r="N464" s="30"/>
      <c r="O464" s="30"/>
      <c r="P464" s="30"/>
      <c r="Q464" s="30"/>
      <c r="R464" s="30"/>
      <c r="S464" s="30"/>
      <c r="T464" s="30"/>
      <c r="U464" s="30"/>
      <c r="V464" s="185"/>
    </row>
    <row r="465" spans="1:22" s="14" customFormat="1" ht="18" hidden="1" customHeight="1">
      <c r="A465" s="184"/>
      <c r="B465" s="30"/>
      <c r="C465" s="30"/>
      <c r="D465" s="30"/>
      <c r="E465" s="30"/>
      <c r="F465" s="244"/>
      <c r="G465" s="30"/>
      <c r="H465" s="18"/>
      <c r="I465" s="30"/>
      <c r="J465" s="30"/>
      <c r="K465" s="30"/>
      <c r="L465" s="30"/>
      <c r="M465" s="30"/>
      <c r="N465" s="30"/>
      <c r="O465" s="30"/>
      <c r="P465" s="30"/>
      <c r="Q465" s="30"/>
      <c r="R465" s="30"/>
      <c r="S465" s="30"/>
      <c r="T465" s="30"/>
      <c r="U465" s="30"/>
      <c r="V465" s="185"/>
    </row>
    <row r="466" spans="1:22" s="14" customFormat="1" ht="18" hidden="1" customHeight="1">
      <c r="A466" s="184"/>
      <c r="B466" s="30"/>
      <c r="C466" s="30"/>
      <c r="D466" s="30"/>
      <c r="E466" s="30"/>
      <c r="F466" s="244"/>
      <c r="G466" s="30"/>
      <c r="H466" s="18"/>
      <c r="I466" s="30"/>
      <c r="J466" s="30"/>
      <c r="K466" s="30"/>
      <c r="L466" s="30"/>
      <c r="M466" s="30"/>
      <c r="N466" s="30"/>
      <c r="O466" s="30"/>
      <c r="P466" s="30"/>
      <c r="Q466" s="30"/>
      <c r="R466" s="30"/>
      <c r="S466" s="30"/>
      <c r="T466" s="30"/>
      <c r="U466" s="30"/>
      <c r="V466" s="185"/>
    </row>
    <row r="467" spans="1:22" s="14" customFormat="1" ht="18" hidden="1" customHeight="1">
      <c r="A467" s="184"/>
      <c r="B467" s="30"/>
      <c r="C467" s="30"/>
      <c r="D467" s="30"/>
      <c r="E467" s="30"/>
      <c r="F467" s="244"/>
      <c r="G467" s="30"/>
      <c r="H467" s="18"/>
      <c r="I467" s="30"/>
      <c r="J467" s="30"/>
      <c r="K467" s="30"/>
      <c r="L467" s="30"/>
      <c r="M467" s="30"/>
      <c r="N467" s="30"/>
      <c r="O467" s="30"/>
      <c r="P467" s="30"/>
      <c r="Q467" s="30"/>
      <c r="R467" s="30"/>
      <c r="S467" s="30"/>
      <c r="T467" s="30"/>
      <c r="U467" s="30"/>
      <c r="V467" s="185"/>
    </row>
    <row r="468" spans="1:22" s="14" customFormat="1" ht="18" hidden="1" customHeight="1">
      <c r="A468" s="184"/>
      <c r="B468" s="30"/>
      <c r="C468" s="30"/>
      <c r="D468" s="30"/>
      <c r="E468" s="30"/>
      <c r="F468" s="244"/>
      <c r="G468" s="30"/>
      <c r="H468" s="18"/>
      <c r="I468" s="30"/>
      <c r="J468" s="30"/>
      <c r="K468" s="30"/>
      <c r="L468" s="30"/>
      <c r="M468" s="30"/>
      <c r="N468" s="30"/>
      <c r="O468" s="30"/>
      <c r="P468" s="30"/>
      <c r="Q468" s="30"/>
      <c r="R468" s="30"/>
      <c r="S468" s="30"/>
      <c r="T468" s="30"/>
      <c r="U468" s="30"/>
      <c r="V468" s="185"/>
    </row>
    <row r="469" spans="1:22" s="14" customFormat="1" ht="18" hidden="1" customHeight="1">
      <c r="A469" s="184"/>
      <c r="B469" s="30"/>
      <c r="C469" s="30"/>
      <c r="D469" s="30"/>
      <c r="E469" s="30"/>
      <c r="F469" s="244"/>
      <c r="G469" s="30"/>
      <c r="H469" s="18"/>
      <c r="I469" s="30"/>
      <c r="J469" s="30"/>
      <c r="K469" s="30"/>
      <c r="L469" s="30"/>
      <c r="M469" s="30"/>
      <c r="N469" s="30"/>
      <c r="O469" s="30"/>
      <c r="P469" s="30"/>
      <c r="Q469" s="30"/>
      <c r="R469" s="30"/>
      <c r="S469" s="30"/>
      <c r="T469" s="30"/>
      <c r="U469" s="30"/>
      <c r="V469" s="185"/>
    </row>
    <row r="470" spans="1:22" s="14" customFormat="1" ht="18" hidden="1" customHeight="1">
      <c r="A470" s="194"/>
      <c r="B470" s="195"/>
      <c r="C470" s="195"/>
      <c r="D470" s="195"/>
      <c r="E470" s="195"/>
      <c r="F470" s="195"/>
      <c r="G470" s="195"/>
      <c r="H470" s="195"/>
      <c r="I470" s="195"/>
      <c r="J470" s="195"/>
      <c r="K470" s="195"/>
      <c r="L470" s="195"/>
      <c r="M470" s="195"/>
      <c r="N470" s="195"/>
      <c r="O470" s="195"/>
      <c r="P470" s="195"/>
      <c r="Q470" s="224"/>
      <c r="R470" s="182"/>
      <c r="S470" s="225"/>
      <c r="T470" s="195"/>
      <c r="U470" s="195"/>
      <c r="V470" s="134"/>
    </row>
    <row r="471" spans="1:22" s="14" customFormat="1" ht="18" hidden="1" customHeight="1">
      <c r="A471" s="226"/>
      <c r="B471" s="227"/>
      <c r="C471" s="227"/>
      <c r="D471" s="227"/>
      <c r="E471" s="227"/>
      <c r="F471" s="227"/>
      <c r="G471" s="227"/>
      <c r="H471" s="227"/>
      <c r="I471" s="227"/>
      <c r="J471" s="227"/>
      <c r="K471" s="227"/>
      <c r="L471" s="227"/>
      <c r="M471" s="227"/>
      <c r="N471" s="227"/>
      <c r="O471" s="227"/>
      <c r="P471" s="227"/>
      <c r="Q471" s="227"/>
      <c r="R471" s="227"/>
      <c r="S471" s="227"/>
      <c r="T471" s="227"/>
      <c r="U471" s="227"/>
      <c r="V471" s="228"/>
    </row>
    <row r="472" spans="1:22" s="14" customFormat="1" ht="18" hidden="1" customHeight="1">
      <c r="A472" s="184"/>
      <c r="B472" s="854" t="str">
        <f>B341</f>
        <v>T1</v>
      </c>
      <c r="C472" s="831"/>
      <c r="D472" s="855" t="str">
        <f>D341</f>
        <v>Core1</v>
      </c>
      <c r="E472" s="856"/>
      <c r="F472" s="186" t="s">
        <v>631</v>
      </c>
      <c r="G472" s="30"/>
      <c r="H472" s="684" t="str">
        <f>H341</f>
        <v>(Multi Func. Trans. Protection +HV REF)</v>
      </c>
      <c r="I472" s="684"/>
      <c r="J472" s="684"/>
      <c r="K472" s="684"/>
      <c r="L472" s="684"/>
      <c r="M472" s="684"/>
      <c r="N472" s="30"/>
      <c r="O472" s="30"/>
      <c r="P472" s="186"/>
      <c r="Q472" s="30"/>
      <c r="R472" s="30"/>
      <c r="S472" s="187" t="s">
        <v>387</v>
      </c>
      <c r="T472" s="854" t="str">
        <f>T341</f>
        <v>RET670</v>
      </c>
      <c r="U472" s="831"/>
      <c r="V472" s="185"/>
    </row>
    <row r="473" spans="1:22" s="14" customFormat="1" ht="18" hidden="1" customHeight="1">
      <c r="A473" s="184"/>
      <c r="B473" s="853">
        <f>B342</f>
        <v>0</v>
      </c>
      <c r="C473" s="853"/>
      <c r="D473" s="857"/>
      <c r="E473" s="858"/>
      <c r="F473" s="255"/>
      <c r="G473" s="30"/>
      <c r="H473" s="30"/>
      <c r="I473" s="30"/>
      <c r="J473" s="30"/>
      <c r="K473" s="30"/>
      <c r="L473" s="30"/>
      <c r="M473" s="30"/>
      <c r="N473" s="30"/>
      <c r="O473" s="30"/>
      <c r="P473" s="30"/>
      <c r="Q473" s="30"/>
      <c r="R473" s="30"/>
      <c r="S473" s="30"/>
      <c r="T473" s="854">
        <f>T342</f>
        <v>0</v>
      </c>
      <c r="U473" s="831"/>
      <c r="V473" s="185"/>
    </row>
    <row r="474" spans="1:22" ht="18" hidden="1" customHeight="1">
      <c r="A474" s="184"/>
      <c r="H474" s="708" t="s">
        <v>390</v>
      </c>
      <c r="I474" s="708"/>
      <c r="J474" s="708" t="s">
        <v>391</v>
      </c>
      <c r="K474" s="708"/>
      <c r="L474" s="789" t="s">
        <v>392</v>
      </c>
      <c r="M474" s="789"/>
      <c r="T474" s="854">
        <f>T343</f>
        <v>0</v>
      </c>
      <c r="U474" s="831"/>
      <c r="V474" s="185"/>
    </row>
    <row r="475" spans="1:22" ht="18" hidden="1" customHeight="1">
      <c r="A475" s="184"/>
      <c r="B475" s="47" t="s">
        <v>393</v>
      </c>
      <c r="H475" s="854">
        <f>H344</f>
        <v>3200</v>
      </c>
      <c r="I475" s="831"/>
      <c r="J475" s="854">
        <f>J344</f>
        <v>600</v>
      </c>
      <c r="K475" s="831"/>
      <c r="L475" s="863" t="str">
        <f>L344</f>
        <v>-</v>
      </c>
      <c r="M475" s="864"/>
      <c r="N475" s="102" t="s">
        <v>342</v>
      </c>
      <c r="O475" s="256">
        <f>O344</f>
        <v>1</v>
      </c>
      <c r="P475" s="27" t="s">
        <v>8</v>
      </c>
      <c r="V475" s="185"/>
    </row>
    <row r="476" spans="1:22" ht="18" hidden="1" customHeight="1">
      <c r="A476" s="184"/>
      <c r="B476" s="47" t="s">
        <v>394</v>
      </c>
      <c r="H476" s="14"/>
      <c r="I476" s="14"/>
      <c r="L476" s="854" t="str">
        <f>J345</f>
        <v>PX</v>
      </c>
      <c r="M476" s="831"/>
      <c r="V476" s="185"/>
    </row>
    <row r="477" spans="1:22" ht="18" hidden="1" customHeight="1">
      <c r="A477" s="184"/>
      <c r="B477" s="47" t="s">
        <v>396</v>
      </c>
      <c r="K477" s="120" t="s">
        <v>497</v>
      </c>
      <c r="L477" s="781" t="s">
        <v>6</v>
      </c>
      <c r="M477" s="782"/>
      <c r="N477" s="192" t="s">
        <v>333</v>
      </c>
      <c r="V477" s="185"/>
    </row>
    <row r="478" spans="1:22" ht="18" hidden="1" customHeight="1">
      <c r="A478" s="184"/>
      <c r="B478" s="47" t="s">
        <v>398</v>
      </c>
      <c r="K478" s="120" t="s">
        <v>498</v>
      </c>
      <c r="L478" s="781" t="s">
        <v>6</v>
      </c>
      <c r="M478" s="782"/>
      <c r="N478" s="14" t="s">
        <v>305</v>
      </c>
      <c r="V478" s="185"/>
    </row>
    <row r="479" spans="1:22" ht="18" hidden="1" customHeight="1">
      <c r="A479" s="184"/>
      <c r="B479" s="14" t="s">
        <v>401</v>
      </c>
      <c r="K479" s="120" t="s">
        <v>402</v>
      </c>
      <c r="L479" s="781" t="s">
        <v>6</v>
      </c>
      <c r="M479" s="782"/>
      <c r="N479" s="14" t="s">
        <v>403</v>
      </c>
      <c r="V479" s="185"/>
    </row>
    <row r="480" spans="1:22" ht="18" hidden="1" customHeight="1">
      <c r="A480" s="184"/>
      <c r="V480" s="185"/>
    </row>
    <row r="481" spans="1:22" ht="18" hidden="1" customHeight="1">
      <c r="A481" s="193" t="s">
        <v>404</v>
      </c>
      <c r="V481" s="185"/>
    </row>
    <row r="482" spans="1:22" ht="18" hidden="1" customHeight="1">
      <c r="A482" s="184"/>
      <c r="V482" s="185"/>
    </row>
    <row r="483" spans="1:22" ht="18" hidden="1" customHeight="1">
      <c r="A483" s="184"/>
      <c r="B483" s="194" t="s">
        <v>405</v>
      </c>
      <c r="C483" s="195"/>
      <c r="D483" s="195" t="str">
        <f>T472</f>
        <v>RET670</v>
      </c>
      <c r="E483" s="196"/>
      <c r="F483" s="196"/>
      <c r="G483" s="196"/>
      <c r="H483" s="182" t="s">
        <v>406</v>
      </c>
      <c r="I483" s="183" t="s">
        <v>127</v>
      </c>
      <c r="J483" s="766">
        <f>J352</f>
        <v>0.02</v>
      </c>
      <c r="K483" s="958"/>
      <c r="L483" s="3" t="s">
        <v>157</v>
      </c>
      <c r="N483" s="197" t="s">
        <v>407</v>
      </c>
      <c r="V483" s="185"/>
    </row>
    <row r="484" spans="1:22" ht="18" hidden="1" customHeight="1">
      <c r="A484" s="184"/>
      <c r="B484" s="96" t="s">
        <v>405</v>
      </c>
      <c r="D484" s="30">
        <f>T473</f>
        <v>0</v>
      </c>
      <c r="H484" s="27"/>
      <c r="I484" s="177" t="s">
        <v>127</v>
      </c>
      <c r="J484" s="861">
        <f>J353</f>
        <v>0</v>
      </c>
      <c r="K484" s="989"/>
      <c r="L484" s="198" t="s">
        <v>157</v>
      </c>
      <c r="V484" s="185"/>
    </row>
    <row r="485" spans="1:22" ht="18" hidden="1" customHeight="1">
      <c r="A485" s="184"/>
      <c r="B485" s="96" t="s">
        <v>405</v>
      </c>
      <c r="D485" s="30">
        <f>T474</f>
        <v>0</v>
      </c>
      <c r="E485" s="14"/>
      <c r="G485" s="199"/>
      <c r="H485" s="27"/>
      <c r="I485" s="177" t="s">
        <v>127</v>
      </c>
      <c r="J485" s="696">
        <f>J354</f>
        <v>0</v>
      </c>
      <c r="K485" s="820"/>
      <c r="L485" s="202" t="s">
        <v>157</v>
      </c>
      <c r="N485" s="30" t="s">
        <v>408</v>
      </c>
      <c r="O485" s="27" t="s">
        <v>127</v>
      </c>
      <c r="P485" s="30" t="s">
        <v>409</v>
      </c>
      <c r="Q485" s="191" t="s">
        <v>410</v>
      </c>
      <c r="R485" s="244" t="s">
        <v>411</v>
      </c>
      <c r="S485" s="27" t="s">
        <v>315</v>
      </c>
      <c r="T485" s="30" t="s">
        <v>411</v>
      </c>
      <c r="U485" s="30" t="s">
        <v>350</v>
      </c>
      <c r="V485" s="185"/>
    </row>
    <row r="486" spans="1:22" ht="18" hidden="1" customHeight="1">
      <c r="A486" s="184"/>
      <c r="B486" s="184" t="s">
        <v>412</v>
      </c>
      <c r="H486" s="27" t="s">
        <v>599</v>
      </c>
      <c r="I486" s="177" t="s">
        <v>127</v>
      </c>
      <c r="J486" s="861">
        <f>J355</f>
        <v>1.0770224400000001</v>
      </c>
      <c r="K486" s="989"/>
      <c r="L486" s="203" t="s">
        <v>157</v>
      </c>
      <c r="O486" s="27" t="s">
        <v>127</v>
      </c>
      <c r="P486" s="204">
        <f>J487</f>
        <v>1.0770224400000001</v>
      </c>
      <c r="Q486" s="191" t="s">
        <v>410</v>
      </c>
      <c r="R486" s="27">
        <f>O475</f>
        <v>1</v>
      </c>
      <c r="S486" s="27" t="s">
        <v>315</v>
      </c>
      <c r="T486" s="27">
        <f>O475</f>
        <v>1</v>
      </c>
      <c r="U486" s="30" t="s">
        <v>350</v>
      </c>
      <c r="V486" s="185"/>
    </row>
    <row r="487" spans="1:22" ht="18" hidden="1" customHeight="1">
      <c r="A487" s="184"/>
      <c r="B487" s="205" t="s">
        <v>413</v>
      </c>
      <c r="C487" s="206"/>
      <c r="D487" s="206"/>
      <c r="E487" s="206"/>
      <c r="F487" s="207"/>
      <c r="G487" s="207"/>
      <c r="H487" s="190" t="s">
        <v>409</v>
      </c>
      <c r="I487" s="208" t="s">
        <v>127</v>
      </c>
      <c r="J487" s="766">
        <f>J484+J486</f>
        <v>1.0770224400000001</v>
      </c>
      <c r="K487" s="958"/>
      <c r="L487" s="210" t="s">
        <v>157</v>
      </c>
      <c r="O487" s="27" t="s">
        <v>127</v>
      </c>
      <c r="P487" s="795">
        <f>P486/(R486*T486)</f>
        <v>1.0770224400000001</v>
      </c>
      <c r="Q487" s="795"/>
      <c r="R487" s="192" t="s">
        <v>333</v>
      </c>
      <c r="V487" s="185"/>
    </row>
    <row r="488" spans="1:22" ht="18" hidden="1" customHeight="1">
      <c r="A488" s="184"/>
      <c r="V488" s="185"/>
    </row>
    <row r="489" spans="1:22" ht="18" hidden="1" customHeight="1">
      <c r="A489" s="193" t="s">
        <v>600</v>
      </c>
      <c r="B489" s="5"/>
      <c r="C489" s="5"/>
      <c r="D489" s="5"/>
      <c r="E489" s="5"/>
      <c r="F489" s="5"/>
      <c r="G489" s="5"/>
      <c r="H489" s="212"/>
      <c r="I489" s="212"/>
      <c r="J489" s="5"/>
      <c r="K489" s="5"/>
      <c r="L489" s="5"/>
      <c r="M489" s="5"/>
      <c r="N489" s="5"/>
      <c r="O489" s="5"/>
      <c r="P489" s="103"/>
      <c r="Q489" s="212"/>
      <c r="R489" s="213"/>
      <c r="S489" s="214"/>
      <c r="T489" s="18"/>
      <c r="U489" s="18"/>
      <c r="V489" s="97"/>
    </row>
    <row r="490" spans="1:22" ht="18" hidden="1" customHeight="1">
      <c r="A490" s="96"/>
      <c r="B490" s="47" t="s">
        <v>601</v>
      </c>
      <c r="C490" s="5"/>
      <c r="D490" s="5"/>
      <c r="E490" s="5"/>
      <c r="F490" s="14"/>
      <c r="G490" s="14"/>
      <c r="H490" s="14"/>
      <c r="I490" s="215"/>
      <c r="J490" s="14"/>
      <c r="K490" s="14"/>
      <c r="L490" s="14"/>
      <c r="M490" s="5"/>
      <c r="N490" s="14"/>
      <c r="O490" s="103" t="s">
        <v>127</v>
      </c>
      <c r="P490" s="853">
        <f>P359</f>
        <v>100</v>
      </c>
      <c r="Q490" s="1271"/>
      <c r="R490" s="14" t="s">
        <v>602</v>
      </c>
      <c r="S490" s="214"/>
      <c r="T490" s="18"/>
      <c r="U490" s="18"/>
      <c r="V490" s="97"/>
    </row>
    <row r="491" spans="1:22" ht="18" hidden="1" customHeight="1">
      <c r="A491" s="96"/>
      <c r="B491" s="47" t="s">
        <v>603</v>
      </c>
      <c r="C491" s="5"/>
      <c r="D491" s="5"/>
      <c r="E491" s="5"/>
      <c r="F491" s="14"/>
      <c r="G491" s="14"/>
      <c r="H491" s="14"/>
      <c r="I491" s="215"/>
      <c r="J491" s="14"/>
      <c r="K491" s="14"/>
      <c r="L491" s="14"/>
      <c r="M491" s="5"/>
      <c r="N491" s="14"/>
      <c r="O491" s="103" t="s">
        <v>127</v>
      </c>
      <c r="P491" s="853">
        <f>P360</f>
        <v>25</v>
      </c>
      <c r="Q491" s="1271"/>
      <c r="R491" s="14" t="s">
        <v>604</v>
      </c>
      <c r="S491" s="214"/>
      <c r="T491" s="18"/>
      <c r="U491" s="18"/>
      <c r="V491" s="97"/>
    </row>
    <row r="492" spans="1:22" ht="18" hidden="1" customHeight="1">
      <c r="A492" s="96"/>
      <c r="B492" s="47" t="s">
        <v>605</v>
      </c>
      <c r="C492" s="5"/>
      <c r="D492" s="5"/>
      <c r="E492" s="5"/>
      <c r="F492" s="14"/>
      <c r="G492" s="14"/>
      <c r="H492" s="14"/>
      <c r="I492" s="14"/>
      <c r="J492" s="14"/>
      <c r="K492" s="14"/>
      <c r="L492" s="14"/>
      <c r="M492" s="14"/>
      <c r="N492" s="120" t="s">
        <v>606</v>
      </c>
      <c r="O492" s="103" t="s">
        <v>607</v>
      </c>
      <c r="P492" s="854">
        <f>P361</f>
        <v>132</v>
      </c>
      <c r="Q492" s="1270"/>
      <c r="R492" s="14" t="s">
        <v>163</v>
      </c>
      <c r="S492" s="214"/>
      <c r="T492" s="18"/>
      <c r="U492" s="18"/>
      <c r="V492" s="97"/>
    </row>
    <row r="493" spans="1:22" ht="18" hidden="1" customHeight="1">
      <c r="A493" s="216"/>
      <c r="B493" s="212"/>
      <c r="C493" s="212"/>
      <c r="D493" s="212"/>
      <c r="E493" s="212"/>
      <c r="F493" s="14"/>
      <c r="G493" s="14"/>
      <c r="H493" s="14"/>
      <c r="I493" s="14"/>
      <c r="J493" s="14"/>
      <c r="K493" s="14"/>
      <c r="L493" s="14"/>
      <c r="M493" s="14"/>
      <c r="N493" s="14"/>
      <c r="O493" s="14"/>
      <c r="P493" s="14"/>
      <c r="Q493" s="14"/>
      <c r="R493" s="14"/>
      <c r="S493" s="14"/>
      <c r="T493" s="18"/>
      <c r="U493" s="18"/>
      <c r="V493" s="97"/>
    </row>
    <row r="494" spans="1:22" ht="18" hidden="1" customHeight="1">
      <c r="A494" s="96"/>
      <c r="B494" s="14" t="s">
        <v>608</v>
      </c>
      <c r="C494" s="213"/>
      <c r="D494" s="213"/>
      <c r="E494" s="213"/>
      <c r="F494" s="14"/>
      <c r="G494" s="14"/>
      <c r="H494" s="120" t="s">
        <v>609</v>
      </c>
      <c r="I494" s="28" t="s">
        <v>127</v>
      </c>
      <c r="J494" s="689" t="s">
        <v>610</v>
      </c>
      <c r="K494" s="689"/>
      <c r="L494" s="28" t="s">
        <v>315</v>
      </c>
      <c r="M494" s="217">
        <v>1000</v>
      </c>
      <c r="N494" s="102" t="s">
        <v>342</v>
      </c>
      <c r="O494" s="28" t="s">
        <v>611</v>
      </c>
      <c r="P494" s="28" t="s">
        <v>315</v>
      </c>
      <c r="Q494" s="28" t="s">
        <v>606</v>
      </c>
      <c r="R494" s="47"/>
      <c r="S494" s="14"/>
      <c r="T494" s="18"/>
      <c r="U494" s="18"/>
      <c r="V494" s="97"/>
    </row>
    <row r="495" spans="1:22" ht="18" hidden="1" customHeight="1">
      <c r="A495" s="216"/>
      <c r="B495" s="213"/>
      <c r="C495" s="213"/>
      <c r="D495" s="213"/>
      <c r="E495" s="213"/>
      <c r="F495" s="212"/>
      <c r="G495" s="212"/>
      <c r="H495" s="28"/>
      <c r="I495" s="28" t="s">
        <v>127</v>
      </c>
      <c r="J495" s="689">
        <f>P490</f>
        <v>100</v>
      </c>
      <c r="K495" s="689"/>
      <c r="L495" s="28" t="s">
        <v>315</v>
      </c>
      <c r="M495" s="217">
        <v>1000</v>
      </c>
      <c r="N495" s="102" t="s">
        <v>342</v>
      </c>
      <c r="O495" s="28" t="s">
        <v>611</v>
      </c>
      <c r="P495" s="28" t="s">
        <v>315</v>
      </c>
      <c r="Q495" s="28">
        <f>P492</f>
        <v>132</v>
      </c>
      <c r="R495" s="47"/>
      <c r="S495" s="14"/>
      <c r="T495" s="18"/>
      <c r="U495" s="18"/>
      <c r="V495" s="97"/>
    </row>
    <row r="496" spans="1:22" ht="18" hidden="1" customHeight="1">
      <c r="A496" s="216"/>
      <c r="B496" s="212"/>
      <c r="C496" s="212"/>
      <c r="D496" s="212"/>
      <c r="E496" s="212"/>
      <c r="F496" s="212"/>
      <c r="G496" s="212"/>
      <c r="H496" s="14"/>
      <c r="I496" s="28" t="s">
        <v>127</v>
      </c>
      <c r="J496" s="692">
        <f>(P490*1000)/(SQRT(3)*P492)</f>
        <v>437.38656756789834</v>
      </c>
      <c r="K496" s="692"/>
      <c r="L496" s="14" t="s">
        <v>8</v>
      </c>
      <c r="M496" s="120"/>
      <c r="N496" s="120"/>
      <c r="O496" s="120"/>
      <c r="P496" s="14"/>
      <c r="Q496" s="14"/>
      <c r="R496" s="14"/>
      <c r="S496" s="14"/>
      <c r="T496" s="18"/>
      <c r="U496" s="18"/>
      <c r="V496" s="97"/>
    </row>
    <row r="497" spans="1:22" ht="18" hidden="1" customHeight="1">
      <c r="A497" s="216"/>
      <c r="B497" s="212"/>
      <c r="C497" s="212"/>
      <c r="D497" s="212"/>
      <c r="E497" s="212"/>
      <c r="F497" s="14"/>
      <c r="G497" s="212"/>
      <c r="H497" s="28"/>
      <c r="I497" s="103"/>
      <c r="J497" s="28"/>
      <c r="K497" s="14"/>
      <c r="L497" s="14"/>
      <c r="M497" s="212"/>
      <c r="N497" s="219"/>
      <c r="O497" s="212"/>
      <c r="P497" s="14"/>
      <c r="Q497" s="14"/>
      <c r="R497" s="14"/>
      <c r="S497" s="14"/>
      <c r="T497" s="18"/>
      <c r="U497" s="18"/>
      <c r="V497" s="97"/>
    </row>
    <row r="498" spans="1:22" ht="18" hidden="1" customHeight="1">
      <c r="A498" s="147" t="s">
        <v>629</v>
      </c>
      <c r="B498" s="5"/>
      <c r="C498" s="5"/>
      <c r="D498" s="5"/>
      <c r="E498" s="5"/>
      <c r="F498" s="212"/>
      <c r="G498" s="212"/>
      <c r="H498" s="5"/>
      <c r="I498" s="5"/>
      <c r="J498" s="5"/>
      <c r="K498" s="5"/>
      <c r="L498" s="103"/>
      <c r="M498" s="103"/>
      <c r="N498" s="103"/>
      <c r="O498" s="103"/>
      <c r="P498" s="212"/>
      <c r="Q498" s="213"/>
      <c r="R498" s="14"/>
      <c r="S498" s="220"/>
      <c r="T498" s="18"/>
      <c r="U498" s="18"/>
      <c r="V498" s="97"/>
    </row>
    <row r="499" spans="1:22" ht="18" hidden="1" customHeight="1">
      <c r="A499" s="147"/>
      <c r="B499" s="5"/>
      <c r="C499" s="5"/>
      <c r="D499" s="5"/>
      <c r="E499" s="5"/>
      <c r="F499" s="212"/>
      <c r="G499" s="212"/>
      <c r="H499" s="5"/>
      <c r="I499" s="5"/>
      <c r="J499" s="5"/>
      <c r="K499" s="5"/>
      <c r="L499" s="103"/>
      <c r="M499" s="103"/>
      <c r="N499" s="103"/>
      <c r="O499" s="103"/>
      <c r="P499" s="212"/>
      <c r="Q499" s="213"/>
      <c r="R499" s="14"/>
      <c r="S499" s="214"/>
      <c r="T499" s="18"/>
      <c r="U499" s="18"/>
      <c r="V499" s="97"/>
    </row>
    <row r="500" spans="1:22" ht="18" hidden="1" customHeight="1">
      <c r="A500" s="184"/>
      <c r="B500" s="14" t="s">
        <v>632</v>
      </c>
      <c r="C500" s="14"/>
      <c r="D500" s="14"/>
      <c r="E500" s="14"/>
      <c r="M500" s="120" t="s">
        <v>613</v>
      </c>
      <c r="N500" s="28" t="s">
        <v>127</v>
      </c>
      <c r="O500" s="689" t="s">
        <v>609</v>
      </c>
      <c r="P500" s="716"/>
      <c r="Q500" s="221" t="s">
        <v>630</v>
      </c>
      <c r="R500" s="221">
        <v>16</v>
      </c>
      <c r="S500" s="186"/>
      <c r="V500" s="185"/>
    </row>
    <row r="501" spans="1:22" ht="18" hidden="1" customHeight="1">
      <c r="A501" s="96"/>
      <c r="B501" s="5"/>
      <c r="C501" s="5"/>
      <c r="D501" s="5"/>
      <c r="E501" s="5"/>
      <c r="M501" s="250"/>
      <c r="N501" s="28" t="s">
        <v>127</v>
      </c>
      <c r="O501" s="692">
        <f>+J496</f>
        <v>437.38656756789834</v>
      </c>
      <c r="P501" s="1214"/>
      <c r="Q501" s="221" t="s">
        <v>630</v>
      </c>
      <c r="R501" s="221">
        <v>16</v>
      </c>
      <c r="S501" s="186"/>
      <c r="V501" s="185"/>
    </row>
    <row r="502" spans="1:22" ht="18" hidden="1" customHeight="1">
      <c r="A502" s="96"/>
      <c r="B502" s="5"/>
      <c r="C502" s="5"/>
      <c r="D502" s="5"/>
      <c r="E502" s="5"/>
      <c r="M502" s="120" t="s">
        <v>613</v>
      </c>
      <c r="N502" s="28" t="s">
        <v>127</v>
      </c>
      <c r="O502" s="689">
        <f>O501*R501</f>
        <v>6998.1850810863734</v>
      </c>
      <c r="P502" s="716"/>
      <c r="Q502" s="241" t="s">
        <v>8</v>
      </c>
      <c r="R502" s="14"/>
      <c r="S502" s="186"/>
      <c r="V502" s="185"/>
    </row>
    <row r="503" spans="1:22" ht="18" hidden="1" customHeight="1">
      <c r="A503" s="96"/>
      <c r="B503" s="5"/>
      <c r="C503" s="5"/>
      <c r="D503" s="5"/>
      <c r="E503" s="5"/>
      <c r="M503" s="212"/>
      <c r="N503" s="212"/>
      <c r="O503" s="103"/>
      <c r="Q503" s="223"/>
      <c r="R503" s="14"/>
      <c r="S503" s="214"/>
      <c r="V503" s="185"/>
    </row>
    <row r="504" spans="1:22" ht="18" hidden="1" customHeight="1">
      <c r="A504" s="678" t="s">
        <v>633</v>
      </c>
      <c r="B504" s="1207"/>
      <c r="C504" s="1207"/>
      <c r="D504" s="1207"/>
      <c r="E504" s="1207"/>
      <c r="F504" s="1207"/>
      <c r="G504" s="1207"/>
      <c r="H504" s="1207"/>
      <c r="I504" s="1207"/>
      <c r="J504" s="1207"/>
      <c r="K504" s="1207"/>
      <c r="L504" s="1207"/>
      <c r="M504" s="1207"/>
      <c r="N504" s="1207"/>
      <c r="O504" s="1207"/>
      <c r="P504" s="1207"/>
      <c r="Q504" s="1207"/>
      <c r="R504" s="1207"/>
      <c r="S504" s="1207"/>
      <c r="T504" s="1207"/>
      <c r="U504" s="1207"/>
      <c r="V504" s="1208"/>
    </row>
    <row r="505" spans="1:22" ht="18" hidden="1" customHeight="1">
      <c r="A505" s="1209"/>
      <c r="B505" s="1207"/>
      <c r="C505" s="1207"/>
      <c r="D505" s="1207"/>
      <c r="E505" s="1207"/>
      <c r="F505" s="1207"/>
      <c r="G505" s="1207"/>
      <c r="H505" s="1207"/>
      <c r="I505" s="1207"/>
      <c r="J505" s="1207"/>
      <c r="K505" s="1207"/>
      <c r="L505" s="1207"/>
      <c r="M505" s="1207"/>
      <c r="N505" s="1207"/>
      <c r="O505" s="1207"/>
      <c r="P505" s="1207"/>
      <c r="Q505" s="1207"/>
      <c r="R505" s="1207"/>
      <c r="S505" s="1207"/>
      <c r="T505" s="1207"/>
      <c r="U505" s="1207"/>
      <c r="V505" s="1208"/>
    </row>
    <row r="506" spans="1:22" ht="18" hidden="1" customHeight="1">
      <c r="A506" s="231"/>
      <c r="B506" s="232"/>
      <c r="C506" s="232"/>
      <c r="D506" s="232"/>
      <c r="E506" s="232"/>
      <c r="F506" s="232"/>
      <c r="G506" s="232"/>
      <c r="H506" s="232"/>
      <c r="I506" s="232"/>
      <c r="J506" s="232"/>
      <c r="K506" s="232"/>
      <c r="L506" s="232"/>
      <c r="M506" s="232"/>
      <c r="N506" s="232"/>
      <c r="O506" s="232"/>
      <c r="P506" s="232"/>
      <c r="Q506" s="232"/>
      <c r="R506" s="232"/>
      <c r="S506" s="232"/>
      <c r="T506" s="232"/>
      <c r="U506" s="232"/>
      <c r="V506" s="233"/>
    </row>
    <row r="507" spans="1:22" ht="18" hidden="1" customHeight="1">
      <c r="A507" s="231"/>
      <c r="B507" s="232"/>
      <c r="C507" s="232"/>
      <c r="D507" s="232"/>
      <c r="E507" s="232"/>
      <c r="F507" s="232"/>
      <c r="G507" s="232"/>
      <c r="H507" s="232"/>
      <c r="I507" s="232"/>
      <c r="J507" s="232"/>
      <c r="K507" s="232"/>
      <c r="L507" s="232"/>
      <c r="M507" s="232"/>
      <c r="N507" s="232"/>
      <c r="O507" s="232"/>
      <c r="P507" s="232"/>
      <c r="Q507" s="232"/>
      <c r="R507" s="232"/>
      <c r="S507" s="232"/>
      <c r="T507" s="232"/>
      <c r="U507" s="232"/>
      <c r="V507" s="233"/>
    </row>
    <row r="508" spans="1:22" ht="18" hidden="1" customHeight="1">
      <c r="A508" s="231"/>
      <c r="B508" s="232"/>
      <c r="C508" s="232"/>
      <c r="D508" s="232"/>
      <c r="E508" s="232"/>
      <c r="F508" s="232"/>
      <c r="G508" s="232"/>
      <c r="H508" s="232"/>
      <c r="I508" s="232"/>
      <c r="J508" s="232"/>
      <c r="K508" s="232"/>
      <c r="L508" s="232"/>
      <c r="M508" s="232"/>
      <c r="N508" s="232"/>
      <c r="O508" s="232"/>
      <c r="P508" s="232"/>
      <c r="Q508" s="232"/>
      <c r="R508" s="232"/>
      <c r="S508" s="232"/>
      <c r="T508" s="232"/>
      <c r="U508" s="232"/>
      <c r="V508" s="233"/>
    </row>
    <row r="509" spans="1:22" ht="18" hidden="1" customHeight="1">
      <c r="A509" s="231"/>
      <c r="B509" s="232"/>
      <c r="C509" s="232"/>
      <c r="D509" s="232"/>
      <c r="E509" s="232"/>
      <c r="F509" s="232"/>
      <c r="G509" s="232"/>
      <c r="H509" s="232"/>
      <c r="I509" s="232"/>
      <c r="J509" s="232"/>
      <c r="K509" s="232"/>
      <c r="L509" s="232"/>
      <c r="M509" s="232"/>
      <c r="N509" s="232"/>
      <c r="O509" s="232"/>
      <c r="P509" s="232"/>
      <c r="Q509" s="232"/>
      <c r="R509" s="232"/>
      <c r="S509" s="232"/>
      <c r="T509" s="232"/>
      <c r="U509" s="232"/>
      <c r="V509" s="233"/>
    </row>
    <row r="510" spans="1:22" ht="18" hidden="1" customHeight="1">
      <c r="A510" s="231"/>
      <c r="B510" s="232"/>
      <c r="C510" s="232"/>
      <c r="D510" s="232"/>
      <c r="E510" s="232"/>
      <c r="F510" s="232"/>
      <c r="G510" s="232"/>
      <c r="H510" s="232"/>
      <c r="I510" s="232"/>
      <c r="J510" s="232"/>
      <c r="K510" s="232"/>
      <c r="L510" s="232"/>
      <c r="M510" s="232"/>
      <c r="N510" s="232"/>
      <c r="O510" s="232"/>
      <c r="P510" s="232"/>
      <c r="Q510" s="232"/>
      <c r="R510" s="232"/>
      <c r="S510" s="232"/>
      <c r="T510" s="232"/>
      <c r="U510" s="232"/>
      <c r="V510" s="233"/>
    </row>
    <row r="511" spans="1:22" ht="18" hidden="1" customHeight="1">
      <c r="A511" s="96"/>
      <c r="B511" s="5"/>
      <c r="C511" s="5"/>
      <c r="D511" s="5"/>
      <c r="E511" s="5"/>
      <c r="M511" s="212"/>
      <c r="N511" s="212"/>
      <c r="O511" s="103"/>
      <c r="Q511" s="223"/>
      <c r="R511" s="14"/>
      <c r="S511" s="214"/>
      <c r="V511" s="185"/>
    </row>
    <row r="512" spans="1:22" ht="18" hidden="1" customHeight="1">
      <c r="A512" s="184"/>
      <c r="V512" s="185"/>
    </row>
    <row r="513" spans="1:22" ht="18" hidden="1" customHeight="1">
      <c r="A513" s="184"/>
      <c r="V513" s="185"/>
    </row>
    <row r="514" spans="1:22" ht="18" hidden="1" customHeight="1">
      <c r="A514" s="194"/>
      <c r="B514" s="195"/>
      <c r="C514" s="195"/>
      <c r="D514" s="195"/>
      <c r="E514" s="195"/>
      <c r="F514" s="195"/>
      <c r="G514" s="195"/>
      <c r="H514" s="195"/>
      <c r="I514" s="195"/>
      <c r="J514" s="195"/>
      <c r="K514" s="195"/>
      <c r="L514" s="195"/>
      <c r="M514" s="195"/>
      <c r="N514" s="195"/>
      <c r="O514" s="195"/>
      <c r="P514" s="195"/>
      <c r="Q514" s="224"/>
      <c r="R514" s="182"/>
      <c r="S514" s="225"/>
      <c r="T514" s="195"/>
      <c r="U514" s="195"/>
      <c r="V514" s="134"/>
    </row>
    <row r="515" spans="1:22" ht="18" hidden="1" customHeight="1">
      <c r="A515" s="226"/>
      <c r="B515" s="227"/>
      <c r="C515" s="227"/>
      <c r="D515" s="227"/>
      <c r="E515" s="227"/>
      <c r="F515" s="227"/>
      <c r="G515" s="227"/>
      <c r="H515" s="227"/>
      <c r="I515" s="227"/>
      <c r="J515" s="227"/>
      <c r="K515" s="227"/>
      <c r="L515" s="227"/>
      <c r="M515" s="227"/>
      <c r="N515" s="227"/>
      <c r="O515" s="227"/>
      <c r="P515" s="227"/>
      <c r="Q515" s="227"/>
      <c r="R515" s="227"/>
      <c r="S515" s="227"/>
      <c r="T515" s="227"/>
      <c r="U515" s="227"/>
      <c r="V515" s="228"/>
    </row>
    <row r="516" spans="1:22" ht="18" hidden="1" customHeight="1">
      <c r="A516" s="799" t="s">
        <v>417</v>
      </c>
      <c r="B516" s="802"/>
      <c r="C516" s="802"/>
      <c r="D516" s="689">
        <v>30</v>
      </c>
      <c r="E516" s="689" t="s">
        <v>315</v>
      </c>
      <c r="F516" s="689" t="s">
        <v>609</v>
      </c>
      <c r="G516" s="684"/>
      <c r="H516" s="689" t="s">
        <v>315</v>
      </c>
      <c r="I516" s="708" t="s">
        <v>411</v>
      </c>
      <c r="J516" s="828"/>
      <c r="K516" s="689" t="s">
        <v>315</v>
      </c>
      <c r="L516" s="802" t="s">
        <v>419</v>
      </c>
      <c r="M516" s="716" t="s">
        <v>420</v>
      </c>
      <c r="N516" s="729" t="s">
        <v>347</v>
      </c>
      <c r="O516" s="716" t="s">
        <v>408</v>
      </c>
      <c r="P516" s="689" t="s">
        <v>347</v>
      </c>
      <c r="Q516" s="759" t="s">
        <v>421</v>
      </c>
      <c r="R516" s="797"/>
      <c r="S516" s="797"/>
      <c r="T516" s="798" t="s">
        <v>350</v>
      </c>
      <c r="U516" s="230" t="s">
        <v>422</v>
      </c>
      <c r="V516" s="97"/>
    </row>
    <row r="517" spans="1:22" ht="18" hidden="1" customHeight="1">
      <c r="A517" s="827"/>
      <c r="B517" s="802"/>
      <c r="C517" s="802"/>
      <c r="D517" s="689"/>
      <c r="E517" s="689"/>
      <c r="F517" s="684"/>
      <c r="G517" s="684"/>
      <c r="H517" s="689"/>
      <c r="I517" s="689" t="s">
        <v>423</v>
      </c>
      <c r="J517" s="723"/>
      <c r="K517" s="689"/>
      <c r="L517" s="802"/>
      <c r="M517" s="716"/>
      <c r="N517" s="729"/>
      <c r="O517" s="716"/>
      <c r="P517" s="689"/>
      <c r="Q517" s="28" t="s">
        <v>146</v>
      </c>
      <c r="R517" s="28" t="s">
        <v>315</v>
      </c>
      <c r="S517" s="28" t="s">
        <v>146</v>
      </c>
      <c r="T517" s="798"/>
      <c r="U517" s="14"/>
      <c r="V517" s="97"/>
    </row>
    <row r="518" spans="1:22" ht="18" hidden="1" customHeight="1">
      <c r="A518" s="184"/>
      <c r="V518" s="185"/>
    </row>
    <row r="519" spans="1:22" ht="18" hidden="1" customHeight="1">
      <c r="A519" s="799" t="s">
        <v>417</v>
      </c>
      <c r="B519" s="802"/>
      <c r="C519" s="802"/>
      <c r="D519" s="689">
        <v>2</v>
      </c>
      <c r="E519" s="689" t="s">
        <v>315</v>
      </c>
      <c r="F519" s="689" t="s">
        <v>613</v>
      </c>
      <c r="G519" s="684"/>
      <c r="H519" s="689" t="s">
        <v>315</v>
      </c>
      <c r="I519" s="708" t="s">
        <v>411</v>
      </c>
      <c r="J519" s="828"/>
      <c r="K519" s="689" t="s">
        <v>315</v>
      </c>
      <c r="L519" s="802" t="s">
        <v>419</v>
      </c>
      <c r="M519" s="716" t="s">
        <v>420</v>
      </c>
      <c r="N519" s="729" t="s">
        <v>347</v>
      </c>
      <c r="O519" s="716" t="s">
        <v>408</v>
      </c>
      <c r="P519" s="689" t="s">
        <v>347</v>
      </c>
      <c r="Q519" s="759" t="s">
        <v>421</v>
      </c>
      <c r="R519" s="797"/>
      <c r="S519" s="797"/>
      <c r="T519" s="798" t="s">
        <v>350</v>
      </c>
      <c r="U519" s="230" t="s">
        <v>426</v>
      </c>
      <c r="V519" s="97"/>
    </row>
    <row r="520" spans="1:22" ht="18" hidden="1" customHeight="1">
      <c r="A520" s="827"/>
      <c r="B520" s="802"/>
      <c r="C520" s="802"/>
      <c r="D520" s="689"/>
      <c r="E520" s="689"/>
      <c r="F520" s="684"/>
      <c r="G520" s="684"/>
      <c r="H520" s="689"/>
      <c r="I520" s="689" t="s">
        <v>423</v>
      </c>
      <c r="J520" s="723"/>
      <c r="K520" s="689"/>
      <c r="L520" s="802"/>
      <c r="M520" s="716"/>
      <c r="N520" s="729"/>
      <c r="O520" s="716"/>
      <c r="P520" s="689"/>
      <c r="Q520" s="28" t="s">
        <v>146</v>
      </c>
      <c r="R520" s="28" t="s">
        <v>315</v>
      </c>
      <c r="S520" s="28" t="s">
        <v>146</v>
      </c>
      <c r="T520" s="798"/>
      <c r="U520" s="14"/>
      <c r="V520" s="97"/>
    </row>
    <row r="521" spans="1:22" ht="18" hidden="1" customHeight="1">
      <c r="A521" s="184"/>
      <c r="V521" s="185"/>
    </row>
    <row r="522" spans="1:22" ht="18" hidden="1" customHeight="1">
      <c r="A522" s="678" t="s">
        <v>616</v>
      </c>
      <c r="B522" s="1207"/>
      <c r="C522" s="1207"/>
      <c r="D522" s="1207"/>
      <c r="E522" s="1207"/>
      <c r="F522" s="1207"/>
      <c r="G522" s="1207"/>
      <c r="H522" s="1207"/>
      <c r="I522" s="1207"/>
      <c r="J522" s="1207"/>
      <c r="K522" s="1207"/>
      <c r="L522" s="1207"/>
      <c r="M522" s="1207"/>
      <c r="N522" s="1207"/>
      <c r="O522" s="1207"/>
      <c r="P522" s="1207"/>
      <c r="Q522" s="1207"/>
      <c r="R522" s="1207"/>
      <c r="S522" s="1207"/>
      <c r="T522" s="1207"/>
      <c r="U522" s="1207"/>
      <c r="V522" s="1208"/>
    </row>
    <row r="523" spans="1:22" ht="18" hidden="1" customHeight="1">
      <c r="A523" s="1209"/>
      <c r="B523" s="1207"/>
      <c r="C523" s="1207"/>
      <c r="D523" s="1207"/>
      <c r="E523" s="1207"/>
      <c r="F523" s="1207"/>
      <c r="G523" s="1207"/>
      <c r="H523" s="1207"/>
      <c r="I523" s="1207"/>
      <c r="J523" s="1207"/>
      <c r="K523" s="1207"/>
      <c r="L523" s="1207"/>
      <c r="M523" s="1207"/>
      <c r="N523" s="1207"/>
      <c r="O523" s="1207"/>
      <c r="P523" s="1207"/>
      <c r="Q523" s="1207"/>
      <c r="R523" s="1207"/>
      <c r="S523" s="1207"/>
      <c r="T523" s="1207"/>
      <c r="U523" s="1207"/>
      <c r="V523" s="1208"/>
    </row>
    <row r="524" spans="1:22" ht="18" hidden="1" customHeight="1">
      <c r="A524" s="231"/>
      <c r="B524" s="232"/>
      <c r="C524" s="232"/>
      <c r="D524" s="232"/>
      <c r="E524" s="232"/>
      <c r="F524" s="232"/>
      <c r="G524" s="232"/>
      <c r="H524" s="232"/>
      <c r="I524" s="232"/>
      <c r="J524" s="232"/>
      <c r="K524" s="232"/>
      <c r="L524" s="232"/>
      <c r="M524" s="232"/>
      <c r="N524" s="232"/>
      <c r="O524" s="232"/>
      <c r="P524" s="232"/>
      <c r="Q524" s="232"/>
      <c r="R524" s="232"/>
      <c r="S524" s="232"/>
      <c r="T524" s="232"/>
      <c r="U524" s="232"/>
      <c r="V524" s="233"/>
    </row>
    <row r="525" spans="1:22" ht="18" hidden="1" customHeight="1">
      <c r="A525" s="799" t="s">
        <v>417</v>
      </c>
      <c r="B525" s="802"/>
      <c r="C525" s="802"/>
      <c r="D525" s="689"/>
      <c r="E525" s="689"/>
      <c r="F525" s="689" t="s">
        <v>617</v>
      </c>
      <c r="G525" s="684"/>
      <c r="H525" s="689" t="s">
        <v>315</v>
      </c>
      <c r="I525" s="708" t="s">
        <v>411</v>
      </c>
      <c r="J525" s="828"/>
      <c r="K525" s="689" t="s">
        <v>315</v>
      </c>
      <c r="L525" s="802" t="s">
        <v>419</v>
      </c>
      <c r="M525" s="716" t="s">
        <v>420</v>
      </c>
      <c r="N525" s="729" t="s">
        <v>347</v>
      </c>
      <c r="O525" s="716" t="s">
        <v>408</v>
      </c>
      <c r="P525" s="689" t="s">
        <v>347</v>
      </c>
      <c r="Q525" s="759" t="s">
        <v>421</v>
      </c>
      <c r="R525" s="797"/>
      <c r="S525" s="797"/>
      <c r="T525" s="798" t="s">
        <v>350</v>
      </c>
      <c r="U525" s="230" t="s">
        <v>618</v>
      </c>
      <c r="V525" s="97"/>
    </row>
    <row r="526" spans="1:22" ht="18" hidden="1" customHeight="1">
      <c r="A526" s="827"/>
      <c r="B526" s="802"/>
      <c r="C526" s="802"/>
      <c r="D526" s="689"/>
      <c r="E526" s="689"/>
      <c r="F526" s="684"/>
      <c r="G526" s="684"/>
      <c r="H526" s="689"/>
      <c r="I526" s="689" t="s">
        <v>423</v>
      </c>
      <c r="J526" s="723"/>
      <c r="K526" s="689"/>
      <c r="L526" s="802"/>
      <c r="M526" s="716"/>
      <c r="N526" s="729"/>
      <c r="O526" s="716"/>
      <c r="P526" s="689"/>
      <c r="Q526" s="28" t="s">
        <v>146</v>
      </c>
      <c r="R526" s="28" t="s">
        <v>315</v>
      </c>
      <c r="S526" s="28" t="s">
        <v>146</v>
      </c>
      <c r="T526" s="798"/>
      <c r="U526" s="14"/>
      <c r="V526" s="97"/>
    </row>
    <row r="527" spans="1:22" s="14" customFormat="1" ht="18" hidden="1" customHeight="1">
      <c r="A527" s="96"/>
      <c r="D527" s="28"/>
      <c r="E527" s="28"/>
      <c r="F527" s="27"/>
      <c r="G527" s="27"/>
      <c r="H527" s="28"/>
      <c r="I527" s="28"/>
      <c r="J527" s="30"/>
      <c r="K527" s="28"/>
      <c r="L527" s="120"/>
      <c r="N527" s="102"/>
      <c r="P527" s="28"/>
      <c r="Q527" s="28"/>
      <c r="R527" s="28"/>
      <c r="S527" s="28"/>
      <c r="T527" s="40"/>
      <c r="V527" s="97"/>
    </row>
    <row r="528" spans="1:22" ht="18" hidden="1" customHeight="1">
      <c r="A528" s="184"/>
      <c r="H528" s="30" t="s">
        <v>619</v>
      </c>
      <c r="M528" s="854" t="str">
        <f>M393</f>
        <v>Y</v>
      </c>
      <c r="N528" s="831"/>
      <c r="V528" s="185"/>
    </row>
    <row r="529" spans="1:22" ht="18" hidden="1" customHeight="1">
      <c r="A529" s="96"/>
      <c r="B529" s="14"/>
      <c r="C529" s="14"/>
      <c r="D529" s="28"/>
      <c r="E529" s="28"/>
      <c r="F529" s="27"/>
      <c r="G529" s="27"/>
      <c r="H529" s="28"/>
      <c r="I529" s="28"/>
      <c r="K529" s="28"/>
      <c r="L529" s="120"/>
      <c r="M529" s="14"/>
      <c r="N529" s="102"/>
      <c r="O529" s="14"/>
      <c r="P529" s="28"/>
      <c r="Q529" s="28"/>
      <c r="R529" s="28"/>
      <c r="S529" s="28"/>
      <c r="T529" s="40"/>
      <c r="U529" s="14"/>
      <c r="V529" s="97"/>
    </row>
    <row r="530" spans="1:22" ht="18" hidden="1" customHeight="1">
      <c r="A530" s="184"/>
      <c r="B530" s="14" t="s">
        <v>427</v>
      </c>
      <c r="C530" s="14"/>
      <c r="D530" s="103"/>
      <c r="E530" s="103"/>
      <c r="F530" s="14"/>
      <c r="G530" s="14"/>
      <c r="H530" s="5"/>
      <c r="I530" s="5"/>
      <c r="J530" s="5"/>
      <c r="P530" s="120" t="s">
        <v>428</v>
      </c>
      <c r="V530" s="185"/>
    </row>
    <row r="531" spans="1:22" ht="18" hidden="1" customHeight="1">
      <c r="A531" s="184"/>
      <c r="B531" s="14" t="s">
        <v>429</v>
      </c>
      <c r="C531" s="14"/>
      <c r="D531" s="103"/>
      <c r="E531" s="103"/>
      <c r="F531" s="14"/>
      <c r="G531" s="14"/>
      <c r="H531" s="5"/>
      <c r="I531" s="5"/>
      <c r="J531" s="5"/>
      <c r="P531" s="120" t="s">
        <v>430</v>
      </c>
      <c r="Q531" s="234" t="s">
        <v>127</v>
      </c>
      <c r="R531" s="684" t="str">
        <f>L475</f>
        <v>-</v>
      </c>
      <c r="S531" s="684"/>
      <c r="T531" s="14" t="s">
        <v>8</v>
      </c>
      <c r="V531" s="185"/>
    </row>
    <row r="532" spans="1:22" ht="18" hidden="1" customHeight="1">
      <c r="A532" s="184"/>
      <c r="B532" s="14" t="s">
        <v>621</v>
      </c>
      <c r="C532" s="14"/>
      <c r="D532" s="14"/>
      <c r="E532" s="14"/>
      <c r="F532" s="14"/>
      <c r="G532" s="14"/>
      <c r="H532" s="14"/>
      <c r="I532" s="14"/>
      <c r="J532" s="14"/>
      <c r="P532" s="120" t="s">
        <v>609</v>
      </c>
      <c r="Q532" s="234" t="s">
        <v>127</v>
      </c>
      <c r="R532" s="684">
        <f>J496</f>
        <v>437.38656756789834</v>
      </c>
      <c r="S532" s="684"/>
      <c r="T532" s="14" t="s">
        <v>8</v>
      </c>
      <c r="V532" s="185"/>
    </row>
    <row r="533" spans="1:22" ht="18" hidden="1" customHeight="1">
      <c r="A533" s="184"/>
      <c r="B533" s="14" t="s">
        <v>622</v>
      </c>
      <c r="C533" s="14"/>
      <c r="D533" s="14"/>
      <c r="E533" s="14"/>
      <c r="F533" s="14"/>
      <c r="G533" s="14"/>
      <c r="H533" s="14"/>
      <c r="I533" s="14"/>
      <c r="J533" s="14"/>
      <c r="P533" s="120" t="s">
        <v>613</v>
      </c>
      <c r="Q533" s="234" t="s">
        <v>127</v>
      </c>
      <c r="R533" s="684">
        <f>O502</f>
        <v>6998.1850810863734</v>
      </c>
      <c r="S533" s="684"/>
      <c r="T533" s="14" t="s">
        <v>8</v>
      </c>
      <c r="V533" s="185"/>
    </row>
    <row r="534" spans="1:22" ht="18" hidden="1" customHeight="1">
      <c r="A534" s="184"/>
      <c r="B534" s="235" t="s">
        <v>623</v>
      </c>
      <c r="C534" s="14"/>
      <c r="D534" s="14"/>
      <c r="E534" s="14"/>
      <c r="F534" s="14"/>
      <c r="G534" s="14"/>
      <c r="H534" s="14"/>
      <c r="I534" s="14"/>
      <c r="J534" s="14"/>
      <c r="P534" s="120"/>
      <c r="Q534" s="236"/>
      <c r="R534" s="27"/>
      <c r="S534" s="27"/>
      <c r="T534" s="14"/>
      <c r="V534" s="185"/>
    </row>
    <row r="535" spans="1:22" ht="18" hidden="1" customHeight="1">
      <c r="A535" s="184"/>
      <c r="B535" s="14" t="s">
        <v>622</v>
      </c>
      <c r="C535" s="14"/>
      <c r="D535" s="14"/>
      <c r="E535" s="14"/>
      <c r="F535" s="14"/>
      <c r="G535" s="14"/>
      <c r="H535" s="14"/>
      <c r="I535" s="14"/>
      <c r="J535" s="14"/>
      <c r="P535" s="120" t="s">
        <v>617</v>
      </c>
      <c r="Q535" s="234" t="s">
        <v>127</v>
      </c>
      <c r="R535" s="684">
        <f>R400</f>
        <v>40000</v>
      </c>
      <c r="S535" s="684"/>
      <c r="T535" s="14" t="s">
        <v>8</v>
      </c>
      <c r="V535" s="185"/>
    </row>
    <row r="536" spans="1:22" ht="18" hidden="1" customHeight="1">
      <c r="A536" s="184"/>
      <c r="B536" s="235" t="s">
        <v>624</v>
      </c>
      <c r="C536" s="14"/>
      <c r="D536" s="14"/>
      <c r="E536" s="14"/>
      <c r="F536" s="14"/>
      <c r="G536" s="14"/>
      <c r="H536" s="14"/>
      <c r="I536" s="14"/>
      <c r="J536" s="14"/>
      <c r="R536" s="27"/>
      <c r="S536" s="27"/>
      <c r="T536" s="14"/>
      <c r="V536" s="185"/>
    </row>
    <row r="537" spans="1:22" ht="18" hidden="1" customHeight="1">
      <c r="A537" s="184"/>
      <c r="B537" s="14" t="s">
        <v>435</v>
      </c>
      <c r="C537" s="14"/>
      <c r="D537" s="103"/>
      <c r="E537" s="103"/>
      <c r="F537" s="14"/>
      <c r="G537" s="14"/>
      <c r="H537" s="5"/>
      <c r="I537" s="5"/>
      <c r="J537" s="5"/>
      <c r="P537" s="120" t="s">
        <v>436</v>
      </c>
      <c r="Q537" s="234" t="s">
        <v>127</v>
      </c>
      <c r="R537" s="684">
        <f>O475</f>
        <v>1</v>
      </c>
      <c r="S537" s="684"/>
      <c r="T537" s="14" t="s">
        <v>8</v>
      </c>
      <c r="V537" s="185"/>
    </row>
    <row r="538" spans="1:22" ht="18" hidden="1" customHeight="1">
      <c r="A538" s="184"/>
      <c r="B538" s="14" t="s">
        <v>437</v>
      </c>
      <c r="C538" s="14"/>
      <c r="D538" s="103"/>
      <c r="E538" s="103"/>
      <c r="F538" s="14"/>
      <c r="G538" s="14"/>
      <c r="H538" s="5"/>
      <c r="I538" s="5"/>
      <c r="J538" s="5"/>
      <c r="P538" s="120" t="s">
        <v>438</v>
      </c>
      <c r="Q538" s="234" t="s">
        <v>127</v>
      </c>
      <c r="R538" s="684">
        <f>R403</f>
        <v>1</v>
      </c>
      <c r="S538" s="684"/>
      <c r="T538" s="14" t="s">
        <v>8</v>
      </c>
      <c r="V538" s="185"/>
    </row>
    <row r="539" spans="1:22" ht="18" hidden="1" customHeight="1">
      <c r="A539" s="184"/>
      <c r="B539" s="14" t="s">
        <v>439</v>
      </c>
      <c r="C539" s="14"/>
      <c r="D539" s="103"/>
      <c r="E539" s="103"/>
      <c r="F539" s="14"/>
      <c r="G539" s="14"/>
      <c r="H539" s="5"/>
      <c r="I539" s="5"/>
      <c r="J539" s="5"/>
      <c r="P539" s="120" t="s">
        <v>440</v>
      </c>
      <c r="Q539" s="234" t="s">
        <v>127</v>
      </c>
      <c r="R539" s="684" t="str">
        <f>L477</f>
        <v>-</v>
      </c>
      <c r="S539" s="684"/>
      <c r="T539" s="192" t="s">
        <v>333</v>
      </c>
      <c r="V539" s="185"/>
    </row>
    <row r="540" spans="1:22" ht="18" hidden="1" customHeight="1">
      <c r="A540" s="184"/>
      <c r="B540" s="14" t="s">
        <v>625</v>
      </c>
      <c r="C540" s="14"/>
      <c r="D540" s="14"/>
      <c r="E540" s="14"/>
      <c r="F540" s="14"/>
      <c r="G540" s="14"/>
      <c r="H540" s="14"/>
      <c r="I540" s="14"/>
      <c r="J540" s="14"/>
      <c r="P540" s="237" t="s">
        <v>441</v>
      </c>
      <c r="Q540" s="234" t="s">
        <v>127</v>
      </c>
      <c r="R540" s="795">
        <f>P487</f>
        <v>1.0770224400000001</v>
      </c>
      <c r="S540" s="684"/>
      <c r="T540" s="192" t="s">
        <v>333</v>
      </c>
      <c r="V540" s="185"/>
    </row>
    <row r="541" spans="1:22" ht="18" hidden="1" customHeight="1">
      <c r="A541" s="184"/>
      <c r="B541" s="40" t="s">
        <v>442</v>
      </c>
      <c r="C541" s="14"/>
      <c r="D541" s="14"/>
      <c r="E541" s="14"/>
      <c r="F541" s="14"/>
      <c r="G541" s="14"/>
      <c r="H541" s="5"/>
      <c r="I541" s="5"/>
      <c r="J541" s="5"/>
      <c r="P541" s="237" t="s">
        <v>443</v>
      </c>
      <c r="Q541" s="234" t="s">
        <v>127</v>
      </c>
      <c r="R541" s="795">
        <f>J483</f>
        <v>0.02</v>
      </c>
      <c r="S541" s="684"/>
      <c r="T541" s="14" t="s">
        <v>157</v>
      </c>
      <c r="V541" s="185"/>
    </row>
    <row r="542" spans="1:22" ht="18" hidden="1" customHeight="1">
      <c r="A542" s="184"/>
      <c r="V542" s="185"/>
    </row>
    <row r="543" spans="1:22" ht="18" hidden="1" customHeight="1">
      <c r="A543" s="799" t="s">
        <v>417</v>
      </c>
      <c r="B543" s="802"/>
      <c r="C543" s="802"/>
      <c r="D543" s="805">
        <v>30</v>
      </c>
      <c r="E543" s="805" t="s">
        <v>315</v>
      </c>
      <c r="F543" s="1184">
        <f>R532</f>
        <v>437.38656756789834</v>
      </c>
      <c r="G543" s="1111"/>
      <c r="H543" s="805" t="s">
        <v>315</v>
      </c>
      <c r="I543" s="822">
        <f>R537</f>
        <v>1</v>
      </c>
      <c r="J543" s="1269"/>
      <c r="K543" s="805" t="s">
        <v>315</v>
      </c>
      <c r="L543" s="815" t="s">
        <v>419</v>
      </c>
      <c r="M543" s="815" t="str">
        <f>R539</f>
        <v>-</v>
      </c>
      <c r="N543" s="816" t="s">
        <v>347</v>
      </c>
      <c r="O543" s="817">
        <f>R540</f>
        <v>1.0770224400000001</v>
      </c>
      <c r="P543" s="805" t="s">
        <v>347</v>
      </c>
      <c r="Q543" s="1259">
        <f>R541</f>
        <v>0.02</v>
      </c>
      <c r="R543" s="807"/>
      <c r="S543" s="807"/>
      <c r="T543" s="798" t="s">
        <v>350</v>
      </c>
      <c r="U543" s="230" t="s">
        <v>422</v>
      </c>
      <c r="V543" s="97"/>
    </row>
    <row r="544" spans="1:22" ht="18" hidden="1" customHeight="1">
      <c r="A544" s="827"/>
      <c r="B544" s="802"/>
      <c r="C544" s="802"/>
      <c r="D544" s="805"/>
      <c r="E544" s="805"/>
      <c r="F544" s="1111"/>
      <c r="G544" s="1111"/>
      <c r="H544" s="805"/>
      <c r="I544" s="805" t="str">
        <f>R531</f>
        <v>-</v>
      </c>
      <c r="J544" s="1234"/>
      <c r="K544" s="805"/>
      <c r="L544" s="815"/>
      <c r="M544" s="815"/>
      <c r="N544" s="816"/>
      <c r="O544" s="815"/>
      <c r="P544" s="805"/>
      <c r="Q544" s="221">
        <f>R538</f>
        <v>1</v>
      </c>
      <c r="R544" s="221" t="s">
        <v>315</v>
      </c>
      <c r="S544" s="221">
        <f>R538</f>
        <v>1</v>
      </c>
      <c r="T544" s="798"/>
      <c r="U544" s="14"/>
      <c r="V544" s="97"/>
    </row>
    <row r="545" spans="1:22" ht="18" hidden="1" customHeight="1">
      <c r="A545" s="184"/>
      <c r="V545" s="185"/>
    </row>
    <row r="546" spans="1:22" ht="18" hidden="1" customHeight="1">
      <c r="A546" s="184"/>
      <c r="C546" s="30" t="s">
        <v>127</v>
      </c>
      <c r="D546" s="812" t="e">
        <f>D543*F543*(I543/I544)*(M543+O543+(Q543/(Q544*S544)))</f>
        <v>#VALUE!</v>
      </c>
      <c r="E546" s="813"/>
      <c r="F546" s="30" t="s">
        <v>305</v>
      </c>
      <c r="V546" s="185"/>
    </row>
    <row r="547" spans="1:22" ht="18" hidden="1" customHeight="1">
      <c r="A547" s="184"/>
      <c r="V547" s="185"/>
    </row>
    <row r="548" spans="1:22" ht="18" hidden="1" customHeight="1">
      <c r="A548" s="799" t="s">
        <v>417</v>
      </c>
      <c r="B548" s="802"/>
      <c r="C548" s="802"/>
      <c r="D548" s="805">
        <v>2</v>
      </c>
      <c r="E548" s="805" t="s">
        <v>315</v>
      </c>
      <c r="F548" s="1184">
        <f>R533</f>
        <v>6998.1850810863734</v>
      </c>
      <c r="G548" s="1111"/>
      <c r="H548" s="805" t="s">
        <v>315</v>
      </c>
      <c r="I548" s="822">
        <f>R537</f>
        <v>1</v>
      </c>
      <c r="J548" s="1269"/>
      <c r="K548" s="805" t="s">
        <v>315</v>
      </c>
      <c r="L548" s="808" t="s">
        <v>419</v>
      </c>
      <c r="M548" s="815" t="str">
        <f>R539</f>
        <v>-</v>
      </c>
      <c r="N548" s="816" t="s">
        <v>347</v>
      </c>
      <c r="O548" s="817">
        <f>R540</f>
        <v>1.0770224400000001</v>
      </c>
      <c r="P548" s="805" t="s">
        <v>347</v>
      </c>
      <c r="Q548" s="1259">
        <f>R541</f>
        <v>0.02</v>
      </c>
      <c r="R548" s="807"/>
      <c r="S548" s="807"/>
      <c r="T548" s="798" t="s">
        <v>350</v>
      </c>
      <c r="U548" s="230" t="s">
        <v>426</v>
      </c>
      <c r="V548" s="97"/>
    </row>
    <row r="549" spans="1:22" ht="18" hidden="1" customHeight="1">
      <c r="A549" s="827"/>
      <c r="B549" s="802"/>
      <c r="C549" s="802"/>
      <c r="D549" s="805"/>
      <c r="E549" s="805"/>
      <c r="F549" s="1111"/>
      <c r="G549" s="1111"/>
      <c r="H549" s="805"/>
      <c r="I549" s="805" t="str">
        <f>R531</f>
        <v>-</v>
      </c>
      <c r="J549" s="1234"/>
      <c r="K549" s="805"/>
      <c r="L549" s="808"/>
      <c r="M549" s="815"/>
      <c r="N549" s="816"/>
      <c r="O549" s="815"/>
      <c r="P549" s="805"/>
      <c r="Q549" s="221">
        <f>R538</f>
        <v>1</v>
      </c>
      <c r="R549" s="221" t="s">
        <v>315</v>
      </c>
      <c r="S549" s="221">
        <f>R538</f>
        <v>1</v>
      </c>
      <c r="T549" s="798"/>
      <c r="U549" s="14"/>
      <c r="V549" s="97"/>
    </row>
    <row r="550" spans="1:22" ht="18" hidden="1" customHeight="1">
      <c r="A550" s="184"/>
      <c r="L550" s="244"/>
      <c r="V550" s="185"/>
    </row>
    <row r="551" spans="1:22" ht="18" hidden="1" customHeight="1">
      <c r="A551" s="184"/>
      <c r="C551" s="30" t="s">
        <v>127</v>
      </c>
      <c r="D551" s="812" t="e">
        <f>D548*F548*(I548/I549)*(M548+O548+(Q548/(Q549*S549)))</f>
        <v>#VALUE!</v>
      </c>
      <c r="E551" s="813"/>
      <c r="F551" s="30" t="s">
        <v>305</v>
      </c>
      <c r="L551" s="244"/>
      <c r="V551" s="185"/>
    </row>
    <row r="552" spans="1:22" ht="18" hidden="1" customHeight="1">
      <c r="A552" s="184"/>
      <c r="L552" s="244"/>
      <c r="V552" s="185"/>
    </row>
    <row r="553" spans="1:22" ht="18" hidden="1" customHeight="1">
      <c r="A553" s="799" t="s">
        <v>417</v>
      </c>
      <c r="B553" s="802"/>
      <c r="C553" s="802"/>
      <c r="D553" s="689"/>
      <c r="E553" s="689"/>
      <c r="F553" s="805">
        <f>R535</f>
        <v>40000</v>
      </c>
      <c r="G553" s="993"/>
      <c r="H553" s="805" t="s">
        <v>315</v>
      </c>
      <c r="I553" s="822">
        <f>R537</f>
        <v>1</v>
      </c>
      <c r="J553" s="1269"/>
      <c r="K553" s="805" t="s">
        <v>315</v>
      </c>
      <c r="L553" s="808" t="s">
        <v>419</v>
      </c>
      <c r="M553" s="815" t="str">
        <f>R539</f>
        <v>-</v>
      </c>
      <c r="N553" s="816" t="s">
        <v>347</v>
      </c>
      <c r="O553" s="817">
        <f>R540</f>
        <v>1.0770224400000001</v>
      </c>
      <c r="P553" s="805" t="s">
        <v>347</v>
      </c>
      <c r="Q553" s="1259">
        <f>R541</f>
        <v>0.02</v>
      </c>
      <c r="R553" s="807"/>
      <c r="S553" s="807"/>
      <c r="T553" s="798" t="s">
        <v>350</v>
      </c>
      <c r="U553" s="230" t="s">
        <v>618</v>
      </c>
      <c r="V553" s="97"/>
    </row>
    <row r="554" spans="1:22" ht="18" hidden="1" customHeight="1">
      <c r="A554" s="827"/>
      <c r="B554" s="802"/>
      <c r="C554" s="802"/>
      <c r="D554" s="689"/>
      <c r="E554" s="689"/>
      <c r="F554" s="993"/>
      <c r="G554" s="993"/>
      <c r="H554" s="805"/>
      <c r="I554" s="805" t="str">
        <f>R531</f>
        <v>-</v>
      </c>
      <c r="J554" s="1234"/>
      <c r="K554" s="805"/>
      <c r="L554" s="808"/>
      <c r="M554" s="815"/>
      <c r="N554" s="816"/>
      <c r="O554" s="815"/>
      <c r="P554" s="805"/>
      <c r="Q554" s="221">
        <f>R538</f>
        <v>1</v>
      </c>
      <c r="R554" s="221" t="s">
        <v>315</v>
      </c>
      <c r="S554" s="221">
        <f>R538</f>
        <v>1</v>
      </c>
      <c r="T554" s="798"/>
      <c r="U554" s="14"/>
      <c r="V554" s="97"/>
    </row>
    <row r="555" spans="1:22" ht="18" hidden="1" customHeight="1">
      <c r="A555" s="184"/>
      <c r="V555" s="185"/>
    </row>
    <row r="556" spans="1:22" ht="18" hidden="1" customHeight="1">
      <c r="A556" s="184"/>
      <c r="C556" s="30" t="s">
        <v>127</v>
      </c>
      <c r="D556" s="812" t="e">
        <f>F553*(I553/I554)*(M553+O553+(Q553/(Q554*S554)))</f>
        <v>#VALUE!</v>
      </c>
      <c r="E556" s="813"/>
      <c r="F556" s="30" t="s">
        <v>305</v>
      </c>
      <c r="G556" s="187" t="s">
        <v>378</v>
      </c>
      <c r="H556" s="186" t="str">
        <f>IF(M528="y","Applicable","Not applicable")</f>
        <v>Applicable</v>
      </c>
      <c r="V556" s="185"/>
    </row>
    <row r="557" spans="1:22" ht="18" hidden="1" customHeight="1">
      <c r="A557" s="184"/>
      <c r="V557" s="185"/>
    </row>
    <row r="558" spans="1:22" ht="18" hidden="1" customHeight="1">
      <c r="A558" s="194"/>
      <c r="B558" s="195"/>
      <c r="C558" s="195"/>
      <c r="D558" s="195"/>
      <c r="E558" s="195"/>
      <c r="F558" s="195"/>
      <c r="G558" s="195"/>
      <c r="H558" s="195"/>
      <c r="I558" s="195"/>
      <c r="J558" s="195"/>
      <c r="K558" s="195"/>
      <c r="L558" s="195"/>
      <c r="M558" s="195"/>
      <c r="N558" s="195"/>
      <c r="O558" s="195"/>
      <c r="P558" s="195"/>
      <c r="Q558" s="224"/>
      <c r="R558" s="182"/>
      <c r="S558" s="225"/>
      <c r="T558" s="195"/>
      <c r="U558" s="195"/>
      <c r="V558" s="134"/>
    </row>
    <row r="559" spans="1:22" ht="18" hidden="1" customHeight="1">
      <c r="A559" s="226"/>
      <c r="B559" s="227"/>
      <c r="C559" s="227"/>
      <c r="D559" s="227"/>
      <c r="E559" s="227"/>
      <c r="F559" s="227"/>
      <c r="G559" s="227"/>
      <c r="H559" s="227"/>
      <c r="I559" s="227"/>
      <c r="J559" s="227"/>
      <c r="K559" s="227"/>
      <c r="L559" s="227"/>
      <c r="M559" s="227"/>
      <c r="N559" s="227"/>
      <c r="O559" s="227"/>
      <c r="P559" s="227"/>
      <c r="Q559" s="227"/>
      <c r="R559" s="227"/>
      <c r="S559" s="227"/>
      <c r="T559" s="227"/>
      <c r="U559" s="227"/>
      <c r="V559" s="228"/>
    </row>
    <row r="560" spans="1:22" ht="18" hidden="1" customHeight="1">
      <c r="A560" s="184" t="s">
        <v>634</v>
      </c>
      <c r="M560" s="825" t="str">
        <f>R531</f>
        <v>-</v>
      </c>
      <c r="N560" s="826"/>
      <c r="O560" s="30" t="s">
        <v>470</v>
      </c>
      <c r="Q560" s="812" t="e">
        <f>IF(M528="Y",MAX(D546,D556),MAX(D546,D551))</f>
        <v>#VALUE!</v>
      </c>
      <c r="R560" s="820"/>
      <c r="S560" s="30" t="s">
        <v>305</v>
      </c>
      <c r="V560" s="185"/>
    </row>
    <row r="561" spans="1:22" ht="18" hidden="1" customHeight="1">
      <c r="A561" s="184"/>
      <c r="M561" s="247"/>
      <c r="N561" s="247"/>
      <c r="Q561" s="211"/>
      <c r="R561" s="27"/>
      <c r="V561" s="185"/>
    </row>
    <row r="562" spans="1:22" ht="18" hidden="1" customHeight="1">
      <c r="A562" s="248" t="s">
        <v>471</v>
      </c>
      <c r="B562" s="14"/>
      <c r="C562" s="14"/>
      <c r="D562" s="249"/>
      <c r="E562" s="14"/>
      <c r="F562" s="14"/>
      <c r="G562" s="47"/>
      <c r="H562" s="14"/>
      <c r="J562" s="14"/>
      <c r="K562" s="14"/>
      <c r="L562" s="14"/>
      <c r="M562" s="14"/>
      <c r="N562" s="14"/>
      <c r="O562" s="14"/>
      <c r="P562" s="250"/>
      <c r="Q562" s="251"/>
      <c r="R562" s="47"/>
      <c r="S562" s="14"/>
      <c r="V562" s="185"/>
    </row>
    <row r="563" spans="1:22" ht="18" hidden="1" customHeight="1">
      <c r="A563" s="248"/>
      <c r="B563" s="14"/>
      <c r="C563" s="14"/>
      <c r="D563" s="249"/>
      <c r="E563" s="14"/>
      <c r="F563" s="14"/>
      <c r="G563" s="47"/>
      <c r="H563" s="14"/>
      <c r="J563" s="14"/>
      <c r="K563" s="14"/>
      <c r="L563" s="14"/>
      <c r="M563" s="14"/>
      <c r="N563" s="14"/>
      <c r="O563" s="14"/>
      <c r="P563" s="250"/>
      <c r="Q563" s="251"/>
      <c r="R563" s="47"/>
      <c r="S563" s="14"/>
      <c r="V563" s="185"/>
    </row>
    <row r="564" spans="1:22" ht="18" hidden="1" customHeight="1">
      <c r="A564" s="96" t="s">
        <v>500</v>
      </c>
      <c r="V564" s="185"/>
    </row>
    <row r="565" spans="1:22" ht="18" hidden="1" customHeight="1">
      <c r="A565" s="184"/>
      <c r="N565" s="14"/>
      <c r="O565" s="14" t="s">
        <v>473</v>
      </c>
      <c r="P565" s="102" t="s">
        <v>127</v>
      </c>
      <c r="Q565" s="694" t="s">
        <v>474</v>
      </c>
      <c r="R565" s="694"/>
      <c r="S565" s="28" t="s">
        <v>315</v>
      </c>
      <c r="T565" s="28">
        <v>0.8</v>
      </c>
      <c r="V565" s="185"/>
    </row>
    <row r="566" spans="1:22" ht="18" hidden="1" customHeight="1">
      <c r="A566" s="184"/>
      <c r="N566" s="252"/>
      <c r="O566" s="14"/>
      <c r="P566" s="102" t="s">
        <v>127</v>
      </c>
      <c r="Q566" s="829" t="e">
        <f>+Q560</f>
        <v>#VALUE!</v>
      </c>
      <c r="R566" s="1147"/>
      <c r="S566" s="222" t="s">
        <v>315</v>
      </c>
      <c r="T566" s="253">
        <f>+T565</f>
        <v>0.8</v>
      </c>
      <c r="V566" s="185"/>
    </row>
    <row r="567" spans="1:22" ht="18" hidden="1" customHeight="1">
      <c r="A567" s="184"/>
      <c r="O567" s="14"/>
      <c r="P567" s="28" t="s">
        <v>127</v>
      </c>
      <c r="Q567" s="830" t="e">
        <f>Q566*T566</f>
        <v>#VALUE!</v>
      </c>
      <c r="R567" s="1270"/>
      <c r="S567" s="47" t="s">
        <v>305</v>
      </c>
      <c r="T567" s="14"/>
      <c r="V567" s="185"/>
    </row>
    <row r="568" spans="1:22" ht="18" hidden="1" customHeight="1">
      <c r="A568" s="184"/>
      <c r="V568" s="185"/>
    </row>
    <row r="569" spans="1:22" ht="18" hidden="1" customHeight="1">
      <c r="A569" s="184"/>
      <c r="D569" s="30" t="s">
        <v>475</v>
      </c>
      <c r="G569" s="27" t="e">
        <f>IF(E570&gt;H570,"&gt;","&lt;")</f>
        <v>#VALUE!</v>
      </c>
      <c r="H569" s="30" t="s">
        <v>477</v>
      </c>
      <c r="V569" s="185"/>
    </row>
    <row r="570" spans="1:22" ht="18" hidden="1" customHeight="1">
      <c r="A570" s="184"/>
      <c r="E570" s="684" t="str">
        <f>L478</f>
        <v>-</v>
      </c>
      <c r="F570" s="684"/>
      <c r="G570" s="27" t="e">
        <f>G569</f>
        <v>#VALUE!</v>
      </c>
      <c r="H570" s="795" t="e">
        <f>Q567</f>
        <v>#VALUE!</v>
      </c>
      <c r="I570" s="684"/>
      <c r="V570" s="185"/>
    </row>
    <row r="571" spans="1:22" s="14" customFormat="1" ht="18" hidden="1" customHeight="1">
      <c r="A571" s="184"/>
      <c r="B571" s="30"/>
      <c r="C571" s="30"/>
      <c r="D571" s="30"/>
      <c r="E571" s="30"/>
      <c r="F571" s="244" t="s">
        <v>478</v>
      </c>
      <c r="G571" s="30"/>
      <c r="H571" s="18" t="e">
        <f>IF(G569="&gt;","Suitably Dimensioned","Under Dimensioned")</f>
        <v>#VALUE!</v>
      </c>
      <c r="I571" s="30"/>
      <c r="J571" s="30"/>
      <c r="K571" s="30"/>
      <c r="L571" s="30"/>
      <c r="M571" s="30"/>
      <c r="N571" s="30"/>
      <c r="O571" s="30"/>
      <c r="P571" s="30"/>
      <c r="Q571" s="30"/>
      <c r="R571" s="30"/>
      <c r="S571" s="30"/>
      <c r="T571" s="30"/>
      <c r="U571" s="30"/>
      <c r="V571" s="185"/>
    </row>
    <row r="572" spans="1:22" ht="18" hidden="1" customHeight="1">
      <c r="A572" s="184"/>
      <c r="F572" s="244"/>
      <c r="H572" s="18"/>
      <c r="V572" s="185"/>
    </row>
    <row r="573" spans="1:22" ht="18" hidden="1" customHeight="1">
      <c r="A573" s="184"/>
      <c r="F573" s="244"/>
      <c r="H573" s="18"/>
      <c r="V573" s="185"/>
    </row>
    <row r="574" spans="1:22" ht="18" hidden="1" customHeight="1">
      <c r="A574" s="184"/>
      <c r="F574" s="244"/>
      <c r="H574" s="18"/>
      <c r="V574" s="185"/>
    </row>
    <row r="575" spans="1:22" ht="18" hidden="1" customHeight="1">
      <c r="A575" s="184"/>
      <c r="F575" s="244"/>
      <c r="H575" s="18"/>
      <c r="V575" s="185"/>
    </row>
    <row r="576" spans="1:22" ht="18" hidden="1" customHeight="1">
      <c r="A576" s="184"/>
      <c r="F576" s="244"/>
      <c r="H576" s="18"/>
      <c r="V576" s="185"/>
    </row>
    <row r="577" spans="1:29" ht="18" hidden="1" customHeight="1">
      <c r="A577" s="184"/>
      <c r="F577" s="244"/>
      <c r="H577" s="18"/>
      <c r="V577" s="185"/>
    </row>
    <row r="578" spans="1:29" ht="18" hidden="1" customHeight="1">
      <c r="A578" s="184"/>
      <c r="F578" s="244"/>
      <c r="H578" s="18"/>
      <c r="V578" s="185"/>
    </row>
    <row r="579" spans="1:29" ht="18" hidden="1" customHeight="1">
      <c r="A579" s="184"/>
      <c r="F579" s="244"/>
      <c r="H579" s="18"/>
      <c r="V579" s="185"/>
    </row>
    <row r="580" spans="1:29" ht="18" hidden="1" customHeight="1">
      <c r="A580" s="184"/>
      <c r="F580" s="244"/>
      <c r="H580" s="18"/>
      <c r="V580" s="185"/>
    </row>
    <row r="581" spans="1:29" ht="18" hidden="1" customHeight="1">
      <c r="A581" s="184"/>
      <c r="F581" s="244"/>
      <c r="H581" s="18"/>
      <c r="V581" s="185"/>
    </row>
    <row r="582" spans="1:29" ht="18" hidden="1" customHeight="1">
      <c r="A582" s="184"/>
      <c r="F582" s="244"/>
      <c r="H582" s="18"/>
      <c r="V582" s="185"/>
    </row>
    <row r="583" spans="1:29" ht="18" hidden="1" customHeight="1">
      <c r="A583" s="184"/>
      <c r="F583" s="244"/>
      <c r="H583" s="18"/>
      <c r="V583" s="185"/>
    </row>
    <row r="584" spans="1:29" ht="18" hidden="1" customHeight="1">
      <c r="A584" s="184"/>
      <c r="F584" s="244"/>
      <c r="H584" s="18"/>
      <c r="V584" s="185"/>
      <c r="W584" s="30" t="s">
        <v>400</v>
      </c>
      <c r="AB584" s="785" t="e">
        <f>Q871</f>
        <v>#VALUE!</v>
      </c>
      <c r="AC584" s="786"/>
    </row>
    <row r="585" spans="1:29" ht="18" hidden="1" customHeight="1">
      <c r="A585" s="184"/>
      <c r="F585" s="244"/>
      <c r="H585" s="18"/>
      <c r="V585" s="185"/>
    </row>
    <row r="586" spans="1:29" ht="18" hidden="1" customHeight="1">
      <c r="A586" s="184"/>
      <c r="F586" s="244"/>
      <c r="H586" s="18"/>
      <c r="V586" s="185"/>
    </row>
    <row r="587" spans="1:29" ht="18" hidden="1" customHeight="1">
      <c r="A587" s="184"/>
      <c r="F587" s="244"/>
      <c r="H587" s="18"/>
      <c r="V587" s="185"/>
    </row>
    <row r="588" spans="1:29" ht="18" hidden="1" customHeight="1">
      <c r="A588" s="184"/>
      <c r="F588" s="244"/>
      <c r="H588" s="18"/>
      <c r="V588" s="185"/>
    </row>
    <row r="589" spans="1:29" ht="18" hidden="1" customHeight="1">
      <c r="A589" s="184"/>
      <c r="F589" s="244"/>
      <c r="H589" s="18"/>
      <c r="V589" s="185"/>
    </row>
    <row r="590" spans="1:29" s="14" customFormat="1" ht="18" hidden="1" customHeight="1">
      <c r="A590" s="184"/>
      <c r="B590" s="30"/>
      <c r="C590" s="30"/>
      <c r="D590" s="30"/>
      <c r="E590" s="30"/>
      <c r="F590" s="244"/>
      <c r="G590" s="30"/>
      <c r="H590" s="18"/>
      <c r="I590" s="30"/>
      <c r="J590" s="30"/>
      <c r="K590" s="30"/>
      <c r="L590" s="30"/>
      <c r="M590" s="30"/>
      <c r="N590" s="30"/>
      <c r="O590" s="30"/>
      <c r="P590" s="30"/>
      <c r="Q590" s="30"/>
      <c r="R590" s="30"/>
      <c r="S590" s="30"/>
      <c r="T590" s="30"/>
      <c r="U590" s="30"/>
      <c r="V590" s="185"/>
    </row>
    <row r="591" spans="1:29" s="14" customFormat="1" ht="18" hidden="1" customHeight="1">
      <c r="A591" s="184"/>
      <c r="B591" s="30"/>
      <c r="C591" s="30"/>
      <c r="D591" s="30"/>
      <c r="E591" s="30"/>
      <c r="F591" s="244"/>
      <c r="G591" s="30"/>
      <c r="H591" s="18"/>
      <c r="I591" s="30"/>
      <c r="J591" s="30"/>
      <c r="K591" s="30"/>
      <c r="L591" s="30"/>
      <c r="M591" s="30"/>
      <c r="N591" s="30"/>
      <c r="O591" s="30"/>
      <c r="P591" s="30"/>
      <c r="Q591" s="30"/>
      <c r="R591" s="30"/>
      <c r="S591" s="30"/>
      <c r="T591" s="30"/>
      <c r="U591" s="30"/>
      <c r="V591" s="185"/>
    </row>
    <row r="592" spans="1:29" s="14" customFormat="1" ht="18" hidden="1" customHeight="1">
      <c r="A592" s="184"/>
      <c r="B592" s="30"/>
      <c r="C592" s="30"/>
      <c r="D592" s="30"/>
      <c r="E592" s="30"/>
      <c r="F592" s="244"/>
      <c r="G592" s="30"/>
      <c r="H592" s="18"/>
      <c r="I592" s="30"/>
      <c r="J592" s="30"/>
      <c r="K592" s="30"/>
      <c r="L592" s="30"/>
      <c r="M592" s="30"/>
      <c r="N592" s="30"/>
      <c r="O592" s="30"/>
      <c r="P592" s="30"/>
      <c r="Q592" s="30"/>
      <c r="R592" s="30"/>
      <c r="S592" s="30"/>
      <c r="T592" s="30"/>
      <c r="U592" s="30"/>
      <c r="V592" s="185"/>
    </row>
    <row r="593" spans="1:22" s="14" customFormat="1" ht="18" hidden="1" customHeight="1">
      <c r="A593" s="184"/>
      <c r="B593" s="30"/>
      <c r="C593" s="30"/>
      <c r="D593" s="30"/>
      <c r="E593" s="30"/>
      <c r="F593" s="244"/>
      <c r="G593" s="30"/>
      <c r="H593" s="18"/>
      <c r="I593" s="30"/>
      <c r="J593" s="30"/>
      <c r="K593" s="30"/>
      <c r="L593" s="30"/>
      <c r="M593" s="30"/>
      <c r="N593" s="30"/>
      <c r="O593" s="30"/>
      <c r="P593" s="30"/>
      <c r="Q593" s="30"/>
      <c r="R593" s="30"/>
      <c r="S593" s="30"/>
      <c r="T593" s="30"/>
      <c r="U593" s="30"/>
      <c r="V593" s="185"/>
    </row>
    <row r="594" spans="1:22" s="14" customFormat="1" ht="18" hidden="1" customHeight="1">
      <c r="A594" s="184"/>
      <c r="B594" s="30"/>
      <c r="C594" s="30"/>
      <c r="D594" s="30"/>
      <c r="E594" s="30"/>
      <c r="F594" s="244"/>
      <c r="G594" s="30"/>
      <c r="H594" s="18"/>
      <c r="I594" s="30"/>
      <c r="J594" s="30"/>
      <c r="K594" s="30"/>
      <c r="L594" s="30"/>
      <c r="M594" s="30"/>
      <c r="N594" s="30"/>
      <c r="O594" s="30"/>
      <c r="P594" s="30"/>
      <c r="Q594" s="30"/>
      <c r="R594" s="30"/>
      <c r="S594" s="30"/>
      <c r="T594" s="30"/>
      <c r="U594" s="30"/>
      <c r="V594" s="185"/>
    </row>
    <row r="595" spans="1:22" s="14" customFormat="1" ht="18" hidden="1" customHeight="1">
      <c r="A595" s="184"/>
      <c r="B595" s="30"/>
      <c r="C595" s="30"/>
      <c r="D595" s="30"/>
      <c r="E595" s="30"/>
      <c r="F595" s="244"/>
      <c r="G595" s="30"/>
      <c r="H595" s="18"/>
      <c r="I595" s="30"/>
      <c r="J595" s="30"/>
      <c r="K595" s="30"/>
      <c r="L595" s="30"/>
      <c r="M595" s="30"/>
      <c r="N595" s="30"/>
      <c r="O595" s="30"/>
      <c r="P595" s="30"/>
      <c r="Q595" s="30"/>
      <c r="R595" s="30"/>
      <c r="S595" s="30"/>
      <c r="T595" s="30"/>
      <c r="U595" s="30"/>
      <c r="V595" s="185"/>
    </row>
    <row r="596" spans="1:22" s="14" customFormat="1" ht="18" hidden="1" customHeight="1">
      <c r="A596" s="184"/>
      <c r="B596" s="30"/>
      <c r="C596" s="30"/>
      <c r="D596" s="30"/>
      <c r="E596" s="30"/>
      <c r="F596" s="244"/>
      <c r="G596" s="30"/>
      <c r="H596" s="18"/>
      <c r="I596" s="30"/>
      <c r="J596" s="30"/>
      <c r="K596" s="30"/>
      <c r="L596" s="30"/>
      <c r="M596" s="30"/>
      <c r="N596" s="30"/>
      <c r="O596" s="30"/>
      <c r="P596" s="30"/>
      <c r="Q596" s="30"/>
      <c r="R596" s="30"/>
      <c r="S596" s="30"/>
      <c r="T596" s="30"/>
      <c r="U596" s="30"/>
      <c r="V596" s="185"/>
    </row>
    <row r="597" spans="1:22" s="14" customFormat="1" ht="18" hidden="1" customHeight="1">
      <c r="A597" s="184"/>
      <c r="B597" s="30"/>
      <c r="C597" s="30"/>
      <c r="D597" s="30"/>
      <c r="E597" s="30"/>
      <c r="F597" s="244"/>
      <c r="G597" s="30"/>
      <c r="H597" s="18"/>
      <c r="I597" s="30"/>
      <c r="J597" s="30"/>
      <c r="K597" s="30"/>
      <c r="L597" s="30"/>
      <c r="M597" s="30"/>
      <c r="N597" s="30"/>
      <c r="O597" s="30"/>
      <c r="P597" s="30"/>
      <c r="Q597" s="30"/>
      <c r="R597" s="30"/>
      <c r="S597" s="30"/>
      <c r="T597" s="30"/>
      <c r="U597" s="30"/>
      <c r="V597" s="185"/>
    </row>
    <row r="598" spans="1:22" s="14" customFormat="1" ht="18" hidden="1" customHeight="1">
      <c r="A598" s="184"/>
      <c r="B598" s="30"/>
      <c r="C598" s="30"/>
      <c r="D598" s="30"/>
      <c r="E598" s="30"/>
      <c r="F598" s="244"/>
      <c r="G598" s="30"/>
      <c r="H598" s="18"/>
      <c r="I598" s="30"/>
      <c r="J598" s="30"/>
      <c r="K598" s="30"/>
      <c r="L598" s="30"/>
      <c r="M598" s="30"/>
      <c r="N598" s="30"/>
      <c r="O598" s="30"/>
      <c r="P598" s="30"/>
      <c r="Q598" s="30"/>
      <c r="R598" s="30"/>
      <c r="S598" s="30"/>
      <c r="T598" s="30"/>
      <c r="U598" s="30"/>
      <c r="V598" s="185"/>
    </row>
    <row r="599" spans="1:22" s="14" customFormat="1" ht="18" hidden="1" customHeight="1">
      <c r="A599" s="184"/>
      <c r="B599" s="30"/>
      <c r="C599" s="30"/>
      <c r="D599" s="30"/>
      <c r="E599" s="30"/>
      <c r="F599" s="244"/>
      <c r="G599" s="30"/>
      <c r="H599" s="18"/>
      <c r="I599" s="30"/>
      <c r="J599" s="30"/>
      <c r="K599" s="30"/>
      <c r="L599" s="30"/>
      <c r="M599" s="30"/>
      <c r="N599" s="30"/>
      <c r="O599" s="30"/>
      <c r="P599" s="30"/>
      <c r="Q599" s="30"/>
      <c r="R599" s="30"/>
      <c r="S599" s="30"/>
      <c r="T599" s="30"/>
      <c r="U599" s="30"/>
      <c r="V599" s="185"/>
    </row>
    <row r="600" spans="1:22" s="14" customFormat="1" ht="18" hidden="1" customHeight="1">
      <c r="A600" s="184"/>
      <c r="B600" s="30"/>
      <c r="C600" s="30"/>
      <c r="D600" s="30"/>
      <c r="E600" s="30"/>
      <c r="F600" s="244"/>
      <c r="G600" s="30"/>
      <c r="H600" s="18"/>
      <c r="I600" s="30"/>
      <c r="J600" s="30"/>
      <c r="K600" s="30"/>
      <c r="L600" s="30"/>
      <c r="M600" s="30"/>
      <c r="N600" s="30"/>
      <c r="O600" s="30"/>
      <c r="P600" s="30"/>
      <c r="Q600" s="30"/>
      <c r="R600" s="30"/>
      <c r="S600" s="30"/>
      <c r="T600" s="30"/>
      <c r="U600" s="30"/>
      <c r="V600" s="185"/>
    </row>
    <row r="601" spans="1:22" ht="18" hidden="1" customHeight="1">
      <c r="A601" s="184"/>
      <c r="F601" s="244"/>
      <c r="H601" s="18"/>
      <c r="V601" s="185"/>
    </row>
    <row r="602" spans="1:22" ht="18" hidden="1" customHeight="1">
      <c r="A602" s="194"/>
      <c r="B602" s="195"/>
      <c r="C602" s="195"/>
      <c r="D602" s="195"/>
      <c r="E602" s="195"/>
      <c r="F602" s="195"/>
      <c r="G602" s="195"/>
      <c r="H602" s="195"/>
      <c r="I602" s="195"/>
      <c r="J602" s="195"/>
      <c r="K602" s="195"/>
      <c r="L602" s="195"/>
      <c r="M602" s="195"/>
      <c r="N602" s="195"/>
      <c r="O602" s="195"/>
      <c r="P602" s="195"/>
      <c r="Q602" s="224"/>
      <c r="R602" s="182"/>
      <c r="S602" s="225"/>
      <c r="T602" s="195"/>
      <c r="U602" s="195"/>
      <c r="V602" s="134"/>
    </row>
    <row r="603" spans="1:22" ht="18" hidden="1" customHeight="1">
      <c r="A603" s="226"/>
      <c r="B603" s="227"/>
      <c r="C603" s="227"/>
      <c r="D603" s="227"/>
      <c r="E603" s="227"/>
      <c r="F603" s="227"/>
      <c r="G603" s="227"/>
      <c r="H603" s="227"/>
      <c r="I603" s="227"/>
      <c r="J603" s="227"/>
      <c r="K603" s="227"/>
      <c r="L603" s="227"/>
      <c r="M603" s="227"/>
      <c r="N603" s="227"/>
      <c r="O603" s="227"/>
      <c r="P603" s="227"/>
      <c r="Q603" s="227"/>
      <c r="R603" s="227"/>
      <c r="S603" s="227"/>
      <c r="T603" s="227"/>
      <c r="U603" s="227"/>
      <c r="V603" s="228"/>
    </row>
    <row r="604" spans="1:22" ht="18" hidden="1" customHeight="1">
      <c r="A604" s="262" t="s">
        <v>501</v>
      </c>
      <c r="B604" s="14"/>
      <c r="C604" s="14"/>
      <c r="D604" s="120"/>
      <c r="E604" s="120"/>
      <c r="F604" s="18"/>
      <c r="G604" s="18"/>
      <c r="H604" s="14"/>
      <c r="I604" s="14"/>
      <c r="J604" s="14"/>
      <c r="K604" s="14"/>
      <c r="L604" s="14"/>
      <c r="M604" s="14"/>
      <c r="N604" s="14"/>
      <c r="O604" s="14"/>
      <c r="P604" s="28"/>
      <c r="Q604" s="120"/>
      <c r="R604" s="47"/>
      <c r="S604" s="206"/>
      <c r="T604" s="259"/>
      <c r="U604" s="14"/>
      <c r="V604" s="97"/>
    </row>
    <row r="605" spans="1:22" ht="18" hidden="1" customHeight="1">
      <c r="A605" s="955" t="s">
        <v>85</v>
      </c>
      <c r="B605" s="956"/>
      <c r="C605" s="957"/>
      <c r="D605" s="955" t="s">
        <v>86</v>
      </c>
      <c r="E605" s="956"/>
      <c r="F605" s="957"/>
      <c r="G605" s="955" t="s">
        <v>87</v>
      </c>
      <c r="H605" s="957"/>
      <c r="I605" s="955" t="s">
        <v>88</v>
      </c>
      <c r="J605" s="957"/>
      <c r="K605" s="955" t="s">
        <v>502</v>
      </c>
      <c r="L605" s="957"/>
      <c r="M605" s="955" t="s">
        <v>503</v>
      </c>
      <c r="N605" s="957"/>
      <c r="O605" s="955" t="s">
        <v>504</v>
      </c>
      <c r="P605" s="957"/>
      <c r="Q605" s="955" t="s">
        <v>505</v>
      </c>
      <c r="R605" s="957"/>
      <c r="S605" s="955" t="s">
        <v>93</v>
      </c>
      <c r="T605" s="956"/>
      <c r="U605" s="956"/>
      <c r="V605" s="957"/>
    </row>
    <row r="606" spans="1:22" ht="18" hidden="1" customHeight="1">
      <c r="A606" s="1125"/>
      <c r="B606" s="983"/>
      <c r="C606" s="1126"/>
      <c r="D606" s="1125"/>
      <c r="E606" s="983"/>
      <c r="F606" s="1126"/>
      <c r="G606" s="1125"/>
      <c r="H606" s="1126"/>
      <c r="I606" s="1125"/>
      <c r="J606" s="1126"/>
      <c r="K606" s="1125"/>
      <c r="L606" s="1126"/>
      <c r="M606" s="1125"/>
      <c r="N606" s="1126"/>
      <c r="O606" s="1125"/>
      <c r="P606" s="1126"/>
      <c r="Q606" s="1125"/>
      <c r="R606" s="1126"/>
      <c r="S606" s="1125"/>
      <c r="T606" s="983"/>
      <c r="U606" s="983"/>
      <c r="V606" s="1126"/>
    </row>
    <row r="607" spans="1:22" ht="18" hidden="1" customHeight="1">
      <c r="A607" s="1125"/>
      <c r="B607" s="983"/>
      <c r="C607" s="1126"/>
      <c r="D607" s="1125"/>
      <c r="E607" s="983"/>
      <c r="F607" s="1126"/>
      <c r="G607" s="1125"/>
      <c r="H607" s="1126"/>
      <c r="I607" s="1125"/>
      <c r="J607" s="1126"/>
      <c r="K607" s="1125"/>
      <c r="L607" s="1126"/>
      <c r="M607" s="1125"/>
      <c r="N607" s="1126"/>
      <c r="O607" s="1125"/>
      <c r="P607" s="1126"/>
      <c r="Q607" s="1125"/>
      <c r="R607" s="1126"/>
      <c r="S607" s="1125"/>
      <c r="T607" s="983"/>
      <c r="U607" s="983"/>
      <c r="V607" s="1126"/>
    </row>
    <row r="608" spans="1:22" ht="18" hidden="1" customHeight="1">
      <c r="A608" s="1047"/>
      <c r="B608" s="1048"/>
      <c r="C608" s="1049"/>
      <c r="D608" s="1047"/>
      <c r="E608" s="1048"/>
      <c r="F608" s="1049"/>
      <c r="G608" s="1047"/>
      <c r="H608" s="1049"/>
      <c r="I608" s="1047"/>
      <c r="J608" s="1049"/>
      <c r="K608" s="1047"/>
      <c r="L608" s="1049"/>
      <c r="M608" s="1047"/>
      <c r="N608" s="1049"/>
      <c r="O608" s="1047"/>
      <c r="P608" s="1049"/>
      <c r="Q608" s="1047"/>
      <c r="R608" s="1049"/>
      <c r="S608" s="1047"/>
      <c r="T608" s="1048"/>
      <c r="U608" s="1048"/>
      <c r="V608" s="1049"/>
    </row>
    <row r="609" spans="1:22" ht="18" hidden="1" customHeight="1">
      <c r="A609" s="765" t="str">
        <f>B205</f>
        <v>T1</v>
      </c>
      <c r="B609" s="765" t="str">
        <f>D205</f>
        <v>Core1</v>
      </c>
      <c r="C609" s="765"/>
      <c r="D609" s="870">
        <f>H208</f>
        <v>3200</v>
      </c>
      <c r="E609" s="870"/>
      <c r="F609" s="871">
        <f>O208</f>
        <v>1</v>
      </c>
      <c r="G609" s="870">
        <f>'CT-VT Burdens'!S21</f>
        <v>120</v>
      </c>
      <c r="H609" s="874">
        <f>'CT-VT Burdens'!S10</f>
        <v>6</v>
      </c>
      <c r="I609" s="874" t="str">
        <f>H209</f>
        <v>PX</v>
      </c>
      <c r="J609" s="874"/>
      <c r="K609" s="869">
        <f>H210</f>
        <v>16</v>
      </c>
      <c r="L609" s="869"/>
      <c r="M609" s="869">
        <f>H211</f>
        <v>1600</v>
      </c>
      <c r="N609" s="869"/>
      <c r="O609" s="870">
        <f>H212</f>
        <v>10</v>
      </c>
      <c r="P609" s="870"/>
      <c r="Q609" s="879" t="str">
        <f>D352</f>
        <v>RET670</v>
      </c>
      <c r="R609" s="879"/>
      <c r="S609" s="878" t="str">
        <f>H311</f>
        <v>Suitably Dimensioned</v>
      </c>
      <c r="T609" s="878"/>
      <c r="U609" s="878"/>
      <c r="V609" s="878"/>
    </row>
    <row r="610" spans="1:22" s="14" customFormat="1" ht="18" hidden="1" customHeight="1">
      <c r="A610" s="765"/>
      <c r="B610" s="765"/>
      <c r="C610" s="765"/>
      <c r="D610" s="870">
        <f>J208</f>
        <v>600</v>
      </c>
      <c r="E610" s="870"/>
      <c r="F610" s="872"/>
      <c r="G610" s="870"/>
      <c r="H610" s="870"/>
      <c r="I610" s="874"/>
      <c r="J610" s="874"/>
      <c r="K610" s="875">
        <f>J346</f>
        <v>3</v>
      </c>
      <c r="L610" s="869"/>
      <c r="M610" s="875">
        <f>J347</f>
        <v>400</v>
      </c>
      <c r="N610" s="869"/>
      <c r="O610" s="876">
        <f>J348</f>
        <v>30</v>
      </c>
      <c r="P610" s="870"/>
      <c r="Q610" s="879"/>
      <c r="R610" s="879"/>
      <c r="S610" s="877" t="str">
        <f>H443</f>
        <v>Suitably Dimensioned</v>
      </c>
      <c r="T610" s="878"/>
      <c r="U610" s="878"/>
      <c r="V610" s="878"/>
    </row>
    <row r="611" spans="1:22" ht="18" hidden="1" customHeight="1">
      <c r="A611" s="765"/>
      <c r="B611" s="765"/>
      <c r="C611" s="765"/>
      <c r="D611" s="870" t="str">
        <f>L208</f>
        <v>-</v>
      </c>
      <c r="E611" s="870"/>
      <c r="F611" s="873"/>
      <c r="G611" s="870"/>
      <c r="H611" s="870"/>
      <c r="I611" s="874"/>
      <c r="J611" s="874"/>
      <c r="K611" s="869" t="str">
        <f>L477</f>
        <v>-</v>
      </c>
      <c r="L611" s="869"/>
      <c r="M611" s="869" t="str">
        <f>L478</f>
        <v>-</v>
      </c>
      <c r="N611" s="869"/>
      <c r="O611" s="870" t="str">
        <f>L479</f>
        <v>-</v>
      </c>
      <c r="P611" s="870"/>
      <c r="Q611" s="879"/>
      <c r="R611" s="879"/>
      <c r="S611" s="878" t="s">
        <v>6</v>
      </c>
      <c r="T611" s="878"/>
      <c r="U611" s="878"/>
      <c r="V611" s="878"/>
    </row>
    <row r="612" spans="1:22" ht="18" hidden="1" customHeight="1">
      <c r="A612" s="265"/>
      <c r="B612" s="239"/>
      <c r="C612" s="239"/>
      <c r="D612" s="239"/>
      <c r="E612" s="239"/>
      <c r="F612" s="239"/>
      <c r="G612" s="239"/>
      <c r="H612" s="239"/>
      <c r="I612" s="239"/>
      <c r="J612" s="93"/>
      <c r="K612" s="93"/>
      <c r="L612" s="239"/>
      <c r="M612" s="239"/>
      <c r="N612" s="239"/>
      <c r="O612" s="239"/>
      <c r="P612" s="239"/>
      <c r="Q612" s="239"/>
      <c r="R612" s="239"/>
      <c r="S612" s="239"/>
      <c r="T612" s="239"/>
      <c r="U612" s="93"/>
      <c r="V612" s="266"/>
    </row>
    <row r="613" spans="1:22" ht="18" hidden="1" customHeight="1">
      <c r="A613" s="265"/>
      <c r="B613" s="239"/>
      <c r="C613" s="239"/>
      <c r="D613" s="239"/>
      <c r="E613" s="239"/>
      <c r="F613" s="239"/>
      <c r="G613" s="239"/>
      <c r="H613" s="239"/>
      <c r="I613" s="239"/>
      <c r="J613" s="93"/>
      <c r="K613" s="93"/>
      <c r="L613" s="239"/>
      <c r="M613" s="239"/>
      <c r="N613" s="239"/>
      <c r="O613" s="239"/>
      <c r="P613" s="239"/>
      <c r="Q613" s="239"/>
      <c r="R613" s="239"/>
      <c r="S613" s="239"/>
      <c r="T613" s="239"/>
      <c r="U613" s="93"/>
      <c r="V613" s="266"/>
    </row>
    <row r="614" spans="1:22" ht="18" hidden="1" customHeight="1">
      <c r="A614" s="265"/>
      <c r="B614" s="239"/>
      <c r="C614" s="239"/>
      <c r="D614" s="239"/>
      <c r="E614" s="239"/>
      <c r="F614" s="239"/>
      <c r="G614" s="239"/>
      <c r="H614" s="239"/>
      <c r="I614" s="239"/>
      <c r="J614" s="93"/>
      <c r="K614" s="93"/>
      <c r="L614" s="239"/>
      <c r="M614" s="239"/>
      <c r="N614" s="239"/>
      <c r="O614" s="239"/>
      <c r="P614" s="239"/>
      <c r="Q614" s="239"/>
      <c r="R614" s="239"/>
      <c r="S614" s="239"/>
      <c r="T614" s="239"/>
      <c r="U614" s="93"/>
      <c r="V614" s="266"/>
    </row>
    <row r="615" spans="1:22" ht="18" hidden="1" customHeight="1">
      <c r="A615" s="265"/>
      <c r="B615" s="239"/>
      <c r="C615" s="239"/>
      <c r="D615" s="239"/>
      <c r="E615" s="239"/>
      <c r="F615" s="239"/>
      <c r="G615" s="239"/>
      <c r="H615" s="239"/>
      <c r="I615" s="239"/>
      <c r="J615" s="93"/>
      <c r="K615" s="93"/>
      <c r="L615" s="239"/>
      <c r="M615" s="239"/>
      <c r="N615" s="239"/>
      <c r="O615" s="239"/>
      <c r="P615" s="239"/>
      <c r="Q615" s="239"/>
      <c r="R615" s="239"/>
      <c r="S615" s="239"/>
      <c r="T615" s="239"/>
      <c r="U615" s="93"/>
      <c r="V615" s="266"/>
    </row>
    <row r="616" spans="1:22" ht="18" hidden="1" customHeight="1">
      <c r="A616" s="265"/>
      <c r="B616" s="239"/>
      <c r="C616" s="239"/>
      <c r="D616" s="239"/>
      <c r="E616" s="239"/>
      <c r="F616" s="239"/>
      <c r="G616" s="239"/>
      <c r="H616" s="239"/>
      <c r="I616" s="239"/>
      <c r="J616" s="93"/>
      <c r="K616" s="93"/>
      <c r="L616" s="239"/>
      <c r="M616" s="239"/>
      <c r="N616" s="239"/>
      <c r="O616" s="239"/>
      <c r="P616" s="239"/>
      <c r="Q616" s="239"/>
      <c r="R616" s="239"/>
      <c r="S616" s="239"/>
      <c r="T616" s="239"/>
      <c r="U616" s="93"/>
      <c r="V616" s="266"/>
    </row>
    <row r="617" spans="1:22" ht="18" hidden="1" customHeight="1">
      <c r="A617" s="265"/>
      <c r="B617" s="239"/>
      <c r="C617" s="239"/>
      <c r="D617" s="239"/>
      <c r="E617" s="239"/>
      <c r="F617" s="239"/>
      <c r="G617" s="239"/>
      <c r="H617" s="239"/>
      <c r="I617" s="239"/>
      <c r="J617" s="93"/>
      <c r="K617" s="93"/>
      <c r="L617" s="239"/>
      <c r="M617" s="239"/>
      <c r="N617" s="239"/>
      <c r="O617" s="239"/>
      <c r="P617" s="239"/>
      <c r="Q617" s="239"/>
      <c r="R617" s="239"/>
      <c r="S617" s="239"/>
      <c r="T617" s="239"/>
      <c r="U617" s="93"/>
      <c r="V617" s="266"/>
    </row>
    <row r="618" spans="1:22" ht="18" hidden="1" customHeight="1">
      <c r="A618" s="265"/>
      <c r="B618" s="239"/>
      <c r="C618" s="239"/>
      <c r="D618" s="239"/>
      <c r="E618" s="239"/>
      <c r="F618" s="239"/>
      <c r="G618" s="239"/>
      <c r="H618" s="239"/>
      <c r="I618" s="239"/>
      <c r="J618" s="93"/>
      <c r="K618" s="93"/>
      <c r="L618" s="239"/>
      <c r="M618" s="239"/>
      <c r="N618" s="239"/>
      <c r="O618" s="239"/>
      <c r="P618" s="239"/>
      <c r="Q618" s="239"/>
      <c r="R618" s="239"/>
      <c r="S618" s="239"/>
      <c r="T618" s="239"/>
      <c r="U618" s="93"/>
      <c r="V618" s="266"/>
    </row>
    <row r="619" spans="1:22" ht="18" hidden="1" customHeight="1">
      <c r="A619" s="265"/>
      <c r="B619" s="239"/>
      <c r="C619" s="239"/>
      <c r="D619" s="239"/>
      <c r="E619" s="239"/>
      <c r="F619" s="239"/>
      <c r="G619" s="239"/>
      <c r="H619" s="239"/>
      <c r="I619" s="239"/>
      <c r="J619" s="93"/>
      <c r="K619" s="93"/>
      <c r="L619" s="239"/>
      <c r="M619" s="239"/>
      <c r="N619" s="239"/>
      <c r="O619" s="239"/>
      <c r="P619" s="239"/>
      <c r="Q619" s="239"/>
      <c r="R619" s="239"/>
      <c r="S619" s="239"/>
      <c r="T619" s="239"/>
      <c r="U619" s="93"/>
      <c r="V619" s="266"/>
    </row>
    <row r="620" spans="1:22" ht="18" hidden="1" customHeight="1">
      <c r="A620" s="265"/>
      <c r="B620" s="239"/>
      <c r="C620" s="239"/>
      <c r="D620" s="239"/>
      <c r="E620" s="239"/>
      <c r="F620" s="239"/>
      <c r="G620" s="239"/>
      <c r="H620" s="239"/>
      <c r="I620" s="239"/>
      <c r="J620" s="93"/>
      <c r="K620" s="93"/>
      <c r="L620" s="239"/>
      <c r="M620" s="239"/>
      <c r="N620" s="239"/>
      <c r="O620" s="239"/>
      <c r="P620" s="239"/>
      <c r="Q620" s="239"/>
      <c r="R620" s="239"/>
      <c r="S620" s="239"/>
      <c r="T620" s="239"/>
      <c r="U620" s="93"/>
      <c r="V620" s="266"/>
    </row>
    <row r="621" spans="1:22" ht="18" hidden="1" customHeight="1">
      <c r="A621" s="265"/>
      <c r="B621" s="239"/>
      <c r="C621" s="239"/>
      <c r="D621" s="239"/>
      <c r="E621" s="239"/>
      <c r="F621" s="239"/>
      <c r="G621" s="239"/>
      <c r="H621" s="239"/>
      <c r="I621" s="239"/>
      <c r="J621" s="93"/>
      <c r="K621" s="93"/>
      <c r="L621" s="239"/>
      <c r="M621" s="239"/>
      <c r="N621" s="239"/>
      <c r="O621" s="239"/>
      <c r="P621" s="239"/>
      <c r="Q621" s="239"/>
      <c r="R621" s="239"/>
      <c r="S621" s="239"/>
      <c r="T621" s="239"/>
      <c r="U621" s="93"/>
      <c r="V621" s="266"/>
    </row>
    <row r="622" spans="1:22" ht="18" hidden="1" customHeight="1">
      <c r="A622" s="265"/>
      <c r="B622" s="239"/>
      <c r="C622" s="239"/>
      <c r="D622" s="239"/>
      <c r="E622" s="239"/>
      <c r="F622" s="239"/>
      <c r="G622" s="239"/>
      <c r="H622" s="239"/>
      <c r="I622" s="239"/>
      <c r="J622" s="93"/>
      <c r="K622" s="93"/>
      <c r="L622" s="239"/>
      <c r="M622" s="239"/>
      <c r="N622" s="239"/>
      <c r="O622" s="239"/>
      <c r="P622" s="239"/>
      <c r="Q622" s="239"/>
      <c r="R622" s="239"/>
      <c r="S622" s="239"/>
      <c r="T622" s="239"/>
      <c r="U622" s="93"/>
      <c r="V622" s="266"/>
    </row>
    <row r="623" spans="1:22" ht="18" hidden="1" customHeight="1">
      <c r="A623" s="265"/>
      <c r="B623" s="239"/>
      <c r="C623" s="239"/>
      <c r="D623" s="239"/>
      <c r="E623" s="239"/>
      <c r="F623" s="239"/>
      <c r="G623" s="239"/>
      <c r="H623" s="239"/>
      <c r="I623" s="239"/>
      <c r="J623" s="93"/>
      <c r="K623" s="93"/>
      <c r="L623" s="239"/>
      <c r="M623" s="239"/>
      <c r="N623" s="239"/>
      <c r="O623" s="239"/>
      <c r="P623" s="239"/>
      <c r="Q623" s="239"/>
      <c r="R623" s="239"/>
      <c r="S623" s="239"/>
      <c r="T623" s="239"/>
      <c r="U623" s="93"/>
      <c r="V623" s="266"/>
    </row>
    <row r="624" spans="1:22" ht="18" hidden="1" customHeight="1">
      <c r="A624" s="265"/>
      <c r="B624" s="239"/>
      <c r="C624" s="239"/>
      <c r="D624" s="239"/>
      <c r="E624" s="239"/>
      <c r="F624" s="239"/>
      <c r="G624" s="239"/>
      <c r="H624" s="239"/>
      <c r="I624" s="239"/>
      <c r="J624" s="93"/>
      <c r="K624" s="93"/>
      <c r="L624" s="239"/>
      <c r="M624" s="239"/>
      <c r="N624" s="239"/>
      <c r="O624" s="239"/>
      <c r="P624" s="239"/>
      <c r="Q624" s="239"/>
      <c r="R624" s="239"/>
      <c r="S624" s="239"/>
      <c r="T624" s="239"/>
      <c r="U624" s="93"/>
      <c r="V624" s="266"/>
    </row>
    <row r="625" spans="1:22" ht="18" hidden="1" customHeight="1">
      <c r="A625" s="265"/>
      <c r="B625" s="239"/>
      <c r="C625" s="239"/>
      <c r="D625" s="239"/>
      <c r="E625" s="239"/>
      <c r="F625" s="239"/>
      <c r="G625" s="239"/>
      <c r="H625" s="239"/>
      <c r="I625" s="239"/>
      <c r="J625" s="93"/>
      <c r="K625" s="93"/>
      <c r="L625" s="239"/>
      <c r="M625" s="239"/>
      <c r="N625" s="239"/>
      <c r="O625" s="239"/>
      <c r="P625" s="239"/>
      <c r="Q625" s="239"/>
      <c r="R625" s="239"/>
      <c r="S625" s="239"/>
      <c r="T625" s="239"/>
      <c r="U625" s="93"/>
      <c r="V625" s="266"/>
    </row>
    <row r="626" spans="1:22" ht="18" hidden="1" customHeight="1">
      <c r="A626" s="265"/>
      <c r="B626" s="239"/>
      <c r="C626" s="239"/>
      <c r="D626" s="239"/>
      <c r="E626" s="239"/>
      <c r="F626" s="239"/>
      <c r="G626" s="239"/>
      <c r="H626" s="239"/>
      <c r="I626" s="239"/>
      <c r="J626" s="93"/>
      <c r="K626" s="93"/>
      <c r="L626" s="239"/>
      <c r="M626" s="239"/>
      <c r="N626" s="239"/>
      <c r="O626" s="239"/>
      <c r="P626" s="239"/>
      <c r="Q626" s="239"/>
      <c r="R626" s="239"/>
      <c r="S626" s="239"/>
      <c r="T626" s="239"/>
      <c r="U626" s="93"/>
      <c r="V626" s="266"/>
    </row>
    <row r="627" spans="1:22" ht="18" hidden="1" customHeight="1">
      <c r="A627" s="265"/>
      <c r="B627" s="239"/>
      <c r="C627" s="239"/>
      <c r="D627" s="239"/>
      <c r="E627" s="239"/>
      <c r="F627" s="239"/>
      <c r="G627" s="239"/>
      <c r="H627" s="239"/>
      <c r="I627" s="239"/>
      <c r="J627" s="93"/>
      <c r="K627" s="93"/>
      <c r="L627" s="239"/>
      <c r="M627" s="239"/>
      <c r="N627" s="239"/>
      <c r="O627" s="239"/>
      <c r="P627" s="239"/>
      <c r="Q627" s="239"/>
      <c r="R627" s="239"/>
      <c r="S627" s="239"/>
      <c r="T627" s="239"/>
      <c r="U627" s="93"/>
      <c r="V627" s="266"/>
    </row>
    <row r="628" spans="1:22" ht="18" hidden="1" customHeight="1">
      <c r="A628" s="265"/>
      <c r="B628" s="239"/>
      <c r="C628" s="239"/>
      <c r="D628" s="239"/>
      <c r="E628" s="239"/>
      <c r="F628" s="239"/>
      <c r="G628" s="239"/>
      <c r="H628" s="239"/>
      <c r="I628" s="239"/>
      <c r="J628" s="93"/>
      <c r="K628" s="93"/>
      <c r="L628" s="239"/>
      <c r="M628" s="239"/>
      <c r="N628" s="239"/>
      <c r="O628" s="239"/>
      <c r="P628" s="239"/>
      <c r="Q628" s="239"/>
      <c r="R628" s="239"/>
      <c r="S628" s="239"/>
      <c r="T628" s="239"/>
      <c r="U628" s="93"/>
      <c r="V628" s="266"/>
    </row>
    <row r="629" spans="1:22" ht="18" hidden="1" customHeight="1">
      <c r="A629" s="265"/>
      <c r="B629" s="239"/>
      <c r="C629" s="239"/>
      <c r="D629" s="239"/>
      <c r="E629" s="239"/>
      <c r="F629" s="239"/>
      <c r="G629" s="239"/>
      <c r="H629" s="239"/>
      <c r="I629" s="239"/>
      <c r="J629" s="93"/>
      <c r="K629" s="93"/>
      <c r="L629" s="239"/>
      <c r="M629" s="239"/>
      <c r="N629" s="239"/>
      <c r="O629" s="239"/>
      <c r="P629" s="239"/>
      <c r="Q629" s="239"/>
      <c r="R629" s="239"/>
      <c r="S629" s="239"/>
      <c r="T629" s="239"/>
      <c r="U629" s="93"/>
      <c r="V629" s="266"/>
    </row>
    <row r="630" spans="1:22" ht="18" hidden="1" customHeight="1">
      <c r="A630" s="265"/>
      <c r="B630" s="239"/>
      <c r="C630" s="239"/>
      <c r="D630" s="239"/>
      <c r="E630" s="239"/>
      <c r="F630" s="239"/>
      <c r="G630" s="239"/>
      <c r="H630" s="239"/>
      <c r="I630" s="239"/>
      <c r="J630" s="93"/>
      <c r="K630" s="93"/>
      <c r="L630" s="239"/>
      <c r="M630" s="239"/>
      <c r="N630" s="239"/>
      <c r="O630" s="239"/>
      <c r="P630" s="239"/>
      <c r="Q630" s="239"/>
      <c r="R630" s="239"/>
      <c r="S630" s="239"/>
      <c r="T630" s="239"/>
      <c r="U630" s="93"/>
      <c r="V630" s="266"/>
    </row>
    <row r="631" spans="1:22" ht="18" hidden="1" customHeight="1">
      <c r="A631" s="265"/>
      <c r="B631" s="239"/>
      <c r="C631" s="239"/>
      <c r="D631" s="239"/>
      <c r="E631" s="239"/>
      <c r="F631" s="239"/>
      <c r="G631" s="239"/>
      <c r="H631" s="239"/>
      <c r="I631" s="239"/>
      <c r="J631" s="93"/>
      <c r="K631" s="93"/>
      <c r="L631" s="239"/>
      <c r="M631" s="239"/>
      <c r="N631" s="239"/>
      <c r="O631" s="239"/>
      <c r="P631" s="239"/>
      <c r="Q631" s="239"/>
      <c r="R631" s="239"/>
      <c r="S631" s="239"/>
      <c r="T631" s="239"/>
      <c r="U631" s="93"/>
      <c r="V631" s="266"/>
    </row>
    <row r="632" spans="1:22" ht="18" hidden="1" customHeight="1">
      <c r="A632" s="265"/>
      <c r="B632" s="239"/>
      <c r="C632" s="239"/>
      <c r="D632" s="239"/>
      <c r="E632" s="239"/>
      <c r="F632" s="239"/>
      <c r="G632" s="239"/>
      <c r="H632" s="239"/>
      <c r="I632" s="239"/>
      <c r="J632" s="93"/>
      <c r="K632" s="93"/>
      <c r="L632" s="239"/>
      <c r="M632" s="239"/>
      <c r="N632" s="239"/>
      <c r="O632" s="239"/>
      <c r="P632" s="239"/>
      <c r="Q632" s="239"/>
      <c r="R632" s="239"/>
      <c r="S632" s="239"/>
      <c r="T632" s="239"/>
      <c r="U632" s="93"/>
      <c r="V632" s="266"/>
    </row>
    <row r="633" spans="1:22" ht="18" hidden="1" customHeight="1">
      <c r="A633" s="265"/>
      <c r="B633" s="239"/>
      <c r="C633" s="239"/>
      <c r="D633" s="239"/>
      <c r="E633" s="239"/>
      <c r="F633" s="239"/>
      <c r="G633" s="239"/>
      <c r="H633" s="239"/>
      <c r="I633" s="239"/>
      <c r="J633" s="93"/>
      <c r="K633" s="93"/>
      <c r="L633" s="239"/>
      <c r="M633" s="239"/>
      <c r="N633" s="239"/>
      <c r="O633" s="239"/>
      <c r="P633" s="239"/>
      <c r="Q633" s="239"/>
      <c r="R633" s="239"/>
      <c r="S633" s="239"/>
      <c r="T633" s="239"/>
      <c r="U633" s="93"/>
      <c r="V633" s="266"/>
    </row>
    <row r="634" spans="1:22" ht="18" hidden="1" customHeight="1">
      <c r="A634" s="265"/>
      <c r="B634" s="239"/>
      <c r="C634" s="239"/>
      <c r="D634" s="239"/>
      <c r="E634" s="239"/>
      <c r="F634" s="239"/>
      <c r="G634" s="239"/>
      <c r="H634" s="239"/>
      <c r="I634" s="239"/>
      <c r="J634" s="93"/>
      <c r="K634" s="93"/>
      <c r="L634" s="239"/>
      <c r="M634" s="239"/>
      <c r="N634" s="239"/>
      <c r="O634" s="239"/>
      <c r="P634" s="239"/>
      <c r="Q634" s="239"/>
      <c r="R634" s="239"/>
      <c r="S634" s="239"/>
      <c r="T634" s="239"/>
      <c r="U634" s="93"/>
      <c r="V634" s="266"/>
    </row>
    <row r="635" spans="1:22" ht="18" hidden="1" customHeight="1">
      <c r="A635" s="265"/>
      <c r="B635" s="239"/>
      <c r="C635" s="239"/>
      <c r="D635" s="239"/>
      <c r="E635" s="239"/>
      <c r="F635" s="239"/>
      <c r="G635" s="239"/>
      <c r="H635" s="239"/>
      <c r="I635" s="239"/>
      <c r="J635" s="93"/>
      <c r="K635" s="93"/>
      <c r="L635" s="239"/>
      <c r="M635" s="239"/>
      <c r="N635" s="239"/>
      <c r="O635" s="239"/>
      <c r="P635" s="239"/>
      <c r="Q635" s="239"/>
      <c r="R635" s="239"/>
      <c r="S635" s="239"/>
      <c r="T635" s="239"/>
      <c r="U635" s="93"/>
      <c r="V635" s="266"/>
    </row>
    <row r="636" spans="1:22" ht="18" hidden="1" customHeight="1">
      <c r="A636" s="184"/>
      <c r="V636" s="185"/>
    </row>
    <row r="637" spans="1:22" ht="18" hidden="1" customHeight="1">
      <c r="A637" s="184"/>
      <c r="V637" s="185"/>
    </row>
    <row r="638" spans="1:22" ht="18" hidden="1" customHeight="1">
      <c r="A638" s="184"/>
      <c r="V638" s="185"/>
    </row>
    <row r="639" spans="1:22" ht="18" hidden="1" customHeight="1">
      <c r="A639" s="184"/>
      <c r="V639" s="185"/>
    </row>
    <row r="640" spans="1:22" ht="18" hidden="1" customHeight="1">
      <c r="A640" s="184"/>
      <c r="V640" s="185"/>
    </row>
    <row r="641" spans="1:22" ht="18" hidden="1" customHeight="1">
      <c r="A641" s="184"/>
      <c r="V641" s="185"/>
    </row>
    <row r="642" spans="1:22" ht="18" hidden="1" customHeight="1">
      <c r="A642" s="194"/>
      <c r="B642" s="195"/>
      <c r="C642" s="195"/>
      <c r="D642" s="195"/>
      <c r="E642" s="195"/>
      <c r="F642" s="195"/>
      <c r="G642" s="195"/>
      <c r="H642" s="195"/>
      <c r="I642" s="195"/>
      <c r="J642" s="195"/>
      <c r="K642" s="195"/>
      <c r="L642" s="195"/>
      <c r="M642" s="195"/>
      <c r="N642" s="195"/>
      <c r="O642" s="195"/>
      <c r="P642" s="195"/>
      <c r="Q642" s="224"/>
      <c r="R642" s="182"/>
      <c r="S642" s="225"/>
      <c r="T642" s="195"/>
      <c r="U642" s="195"/>
      <c r="V642" s="134"/>
    </row>
    <row r="643" spans="1:22" ht="18" hidden="1" customHeight="1">
      <c r="A643" s="1178" t="str">
        <f>A1</f>
        <v>HITACHI</v>
      </c>
      <c r="B643" s="1179"/>
      <c r="C643" s="1179"/>
      <c r="D643" s="1179"/>
      <c r="E643" s="1179"/>
      <c r="F643" s="1179"/>
      <c r="G643" s="1180"/>
      <c r="H643" s="906" t="str">
        <f>H1</f>
        <v>CT / VT</v>
      </c>
      <c r="I643" s="929"/>
      <c r="J643" s="929"/>
      <c r="K643" s="929"/>
      <c r="L643" s="929"/>
      <c r="M643" s="929"/>
      <c r="N643" s="930"/>
      <c r="O643" s="885" t="str">
        <f>O1</f>
        <v>Contract No.</v>
      </c>
      <c r="P643" s="886"/>
      <c r="Q643" s="887"/>
      <c r="R643" s="775" t="str">
        <f>R1</f>
        <v>N-19957.2-DF4W</v>
      </c>
      <c r="S643" s="1068"/>
      <c r="T643" s="1068"/>
      <c r="U643" s="1068"/>
      <c r="V643" s="776"/>
    </row>
    <row r="644" spans="1:22" ht="18" hidden="1" customHeight="1">
      <c r="A644" s="1181"/>
      <c r="B644" s="1182"/>
      <c r="C644" s="1182"/>
      <c r="D644" s="1182"/>
      <c r="E644" s="1182"/>
      <c r="F644" s="1182"/>
      <c r="G644" s="1183"/>
      <c r="H644" s="909" t="str">
        <f>H2</f>
        <v>ADEQUACY CHECK</v>
      </c>
      <c r="I644" s="934"/>
      <c r="J644" s="934"/>
      <c r="K644" s="934"/>
      <c r="L644" s="934"/>
      <c r="M644" s="934"/>
      <c r="N644" s="935"/>
      <c r="O644" s="885" t="str">
        <f>O2</f>
        <v>Date</v>
      </c>
      <c r="P644" s="886"/>
      <c r="Q644" s="887"/>
      <c r="R644" s="775">
        <f>R2</f>
        <v>46134</v>
      </c>
      <c r="S644" s="1068"/>
      <c r="T644" s="1068"/>
      <c r="U644" s="1068"/>
      <c r="V644" s="776"/>
    </row>
    <row r="645" spans="1:22" ht="18" hidden="1" customHeight="1">
      <c r="A645" s="955">
        <f>A3</f>
        <v>0</v>
      </c>
      <c r="B645" s="956"/>
      <c r="C645" s="956"/>
      <c r="D645" s="956"/>
      <c r="E645" s="956"/>
      <c r="F645" s="956"/>
      <c r="G645" s="957"/>
      <c r="H645" s="1083" t="str">
        <f>H3</f>
        <v xml:space="preserve">132/33kV SUBSTATION DF4W    AT AL DHAFRA AREA </v>
      </c>
      <c r="I645" s="1084"/>
      <c r="J645" s="1084"/>
      <c r="K645" s="1084"/>
      <c r="L645" s="1084"/>
      <c r="M645" s="1084"/>
      <c r="N645" s="1085"/>
      <c r="O645" s="885" t="str">
        <f>O3</f>
        <v>Document No.</v>
      </c>
      <c r="P645" s="886"/>
      <c r="Q645" s="887"/>
      <c r="R645" s="775" t="str">
        <f>R3</f>
        <v>-</v>
      </c>
      <c r="S645" s="1068"/>
      <c r="T645" s="1068"/>
      <c r="U645" s="1068"/>
      <c r="V645" s="776"/>
    </row>
    <row r="646" spans="1:22" ht="18" hidden="1" customHeight="1">
      <c r="A646" s="1047"/>
      <c r="B646" s="1048"/>
      <c r="C646" s="1048"/>
      <c r="D646" s="1048"/>
      <c r="E646" s="1048"/>
      <c r="F646" s="1048"/>
      <c r="G646" s="1049"/>
      <c r="H646" s="1086"/>
      <c r="I646" s="1087"/>
      <c r="J646" s="1087"/>
      <c r="K646" s="1087"/>
      <c r="L646" s="1087"/>
      <c r="M646" s="1087"/>
      <c r="N646" s="1088"/>
      <c r="O646" s="885" t="str">
        <f>O4</f>
        <v>Revision No.</v>
      </c>
      <c r="P646" s="886"/>
      <c r="Q646" s="887"/>
      <c r="R646" s="775" t="str">
        <f>R4</f>
        <v>A</v>
      </c>
      <c r="S646" s="1068"/>
      <c r="T646" s="1068"/>
      <c r="U646" s="1068"/>
      <c r="V646" s="776"/>
    </row>
    <row r="647" spans="1:22" ht="18" hidden="1" customHeight="1">
      <c r="A647" s="880" t="str">
        <f>A5</f>
        <v>Prep. By</v>
      </c>
      <c r="B647" s="943"/>
      <c r="C647" s="25" t="str">
        <f>C5</f>
        <v>AP</v>
      </c>
      <c r="D647" s="880" t="str">
        <f>D5</f>
        <v>Checked By</v>
      </c>
      <c r="E647" s="881"/>
      <c r="F647" s="943"/>
      <c r="G647" s="25" t="str">
        <f>G5</f>
        <v>RB</v>
      </c>
      <c r="H647" s="1163" t="str">
        <f>H5</f>
        <v>132kV_100MVA TR. FEEDERS</v>
      </c>
      <c r="I647" s="1164"/>
      <c r="J647" s="1164"/>
      <c r="K647" s="1164"/>
      <c r="L647" s="1164"/>
      <c r="M647" s="1164"/>
      <c r="N647" s="1165"/>
      <c r="O647" s="947" t="str">
        <f>O5</f>
        <v>Contractor</v>
      </c>
      <c r="P647" s="948"/>
      <c r="Q647" s="949"/>
      <c r="R647" s="775" t="str">
        <f>R5</f>
        <v>HITACHI</v>
      </c>
      <c r="S647" s="1068"/>
      <c r="T647" s="1068"/>
      <c r="U647" s="1068"/>
      <c r="V647" s="776"/>
    </row>
    <row r="648" spans="1:22" ht="18" hidden="1" customHeight="1">
      <c r="A648" s="184"/>
      <c r="V648" s="185"/>
    </row>
    <row r="649" spans="1:22" ht="18" hidden="1" customHeight="1">
      <c r="A649" s="184"/>
      <c r="B649" s="1272" t="s">
        <v>635</v>
      </c>
      <c r="C649" s="1273"/>
      <c r="D649" s="1099" t="s">
        <v>506</v>
      </c>
      <c r="E649" s="1101"/>
      <c r="F649" s="186" t="s">
        <v>636</v>
      </c>
      <c r="H649" s="684" t="str">
        <f>H472</f>
        <v>(Multi Func. Trans. Protection +HV REF)</v>
      </c>
      <c r="I649" s="684"/>
      <c r="J649" s="684"/>
      <c r="K649" s="684"/>
      <c r="L649" s="684"/>
      <c r="M649" s="684"/>
      <c r="P649" s="186"/>
      <c r="S649" s="187" t="s">
        <v>387</v>
      </c>
      <c r="T649" s="781" t="str">
        <f>T341</f>
        <v>RET670</v>
      </c>
      <c r="U649" s="782"/>
      <c r="V649" s="185"/>
    </row>
    <row r="650" spans="1:22" ht="18" hidden="1" customHeight="1">
      <c r="A650" s="184"/>
      <c r="B650" s="743"/>
      <c r="C650" s="743"/>
      <c r="D650" s="1102"/>
      <c r="E650" s="1103"/>
      <c r="F650" s="255"/>
      <c r="T650" s="781"/>
      <c r="U650" s="782"/>
      <c r="V650" s="185"/>
    </row>
    <row r="651" spans="1:22" ht="18" hidden="1" customHeight="1">
      <c r="A651" s="184"/>
      <c r="H651" s="789" t="s">
        <v>390</v>
      </c>
      <c r="I651" s="789"/>
      <c r="J651" s="790" t="s">
        <v>391</v>
      </c>
      <c r="K651" s="790"/>
      <c r="L651" s="790" t="s">
        <v>392</v>
      </c>
      <c r="M651" s="790"/>
      <c r="T651" s="781"/>
      <c r="U651" s="782"/>
      <c r="V651" s="185"/>
    </row>
    <row r="652" spans="1:22" ht="18" hidden="1" customHeight="1">
      <c r="A652" s="184"/>
      <c r="B652" s="47" t="s">
        <v>393</v>
      </c>
      <c r="H652" s="791">
        <v>1200</v>
      </c>
      <c r="I652" s="792"/>
      <c r="J652" s="781" t="s">
        <v>6</v>
      </c>
      <c r="K652" s="782"/>
      <c r="L652" s="781" t="s">
        <v>6</v>
      </c>
      <c r="M652" s="782"/>
      <c r="N652" s="191" t="s">
        <v>342</v>
      </c>
      <c r="O652" s="267">
        <v>1</v>
      </c>
      <c r="P652" s="27" t="s">
        <v>8</v>
      </c>
      <c r="V652" s="185"/>
    </row>
    <row r="653" spans="1:22" ht="18" hidden="1" customHeight="1">
      <c r="A653" s="184"/>
      <c r="B653" s="47" t="s">
        <v>394</v>
      </c>
      <c r="H653" s="781" t="s">
        <v>637</v>
      </c>
      <c r="I653" s="782"/>
      <c r="V653" s="185"/>
    </row>
    <row r="654" spans="1:22" ht="18" hidden="1" customHeight="1">
      <c r="A654" s="184"/>
      <c r="B654" s="47" t="s">
        <v>396</v>
      </c>
      <c r="G654" s="120" t="s">
        <v>397</v>
      </c>
      <c r="H654" s="781">
        <v>5</v>
      </c>
      <c r="I654" s="782"/>
      <c r="J654" s="192" t="s">
        <v>333</v>
      </c>
      <c r="V654" s="185"/>
    </row>
    <row r="655" spans="1:22" ht="18" hidden="1" customHeight="1">
      <c r="A655" s="184"/>
      <c r="B655" s="47" t="s">
        <v>398</v>
      </c>
      <c r="G655" s="120" t="s">
        <v>638</v>
      </c>
      <c r="H655" s="781">
        <v>430</v>
      </c>
      <c r="I655" s="782"/>
      <c r="J655" s="14" t="s">
        <v>305</v>
      </c>
      <c r="V655" s="185"/>
    </row>
    <row r="656" spans="1:22" ht="18" hidden="1" customHeight="1">
      <c r="A656" s="184"/>
      <c r="B656" s="14" t="s">
        <v>401</v>
      </c>
      <c r="G656" s="120" t="s">
        <v>402</v>
      </c>
      <c r="H656" s="781">
        <v>20</v>
      </c>
      <c r="I656" s="782"/>
      <c r="J656" s="14" t="s">
        <v>403</v>
      </c>
      <c r="V656" s="185"/>
    </row>
    <row r="657" spans="1:22" ht="18" hidden="1" customHeight="1">
      <c r="A657" s="184"/>
      <c r="V657" s="185"/>
    </row>
    <row r="658" spans="1:22" ht="18" hidden="1" customHeight="1">
      <c r="A658" s="193" t="s">
        <v>404</v>
      </c>
      <c r="V658" s="185"/>
    </row>
    <row r="659" spans="1:22" s="14" customFormat="1" ht="18" hidden="1" customHeight="1">
      <c r="A659" s="184"/>
      <c r="B659" s="30"/>
      <c r="C659" s="30"/>
      <c r="D659" s="30"/>
      <c r="E659" s="30"/>
      <c r="F659" s="30"/>
      <c r="G659" s="30"/>
      <c r="H659" s="30"/>
      <c r="I659" s="30"/>
      <c r="J659" s="30"/>
      <c r="K659" s="30"/>
      <c r="L659" s="30"/>
      <c r="M659" s="30"/>
      <c r="N659" s="30"/>
      <c r="O659" s="30"/>
      <c r="P659" s="30"/>
      <c r="Q659" s="30"/>
      <c r="R659" s="30"/>
      <c r="S659" s="30"/>
      <c r="T659" s="30"/>
      <c r="U659" s="30"/>
      <c r="V659" s="185"/>
    </row>
    <row r="660" spans="1:22" ht="18" hidden="1" customHeight="1">
      <c r="A660" s="184"/>
      <c r="B660" s="194" t="s">
        <v>405</v>
      </c>
      <c r="C660" s="195"/>
      <c r="D660" s="195" t="str">
        <f>T649</f>
        <v>RET670</v>
      </c>
      <c r="E660" s="196"/>
      <c r="F660" s="196"/>
      <c r="G660" s="196"/>
      <c r="H660" s="182" t="s">
        <v>406</v>
      </c>
      <c r="I660" s="183" t="s">
        <v>127</v>
      </c>
      <c r="J660" s="1276">
        <f>J483</f>
        <v>0.02</v>
      </c>
      <c r="K660" s="1144"/>
      <c r="L660" s="3" t="s">
        <v>157</v>
      </c>
      <c r="N660" s="197" t="s">
        <v>407</v>
      </c>
      <c r="V660" s="185"/>
    </row>
    <row r="661" spans="1:22" ht="18" hidden="1" customHeight="1">
      <c r="A661" s="184"/>
      <c r="B661" s="96" t="s">
        <v>405</v>
      </c>
      <c r="D661" s="30">
        <f>T650</f>
        <v>0</v>
      </c>
      <c r="H661" s="27"/>
      <c r="I661" s="177" t="s">
        <v>127</v>
      </c>
      <c r="J661" s="1274"/>
      <c r="K661" s="1275"/>
      <c r="L661" s="198" t="s">
        <v>157</v>
      </c>
      <c r="V661" s="185"/>
    </row>
    <row r="662" spans="1:22" ht="18" hidden="1" customHeight="1">
      <c r="A662" s="184"/>
      <c r="B662" s="96" t="s">
        <v>405</v>
      </c>
      <c r="D662" s="30">
        <f>T651</f>
        <v>0</v>
      </c>
      <c r="E662" s="14"/>
      <c r="G662" s="199"/>
      <c r="H662" s="27"/>
      <c r="I662" s="177" t="s">
        <v>127</v>
      </c>
      <c r="J662" s="696"/>
      <c r="K662" s="820"/>
      <c r="L662" s="202" t="s">
        <v>157</v>
      </c>
      <c r="N662" s="30" t="s">
        <v>408</v>
      </c>
      <c r="O662" s="27" t="s">
        <v>127</v>
      </c>
      <c r="P662" s="30" t="s">
        <v>409</v>
      </c>
      <c r="Q662" s="191" t="s">
        <v>410</v>
      </c>
      <c r="R662" s="244" t="s">
        <v>411</v>
      </c>
      <c r="S662" s="27" t="s">
        <v>315</v>
      </c>
      <c r="T662" s="30" t="s">
        <v>411</v>
      </c>
      <c r="U662" s="30" t="s">
        <v>350</v>
      </c>
      <c r="V662" s="185"/>
    </row>
    <row r="663" spans="1:22" ht="18" hidden="1" customHeight="1">
      <c r="A663" s="184"/>
      <c r="B663" s="184" t="s">
        <v>412</v>
      </c>
      <c r="H663" s="27" t="s">
        <v>599</v>
      </c>
      <c r="I663" s="177" t="s">
        <v>127</v>
      </c>
      <c r="J663" s="1274">
        <f>J486</f>
        <v>1.0770224400000001</v>
      </c>
      <c r="K663" s="1275"/>
      <c r="L663" s="203" t="s">
        <v>157</v>
      </c>
      <c r="O663" s="27" t="s">
        <v>127</v>
      </c>
      <c r="P663" s="204">
        <f>J664</f>
        <v>1.0770224400000001</v>
      </c>
      <c r="Q663" s="191" t="s">
        <v>410</v>
      </c>
      <c r="R663" s="27">
        <f>O652</f>
        <v>1</v>
      </c>
      <c r="S663" s="27" t="s">
        <v>315</v>
      </c>
      <c r="T663" s="27">
        <f>O652</f>
        <v>1</v>
      </c>
      <c r="U663" s="30" t="s">
        <v>350</v>
      </c>
      <c r="V663" s="185"/>
    </row>
    <row r="664" spans="1:22" ht="18" hidden="1" customHeight="1">
      <c r="A664" s="184"/>
      <c r="B664" s="205" t="s">
        <v>413</v>
      </c>
      <c r="C664" s="206"/>
      <c r="D664" s="206"/>
      <c r="E664" s="206"/>
      <c r="F664" s="207"/>
      <c r="G664" s="207"/>
      <c r="H664" s="190" t="s">
        <v>409</v>
      </c>
      <c r="I664" s="208" t="s">
        <v>127</v>
      </c>
      <c r="J664" s="1276">
        <f>J661+J663</f>
        <v>1.0770224400000001</v>
      </c>
      <c r="K664" s="1144"/>
      <c r="L664" s="210" t="s">
        <v>157</v>
      </c>
      <c r="O664" s="27" t="s">
        <v>127</v>
      </c>
      <c r="P664" s="795">
        <f>P663/(R663*T663)</f>
        <v>1.0770224400000001</v>
      </c>
      <c r="Q664" s="795"/>
      <c r="R664" s="192" t="s">
        <v>333</v>
      </c>
      <c r="V664" s="185"/>
    </row>
    <row r="665" spans="1:22" ht="18" hidden="1" customHeight="1">
      <c r="A665" s="184"/>
      <c r="V665" s="185"/>
    </row>
    <row r="666" spans="1:22" ht="18" hidden="1" customHeight="1">
      <c r="A666" s="193" t="s">
        <v>600</v>
      </c>
      <c r="B666" s="5"/>
      <c r="C666" s="5"/>
      <c r="D666" s="5"/>
      <c r="E666" s="5"/>
      <c r="F666" s="5"/>
      <c r="G666" s="5"/>
      <c r="H666" s="212"/>
      <c r="I666" s="212"/>
      <c r="J666" s="5"/>
      <c r="K666" s="5"/>
      <c r="L666" s="5"/>
      <c r="M666" s="5"/>
      <c r="N666" s="5"/>
      <c r="O666" s="5"/>
      <c r="P666" s="103"/>
      <c r="Q666" s="212"/>
      <c r="R666" s="213"/>
      <c r="S666" s="214"/>
      <c r="T666" s="18"/>
      <c r="U666" s="18"/>
      <c r="V666" s="97"/>
    </row>
    <row r="667" spans="1:22" ht="18" hidden="1" customHeight="1">
      <c r="A667" s="96"/>
      <c r="B667" s="47" t="s">
        <v>601</v>
      </c>
      <c r="C667" s="5"/>
      <c r="D667" s="5"/>
      <c r="E667" s="5"/>
      <c r="F667" s="14"/>
      <c r="G667" s="14"/>
      <c r="H667" s="14"/>
      <c r="I667" s="215"/>
      <c r="J667" s="14"/>
      <c r="K667" s="14"/>
      <c r="L667" s="14"/>
      <c r="M667" s="5"/>
      <c r="N667" s="14"/>
      <c r="O667" s="103" t="s">
        <v>127</v>
      </c>
      <c r="P667" s="853">
        <f>P359</f>
        <v>100</v>
      </c>
      <c r="Q667" s="1271"/>
      <c r="R667" s="14" t="s">
        <v>602</v>
      </c>
      <c r="S667" s="214"/>
      <c r="T667" s="18"/>
      <c r="U667" s="18"/>
      <c r="V667" s="97"/>
    </row>
    <row r="668" spans="1:22" ht="18" hidden="1" customHeight="1">
      <c r="A668" s="96"/>
      <c r="B668" s="47" t="s">
        <v>603</v>
      </c>
      <c r="C668" s="5"/>
      <c r="D668" s="5"/>
      <c r="E668" s="5"/>
      <c r="F668" s="14"/>
      <c r="G668" s="14"/>
      <c r="H668" s="14"/>
      <c r="I668" s="215"/>
      <c r="J668" s="14"/>
      <c r="K668" s="14"/>
      <c r="L668" s="14"/>
      <c r="M668" s="5"/>
      <c r="N668" s="14"/>
      <c r="O668" s="103" t="s">
        <v>127</v>
      </c>
      <c r="P668" s="853">
        <f>P360</f>
        <v>25</v>
      </c>
      <c r="Q668" s="1271"/>
      <c r="R668" s="14" t="s">
        <v>604</v>
      </c>
      <c r="S668" s="214"/>
      <c r="T668" s="18" t="s">
        <v>129</v>
      </c>
      <c r="U668" s="18"/>
      <c r="V668" s="97"/>
    </row>
    <row r="669" spans="1:22" ht="18" hidden="1" customHeight="1">
      <c r="A669" s="96"/>
      <c r="B669" s="47" t="s">
        <v>605</v>
      </c>
      <c r="C669" s="5"/>
      <c r="D669" s="5"/>
      <c r="E669" s="5"/>
      <c r="F669" s="14"/>
      <c r="G669" s="14"/>
      <c r="H669" s="14"/>
      <c r="I669" s="14"/>
      <c r="J669" s="14"/>
      <c r="K669" s="14"/>
      <c r="L669" s="14"/>
      <c r="M669" s="14"/>
      <c r="N669" s="120" t="s">
        <v>606</v>
      </c>
      <c r="O669" s="103" t="s">
        <v>607</v>
      </c>
      <c r="P669" s="854">
        <f>'[2]Parameters &amp; Fault Cal.'!Q12</f>
        <v>132</v>
      </c>
      <c r="Q669" s="1270"/>
      <c r="R669" s="14" t="s">
        <v>163</v>
      </c>
      <c r="S669" s="214"/>
      <c r="T669" s="18"/>
      <c r="U669" s="18"/>
      <c r="V669" s="97"/>
    </row>
    <row r="670" spans="1:22" ht="18" hidden="1" customHeight="1">
      <c r="A670" s="216"/>
      <c r="B670" s="212"/>
      <c r="C670" s="212"/>
      <c r="D670" s="212"/>
      <c r="E670" s="212"/>
      <c r="F670" s="14"/>
      <c r="G670" s="14"/>
      <c r="H670" s="14"/>
      <c r="I670" s="14"/>
      <c r="J670" s="14"/>
      <c r="K670" s="14"/>
      <c r="L670" s="14"/>
      <c r="M670" s="14"/>
      <c r="N670" s="14"/>
      <c r="O670" s="14"/>
      <c r="P670" s="14"/>
      <c r="Q670" s="14"/>
      <c r="R670" s="14"/>
      <c r="S670" s="14"/>
      <c r="T670" s="18"/>
      <c r="U670" s="18"/>
      <c r="V670" s="97"/>
    </row>
    <row r="671" spans="1:22" ht="18" hidden="1" customHeight="1">
      <c r="A671" s="96"/>
      <c r="B671" s="14" t="s">
        <v>608</v>
      </c>
      <c r="C671" s="213"/>
      <c r="D671" s="213"/>
      <c r="E671" s="213"/>
      <c r="F671" s="14"/>
      <c r="G671" s="14"/>
      <c r="H671" s="120" t="s">
        <v>609</v>
      </c>
      <c r="I671" s="28" t="s">
        <v>127</v>
      </c>
      <c r="J671" s="689" t="s">
        <v>610</v>
      </c>
      <c r="K671" s="689"/>
      <c r="L671" s="28" t="s">
        <v>315</v>
      </c>
      <c r="M671" s="217">
        <v>1000</v>
      </c>
      <c r="N671" s="102" t="s">
        <v>342</v>
      </c>
      <c r="O671" s="28" t="s">
        <v>611</v>
      </c>
      <c r="P671" s="28" t="s">
        <v>315</v>
      </c>
      <c r="Q671" s="28" t="s">
        <v>606</v>
      </c>
      <c r="R671" s="47"/>
      <c r="S671" s="14"/>
      <c r="T671" s="18"/>
      <c r="U671" s="18"/>
      <c r="V671" s="97"/>
    </row>
    <row r="672" spans="1:22" ht="18" hidden="1" customHeight="1">
      <c r="A672" s="216"/>
      <c r="B672" s="213"/>
      <c r="C672" s="213"/>
      <c r="D672" s="213"/>
      <c r="E672" s="213"/>
      <c r="F672" s="212"/>
      <c r="G672" s="212"/>
      <c r="H672" s="28"/>
      <c r="I672" s="28" t="s">
        <v>127</v>
      </c>
      <c r="J672" s="689">
        <f>P667</f>
        <v>100</v>
      </c>
      <c r="K672" s="689"/>
      <c r="L672" s="28" t="s">
        <v>315</v>
      </c>
      <c r="M672" s="217">
        <v>1000</v>
      </c>
      <c r="N672" s="102" t="s">
        <v>342</v>
      </c>
      <c r="O672" s="28" t="s">
        <v>611</v>
      </c>
      <c r="P672" s="28" t="s">
        <v>315</v>
      </c>
      <c r="Q672" s="28">
        <f>P669</f>
        <v>132</v>
      </c>
      <c r="R672" s="47"/>
      <c r="S672" s="14"/>
      <c r="T672" s="18"/>
      <c r="U672" s="18"/>
      <c r="V672" s="97"/>
    </row>
    <row r="673" spans="1:22" ht="18" hidden="1" customHeight="1">
      <c r="A673" s="216"/>
      <c r="B673" s="212"/>
      <c r="C673" s="212"/>
      <c r="D673" s="212"/>
      <c r="E673" s="212"/>
      <c r="F673" s="212"/>
      <c r="G673" s="212"/>
      <c r="H673" s="14"/>
      <c r="I673" s="28" t="s">
        <v>127</v>
      </c>
      <c r="J673" s="692">
        <f>(P667*1000)/(SQRT(3)*P669)</f>
        <v>437.38656756789834</v>
      </c>
      <c r="K673" s="692"/>
      <c r="L673" s="14" t="s">
        <v>8</v>
      </c>
      <c r="M673" s="120"/>
      <c r="N673" s="120"/>
      <c r="O673" s="120"/>
      <c r="P673" s="14"/>
      <c r="Q673" s="14"/>
      <c r="R673" s="14"/>
      <c r="S673" s="14"/>
      <c r="T673" s="18"/>
      <c r="U673" s="18"/>
      <c r="V673" s="97"/>
    </row>
    <row r="674" spans="1:22" ht="18" hidden="1" customHeight="1">
      <c r="A674" s="216"/>
      <c r="B674" s="212"/>
      <c r="C674" s="212"/>
      <c r="D674" s="212"/>
      <c r="E674" s="212"/>
      <c r="F674" s="14"/>
      <c r="G674" s="212"/>
      <c r="H674" s="28"/>
      <c r="I674" s="103"/>
      <c r="J674" s="28"/>
      <c r="K674" s="14"/>
      <c r="L674" s="14"/>
      <c r="M674" s="212"/>
      <c r="N674" s="219"/>
      <c r="O674" s="212"/>
      <c r="P674" s="14"/>
      <c r="Q674" s="14"/>
      <c r="R674" s="14"/>
      <c r="S674" s="14"/>
      <c r="T674" s="18"/>
      <c r="U674" s="18"/>
      <c r="V674" s="97"/>
    </row>
    <row r="675" spans="1:22" ht="18" hidden="1" customHeight="1">
      <c r="A675" s="147" t="s">
        <v>629</v>
      </c>
      <c r="B675" s="5"/>
      <c r="C675" s="5"/>
      <c r="D675" s="5"/>
      <c r="E675" s="5"/>
      <c r="F675" s="212"/>
      <c r="G675" s="212"/>
      <c r="H675" s="5"/>
      <c r="I675" s="5"/>
      <c r="J675" s="5"/>
      <c r="K675" s="5"/>
      <c r="L675" s="103"/>
      <c r="M675" s="103"/>
      <c r="N675" s="103"/>
      <c r="O675" s="103"/>
      <c r="P675" s="212"/>
      <c r="Q675" s="213"/>
      <c r="R675" s="14"/>
      <c r="S675" s="220"/>
      <c r="T675" s="18"/>
      <c r="U675" s="18"/>
      <c r="V675" s="97"/>
    </row>
    <row r="676" spans="1:22" ht="18" hidden="1" customHeight="1">
      <c r="A676" s="147"/>
      <c r="B676" s="5"/>
      <c r="C676" s="5"/>
      <c r="D676" s="5"/>
      <c r="E676" s="5"/>
      <c r="F676" s="212"/>
      <c r="G676" s="212"/>
      <c r="H676" s="5"/>
      <c r="I676" s="5"/>
      <c r="J676" s="5"/>
      <c r="K676" s="5"/>
      <c r="L676" s="103"/>
      <c r="M676" s="103"/>
      <c r="N676" s="103"/>
      <c r="O676" s="103"/>
      <c r="P676" s="212"/>
      <c r="Q676" s="213"/>
      <c r="R676" s="14"/>
      <c r="S676" s="214"/>
      <c r="T676" s="18"/>
      <c r="U676" s="18"/>
      <c r="V676" s="97"/>
    </row>
    <row r="677" spans="1:22" ht="18" hidden="1" customHeight="1">
      <c r="A677" s="184"/>
      <c r="B677" s="14" t="s">
        <v>612</v>
      </c>
      <c r="C677" s="14"/>
      <c r="D677" s="14"/>
      <c r="E677" s="14"/>
      <c r="M677" s="120" t="s">
        <v>613</v>
      </c>
      <c r="N677" s="28" t="s">
        <v>127</v>
      </c>
      <c r="O677" s="689" t="s">
        <v>609</v>
      </c>
      <c r="P677" s="716"/>
      <c r="Q677" s="221" t="s">
        <v>630</v>
      </c>
      <c r="R677" s="221">
        <v>16</v>
      </c>
      <c r="S677" s="214"/>
      <c r="V677" s="185"/>
    </row>
    <row r="678" spans="1:22" ht="18" hidden="1" customHeight="1">
      <c r="A678" s="96"/>
      <c r="B678" s="5"/>
      <c r="C678" s="5"/>
      <c r="D678" s="5"/>
      <c r="E678" s="5"/>
      <c r="M678" s="250"/>
      <c r="N678" s="28" t="s">
        <v>127</v>
      </c>
      <c r="O678" s="689">
        <f>+J673</f>
        <v>437.38656756789834</v>
      </c>
      <c r="P678" s="716"/>
      <c r="Q678" s="221" t="s">
        <v>630</v>
      </c>
      <c r="R678" s="221">
        <v>16</v>
      </c>
      <c r="S678" s="214"/>
      <c r="V678" s="185"/>
    </row>
    <row r="679" spans="1:22" ht="18" hidden="1" customHeight="1">
      <c r="A679" s="96"/>
      <c r="B679" s="5"/>
      <c r="C679" s="5"/>
      <c r="D679" s="5"/>
      <c r="E679" s="5"/>
      <c r="M679" s="120" t="s">
        <v>613</v>
      </c>
      <c r="N679" s="28" t="s">
        <v>127</v>
      </c>
      <c r="O679" s="689">
        <f>O678*R678</f>
        <v>6998.1850810863734</v>
      </c>
      <c r="P679" s="716"/>
      <c r="Q679" s="241" t="s">
        <v>8</v>
      </c>
      <c r="R679" s="14"/>
      <c r="S679" s="214"/>
      <c r="V679" s="185"/>
    </row>
    <row r="680" spans="1:22" ht="18" hidden="1" customHeight="1">
      <c r="A680" s="96"/>
      <c r="B680" s="5"/>
      <c r="C680" s="5"/>
      <c r="D680" s="5"/>
      <c r="E680" s="5"/>
      <c r="M680" s="212"/>
      <c r="N680" s="212"/>
      <c r="O680" s="103"/>
      <c r="Q680" s="223"/>
      <c r="R680" s="14"/>
      <c r="S680" s="214"/>
      <c r="V680" s="185"/>
    </row>
    <row r="681" spans="1:22" ht="18" hidden="1" customHeight="1">
      <c r="A681" s="678" t="s">
        <v>639</v>
      </c>
      <c r="B681" s="1207"/>
      <c r="C681" s="1207"/>
      <c r="D681" s="1207"/>
      <c r="E681" s="1207"/>
      <c r="F681" s="1207"/>
      <c r="G681" s="1207"/>
      <c r="H681" s="1207"/>
      <c r="I681" s="1207"/>
      <c r="J681" s="1207"/>
      <c r="K681" s="1207"/>
      <c r="L681" s="1207"/>
      <c r="M681" s="1207"/>
      <c r="N681" s="1207"/>
      <c r="O681" s="1207"/>
      <c r="P681" s="1207"/>
      <c r="Q681" s="1207"/>
      <c r="R681" s="1207"/>
      <c r="S681" s="1207"/>
      <c r="T681" s="1207"/>
      <c r="U681" s="1207"/>
      <c r="V681" s="1208"/>
    </row>
    <row r="682" spans="1:22" ht="18" hidden="1" customHeight="1">
      <c r="A682" s="1209"/>
      <c r="B682" s="1207"/>
      <c r="C682" s="1207"/>
      <c r="D682" s="1207"/>
      <c r="E682" s="1207"/>
      <c r="F682" s="1207"/>
      <c r="G682" s="1207"/>
      <c r="H682" s="1207"/>
      <c r="I682" s="1207"/>
      <c r="J682" s="1207"/>
      <c r="K682" s="1207"/>
      <c r="L682" s="1207"/>
      <c r="M682" s="1207"/>
      <c r="N682" s="1207"/>
      <c r="O682" s="1207"/>
      <c r="P682" s="1207"/>
      <c r="Q682" s="1207"/>
      <c r="R682" s="1207"/>
      <c r="S682" s="1207"/>
      <c r="T682" s="1207"/>
      <c r="U682" s="1207"/>
      <c r="V682" s="1208"/>
    </row>
    <row r="683" spans="1:22" ht="18" hidden="1" customHeight="1">
      <c r="A683" s="231"/>
      <c r="B683" s="232"/>
      <c r="C683" s="232"/>
      <c r="D683" s="232"/>
      <c r="E683" s="232"/>
      <c r="F683" s="232"/>
      <c r="G683" s="232"/>
      <c r="H683" s="232"/>
      <c r="I683" s="232"/>
      <c r="J683" s="232"/>
      <c r="K683" s="232"/>
      <c r="L683" s="232"/>
      <c r="M683" s="232"/>
      <c r="N683" s="232"/>
      <c r="O683" s="232"/>
      <c r="P683" s="232"/>
      <c r="Q683" s="232"/>
      <c r="R683" s="232"/>
      <c r="S683" s="232"/>
      <c r="T683" s="232"/>
      <c r="U683" s="232"/>
      <c r="V683" s="233"/>
    </row>
    <row r="684" spans="1:22" ht="18" hidden="1" customHeight="1">
      <c r="A684" s="184"/>
      <c r="V684" s="185"/>
    </row>
    <row r="685" spans="1:22" ht="18" hidden="1" customHeight="1">
      <c r="A685" s="184"/>
      <c r="I685" s="14" t="s">
        <v>129</v>
      </c>
      <c r="J685" s="14" t="s">
        <v>170</v>
      </c>
      <c r="V685" s="185"/>
    </row>
    <row r="686" spans="1:22" ht="18" hidden="1" customHeight="1">
      <c r="A686" s="194"/>
      <c r="B686" s="195"/>
      <c r="C686" s="195"/>
      <c r="D686" s="195"/>
      <c r="E686" s="195"/>
      <c r="F686" s="195"/>
      <c r="G686" s="195"/>
      <c r="H686" s="195"/>
      <c r="I686" s="195"/>
      <c r="J686" s="195"/>
      <c r="K686" s="195"/>
      <c r="L686" s="195"/>
      <c r="M686" s="195"/>
      <c r="N686" s="195"/>
      <c r="O686" s="195"/>
      <c r="P686" s="195"/>
      <c r="Q686" s="224"/>
      <c r="R686" s="182"/>
      <c r="S686" s="225"/>
      <c r="T686" s="195"/>
      <c r="U686" s="195"/>
      <c r="V686" s="134"/>
    </row>
    <row r="687" spans="1:22" ht="18" hidden="1" customHeight="1">
      <c r="A687" s="226"/>
      <c r="B687" s="227"/>
      <c r="C687" s="227"/>
      <c r="D687" s="227"/>
      <c r="E687" s="227"/>
      <c r="F687" s="227"/>
      <c r="G687" s="227"/>
      <c r="H687" s="227"/>
      <c r="I687" s="227"/>
      <c r="J687" s="227"/>
      <c r="K687" s="227"/>
      <c r="L687" s="227"/>
      <c r="M687" s="227"/>
      <c r="N687" s="227"/>
      <c r="O687" s="227"/>
      <c r="P687" s="227"/>
      <c r="Q687" s="227"/>
      <c r="R687" s="227"/>
      <c r="S687" s="227"/>
      <c r="T687" s="227"/>
      <c r="U687" s="227"/>
      <c r="V687" s="228"/>
    </row>
    <row r="688" spans="1:22" ht="18" hidden="1" customHeight="1">
      <c r="A688" s="799" t="s">
        <v>417</v>
      </c>
      <c r="B688" s="802"/>
      <c r="C688" s="802"/>
      <c r="D688" s="689">
        <v>30</v>
      </c>
      <c r="E688" s="689" t="s">
        <v>315</v>
      </c>
      <c r="F688" s="689" t="s">
        <v>609</v>
      </c>
      <c r="G688" s="684"/>
      <c r="H688" s="689" t="s">
        <v>315</v>
      </c>
      <c r="I688" s="708" t="s">
        <v>411</v>
      </c>
      <c r="J688" s="828"/>
      <c r="K688" s="689" t="s">
        <v>315</v>
      </c>
      <c r="L688" s="802" t="s">
        <v>419</v>
      </c>
      <c r="M688" s="716" t="s">
        <v>420</v>
      </c>
      <c r="N688" s="729" t="s">
        <v>347</v>
      </c>
      <c r="O688" s="716" t="s">
        <v>408</v>
      </c>
      <c r="P688" s="689" t="s">
        <v>347</v>
      </c>
      <c r="Q688" s="759" t="s">
        <v>421</v>
      </c>
      <c r="R688" s="797"/>
      <c r="S688" s="797"/>
      <c r="T688" s="798" t="s">
        <v>350</v>
      </c>
      <c r="U688" s="230" t="s">
        <v>422</v>
      </c>
      <c r="V688" s="97"/>
    </row>
    <row r="689" spans="1:22" ht="18" hidden="1" customHeight="1">
      <c r="A689" s="827"/>
      <c r="B689" s="802"/>
      <c r="C689" s="802"/>
      <c r="D689" s="689"/>
      <c r="E689" s="689"/>
      <c r="F689" s="684"/>
      <c r="G689" s="684"/>
      <c r="H689" s="689"/>
      <c r="I689" s="689" t="s">
        <v>423</v>
      </c>
      <c r="J689" s="723"/>
      <c r="K689" s="689"/>
      <c r="L689" s="802"/>
      <c r="M689" s="716"/>
      <c r="N689" s="729"/>
      <c r="O689" s="716"/>
      <c r="P689" s="689"/>
      <c r="Q689" s="28" t="s">
        <v>146</v>
      </c>
      <c r="R689" s="28" t="s">
        <v>315</v>
      </c>
      <c r="S689" s="28" t="s">
        <v>146</v>
      </c>
      <c r="T689" s="798"/>
      <c r="U689" s="14"/>
      <c r="V689" s="97"/>
    </row>
    <row r="690" spans="1:22" ht="18" hidden="1" customHeight="1">
      <c r="A690" s="184"/>
      <c r="V690" s="185"/>
    </row>
    <row r="691" spans="1:22" ht="18" hidden="1" customHeight="1">
      <c r="A691" s="799" t="s">
        <v>417</v>
      </c>
      <c r="B691" s="802"/>
      <c r="C691" s="802"/>
      <c r="D691" s="689">
        <v>2</v>
      </c>
      <c r="E691" s="689" t="s">
        <v>315</v>
      </c>
      <c r="F691" s="689" t="s">
        <v>613</v>
      </c>
      <c r="G691" s="684"/>
      <c r="H691" s="689" t="s">
        <v>315</v>
      </c>
      <c r="I691" s="708" t="s">
        <v>411</v>
      </c>
      <c r="J691" s="828"/>
      <c r="K691" s="689" t="s">
        <v>315</v>
      </c>
      <c r="L691" s="802" t="s">
        <v>419</v>
      </c>
      <c r="M691" s="716" t="s">
        <v>420</v>
      </c>
      <c r="N691" s="729" t="s">
        <v>347</v>
      </c>
      <c r="O691" s="716" t="s">
        <v>408</v>
      </c>
      <c r="P691" s="689" t="s">
        <v>347</v>
      </c>
      <c r="Q691" s="759" t="s">
        <v>421</v>
      </c>
      <c r="R691" s="797"/>
      <c r="S691" s="797"/>
      <c r="T691" s="798" t="s">
        <v>350</v>
      </c>
      <c r="U691" s="230" t="s">
        <v>426</v>
      </c>
      <c r="V691" s="97"/>
    </row>
    <row r="692" spans="1:22" ht="18" hidden="1" customHeight="1">
      <c r="A692" s="827"/>
      <c r="B692" s="802"/>
      <c r="C692" s="802"/>
      <c r="D692" s="689"/>
      <c r="E692" s="689"/>
      <c r="F692" s="684"/>
      <c r="G692" s="684"/>
      <c r="H692" s="689"/>
      <c r="I692" s="689" t="s">
        <v>423</v>
      </c>
      <c r="J692" s="723"/>
      <c r="K692" s="689"/>
      <c r="L692" s="802"/>
      <c r="M692" s="716"/>
      <c r="N692" s="729"/>
      <c r="O692" s="716"/>
      <c r="P692" s="689"/>
      <c r="Q692" s="28" t="s">
        <v>146</v>
      </c>
      <c r="R692" s="28" t="s">
        <v>315</v>
      </c>
      <c r="S692" s="28" t="s">
        <v>146</v>
      </c>
      <c r="T692" s="798"/>
      <c r="U692" s="14"/>
      <c r="V692" s="97"/>
    </row>
    <row r="693" spans="1:22" ht="18" hidden="1" customHeight="1">
      <c r="A693" s="184"/>
      <c r="V693" s="185"/>
    </row>
    <row r="694" spans="1:22" ht="18" hidden="1" customHeight="1">
      <c r="A694" s="678" t="s">
        <v>616</v>
      </c>
      <c r="B694" s="1207"/>
      <c r="C694" s="1207"/>
      <c r="D694" s="1207"/>
      <c r="E694" s="1207"/>
      <c r="F694" s="1207"/>
      <c r="G694" s="1207"/>
      <c r="H694" s="1207"/>
      <c r="I694" s="1207"/>
      <c r="J694" s="1207"/>
      <c r="K694" s="1207"/>
      <c r="L694" s="1207"/>
      <c r="M694" s="1207"/>
      <c r="N694" s="1207"/>
      <c r="O694" s="1207"/>
      <c r="P694" s="1207"/>
      <c r="Q694" s="1207"/>
      <c r="R694" s="1207"/>
      <c r="S694" s="1207"/>
      <c r="T694" s="1207"/>
      <c r="U694" s="1207"/>
      <c r="V694" s="1208"/>
    </row>
    <row r="695" spans="1:22" ht="18" hidden="1" customHeight="1">
      <c r="A695" s="1209"/>
      <c r="B695" s="1207"/>
      <c r="C695" s="1207"/>
      <c r="D695" s="1207"/>
      <c r="E695" s="1207"/>
      <c r="F695" s="1207"/>
      <c r="G695" s="1207"/>
      <c r="H695" s="1207"/>
      <c r="I695" s="1207"/>
      <c r="J695" s="1207"/>
      <c r="K695" s="1207"/>
      <c r="L695" s="1207"/>
      <c r="M695" s="1207"/>
      <c r="N695" s="1207"/>
      <c r="O695" s="1207"/>
      <c r="P695" s="1207"/>
      <c r="Q695" s="1207"/>
      <c r="R695" s="1207"/>
      <c r="S695" s="1207"/>
      <c r="T695" s="1207"/>
      <c r="U695" s="1207"/>
      <c r="V695" s="1208"/>
    </row>
    <row r="696" spans="1:22" ht="18" hidden="1" customHeight="1">
      <c r="A696" s="231"/>
      <c r="B696" s="232"/>
      <c r="C696" s="232"/>
      <c r="D696" s="232"/>
      <c r="E696" s="232"/>
      <c r="F696" s="232"/>
      <c r="G696" s="232"/>
      <c r="H696" s="232"/>
      <c r="I696" s="232"/>
      <c r="J696" s="232"/>
      <c r="K696" s="232"/>
      <c r="L696" s="232"/>
      <c r="M696" s="232"/>
      <c r="N696" s="232"/>
      <c r="O696" s="232"/>
      <c r="P696" s="232"/>
      <c r="Q696" s="232"/>
      <c r="R696" s="232"/>
      <c r="S696" s="232"/>
      <c r="T696" s="232"/>
      <c r="U696" s="232"/>
      <c r="V696" s="233"/>
    </row>
    <row r="697" spans="1:22" ht="18" hidden="1" customHeight="1">
      <c r="A697" s="799" t="s">
        <v>417</v>
      </c>
      <c r="B697" s="802"/>
      <c r="C697" s="802"/>
      <c r="D697" s="689"/>
      <c r="E697" s="689"/>
      <c r="F697" s="689" t="s">
        <v>617</v>
      </c>
      <c r="G697" s="684"/>
      <c r="H697" s="689" t="s">
        <v>315</v>
      </c>
      <c r="I697" s="708" t="s">
        <v>411</v>
      </c>
      <c r="J697" s="828"/>
      <c r="K697" s="689" t="s">
        <v>315</v>
      </c>
      <c r="L697" s="802" t="s">
        <v>419</v>
      </c>
      <c r="M697" s="716" t="s">
        <v>420</v>
      </c>
      <c r="N697" s="729" t="s">
        <v>347</v>
      </c>
      <c r="O697" s="716" t="s">
        <v>408</v>
      </c>
      <c r="P697" s="689" t="s">
        <v>347</v>
      </c>
      <c r="Q697" s="759" t="s">
        <v>421</v>
      </c>
      <c r="R697" s="797"/>
      <c r="S697" s="797"/>
      <c r="T697" s="798" t="s">
        <v>350</v>
      </c>
      <c r="U697" s="230" t="s">
        <v>618</v>
      </c>
      <c r="V697" s="97"/>
    </row>
    <row r="698" spans="1:22" ht="18" hidden="1" customHeight="1">
      <c r="A698" s="827"/>
      <c r="B698" s="802"/>
      <c r="C698" s="802"/>
      <c r="D698" s="689"/>
      <c r="E698" s="689"/>
      <c r="F698" s="684"/>
      <c r="G698" s="684"/>
      <c r="H698" s="689"/>
      <c r="I698" s="689" t="s">
        <v>423</v>
      </c>
      <c r="J698" s="723"/>
      <c r="K698" s="689"/>
      <c r="L698" s="802"/>
      <c r="M698" s="716"/>
      <c r="N698" s="729"/>
      <c r="O698" s="716"/>
      <c r="P698" s="689"/>
      <c r="Q698" s="28" t="s">
        <v>146</v>
      </c>
      <c r="R698" s="28" t="s">
        <v>315</v>
      </c>
      <c r="S698" s="28" t="s">
        <v>146</v>
      </c>
      <c r="T698" s="798"/>
      <c r="U698" s="14"/>
      <c r="V698" s="97"/>
    </row>
    <row r="699" spans="1:22" ht="18" hidden="1" customHeight="1">
      <c r="A699" s="96"/>
      <c r="B699" s="14"/>
      <c r="C699" s="14"/>
      <c r="D699" s="28"/>
      <c r="E699" s="28"/>
      <c r="F699" s="27"/>
      <c r="G699" s="27"/>
      <c r="H699" s="28"/>
      <c r="I699" s="28"/>
      <c r="K699" s="28"/>
      <c r="L699" s="120"/>
      <c r="M699" s="14"/>
      <c r="N699" s="102"/>
      <c r="O699" s="14"/>
      <c r="P699" s="28"/>
      <c r="Q699" s="28"/>
      <c r="R699" s="28"/>
      <c r="S699" s="28"/>
      <c r="T699" s="40"/>
      <c r="U699" s="14"/>
      <c r="V699" s="97"/>
    </row>
    <row r="700" spans="1:22" ht="18" hidden="1" customHeight="1">
      <c r="A700" s="184"/>
      <c r="H700" s="30" t="s">
        <v>619</v>
      </c>
      <c r="M700" s="781" t="s">
        <v>620</v>
      </c>
      <c r="N700" s="782"/>
      <c r="V700" s="185"/>
    </row>
    <row r="701" spans="1:22" ht="18" hidden="1" customHeight="1">
      <c r="A701" s="96"/>
      <c r="B701" s="14"/>
      <c r="C701" s="14"/>
      <c r="D701" s="28"/>
      <c r="E701" s="28"/>
      <c r="F701" s="27"/>
      <c r="G701" s="27"/>
      <c r="H701" s="28"/>
      <c r="I701" s="28"/>
      <c r="K701" s="28"/>
      <c r="L701" s="120"/>
      <c r="M701" s="14"/>
      <c r="N701" s="102"/>
      <c r="O701" s="14"/>
      <c r="P701" s="28"/>
      <c r="Q701" s="28"/>
      <c r="R701" s="28"/>
      <c r="S701" s="28"/>
      <c r="T701" s="40"/>
      <c r="U701" s="14"/>
      <c r="V701" s="97"/>
    </row>
    <row r="702" spans="1:22" ht="18" hidden="1" customHeight="1">
      <c r="A702" s="184"/>
      <c r="B702" s="14" t="s">
        <v>427</v>
      </c>
      <c r="C702" s="14"/>
      <c r="D702" s="103"/>
      <c r="E702" s="103"/>
      <c r="F702" s="14"/>
      <c r="G702" s="14"/>
      <c r="H702" s="5"/>
      <c r="I702" s="5"/>
      <c r="J702" s="5"/>
      <c r="P702" s="120" t="s">
        <v>428</v>
      </c>
      <c r="V702" s="185"/>
    </row>
    <row r="703" spans="1:22" s="14" customFormat="1" ht="18" hidden="1" customHeight="1">
      <c r="A703" s="184"/>
      <c r="B703" s="14" t="s">
        <v>429</v>
      </c>
      <c r="D703" s="103"/>
      <c r="E703" s="103"/>
      <c r="H703" s="5"/>
      <c r="I703" s="5"/>
      <c r="J703" s="5"/>
      <c r="K703" s="30"/>
      <c r="L703" s="30"/>
      <c r="M703" s="30"/>
      <c r="N703" s="30"/>
      <c r="O703" s="30"/>
      <c r="P703" s="120" t="s">
        <v>430</v>
      </c>
      <c r="Q703" s="234" t="s">
        <v>127</v>
      </c>
      <c r="R703" s="684">
        <f>H652</f>
        <v>1200</v>
      </c>
      <c r="S703" s="684"/>
      <c r="T703" s="14" t="s">
        <v>8</v>
      </c>
      <c r="U703" s="30"/>
      <c r="V703" s="185"/>
    </row>
    <row r="704" spans="1:22" ht="18" hidden="1" customHeight="1">
      <c r="A704" s="184"/>
      <c r="B704" s="14" t="s">
        <v>621</v>
      </c>
      <c r="C704" s="14"/>
      <c r="D704" s="14"/>
      <c r="E704" s="14"/>
      <c r="F704" s="14"/>
      <c r="G704" s="14"/>
      <c r="H704" s="14"/>
      <c r="I704" s="14"/>
      <c r="J704" s="14"/>
      <c r="P704" s="120" t="s">
        <v>609</v>
      </c>
      <c r="Q704" s="234" t="s">
        <v>127</v>
      </c>
      <c r="R704" s="795">
        <f>J673</f>
        <v>437.38656756789834</v>
      </c>
      <c r="S704" s="684"/>
      <c r="T704" s="14" t="s">
        <v>8</v>
      </c>
      <c r="V704" s="185"/>
    </row>
    <row r="705" spans="1:29" ht="18" hidden="1" customHeight="1">
      <c r="A705" s="184"/>
      <c r="B705" s="14" t="s">
        <v>622</v>
      </c>
      <c r="C705" s="14"/>
      <c r="D705" s="14"/>
      <c r="E705" s="14"/>
      <c r="F705" s="14"/>
      <c r="G705" s="14"/>
      <c r="H705" s="14"/>
      <c r="I705" s="14"/>
      <c r="J705" s="14"/>
      <c r="P705" s="120" t="s">
        <v>613</v>
      </c>
      <c r="Q705" s="234" t="s">
        <v>127</v>
      </c>
      <c r="R705" s="684">
        <f>O679</f>
        <v>6998.1850810863734</v>
      </c>
      <c r="S705" s="684"/>
      <c r="T705" s="14" t="s">
        <v>8</v>
      </c>
      <c r="V705" s="185"/>
    </row>
    <row r="706" spans="1:29" ht="18" hidden="1" customHeight="1">
      <c r="A706" s="184"/>
      <c r="B706" s="235" t="s">
        <v>623</v>
      </c>
      <c r="C706" s="14"/>
      <c r="D706" s="14"/>
      <c r="E706" s="14"/>
      <c r="F706" s="14"/>
      <c r="G706" s="14"/>
      <c r="H706" s="14"/>
      <c r="I706" s="14"/>
      <c r="J706" s="14"/>
      <c r="P706" s="120"/>
      <c r="Q706" s="236"/>
      <c r="R706" s="27"/>
      <c r="S706" s="27"/>
      <c r="T706" s="14"/>
      <c r="V706" s="185"/>
    </row>
    <row r="707" spans="1:29" ht="18" hidden="1" customHeight="1">
      <c r="A707" s="184"/>
      <c r="B707" s="14" t="s">
        <v>622</v>
      </c>
      <c r="C707" s="14"/>
      <c r="D707" s="14"/>
      <c r="E707" s="14"/>
      <c r="F707" s="14"/>
      <c r="G707" s="14"/>
      <c r="H707" s="14"/>
      <c r="I707" s="14"/>
      <c r="J707" s="14"/>
      <c r="P707" s="120" t="s">
        <v>617</v>
      </c>
      <c r="Q707" s="234" t="s">
        <v>127</v>
      </c>
      <c r="R707" s="684" t="str">
        <f>IF(M700="Y",'[2]Parameters &amp; Fault Cal.'!Q33,"-")</f>
        <v>-</v>
      </c>
      <c r="S707" s="684"/>
      <c r="T707" s="14" t="s">
        <v>8</v>
      </c>
      <c r="V707" s="185"/>
    </row>
    <row r="708" spans="1:29" ht="18" hidden="1" customHeight="1">
      <c r="A708" s="184"/>
      <c r="B708" s="235" t="s">
        <v>624</v>
      </c>
      <c r="C708" s="14"/>
      <c r="D708" s="14"/>
      <c r="E708" s="14"/>
      <c r="F708" s="14"/>
      <c r="G708" s="14"/>
      <c r="H708" s="14"/>
      <c r="I708" s="14"/>
      <c r="J708" s="14"/>
      <c r="R708" s="27"/>
      <c r="S708" s="27"/>
      <c r="T708" s="14"/>
      <c r="V708" s="185"/>
    </row>
    <row r="709" spans="1:29" ht="18" hidden="1" customHeight="1">
      <c r="A709" s="184"/>
      <c r="B709" s="14" t="s">
        <v>435</v>
      </c>
      <c r="C709" s="14"/>
      <c r="D709" s="103"/>
      <c r="E709" s="103"/>
      <c r="F709" s="14"/>
      <c r="G709" s="14"/>
      <c r="H709" s="5"/>
      <c r="I709" s="5"/>
      <c r="J709" s="5"/>
      <c r="P709" s="120" t="s">
        <v>436</v>
      </c>
      <c r="Q709" s="234" t="s">
        <v>127</v>
      </c>
      <c r="R709" s="684">
        <f>O652</f>
        <v>1</v>
      </c>
      <c r="S709" s="684"/>
      <c r="T709" s="14" t="s">
        <v>8</v>
      </c>
      <c r="V709" s="185"/>
    </row>
    <row r="710" spans="1:29" ht="18" hidden="1" customHeight="1">
      <c r="A710" s="184"/>
      <c r="B710" s="14" t="s">
        <v>437</v>
      </c>
      <c r="C710" s="14"/>
      <c r="D710" s="103"/>
      <c r="E710" s="103"/>
      <c r="F710" s="14"/>
      <c r="G710" s="14"/>
      <c r="H710" s="5"/>
      <c r="I710" s="5"/>
      <c r="J710" s="5"/>
      <c r="P710" s="120" t="s">
        <v>438</v>
      </c>
      <c r="Q710" s="234" t="s">
        <v>127</v>
      </c>
      <c r="R710" s="684">
        <f>'CT-VT Burdens'!S18</f>
        <v>1</v>
      </c>
      <c r="S710" s="684"/>
      <c r="T710" s="14" t="s">
        <v>8</v>
      </c>
      <c r="V710" s="185"/>
    </row>
    <row r="711" spans="1:29" ht="18" hidden="1" customHeight="1">
      <c r="A711" s="184"/>
      <c r="B711" s="14" t="s">
        <v>439</v>
      </c>
      <c r="C711" s="14"/>
      <c r="D711" s="103"/>
      <c r="E711" s="103"/>
      <c r="F711" s="14"/>
      <c r="G711" s="14"/>
      <c r="H711" s="5"/>
      <c r="I711" s="5"/>
      <c r="J711" s="5"/>
      <c r="P711" s="120" t="s">
        <v>440</v>
      </c>
      <c r="Q711" s="234" t="s">
        <v>127</v>
      </c>
      <c r="R711" s="684">
        <f>H654</f>
        <v>5</v>
      </c>
      <c r="S711" s="684"/>
      <c r="T711" s="192" t="s">
        <v>333</v>
      </c>
      <c r="V711" s="185"/>
    </row>
    <row r="712" spans="1:29" ht="18" hidden="1" customHeight="1">
      <c r="A712" s="184"/>
      <c r="B712" s="14" t="s">
        <v>625</v>
      </c>
      <c r="C712" s="14"/>
      <c r="D712" s="14"/>
      <c r="E712" s="14"/>
      <c r="F712" s="14"/>
      <c r="G712" s="14"/>
      <c r="H712" s="14"/>
      <c r="I712" s="14"/>
      <c r="J712" s="14"/>
      <c r="P712" s="237" t="s">
        <v>441</v>
      </c>
      <c r="Q712" s="234" t="s">
        <v>127</v>
      </c>
      <c r="R712" s="795">
        <f>P664</f>
        <v>1.0770224400000001</v>
      </c>
      <c r="S712" s="684"/>
      <c r="T712" s="192" t="s">
        <v>333</v>
      </c>
      <c r="V712" s="185"/>
    </row>
    <row r="713" spans="1:29" ht="18" hidden="1" customHeight="1">
      <c r="A713" s="184"/>
      <c r="B713" s="40" t="s">
        <v>442</v>
      </c>
      <c r="C713" s="14"/>
      <c r="D713" s="14"/>
      <c r="E713" s="14"/>
      <c r="F713" s="14"/>
      <c r="G713" s="14"/>
      <c r="H713" s="5"/>
      <c r="I713" s="5"/>
      <c r="J713" s="5"/>
      <c r="P713" s="237" t="s">
        <v>443</v>
      </c>
      <c r="Q713" s="234" t="s">
        <v>127</v>
      </c>
      <c r="R713" s="795">
        <f>J660</f>
        <v>0.02</v>
      </c>
      <c r="S713" s="684"/>
      <c r="T713" s="14" t="s">
        <v>157</v>
      </c>
      <c r="V713" s="185"/>
    </row>
    <row r="714" spans="1:29" ht="18" hidden="1" customHeight="1">
      <c r="A714" s="184"/>
      <c r="V714" s="185"/>
    </row>
    <row r="715" spans="1:29" ht="18" hidden="1" customHeight="1">
      <c r="A715" s="799" t="s">
        <v>417</v>
      </c>
      <c r="B715" s="802"/>
      <c r="C715" s="802"/>
      <c r="D715" s="689">
        <v>30</v>
      </c>
      <c r="E715" s="689" t="s">
        <v>315</v>
      </c>
      <c r="F715" s="689">
        <f>R704</f>
        <v>437.38656756789834</v>
      </c>
      <c r="G715" s="684"/>
      <c r="H715" s="689" t="s">
        <v>315</v>
      </c>
      <c r="I715" s="708">
        <f>R709</f>
        <v>1</v>
      </c>
      <c r="J715" s="828"/>
      <c r="K715" s="689" t="s">
        <v>315</v>
      </c>
      <c r="L715" s="716" t="s">
        <v>419</v>
      </c>
      <c r="M715" s="716">
        <f>R711</f>
        <v>5</v>
      </c>
      <c r="N715" s="729" t="s">
        <v>347</v>
      </c>
      <c r="O715" s="1214">
        <f>R712</f>
        <v>1.0770224400000001</v>
      </c>
      <c r="P715" s="689" t="s">
        <v>347</v>
      </c>
      <c r="Q715" s="833">
        <f>R713</f>
        <v>0.02</v>
      </c>
      <c r="R715" s="797"/>
      <c r="S715" s="797"/>
      <c r="T715" s="798" t="s">
        <v>350</v>
      </c>
      <c r="U715" s="230" t="s">
        <v>422</v>
      </c>
      <c r="V715" s="97"/>
    </row>
    <row r="716" spans="1:29" ht="18" hidden="1" customHeight="1">
      <c r="A716" s="827"/>
      <c r="B716" s="802"/>
      <c r="C716" s="802"/>
      <c r="D716" s="689"/>
      <c r="E716" s="689"/>
      <c r="F716" s="684"/>
      <c r="G716" s="684"/>
      <c r="H716" s="689"/>
      <c r="I716" s="689">
        <f>R703</f>
        <v>1200</v>
      </c>
      <c r="J716" s="723"/>
      <c r="K716" s="689"/>
      <c r="L716" s="716"/>
      <c r="M716" s="716"/>
      <c r="N716" s="729"/>
      <c r="O716" s="716"/>
      <c r="P716" s="689"/>
      <c r="Q716" s="28">
        <f>R710</f>
        <v>1</v>
      </c>
      <c r="R716" s="28" t="s">
        <v>315</v>
      </c>
      <c r="S716" s="28">
        <f>R710</f>
        <v>1</v>
      </c>
      <c r="T716" s="798"/>
      <c r="U716" s="14"/>
      <c r="V716" s="97"/>
      <c r="W716" s="30" t="s">
        <v>400</v>
      </c>
      <c r="AB716" s="785" t="e">
        <f>Q1003</f>
        <v>#VALUE!</v>
      </c>
      <c r="AC716" s="786"/>
    </row>
    <row r="717" spans="1:29" ht="18" hidden="1" customHeight="1">
      <c r="A717" s="184"/>
      <c r="V717" s="185"/>
    </row>
    <row r="718" spans="1:29" ht="18" hidden="1" customHeight="1">
      <c r="A718" s="184"/>
      <c r="C718" s="30" t="s">
        <v>127</v>
      </c>
      <c r="D718" s="812">
        <f>D715*F715*(I715/I716)*(M715+O715+(Q715/(Q716*S716)))</f>
        <v>66.668892935401317</v>
      </c>
      <c r="E718" s="813"/>
      <c r="F718" s="30" t="s">
        <v>305</v>
      </c>
      <c r="V718" s="185"/>
    </row>
    <row r="719" spans="1:29" ht="18" hidden="1" customHeight="1">
      <c r="A719" s="184"/>
      <c r="V719" s="185"/>
    </row>
    <row r="720" spans="1:29" ht="18" hidden="1" customHeight="1">
      <c r="A720" s="799" t="s">
        <v>417</v>
      </c>
      <c r="B720" s="802"/>
      <c r="C720" s="802"/>
      <c r="D720" s="689">
        <v>2</v>
      </c>
      <c r="E720" s="689" t="s">
        <v>315</v>
      </c>
      <c r="F720" s="689">
        <f>R705</f>
        <v>6998.1850810863734</v>
      </c>
      <c r="G720" s="684"/>
      <c r="H720" s="689" t="s">
        <v>315</v>
      </c>
      <c r="I720" s="708">
        <f>R709</f>
        <v>1</v>
      </c>
      <c r="J720" s="828"/>
      <c r="K720" s="689" t="s">
        <v>315</v>
      </c>
      <c r="L720" s="802" t="s">
        <v>419</v>
      </c>
      <c r="M720" s="716">
        <f>R711</f>
        <v>5</v>
      </c>
      <c r="N720" s="729" t="s">
        <v>347</v>
      </c>
      <c r="O720" s="1214">
        <f>R712</f>
        <v>1.0770224400000001</v>
      </c>
      <c r="P720" s="689" t="s">
        <v>347</v>
      </c>
      <c r="Q720" s="833">
        <f>R713</f>
        <v>0.02</v>
      </c>
      <c r="R720" s="797"/>
      <c r="S720" s="797"/>
      <c r="T720" s="798" t="s">
        <v>350</v>
      </c>
      <c r="U720" s="230" t="s">
        <v>426</v>
      </c>
      <c r="V720" s="97"/>
    </row>
    <row r="721" spans="1:22" ht="18" hidden="1" customHeight="1">
      <c r="A721" s="827"/>
      <c r="B721" s="802"/>
      <c r="C721" s="802"/>
      <c r="D721" s="689"/>
      <c r="E721" s="689"/>
      <c r="F721" s="684"/>
      <c r="G721" s="684"/>
      <c r="H721" s="689"/>
      <c r="I721" s="689">
        <f>R703</f>
        <v>1200</v>
      </c>
      <c r="J721" s="723"/>
      <c r="K721" s="689"/>
      <c r="L721" s="802"/>
      <c r="M721" s="716"/>
      <c r="N721" s="729"/>
      <c r="O721" s="716"/>
      <c r="P721" s="689"/>
      <c r="Q721" s="28">
        <f>R710</f>
        <v>1</v>
      </c>
      <c r="R721" s="28" t="s">
        <v>315</v>
      </c>
      <c r="S721" s="28">
        <f>R710</f>
        <v>1</v>
      </c>
      <c r="T721" s="798"/>
      <c r="U721" s="14"/>
      <c r="V721" s="97"/>
    </row>
    <row r="722" spans="1:22" s="14" customFormat="1" ht="18" hidden="1" customHeight="1">
      <c r="A722" s="184"/>
      <c r="B722" s="30"/>
      <c r="C722" s="30"/>
      <c r="D722" s="30"/>
      <c r="E722" s="30"/>
      <c r="F722" s="30"/>
      <c r="G722" s="30"/>
      <c r="H722" s="30"/>
      <c r="I722" s="30"/>
      <c r="J722" s="30"/>
      <c r="K722" s="30"/>
      <c r="L722" s="244"/>
      <c r="M722" s="30"/>
      <c r="N722" s="30"/>
      <c r="O722" s="30"/>
      <c r="P722" s="30"/>
      <c r="Q722" s="30"/>
      <c r="R722" s="30"/>
      <c r="S722" s="30"/>
      <c r="T722" s="30"/>
      <c r="U722" s="30"/>
      <c r="V722" s="185"/>
    </row>
    <row r="723" spans="1:22" s="14" customFormat="1" ht="18" hidden="1" customHeight="1">
      <c r="A723" s="184"/>
      <c r="B723" s="30"/>
      <c r="C723" s="30" t="s">
        <v>127</v>
      </c>
      <c r="D723" s="812">
        <f>D720*F720*(I720/I721)*(M720+O720+(Q720/(Q721*S721)))</f>
        <v>71.113485797761399</v>
      </c>
      <c r="E723" s="813"/>
      <c r="F723" s="30" t="s">
        <v>305</v>
      </c>
      <c r="G723" s="30"/>
      <c r="H723" s="30"/>
      <c r="I723" s="30"/>
      <c r="J723" s="30"/>
      <c r="K723" s="30"/>
      <c r="L723" s="244"/>
      <c r="M723" s="30"/>
      <c r="N723" s="30"/>
      <c r="O723" s="30"/>
      <c r="P723" s="30"/>
      <c r="Q723" s="30"/>
      <c r="R723" s="30"/>
      <c r="S723" s="30"/>
      <c r="T723" s="30"/>
      <c r="U723" s="30"/>
      <c r="V723" s="185"/>
    </row>
    <row r="724" spans="1:22" s="14" customFormat="1" ht="18" hidden="1" customHeight="1">
      <c r="A724" s="184"/>
      <c r="B724" s="30"/>
      <c r="C724" s="30"/>
      <c r="D724" s="30"/>
      <c r="E724" s="30"/>
      <c r="F724" s="30"/>
      <c r="G724" s="30"/>
      <c r="H724" s="30"/>
      <c r="I724" s="30"/>
      <c r="J724" s="30"/>
      <c r="K724" s="30"/>
      <c r="L724" s="244"/>
      <c r="M724" s="30"/>
      <c r="N724" s="30"/>
      <c r="O724" s="30"/>
      <c r="P724" s="30"/>
      <c r="Q724" s="30"/>
      <c r="R724" s="30"/>
      <c r="S724" s="30"/>
      <c r="T724" s="30"/>
      <c r="U724" s="30"/>
      <c r="V724" s="185"/>
    </row>
    <row r="725" spans="1:22" s="14" customFormat="1" ht="18" hidden="1" customHeight="1">
      <c r="A725" s="799" t="s">
        <v>417</v>
      </c>
      <c r="B725" s="802"/>
      <c r="C725" s="802"/>
      <c r="D725" s="689"/>
      <c r="E725" s="689"/>
      <c r="F725" s="689" t="str">
        <f>R707</f>
        <v>-</v>
      </c>
      <c r="G725" s="684"/>
      <c r="H725" s="689" t="s">
        <v>315</v>
      </c>
      <c r="I725" s="708">
        <f>R709</f>
        <v>1</v>
      </c>
      <c r="J725" s="828"/>
      <c r="K725" s="689" t="s">
        <v>315</v>
      </c>
      <c r="L725" s="802" t="s">
        <v>419</v>
      </c>
      <c r="M725" s="716">
        <f>R711</f>
        <v>5</v>
      </c>
      <c r="N725" s="729" t="s">
        <v>347</v>
      </c>
      <c r="O725" s="1214">
        <f>R712</f>
        <v>1.0770224400000001</v>
      </c>
      <c r="P725" s="689" t="s">
        <v>347</v>
      </c>
      <c r="Q725" s="833">
        <f>R713</f>
        <v>0.02</v>
      </c>
      <c r="R725" s="797"/>
      <c r="S725" s="797"/>
      <c r="T725" s="798" t="s">
        <v>350</v>
      </c>
      <c r="U725" s="230" t="s">
        <v>618</v>
      </c>
      <c r="V725" s="97"/>
    </row>
    <row r="726" spans="1:22" s="14" customFormat="1" ht="18" hidden="1" customHeight="1">
      <c r="A726" s="827"/>
      <c r="B726" s="802"/>
      <c r="C726" s="802"/>
      <c r="D726" s="689"/>
      <c r="E726" s="689"/>
      <c r="F726" s="684"/>
      <c r="G726" s="684"/>
      <c r="H726" s="689"/>
      <c r="I726" s="689">
        <f>R703</f>
        <v>1200</v>
      </c>
      <c r="J726" s="723"/>
      <c r="K726" s="689"/>
      <c r="L726" s="802"/>
      <c r="M726" s="716"/>
      <c r="N726" s="729"/>
      <c r="O726" s="716"/>
      <c r="P726" s="689"/>
      <c r="Q726" s="28">
        <f>R710</f>
        <v>1</v>
      </c>
      <c r="R726" s="28" t="s">
        <v>315</v>
      </c>
      <c r="S726" s="28">
        <f>R710</f>
        <v>1</v>
      </c>
      <c r="T726" s="798"/>
      <c r="V726" s="97"/>
    </row>
    <row r="727" spans="1:22" s="14" customFormat="1" ht="18" hidden="1" customHeight="1">
      <c r="A727" s="184"/>
      <c r="B727" s="30"/>
      <c r="C727" s="30"/>
      <c r="D727" s="30"/>
      <c r="E727" s="30"/>
      <c r="F727" s="30"/>
      <c r="G727" s="30"/>
      <c r="H727" s="30"/>
      <c r="I727" s="30"/>
      <c r="J727" s="30"/>
      <c r="K727" s="30"/>
      <c r="L727" s="30"/>
      <c r="M727" s="30"/>
      <c r="N727" s="30"/>
      <c r="O727" s="30"/>
      <c r="P727" s="30"/>
      <c r="Q727" s="30"/>
      <c r="R727" s="30"/>
      <c r="S727" s="30"/>
      <c r="T727" s="30"/>
      <c r="U727" s="30"/>
      <c r="V727" s="185"/>
    </row>
    <row r="728" spans="1:22" s="14" customFormat="1" ht="18" hidden="1" customHeight="1">
      <c r="A728" s="184"/>
      <c r="B728" s="30"/>
      <c r="C728" s="30" t="s">
        <v>127</v>
      </c>
      <c r="D728" s="812" t="e">
        <f>F725*(I725/I726)*(M725+O725+(Q725/(Q726*S726)))</f>
        <v>#VALUE!</v>
      </c>
      <c r="E728" s="813"/>
      <c r="F728" s="30" t="s">
        <v>305</v>
      </c>
      <c r="G728" s="187" t="s">
        <v>378</v>
      </c>
      <c r="H728" s="186" t="str">
        <f>IF(M700="y","Applicable","Not applicable")</f>
        <v>Not applicable</v>
      </c>
      <c r="I728" s="30"/>
      <c r="J728" s="30"/>
      <c r="K728" s="30"/>
      <c r="L728" s="30"/>
      <c r="M728" s="30"/>
      <c r="N728" s="30"/>
      <c r="O728" s="30"/>
      <c r="P728" s="30"/>
      <c r="Q728" s="30"/>
      <c r="R728" s="30"/>
      <c r="S728" s="30"/>
      <c r="T728" s="30"/>
      <c r="U728" s="30"/>
      <c r="V728" s="185"/>
    </row>
    <row r="729" spans="1:22" s="14" customFormat="1" ht="18" hidden="1" customHeight="1">
      <c r="A729" s="184"/>
      <c r="B729" s="30"/>
      <c r="C729" s="30"/>
      <c r="D729" s="30"/>
      <c r="E729" s="30"/>
      <c r="F729" s="30"/>
      <c r="G729" s="30"/>
      <c r="H729" s="30"/>
      <c r="I729" s="30"/>
      <c r="J729" s="30"/>
      <c r="K729" s="30"/>
      <c r="L729" s="30"/>
      <c r="M729" s="30"/>
      <c r="N729" s="30"/>
      <c r="O729" s="30"/>
      <c r="P729" s="30"/>
      <c r="Q729" s="30"/>
      <c r="R729" s="30"/>
      <c r="S729" s="30"/>
      <c r="T729" s="30"/>
      <c r="U729" s="30"/>
      <c r="V729" s="185"/>
    </row>
    <row r="730" spans="1:22" s="14" customFormat="1" ht="18" hidden="1" customHeight="1">
      <c r="A730" s="194"/>
      <c r="B730" s="195"/>
      <c r="C730" s="195"/>
      <c r="D730" s="195"/>
      <c r="E730" s="195"/>
      <c r="F730" s="195"/>
      <c r="G730" s="195"/>
      <c r="H730" s="195"/>
      <c r="I730" s="195"/>
      <c r="J730" s="195"/>
      <c r="K730" s="195"/>
      <c r="L730" s="195"/>
      <c r="M730" s="195"/>
      <c r="N730" s="195"/>
      <c r="O730" s="195"/>
      <c r="P730" s="195"/>
      <c r="Q730" s="224"/>
      <c r="R730" s="182"/>
      <c r="S730" s="225"/>
      <c r="T730" s="195"/>
      <c r="U730" s="195"/>
      <c r="V730" s="134"/>
    </row>
    <row r="731" spans="1:22" s="14" customFormat="1" ht="18" hidden="1" customHeight="1">
      <c r="A731" s="226"/>
      <c r="B731" s="227"/>
      <c r="C731" s="227"/>
      <c r="D731" s="227"/>
      <c r="E731" s="227"/>
      <c r="F731" s="227"/>
      <c r="G731" s="227"/>
      <c r="H731" s="227"/>
      <c r="I731" s="227"/>
      <c r="J731" s="227"/>
      <c r="K731" s="227"/>
      <c r="L731" s="227"/>
      <c r="M731" s="227"/>
      <c r="N731" s="227"/>
      <c r="O731" s="227"/>
      <c r="P731" s="227"/>
      <c r="Q731" s="227"/>
      <c r="R731" s="227"/>
      <c r="S731" s="227"/>
      <c r="T731" s="227"/>
      <c r="U731" s="227"/>
      <c r="V731" s="228"/>
    </row>
    <row r="732" spans="1:22" s="14" customFormat="1" ht="18" hidden="1" customHeight="1">
      <c r="A732" s="96" t="s">
        <v>640</v>
      </c>
      <c r="B732" s="30"/>
      <c r="C732" s="30"/>
      <c r="D732" s="30"/>
      <c r="E732" s="30"/>
      <c r="F732" s="30"/>
      <c r="G732" s="30"/>
      <c r="H732" s="30"/>
      <c r="I732" s="30"/>
      <c r="J732" s="30"/>
      <c r="K732" s="30"/>
      <c r="L732" s="30"/>
      <c r="M732" s="825">
        <f>R703</f>
        <v>1200</v>
      </c>
      <c r="N732" s="826"/>
      <c r="O732" s="30" t="s">
        <v>470</v>
      </c>
      <c r="P732" s="30"/>
      <c r="Q732" s="812">
        <f>IF(M700="Y",MAX(D718,D728),MAX(D718,D723))</f>
        <v>71.113485797761399</v>
      </c>
      <c r="R732" s="820"/>
      <c r="S732" s="30" t="s">
        <v>305</v>
      </c>
      <c r="T732" s="30"/>
      <c r="U732" s="30"/>
      <c r="V732" s="185"/>
    </row>
    <row r="733" spans="1:22" ht="18" hidden="1" customHeight="1">
      <c r="A733" s="184"/>
      <c r="M733" s="247"/>
      <c r="N733" s="247"/>
      <c r="Q733" s="211"/>
      <c r="R733" s="27"/>
      <c r="V733" s="185"/>
    </row>
    <row r="734" spans="1:22" ht="18" hidden="1" customHeight="1">
      <c r="A734" s="248" t="s">
        <v>471</v>
      </c>
      <c r="B734" s="14"/>
      <c r="C734" s="14"/>
      <c r="D734" s="249"/>
      <c r="E734" s="14"/>
      <c r="F734" s="14"/>
      <c r="G734" s="47"/>
      <c r="H734" s="14"/>
      <c r="J734" s="14"/>
      <c r="K734" s="14"/>
      <c r="L734" s="14"/>
      <c r="M734" s="14"/>
      <c r="N734" s="14"/>
      <c r="O734" s="14"/>
      <c r="P734" s="250"/>
      <c r="Q734" s="251"/>
      <c r="R734" s="47"/>
      <c r="S734" s="14"/>
      <c r="V734" s="185"/>
    </row>
    <row r="735" spans="1:22" ht="18" hidden="1" customHeight="1">
      <c r="A735" s="248"/>
      <c r="B735" s="14"/>
      <c r="C735" s="14"/>
      <c r="D735" s="249"/>
      <c r="E735" s="14"/>
      <c r="F735" s="14"/>
      <c r="G735" s="47"/>
      <c r="H735" s="14"/>
      <c r="J735" s="14"/>
      <c r="K735" s="14"/>
      <c r="L735" s="14"/>
      <c r="M735" s="14"/>
      <c r="N735" s="14"/>
      <c r="O735" s="14"/>
      <c r="P735" s="250"/>
      <c r="Q735" s="251"/>
      <c r="R735" s="47"/>
      <c r="S735" s="14"/>
      <c r="V735" s="185"/>
    </row>
    <row r="736" spans="1:22" ht="18" hidden="1" customHeight="1">
      <c r="A736" s="96" t="s">
        <v>641</v>
      </c>
      <c r="V736" s="185"/>
    </row>
    <row r="737" spans="1:22" ht="18" hidden="1" customHeight="1">
      <c r="A737" s="184"/>
      <c r="N737" s="14"/>
      <c r="O737" s="14" t="s">
        <v>473</v>
      </c>
      <c r="P737" s="268" t="s">
        <v>127</v>
      </c>
      <c r="Q737" s="249" t="s">
        <v>474</v>
      </c>
      <c r="R737" s="14"/>
      <c r="S737" s="28" t="s">
        <v>315</v>
      </c>
      <c r="T737" s="28">
        <v>0.8</v>
      </c>
      <c r="V737" s="185"/>
    </row>
    <row r="738" spans="1:22" ht="18" hidden="1" customHeight="1">
      <c r="A738" s="184"/>
      <c r="N738" s="252"/>
      <c r="O738" s="14"/>
      <c r="P738" s="268" t="s">
        <v>127</v>
      </c>
      <c r="Q738" s="829">
        <f>+Q732</f>
        <v>71.113485797761399</v>
      </c>
      <c r="R738" s="1147"/>
      <c r="S738" s="222" t="s">
        <v>315</v>
      </c>
      <c r="T738" s="253">
        <f>+T737</f>
        <v>0.8</v>
      </c>
      <c r="V738" s="185"/>
    </row>
    <row r="739" spans="1:22" ht="18" hidden="1" customHeight="1">
      <c r="A739" s="184"/>
      <c r="O739" s="14"/>
      <c r="P739" s="14" t="s">
        <v>127</v>
      </c>
      <c r="Q739" s="830">
        <f>Q738*T738</f>
        <v>56.890788638209123</v>
      </c>
      <c r="R739" s="1270"/>
      <c r="S739" s="47" t="s">
        <v>305</v>
      </c>
      <c r="T739" s="14"/>
      <c r="V739" s="185"/>
    </row>
    <row r="740" spans="1:22" ht="18" hidden="1" customHeight="1">
      <c r="A740" s="184"/>
      <c r="F740" s="28"/>
      <c r="G740" s="28"/>
      <c r="H740" s="14"/>
      <c r="V740" s="185"/>
    </row>
    <row r="741" spans="1:22" ht="18" hidden="1" customHeight="1">
      <c r="A741" s="184"/>
      <c r="D741" s="14" t="s">
        <v>642</v>
      </c>
      <c r="G741" s="27" t="str">
        <f>IF(E742&gt;H742,"&gt;","&lt;")</f>
        <v>&gt;</v>
      </c>
      <c r="H741" s="14" t="s">
        <v>643</v>
      </c>
      <c r="V741" s="185"/>
    </row>
    <row r="742" spans="1:22" s="14" customFormat="1" ht="18" hidden="1" customHeight="1">
      <c r="A742" s="184"/>
      <c r="B742" s="30"/>
      <c r="C742" s="30"/>
      <c r="D742" s="30"/>
      <c r="E742" s="684">
        <f>H655</f>
        <v>430</v>
      </c>
      <c r="F742" s="684"/>
      <c r="G742" s="27" t="str">
        <f>G741</f>
        <v>&gt;</v>
      </c>
      <c r="H742" s="795">
        <f>Q739</f>
        <v>56.890788638209123</v>
      </c>
      <c r="I742" s="684"/>
      <c r="J742" s="30"/>
      <c r="K742" s="30"/>
      <c r="L742" s="30"/>
      <c r="M742" s="30"/>
      <c r="N742" s="30"/>
      <c r="O742" s="30"/>
      <c r="P742" s="30"/>
      <c r="Q742" s="30"/>
      <c r="R742" s="30"/>
      <c r="S742" s="30"/>
      <c r="T742" s="30"/>
      <c r="U742" s="30"/>
      <c r="V742" s="185"/>
    </row>
    <row r="743" spans="1:22" ht="18" hidden="1" customHeight="1">
      <c r="A743" s="184"/>
      <c r="F743" s="244" t="s">
        <v>478</v>
      </c>
      <c r="H743" s="18" t="str">
        <f>IF(G741="&gt;","Suitably Dimensioned","Under Dimensioned")</f>
        <v>Suitably Dimensioned</v>
      </c>
      <c r="V743" s="185"/>
    </row>
    <row r="744" spans="1:22" ht="18" hidden="1" customHeight="1">
      <c r="A744" s="184"/>
      <c r="F744" s="244"/>
      <c r="H744" s="18"/>
      <c r="V744" s="185"/>
    </row>
    <row r="745" spans="1:22" ht="18" hidden="1" customHeight="1">
      <c r="A745" s="184"/>
      <c r="F745" s="244"/>
      <c r="H745" s="18"/>
      <c r="V745" s="185"/>
    </row>
    <row r="746" spans="1:22" ht="18" hidden="1" customHeight="1">
      <c r="A746" s="184"/>
      <c r="F746" s="244"/>
      <c r="H746" s="18"/>
      <c r="V746" s="185"/>
    </row>
    <row r="747" spans="1:22" ht="18" hidden="1" customHeight="1">
      <c r="A747" s="184"/>
      <c r="F747" s="244"/>
      <c r="H747" s="18"/>
      <c r="V747" s="185"/>
    </row>
    <row r="748" spans="1:22" ht="18" hidden="1" customHeight="1">
      <c r="A748" s="184"/>
      <c r="F748" s="244"/>
      <c r="H748" s="18"/>
      <c r="V748" s="185"/>
    </row>
    <row r="749" spans="1:22" ht="18" hidden="1" customHeight="1">
      <c r="A749" s="184"/>
      <c r="F749" s="244"/>
      <c r="H749" s="18"/>
      <c r="V749" s="185"/>
    </row>
    <row r="750" spans="1:22" ht="18" hidden="1" customHeight="1">
      <c r="A750" s="184"/>
      <c r="F750" s="244"/>
      <c r="H750" s="18"/>
      <c r="V750" s="185"/>
    </row>
    <row r="751" spans="1:22" ht="18" hidden="1" customHeight="1">
      <c r="A751" s="184"/>
      <c r="F751" s="244"/>
      <c r="H751" s="18"/>
      <c r="V751" s="185"/>
    </row>
    <row r="752" spans="1:22" ht="18" hidden="1" customHeight="1">
      <c r="A752" s="184"/>
      <c r="F752" s="244"/>
      <c r="H752" s="18"/>
      <c r="V752" s="185"/>
    </row>
    <row r="753" spans="1:22" ht="18" hidden="1" customHeight="1">
      <c r="A753" s="184"/>
      <c r="F753" s="244"/>
      <c r="H753" s="18"/>
      <c r="V753" s="185"/>
    </row>
    <row r="754" spans="1:22" ht="18" hidden="1" customHeight="1">
      <c r="A754" s="184"/>
      <c r="F754" s="244"/>
      <c r="H754" s="18"/>
      <c r="V754" s="185"/>
    </row>
    <row r="755" spans="1:22" ht="18" hidden="1" customHeight="1">
      <c r="A755" s="184"/>
      <c r="F755" s="244"/>
      <c r="H755" s="18"/>
      <c r="V755" s="185"/>
    </row>
    <row r="756" spans="1:22" ht="18" hidden="1" customHeight="1">
      <c r="A756" s="184"/>
      <c r="F756" s="244"/>
      <c r="H756" s="18"/>
      <c r="V756" s="185"/>
    </row>
    <row r="757" spans="1:22" ht="18" hidden="1" customHeight="1">
      <c r="A757" s="184"/>
      <c r="F757" s="244"/>
      <c r="H757" s="18"/>
      <c r="V757" s="185"/>
    </row>
    <row r="758" spans="1:22" ht="18" hidden="1" customHeight="1">
      <c r="A758" s="184"/>
      <c r="F758" s="244"/>
      <c r="H758" s="18"/>
      <c r="V758" s="185"/>
    </row>
    <row r="759" spans="1:22" ht="18" hidden="1" customHeight="1">
      <c r="A759" s="184"/>
      <c r="F759" s="244"/>
      <c r="H759" s="18"/>
      <c r="V759" s="185"/>
    </row>
    <row r="760" spans="1:22" ht="18" hidden="1" customHeight="1">
      <c r="A760" s="184"/>
      <c r="F760" s="244"/>
      <c r="H760" s="18"/>
      <c r="V760" s="185"/>
    </row>
    <row r="761" spans="1:22" ht="18" hidden="1" customHeight="1">
      <c r="A761" s="184"/>
      <c r="F761" s="244"/>
      <c r="H761" s="18"/>
      <c r="V761" s="185"/>
    </row>
    <row r="762" spans="1:22" ht="18" hidden="1" customHeight="1">
      <c r="A762" s="184"/>
      <c r="F762" s="244"/>
      <c r="H762" s="18"/>
      <c r="V762" s="185"/>
    </row>
    <row r="763" spans="1:22" ht="18" hidden="1" customHeight="1">
      <c r="A763" s="184"/>
      <c r="F763" s="244"/>
      <c r="H763" s="18"/>
      <c r="V763" s="185"/>
    </row>
    <row r="764" spans="1:22" ht="18" hidden="1" customHeight="1">
      <c r="A764" s="184"/>
      <c r="V764" s="185"/>
    </row>
    <row r="765" spans="1:22" ht="18" hidden="1" customHeight="1">
      <c r="A765" s="184"/>
      <c r="V765" s="185"/>
    </row>
    <row r="766" spans="1:22" ht="18" hidden="1" customHeight="1">
      <c r="A766" s="184"/>
      <c r="V766" s="185"/>
    </row>
    <row r="767" spans="1:22" ht="18" hidden="1" customHeight="1">
      <c r="A767" s="184"/>
      <c r="V767" s="185"/>
    </row>
    <row r="768" spans="1:22" ht="18" hidden="1" customHeight="1">
      <c r="A768" s="184"/>
      <c r="V768" s="185"/>
    </row>
    <row r="769" spans="1:22" ht="18" hidden="1" customHeight="1">
      <c r="A769" s="184"/>
      <c r="V769" s="185"/>
    </row>
    <row r="770" spans="1:22" ht="18" hidden="1" customHeight="1">
      <c r="A770" s="184"/>
      <c r="V770" s="185"/>
    </row>
    <row r="771" spans="1:22" ht="18" hidden="1" customHeight="1">
      <c r="A771" s="184"/>
      <c r="V771" s="185"/>
    </row>
    <row r="772" spans="1:22" ht="18" hidden="1" customHeight="1">
      <c r="A772" s="184"/>
      <c r="V772" s="185"/>
    </row>
    <row r="773" spans="1:22" ht="18" hidden="1" customHeight="1">
      <c r="A773" s="184"/>
      <c r="V773" s="185"/>
    </row>
    <row r="774" spans="1:22" ht="18" hidden="1" customHeight="1">
      <c r="A774" s="194"/>
      <c r="B774" s="195"/>
      <c r="C774" s="195"/>
      <c r="D774" s="195"/>
      <c r="E774" s="195"/>
      <c r="F774" s="195"/>
      <c r="G774" s="195"/>
      <c r="H774" s="195"/>
      <c r="I774" s="195"/>
      <c r="J774" s="195"/>
      <c r="K774" s="195"/>
      <c r="L774" s="195"/>
      <c r="M774" s="195"/>
      <c r="N774" s="195"/>
      <c r="O774" s="195"/>
      <c r="P774" s="195"/>
      <c r="Q774" s="224"/>
      <c r="R774" s="182"/>
      <c r="S774" s="225"/>
      <c r="T774" s="195"/>
      <c r="U774" s="195"/>
      <c r="V774" s="134"/>
    </row>
    <row r="775" spans="1:22" ht="18" hidden="1" customHeight="1">
      <c r="A775" s="226"/>
      <c r="B775" s="227"/>
      <c r="C775" s="227"/>
      <c r="D775" s="227"/>
      <c r="E775" s="227"/>
      <c r="F775" s="227"/>
      <c r="G775" s="227"/>
      <c r="H775" s="227"/>
      <c r="I775" s="227"/>
      <c r="J775" s="227"/>
      <c r="K775" s="227"/>
      <c r="L775" s="227"/>
      <c r="M775" s="227"/>
      <c r="N775" s="227"/>
      <c r="O775" s="227"/>
      <c r="P775" s="227"/>
      <c r="Q775" s="227"/>
      <c r="R775" s="227"/>
      <c r="S775" s="227"/>
      <c r="T775" s="227"/>
      <c r="U775" s="227"/>
      <c r="V775" s="228"/>
    </row>
    <row r="776" spans="1:22" ht="18" hidden="1" customHeight="1">
      <c r="A776" s="184"/>
      <c r="B776" s="854" t="str">
        <f>B649</f>
        <v>BCT13,14,15</v>
      </c>
      <c r="C776" s="831"/>
      <c r="D776" s="855" t="str">
        <f>D649</f>
        <v>Core2</v>
      </c>
      <c r="E776" s="856"/>
      <c r="F776" s="186" t="s">
        <v>636</v>
      </c>
      <c r="H776" s="684" t="str">
        <f>H649</f>
        <v>(Multi Func. Trans. Protection +HV REF)</v>
      </c>
      <c r="I776" s="684"/>
      <c r="J776" s="684"/>
      <c r="K776" s="684"/>
      <c r="L776" s="684"/>
      <c r="M776" s="684"/>
      <c r="P776" s="186"/>
      <c r="S776" s="187" t="s">
        <v>387</v>
      </c>
      <c r="T776" s="854" t="str">
        <f>T649</f>
        <v>RET670</v>
      </c>
      <c r="U776" s="831"/>
      <c r="V776" s="185"/>
    </row>
    <row r="777" spans="1:22" ht="18" hidden="1" customHeight="1">
      <c r="A777" s="184"/>
      <c r="B777" s="853">
        <f>B650</f>
        <v>0</v>
      </c>
      <c r="C777" s="853"/>
      <c r="D777" s="857"/>
      <c r="E777" s="858"/>
      <c r="F777" s="255"/>
      <c r="T777" s="854">
        <f>T650</f>
        <v>0</v>
      </c>
      <c r="U777" s="831"/>
      <c r="V777" s="185"/>
    </row>
    <row r="778" spans="1:22" ht="18" hidden="1" customHeight="1">
      <c r="A778" s="184"/>
      <c r="H778" s="708" t="s">
        <v>390</v>
      </c>
      <c r="I778" s="708"/>
      <c r="J778" s="789" t="s">
        <v>391</v>
      </c>
      <c r="K778" s="789"/>
      <c r="L778" s="708" t="s">
        <v>392</v>
      </c>
      <c r="M778" s="708"/>
      <c r="T778" s="854">
        <f>T651</f>
        <v>0</v>
      </c>
      <c r="U778" s="831"/>
      <c r="V778" s="185"/>
    </row>
    <row r="779" spans="1:22" ht="18" hidden="1" customHeight="1">
      <c r="A779" s="184"/>
      <c r="B779" s="47" t="s">
        <v>393</v>
      </c>
      <c r="H779" s="854">
        <f>H652</f>
        <v>1200</v>
      </c>
      <c r="I779" s="831"/>
      <c r="J779" s="863" t="str">
        <f>J652</f>
        <v>-</v>
      </c>
      <c r="K779" s="864"/>
      <c r="L779" s="854" t="str">
        <f>L652</f>
        <v>-</v>
      </c>
      <c r="M779" s="831"/>
      <c r="N779" s="102" t="s">
        <v>342</v>
      </c>
      <c r="O779" s="256">
        <f>O652</f>
        <v>1</v>
      </c>
      <c r="P779" s="27" t="s">
        <v>8</v>
      </c>
      <c r="V779" s="185"/>
    </row>
    <row r="780" spans="1:22" ht="18" hidden="1" customHeight="1">
      <c r="A780" s="184"/>
      <c r="B780" s="47" t="s">
        <v>394</v>
      </c>
      <c r="H780" s="14"/>
      <c r="I780" s="14"/>
      <c r="J780" s="854" t="str">
        <f>H653</f>
        <v>TPS</v>
      </c>
      <c r="K780" s="831"/>
      <c r="L780" s="14"/>
      <c r="M780" s="14"/>
      <c r="V780" s="185"/>
    </row>
    <row r="781" spans="1:22" ht="18" hidden="1" customHeight="1">
      <c r="A781" s="184"/>
      <c r="B781" s="47" t="s">
        <v>396</v>
      </c>
      <c r="I781" s="120" t="s">
        <v>497</v>
      </c>
      <c r="J781" s="781" t="s">
        <v>6</v>
      </c>
      <c r="K781" s="782"/>
      <c r="L781" s="192" t="s">
        <v>333</v>
      </c>
      <c r="V781" s="185"/>
    </row>
    <row r="782" spans="1:22" ht="18" hidden="1" customHeight="1">
      <c r="A782" s="184"/>
      <c r="B782" s="47" t="s">
        <v>398</v>
      </c>
      <c r="I782" s="120" t="s">
        <v>498</v>
      </c>
      <c r="J782" s="781" t="s">
        <v>6</v>
      </c>
      <c r="K782" s="782"/>
      <c r="L782" s="14" t="s">
        <v>305</v>
      </c>
      <c r="V782" s="185"/>
    </row>
    <row r="783" spans="1:22" ht="18" hidden="1" customHeight="1">
      <c r="A783" s="184"/>
      <c r="B783" s="14" t="s">
        <v>401</v>
      </c>
      <c r="I783" s="120" t="s">
        <v>402</v>
      </c>
      <c r="J783" s="781" t="s">
        <v>6</v>
      </c>
      <c r="K783" s="782"/>
      <c r="L783" s="14" t="s">
        <v>403</v>
      </c>
      <c r="V783" s="185"/>
    </row>
    <row r="784" spans="1:22" ht="18" hidden="1" customHeight="1">
      <c r="A784" s="184"/>
      <c r="V784" s="185"/>
    </row>
    <row r="785" spans="1:22" ht="18" hidden="1" customHeight="1">
      <c r="A785" s="193" t="s">
        <v>404</v>
      </c>
      <c r="V785" s="185"/>
    </row>
    <row r="786" spans="1:22" ht="18" hidden="1" customHeight="1">
      <c r="A786" s="184"/>
      <c r="V786" s="185"/>
    </row>
    <row r="787" spans="1:22" ht="18" hidden="1" customHeight="1">
      <c r="A787" s="184"/>
      <c r="B787" s="194" t="s">
        <v>405</v>
      </c>
      <c r="C787" s="195"/>
      <c r="D787" s="195" t="str">
        <f>T776</f>
        <v>RET670</v>
      </c>
      <c r="E787" s="196"/>
      <c r="F787" s="196"/>
      <c r="G787" s="196"/>
      <c r="H787" s="182" t="s">
        <v>406</v>
      </c>
      <c r="I787" s="183" t="s">
        <v>127</v>
      </c>
      <c r="J787" s="1276">
        <f>J660</f>
        <v>0.02</v>
      </c>
      <c r="K787" s="1144"/>
      <c r="L787" s="3" t="s">
        <v>157</v>
      </c>
      <c r="N787" s="197" t="s">
        <v>407</v>
      </c>
      <c r="V787" s="185"/>
    </row>
    <row r="788" spans="1:22" ht="18" hidden="1" customHeight="1">
      <c r="A788" s="184"/>
      <c r="B788" s="96" t="s">
        <v>405</v>
      </c>
      <c r="D788" s="30">
        <f>T777</f>
        <v>0</v>
      </c>
      <c r="H788" s="27"/>
      <c r="I788" s="177"/>
      <c r="J788" s="1274">
        <f>J661</f>
        <v>0</v>
      </c>
      <c r="K788" s="1275"/>
      <c r="L788" s="198" t="s">
        <v>157</v>
      </c>
      <c r="V788" s="185"/>
    </row>
    <row r="789" spans="1:22" ht="18" hidden="1" customHeight="1">
      <c r="A789" s="184"/>
      <c r="B789" s="96" t="s">
        <v>405</v>
      </c>
      <c r="D789" s="30">
        <f>T778</f>
        <v>0</v>
      </c>
      <c r="E789" s="14"/>
      <c r="G789" s="199"/>
      <c r="H789" s="27"/>
      <c r="I789" s="101"/>
      <c r="J789" s="696">
        <f>J662</f>
        <v>0</v>
      </c>
      <c r="K789" s="820"/>
      <c r="L789" s="202" t="s">
        <v>157</v>
      </c>
      <c r="N789" s="30" t="s">
        <v>408</v>
      </c>
      <c r="O789" s="27" t="s">
        <v>127</v>
      </c>
      <c r="P789" s="30" t="s">
        <v>409</v>
      </c>
      <c r="Q789" s="191" t="s">
        <v>410</v>
      </c>
      <c r="R789" s="244" t="s">
        <v>411</v>
      </c>
      <c r="S789" s="27" t="s">
        <v>315</v>
      </c>
      <c r="T789" s="30" t="s">
        <v>411</v>
      </c>
      <c r="U789" s="30" t="s">
        <v>350</v>
      </c>
      <c r="V789" s="185"/>
    </row>
    <row r="790" spans="1:22" ht="18" hidden="1" customHeight="1">
      <c r="A790" s="184"/>
      <c r="B790" s="184" t="s">
        <v>412</v>
      </c>
      <c r="H790" s="27" t="s">
        <v>599</v>
      </c>
      <c r="I790" s="177" t="s">
        <v>127</v>
      </c>
      <c r="J790" s="1274">
        <f>J663</f>
        <v>1.0770224400000001</v>
      </c>
      <c r="K790" s="1275"/>
      <c r="L790" s="203" t="s">
        <v>157</v>
      </c>
      <c r="O790" s="27" t="s">
        <v>127</v>
      </c>
      <c r="P790" s="204">
        <f>J791</f>
        <v>1.0770224400000001</v>
      </c>
      <c r="Q790" s="191" t="s">
        <v>410</v>
      </c>
      <c r="R790" s="27">
        <f>O779</f>
        <v>1</v>
      </c>
      <c r="S790" s="27" t="s">
        <v>315</v>
      </c>
      <c r="T790" s="27">
        <f>O779</f>
        <v>1</v>
      </c>
      <c r="U790" s="30" t="s">
        <v>350</v>
      </c>
      <c r="V790" s="185"/>
    </row>
    <row r="791" spans="1:22" s="14" customFormat="1" ht="18" hidden="1" customHeight="1">
      <c r="A791" s="184"/>
      <c r="B791" s="205" t="s">
        <v>413</v>
      </c>
      <c r="C791" s="206"/>
      <c r="D791" s="206"/>
      <c r="E791" s="206"/>
      <c r="F791" s="207"/>
      <c r="G791" s="207"/>
      <c r="H791" s="190" t="s">
        <v>409</v>
      </c>
      <c r="I791" s="208" t="s">
        <v>127</v>
      </c>
      <c r="J791" s="1276">
        <f>J788+J790</f>
        <v>1.0770224400000001</v>
      </c>
      <c r="K791" s="1144"/>
      <c r="L791" s="210" t="s">
        <v>157</v>
      </c>
      <c r="M791" s="30"/>
      <c r="N791" s="30"/>
      <c r="O791" s="27" t="s">
        <v>127</v>
      </c>
      <c r="P791" s="795">
        <f>P790/(R790*T790)</f>
        <v>1.0770224400000001</v>
      </c>
      <c r="Q791" s="795"/>
      <c r="R791" s="192" t="s">
        <v>333</v>
      </c>
      <c r="S791" s="30"/>
      <c r="T791" s="30"/>
      <c r="U791" s="30"/>
      <c r="V791" s="185"/>
    </row>
    <row r="792" spans="1:22" ht="18" hidden="1" customHeight="1">
      <c r="A792" s="184"/>
      <c r="V792" s="185"/>
    </row>
    <row r="793" spans="1:22" ht="18" hidden="1" customHeight="1">
      <c r="A793" s="193" t="s">
        <v>600</v>
      </c>
      <c r="B793" s="5"/>
      <c r="C793" s="5"/>
      <c r="D793" s="5"/>
      <c r="E793" s="5"/>
      <c r="F793" s="5"/>
      <c r="G793" s="5"/>
      <c r="H793" s="212"/>
      <c r="I793" s="212"/>
      <c r="J793" s="5"/>
      <c r="K793" s="5"/>
      <c r="L793" s="5"/>
      <c r="M793" s="5"/>
      <c r="N793" s="5"/>
      <c r="O793" s="5"/>
      <c r="P793" s="103"/>
      <c r="Q793" s="212"/>
      <c r="R793" s="213"/>
      <c r="S793" s="214"/>
      <c r="T793" s="18"/>
      <c r="U793" s="18"/>
      <c r="V793" s="97"/>
    </row>
    <row r="794" spans="1:22" ht="18" hidden="1" customHeight="1">
      <c r="A794" s="96"/>
      <c r="B794" s="47" t="s">
        <v>601</v>
      </c>
      <c r="C794" s="5"/>
      <c r="D794" s="5"/>
      <c r="E794" s="5"/>
      <c r="F794" s="14"/>
      <c r="G794" s="14"/>
      <c r="H794" s="14"/>
      <c r="I794" s="215"/>
      <c r="J794" s="14"/>
      <c r="K794" s="14"/>
      <c r="L794" s="14"/>
      <c r="M794" s="5"/>
      <c r="N794" s="14"/>
      <c r="O794" s="103" t="s">
        <v>127</v>
      </c>
      <c r="P794" s="853">
        <f>P667</f>
        <v>100</v>
      </c>
      <c r="Q794" s="1271"/>
      <c r="R794" s="14" t="s">
        <v>602</v>
      </c>
      <c r="S794" s="214"/>
      <c r="T794" s="18"/>
      <c r="U794" s="18"/>
      <c r="V794" s="97"/>
    </row>
    <row r="795" spans="1:22" ht="18" hidden="1" customHeight="1">
      <c r="A795" s="96"/>
      <c r="B795" s="47" t="s">
        <v>603</v>
      </c>
      <c r="C795" s="5"/>
      <c r="D795" s="5"/>
      <c r="E795" s="5"/>
      <c r="F795" s="14"/>
      <c r="G795" s="14"/>
      <c r="H795" s="14"/>
      <c r="I795" s="215"/>
      <c r="J795" s="14"/>
      <c r="K795" s="14"/>
      <c r="L795" s="14"/>
      <c r="M795" s="5"/>
      <c r="N795" s="14"/>
      <c r="O795" s="103" t="s">
        <v>127</v>
      </c>
      <c r="P795" s="853">
        <f>P668</f>
        <v>25</v>
      </c>
      <c r="Q795" s="1271"/>
      <c r="R795" s="14" t="s">
        <v>604</v>
      </c>
      <c r="S795" s="214"/>
      <c r="T795" s="18"/>
      <c r="U795" s="18"/>
      <c r="V795" s="97"/>
    </row>
    <row r="796" spans="1:22" ht="18" hidden="1" customHeight="1">
      <c r="A796" s="96"/>
      <c r="B796" s="47" t="s">
        <v>605</v>
      </c>
      <c r="C796" s="5"/>
      <c r="D796" s="5"/>
      <c r="E796" s="5"/>
      <c r="F796" s="14"/>
      <c r="G796" s="14"/>
      <c r="H796" s="14"/>
      <c r="I796" s="14"/>
      <c r="J796" s="14"/>
      <c r="K796" s="14"/>
      <c r="L796" s="14"/>
      <c r="M796" s="14"/>
      <c r="N796" s="120" t="s">
        <v>644</v>
      </c>
      <c r="O796" s="103" t="s">
        <v>607</v>
      </c>
      <c r="P796" s="854">
        <f>P669</f>
        <v>132</v>
      </c>
      <c r="Q796" s="1270"/>
      <c r="R796" s="14" t="s">
        <v>163</v>
      </c>
      <c r="S796" s="214"/>
      <c r="T796" s="18"/>
      <c r="U796" s="18"/>
      <c r="V796" s="97"/>
    </row>
    <row r="797" spans="1:22" ht="18" hidden="1" customHeight="1">
      <c r="A797" s="216"/>
      <c r="B797" s="212"/>
      <c r="C797" s="212"/>
      <c r="D797" s="212"/>
      <c r="E797" s="212"/>
      <c r="F797" s="14"/>
      <c r="G797" s="14"/>
      <c r="H797" s="14"/>
      <c r="I797" s="14"/>
      <c r="J797" s="14"/>
      <c r="K797" s="14"/>
      <c r="L797" s="14"/>
      <c r="M797" s="14"/>
      <c r="N797" s="14"/>
      <c r="O797" s="14"/>
      <c r="P797" s="14"/>
      <c r="Q797" s="14"/>
      <c r="R797" s="14"/>
      <c r="S797" s="14"/>
      <c r="T797" s="18"/>
      <c r="U797" s="18"/>
      <c r="V797" s="97"/>
    </row>
    <row r="798" spans="1:22" ht="18" hidden="1" customHeight="1">
      <c r="A798" s="96"/>
      <c r="B798" s="14" t="s">
        <v>608</v>
      </c>
      <c r="C798" s="213"/>
      <c r="D798" s="213"/>
      <c r="E798" s="213"/>
      <c r="F798" s="14"/>
      <c r="G798" s="14"/>
      <c r="H798" s="120" t="s">
        <v>609</v>
      </c>
      <c r="I798" s="28" t="s">
        <v>127</v>
      </c>
      <c r="J798" s="689" t="s">
        <v>610</v>
      </c>
      <c r="K798" s="689"/>
      <c r="L798" s="28" t="s">
        <v>315</v>
      </c>
      <c r="M798" s="217">
        <v>1000</v>
      </c>
      <c r="N798" s="102" t="s">
        <v>342</v>
      </c>
      <c r="O798" s="28" t="s">
        <v>611</v>
      </c>
      <c r="P798" s="28" t="s">
        <v>315</v>
      </c>
      <c r="Q798" s="28" t="s">
        <v>606</v>
      </c>
      <c r="R798" s="47"/>
      <c r="S798" s="14"/>
      <c r="T798" s="18"/>
      <c r="U798" s="18"/>
      <c r="V798" s="97"/>
    </row>
    <row r="799" spans="1:22" ht="18" hidden="1" customHeight="1">
      <c r="A799" s="216"/>
      <c r="B799" s="213"/>
      <c r="C799" s="213"/>
      <c r="D799" s="213"/>
      <c r="E799" s="213"/>
      <c r="F799" s="212"/>
      <c r="G799" s="212"/>
      <c r="H799" s="28"/>
      <c r="I799" s="28" t="s">
        <v>127</v>
      </c>
      <c r="J799" s="689">
        <f>P794</f>
        <v>100</v>
      </c>
      <c r="K799" s="689"/>
      <c r="L799" s="28" t="s">
        <v>315</v>
      </c>
      <c r="M799" s="217">
        <v>1000</v>
      </c>
      <c r="N799" s="102" t="s">
        <v>342</v>
      </c>
      <c r="O799" s="28" t="s">
        <v>611</v>
      </c>
      <c r="P799" s="28" t="s">
        <v>315</v>
      </c>
      <c r="Q799" s="28">
        <f>P796</f>
        <v>132</v>
      </c>
      <c r="R799" s="47"/>
      <c r="S799" s="14"/>
      <c r="T799" s="18"/>
      <c r="U799" s="18"/>
      <c r="V799" s="97"/>
    </row>
    <row r="800" spans="1:22" ht="18" hidden="1" customHeight="1">
      <c r="A800" s="216"/>
      <c r="B800" s="212"/>
      <c r="C800" s="212"/>
      <c r="D800" s="212"/>
      <c r="E800" s="212"/>
      <c r="F800" s="212"/>
      <c r="G800" s="212"/>
      <c r="H800" s="14"/>
      <c r="I800" s="28" t="s">
        <v>127</v>
      </c>
      <c r="J800" s="692">
        <f>(P794*1000)/(SQRT(3)*P796)</f>
        <v>437.38656756789834</v>
      </c>
      <c r="K800" s="692"/>
      <c r="L800" s="14" t="s">
        <v>8</v>
      </c>
      <c r="M800" s="120"/>
      <c r="N800" s="120"/>
      <c r="O800" s="120"/>
      <c r="P800" s="14"/>
      <c r="Q800" s="14"/>
      <c r="R800" s="14"/>
      <c r="S800" s="14"/>
      <c r="T800" s="18"/>
      <c r="U800" s="18"/>
      <c r="V800" s="97"/>
    </row>
    <row r="801" spans="1:22" ht="18" hidden="1" customHeight="1">
      <c r="A801" s="216"/>
      <c r="B801" s="212"/>
      <c r="C801" s="212"/>
      <c r="D801" s="212"/>
      <c r="E801" s="212"/>
      <c r="F801" s="14"/>
      <c r="G801" s="212"/>
      <c r="H801" s="28"/>
      <c r="I801" s="103"/>
      <c r="J801" s="28"/>
      <c r="K801" s="14"/>
      <c r="L801" s="14"/>
      <c r="M801" s="212"/>
      <c r="N801" s="219"/>
      <c r="O801" s="212"/>
      <c r="P801" s="14"/>
      <c r="Q801" s="14"/>
      <c r="R801" s="14"/>
      <c r="S801" s="14"/>
      <c r="T801" s="18"/>
      <c r="U801" s="18"/>
      <c r="V801" s="97"/>
    </row>
    <row r="802" spans="1:22" ht="18" hidden="1" customHeight="1">
      <c r="A802" s="147" t="s">
        <v>629</v>
      </c>
      <c r="B802" s="5"/>
      <c r="C802" s="5"/>
      <c r="D802" s="5"/>
      <c r="E802" s="5"/>
      <c r="F802" s="212"/>
      <c r="G802" s="212"/>
      <c r="H802" s="5"/>
      <c r="I802" s="5"/>
      <c r="J802" s="5"/>
      <c r="K802" s="5"/>
      <c r="L802" s="103"/>
      <c r="M802" s="103"/>
      <c r="N802" s="103"/>
      <c r="O802" s="103"/>
      <c r="P802" s="212"/>
      <c r="Q802" s="213"/>
      <c r="R802" s="14"/>
      <c r="S802" s="220"/>
      <c r="T802" s="18"/>
      <c r="U802" s="18"/>
      <c r="V802" s="97"/>
    </row>
    <row r="803" spans="1:22" ht="18" hidden="1" customHeight="1">
      <c r="A803" s="147"/>
      <c r="B803" s="5"/>
      <c r="C803" s="5"/>
      <c r="D803" s="5"/>
      <c r="E803" s="5"/>
      <c r="F803" s="212"/>
      <c r="G803" s="212"/>
      <c r="H803" s="5"/>
      <c r="I803" s="5"/>
      <c r="J803" s="5"/>
      <c r="K803" s="5"/>
      <c r="L803" s="103"/>
      <c r="M803" s="103"/>
      <c r="N803" s="103"/>
      <c r="O803" s="103"/>
      <c r="P803" s="212"/>
      <c r="Q803" s="213"/>
      <c r="R803" s="14"/>
      <c r="S803" s="214"/>
      <c r="T803" s="18"/>
      <c r="U803" s="18"/>
      <c r="V803" s="97"/>
    </row>
    <row r="804" spans="1:22" ht="18" hidden="1" customHeight="1">
      <c r="A804" s="184"/>
      <c r="B804" s="14" t="s">
        <v>612</v>
      </c>
      <c r="C804" s="14"/>
      <c r="D804" s="14"/>
      <c r="E804" s="14"/>
      <c r="M804" s="120" t="s">
        <v>613</v>
      </c>
      <c r="N804" s="28" t="s">
        <v>127</v>
      </c>
      <c r="O804" s="689" t="s">
        <v>609</v>
      </c>
      <c r="P804" s="716"/>
      <c r="Q804" s="221" t="s">
        <v>630</v>
      </c>
      <c r="R804" s="221">
        <v>16</v>
      </c>
      <c r="S804" s="214"/>
      <c r="V804" s="185"/>
    </row>
    <row r="805" spans="1:22" ht="18" hidden="1" customHeight="1">
      <c r="A805" s="96"/>
      <c r="B805" s="5"/>
      <c r="C805" s="5"/>
      <c r="D805" s="5"/>
      <c r="E805" s="5"/>
      <c r="M805" s="250"/>
      <c r="N805" s="28" t="s">
        <v>127</v>
      </c>
      <c r="O805" s="689">
        <f>+J800</f>
        <v>437.38656756789834</v>
      </c>
      <c r="P805" s="716"/>
      <c r="Q805" s="221" t="s">
        <v>630</v>
      </c>
      <c r="R805" s="221">
        <v>16</v>
      </c>
      <c r="S805" s="214"/>
      <c r="V805" s="185"/>
    </row>
    <row r="806" spans="1:22" ht="18" hidden="1" customHeight="1">
      <c r="A806" s="96"/>
      <c r="B806" s="5"/>
      <c r="C806" s="5"/>
      <c r="D806" s="5"/>
      <c r="E806" s="5"/>
      <c r="M806" s="120" t="s">
        <v>613</v>
      </c>
      <c r="N806" s="28" t="s">
        <v>127</v>
      </c>
      <c r="O806" s="689">
        <f>O805*R805</f>
        <v>6998.1850810863734</v>
      </c>
      <c r="P806" s="716"/>
      <c r="Q806" s="241" t="s">
        <v>8</v>
      </c>
      <c r="R806" s="14"/>
      <c r="S806" s="214"/>
      <c r="V806" s="185"/>
    </row>
    <row r="807" spans="1:22" ht="18" hidden="1" customHeight="1">
      <c r="A807" s="96"/>
      <c r="B807" s="5"/>
      <c r="C807" s="5"/>
      <c r="D807" s="5"/>
      <c r="E807" s="5"/>
      <c r="M807" s="212"/>
      <c r="N807" s="212"/>
      <c r="O807" s="103"/>
      <c r="Q807" s="223"/>
      <c r="R807" s="14"/>
      <c r="S807" s="214"/>
      <c r="V807" s="185"/>
    </row>
    <row r="808" spans="1:22" ht="18" hidden="1" customHeight="1">
      <c r="A808" s="678" t="s">
        <v>633</v>
      </c>
      <c r="B808" s="1207"/>
      <c r="C808" s="1207"/>
      <c r="D808" s="1207"/>
      <c r="E808" s="1207"/>
      <c r="F808" s="1207"/>
      <c r="G808" s="1207"/>
      <c r="H808" s="1207"/>
      <c r="I808" s="1207"/>
      <c r="J808" s="1207"/>
      <c r="K808" s="1207"/>
      <c r="L808" s="1207"/>
      <c r="M808" s="1207"/>
      <c r="N808" s="1207"/>
      <c r="O808" s="1207"/>
      <c r="P808" s="1207"/>
      <c r="Q808" s="1207"/>
      <c r="R808" s="1207"/>
      <c r="S808" s="1207"/>
      <c r="T808" s="1207"/>
      <c r="U808" s="1207"/>
      <c r="V808" s="1208"/>
    </row>
    <row r="809" spans="1:22" ht="18" hidden="1" customHeight="1">
      <c r="A809" s="1209"/>
      <c r="B809" s="1207"/>
      <c r="C809" s="1207"/>
      <c r="D809" s="1207"/>
      <c r="E809" s="1207"/>
      <c r="F809" s="1207"/>
      <c r="G809" s="1207"/>
      <c r="H809" s="1207"/>
      <c r="I809" s="1207"/>
      <c r="J809" s="1207"/>
      <c r="K809" s="1207"/>
      <c r="L809" s="1207"/>
      <c r="M809" s="1207"/>
      <c r="N809" s="1207"/>
      <c r="O809" s="1207"/>
      <c r="P809" s="1207"/>
      <c r="Q809" s="1207"/>
      <c r="R809" s="1207"/>
      <c r="S809" s="1207"/>
      <c r="T809" s="1207"/>
      <c r="U809" s="1207"/>
      <c r="V809" s="1208"/>
    </row>
    <row r="810" spans="1:22" ht="18" hidden="1" customHeight="1">
      <c r="A810" s="231"/>
      <c r="B810" s="232"/>
      <c r="C810" s="232"/>
      <c r="D810" s="232"/>
      <c r="E810" s="232"/>
      <c r="F810" s="232"/>
      <c r="G810" s="232"/>
      <c r="H810" s="232"/>
      <c r="I810" s="232"/>
      <c r="J810" s="232"/>
      <c r="K810" s="232"/>
      <c r="L810" s="232"/>
      <c r="M810" s="232"/>
      <c r="N810" s="232"/>
      <c r="O810" s="232"/>
      <c r="P810" s="232"/>
      <c r="Q810" s="232"/>
      <c r="R810" s="232"/>
      <c r="S810" s="232"/>
      <c r="T810" s="232"/>
      <c r="U810" s="232"/>
      <c r="V810" s="233"/>
    </row>
    <row r="811" spans="1:22" ht="18" hidden="1" customHeight="1">
      <c r="A811" s="231"/>
      <c r="B811" s="232"/>
      <c r="C811" s="232"/>
      <c r="D811" s="232"/>
      <c r="E811" s="232"/>
      <c r="F811" s="232"/>
      <c r="G811" s="232"/>
      <c r="H811" s="232"/>
      <c r="I811" s="232"/>
      <c r="J811" s="232"/>
      <c r="K811" s="232"/>
      <c r="L811" s="232"/>
      <c r="M811" s="232"/>
      <c r="N811" s="232"/>
      <c r="O811" s="232"/>
      <c r="P811" s="232"/>
      <c r="Q811" s="232"/>
      <c r="R811" s="232"/>
      <c r="S811" s="232"/>
      <c r="T811" s="232"/>
      <c r="U811" s="232"/>
      <c r="V811" s="233"/>
    </row>
    <row r="812" spans="1:22" ht="18" hidden="1" customHeight="1">
      <c r="A812" s="231"/>
      <c r="B812" s="232"/>
      <c r="C812" s="232"/>
      <c r="D812" s="232"/>
      <c r="E812" s="232"/>
      <c r="F812" s="232"/>
      <c r="G812" s="232"/>
      <c r="H812" s="232"/>
      <c r="I812" s="232"/>
      <c r="J812" s="232"/>
      <c r="K812" s="232"/>
      <c r="L812" s="232"/>
      <c r="M812" s="232"/>
      <c r="N812" s="232"/>
      <c r="O812" s="232"/>
      <c r="P812" s="232"/>
      <c r="Q812" s="232"/>
      <c r="R812" s="232"/>
      <c r="S812" s="232"/>
      <c r="T812" s="232"/>
      <c r="U812" s="232"/>
      <c r="V812" s="233"/>
    </row>
    <row r="813" spans="1:22" ht="18" hidden="1" customHeight="1">
      <c r="A813" s="231"/>
      <c r="B813" s="232"/>
      <c r="C813" s="232"/>
      <c r="D813" s="232"/>
      <c r="E813" s="232"/>
      <c r="F813" s="232"/>
      <c r="G813" s="232"/>
      <c r="H813" s="232"/>
      <c r="I813" s="232"/>
      <c r="J813" s="232"/>
      <c r="K813" s="232"/>
      <c r="L813" s="232"/>
      <c r="M813" s="232"/>
      <c r="N813" s="232"/>
      <c r="O813" s="232"/>
      <c r="P813" s="232"/>
      <c r="Q813" s="232"/>
      <c r="R813" s="232"/>
      <c r="S813" s="232"/>
      <c r="T813" s="232"/>
      <c r="U813" s="232"/>
      <c r="V813" s="233"/>
    </row>
    <row r="814" spans="1:22" ht="18" hidden="1" customHeight="1">
      <c r="A814" s="231"/>
      <c r="B814" s="232"/>
      <c r="C814" s="232"/>
      <c r="D814" s="232"/>
      <c r="E814" s="232"/>
      <c r="F814" s="232"/>
      <c r="G814" s="232"/>
      <c r="H814" s="232"/>
      <c r="I814" s="232"/>
      <c r="J814" s="232"/>
      <c r="K814" s="232"/>
      <c r="L814" s="232"/>
      <c r="M814" s="232"/>
      <c r="N814" s="232"/>
      <c r="O814" s="232"/>
      <c r="P814" s="232"/>
      <c r="Q814" s="232"/>
      <c r="R814" s="232"/>
      <c r="S814" s="232"/>
      <c r="T814" s="232"/>
      <c r="U814" s="232"/>
      <c r="V814" s="233"/>
    </row>
    <row r="815" spans="1:22" ht="18" hidden="1" customHeight="1">
      <c r="A815" s="96"/>
      <c r="B815" s="5"/>
      <c r="C815" s="5"/>
      <c r="D815" s="5"/>
      <c r="E815" s="5"/>
      <c r="M815" s="212"/>
      <c r="N815" s="212"/>
      <c r="O815" s="103"/>
      <c r="Q815" s="223"/>
      <c r="R815" s="14"/>
      <c r="S815" s="214"/>
      <c r="V815" s="185"/>
    </row>
    <row r="816" spans="1:22" ht="18" hidden="1" customHeight="1">
      <c r="A816" s="184"/>
      <c r="V816" s="185"/>
    </row>
    <row r="817" spans="1:22" ht="18" hidden="1" customHeight="1">
      <c r="A817" s="184"/>
      <c r="V817" s="185"/>
    </row>
    <row r="818" spans="1:22" ht="18" hidden="1" customHeight="1">
      <c r="A818" s="194"/>
      <c r="B818" s="195"/>
      <c r="C818" s="195"/>
      <c r="D818" s="195"/>
      <c r="E818" s="195"/>
      <c r="F818" s="195"/>
      <c r="G818" s="195"/>
      <c r="H818" s="195"/>
      <c r="I818" s="195"/>
      <c r="J818" s="195"/>
      <c r="K818" s="195"/>
      <c r="L818" s="195"/>
      <c r="M818" s="195"/>
      <c r="N818" s="195"/>
      <c r="O818" s="195"/>
      <c r="P818" s="195"/>
      <c r="Q818" s="224"/>
      <c r="R818" s="182"/>
      <c r="S818" s="225"/>
      <c r="T818" s="195"/>
      <c r="U818" s="195"/>
      <c r="V818" s="134"/>
    </row>
    <row r="819" spans="1:22" ht="18" hidden="1" customHeight="1">
      <c r="A819" s="226"/>
      <c r="B819" s="227"/>
      <c r="C819" s="227"/>
      <c r="D819" s="227"/>
      <c r="E819" s="227"/>
      <c r="F819" s="227"/>
      <c r="G819" s="227"/>
      <c r="H819" s="227"/>
      <c r="I819" s="227"/>
      <c r="J819" s="227"/>
      <c r="K819" s="227"/>
      <c r="L819" s="227"/>
      <c r="M819" s="227"/>
      <c r="N819" s="227"/>
      <c r="O819" s="227"/>
      <c r="P819" s="227"/>
      <c r="Q819" s="227"/>
      <c r="R819" s="227"/>
      <c r="S819" s="227"/>
      <c r="T819" s="227"/>
      <c r="U819" s="227"/>
      <c r="V819" s="228"/>
    </row>
    <row r="820" spans="1:22" ht="18" hidden="1" customHeight="1">
      <c r="A820" s="799" t="s">
        <v>417</v>
      </c>
      <c r="B820" s="802"/>
      <c r="C820" s="802"/>
      <c r="D820" s="689">
        <v>30</v>
      </c>
      <c r="E820" s="689" t="s">
        <v>315</v>
      </c>
      <c r="F820" s="689" t="s">
        <v>609</v>
      </c>
      <c r="G820" s="684"/>
      <c r="H820" s="689" t="s">
        <v>315</v>
      </c>
      <c r="I820" s="708" t="s">
        <v>411</v>
      </c>
      <c r="J820" s="828"/>
      <c r="K820" s="689" t="s">
        <v>315</v>
      </c>
      <c r="L820" s="802" t="s">
        <v>419</v>
      </c>
      <c r="M820" s="716" t="s">
        <v>420</v>
      </c>
      <c r="N820" s="729" t="s">
        <v>347</v>
      </c>
      <c r="O820" s="716" t="s">
        <v>408</v>
      </c>
      <c r="P820" s="689" t="s">
        <v>347</v>
      </c>
      <c r="Q820" s="759" t="s">
        <v>421</v>
      </c>
      <c r="R820" s="797"/>
      <c r="S820" s="797"/>
      <c r="T820" s="798" t="s">
        <v>350</v>
      </c>
      <c r="U820" s="230" t="s">
        <v>422</v>
      </c>
      <c r="V820" s="97"/>
    </row>
    <row r="821" spans="1:22" ht="18" hidden="1" customHeight="1">
      <c r="A821" s="827"/>
      <c r="B821" s="802"/>
      <c r="C821" s="802"/>
      <c r="D821" s="689"/>
      <c r="E821" s="689"/>
      <c r="F821" s="684"/>
      <c r="G821" s="684"/>
      <c r="H821" s="689"/>
      <c r="I821" s="689" t="s">
        <v>423</v>
      </c>
      <c r="J821" s="723"/>
      <c r="K821" s="689"/>
      <c r="L821" s="802"/>
      <c r="M821" s="716"/>
      <c r="N821" s="729"/>
      <c r="O821" s="716"/>
      <c r="P821" s="689"/>
      <c r="Q821" s="28" t="s">
        <v>146</v>
      </c>
      <c r="R821" s="28" t="s">
        <v>315</v>
      </c>
      <c r="S821" s="28" t="s">
        <v>146</v>
      </c>
      <c r="T821" s="798"/>
      <c r="U821" s="14"/>
      <c r="V821" s="97"/>
    </row>
    <row r="822" spans="1:22" ht="18" hidden="1" customHeight="1">
      <c r="A822" s="184"/>
      <c r="V822" s="185"/>
    </row>
    <row r="823" spans="1:22" ht="18" hidden="1" customHeight="1">
      <c r="A823" s="799" t="s">
        <v>417</v>
      </c>
      <c r="B823" s="802"/>
      <c r="C823" s="802"/>
      <c r="D823" s="689">
        <v>2</v>
      </c>
      <c r="E823" s="689" t="s">
        <v>315</v>
      </c>
      <c r="F823" s="689" t="s">
        <v>613</v>
      </c>
      <c r="G823" s="684"/>
      <c r="H823" s="689" t="s">
        <v>315</v>
      </c>
      <c r="I823" s="708" t="s">
        <v>411</v>
      </c>
      <c r="J823" s="828"/>
      <c r="K823" s="689" t="s">
        <v>315</v>
      </c>
      <c r="L823" s="802" t="s">
        <v>419</v>
      </c>
      <c r="M823" s="716" t="s">
        <v>420</v>
      </c>
      <c r="N823" s="729" t="s">
        <v>347</v>
      </c>
      <c r="O823" s="716" t="s">
        <v>408</v>
      </c>
      <c r="P823" s="689" t="s">
        <v>347</v>
      </c>
      <c r="Q823" s="759" t="s">
        <v>421</v>
      </c>
      <c r="R823" s="797"/>
      <c r="S823" s="797"/>
      <c r="T823" s="798" t="s">
        <v>350</v>
      </c>
      <c r="U823" s="230" t="s">
        <v>426</v>
      </c>
      <c r="V823" s="97"/>
    </row>
    <row r="824" spans="1:22" ht="18" hidden="1" customHeight="1">
      <c r="A824" s="827"/>
      <c r="B824" s="802"/>
      <c r="C824" s="802"/>
      <c r="D824" s="689"/>
      <c r="E824" s="689"/>
      <c r="F824" s="684"/>
      <c r="G824" s="684"/>
      <c r="H824" s="689"/>
      <c r="I824" s="689" t="s">
        <v>423</v>
      </c>
      <c r="J824" s="723"/>
      <c r="K824" s="689"/>
      <c r="L824" s="802"/>
      <c r="M824" s="716"/>
      <c r="N824" s="729"/>
      <c r="O824" s="716"/>
      <c r="P824" s="689"/>
      <c r="Q824" s="28" t="s">
        <v>146</v>
      </c>
      <c r="R824" s="28" t="s">
        <v>315</v>
      </c>
      <c r="S824" s="28" t="s">
        <v>146</v>
      </c>
      <c r="T824" s="798"/>
      <c r="U824" s="14"/>
      <c r="V824" s="97"/>
    </row>
    <row r="825" spans="1:22" ht="18" hidden="1" customHeight="1">
      <c r="A825" s="184"/>
      <c r="V825" s="185"/>
    </row>
    <row r="826" spans="1:22" ht="18" hidden="1" customHeight="1">
      <c r="A826" s="678" t="s">
        <v>616</v>
      </c>
      <c r="B826" s="1207"/>
      <c r="C826" s="1207"/>
      <c r="D826" s="1207"/>
      <c r="E826" s="1207"/>
      <c r="F826" s="1207"/>
      <c r="G826" s="1207"/>
      <c r="H826" s="1207"/>
      <c r="I826" s="1207"/>
      <c r="J826" s="1207"/>
      <c r="K826" s="1207"/>
      <c r="L826" s="1207"/>
      <c r="M826" s="1207"/>
      <c r="N826" s="1207"/>
      <c r="O826" s="1207"/>
      <c r="P826" s="1207"/>
      <c r="Q826" s="1207"/>
      <c r="R826" s="1207"/>
      <c r="S826" s="1207"/>
      <c r="T826" s="1207"/>
      <c r="U826" s="1207"/>
      <c r="V826" s="1208"/>
    </row>
    <row r="827" spans="1:22" ht="18" hidden="1" customHeight="1">
      <c r="A827" s="1209"/>
      <c r="B827" s="1207"/>
      <c r="C827" s="1207"/>
      <c r="D827" s="1207"/>
      <c r="E827" s="1207"/>
      <c r="F827" s="1207"/>
      <c r="G827" s="1207"/>
      <c r="H827" s="1207"/>
      <c r="I827" s="1207"/>
      <c r="J827" s="1207"/>
      <c r="K827" s="1207"/>
      <c r="L827" s="1207"/>
      <c r="M827" s="1207"/>
      <c r="N827" s="1207"/>
      <c r="O827" s="1207"/>
      <c r="P827" s="1207"/>
      <c r="Q827" s="1207"/>
      <c r="R827" s="1207"/>
      <c r="S827" s="1207"/>
      <c r="T827" s="1207"/>
      <c r="U827" s="1207"/>
      <c r="V827" s="1208"/>
    </row>
    <row r="828" spans="1:22" ht="18" hidden="1" customHeight="1">
      <c r="A828" s="231"/>
      <c r="B828" s="232"/>
      <c r="C828" s="232"/>
      <c r="D828" s="232"/>
      <c r="E828" s="232"/>
      <c r="F828" s="232"/>
      <c r="G828" s="232"/>
      <c r="H828" s="232"/>
      <c r="I828" s="232"/>
      <c r="J828" s="232"/>
      <c r="K828" s="232"/>
      <c r="L828" s="232"/>
      <c r="M828" s="232"/>
      <c r="N828" s="232"/>
      <c r="O828" s="232"/>
      <c r="P828" s="232"/>
      <c r="Q828" s="232"/>
      <c r="R828" s="232"/>
      <c r="S828" s="232"/>
      <c r="T828" s="232"/>
      <c r="U828" s="232"/>
      <c r="V828" s="233"/>
    </row>
    <row r="829" spans="1:22" ht="18" hidden="1" customHeight="1">
      <c r="A829" s="799" t="s">
        <v>417</v>
      </c>
      <c r="B829" s="802"/>
      <c r="C829" s="802"/>
      <c r="D829" s="689"/>
      <c r="E829" s="689"/>
      <c r="F829" s="689" t="s">
        <v>617</v>
      </c>
      <c r="G829" s="684"/>
      <c r="H829" s="689" t="s">
        <v>315</v>
      </c>
      <c r="I829" s="708" t="s">
        <v>411</v>
      </c>
      <c r="J829" s="828"/>
      <c r="K829" s="689" t="s">
        <v>315</v>
      </c>
      <c r="L829" s="802" t="s">
        <v>419</v>
      </c>
      <c r="M829" s="716" t="s">
        <v>420</v>
      </c>
      <c r="N829" s="729" t="s">
        <v>347</v>
      </c>
      <c r="O829" s="716" t="s">
        <v>408</v>
      </c>
      <c r="P829" s="689" t="s">
        <v>347</v>
      </c>
      <c r="Q829" s="759" t="s">
        <v>421</v>
      </c>
      <c r="R829" s="797"/>
      <c r="S829" s="797"/>
      <c r="T829" s="798" t="s">
        <v>350</v>
      </c>
      <c r="U829" s="230" t="s">
        <v>618</v>
      </c>
      <c r="V829" s="97"/>
    </row>
    <row r="830" spans="1:22" ht="18" hidden="1" customHeight="1">
      <c r="A830" s="827"/>
      <c r="B830" s="802"/>
      <c r="C830" s="802"/>
      <c r="D830" s="689"/>
      <c r="E830" s="689"/>
      <c r="F830" s="684"/>
      <c r="G830" s="684"/>
      <c r="H830" s="689"/>
      <c r="I830" s="689" t="s">
        <v>423</v>
      </c>
      <c r="J830" s="723"/>
      <c r="K830" s="689"/>
      <c r="L830" s="802"/>
      <c r="M830" s="716"/>
      <c r="N830" s="729"/>
      <c r="O830" s="716"/>
      <c r="P830" s="689"/>
      <c r="Q830" s="28" t="s">
        <v>146</v>
      </c>
      <c r="R830" s="28" t="s">
        <v>315</v>
      </c>
      <c r="S830" s="28" t="s">
        <v>146</v>
      </c>
      <c r="T830" s="798"/>
      <c r="U830" s="14"/>
      <c r="V830" s="97"/>
    </row>
    <row r="831" spans="1:22" ht="18" hidden="1" customHeight="1">
      <c r="A831" s="96"/>
      <c r="B831" s="14"/>
      <c r="C831" s="14"/>
      <c r="D831" s="28"/>
      <c r="E831" s="28"/>
      <c r="F831" s="27"/>
      <c r="G831" s="27"/>
      <c r="H831" s="28"/>
      <c r="I831" s="28"/>
      <c r="K831" s="28"/>
      <c r="L831" s="120"/>
      <c r="M831" s="14"/>
      <c r="N831" s="102"/>
      <c r="O831" s="14"/>
      <c r="P831" s="28"/>
      <c r="Q831" s="28"/>
      <c r="R831" s="28"/>
      <c r="S831" s="28"/>
      <c r="T831" s="40"/>
      <c r="U831" s="14"/>
      <c r="V831" s="97"/>
    </row>
    <row r="832" spans="1:22" ht="18" hidden="1" customHeight="1">
      <c r="A832" s="184"/>
      <c r="H832" s="30" t="s">
        <v>619</v>
      </c>
      <c r="M832" s="854" t="str">
        <f>M700</f>
        <v>N</v>
      </c>
      <c r="N832" s="831"/>
      <c r="V832" s="185"/>
    </row>
    <row r="833" spans="1:22" ht="18" hidden="1" customHeight="1">
      <c r="A833" s="96"/>
      <c r="B833" s="14"/>
      <c r="C833" s="14"/>
      <c r="D833" s="28"/>
      <c r="E833" s="28"/>
      <c r="F833" s="27"/>
      <c r="G833" s="27"/>
      <c r="H833" s="28"/>
      <c r="I833" s="28"/>
      <c r="K833" s="28"/>
      <c r="L833" s="120"/>
      <c r="M833" s="14"/>
      <c r="N833" s="102"/>
      <c r="O833" s="14"/>
      <c r="P833" s="28"/>
      <c r="Q833" s="28"/>
      <c r="R833" s="28"/>
      <c r="S833" s="28"/>
      <c r="T833" s="40"/>
      <c r="U833" s="14"/>
      <c r="V833" s="97"/>
    </row>
    <row r="834" spans="1:22" ht="18" hidden="1" customHeight="1">
      <c r="A834" s="184"/>
      <c r="B834" s="14" t="s">
        <v>427</v>
      </c>
      <c r="C834" s="14"/>
      <c r="D834" s="103"/>
      <c r="E834" s="103"/>
      <c r="F834" s="14"/>
      <c r="G834" s="14"/>
      <c r="H834" s="5"/>
      <c r="I834" s="5"/>
      <c r="J834" s="5"/>
      <c r="P834" s="120" t="s">
        <v>428</v>
      </c>
      <c r="V834" s="185"/>
    </row>
    <row r="835" spans="1:22" s="14" customFormat="1" ht="18" hidden="1" customHeight="1">
      <c r="A835" s="184"/>
      <c r="B835" s="14" t="s">
        <v>429</v>
      </c>
      <c r="D835" s="103"/>
      <c r="E835" s="103"/>
      <c r="H835" s="5"/>
      <c r="I835" s="5"/>
      <c r="J835" s="5"/>
      <c r="K835" s="30"/>
      <c r="L835" s="30"/>
      <c r="M835" s="30"/>
      <c r="N835" s="30"/>
      <c r="O835" s="30"/>
      <c r="P835" s="120" t="s">
        <v>430</v>
      </c>
      <c r="Q835" s="234" t="s">
        <v>127</v>
      </c>
      <c r="R835" s="684" t="str">
        <f>J779</f>
        <v>-</v>
      </c>
      <c r="S835" s="684"/>
      <c r="T835" s="14" t="s">
        <v>8</v>
      </c>
      <c r="U835" s="30"/>
      <c r="V835" s="185"/>
    </row>
    <row r="836" spans="1:22" ht="18" hidden="1" customHeight="1">
      <c r="A836" s="184"/>
      <c r="B836" s="14" t="s">
        <v>621</v>
      </c>
      <c r="C836" s="14"/>
      <c r="D836" s="14"/>
      <c r="E836" s="14"/>
      <c r="F836" s="14"/>
      <c r="G836" s="14"/>
      <c r="H836" s="14"/>
      <c r="I836" s="14"/>
      <c r="J836" s="14"/>
      <c r="P836" s="120" t="s">
        <v>609</v>
      </c>
      <c r="Q836" s="234" t="s">
        <v>127</v>
      </c>
      <c r="R836" s="684">
        <f>J800</f>
        <v>437.38656756789834</v>
      </c>
      <c r="S836" s="684"/>
      <c r="T836" s="14" t="s">
        <v>8</v>
      </c>
      <c r="V836" s="185"/>
    </row>
    <row r="837" spans="1:22" ht="18" hidden="1" customHeight="1">
      <c r="A837" s="184"/>
      <c r="B837" s="14" t="s">
        <v>622</v>
      </c>
      <c r="C837" s="14"/>
      <c r="D837" s="14"/>
      <c r="E837" s="14"/>
      <c r="F837" s="14"/>
      <c r="G837" s="14"/>
      <c r="H837" s="14"/>
      <c r="I837" s="14"/>
      <c r="J837" s="14"/>
      <c r="P837" s="120" t="s">
        <v>613</v>
      </c>
      <c r="Q837" s="234" t="s">
        <v>127</v>
      </c>
      <c r="R837" s="684">
        <f>O806</f>
        <v>6998.1850810863734</v>
      </c>
      <c r="S837" s="684"/>
      <c r="T837" s="14" t="s">
        <v>8</v>
      </c>
      <c r="V837" s="185"/>
    </row>
    <row r="838" spans="1:22" ht="18" hidden="1" customHeight="1">
      <c r="A838" s="184"/>
      <c r="B838" s="235" t="s">
        <v>623</v>
      </c>
      <c r="C838" s="14"/>
      <c r="D838" s="14"/>
      <c r="E838" s="14"/>
      <c r="F838" s="14"/>
      <c r="G838" s="14"/>
      <c r="H838" s="14"/>
      <c r="I838" s="14"/>
      <c r="J838" s="14"/>
      <c r="P838" s="120"/>
      <c r="Q838" s="236"/>
      <c r="R838" s="27"/>
      <c r="S838" s="27"/>
      <c r="T838" s="14"/>
      <c r="V838" s="185"/>
    </row>
    <row r="839" spans="1:22" ht="18" hidden="1" customHeight="1">
      <c r="A839" s="184"/>
      <c r="B839" s="14" t="s">
        <v>622</v>
      </c>
      <c r="C839" s="14"/>
      <c r="D839" s="14"/>
      <c r="E839" s="14"/>
      <c r="F839" s="14"/>
      <c r="G839" s="14"/>
      <c r="H839" s="14"/>
      <c r="I839" s="14"/>
      <c r="J839" s="14"/>
      <c r="P839" s="120" t="s">
        <v>617</v>
      </c>
      <c r="Q839" s="234" t="s">
        <v>127</v>
      </c>
      <c r="R839" s="684" t="str">
        <f>R707</f>
        <v>-</v>
      </c>
      <c r="S839" s="684"/>
      <c r="T839" s="14" t="s">
        <v>8</v>
      </c>
      <c r="V839" s="185"/>
    </row>
    <row r="840" spans="1:22" ht="18" hidden="1" customHeight="1">
      <c r="A840" s="184"/>
      <c r="B840" s="235" t="s">
        <v>645</v>
      </c>
      <c r="C840" s="14"/>
      <c r="D840" s="14"/>
      <c r="E840" s="14"/>
      <c r="F840" s="14"/>
      <c r="G840" s="14"/>
      <c r="H840" s="14"/>
      <c r="I840" s="14"/>
      <c r="J840" s="14"/>
      <c r="R840" s="27"/>
      <c r="S840" s="27"/>
      <c r="T840" s="14"/>
      <c r="V840" s="185"/>
    </row>
    <row r="841" spans="1:22" ht="18" hidden="1" customHeight="1">
      <c r="A841" s="184"/>
      <c r="B841" s="14" t="s">
        <v>435</v>
      </c>
      <c r="C841" s="14"/>
      <c r="D841" s="103"/>
      <c r="E841" s="103"/>
      <c r="F841" s="14"/>
      <c r="G841" s="14"/>
      <c r="H841" s="5"/>
      <c r="I841" s="5"/>
      <c r="J841" s="5"/>
      <c r="P841" s="120" t="s">
        <v>436</v>
      </c>
      <c r="Q841" s="234" t="s">
        <v>127</v>
      </c>
      <c r="R841" s="684">
        <f>O779</f>
        <v>1</v>
      </c>
      <c r="S841" s="684"/>
      <c r="T841" s="14" t="s">
        <v>8</v>
      </c>
      <c r="V841" s="185"/>
    </row>
    <row r="842" spans="1:22" ht="18" hidden="1" customHeight="1">
      <c r="A842" s="184"/>
      <c r="B842" s="14" t="s">
        <v>437</v>
      </c>
      <c r="C842" s="14"/>
      <c r="D842" s="103"/>
      <c r="E842" s="103"/>
      <c r="F842" s="14"/>
      <c r="G842" s="14"/>
      <c r="H842" s="5"/>
      <c r="I842" s="5"/>
      <c r="J842" s="5"/>
      <c r="P842" s="120" t="s">
        <v>438</v>
      </c>
      <c r="Q842" s="234" t="s">
        <v>127</v>
      </c>
      <c r="R842" s="684">
        <f>R710</f>
        <v>1</v>
      </c>
      <c r="S842" s="684"/>
      <c r="T842" s="14" t="s">
        <v>8</v>
      </c>
      <c r="V842" s="185"/>
    </row>
    <row r="843" spans="1:22" ht="18" hidden="1" customHeight="1">
      <c r="A843" s="184"/>
      <c r="B843" s="14" t="s">
        <v>439</v>
      </c>
      <c r="C843" s="14"/>
      <c r="D843" s="103"/>
      <c r="E843" s="103"/>
      <c r="F843" s="14"/>
      <c r="G843" s="14"/>
      <c r="H843" s="5"/>
      <c r="I843" s="5"/>
      <c r="J843" s="5"/>
      <c r="P843" s="120" t="s">
        <v>440</v>
      </c>
      <c r="Q843" s="234" t="s">
        <v>127</v>
      </c>
      <c r="R843" s="684" t="str">
        <f>J781</f>
        <v>-</v>
      </c>
      <c r="S843" s="684"/>
      <c r="T843" s="192" t="s">
        <v>333</v>
      </c>
      <c r="V843" s="185"/>
    </row>
    <row r="844" spans="1:22" ht="18" hidden="1" customHeight="1">
      <c r="A844" s="184"/>
      <c r="B844" s="14" t="s">
        <v>625</v>
      </c>
      <c r="C844" s="14"/>
      <c r="D844" s="14"/>
      <c r="E844" s="14"/>
      <c r="F844" s="14"/>
      <c r="G844" s="14"/>
      <c r="H844" s="14"/>
      <c r="I844" s="14"/>
      <c r="J844" s="14"/>
      <c r="P844" s="237" t="s">
        <v>441</v>
      </c>
      <c r="Q844" s="234" t="s">
        <v>127</v>
      </c>
      <c r="R844" s="795">
        <f>P791</f>
        <v>1.0770224400000001</v>
      </c>
      <c r="S844" s="684"/>
      <c r="T844" s="192" t="s">
        <v>333</v>
      </c>
      <c r="V844" s="185"/>
    </row>
    <row r="845" spans="1:22" ht="18" hidden="1" customHeight="1">
      <c r="A845" s="184"/>
      <c r="B845" s="40" t="s">
        <v>442</v>
      </c>
      <c r="C845" s="14"/>
      <c r="D845" s="14"/>
      <c r="E845" s="14"/>
      <c r="F845" s="14"/>
      <c r="G845" s="14"/>
      <c r="H845" s="5"/>
      <c r="I845" s="5"/>
      <c r="J845" s="5"/>
      <c r="P845" s="237" t="s">
        <v>443</v>
      </c>
      <c r="Q845" s="234" t="s">
        <v>127</v>
      </c>
      <c r="R845" s="795">
        <f>J787</f>
        <v>0.02</v>
      </c>
      <c r="S845" s="684"/>
      <c r="T845" s="14" t="s">
        <v>157</v>
      </c>
      <c r="V845" s="185"/>
    </row>
    <row r="846" spans="1:22" ht="18" hidden="1" customHeight="1">
      <c r="A846" s="184"/>
      <c r="V846" s="185"/>
    </row>
    <row r="847" spans="1:22" ht="18" hidden="1" customHeight="1">
      <c r="A847" s="799" t="s">
        <v>417</v>
      </c>
      <c r="B847" s="802"/>
      <c r="C847" s="802"/>
      <c r="D847" s="689">
        <v>30</v>
      </c>
      <c r="E847" s="689" t="s">
        <v>315</v>
      </c>
      <c r="F847" s="689">
        <f>R836</f>
        <v>437.38656756789834</v>
      </c>
      <c r="G847" s="684"/>
      <c r="H847" s="689" t="s">
        <v>315</v>
      </c>
      <c r="I847" s="708">
        <f>R841</f>
        <v>1</v>
      </c>
      <c r="J847" s="828"/>
      <c r="K847" s="689" t="s">
        <v>315</v>
      </c>
      <c r="L847" s="716" t="s">
        <v>419</v>
      </c>
      <c r="M847" s="716" t="str">
        <f>R843</f>
        <v>-</v>
      </c>
      <c r="N847" s="729" t="s">
        <v>347</v>
      </c>
      <c r="O847" s="1214">
        <f>R844</f>
        <v>1.0770224400000001</v>
      </c>
      <c r="P847" s="689" t="s">
        <v>347</v>
      </c>
      <c r="Q847" s="833">
        <f>R845</f>
        <v>0.02</v>
      </c>
      <c r="R847" s="797"/>
      <c r="S847" s="797"/>
      <c r="T847" s="798" t="s">
        <v>350</v>
      </c>
      <c r="U847" s="230" t="s">
        <v>422</v>
      </c>
      <c r="V847" s="97"/>
    </row>
    <row r="848" spans="1:22" ht="18" hidden="1" customHeight="1">
      <c r="A848" s="827"/>
      <c r="B848" s="802"/>
      <c r="C848" s="802"/>
      <c r="D848" s="689"/>
      <c r="E848" s="689"/>
      <c r="F848" s="684"/>
      <c r="G848" s="684"/>
      <c r="H848" s="689"/>
      <c r="I848" s="689" t="str">
        <f>R835</f>
        <v>-</v>
      </c>
      <c r="J848" s="723"/>
      <c r="K848" s="689"/>
      <c r="L848" s="716"/>
      <c r="M848" s="716"/>
      <c r="N848" s="729"/>
      <c r="O848" s="716"/>
      <c r="P848" s="689"/>
      <c r="Q848" s="28">
        <f>R842</f>
        <v>1</v>
      </c>
      <c r="R848" s="28" t="s">
        <v>315</v>
      </c>
      <c r="S848" s="28">
        <f>R842</f>
        <v>1</v>
      </c>
      <c r="T848" s="798"/>
      <c r="U848" s="14"/>
      <c r="V848" s="97"/>
    </row>
    <row r="849" spans="1:22" ht="18" hidden="1" customHeight="1">
      <c r="A849" s="184"/>
      <c r="V849" s="185"/>
    </row>
    <row r="850" spans="1:22" ht="18" hidden="1" customHeight="1">
      <c r="A850" s="184"/>
      <c r="C850" s="30" t="s">
        <v>127</v>
      </c>
      <c r="D850" s="812" t="e">
        <f>D847*F847*(I847/I848)*(M847+O847+(Q847/(Q848*S848)))</f>
        <v>#VALUE!</v>
      </c>
      <c r="E850" s="813"/>
      <c r="F850" s="30" t="s">
        <v>305</v>
      </c>
      <c r="V850" s="185"/>
    </row>
    <row r="851" spans="1:22" ht="18" hidden="1" customHeight="1">
      <c r="A851" s="184"/>
      <c r="V851" s="185"/>
    </row>
    <row r="852" spans="1:22" ht="18" hidden="1" customHeight="1">
      <c r="A852" s="799" t="s">
        <v>417</v>
      </c>
      <c r="B852" s="802"/>
      <c r="C852" s="802"/>
      <c r="D852" s="689">
        <v>2</v>
      </c>
      <c r="E852" s="689" t="s">
        <v>315</v>
      </c>
      <c r="F852" s="689">
        <f>R837</f>
        <v>6998.1850810863734</v>
      </c>
      <c r="G852" s="684"/>
      <c r="H852" s="689" t="s">
        <v>315</v>
      </c>
      <c r="I852" s="708">
        <f>R841</f>
        <v>1</v>
      </c>
      <c r="J852" s="828"/>
      <c r="K852" s="689" t="s">
        <v>315</v>
      </c>
      <c r="L852" s="802" t="s">
        <v>419</v>
      </c>
      <c r="M852" s="716" t="str">
        <f>R843</f>
        <v>-</v>
      </c>
      <c r="N852" s="729" t="s">
        <v>347</v>
      </c>
      <c r="O852" s="1214">
        <f>R844</f>
        <v>1.0770224400000001</v>
      </c>
      <c r="P852" s="689" t="s">
        <v>347</v>
      </c>
      <c r="Q852" s="833">
        <f>R845</f>
        <v>0.02</v>
      </c>
      <c r="R852" s="797"/>
      <c r="S852" s="797"/>
      <c r="T852" s="798" t="s">
        <v>350</v>
      </c>
      <c r="U852" s="230" t="s">
        <v>426</v>
      </c>
      <c r="V852" s="97"/>
    </row>
    <row r="853" spans="1:22" ht="18" hidden="1" customHeight="1">
      <c r="A853" s="827"/>
      <c r="B853" s="802"/>
      <c r="C853" s="802"/>
      <c r="D853" s="689"/>
      <c r="E853" s="689"/>
      <c r="F853" s="684"/>
      <c r="G853" s="684"/>
      <c r="H853" s="689"/>
      <c r="I853" s="689" t="str">
        <f>R835</f>
        <v>-</v>
      </c>
      <c r="J853" s="723"/>
      <c r="K853" s="689"/>
      <c r="L853" s="802"/>
      <c r="M853" s="716"/>
      <c r="N853" s="729"/>
      <c r="O853" s="716"/>
      <c r="P853" s="689"/>
      <c r="Q853" s="28">
        <f>R842</f>
        <v>1</v>
      </c>
      <c r="R853" s="28" t="s">
        <v>315</v>
      </c>
      <c r="S853" s="28">
        <f>R842</f>
        <v>1</v>
      </c>
      <c r="T853" s="798"/>
      <c r="U853" s="14"/>
      <c r="V853" s="97"/>
    </row>
    <row r="854" spans="1:22" ht="18" hidden="1" customHeight="1">
      <c r="A854" s="184"/>
      <c r="L854" s="244"/>
      <c r="V854" s="185"/>
    </row>
    <row r="855" spans="1:22" ht="18" hidden="1" customHeight="1">
      <c r="A855" s="184"/>
      <c r="C855" s="30" t="s">
        <v>127</v>
      </c>
      <c r="D855" s="812" t="e">
        <f>D852*F852*(I852/I853)*(M852+O852+(Q852/(Q853*S853)))</f>
        <v>#VALUE!</v>
      </c>
      <c r="E855" s="813"/>
      <c r="F855" s="30" t="s">
        <v>305</v>
      </c>
      <c r="L855" s="244"/>
      <c r="V855" s="185"/>
    </row>
    <row r="856" spans="1:22" ht="18" hidden="1" customHeight="1">
      <c r="A856" s="184"/>
      <c r="L856" s="244"/>
      <c r="V856" s="185"/>
    </row>
    <row r="857" spans="1:22" ht="18" hidden="1" customHeight="1">
      <c r="A857" s="799" t="s">
        <v>417</v>
      </c>
      <c r="B857" s="802"/>
      <c r="C857" s="802"/>
      <c r="D857" s="689"/>
      <c r="E857" s="689"/>
      <c r="F857" s="689" t="str">
        <f>R839</f>
        <v>-</v>
      </c>
      <c r="G857" s="684"/>
      <c r="H857" s="689" t="s">
        <v>315</v>
      </c>
      <c r="I857" s="708">
        <f>R841</f>
        <v>1</v>
      </c>
      <c r="J857" s="828"/>
      <c r="K857" s="689" t="s">
        <v>315</v>
      </c>
      <c r="L857" s="802" t="s">
        <v>419</v>
      </c>
      <c r="M857" s="716" t="str">
        <f>R843</f>
        <v>-</v>
      </c>
      <c r="N857" s="729" t="s">
        <v>347</v>
      </c>
      <c r="O857" s="1214">
        <f>R844</f>
        <v>1.0770224400000001</v>
      </c>
      <c r="P857" s="689" t="s">
        <v>347</v>
      </c>
      <c r="Q857" s="833">
        <f>R845</f>
        <v>0.02</v>
      </c>
      <c r="R857" s="797"/>
      <c r="S857" s="797"/>
      <c r="T857" s="798" t="s">
        <v>350</v>
      </c>
      <c r="U857" s="230" t="s">
        <v>618</v>
      </c>
      <c r="V857" s="97"/>
    </row>
    <row r="858" spans="1:22" ht="18" hidden="1" customHeight="1">
      <c r="A858" s="827"/>
      <c r="B858" s="802"/>
      <c r="C858" s="802"/>
      <c r="D858" s="689"/>
      <c r="E858" s="689"/>
      <c r="F858" s="684"/>
      <c r="G858" s="684"/>
      <c r="H858" s="689"/>
      <c r="I858" s="689" t="str">
        <f>R835</f>
        <v>-</v>
      </c>
      <c r="J858" s="723"/>
      <c r="K858" s="689"/>
      <c r="L858" s="802"/>
      <c r="M858" s="716"/>
      <c r="N858" s="729"/>
      <c r="O858" s="716"/>
      <c r="P858" s="689"/>
      <c r="Q858" s="28">
        <f>R842</f>
        <v>1</v>
      </c>
      <c r="R858" s="28" t="s">
        <v>315</v>
      </c>
      <c r="S858" s="28">
        <f>R842</f>
        <v>1</v>
      </c>
      <c r="T858" s="798"/>
      <c r="U858" s="14"/>
      <c r="V858" s="97"/>
    </row>
    <row r="859" spans="1:22" ht="18" hidden="1" customHeight="1">
      <c r="A859" s="184"/>
      <c r="V859" s="185"/>
    </row>
    <row r="860" spans="1:22" ht="18" hidden="1" customHeight="1">
      <c r="A860" s="184"/>
      <c r="C860" s="30" t="s">
        <v>127</v>
      </c>
      <c r="D860" s="812" t="e">
        <f>F857*(I857/I858)*(M857+O857+(Q857/(Q858*S858)))</f>
        <v>#VALUE!</v>
      </c>
      <c r="E860" s="813"/>
      <c r="F860" s="30" t="s">
        <v>305</v>
      </c>
      <c r="G860" s="187" t="s">
        <v>378</v>
      </c>
      <c r="H860" s="186" t="str">
        <f>IF(M832="y","Applicable","Not applicable")</f>
        <v>Not applicable</v>
      </c>
      <c r="V860" s="185"/>
    </row>
    <row r="861" spans="1:22" ht="18" hidden="1" customHeight="1">
      <c r="A861" s="184"/>
      <c r="V861" s="185"/>
    </row>
    <row r="862" spans="1:22" ht="18" hidden="1" customHeight="1">
      <c r="A862" s="194"/>
      <c r="B862" s="195"/>
      <c r="C862" s="195"/>
      <c r="D862" s="195"/>
      <c r="E862" s="195"/>
      <c r="F862" s="195"/>
      <c r="G862" s="195"/>
      <c r="H862" s="195"/>
      <c r="I862" s="195"/>
      <c r="J862" s="195"/>
      <c r="K862" s="195"/>
      <c r="L862" s="195"/>
      <c r="M862" s="195"/>
      <c r="N862" s="195"/>
      <c r="O862" s="195"/>
      <c r="P862" s="195"/>
      <c r="Q862" s="224"/>
      <c r="R862" s="182"/>
      <c r="S862" s="225"/>
      <c r="T862" s="195"/>
      <c r="U862" s="195"/>
      <c r="V862" s="134"/>
    </row>
    <row r="863" spans="1:22" ht="18" hidden="1" customHeight="1">
      <c r="A863" s="226"/>
      <c r="B863" s="227"/>
      <c r="C863" s="227"/>
      <c r="D863" s="227"/>
      <c r="E863" s="227"/>
      <c r="F863" s="227"/>
      <c r="G863" s="227"/>
      <c r="H863" s="227"/>
      <c r="I863" s="227"/>
      <c r="J863" s="227"/>
      <c r="K863" s="227"/>
      <c r="L863" s="227"/>
      <c r="M863" s="227"/>
      <c r="N863" s="227"/>
      <c r="O863" s="227"/>
      <c r="P863" s="227"/>
      <c r="Q863" s="227"/>
      <c r="R863" s="227"/>
      <c r="S863" s="227"/>
      <c r="T863" s="227"/>
      <c r="U863" s="227"/>
      <c r="V863" s="228"/>
    </row>
    <row r="864" spans="1:22" ht="18" hidden="1" customHeight="1">
      <c r="A864" s="184" t="s">
        <v>634</v>
      </c>
      <c r="M864" s="825" t="str">
        <f>R835</f>
        <v>-</v>
      </c>
      <c r="N864" s="826"/>
      <c r="O864" s="30" t="s">
        <v>470</v>
      </c>
      <c r="Q864" s="812" t="e">
        <f>IF(M832="Y",MAX(D850,D860),MAX(D850,D855))</f>
        <v>#VALUE!</v>
      </c>
      <c r="R864" s="820"/>
      <c r="S864" s="30" t="s">
        <v>305</v>
      </c>
      <c r="V864" s="185"/>
    </row>
    <row r="865" spans="1:22" ht="18" hidden="1" customHeight="1">
      <c r="A865" s="184"/>
      <c r="M865" s="247"/>
      <c r="N865" s="247"/>
      <c r="Q865" s="211"/>
      <c r="R865" s="27"/>
      <c r="V865" s="185"/>
    </row>
    <row r="866" spans="1:22" ht="18" hidden="1" customHeight="1">
      <c r="A866" s="248" t="s">
        <v>471</v>
      </c>
      <c r="B866" s="14"/>
      <c r="C866" s="14"/>
      <c r="D866" s="249"/>
      <c r="E866" s="14"/>
      <c r="F866" s="14"/>
      <c r="G866" s="47"/>
      <c r="H866" s="14"/>
      <c r="J866" s="14"/>
      <c r="K866" s="14"/>
      <c r="L866" s="14"/>
      <c r="M866" s="14"/>
      <c r="N866" s="14"/>
      <c r="O866" s="14"/>
      <c r="P866" s="250"/>
      <c r="Q866" s="251"/>
      <c r="R866" s="47"/>
      <c r="S866" s="14"/>
      <c r="V866" s="185"/>
    </row>
    <row r="867" spans="1:22" ht="18" hidden="1" customHeight="1">
      <c r="A867" s="248"/>
      <c r="B867" s="14"/>
      <c r="C867" s="14"/>
      <c r="D867" s="249"/>
      <c r="E867" s="14"/>
      <c r="F867" s="14"/>
      <c r="G867" s="47"/>
      <c r="H867" s="14"/>
      <c r="J867" s="14"/>
      <c r="K867" s="14"/>
      <c r="L867" s="14"/>
      <c r="M867" s="14"/>
      <c r="N867" s="14"/>
      <c r="O867" s="14"/>
      <c r="P867" s="250"/>
      <c r="Q867" s="251"/>
      <c r="R867" s="47"/>
      <c r="S867" s="14"/>
      <c r="V867" s="185"/>
    </row>
    <row r="868" spans="1:22" ht="18" hidden="1" customHeight="1">
      <c r="A868" s="96" t="s">
        <v>500</v>
      </c>
      <c r="V868" s="185"/>
    </row>
    <row r="869" spans="1:22" ht="18" hidden="1" customHeight="1">
      <c r="A869" s="184"/>
      <c r="N869" s="14"/>
      <c r="O869" s="14" t="s">
        <v>473</v>
      </c>
      <c r="P869" s="102" t="s">
        <v>127</v>
      </c>
      <c r="Q869" s="249" t="s">
        <v>474</v>
      </c>
      <c r="R869" s="14"/>
      <c r="S869" s="28" t="s">
        <v>315</v>
      </c>
      <c r="T869" s="28">
        <v>0.8</v>
      </c>
      <c r="V869" s="185"/>
    </row>
    <row r="870" spans="1:22" ht="18" hidden="1" customHeight="1">
      <c r="A870" s="184"/>
      <c r="N870" s="252"/>
      <c r="O870" s="14"/>
      <c r="P870" s="102" t="s">
        <v>127</v>
      </c>
      <c r="Q870" s="829" t="e">
        <f>+Q864</f>
        <v>#VALUE!</v>
      </c>
      <c r="R870" s="1147"/>
      <c r="S870" s="222" t="s">
        <v>315</v>
      </c>
      <c r="T870" s="253">
        <f>+T869</f>
        <v>0.8</v>
      </c>
      <c r="V870" s="185"/>
    </row>
    <row r="871" spans="1:22" ht="18" hidden="1" customHeight="1">
      <c r="A871" s="184"/>
      <c r="O871" s="14"/>
      <c r="P871" s="28" t="s">
        <v>127</v>
      </c>
      <c r="Q871" s="830" t="e">
        <f>Q870*T870</f>
        <v>#VALUE!</v>
      </c>
      <c r="R871" s="1270"/>
      <c r="S871" s="47" t="s">
        <v>305</v>
      </c>
      <c r="T871" s="14"/>
      <c r="V871" s="185"/>
    </row>
    <row r="872" spans="1:22" ht="18" hidden="1" customHeight="1">
      <c r="A872" s="184"/>
      <c r="V872" s="185"/>
    </row>
    <row r="873" spans="1:22" ht="18" hidden="1" customHeight="1">
      <c r="A873" s="184"/>
      <c r="D873" s="30" t="s">
        <v>475</v>
      </c>
      <c r="G873" s="27" t="e">
        <f>IF(E874&gt;H874,"&gt;","&lt;")</f>
        <v>#VALUE!</v>
      </c>
      <c r="H873" s="30" t="s">
        <v>477</v>
      </c>
      <c r="V873" s="185"/>
    </row>
    <row r="874" spans="1:22" ht="18" hidden="1" customHeight="1">
      <c r="A874" s="184"/>
      <c r="E874" s="684" t="str">
        <f>J782</f>
        <v>-</v>
      </c>
      <c r="F874" s="684"/>
      <c r="G874" s="27" t="e">
        <f>G873</f>
        <v>#VALUE!</v>
      </c>
      <c r="H874" s="795" t="e">
        <f>Q871</f>
        <v>#VALUE!</v>
      </c>
      <c r="I874" s="684"/>
      <c r="V874" s="185"/>
    </row>
    <row r="875" spans="1:22" ht="18" hidden="1" customHeight="1">
      <c r="A875" s="184"/>
      <c r="F875" s="244" t="s">
        <v>478</v>
      </c>
      <c r="H875" s="18" t="e">
        <f>IF(G873="&gt;","Suitably Dimensioned","Under Dimensioned")</f>
        <v>#VALUE!</v>
      </c>
      <c r="V875" s="185"/>
    </row>
    <row r="876" spans="1:22" ht="18" hidden="1" customHeight="1">
      <c r="A876" s="184"/>
      <c r="F876" s="244"/>
      <c r="H876" s="18"/>
      <c r="V876" s="185"/>
    </row>
    <row r="877" spans="1:22" ht="18" hidden="1" customHeight="1">
      <c r="A877" s="184"/>
      <c r="F877" s="244"/>
      <c r="H877" s="18"/>
      <c r="V877" s="185"/>
    </row>
    <row r="878" spans="1:22" ht="18" hidden="1" customHeight="1">
      <c r="A878" s="184"/>
      <c r="F878" s="244"/>
      <c r="H878" s="18"/>
      <c r="V878" s="185"/>
    </row>
    <row r="879" spans="1:22" s="14" customFormat="1" ht="18" hidden="1" customHeight="1">
      <c r="A879" s="184"/>
      <c r="B879" s="30"/>
      <c r="C879" s="30"/>
      <c r="D879" s="30"/>
      <c r="E879" s="30"/>
      <c r="F879" s="244"/>
      <c r="G879" s="30"/>
      <c r="H879" s="18"/>
      <c r="I879" s="30"/>
      <c r="J879" s="30"/>
      <c r="K879" s="30"/>
      <c r="L879" s="30"/>
      <c r="M879" s="30"/>
      <c r="N879" s="30"/>
      <c r="O879" s="30"/>
      <c r="P879" s="30"/>
      <c r="Q879" s="30"/>
      <c r="R879" s="30"/>
      <c r="S879" s="30"/>
      <c r="T879" s="30"/>
      <c r="U879" s="30"/>
      <c r="V879" s="185"/>
    </row>
    <row r="880" spans="1:22" ht="18" hidden="1" customHeight="1">
      <c r="A880" s="184"/>
      <c r="F880" s="244"/>
      <c r="H880" s="18"/>
      <c r="V880" s="185"/>
    </row>
    <row r="881" spans="1:22" ht="18" hidden="1" customHeight="1">
      <c r="A881" s="184"/>
      <c r="F881" s="244"/>
      <c r="H881" s="18"/>
      <c r="V881" s="185"/>
    </row>
    <row r="882" spans="1:22" ht="18" hidden="1" customHeight="1">
      <c r="A882" s="184"/>
      <c r="F882" s="244"/>
      <c r="H882" s="18"/>
      <c r="V882" s="185"/>
    </row>
    <row r="883" spans="1:22" ht="18" hidden="1" customHeight="1">
      <c r="A883" s="184"/>
      <c r="F883" s="244"/>
      <c r="H883" s="18"/>
      <c r="V883" s="185"/>
    </row>
    <row r="884" spans="1:22" ht="18" hidden="1" customHeight="1">
      <c r="A884" s="184"/>
      <c r="F884" s="244"/>
      <c r="H884" s="18"/>
      <c r="V884" s="185"/>
    </row>
    <row r="885" spans="1:22" ht="18" customHeight="1">
      <c r="A885" s="184"/>
      <c r="F885" s="244"/>
      <c r="H885" s="18"/>
      <c r="V885" s="185"/>
    </row>
    <row r="886" spans="1:22" ht="18" customHeight="1">
      <c r="A886" s="184"/>
      <c r="F886" s="244"/>
      <c r="H886" s="18"/>
      <c r="V886" s="185"/>
    </row>
    <row r="887" spans="1:22" ht="18" customHeight="1">
      <c r="A887" s="184"/>
      <c r="F887" s="244"/>
      <c r="H887" s="18"/>
      <c r="V887" s="185"/>
    </row>
    <row r="888" spans="1:22" ht="18" customHeight="1">
      <c r="A888" s="184"/>
      <c r="F888" s="244"/>
      <c r="H888" s="18"/>
      <c r="V888" s="185"/>
    </row>
    <row r="889" spans="1:22" ht="18" customHeight="1">
      <c r="A889" s="184"/>
      <c r="F889" s="244"/>
      <c r="H889" s="18"/>
      <c r="V889" s="185"/>
    </row>
    <row r="890" spans="1:22" ht="18" customHeight="1">
      <c r="A890" s="184"/>
      <c r="F890" s="244"/>
      <c r="H890" s="18"/>
      <c r="V890" s="185"/>
    </row>
    <row r="891" spans="1:22" ht="18" customHeight="1">
      <c r="A891" s="184"/>
      <c r="F891" s="244"/>
      <c r="H891" s="18"/>
      <c r="V891" s="185"/>
    </row>
    <row r="892" spans="1:22" ht="18" customHeight="1">
      <c r="A892" s="184"/>
      <c r="F892" s="244"/>
      <c r="H892" s="18"/>
      <c r="V892" s="185"/>
    </row>
    <row r="893" spans="1:22" ht="18" customHeight="1">
      <c r="A893" s="184"/>
      <c r="F893" s="244"/>
      <c r="H893" s="18"/>
      <c r="V893" s="185"/>
    </row>
    <row r="894" spans="1:22" ht="18" customHeight="1">
      <c r="A894" s="184"/>
      <c r="F894" s="244"/>
      <c r="H894" s="18"/>
      <c r="V894" s="185"/>
    </row>
    <row r="895" spans="1:22" ht="18" customHeight="1">
      <c r="A895" s="184"/>
      <c r="F895" s="244"/>
      <c r="H895" s="18"/>
      <c r="V895" s="185"/>
    </row>
    <row r="896" spans="1:22" ht="18" customHeight="1">
      <c r="A896" s="184"/>
      <c r="F896" s="244"/>
      <c r="H896" s="18"/>
      <c r="V896" s="185"/>
    </row>
    <row r="897" spans="1:22" ht="18" customHeight="1">
      <c r="A897" s="184"/>
      <c r="F897" s="244"/>
      <c r="H897" s="18"/>
      <c r="V897" s="185"/>
    </row>
    <row r="898" spans="1:22" ht="18" customHeight="1">
      <c r="A898" s="184"/>
      <c r="F898" s="244"/>
      <c r="H898" s="18"/>
      <c r="V898" s="185"/>
    </row>
    <row r="899" spans="1:22" ht="18" customHeight="1">
      <c r="A899" s="184"/>
      <c r="F899" s="244"/>
      <c r="H899" s="18"/>
      <c r="V899" s="185"/>
    </row>
    <row r="900" spans="1:22" ht="18" customHeight="1">
      <c r="A900" s="184"/>
      <c r="F900" s="244"/>
      <c r="H900" s="18"/>
      <c r="V900" s="185"/>
    </row>
    <row r="901" spans="1:22" ht="18" customHeight="1">
      <c r="A901" s="184"/>
      <c r="F901" s="244"/>
      <c r="H901" s="18"/>
      <c r="V901" s="185"/>
    </row>
    <row r="902" spans="1:22" ht="18" customHeight="1">
      <c r="A902" s="184"/>
      <c r="F902" s="244"/>
      <c r="H902" s="18"/>
      <c r="V902" s="185"/>
    </row>
    <row r="903" spans="1:22" ht="18" customHeight="1">
      <c r="A903" s="184"/>
      <c r="H903" s="18"/>
      <c r="V903" s="185"/>
    </row>
    <row r="904" spans="1:22" ht="18" customHeight="1">
      <c r="A904" s="184"/>
      <c r="H904" s="18"/>
      <c r="V904" s="185"/>
    </row>
    <row r="905" spans="1:22" ht="18" customHeight="1">
      <c r="A905" s="184"/>
      <c r="F905" s="244"/>
      <c r="H905" s="18"/>
      <c r="V905" s="185"/>
    </row>
    <row r="906" spans="1:22" ht="18" customHeight="1">
      <c r="A906" s="194"/>
      <c r="B906" s="195"/>
      <c r="C906" s="195"/>
      <c r="D906" s="195"/>
      <c r="E906" s="195"/>
      <c r="F906" s="195"/>
      <c r="G906" s="195"/>
      <c r="H906" s="195"/>
      <c r="I906" s="195"/>
      <c r="J906" s="195"/>
      <c r="K906" s="195"/>
      <c r="L906" s="195"/>
      <c r="M906" s="195"/>
      <c r="N906" s="195"/>
      <c r="O906" s="195"/>
      <c r="P906" s="195"/>
      <c r="Q906" s="224"/>
      <c r="R906" s="182"/>
      <c r="S906" s="225"/>
      <c r="T906" s="195"/>
      <c r="U906" s="195"/>
      <c r="V906" s="134"/>
    </row>
    <row r="907" spans="1:22" ht="18" hidden="1" customHeight="1">
      <c r="A907" s="226"/>
      <c r="B907" s="227"/>
      <c r="C907" s="227"/>
      <c r="D907" s="227"/>
      <c r="E907" s="227"/>
      <c r="F907" s="227"/>
      <c r="G907" s="227"/>
      <c r="H907" s="227"/>
      <c r="I907" s="227"/>
      <c r="J907" s="227"/>
      <c r="K907" s="227"/>
      <c r="L907" s="227"/>
      <c r="M907" s="227"/>
      <c r="N907" s="227"/>
      <c r="O907" s="227"/>
      <c r="P907" s="227"/>
      <c r="Q907" s="227"/>
      <c r="R907" s="227"/>
      <c r="S907" s="227"/>
      <c r="T907" s="227"/>
      <c r="U907" s="227"/>
      <c r="V907" s="228"/>
    </row>
    <row r="908" spans="1:22" ht="18" hidden="1" customHeight="1">
      <c r="A908" s="184"/>
      <c r="B908" s="854" t="str">
        <f>B776</f>
        <v>BCT13,14,15</v>
      </c>
      <c r="C908" s="831"/>
      <c r="D908" s="855" t="str">
        <f>D776</f>
        <v>Core2</v>
      </c>
      <c r="E908" s="856"/>
      <c r="F908" s="186" t="s">
        <v>636</v>
      </c>
      <c r="H908" s="684" t="str">
        <f>H776</f>
        <v>(Multi Func. Trans. Protection +HV REF)</v>
      </c>
      <c r="I908" s="684"/>
      <c r="J908" s="684"/>
      <c r="K908" s="684"/>
      <c r="L908" s="684"/>
      <c r="M908" s="684"/>
      <c r="P908" s="186"/>
      <c r="S908" s="187" t="s">
        <v>387</v>
      </c>
      <c r="T908" s="854" t="str">
        <f>T776</f>
        <v>RET670</v>
      </c>
      <c r="U908" s="831"/>
      <c r="V908" s="185"/>
    </row>
    <row r="909" spans="1:22" ht="18" hidden="1" customHeight="1">
      <c r="A909" s="184"/>
      <c r="B909" s="853">
        <f>B777</f>
        <v>0</v>
      </c>
      <c r="C909" s="853"/>
      <c r="D909" s="857"/>
      <c r="E909" s="858"/>
      <c r="F909" s="255"/>
      <c r="T909" s="854">
        <f>T777</f>
        <v>0</v>
      </c>
      <c r="U909" s="831"/>
      <c r="V909" s="185"/>
    </row>
    <row r="910" spans="1:22" ht="18" hidden="1" customHeight="1">
      <c r="A910" s="184"/>
      <c r="H910" s="708" t="s">
        <v>390</v>
      </c>
      <c r="I910" s="708"/>
      <c r="J910" s="708" t="s">
        <v>391</v>
      </c>
      <c r="K910" s="708"/>
      <c r="L910" s="789" t="s">
        <v>392</v>
      </c>
      <c r="M910" s="789"/>
      <c r="T910" s="854">
        <f>T778</f>
        <v>0</v>
      </c>
      <c r="U910" s="831"/>
      <c r="V910" s="185"/>
    </row>
    <row r="911" spans="1:22" ht="18" hidden="1" customHeight="1">
      <c r="A911" s="184"/>
      <c r="B911" s="47" t="s">
        <v>393</v>
      </c>
      <c r="H911" s="854">
        <f>H779</f>
        <v>1200</v>
      </c>
      <c r="I911" s="831"/>
      <c r="J911" s="854" t="str">
        <f>J779</f>
        <v>-</v>
      </c>
      <c r="K911" s="831"/>
      <c r="L911" s="863" t="str">
        <f>L779</f>
        <v>-</v>
      </c>
      <c r="M911" s="864"/>
      <c r="N911" s="102" t="s">
        <v>342</v>
      </c>
      <c r="O911" s="256">
        <f>O779</f>
        <v>1</v>
      </c>
      <c r="P911" s="27" t="s">
        <v>8</v>
      </c>
      <c r="V911" s="185"/>
    </row>
    <row r="912" spans="1:22" ht="18" hidden="1" customHeight="1">
      <c r="A912" s="184"/>
      <c r="B912" s="47" t="s">
        <v>394</v>
      </c>
      <c r="H912" s="14"/>
      <c r="K912" s="14"/>
      <c r="L912" s="854" t="str">
        <f>J780</f>
        <v>TPS</v>
      </c>
      <c r="M912" s="831"/>
      <c r="N912" s="14"/>
      <c r="V912" s="185"/>
    </row>
    <row r="913" spans="1:22" ht="18" hidden="1" customHeight="1">
      <c r="A913" s="184"/>
      <c r="B913" s="47" t="s">
        <v>396</v>
      </c>
      <c r="K913" s="120" t="s">
        <v>497</v>
      </c>
      <c r="L913" s="781" t="s">
        <v>6</v>
      </c>
      <c r="M913" s="782"/>
      <c r="N913" s="192" t="s">
        <v>333</v>
      </c>
      <c r="V913" s="185"/>
    </row>
    <row r="914" spans="1:22" ht="18" hidden="1" customHeight="1">
      <c r="A914" s="184"/>
      <c r="B914" s="47" t="s">
        <v>398</v>
      </c>
      <c r="K914" s="120" t="s">
        <v>498</v>
      </c>
      <c r="L914" s="781" t="s">
        <v>6</v>
      </c>
      <c r="M914" s="782"/>
      <c r="N914" s="14" t="s">
        <v>305</v>
      </c>
      <c r="V914" s="185"/>
    </row>
    <row r="915" spans="1:22" ht="18" hidden="1" customHeight="1">
      <c r="A915" s="184"/>
      <c r="B915" s="14" t="s">
        <v>401</v>
      </c>
      <c r="K915" s="120" t="s">
        <v>402</v>
      </c>
      <c r="L915" s="781" t="s">
        <v>6</v>
      </c>
      <c r="M915" s="782"/>
      <c r="N915" s="14" t="s">
        <v>403</v>
      </c>
      <c r="V915" s="185"/>
    </row>
    <row r="916" spans="1:22" ht="18" hidden="1" customHeight="1">
      <c r="A916" s="184"/>
      <c r="V916" s="185"/>
    </row>
    <row r="917" spans="1:22" ht="18" hidden="1" customHeight="1">
      <c r="A917" s="193" t="s">
        <v>404</v>
      </c>
      <c r="V917" s="185"/>
    </row>
    <row r="918" spans="1:22" ht="18" hidden="1" customHeight="1">
      <c r="A918" s="184"/>
      <c r="V918" s="185"/>
    </row>
    <row r="919" spans="1:22" ht="18" hidden="1" customHeight="1">
      <c r="A919" s="184"/>
      <c r="B919" s="194" t="s">
        <v>405</v>
      </c>
      <c r="C919" s="195"/>
      <c r="D919" s="195" t="str">
        <f>T908</f>
        <v>RET670</v>
      </c>
      <c r="E919" s="196"/>
      <c r="F919" s="196"/>
      <c r="G919" s="196"/>
      <c r="H919" s="182" t="s">
        <v>406</v>
      </c>
      <c r="I919" s="183" t="s">
        <v>127</v>
      </c>
      <c r="J919" s="1276">
        <f>J787</f>
        <v>0.02</v>
      </c>
      <c r="K919" s="1144"/>
      <c r="L919" s="3" t="s">
        <v>157</v>
      </c>
      <c r="N919" s="197" t="s">
        <v>407</v>
      </c>
      <c r="V919" s="185"/>
    </row>
    <row r="920" spans="1:22" ht="18" hidden="1" customHeight="1">
      <c r="A920" s="184"/>
      <c r="B920" s="96" t="s">
        <v>405</v>
      </c>
      <c r="D920" s="30">
        <f>T909</f>
        <v>0</v>
      </c>
      <c r="H920" s="27"/>
      <c r="I920" s="177"/>
      <c r="J920" s="1274">
        <f>J788</f>
        <v>0</v>
      </c>
      <c r="K920" s="1275"/>
      <c r="L920" s="198" t="s">
        <v>157</v>
      </c>
      <c r="V920" s="185"/>
    </row>
    <row r="921" spans="1:22" ht="18" hidden="1" customHeight="1">
      <c r="A921" s="184"/>
      <c r="B921" s="96" t="s">
        <v>405</v>
      </c>
      <c r="D921" s="30">
        <f>T910</f>
        <v>0</v>
      </c>
      <c r="E921" s="14"/>
      <c r="G921" s="199"/>
      <c r="H921" s="27"/>
      <c r="I921" s="101"/>
      <c r="J921" s="696">
        <f>J789</f>
        <v>0</v>
      </c>
      <c r="K921" s="820"/>
      <c r="L921" s="202" t="s">
        <v>157</v>
      </c>
      <c r="N921" s="30" t="s">
        <v>408</v>
      </c>
      <c r="O921" s="27" t="s">
        <v>127</v>
      </c>
      <c r="P921" s="30" t="s">
        <v>409</v>
      </c>
      <c r="Q921" s="191" t="s">
        <v>410</v>
      </c>
      <c r="R921" s="244" t="s">
        <v>411</v>
      </c>
      <c r="S921" s="27" t="s">
        <v>315</v>
      </c>
      <c r="T921" s="30" t="s">
        <v>411</v>
      </c>
      <c r="U921" s="30" t="s">
        <v>350</v>
      </c>
      <c r="V921" s="185"/>
    </row>
    <row r="922" spans="1:22" ht="18" hidden="1" customHeight="1">
      <c r="A922" s="184"/>
      <c r="B922" s="184" t="s">
        <v>412</v>
      </c>
      <c r="H922" s="27" t="s">
        <v>599</v>
      </c>
      <c r="I922" s="177" t="s">
        <v>127</v>
      </c>
      <c r="J922" s="1274">
        <f>J790</f>
        <v>1.0770224400000001</v>
      </c>
      <c r="K922" s="1275"/>
      <c r="L922" s="203" t="s">
        <v>157</v>
      </c>
      <c r="O922" s="27" t="s">
        <v>127</v>
      </c>
      <c r="P922" s="204">
        <f>J923</f>
        <v>1.0770224400000001</v>
      </c>
      <c r="Q922" s="191" t="s">
        <v>410</v>
      </c>
      <c r="R922" s="27">
        <f>O911</f>
        <v>1</v>
      </c>
      <c r="S922" s="27" t="s">
        <v>315</v>
      </c>
      <c r="T922" s="27">
        <f>O911</f>
        <v>1</v>
      </c>
      <c r="U922" s="30" t="s">
        <v>350</v>
      </c>
      <c r="V922" s="185"/>
    </row>
    <row r="923" spans="1:22" ht="18" hidden="1" customHeight="1">
      <c r="A923" s="184"/>
      <c r="B923" s="205" t="s">
        <v>413</v>
      </c>
      <c r="C923" s="206"/>
      <c r="D923" s="206"/>
      <c r="E923" s="206"/>
      <c r="F923" s="207"/>
      <c r="G923" s="207"/>
      <c r="H923" s="190" t="s">
        <v>409</v>
      </c>
      <c r="I923" s="208" t="s">
        <v>127</v>
      </c>
      <c r="J923" s="1276">
        <f>J920+J922</f>
        <v>1.0770224400000001</v>
      </c>
      <c r="K923" s="1144"/>
      <c r="L923" s="210" t="s">
        <v>157</v>
      </c>
      <c r="O923" s="27" t="s">
        <v>127</v>
      </c>
      <c r="P923" s="795">
        <f>P922/(R922*T922)</f>
        <v>1.0770224400000001</v>
      </c>
      <c r="Q923" s="795"/>
      <c r="R923" s="192" t="s">
        <v>333</v>
      </c>
      <c r="V923" s="185"/>
    </row>
    <row r="924" spans="1:22" ht="18" hidden="1" customHeight="1">
      <c r="A924" s="184"/>
      <c r="V924" s="185"/>
    </row>
    <row r="925" spans="1:22" ht="18" hidden="1" customHeight="1">
      <c r="A925" s="193" t="s">
        <v>600</v>
      </c>
      <c r="B925" s="5"/>
      <c r="C925" s="5"/>
      <c r="D925" s="5"/>
      <c r="E925" s="5"/>
      <c r="F925" s="5"/>
      <c r="G925" s="5"/>
      <c r="H925" s="212"/>
      <c r="I925" s="212"/>
      <c r="J925" s="5"/>
      <c r="K925" s="5"/>
      <c r="L925" s="5"/>
      <c r="M925" s="5"/>
      <c r="N925" s="5"/>
      <c r="O925" s="5"/>
      <c r="P925" s="103"/>
      <c r="Q925" s="212"/>
      <c r="R925" s="213"/>
      <c r="S925" s="214"/>
      <c r="T925" s="18"/>
      <c r="U925" s="18"/>
      <c r="V925" s="97"/>
    </row>
    <row r="926" spans="1:22" ht="18" hidden="1" customHeight="1">
      <c r="A926" s="96"/>
      <c r="B926" s="47" t="s">
        <v>601</v>
      </c>
      <c r="C926" s="5"/>
      <c r="D926" s="5"/>
      <c r="E926" s="5"/>
      <c r="F926" s="14"/>
      <c r="G926" s="14"/>
      <c r="H926" s="14"/>
      <c r="I926" s="215"/>
      <c r="J926" s="14"/>
      <c r="K926" s="14"/>
      <c r="L926" s="14"/>
      <c r="M926" s="5"/>
      <c r="N926" s="14"/>
      <c r="O926" s="103" t="s">
        <v>127</v>
      </c>
      <c r="P926" s="853">
        <f>P794</f>
        <v>100</v>
      </c>
      <c r="Q926" s="1271"/>
      <c r="R926" s="14" t="s">
        <v>602</v>
      </c>
      <c r="S926" s="214"/>
      <c r="T926" s="18"/>
      <c r="U926" s="18"/>
      <c r="V926" s="97"/>
    </row>
    <row r="927" spans="1:22" ht="18" hidden="1" customHeight="1">
      <c r="A927" s="96"/>
      <c r="B927" s="47" t="s">
        <v>603</v>
      </c>
      <c r="C927" s="5"/>
      <c r="D927" s="5"/>
      <c r="E927" s="5"/>
      <c r="F927" s="14"/>
      <c r="G927" s="14"/>
      <c r="H927" s="14"/>
      <c r="I927" s="215"/>
      <c r="J927" s="14"/>
      <c r="K927" s="14"/>
      <c r="L927" s="14"/>
      <c r="M927" s="5"/>
      <c r="N927" s="14"/>
      <c r="O927" s="103" t="s">
        <v>127</v>
      </c>
      <c r="P927" s="853">
        <f>P795</f>
        <v>25</v>
      </c>
      <c r="Q927" s="1271"/>
      <c r="R927" s="14" t="s">
        <v>604</v>
      </c>
      <c r="S927" s="214"/>
      <c r="T927" s="18"/>
      <c r="U927" s="18"/>
      <c r="V927" s="97"/>
    </row>
    <row r="928" spans="1:22" ht="18" hidden="1" customHeight="1">
      <c r="A928" s="96"/>
      <c r="B928" s="47" t="s">
        <v>605</v>
      </c>
      <c r="C928" s="5"/>
      <c r="D928" s="5"/>
      <c r="E928" s="5"/>
      <c r="F928" s="14"/>
      <c r="G928" s="14"/>
      <c r="H928" s="14"/>
      <c r="I928" s="14"/>
      <c r="J928" s="14"/>
      <c r="K928" s="14"/>
      <c r="L928" s="14"/>
      <c r="M928" s="14"/>
      <c r="N928" s="120" t="s">
        <v>606</v>
      </c>
      <c r="O928" s="103" t="s">
        <v>607</v>
      </c>
      <c r="P928" s="854">
        <f>P796</f>
        <v>132</v>
      </c>
      <c r="Q928" s="1270"/>
      <c r="R928" s="14" t="s">
        <v>163</v>
      </c>
      <c r="S928" s="214"/>
      <c r="T928" s="18"/>
      <c r="U928" s="18"/>
      <c r="V928" s="97"/>
    </row>
    <row r="929" spans="1:22" ht="18" hidden="1" customHeight="1">
      <c r="A929" s="216"/>
      <c r="B929" s="212"/>
      <c r="C929" s="212"/>
      <c r="D929" s="212"/>
      <c r="E929" s="212"/>
      <c r="F929" s="14"/>
      <c r="G929" s="14"/>
      <c r="H929" s="14"/>
      <c r="I929" s="14"/>
      <c r="J929" s="14"/>
      <c r="K929" s="14"/>
      <c r="L929" s="14"/>
      <c r="M929" s="14"/>
      <c r="N929" s="14"/>
      <c r="O929" s="14"/>
      <c r="P929" s="14"/>
      <c r="Q929" s="14"/>
      <c r="R929" s="14"/>
      <c r="S929" s="14"/>
      <c r="T929" s="18"/>
      <c r="U929" s="18"/>
      <c r="V929" s="97"/>
    </row>
    <row r="930" spans="1:22" ht="18" hidden="1" customHeight="1">
      <c r="A930" s="96"/>
      <c r="B930" s="14" t="s">
        <v>608</v>
      </c>
      <c r="C930" s="213"/>
      <c r="D930" s="213"/>
      <c r="E930" s="213"/>
      <c r="F930" s="14"/>
      <c r="G930" s="14"/>
      <c r="H930" s="120" t="s">
        <v>609</v>
      </c>
      <c r="I930" s="28" t="s">
        <v>127</v>
      </c>
      <c r="J930" s="689" t="s">
        <v>610</v>
      </c>
      <c r="K930" s="689"/>
      <c r="L930" s="28" t="s">
        <v>315</v>
      </c>
      <c r="M930" s="217">
        <v>1000</v>
      </c>
      <c r="N930" s="102" t="s">
        <v>342</v>
      </c>
      <c r="O930" s="28" t="s">
        <v>611</v>
      </c>
      <c r="P930" s="28" t="s">
        <v>315</v>
      </c>
      <c r="Q930" s="28" t="s">
        <v>606</v>
      </c>
      <c r="R930" s="47"/>
      <c r="S930" s="14"/>
      <c r="T930" s="18"/>
      <c r="U930" s="18"/>
      <c r="V930" s="97"/>
    </row>
    <row r="931" spans="1:22" ht="18" hidden="1" customHeight="1">
      <c r="A931" s="216"/>
      <c r="B931" s="213"/>
      <c r="C931" s="213"/>
      <c r="D931" s="213"/>
      <c r="E931" s="213"/>
      <c r="F931" s="212"/>
      <c r="G931" s="212"/>
      <c r="H931" s="28"/>
      <c r="I931" s="28" t="s">
        <v>127</v>
      </c>
      <c r="J931" s="689">
        <f>P926</f>
        <v>100</v>
      </c>
      <c r="K931" s="689"/>
      <c r="L931" s="28" t="s">
        <v>315</v>
      </c>
      <c r="M931" s="217">
        <v>1000</v>
      </c>
      <c r="N931" s="102" t="s">
        <v>342</v>
      </c>
      <c r="O931" s="28" t="s">
        <v>611</v>
      </c>
      <c r="P931" s="28" t="s">
        <v>315</v>
      </c>
      <c r="Q931" s="28">
        <f>P928</f>
        <v>132</v>
      </c>
      <c r="R931" s="47"/>
      <c r="S931" s="14"/>
      <c r="T931" s="18"/>
      <c r="U931" s="18"/>
      <c r="V931" s="97"/>
    </row>
    <row r="932" spans="1:22" ht="18" hidden="1" customHeight="1">
      <c r="A932" s="216"/>
      <c r="B932" s="212"/>
      <c r="C932" s="212"/>
      <c r="D932" s="212"/>
      <c r="E932" s="212"/>
      <c r="F932" s="212"/>
      <c r="G932" s="212"/>
      <c r="H932" s="14"/>
      <c r="I932" s="28" t="s">
        <v>127</v>
      </c>
      <c r="J932" s="692">
        <f>(P926*1000)/(SQRT(3)*P928)</f>
        <v>437.38656756789834</v>
      </c>
      <c r="K932" s="692"/>
      <c r="L932" s="14" t="s">
        <v>8</v>
      </c>
      <c r="M932" s="120"/>
      <c r="N932" s="120"/>
      <c r="O932" s="120"/>
      <c r="P932" s="14"/>
      <c r="Q932" s="14"/>
      <c r="R932" s="14"/>
      <c r="S932" s="14"/>
      <c r="T932" s="18"/>
      <c r="U932" s="18"/>
      <c r="V932" s="97"/>
    </row>
    <row r="933" spans="1:22" ht="18" hidden="1" customHeight="1">
      <c r="A933" s="216"/>
      <c r="B933" s="212"/>
      <c r="C933" s="212"/>
      <c r="D933" s="212"/>
      <c r="E933" s="212"/>
      <c r="F933" s="14"/>
      <c r="G933" s="212"/>
      <c r="H933" s="28"/>
      <c r="I933" s="103"/>
      <c r="J933" s="28"/>
      <c r="K933" s="14"/>
      <c r="L933" s="14"/>
      <c r="M933" s="212"/>
      <c r="N933" s="219"/>
      <c r="O933" s="212"/>
      <c r="P933" s="14"/>
      <c r="Q933" s="14"/>
      <c r="R933" s="14"/>
      <c r="S933" s="14"/>
      <c r="T933" s="18"/>
      <c r="U933" s="18"/>
      <c r="V933" s="97"/>
    </row>
    <row r="934" spans="1:22" ht="18" hidden="1" customHeight="1">
      <c r="A934" s="147" t="s">
        <v>629</v>
      </c>
      <c r="B934" s="5"/>
      <c r="C934" s="5"/>
      <c r="D934" s="5"/>
      <c r="E934" s="5"/>
      <c r="F934" s="212"/>
      <c r="G934" s="212"/>
      <c r="H934" s="5"/>
      <c r="I934" s="5"/>
      <c r="J934" s="5"/>
      <c r="K934" s="5"/>
      <c r="L934" s="103"/>
      <c r="M934" s="103"/>
      <c r="N934" s="103"/>
      <c r="O934" s="103"/>
      <c r="P934" s="212"/>
      <c r="Q934" s="213"/>
      <c r="R934" s="14"/>
      <c r="S934" s="220"/>
      <c r="T934" s="18"/>
      <c r="U934" s="18"/>
      <c r="V934" s="97"/>
    </row>
    <row r="935" spans="1:22" ht="18" hidden="1" customHeight="1">
      <c r="A935" s="147"/>
      <c r="B935" s="5"/>
      <c r="C935" s="5"/>
      <c r="D935" s="5"/>
      <c r="E935" s="5"/>
      <c r="F935" s="212"/>
      <c r="G935" s="212"/>
      <c r="H935" s="5"/>
      <c r="I935" s="5"/>
      <c r="J935" s="5"/>
      <c r="K935" s="5"/>
      <c r="L935" s="103"/>
      <c r="M935" s="103"/>
      <c r="N935" s="103"/>
      <c r="O935" s="103"/>
      <c r="P935" s="212"/>
      <c r="Q935" s="213"/>
      <c r="R935" s="14"/>
      <c r="S935" s="214"/>
      <c r="T935" s="18"/>
      <c r="U935" s="18"/>
      <c r="V935" s="97"/>
    </row>
    <row r="936" spans="1:22" ht="18" hidden="1" customHeight="1">
      <c r="A936" s="184"/>
      <c r="B936" s="14" t="s">
        <v>612</v>
      </c>
      <c r="C936" s="14"/>
      <c r="D936" s="14"/>
      <c r="E936" s="14"/>
      <c r="M936" s="120" t="s">
        <v>613</v>
      </c>
      <c r="N936" s="28" t="s">
        <v>127</v>
      </c>
      <c r="O936" s="689" t="s">
        <v>609</v>
      </c>
      <c r="P936" s="716"/>
      <c r="Q936" s="221" t="s">
        <v>630</v>
      </c>
      <c r="R936" s="221">
        <v>16</v>
      </c>
      <c r="S936" s="214"/>
      <c r="V936" s="185"/>
    </row>
    <row r="937" spans="1:22" ht="18" hidden="1" customHeight="1">
      <c r="A937" s="96"/>
      <c r="B937" s="5"/>
      <c r="C937" s="5"/>
      <c r="D937" s="5"/>
      <c r="E937" s="5"/>
      <c r="M937" s="250"/>
      <c r="N937" s="28" t="s">
        <v>127</v>
      </c>
      <c r="O937" s="689">
        <f>+J932</f>
        <v>437.38656756789834</v>
      </c>
      <c r="P937" s="716"/>
      <c r="Q937" s="221" t="s">
        <v>630</v>
      </c>
      <c r="R937" s="221">
        <v>16</v>
      </c>
      <c r="S937" s="214"/>
      <c r="V937" s="185"/>
    </row>
    <row r="938" spans="1:22" ht="18" hidden="1" customHeight="1">
      <c r="A938" s="96"/>
      <c r="B938" s="5"/>
      <c r="C938" s="5"/>
      <c r="D938" s="5"/>
      <c r="E938" s="5"/>
      <c r="M938" s="120" t="s">
        <v>613</v>
      </c>
      <c r="N938" s="28" t="s">
        <v>127</v>
      </c>
      <c r="O938" s="689">
        <f>O937*R937</f>
        <v>6998.1850810863734</v>
      </c>
      <c r="P938" s="716"/>
      <c r="Q938" s="241" t="s">
        <v>8</v>
      </c>
      <c r="R938" s="14"/>
      <c r="S938" s="214"/>
      <c r="V938" s="185"/>
    </row>
    <row r="939" spans="1:22" ht="18" hidden="1" customHeight="1">
      <c r="A939" s="96"/>
      <c r="B939" s="5"/>
      <c r="C939" s="5"/>
      <c r="D939" s="5"/>
      <c r="E939" s="5"/>
      <c r="M939" s="212"/>
      <c r="N939" s="212"/>
      <c r="O939" s="103"/>
      <c r="Q939" s="223"/>
      <c r="R939" s="14"/>
      <c r="S939" s="214"/>
      <c r="V939" s="185"/>
    </row>
    <row r="940" spans="1:22" ht="18" hidden="1" customHeight="1">
      <c r="A940" s="678" t="s">
        <v>633</v>
      </c>
      <c r="B940" s="1207"/>
      <c r="C940" s="1207"/>
      <c r="D940" s="1207"/>
      <c r="E940" s="1207"/>
      <c r="F940" s="1207"/>
      <c r="G940" s="1207"/>
      <c r="H940" s="1207"/>
      <c r="I940" s="1207"/>
      <c r="J940" s="1207"/>
      <c r="K940" s="1207"/>
      <c r="L940" s="1207"/>
      <c r="M940" s="1207"/>
      <c r="N940" s="1207"/>
      <c r="O940" s="1207"/>
      <c r="P940" s="1207"/>
      <c r="Q940" s="1207"/>
      <c r="R940" s="1207"/>
      <c r="S940" s="1207"/>
      <c r="T940" s="1207"/>
      <c r="U940" s="1207"/>
      <c r="V940" s="1208"/>
    </row>
    <row r="941" spans="1:22" ht="18" hidden="1" customHeight="1">
      <c r="A941" s="1209"/>
      <c r="B941" s="1207"/>
      <c r="C941" s="1207"/>
      <c r="D941" s="1207"/>
      <c r="E941" s="1207"/>
      <c r="F941" s="1207"/>
      <c r="G941" s="1207"/>
      <c r="H941" s="1207"/>
      <c r="I941" s="1207"/>
      <c r="J941" s="1207"/>
      <c r="K941" s="1207"/>
      <c r="L941" s="1207"/>
      <c r="M941" s="1207"/>
      <c r="N941" s="1207"/>
      <c r="O941" s="1207"/>
      <c r="P941" s="1207"/>
      <c r="Q941" s="1207"/>
      <c r="R941" s="1207"/>
      <c r="S941" s="1207"/>
      <c r="T941" s="1207"/>
      <c r="U941" s="1207"/>
      <c r="V941" s="1208"/>
    </row>
    <row r="942" spans="1:22" ht="18" hidden="1" customHeight="1">
      <c r="A942" s="231"/>
      <c r="B942" s="232"/>
      <c r="C942" s="232"/>
      <c r="D942" s="232"/>
      <c r="E942" s="232"/>
      <c r="F942" s="232"/>
      <c r="G942" s="232"/>
      <c r="H942" s="232"/>
      <c r="I942" s="232"/>
      <c r="J942" s="232"/>
      <c r="K942" s="232"/>
      <c r="L942" s="232"/>
      <c r="M942" s="232"/>
      <c r="N942" s="232"/>
      <c r="O942" s="232"/>
      <c r="P942" s="232"/>
      <c r="Q942" s="232"/>
      <c r="R942" s="232"/>
      <c r="S942" s="232"/>
      <c r="T942" s="232"/>
      <c r="U942" s="232"/>
      <c r="V942" s="233"/>
    </row>
    <row r="943" spans="1:22" ht="18" hidden="1" customHeight="1">
      <c r="A943" s="231"/>
      <c r="B943" s="232"/>
      <c r="C943" s="232"/>
      <c r="D943" s="232"/>
      <c r="E943" s="232"/>
      <c r="F943" s="232"/>
      <c r="G943" s="232"/>
      <c r="H943" s="232"/>
      <c r="I943" s="232"/>
      <c r="J943" s="232"/>
      <c r="K943" s="232"/>
      <c r="L943" s="232"/>
      <c r="M943" s="232"/>
      <c r="N943" s="232"/>
      <c r="O943" s="232"/>
      <c r="P943" s="232"/>
      <c r="Q943" s="232"/>
      <c r="R943" s="232"/>
      <c r="S943" s="232"/>
      <c r="T943" s="232"/>
      <c r="U943" s="232"/>
      <c r="V943" s="233"/>
    </row>
    <row r="944" spans="1:22" ht="18" hidden="1" customHeight="1">
      <c r="A944" s="231"/>
      <c r="B944" s="232"/>
      <c r="C944" s="232"/>
      <c r="D944" s="232"/>
      <c r="E944" s="232"/>
      <c r="F944" s="232"/>
      <c r="G944" s="232"/>
      <c r="H944" s="232"/>
      <c r="I944" s="232"/>
      <c r="J944" s="232"/>
      <c r="K944" s="232"/>
      <c r="L944" s="232"/>
      <c r="M944" s="232"/>
      <c r="N944" s="232"/>
      <c r="O944" s="232"/>
      <c r="P944" s="232"/>
      <c r="Q944" s="232"/>
      <c r="R944" s="232"/>
      <c r="S944" s="232"/>
      <c r="T944" s="232"/>
      <c r="U944" s="232"/>
      <c r="V944" s="233"/>
    </row>
    <row r="945" spans="1:22" ht="18" hidden="1" customHeight="1">
      <c r="A945" s="231"/>
      <c r="B945" s="232"/>
      <c r="C945" s="232"/>
      <c r="D945" s="232"/>
      <c r="E945" s="232"/>
      <c r="F945" s="232"/>
      <c r="G945" s="232"/>
      <c r="H945" s="232"/>
      <c r="I945" s="232"/>
      <c r="J945" s="232"/>
      <c r="K945" s="232"/>
      <c r="L945" s="232"/>
      <c r="M945" s="232"/>
      <c r="N945" s="232"/>
      <c r="O945" s="232"/>
      <c r="P945" s="232"/>
      <c r="Q945" s="232"/>
      <c r="R945" s="232"/>
      <c r="S945" s="232"/>
      <c r="T945" s="232"/>
      <c r="U945" s="232"/>
      <c r="V945" s="233"/>
    </row>
    <row r="946" spans="1:22" ht="18" hidden="1" customHeight="1">
      <c r="A946" s="231"/>
      <c r="B946" s="232"/>
      <c r="C946" s="232"/>
      <c r="D946" s="232"/>
      <c r="E946" s="232"/>
      <c r="F946" s="232"/>
      <c r="G946" s="232"/>
      <c r="H946" s="232"/>
      <c r="I946" s="232"/>
      <c r="J946" s="232"/>
      <c r="K946" s="232"/>
      <c r="L946" s="232"/>
      <c r="M946" s="232"/>
      <c r="N946" s="232"/>
      <c r="O946" s="232"/>
      <c r="P946" s="232"/>
      <c r="Q946" s="232"/>
      <c r="R946" s="232"/>
      <c r="S946" s="232"/>
      <c r="T946" s="232"/>
      <c r="U946" s="232"/>
      <c r="V946" s="233"/>
    </row>
    <row r="947" spans="1:22" ht="18" hidden="1" customHeight="1">
      <c r="A947" s="96"/>
      <c r="B947" s="5"/>
      <c r="C947" s="5"/>
      <c r="D947" s="5"/>
      <c r="E947" s="5"/>
      <c r="M947" s="212"/>
      <c r="N947" s="212"/>
      <c r="O947" s="103"/>
      <c r="Q947" s="223"/>
      <c r="R947" s="14"/>
      <c r="S947" s="214"/>
      <c r="V947" s="185"/>
    </row>
    <row r="948" spans="1:22" ht="18" hidden="1" customHeight="1">
      <c r="A948" s="184"/>
      <c r="V948" s="185"/>
    </row>
    <row r="949" spans="1:22" ht="18" hidden="1" customHeight="1">
      <c r="A949" s="184"/>
      <c r="V949" s="185"/>
    </row>
    <row r="950" spans="1:22" ht="18" hidden="1" customHeight="1">
      <c r="A950" s="194"/>
      <c r="B950" s="195"/>
      <c r="C950" s="195"/>
      <c r="D950" s="195"/>
      <c r="E950" s="195"/>
      <c r="F950" s="195"/>
      <c r="G950" s="195"/>
      <c r="H950" s="195"/>
      <c r="I950" s="195"/>
      <c r="J950" s="195"/>
      <c r="K950" s="195"/>
      <c r="L950" s="195"/>
      <c r="M950" s="195"/>
      <c r="N950" s="195"/>
      <c r="O950" s="195"/>
      <c r="P950" s="195"/>
      <c r="Q950" s="224"/>
      <c r="R950" s="182"/>
      <c r="S950" s="225"/>
      <c r="T950" s="195"/>
      <c r="U950" s="195"/>
      <c r="V950" s="134"/>
    </row>
    <row r="951" spans="1:22" ht="18" hidden="1" customHeight="1">
      <c r="A951" s="226"/>
      <c r="B951" s="227"/>
      <c r="C951" s="227"/>
      <c r="D951" s="227"/>
      <c r="E951" s="227"/>
      <c r="F951" s="227"/>
      <c r="G951" s="227"/>
      <c r="H951" s="227"/>
      <c r="I951" s="227"/>
      <c r="J951" s="227"/>
      <c r="K951" s="227"/>
      <c r="L951" s="227"/>
      <c r="M951" s="227"/>
      <c r="N951" s="227"/>
      <c r="O951" s="227"/>
      <c r="P951" s="227"/>
      <c r="Q951" s="227"/>
      <c r="R951" s="227"/>
      <c r="S951" s="227"/>
      <c r="T951" s="227"/>
      <c r="U951" s="227"/>
      <c r="V951" s="228"/>
    </row>
    <row r="952" spans="1:22" ht="18" hidden="1" customHeight="1">
      <c r="A952" s="799" t="s">
        <v>417</v>
      </c>
      <c r="B952" s="802"/>
      <c r="C952" s="802"/>
      <c r="D952" s="689">
        <v>30</v>
      </c>
      <c r="E952" s="689" t="s">
        <v>315</v>
      </c>
      <c r="F952" s="689" t="s">
        <v>609</v>
      </c>
      <c r="G952" s="684"/>
      <c r="H952" s="689" t="s">
        <v>315</v>
      </c>
      <c r="I952" s="708" t="s">
        <v>411</v>
      </c>
      <c r="J952" s="828"/>
      <c r="K952" s="689" t="s">
        <v>315</v>
      </c>
      <c r="L952" s="802" t="s">
        <v>419</v>
      </c>
      <c r="M952" s="716" t="s">
        <v>420</v>
      </c>
      <c r="N952" s="729" t="s">
        <v>347</v>
      </c>
      <c r="O952" s="716" t="s">
        <v>408</v>
      </c>
      <c r="P952" s="689" t="s">
        <v>347</v>
      </c>
      <c r="Q952" s="759" t="s">
        <v>421</v>
      </c>
      <c r="R952" s="797"/>
      <c r="S952" s="797"/>
      <c r="T952" s="798" t="s">
        <v>350</v>
      </c>
      <c r="U952" s="230" t="s">
        <v>422</v>
      </c>
      <c r="V952" s="97"/>
    </row>
    <row r="953" spans="1:22" ht="18" hidden="1" customHeight="1">
      <c r="A953" s="827"/>
      <c r="B953" s="802"/>
      <c r="C953" s="802"/>
      <c r="D953" s="689"/>
      <c r="E953" s="689"/>
      <c r="F953" s="684"/>
      <c r="G953" s="684"/>
      <c r="H953" s="689"/>
      <c r="I953" s="689" t="s">
        <v>423</v>
      </c>
      <c r="J953" s="723"/>
      <c r="K953" s="689"/>
      <c r="L953" s="802"/>
      <c r="M953" s="716"/>
      <c r="N953" s="729"/>
      <c r="O953" s="716"/>
      <c r="P953" s="689"/>
      <c r="Q953" s="28" t="s">
        <v>146</v>
      </c>
      <c r="R953" s="28" t="s">
        <v>315</v>
      </c>
      <c r="S953" s="28" t="s">
        <v>146</v>
      </c>
      <c r="T953" s="798"/>
      <c r="U953" s="14"/>
      <c r="V953" s="97"/>
    </row>
    <row r="954" spans="1:22" ht="18" hidden="1" customHeight="1">
      <c r="A954" s="184"/>
      <c r="V954" s="185"/>
    </row>
    <row r="955" spans="1:22" ht="18" hidden="1" customHeight="1">
      <c r="A955" s="799" t="s">
        <v>417</v>
      </c>
      <c r="B955" s="802"/>
      <c r="C955" s="802"/>
      <c r="D955" s="689">
        <v>2</v>
      </c>
      <c r="E955" s="689" t="s">
        <v>315</v>
      </c>
      <c r="F955" s="689" t="s">
        <v>613</v>
      </c>
      <c r="G955" s="684"/>
      <c r="H955" s="689" t="s">
        <v>315</v>
      </c>
      <c r="I955" s="708" t="s">
        <v>411</v>
      </c>
      <c r="J955" s="828"/>
      <c r="K955" s="689" t="s">
        <v>315</v>
      </c>
      <c r="L955" s="802" t="s">
        <v>419</v>
      </c>
      <c r="M955" s="716" t="s">
        <v>420</v>
      </c>
      <c r="N955" s="729" t="s">
        <v>347</v>
      </c>
      <c r="O955" s="716" t="s">
        <v>408</v>
      </c>
      <c r="P955" s="689" t="s">
        <v>347</v>
      </c>
      <c r="Q955" s="759" t="s">
        <v>421</v>
      </c>
      <c r="R955" s="797"/>
      <c r="S955" s="797"/>
      <c r="T955" s="798" t="s">
        <v>350</v>
      </c>
      <c r="U955" s="230" t="s">
        <v>426</v>
      </c>
      <c r="V955" s="97"/>
    </row>
    <row r="956" spans="1:22" ht="18" hidden="1" customHeight="1">
      <c r="A956" s="827"/>
      <c r="B956" s="802"/>
      <c r="C956" s="802"/>
      <c r="D956" s="689"/>
      <c r="E956" s="689"/>
      <c r="F956" s="684"/>
      <c r="G956" s="684"/>
      <c r="H956" s="689"/>
      <c r="I956" s="689" t="s">
        <v>423</v>
      </c>
      <c r="J956" s="723"/>
      <c r="K956" s="689"/>
      <c r="L956" s="802"/>
      <c r="M956" s="716"/>
      <c r="N956" s="729"/>
      <c r="O956" s="716"/>
      <c r="P956" s="689"/>
      <c r="Q956" s="28" t="s">
        <v>146</v>
      </c>
      <c r="R956" s="28" t="s">
        <v>315</v>
      </c>
      <c r="S956" s="28" t="s">
        <v>146</v>
      </c>
      <c r="T956" s="798"/>
      <c r="U956" s="14"/>
      <c r="V956" s="97"/>
    </row>
    <row r="957" spans="1:22" ht="18" hidden="1" customHeight="1">
      <c r="A957" s="184"/>
      <c r="V957" s="185"/>
    </row>
    <row r="958" spans="1:22" ht="18" hidden="1" customHeight="1">
      <c r="A958" s="678" t="s">
        <v>616</v>
      </c>
      <c r="B958" s="1207"/>
      <c r="C958" s="1207"/>
      <c r="D958" s="1207"/>
      <c r="E958" s="1207"/>
      <c r="F958" s="1207"/>
      <c r="G958" s="1207"/>
      <c r="H958" s="1207"/>
      <c r="I958" s="1207"/>
      <c r="J958" s="1207"/>
      <c r="K958" s="1207"/>
      <c r="L958" s="1207"/>
      <c r="M958" s="1207"/>
      <c r="N958" s="1207"/>
      <c r="O958" s="1207"/>
      <c r="P958" s="1207"/>
      <c r="Q958" s="1207"/>
      <c r="R958" s="1207"/>
      <c r="S958" s="1207"/>
      <c r="T958" s="1207"/>
      <c r="U958" s="1207"/>
      <c r="V958" s="1208"/>
    </row>
    <row r="959" spans="1:22" ht="18" hidden="1" customHeight="1">
      <c r="A959" s="1209"/>
      <c r="B959" s="1207"/>
      <c r="C959" s="1207"/>
      <c r="D959" s="1207"/>
      <c r="E959" s="1207"/>
      <c r="F959" s="1207"/>
      <c r="G959" s="1207"/>
      <c r="H959" s="1207"/>
      <c r="I959" s="1207"/>
      <c r="J959" s="1207"/>
      <c r="K959" s="1207"/>
      <c r="L959" s="1207"/>
      <c r="M959" s="1207"/>
      <c r="N959" s="1207"/>
      <c r="O959" s="1207"/>
      <c r="P959" s="1207"/>
      <c r="Q959" s="1207"/>
      <c r="R959" s="1207"/>
      <c r="S959" s="1207"/>
      <c r="T959" s="1207"/>
      <c r="U959" s="1207"/>
      <c r="V959" s="1208"/>
    </row>
    <row r="960" spans="1:22" ht="18" hidden="1" customHeight="1">
      <c r="A960" s="231"/>
      <c r="B960" s="232"/>
      <c r="C960" s="232"/>
      <c r="D960" s="232"/>
      <c r="E960" s="232"/>
      <c r="F960" s="232"/>
      <c r="G960" s="232"/>
      <c r="H960" s="232"/>
      <c r="I960" s="232"/>
      <c r="J960" s="232"/>
      <c r="K960" s="232"/>
      <c r="L960" s="232"/>
      <c r="M960" s="232"/>
      <c r="N960" s="232"/>
      <c r="O960" s="232"/>
      <c r="P960" s="232"/>
      <c r="Q960" s="232"/>
      <c r="R960" s="232"/>
      <c r="S960" s="232"/>
      <c r="T960" s="232"/>
      <c r="U960" s="232"/>
      <c r="V960" s="233"/>
    </row>
    <row r="961" spans="1:22" ht="18" hidden="1" customHeight="1">
      <c r="A961" s="799" t="s">
        <v>417</v>
      </c>
      <c r="B961" s="802"/>
      <c r="C961" s="802"/>
      <c r="D961" s="689"/>
      <c r="E961" s="689"/>
      <c r="F961" s="689" t="s">
        <v>617</v>
      </c>
      <c r="G961" s="684"/>
      <c r="H961" s="689" t="s">
        <v>315</v>
      </c>
      <c r="I961" s="708" t="s">
        <v>411</v>
      </c>
      <c r="J961" s="828"/>
      <c r="K961" s="689" t="s">
        <v>315</v>
      </c>
      <c r="L961" s="802" t="s">
        <v>419</v>
      </c>
      <c r="M961" s="716" t="s">
        <v>420</v>
      </c>
      <c r="N961" s="729" t="s">
        <v>347</v>
      </c>
      <c r="O961" s="716" t="s">
        <v>408</v>
      </c>
      <c r="P961" s="689" t="s">
        <v>347</v>
      </c>
      <c r="Q961" s="759" t="s">
        <v>421</v>
      </c>
      <c r="R961" s="797"/>
      <c r="S961" s="797"/>
      <c r="T961" s="798" t="s">
        <v>350</v>
      </c>
      <c r="U961" s="230" t="s">
        <v>618</v>
      </c>
      <c r="V961" s="97"/>
    </row>
    <row r="962" spans="1:22" ht="18" hidden="1" customHeight="1">
      <c r="A962" s="827"/>
      <c r="B962" s="802"/>
      <c r="C962" s="802"/>
      <c r="D962" s="689"/>
      <c r="E962" s="689"/>
      <c r="F962" s="684"/>
      <c r="G962" s="684"/>
      <c r="H962" s="689"/>
      <c r="I962" s="689" t="s">
        <v>423</v>
      </c>
      <c r="J962" s="723"/>
      <c r="K962" s="689"/>
      <c r="L962" s="802"/>
      <c r="M962" s="716"/>
      <c r="N962" s="729"/>
      <c r="O962" s="716"/>
      <c r="P962" s="689"/>
      <c r="Q962" s="28" t="s">
        <v>146</v>
      </c>
      <c r="R962" s="28" t="s">
        <v>315</v>
      </c>
      <c r="S962" s="28" t="s">
        <v>146</v>
      </c>
      <c r="T962" s="798"/>
      <c r="U962" s="14"/>
      <c r="V962" s="97"/>
    </row>
    <row r="963" spans="1:22" ht="18" hidden="1" customHeight="1">
      <c r="A963" s="96"/>
      <c r="B963" s="14"/>
      <c r="C963" s="14"/>
      <c r="D963" s="28"/>
      <c r="E963" s="28"/>
      <c r="F963" s="27"/>
      <c r="G963" s="27"/>
      <c r="H963" s="28"/>
      <c r="I963" s="28"/>
      <c r="K963" s="28"/>
      <c r="L963" s="120"/>
      <c r="M963" s="14"/>
      <c r="N963" s="102"/>
      <c r="O963" s="14"/>
      <c r="P963" s="28"/>
      <c r="Q963" s="28"/>
      <c r="R963" s="28"/>
      <c r="S963" s="28"/>
      <c r="T963" s="40"/>
      <c r="U963" s="14"/>
      <c r="V963" s="97"/>
    </row>
    <row r="964" spans="1:22" ht="18" hidden="1" customHeight="1">
      <c r="A964" s="184"/>
      <c r="H964" s="30" t="s">
        <v>619</v>
      </c>
      <c r="M964" s="854" t="str">
        <f>M832</f>
        <v>N</v>
      </c>
      <c r="N964" s="831"/>
      <c r="V964" s="185"/>
    </row>
    <row r="965" spans="1:22" ht="18" hidden="1" customHeight="1">
      <c r="A965" s="96"/>
      <c r="B965" s="14"/>
      <c r="C965" s="14"/>
      <c r="D965" s="28"/>
      <c r="E965" s="28"/>
      <c r="F965" s="27"/>
      <c r="G965" s="27"/>
      <c r="H965" s="28"/>
      <c r="I965" s="28"/>
      <c r="K965" s="28"/>
      <c r="L965" s="120"/>
      <c r="M965" s="14"/>
      <c r="N965" s="102"/>
      <c r="O965" s="14"/>
      <c r="P965" s="28"/>
      <c r="Q965" s="28"/>
      <c r="R965" s="28"/>
      <c r="S965" s="28"/>
      <c r="T965" s="40"/>
      <c r="U965" s="14"/>
      <c r="V965" s="97"/>
    </row>
    <row r="966" spans="1:22" ht="18" hidden="1" customHeight="1">
      <c r="A966" s="184"/>
      <c r="B966" s="14" t="s">
        <v>427</v>
      </c>
      <c r="C966" s="14"/>
      <c r="D966" s="103"/>
      <c r="E966" s="103"/>
      <c r="F966" s="14"/>
      <c r="G966" s="14"/>
      <c r="H966" s="5"/>
      <c r="I966" s="5"/>
      <c r="J966" s="5"/>
      <c r="P966" s="120" t="s">
        <v>428</v>
      </c>
      <c r="V966" s="185"/>
    </row>
    <row r="967" spans="1:22" ht="18" hidden="1" customHeight="1">
      <c r="A967" s="184"/>
      <c r="B967" s="14" t="s">
        <v>429</v>
      </c>
      <c r="C967" s="14"/>
      <c r="D967" s="103"/>
      <c r="E967" s="103"/>
      <c r="F967" s="14"/>
      <c r="G967" s="14"/>
      <c r="H967" s="5"/>
      <c r="I967" s="5"/>
      <c r="J967" s="5"/>
      <c r="P967" s="120" t="s">
        <v>430</v>
      </c>
      <c r="Q967" s="234" t="s">
        <v>127</v>
      </c>
      <c r="R967" s="684" t="str">
        <f>L911</f>
        <v>-</v>
      </c>
      <c r="S967" s="684"/>
      <c r="T967" s="14" t="s">
        <v>8</v>
      </c>
      <c r="V967" s="185"/>
    </row>
    <row r="968" spans="1:22" ht="18" hidden="1" customHeight="1">
      <c r="A968" s="184"/>
      <c r="B968" s="14" t="s">
        <v>621</v>
      </c>
      <c r="C968" s="14"/>
      <c r="D968" s="14"/>
      <c r="E968" s="14"/>
      <c r="F968" s="14"/>
      <c r="G968" s="14"/>
      <c r="H968" s="14"/>
      <c r="I968" s="14"/>
      <c r="J968" s="14"/>
      <c r="P968" s="120" t="s">
        <v>609</v>
      </c>
      <c r="Q968" s="234" t="s">
        <v>127</v>
      </c>
      <c r="R968" s="684">
        <f>J932</f>
        <v>437.38656756789834</v>
      </c>
      <c r="S968" s="684"/>
      <c r="T968" s="14" t="s">
        <v>8</v>
      </c>
      <c r="V968" s="185"/>
    </row>
    <row r="969" spans="1:22" ht="18" hidden="1" customHeight="1">
      <c r="A969" s="184"/>
      <c r="B969" s="14" t="s">
        <v>622</v>
      </c>
      <c r="C969" s="14"/>
      <c r="D969" s="14"/>
      <c r="E969" s="14"/>
      <c r="F969" s="14"/>
      <c r="G969" s="14"/>
      <c r="H969" s="14"/>
      <c r="I969" s="14"/>
      <c r="J969" s="14"/>
      <c r="P969" s="120" t="s">
        <v>613</v>
      </c>
      <c r="Q969" s="234" t="s">
        <v>127</v>
      </c>
      <c r="R969" s="684">
        <f>O938</f>
        <v>6998.1850810863734</v>
      </c>
      <c r="S969" s="684"/>
      <c r="T969" s="14" t="s">
        <v>8</v>
      </c>
      <c r="V969" s="185"/>
    </row>
    <row r="970" spans="1:22" ht="18" hidden="1" customHeight="1">
      <c r="A970" s="184"/>
      <c r="B970" s="235" t="s">
        <v>623</v>
      </c>
      <c r="C970" s="14"/>
      <c r="D970" s="14"/>
      <c r="E970" s="14"/>
      <c r="F970" s="14"/>
      <c r="G970" s="14"/>
      <c r="H970" s="14"/>
      <c r="I970" s="14"/>
      <c r="J970" s="14"/>
      <c r="P970" s="120"/>
      <c r="Q970" s="236"/>
      <c r="R970" s="27"/>
      <c r="S970" s="27"/>
      <c r="T970" s="14"/>
      <c r="V970" s="185"/>
    </row>
    <row r="971" spans="1:22" ht="18" hidden="1" customHeight="1">
      <c r="A971" s="184"/>
      <c r="B971" s="14" t="s">
        <v>622</v>
      </c>
      <c r="C971" s="14"/>
      <c r="D971" s="14"/>
      <c r="E971" s="14"/>
      <c r="F971" s="14"/>
      <c r="G971" s="14"/>
      <c r="H971" s="14"/>
      <c r="I971" s="14"/>
      <c r="J971" s="14"/>
      <c r="P971" s="120" t="s">
        <v>617</v>
      </c>
      <c r="Q971" s="234" t="s">
        <v>127</v>
      </c>
      <c r="R971" s="684" t="str">
        <f>R839</f>
        <v>-</v>
      </c>
      <c r="S971" s="684"/>
      <c r="T971" s="14" t="s">
        <v>8</v>
      </c>
      <c r="V971" s="185"/>
    </row>
    <row r="972" spans="1:22" ht="18" hidden="1" customHeight="1">
      <c r="A972" s="184"/>
      <c r="B972" s="235" t="s">
        <v>645</v>
      </c>
      <c r="C972" s="14"/>
      <c r="D972" s="14"/>
      <c r="E972" s="14"/>
      <c r="F972" s="14"/>
      <c r="G972" s="14"/>
      <c r="H972" s="14"/>
      <c r="I972" s="14"/>
      <c r="J972" s="14"/>
      <c r="R972" s="27"/>
      <c r="S972" s="27"/>
      <c r="T972" s="14"/>
      <c r="V972" s="185"/>
    </row>
    <row r="973" spans="1:22" ht="18" hidden="1" customHeight="1">
      <c r="A973" s="184"/>
      <c r="B973" s="14" t="s">
        <v>435</v>
      </c>
      <c r="C973" s="14"/>
      <c r="D973" s="103"/>
      <c r="E973" s="103"/>
      <c r="F973" s="14"/>
      <c r="G973" s="14"/>
      <c r="H973" s="5"/>
      <c r="I973" s="5"/>
      <c r="J973" s="5"/>
      <c r="P973" s="120" t="s">
        <v>436</v>
      </c>
      <c r="Q973" s="234" t="s">
        <v>127</v>
      </c>
      <c r="R973" s="684">
        <f>O911</f>
        <v>1</v>
      </c>
      <c r="S973" s="684"/>
      <c r="T973" s="14" t="s">
        <v>8</v>
      </c>
      <c r="V973" s="185"/>
    </row>
    <row r="974" spans="1:22" ht="18" hidden="1" customHeight="1">
      <c r="A974" s="184"/>
      <c r="B974" s="14" t="s">
        <v>437</v>
      </c>
      <c r="C974" s="14"/>
      <c r="D974" s="103"/>
      <c r="E974" s="103"/>
      <c r="F974" s="14"/>
      <c r="G974" s="14"/>
      <c r="H974" s="5"/>
      <c r="I974" s="5"/>
      <c r="J974" s="5"/>
      <c r="P974" s="120" t="s">
        <v>438</v>
      </c>
      <c r="Q974" s="234" t="s">
        <v>127</v>
      </c>
      <c r="R974" s="684">
        <f>R842</f>
        <v>1</v>
      </c>
      <c r="S974" s="684"/>
      <c r="T974" s="14" t="s">
        <v>8</v>
      </c>
      <c r="V974" s="185"/>
    </row>
    <row r="975" spans="1:22" ht="18" hidden="1" customHeight="1">
      <c r="A975" s="184"/>
      <c r="B975" s="14" t="s">
        <v>439</v>
      </c>
      <c r="C975" s="14"/>
      <c r="D975" s="103"/>
      <c r="E975" s="103"/>
      <c r="F975" s="14"/>
      <c r="G975" s="14"/>
      <c r="H975" s="5"/>
      <c r="I975" s="5"/>
      <c r="J975" s="5"/>
      <c r="P975" s="120" t="s">
        <v>440</v>
      </c>
      <c r="Q975" s="234" t="s">
        <v>127</v>
      </c>
      <c r="R975" s="684" t="str">
        <f>L913</f>
        <v>-</v>
      </c>
      <c r="S975" s="684"/>
      <c r="T975" s="192" t="s">
        <v>333</v>
      </c>
      <c r="V975" s="185"/>
    </row>
    <row r="976" spans="1:22" ht="18" hidden="1" customHeight="1">
      <c r="A976" s="184"/>
      <c r="B976" s="14" t="s">
        <v>625</v>
      </c>
      <c r="C976" s="14"/>
      <c r="D976" s="14"/>
      <c r="E976" s="14"/>
      <c r="F976" s="14"/>
      <c r="G976" s="14"/>
      <c r="H976" s="14"/>
      <c r="I976" s="14"/>
      <c r="J976" s="14"/>
      <c r="P976" s="237" t="s">
        <v>441</v>
      </c>
      <c r="Q976" s="234" t="s">
        <v>127</v>
      </c>
      <c r="R976" s="795">
        <f>P923</f>
        <v>1.0770224400000001</v>
      </c>
      <c r="S976" s="684"/>
      <c r="T976" s="192" t="s">
        <v>333</v>
      </c>
      <c r="V976" s="185"/>
    </row>
    <row r="977" spans="1:22" ht="18" hidden="1" customHeight="1">
      <c r="A977" s="184"/>
      <c r="B977" s="40" t="s">
        <v>442</v>
      </c>
      <c r="C977" s="14"/>
      <c r="D977" s="14"/>
      <c r="E977" s="14"/>
      <c r="F977" s="14"/>
      <c r="G977" s="14"/>
      <c r="H977" s="5"/>
      <c r="I977" s="5"/>
      <c r="J977" s="5"/>
      <c r="P977" s="237" t="s">
        <v>443</v>
      </c>
      <c r="Q977" s="234" t="s">
        <v>127</v>
      </c>
      <c r="R977" s="795">
        <f>J919</f>
        <v>0.02</v>
      </c>
      <c r="S977" s="684"/>
      <c r="T977" s="14" t="s">
        <v>157</v>
      </c>
      <c r="V977" s="185"/>
    </row>
    <row r="978" spans="1:22" ht="18" hidden="1" customHeight="1">
      <c r="A978" s="184"/>
      <c r="V978" s="185"/>
    </row>
    <row r="979" spans="1:22" ht="18" hidden="1" customHeight="1">
      <c r="A979" s="799" t="s">
        <v>417</v>
      </c>
      <c r="B979" s="802"/>
      <c r="C979" s="802"/>
      <c r="D979" s="689">
        <v>30</v>
      </c>
      <c r="E979" s="689" t="s">
        <v>315</v>
      </c>
      <c r="F979" s="689">
        <f>R968</f>
        <v>437.38656756789834</v>
      </c>
      <c r="G979" s="684"/>
      <c r="H979" s="689" t="s">
        <v>315</v>
      </c>
      <c r="I979" s="708">
        <f>R973</f>
        <v>1</v>
      </c>
      <c r="J979" s="828"/>
      <c r="K979" s="689" t="s">
        <v>315</v>
      </c>
      <c r="L979" s="716" t="s">
        <v>419</v>
      </c>
      <c r="M979" s="716" t="str">
        <f>R975</f>
        <v>-</v>
      </c>
      <c r="N979" s="729" t="s">
        <v>347</v>
      </c>
      <c r="O979" s="1214">
        <f>R976</f>
        <v>1.0770224400000001</v>
      </c>
      <c r="P979" s="689" t="s">
        <v>347</v>
      </c>
      <c r="Q979" s="833">
        <f>R977</f>
        <v>0.02</v>
      </c>
      <c r="R979" s="797"/>
      <c r="S979" s="797"/>
      <c r="T979" s="798" t="s">
        <v>350</v>
      </c>
      <c r="U979" s="230" t="s">
        <v>422</v>
      </c>
      <c r="V979" s="97"/>
    </row>
    <row r="980" spans="1:22" ht="18" hidden="1" customHeight="1">
      <c r="A980" s="827"/>
      <c r="B980" s="802"/>
      <c r="C980" s="802"/>
      <c r="D980" s="689"/>
      <c r="E980" s="689"/>
      <c r="F980" s="684"/>
      <c r="G980" s="684"/>
      <c r="H980" s="689"/>
      <c r="I980" s="689" t="str">
        <f>R967</f>
        <v>-</v>
      </c>
      <c r="J980" s="723"/>
      <c r="K980" s="689"/>
      <c r="L980" s="716"/>
      <c r="M980" s="716"/>
      <c r="N980" s="729"/>
      <c r="O980" s="716"/>
      <c r="P980" s="689"/>
      <c r="Q980" s="28">
        <f>R974</f>
        <v>1</v>
      </c>
      <c r="R980" s="28" t="s">
        <v>315</v>
      </c>
      <c r="S980" s="28">
        <f>R974</f>
        <v>1</v>
      </c>
      <c r="T980" s="798"/>
      <c r="U980" s="14"/>
      <c r="V980" s="97"/>
    </row>
    <row r="981" spans="1:22" ht="18" hidden="1" customHeight="1">
      <c r="A981" s="184"/>
      <c r="V981" s="185"/>
    </row>
    <row r="982" spans="1:22" ht="18" hidden="1" customHeight="1">
      <c r="A982" s="184"/>
      <c r="C982" s="30" t="s">
        <v>127</v>
      </c>
      <c r="D982" s="812" t="e">
        <f>D979*F979*(I979/I980)*(M979+O979+(Q979/(Q980*S980)))</f>
        <v>#VALUE!</v>
      </c>
      <c r="E982" s="813"/>
      <c r="F982" s="30" t="s">
        <v>305</v>
      </c>
      <c r="V982" s="185"/>
    </row>
    <row r="983" spans="1:22" ht="18" hidden="1" customHeight="1">
      <c r="A983" s="184"/>
      <c r="V983" s="185"/>
    </row>
    <row r="984" spans="1:22" ht="18" hidden="1" customHeight="1">
      <c r="A984" s="799" t="s">
        <v>417</v>
      </c>
      <c r="B984" s="802"/>
      <c r="C984" s="802"/>
      <c r="D984" s="689">
        <v>2</v>
      </c>
      <c r="E984" s="689" t="s">
        <v>315</v>
      </c>
      <c r="F984" s="689">
        <f>R969</f>
        <v>6998.1850810863734</v>
      </c>
      <c r="G984" s="684"/>
      <c r="H984" s="689" t="s">
        <v>315</v>
      </c>
      <c r="I984" s="708">
        <f>R973</f>
        <v>1</v>
      </c>
      <c r="J984" s="828"/>
      <c r="K984" s="689" t="s">
        <v>315</v>
      </c>
      <c r="L984" s="802" t="s">
        <v>419</v>
      </c>
      <c r="M984" s="716" t="str">
        <f>R975</f>
        <v>-</v>
      </c>
      <c r="N984" s="729" t="s">
        <v>347</v>
      </c>
      <c r="O984" s="1214">
        <f>R976</f>
        <v>1.0770224400000001</v>
      </c>
      <c r="P984" s="689" t="s">
        <v>347</v>
      </c>
      <c r="Q984" s="833">
        <f>R977</f>
        <v>0.02</v>
      </c>
      <c r="R984" s="797"/>
      <c r="S984" s="797"/>
      <c r="T984" s="798" t="s">
        <v>350</v>
      </c>
      <c r="U984" s="230" t="s">
        <v>426</v>
      </c>
      <c r="V984" s="97"/>
    </row>
    <row r="985" spans="1:22" ht="18" hidden="1" customHeight="1">
      <c r="A985" s="827"/>
      <c r="B985" s="802"/>
      <c r="C985" s="802"/>
      <c r="D985" s="689"/>
      <c r="E985" s="689"/>
      <c r="F985" s="684"/>
      <c r="G985" s="684"/>
      <c r="H985" s="689"/>
      <c r="I985" s="689" t="str">
        <f>R967</f>
        <v>-</v>
      </c>
      <c r="J985" s="723"/>
      <c r="K985" s="689"/>
      <c r="L985" s="802"/>
      <c r="M985" s="716"/>
      <c r="N985" s="729"/>
      <c r="O985" s="716"/>
      <c r="P985" s="689"/>
      <c r="Q985" s="28">
        <f>R974</f>
        <v>1</v>
      </c>
      <c r="R985" s="28" t="s">
        <v>315</v>
      </c>
      <c r="S985" s="28">
        <f>R974</f>
        <v>1</v>
      </c>
      <c r="T985" s="798"/>
      <c r="U985" s="14"/>
      <c r="V985" s="97"/>
    </row>
    <row r="986" spans="1:22" ht="18" hidden="1" customHeight="1">
      <c r="A986" s="184"/>
      <c r="L986" s="244"/>
      <c r="V986" s="185"/>
    </row>
    <row r="987" spans="1:22" ht="18" hidden="1" customHeight="1">
      <c r="A987" s="184"/>
      <c r="C987" s="30" t="s">
        <v>127</v>
      </c>
      <c r="D987" s="812" t="e">
        <f>D984*F984*(I984/I985)*(M984+O984+(Q984/(Q985*S985)))</f>
        <v>#VALUE!</v>
      </c>
      <c r="E987" s="813"/>
      <c r="F987" s="30" t="s">
        <v>305</v>
      </c>
      <c r="L987" s="244"/>
      <c r="V987" s="185"/>
    </row>
    <row r="988" spans="1:22" ht="18" hidden="1" customHeight="1">
      <c r="A988" s="184"/>
      <c r="L988" s="244"/>
      <c r="V988" s="185"/>
    </row>
    <row r="989" spans="1:22" ht="18" hidden="1" customHeight="1">
      <c r="A989" s="799" t="s">
        <v>417</v>
      </c>
      <c r="B989" s="802"/>
      <c r="C989" s="802"/>
      <c r="D989" s="689"/>
      <c r="E989" s="689"/>
      <c r="F989" s="689" t="str">
        <f>R971</f>
        <v>-</v>
      </c>
      <c r="G989" s="684"/>
      <c r="H989" s="689" t="s">
        <v>315</v>
      </c>
      <c r="I989" s="708">
        <f>R973</f>
        <v>1</v>
      </c>
      <c r="J989" s="828"/>
      <c r="K989" s="689" t="s">
        <v>315</v>
      </c>
      <c r="L989" s="802" t="s">
        <v>419</v>
      </c>
      <c r="M989" s="716" t="str">
        <f>R975</f>
        <v>-</v>
      </c>
      <c r="N989" s="729" t="s">
        <v>347</v>
      </c>
      <c r="O989" s="1214">
        <f>R976</f>
        <v>1.0770224400000001</v>
      </c>
      <c r="P989" s="689" t="s">
        <v>347</v>
      </c>
      <c r="Q989" s="833">
        <f>R977</f>
        <v>0.02</v>
      </c>
      <c r="R989" s="797"/>
      <c r="S989" s="797"/>
      <c r="T989" s="798" t="s">
        <v>350</v>
      </c>
      <c r="U989" s="230" t="s">
        <v>618</v>
      </c>
      <c r="V989" s="97"/>
    </row>
    <row r="990" spans="1:22" ht="18" hidden="1" customHeight="1">
      <c r="A990" s="827"/>
      <c r="B990" s="802"/>
      <c r="C990" s="802"/>
      <c r="D990" s="689"/>
      <c r="E990" s="689"/>
      <c r="F990" s="684"/>
      <c r="G990" s="684"/>
      <c r="H990" s="689"/>
      <c r="I990" s="689" t="str">
        <f>R967</f>
        <v>-</v>
      </c>
      <c r="J990" s="723"/>
      <c r="K990" s="689"/>
      <c r="L990" s="802"/>
      <c r="M990" s="716"/>
      <c r="N990" s="729"/>
      <c r="O990" s="716"/>
      <c r="P990" s="689"/>
      <c r="Q990" s="28">
        <f>R974</f>
        <v>1</v>
      </c>
      <c r="R990" s="28" t="s">
        <v>315</v>
      </c>
      <c r="S990" s="28">
        <f>R974</f>
        <v>1</v>
      </c>
      <c r="T990" s="798"/>
      <c r="U990" s="14"/>
      <c r="V990" s="97"/>
    </row>
    <row r="991" spans="1:22" ht="18" hidden="1" customHeight="1">
      <c r="A991" s="184"/>
      <c r="V991" s="185"/>
    </row>
    <row r="992" spans="1:22" ht="18" hidden="1" customHeight="1">
      <c r="A992" s="184"/>
      <c r="C992" s="30" t="s">
        <v>127</v>
      </c>
      <c r="D992" s="812" t="e">
        <f>F989*(I989/I990)*(M989+O989+(Q989/(Q990*S990)))</f>
        <v>#VALUE!</v>
      </c>
      <c r="E992" s="813"/>
      <c r="F992" s="30" t="s">
        <v>305</v>
      </c>
      <c r="G992" s="187" t="s">
        <v>378</v>
      </c>
      <c r="H992" s="186" t="str">
        <f>IF(M964="y","Applicable","Not applicable")</f>
        <v>Not applicable</v>
      </c>
      <c r="V992" s="185"/>
    </row>
    <row r="993" spans="1:22" ht="18" hidden="1" customHeight="1">
      <c r="A993" s="184"/>
      <c r="V993" s="185"/>
    </row>
    <row r="994" spans="1:22" ht="18" hidden="1" customHeight="1">
      <c r="A994" s="194"/>
      <c r="B994" s="195"/>
      <c r="C994" s="195"/>
      <c r="D994" s="195"/>
      <c r="E994" s="195"/>
      <c r="F994" s="195"/>
      <c r="G994" s="195"/>
      <c r="H994" s="195"/>
      <c r="I994" s="195"/>
      <c r="J994" s="195"/>
      <c r="K994" s="195"/>
      <c r="L994" s="195"/>
      <c r="M994" s="195"/>
      <c r="N994" s="195"/>
      <c r="O994" s="195"/>
      <c r="P994" s="195"/>
      <c r="Q994" s="224"/>
      <c r="R994" s="182"/>
      <c r="S994" s="225"/>
      <c r="T994" s="195"/>
      <c r="U994" s="195"/>
      <c r="V994" s="134"/>
    </row>
    <row r="995" spans="1:22" ht="18" hidden="1" customHeight="1">
      <c r="A995" s="226"/>
      <c r="B995" s="227"/>
      <c r="C995" s="227"/>
      <c r="D995" s="227"/>
      <c r="E995" s="227"/>
      <c r="F995" s="227"/>
      <c r="G995" s="227"/>
      <c r="H995" s="227"/>
      <c r="I995" s="227"/>
      <c r="J995" s="227"/>
      <c r="K995" s="227"/>
      <c r="L995" s="227"/>
      <c r="M995" s="227"/>
      <c r="N995" s="227"/>
      <c r="O995" s="227"/>
      <c r="P995" s="227"/>
      <c r="Q995" s="227"/>
      <c r="R995" s="227"/>
      <c r="S995" s="227"/>
      <c r="T995" s="227"/>
      <c r="U995" s="227"/>
      <c r="V995" s="228"/>
    </row>
    <row r="996" spans="1:22" ht="18" hidden="1" customHeight="1">
      <c r="A996" s="184" t="s">
        <v>634</v>
      </c>
      <c r="M996" s="825" t="str">
        <f>R967</f>
        <v>-</v>
      </c>
      <c r="N996" s="826"/>
      <c r="O996" s="30" t="s">
        <v>470</v>
      </c>
      <c r="Q996" s="812" t="e">
        <f>IF(M964="Y",MAX(D982,D992),MAX(D982,D987))</f>
        <v>#VALUE!</v>
      </c>
      <c r="R996" s="820"/>
      <c r="S996" s="30" t="s">
        <v>305</v>
      </c>
      <c r="V996" s="185"/>
    </row>
    <row r="997" spans="1:22" ht="18" hidden="1" customHeight="1">
      <c r="A997" s="184"/>
      <c r="M997" s="247"/>
      <c r="N997" s="247"/>
      <c r="Q997" s="211"/>
      <c r="R997" s="27"/>
      <c r="V997" s="185"/>
    </row>
    <row r="998" spans="1:22" ht="18" hidden="1" customHeight="1">
      <c r="A998" s="248" t="s">
        <v>471</v>
      </c>
      <c r="B998" s="14"/>
      <c r="C998" s="14"/>
      <c r="D998" s="249"/>
      <c r="E998" s="14"/>
      <c r="F998" s="14"/>
      <c r="G998" s="47"/>
      <c r="H998" s="14"/>
      <c r="J998" s="14"/>
      <c r="K998" s="14"/>
      <c r="L998" s="14"/>
      <c r="M998" s="14"/>
      <c r="N998" s="14"/>
      <c r="O998" s="14"/>
      <c r="P998" s="250"/>
      <c r="Q998" s="251"/>
      <c r="R998" s="47"/>
      <c r="S998" s="14"/>
      <c r="V998" s="185"/>
    </row>
    <row r="999" spans="1:22" ht="18" hidden="1" customHeight="1">
      <c r="A999" s="248"/>
      <c r="B999" s="14"/>
      <c r="C999" s="14"/>
      <c r="D999" s="249"/>
      <c r="E999" s="14"/>
      <c r="F999" s="14"/>
      <c r="G999" s="47"/>
      <c r="H999" s="14"/>
      <c r="J999" s="14"/>
      <c r="K999" s="14"/>
      <c r="L999" s="14"/>
      <c r="M999" s="14"/>
      <c r="N999" s="14"/>
      <c r="O999" s="14"/>
      <c r="P999" s="250"/>
      <c r="Q999" s="251"/>
      <c r="R999" s="47"/>
      <c r="S999" s="14"/>
      <c r="V999" s="185"/>
    </row>
    <row r="1000" spans="1:22" ht="18" hidden="1" customHeight="1">
      <c r="A1000" s="96" t="s">
        <v>500</v>
      </c>
      <c r="V1000" s="185"/>
    </row>
    <row r="1001" spans="1:22" ht="18" hidden="1" customHeight="1">
      <c r="A1001" s="184"/>
      <c r="N1001" s="14"/>
      <c r="O1001" s="14" t="s">
        <v>473</v>
      </c>
      <c r="P1001" s="102" t="s">
        <v>127</v>
      </c>
      <c r="Q1001" s="249" t="s">
        <v>474</v>
      </c>
      <c r="R1001" s="14"/>
      <c r="S1001" s="28" t="s">
        <v>315</v>
      </c>
      <c r="T1001" s="28">
        <v>0.8</v>
      </c>
      <c r="V1001" s="185"/>
    </row>
    <row r="1002" spans="1:22" ht="18" hidden="1" customHeight="1">
      <c r="A1002" s="184"/>
      <c r="N1002" s="252"/>
      <c r="O1002" s="14"/>
      <c r="P1002" s="102" t="s">
        <v>127</v>
      </c>
      <c r="Q1002" s="829" t="e">
        <f>+Q996</f>
        <v>#VALUE!</v>
      </c>
      <c r="R1002" s="829"/>
      <c r="S1002" s="222" t="s">
        <v>315</v>
      </c>
      <c r="T1002" s="253">
        <f>+T1001</f>
        <v>0.8</v>
      </c>
      <c r="V1002" s="185"/>
    </row>
    <row r="1003" spans="1:22" ht="18" hidden="1" customHeight="1">
      <c r="A1003" s="184"/>
      <c r="O1003" s="14"/>
      <c r="P1003" s="28" t="s">
        <v>127</v>
      </c>
      <c r="Q1003" s="830" t="e">
        <f>Q1002*T1002</f>
        <v>#VALUE!</v>
      </c>
      <c r="R1003" s="1270"/>
      <c r="S1003" s="47" t="s">
        <v>305</v>
      </c>
      <c r="T1003" s="14"/>
      <c r="V1003" s="185"/>
    </row>
    <row r="1004" spans="1:22" ht="18" hidden="1" customHeight="1">
      <c r="A1004" s="184"/>
      <c r="V1004" s="185"/>
    </row>
    <row r="1005" spans="1:22" ht="18" hidden="1" customHeight="1">
      <c r="A1005" s="184"/>
      <c r="D1005" s="30" t="s">
        <v>475</v>
      </c>
      <c r="G1005" s="27" t="e">
        <f>IF(E1006&gt;H1006,"&gt;","&lt;")</f>
        <v>#VALUE!</v>
      </c>
      <c r="H1005" s="30" t="s">
        <v>477</v>
      </c>
      <c r="V1005" s="185"/>
    </row>
    <row r="1006" spans="1:22" ht="18" hidden="1" customHeight="1">
      <c r="A1006" s="184"/>
      <c r="E1006" s="684" t="str">
        <f>L914</f>
        <v>-</v>
      </c>
      <c r="F1006" s="684"/>
      <c r="G1006" s="27" t="e">
        <f>G1005</f>
        <v>#VALUE!</v>
      </c>
      <c r="H1006" s="795" t="e">
        <f>Q1003</f>
        <v>#VALUE!</v>
      </c>
      <c r="I1006" s="684"/>
      <c r="V1006" s="185"/>
    </row>
    <row r="1007" spans="1:22" ht="18" hidden="1" customHeight="1">
      <c r="A1007" s="184"/>
      <c r="F1007" s="244" t="s">
        <v>478</v>
      </c>
      <c r="H1007" s="18" t="e">
        <f>IF(G1005="&gt;","Suitably Dimensioned","Under Dimensioned")</f>
        <v>#VALUE!</v>
      </c>
      <c r="V1007" s="185"/>
    </row>
    <row r="1008" spans="1:22" ht="18" hidden="1" customHeight="1">
      <c r="A1008" s="184"/>
      <c r="F1008" s="244"/>
      <c r="H1008" s="18"/>
      <c r="V1008" s="185"/>
    </row>
    <row r="1009" spans="1:22" ht="18" hidden="1" customHeight="1">
      <c r="A1009" s="184"/>
      <c r="F1009" s="244"/>
      <c r="H1009" s="18"/>
      <c r="V1009" s="185"/>
    </row>
    <row r="1010" spans="1:22" ht="18" hidden="1" customHeight="1">
      <c r="A1010" s="184"/>
      <c r="F1010" s="244"/>
      <c r="H1010" s="18"/>
      <c r="V1010" s="185"/>
    </row>
    <row r="1011" spans="1:22" ht="18" hidden="1" customHeight="1">
      <c r="A1011" s="184"/>
      <c r="F1011" s="244"/>
      <c r="H1011" s="18"/>
      <c r="V1011" s="185"/>
    </row>
    <row r="1012" spans="1:22" ht="18" hidden="1" customHeight="1">
      <c r="A1012" s="184"/>
      <c r="F1012" s="244"/>
      <c r="H1012" s="18"/>
      <c r="V1012" s="185"/>
    </row>
    <row r="1013" spans="1:22" ht="18" hidden="1" customHeight="1">
      <c r="A1013" s="184"/>
      <c r="F1013" s="244"/>
      <c r="H1013" s="18"/>
      <c r="V1013" s="185"/>
    </row>
    <row r="1014" spans="1:22" ht="18" hidden="1" customHeight="1">
      <c r="A1014" s="184"/>
      <c r="F1014" s="244"/>
      <c r="H1014" s="18"/>
      <c r="V1014" s="185"/>
    </row>
    <row r="1015" spans="1:22" ht="18" hidden="1" customHeight="1">
      <c r="A1015" s="184"/>
      <c r="F1015" s="244"/>
      <c r="H1015" s="18"/>
      <c r="V1015" s="185"/>
    </row>
    <row r="1016" spans="1:22" ht="18" hidden="1" customHeight="1">
      <c r="A1016" s="184"/>
      <c r="F1016" s="244"/>
      <c r="H1016" s="18"/>
      <c r="V1016" s="185"/>
    </row>
    <row r="1017" spans="1:22" ht="18" hidden="1" customHeight="1">
      <c r="A1017" s="184"/>
      <c r="F1017" s="244"/>
      <c r="H1017" s="18"/>
      <c r="V1017" s="185"/>
    </row>
    <row r="1018" spans="1:22" ht="18" hidden="1" customHeight="1">
      <c r="A1018" s="184"/>
      <c r="F1018" s="244"/>
      <c r="H1018" s="18"/>
      <c r="V1018" s="185"/>
    </row>
    <row r="1019" spans="1:22" ht="18" hidden="1" customHeight="1">
      <c r="A1019" s="184"/>
      <c r="F1019" s="244"/>
      <c r="H1019" s="18"/>
      <c r="V1019" s="185"/>
    </row>
    <row r="1020" spans="1:22" ht="18" hidden="1" customHeight="1">
      <c r="A1020" s="184"/>
      <c r="F1020" s="244"/>
      <c r="H1020" s="18"/>
      <c r="V1020" s="185"/>
    </row>
    <row r="1021" spans="1:22" ht="18" hidden="1" customHeight="1">
      <c r="A1021" s="184"/>
      <c r="F1021" s="244"/>
      <c r="H1021" s="18"/>
      <c r="V1021" s="185"/>
    </row>
    <row r="1022" spans="1:22" ht="18" hidden="1" customHeight="1">
      <c r="A1022" s="184"/>
      <c r="F1022" s="244"/>
      <c r="H1022" s="18"/>
      <c r="V1022" s="185"/>
    </row>
    <row r="1023" spans="1:22" ht="18" hidden="1" customHeight="1">
      <c r="A1023" s="184"/>
      <c r="F1023" s="244"/>
      <c r="H1023" s="18"/>
      <c r="V1023" s="185"/>
    </row>
    <row r="1024" spans="1:22" ht="18" hidden="1" customHeight="1">
      <c r="A1024" s="184"/>
      <c r="F1024" s="244"/>
      <c r="H1024" s="18"/>
      <c r="V1024" s="185"/>
    </row>
    <row r="1025" spans="1:22" ht="18" hidden="1" customHeight="1">
      <c r="A1025" s="184"/>
      <c r="F1025" s="244"/>
      <c r="H1025" s="18"/>
      <c r="V1025" s="185"/>
    </row>
    <row r="1026" spans="1:22" ht="18" hidden="1" customHeight="1">
      <c r="A1026" s="184"/>
      <c r="F1026" s="244"/>
      <c r="H1026" s="18"/>
      <c r="V1026" s="185"/>
    </row>
    <row r="1027" spans="1:22" ht="18" hidden="1" customHeight="1">
      <c r="A1027" s="184"/>
      <c r="F1027" s="244"/>
      <c r="H1027" s="18"/>
      <c r="V1027" s="185"/>
    </row>
    <row r="1028" spans="1:22" ht="18" hidden="1" customHeight="1">
      <c r="A1028" s="184"/>
      <c r="F1028" s="244"/>
      <c r="H1028" s="18"/>
      <c r="V1028" s="185"/>
    </row>
    <row r="1029" spans="1:22" ht="18" hidden="1" customHeight="1">
      <c r="A1029" s="184"/>
      <c r="F1029" s="244"/>
      <c r="H1029" s="18"/>
      <c r="V1029" s="185"/>
    </row>
    <row r="1030" spans="1:22" ht="18" hidden="1" customHeight="1">
      <c r="A1030" s="184"/>
      <c r="F1030" s="244"/>
      <c r="H1030" s="18"/>
      <c r="V1030" s="185"/>
    </row>
    <row r="1031" spans="1:22" ht="18" hidden="1" customHeight="1">
      <c r="A1031" s="184"/>
      <c r="F1031" s="244"/>
      <c r="H1031" s="18"/>
      <c r="V1031" s="185"/>
    </row>
    <row r="1032" spans="1:22" ht="18" hidden="1" customHeight="1">
      <c r="A1032" s="184"/>
      <c r="F1032" s="244"/>
      <c r="H1032" s="18"/>
      <c r="V1032" s="185"/>
    </row>
    <row r="1033" spans="1:22" ht="18" hidden="1" customHeight="1">
      <c r="A1033" s="184"/>
      <c r="F1033" s="244"/>
      <c r="H1033" s="18"/>
      <c r="V1033" s="185"/>
    </row>
    <row r="1034" spans="1:22" ht="18" hidden="1" customHeight="1">
      <c r="A1034" s="184"/>
      <c r="F1034" s="244"/>
      <c r="H1034" s="18"/>
      <c r="V1034" s="185"/>
    </row>
    <row r="1035" spans="1:22" ht="18" hidden="1" customHeight="1">
      <c r="A1035" s="184"/>
      <c r="F1035" s="244"/>
      <c r="H1035" s="18"/>
      <c r="V1035" s="185"/>
    </row>
    <row r="1036" spans="1:22" ht="18" hidden="1" customHeight="1">
      <c r="A1036" s="184"/>
      <c r="F1036" s="244"/>
      <c r="H1036" s="18"/>
      <c r="V1036" s="185"/>
    </row>
    <row r="1037" spans="1:22" ht="18" hidden="1" customHeight="1">
      <c r="A1037" s="184"/>
      <c r="F1037" s="244"/>
      <c r="H1037" s="18"/>
      <c r="V1037" s="185"/>
    </row>
    <row r="1038" spans="1:22" ht="18" hidden="1" customHeight="1">
      <c r="A1038" s="194"/>
      <c r="B1038" s="195"/>
      <c r="C1038" s="195"/>
      <c r="D1038" s="195"/>
      <c r="E1038" s="195"/>
      <c r="F1038" s="195"/>
      <c r="G1038" s="195"/>
      <c r="H1038" s="195"/>
      <c r="I1038" s="195"/>
      <c r="J1038" s="195"/>
      <c r="K1038" s="195"/>
      <c r="L1038" s="195"/>
      <c r="M1038" s="195"/>
      <c r="N1038" s="195"/>
      <c r="O1038" s="195"/>
      <c r="P1038" s="195"/>
      <c r="Q1038" s="224"/>
      <c r="R1038" s="182"/>
      <c r="S1038" s="225"/>
      <c r="T1038" s="195"/>
      <c r="U1038" s="195"/>
      <c r="V1038" s="134"/>
    </row>
    <row r="1039" spans="1:22" ht="18" customHeight="1">
      <c r="A1039" s="226"/>
      <c r="B1039" s="227"/>
      <c r="C1039" s="227"/>
      <c r="D1039" s="227"/>
      <c r="E1039" s="227"/>
      <c r="F1039" s="227"/>
      <c r="G1039" s="227"/>
      <c r="H1039" s="227"/>
      <c r="I1039" s="227"/>
      <c r="J1039" s="227"/>
      <c r="K1039" s="227"/>
      <c r="L1039" s="227"/>
      <c r="M1039" s="227"/>
      <c r="N1039" s="227"/>
      <c r="O1039" s="227"/>
      <c r="P1039" s="227"/>
      <c r="Q1039" s="227"/>
      <c r="R1039" s="227"/>
      <c r="S1039" s="227"/>
      <c r="T1039" s="227"/>
      <c r="U1039" s="227"/>
      <c r="V1039" s="228"/>
    </row>
    <row r="1040" spans="1:22" ht="18" customHeight="1">
      <c r="A1040" s="262" t="s">
        <v>501</v>
      </c>
      <c r="B1040" s="14"/>
      <c r="C1040" s="14"/>
      <c r="D1040" s="120"/>
      <c r="E1040" s="120"/>
      <c r="F1040" s="18"/>
      <c r="G1040" s="18"/>
      <c r="H1040" s="14"/>
      <c r="I1040" s="14"/>
      <c r="J1040" s="14"/>
      <c r="K1040" s="14"/>
      <c r="L1040" s="14"/>
      <c r="M1040" s="14"/>
      <c r="N1040" s="14"/>
      <c r="O1040" s="14"/>
      <c r="P1040" s="28"/>
      <c r="Q1040" s="120"/>
      <c r="R1040" s="47"/>
      <c r="S1040" s="206"/>
      <c r="T1040" s="259"/>
      <c r="U1040" s="14"/>
      <c r="V1040" s="97"/>
    </row>
    <row r="1041" spans="1:22" ht="18" customHeight="1">
      <c r="A1041" s="955" t="s">
        <v>85</v>
      </c>
      <c r="B1041" s="956"/>
      <c r="C1041" s="1132"/>
      <c r="D1041" s="955" t="s">
        <v>86</v>
      </c>
      <c r="E1041" s="1146"/>
      <c r="F1041" s="1146"/>
      <c r="G1041" s="1132"/>
      <c r="H1041" s="955" t="s">
        <v>87</v>
      </c>
      <c r="I1041" s="957"/>
      <c r="J1041" s="955" t="s">
        <v>88</v>
      </c>
      <c r="K1041" s="1132"/>
      <c r="L1041" s="955" t="s">
        <v>502</v>
      </c>
      <c r="M1041" s="956"/>
      <c r="N1041" s="957" t="s">
        <v>556</v>
      </c>
      <c r="O1041" s="955" t="s">
        <v>503</v>
      </c>
      <c r="P1041" s="956"/>
      <c r="Q1041" s="1132"/>
      <c r="R1041" s="955" t="s">
        <v>646</v>
      </c>
      <c r="S1041" s="1277"/>
      <c r="T1041" s="1278"/>
      <c r="U1041" s="955" t="s">
        <v>505</v>
      </c>
      <c r="V1041" s="1139"/>
    </row>
    <row r="1042" spans="1:22" ht="18" customHeight="1">
      <c r="A1042" s="1125"/>
      <c r="B1042" s="983"/>
      <c r="C1042" s="1133"/>
      <c r="D1042" s="1136"/>
      <c r="E1042" s="1135"/>
      <c r="F1042" s="1135"/>
      <c r="G1042" s="1133"/>
      <c r="H1042" s="1125"/>
      <c r="I1042" s="1126"/>
      <c r="J1042" s="1136"/>
      <c r="K1042" s="1133"/>
      <c r="L1042" s="1125"/>
      <c r="M1042" s="983"/>
      <c r="N1042" s="1126"/>
      <c r="O1042" s="1125"/>
      <c r="P1042" s="983"/>
      <c r="Q1042" s="1133"/>
      <c r="R1042" s="1279"/>
      <c r="S1042" s="1277"/>
      <c r="T1042" s="1278"/>
      <c r="U1042" s="1140"/>
      <c r="V1042" s="1141"/>
    </row>
    <row r="1043" spans="1:22" ht="18" customHeight="1">
      <c r="A1043" s="1047"/>
      <c r="B1043" s="1048"/>
      <c r="C1043" s="1134"/>
      <c r="D1043" s="1137"/>
      <c r="E1043" s="1138"/>
      <c r="F1043" s="1138"/>
      <c r="G1043" s="1134"/>
      <c r="H1043" s="1047"/>
      <c r="I1043" s="1049"/>
      <c r="J1043" s="1137"/>
      <c r="K1043" s="1134"/>
      <c r="L1043" s="1047"/>
      <c r="M1043" s="1048"/>
      <c r="N1043" s="1049"/>
      <c r="O1043" s="1047"/>
      <c r="P1043" s="1048"/>
      <c r="Q1043" s="1134"/>
      <c r="R1043" s="1280"/>
      <c r="S1043" s="1281"/>
      <c r="T1043" s="1282"/>
      <c r="U1043" s="1142"/>
      <c r="V1043" s="1143"/>
    </row>
    <row r="1044" spans="1:22" ht="18" customHeight="1">
      <c r="A1044" s="1283" t="str">
        <f>B908</f>
        <v>BCT13,14,15</v>
      </c>
      <c r="B1044" s="1284">
        <f>B909</f>
        <v>0</v>
      </c>
      <c r="C1044" s="871" t="str">
        <f>D908</f>
        <v>Core2</v>
      </c>
      <c r="D1044" s="871">
        <f>H779</f>
        <v>1200</v>
      </c>
      <c r="E1044" s="871" t="str">
        <f>J779</f>
        <v>-</v>
      </c>
      <c r="F1044" s="871" t="str">
        <f>L911</f>
        <v>-</v>
      </c>
      <c r="G1044" s="871">
        <f>O779</f>
        <v>1</v>
      </c>
      <c r="H1044" s="871">
        <f>'CT-VT Burdens'!S21</f>
        <v>120</v>
      </c>
      <c r="I1044" s="1036">
        <f>'CT-VT Burdens'!S10</f>
        <v>6</v>
      </c>
      <c r="J1044" s="869" t="str">
        <f>J780</f>
        <v>TPS</v>
      </c>
      <c r="K1044" s="869"/>
      <c r="L1044" s="871">
        <f>H654</f>
        <v>5</v>
      </c>
      <c r="M1044" s="871" t="str">
        <f>J781</f>
        <v>-</v>
      </c>
      <c r="N1044" s="871" t="str">
        <f>L913</f>
        <v>-</v>
      </c>
      <c r="O1044" s="871">
        <f>H655</f>
        <v>430</v>
      </c>
      <c r="P1044" s="871" t="str">
        <f>J782</f>
        <v>-</v>
      </c>
      <c r="Q1044" s="871" t="str">
        <f>L914</f>
        <v>-</v>
      </c>
      <c r="R1044" s="871">
        <f>H656</f>
        <v>20</v>
      </c>
      <c r="S1044" s="871" t="str">
        <f>J783</f>
        <v>-</v>
      </c>
      <c r="T1044" s="871" t="str">
        <f>L915</f>
        <v>-</v>
      </c>
      <c r="U1044" s="869" t="str">
        <f>D787</f>
        <v>RET670</v>
      </c>
      <c r="V1044" s="869"/>
    </row>
    <row r="1045" spans="1:22" ht="18" customHeight="1">
      <c r="A1045" s="765">
        <f>B909</f>
        <v>0</v>
      </c>
      <c r="B1045" s="1144">
        <f>A910</f>
        <v>0</v>
      </c>
      <c r="C1045" s="1130"/>
      <c r="D1045" s="1130"/>
      <c r="E1045" s="1130"/>
      <c r="F1045" s="1130"/>
      <c r="G1045" s="1130"/>
      <c r="H1045" s="1130"/>
      <c r="I1045" s="1130"/>
      <c r="J1045" s="1129"/>
      <c r="K1045" s="1129"/>
      <c r="L1045" s="1130"/>
      <c r="M1045" s="1130"/>
      <c r="N1045" s="1130"/>
      <c r="O1045" s="1130"/>
      <c r="P1045" s="1130"/>
      <c r="Q1045" s="1130"/>
      <c r="R1045" s="1130"/>
      <c r="S1045" s="1130"/>
      <c r="T1045" s="1130"/>
      <c r="U1045" s="1129"/>
      <c r="V1045" s="1129"/>
    </row>
    <row r="1046" spans="1:22" ht="18" customHeight="1">
      <c r="A1046" s="765">
        <f>A910</f>
        <v>0</v>
      </c>
      <c r="B1046" s="1144" t="str">
        <f>B911</f>
        <v>CT Ratio:</v>
      </c>
      <c r="C1046" s="1131"/>
      <c r="D1046" s="1131"/>
      <c r="E1046" s="1131"/>
      <c r="F1046" s="1131"/>
      <c r="G1046" s="1131"/>
      <c r="H1046" s="1131"/>
      <c r="I1046" s="1131"/>
      <c r="J1046" s="1129"/>
      <c r="K1046" s="1129"/>
      <c r="L1046" s="1131"/>
      <c r="M1046" s="1131"/>
      <c r="N1046" s="1131"/>
      <c r="O1046" s="1131"/>
      <c r="P1046" s="1131"/>
      <c r="Q1046" s="1131"/>
      <c r="R1046" s="1131"/>
      <c r="S1046" s="1131"/>
      <c r="T1046" s="1131"/>
      <c r="U1046" s="1129"/>
      <c r="V1046" s="1129"/>
    </row>
    <row r="1047" spans="1:22" ht="18" customHeight="1">
      <c r="A1047" s="184"/>
      <c r="V1047" s="185"/>
    </row>
    <row r="1048" spans="1:22" ht="18" customHeight="1">
      <c r="A1048" s="184"/>
      <c r="V1048" s="185"/>
    </row>
    <row r="1049" spans="1:22" ht="18" customHeight="1">
      <c r="A1049" s="184"/>
      <c r="V1049" s="185"/>
    </row>
    <row r="1050" spans="1:22" ht="18" customHeight="1">
      <c r="A1050" s="184"/>
      <c r="V1050" s="185"/>
    </row>
    <row r="1051" spans="1:22" ht="18" customHeight="1">
      <c r="A1051" s="184"/>
      <c r="V1051" s="185"/>
    </row>
    <row r="1052" spans="1:22" ht="18" customHeight="1">
      <c r="A1052" s="184"/>
      <c r="V1052" s="185"/>
    </row>
    <row r="1053" spans="1:22" ht="18" customHeight="1">
      <c r="A1053" s="184"/>
      <c r="V1053" s="185"/>
    </row>
    <row r="1054" spans="1:22" ht="18" customHeight="1">
      <c r="A1054" s="184"/>
      <c r="V1054" s="185"/>
    </row>
    <row r="1055" spans="1:22" ht="18" customHeight="1">
      <c r="A1055" s="184"/>
      <c r="V1055" s="185"/>
    </row>
    <row r="1056" spans="1:22" ht="18" customHeight="1">
      <c r="A1056" s="184"/>
      <c r="V1056" s="185"/>
    </row>
    <row r="1057" spans="1:22" ht="18" customHeight="1">
      <c r="A1057" s="184"/>
      <c r="V1057" s="185"/>
    </row>
    <row r="1058" spans="1:22" ht="18" customHeight="1">
      <c r="A1058" s="184"/>
      <c r="V1058" s="185"/>
    </row>
    <row r="1059" spans="1:22" ht="18" customHeight="1">
      <c r="A1059" s="184"/>
      <c r="V1059" s="185"/>
    </row>
    <row r="1060" spans="1:22" ht="18" customHeight="1">
      <c r="A1060" s="184"/>
      <c r="V1060" s="185"/>
    </row>
    <row r="1061" spans="1:22" ht="18" customHeight="1">
      <c r="A1061" s="184"/>
      <c r="V1061" s="185"/>
    </row>
    <row r="1062" spans="1:22" ht="18" customHeight="1">
      <c r="A1062" s="184"/>
      <c r="V1062" s="185"/>
    </row>
    <row r="1063" spans="1:22" ht="18" customHeight="1">
      <c r="A1063" s="184"/>
      <c r="V1063" s="185"/>
    </row>
    <row r="1064" spans="1:22" ht="18" customHeight="1">
      <c r="A1064" s="184"/>
      <c r="V1064" s="185"/>
    </row>
    <row r="1065" spans="1:22" ht="18" customHeight="1">
      <c r="A1065" s="184"/>
      <c r="V1065" s="185"/>
    </row>
    <row r="1066" spans="1:22" ht="18" customHeight="1">
      <c r="A1066" s="184"/>
      <c r="V1066" s="185"/>
    </row>
    <row r="1067" spans="1:22" ht="18" customHeight="1">
      <c r="A1067" s="184"/>
      <c r="V1067" s="185"/>
    </row>
    <row r="1068" spans="1:22" ht="18" customHeight="1">
      <c r="A1068" s="184"/>
      <c r="V1068" s="185"/>
    </row>
    <row r="1069" spans="1:22" ht="18" customHeight="1">
      <c r="A1069" s="184"/>
      <c r="V1069" s="185"/>
    </row>
    <row r="1070" spans="1:22" ht="18" customHeight="1">
      <c r="A1070" s="184"/>
      <c r="V1070" s="185"/>
    </row>
    <row r="1071" spans="1:22" ht="18" customHeight="1">
      <c r="A1071" s="184"/>
      <c r="V1071" s="185"/>
    </row>
    <row r="1072" spans="1:22" ht="18" customHeight="1">
      <c r="A1072" s="184"/>
      <c r="V1072" s="185"/>
    </row>
    <row r="1073" spans="1:22" ht="18" customHeight="1">
      <c r="A1073" s="184"/>
      <c r="V1073" s="185"/>
    </row>
    <row r="1074" spans="1:22" ht="18" customHeight="1">
      <c r="A1074" s="184"/>
      <c r="V1074" s="185"/>
    </row>
    <row r="1075" spans="1:22" ht="18" customHeight="1">
      <c r="A1075" s="184"/>
      <c r="V1075" s="185"/>
    </row>
    <row r="1076" spans="1:22" ht="18" customHeight="1">
      <c r="A1076" s="184"/>
      <c r="V1076" s="185"/>
    </row>
    <row r="1077" spans="1:22" ht="18" customHeight="1">
      <c r="A1077" s="184"/>
      <c r="V1077" s="185"/>
    </row>
    <row r="1078" spans="1:22" ht="18" customHeight="1">
      <c r="A1078" s="184"/>
      <c r="V1078" s="185"/>
    </row>
    <row r="1079" spans="1:22" ht="18" customHeight="1">
      <c r="A1079" s="184"/>
      <c r="V1079" s="185"/>
    </row>
    <row r="1080" spans="1:22" ht="18" customHeight="1">
      <c r="A1080" s="184"/>
      <c r="V1080" s="185"/>
    </row>
    <row r="1081" spans="1:22" ht="18" customHeight="1">
      <c r="A1081" s="184"/>
      <c r="V1081" s="185"/>
    </row>
    <row r="1082" spans="1:22" ht="18" customHeight="1">
      <c r="A1082" s="194"/>
      <c r="B1082" s="195"/>
      <c r="C1082" s="195"/>
      <c r="D1082" s="195"/>
      <c r="E1082" s="195"/>
      <c r="F1082" s="195"/>
      <c r="G1082" s="195"/>
      <c r="H1082" s="195"/>
      <c r="I1082" s="195"/>
      <c r="J1082" s="195"/>
      <c r="K1082" s="195"/>
      <c r="L1082" s="195"/>
      <c r="M1082" s="195"/>
      <c r="N1082" s="195"/>
      <c r="O1082" s="195"/>
      <c r="P1082" s="195"/>
      <c r="Q1082" s="224"/>
      <c r="R1082" s="182"/>
      <c r="S1082" s="225"/>
      <c r="T1082" s="195"/>
      <c r="U1082" s="195"/>
      <c r="V1082" s="134"/>
    </row>
  </sheetData>
  <mergeCells count="1143">
    <mergeCell ref="M191:N191"/>
    <mergeCell ref="Q175:R175"/>
    <mergeCell ref="Q176:R176"/>
    <mergeCell ref="C186:D186"/>
    <mergeCell ref="F186:G186"/>
    <mergeCell ref="C187:D187"/>
    <mergeCell ref="F187:G187"/>
    <mergeCell ref="M188:N188"/>
    <mergeCell ref="M190:N190"/>
    <mergeCell ref="P190:Q190"/>
    <mergeCell ref="E107:F107"/>
    <mergeCell ref="Q113:R113"/>
    <mergeCell ref="Q114:R114"/>
    <mergeCell ref="Q115:R115"/>
    <mergeCell ref="G119:H119"/>
    <mergeCell ref="J119:K119"/>
    <mergeCell ref="M119:N119"/>
    <mergeCell ref="P119:Q119"/>
    <mergeCell ref="G120:H120"/>
    <mergeCell ref="J120:K120"/>
    <mergeCell ref="P191:Q191"/>
    <mergeCell ref="Q177:R177"/>
    <mergeCell ref="G181:H181"/>
    <mergeCell ref="J181:K181"/>
    <mergeCell ref="O181:P181"/>
    <mergeCell ref="R181:S181"/>
    <mergeCell ref="G182:H182"/>
    <mergeCell ref="J182:K182"/>
    <mergeCell ref="G183:H183"/>
    <mergeCell ref="J183:K183"/>
    <mergeCell ref="P146:Q146"/>
    <mergeCell ref="M147:N147"/>
    <mergeCell ref="M192:N192"/>
    <mergeCell ref="Q199:R199"/>
    <mergeCell ref="Q200:R200"/>
    <mergeCell ref="Q201:R201"/>
    <mergeCell ref="A202:V203"/>
    <mergeCell ref="S38:T38"/>
    <mergeCell ref="S39:T39"/>
    <mergeCell ref="S40:T40"/>
    <mergeCell ref="A42:V43"/>
    <mergeCell ref="A57:V58"/>
    <mergeCell ref="Q61:R61"/>
    <mergeCell ref="Q62:R62"/>
    <mergeCell ref="Q63:R63"/>
    <mergeCell ref="Q64:R64"/>
    <mergeCell ref="Q65:R65"/>
    <mergeCell ref="Q66:R66"/>
    <mergeCell ref="L80:M80"/>
    <mergeCell ref="O80:P80"/>
    <mergeCell ref="L81:M81"/>
    <mergeCell ref="Q102:R102"/>
    <mergeCell ref="P105:Q105"/>
    <mergeCell ref="E106:F106"/>
    <mergeCell ref="H106:I106"/>
    <mergeCell ref="G184:H184"/>
    <mergeCell ref="J184:K184"/>
    <mergeCell ref="M184:N184"/>
    <mergeCell ref="C185:D185"/>
    <mergeCell ref="F185:G185"/>
    <mergeCell ref="I185:J185"/>
    <mergeCell ref="L185:M185"/>
    <mergeCell ref="O185:P185"/>
    <mergeCell ref="R185:S185"/>
    <mergeCell ref="P147:Q147"/>
    <mergeCell ref="M148:N148"/>
    <mergeCell ref="Q156:R156"/>
    <mergeCell ref="Q157:R157"/>
    <mergeCell ref="Q158:R158"/>
    <mergeCell ref="G162:H162"/>
    <mergeCell ref="J162:K162"/>
    <mergeCell ref="O162:P162"/>
    <mergeCell ref="R162:S162"/>
    <mergeCell ref="M146:N146"/>
    <mergeCell ref="C142:D142"/>
    <mergeCell ref="F142:G142"/>
    <mergeCell ref="I142:J142"/>
    <mergeCell ref="L142:M142"/>
    <mergeCell ref="O142:P142"/>
    <mergeCell ref="R142:S142"/>
    <mergeCell ref="C143:D143"/>
    <mergeCell ref="F143:G143"/>
    <mergeCell ref="C144:D144"/>
    <mergeCell ref="F144:G144"/>
    <mergeCell ref="P144:Q144"/>
    <mergeCell ref="Q132:R132"/>
    <mergeCell ref="Q133:R133"/>
    <mergeCell ref="G137:H137"/>
    <mergeCell ref="J137:K137"/>
    <mergeCell ref="M137:N137"/>
    <mergeCell ref="P137:Q137"/>
    <mergeCell ref="G138:H138"/>
    <mergeCell ref="J138:K138"/>
    <mergeCell ref="G139:H139"/>
    <mergeCell ref="J139:K139"/>
    <mergeCell ref="G122:H122"/>
    <mergeCell ref="J122:K122"/>
    <mergeCell ref="G123:H123"/>
    <mergeCell ref="M124:N124"/>
    <mergeCell ref="P124:Q124"/>
    <mergeCell ref="M125:N125"/>
    <mergeCell ref="P125:Q125"/>
    <mergeCell ref="M126:N126"/>
    <mergeCell ref="Q131:R131"/>
    <mergeCell ref="Q94:R94"/>
    <mergeCell ref="Q95:R95"/>
    <mergeCell ref="Q96:R96"/>
    <mergeCell ref="Q97:R97"/>
    <mergeCell ref="Q98:R98"/>
    <mergeCell ref="Q99:R99"/>
    <mergeCell ref="Q101:R101"/>
    <mergeCell ref="N103:O103"/>
    <mergeCell ref="Q103:R103"/>
    <mergeCell ref="O81:P81"/>
    <mergeCell ref="L82:M82"/>
    <mergeCell ref="O82:P82"/>
    <mergeCell ref="Q85:R85"/>
    <mergeCell ref="Q88:R88"/>
    <mergeCell ref="Q89:R89"/>
    <mergeCell ref="Q90:R90"/>
    <mergeCell ref="Q92:R92"/>
    <mergeCell ref="Q93:R93"/>
    <mergeCell ref="Q73:R73"/>
    <mergeCell ref="Q74:R74"/>
    <mergeCell ref="Q75:R75"/>
    <mergeCell ref="Q76:R76"/>
    <mergeCell ref="Q77:R77"/>
    <mergeCell ref="L79:M79"/>
    <mergeCell ref="O79:P79"/>
    <mergeCell ref="Q52:R52"/>
    <mergeCell ref="S52:T52"/>
    <mergeCell ref="Q53:R53"/>
    <mergeCell ref="S53:T53"/>
    <mergeCell ref="Q54:R54"/>
    <mergeCell ref="S54:T54"/>
    <mergeCell ref="Q55:R55"/>
    <mergeCell ref="S55:T55"/>
    <mergeCell ref="Q56:R56"/>
    <mergeCell ref="S56:T56"/>
    <mergeCell ref="S47:T47"/>
    <mergeCell ref="A49:O49"/>
    <mergeCell ref="Q50:R50"/>
    <mergeCell ref="S50:T50"/>
    <mergeCell ref="Q51:R51"/>
    <mergeCell ref="S51:T51"/>
    <mergeCell ref="S21:T21"/>
    <mergeCell ref="S22:T22"/>
    <mergeCell ref="S27:T27"/>
    <mergeCell ref="S28:T28"/>
    <mergeCell ref="S29:T29"/>
    <mergeCell ref="S32:T32"/>
    <mergeCell ref="S33:T33"/>
    <mergeCell ref="S34:T34"/>
    <mergeCell ref="S35:T35"/>
    <mergeCell ref="Q67:R67"/>
    <mergeCell ref="J70:K70"/>
    <mergeCell ref="S14:T14"/>
    <mergeCell ref="S15:T15"/>
    <mergeCell ref="S16:T16"/>
    <mergeCell ref="S19:T19"/>
    <mergeCell ref="S20:T20"/>
    <mergeCell ref="R233:V233"/>
    <mergeCell ref="U1041:V1043"/>
    <mergeCell ref="A1044:B1044"/>
    <mergeCell ref="C1044:C1046"/>
    <mergeCell ref="D1044:D1046"/>
    <mergeCell ref="E1044:E1046"/>
    <mergeCell ref="F1044:F1046"/>
    <mergeCell ref="G1044:G1046"/>
    <mergeCell ref="H1044:H1046"/>
    <mergeCell ref="I1044:I1046"/>
    <mergeCell ref="Q1044:Q1046"/>
    <mergeCell ref="R1044:R1046"/>
    <mergeCell ref="S1044:S1046"/>
    <mergeCell ref="T1044:T1046"/>
    <mergeCell ref="U1044:V1046"/>
    <mergeCell ref="A1045:B1045"/>
    <mergeCell ref="A1046:B1046"/>
    <mergeCell ref="J1044:K1046"/>
    <mergeCell ref="L1044:L1046"/>
    <mergeCell ref="M1044:M1046"/>
    <mergeCell ref="N1044:N1046"/>
    <mergeCell ref="O1044:O1046"/>
    <mergeCell ref="P1044:P1046"/>
    <mergeCell ref="Q46:R46"/>
    <mergeCell ref="S46:T46"/>
    <mergeCell ref="A47:K48"/>
    <mergeCell ref="Q47:R47"/>
    <mergeCell ref="Q1002:R1002"/>
    <mergeCell ref="Q1003:R1003"/>
    <mergeCell ref="E1006:F1006"/>
    <mergeCell ref="H1006:I1006"/>
    <mergeCell ref="A1041:C1043"/>
    <mergeCell ref="D1041:G1043"/>
    <mergeCell ref="H1041:I1043"/>
    <mergeCell ref="J1041:K1043"/>
    <mergeCell ref="L1041:N1043"/>
    <mergeCell ref="O1041:Q1043"/>
    <mergeCell ref="R1041:T1043"/>
    <mergeCell ref="Q989:S989"/>
    <mergeCell ref="T989:T990"/>
    <mergeCell ref="I990:J990"/>
    <mergeCell ref="D992:E992"/>
    <mergeCell ref="I985:J985"/>
    <mergeCell ref="D987:E987"/>
    <mergeCell ref="M996:N996"/>
    <mergeCell ref="Q996:R996"/>
    <mergeCell ref="K989:K990"/>
    <mergeCell ref="L989:L990"/>
    <mergeCell ref="M989:M990"/>
    <mergeCell ref="N989:N990"/>
    <mergeCell ref="O989:O990"/>
    <mergeCell ref="P989:P990"/>
    <mergeCell ref="A989:C990"/>
    <mergeCell ref="D989:D990"/>
    <mergeCell ref="E989:E990"/>
    <mergeCell ref="F989:G990"/>
    <mergeCell ref="H989:H990"/>
    <mergeCell ref="I989:J989"/>
    <mergeCell ref="K984:K985"/>
    <mergeCell ref="T979:T980"/>
    <mergeCell ref="I980:J980"/>
    <mergeCell ref="D982:E982"/>
    <mergeCell ref="A984:C985"/>
    <mergeCell ref="D984:D985"/>
    <mergeCell ref="E984:E985"/>
    <mergeCell ref="F984:G985"/>
    <mergeCell ref="H984:H985"/>
    <mergeCell ref="I984:J984"/>
    <mergeCell ref="K979:K980"/>
    <mergeCell ref="L979:L980"/>
    <mergeCell ref="M979:M980"/>
    <mergeCell ref="N979:N980"/>
    <mergeCell ref="O979:O980"/>
    <mergeCell ref="P979:P980"/>
    <mergeCell ref="A979:C980"/>
    <mergeCell ref="D979:D980"/>
    <mergeCell ref="E979:E980"/>
    <mergeCell ref="F979:G980"/>
    <mergeCell ref="H979:H980"/>
    <mergeCell ref="I979:J979"/>
    <mergeCell ref="Q984:S984"/>
    <mergeCell ref="T984:T985"/>
    <mergeCell ref="R971:S971"/>
    <mergeCell ref="R973:S973"/>
    <mergeCell ref="R974:S974"/>
    <mergeCell ref="R975:S975"/>
    <mergeCell ref="R976:S976"/>
    <mergeCell ref="R977:S977"/>
    <mergeCell ref="L984:L985"/>
    <mergeCell ref="M984:M985"/>
    <mergeCell ref="N984:N985"/>
    <mergeCell ref="O984:O985"/>
    <mergeCell ref="P984:P985"/>
    <mergeCell ref="M964:N964"/>
    <mergeCell ref="R967:S967"/>
    <mergeCell ref="R968:S968"/>
    <mergeCell ref="R969:S969"/>
    <mergeCell ref="L961:L962"/>
    <mergeCell ref="M961:M962"/>
    <mergeCell ref="N961:N962"/>
    <mergeCell ref="O961:O962"/>
    <mergeCell ref="P961:P962"/>
    <mergeCell ref="Q961:S961"/>
    <mergeCell ref="Q979:S979"/>
    <mergeCell ref="A958:V959"/>
    <mergeCell ref="A961:C962"/>
    <mergeCell ref="D961:D962"/>
    <mergeCell ref="E961:E962"/>
    <mergeCell ref="F961:G962"/>
    <mergeCell ref="H961:H962"/>
    <mergeCell ref="I961:J961"/>
    <mergeCell ref="K961:K962"/>
    <mergeCell ref="L955:L956"/>
    <mergeCell ref="M955:M956"/>
    <mergeCell ref="N955:N956"/>
    <mergeCell ref="O955:O956"/>
    <mergeCell ref="P955:P956"/>
    <mergeCell ref="Q955:S955"/>
    <mergeCell ref="T961:T962"/>
    <mergeCell ref="I962:J962"/>
    <mergeCell ref="Q952:S952"/>
    <mergeCell ref="T952:T953"/>
    <mergeCell ref="I953:J953"/>
    <mergeCell ref="A955:C956"/>
    <mergeCell ref="D955:D956"/>
    <mergeCell ref="E955:E956"/>
    <mergeCell ref="F955:G956"/>
    <mergeCell ref="H955:H956"/>
    <mergeCell ref="I955:J955"/>
    <mergeCell ref="K955:K956"/>
    <mergeCell ref="K952:K953"/>
    <mergeCell ref="L952:L953"/>
    <mergeCell ref="M952:M953"/>
    <mergeCell ref="N952:N953"/>
    <mergeCell ref="O952:O953"/>
    <mergeCell ref="P952:P953"/>
    <mergeCell ref="A952:C953"/>
    <mergeCell ref="D952:D953"/>
    <mergeCell ref="E952:E953"/>
    <mergeCell ref="F952:G953"/>
    <mergeCell ref="H952:H953"/>
    <mergeCell ref="I952:J952"/>
    <mergeCell ref="T955:T956"/>
    <mergeCell ref="I956:J956"/>
    <mergeCell ref="J931:K931"/>
    <mergeCell ref="J932:K932"/>
    <mergeCell ref="O936:P936"/>
    <mergeCell ref="O937:P937"/>
    <mergeCell ref="O938:P938"/>
    <mergeCell ref="A940:V941"/>
    <mergeCell ref="J923:K923"/>
    <mergeCell ref="P923:Q923"/>
    <mergeCell ref="P926:Q926"/>
    <mergeCell ref="P927:Q927"/>
    <mergeCell ref="P928:Q928"/>
    <mergeCell ref="J930:K930"/>
    <mergeCell ref="AB716:AC716"/>
    <mergeCell ref="L915:M915"/>
    <mergeCell ref="J919:K919"/>
    <mergeCell ref="J920:K920"/>
    <mergeCell ref="J921:K921"/>
    <mergeCell ref="J922:K922"/>
    <mergeCell ref="H911:I911"/>
    <mergeCell ref="J911:K911"/>
    <mergeCell ref="L911:M911"/>
    <mergeCell ref="L912:M912"/>
    <mergeCell ref="L913:M913"/>
    <mergeCell ref="L914:M914"/>
    <mergeCell ref="T908:U908"/>
    <mergeCell ref="B909:C909"/>
    <mergeCell ref="T909:U909"/>
    <mergeCell ref="H910:I910"/>
    <mergeCell ref="J910:K910"/>
    <mergeCell ref="L910:M910"/>
    <mergeCell ref="T910:U910"/>
    <mergeCell ref="Q870:R870"/>
    <mergeCell ref="Q871:R871"/>
    <mergeCell ref="E874:F874"/>
    <mergeCell ref="H874:I874"/>
    <mergeCell ref="B908:C908"/>
    <mergeCell ref="D908:E909"/>
    <mergeCell ref="H908:M908"/>
    <mergeCell ref="Q857:S857"/>
    <mergeCell ref="T857:T858"/>
    <mergeCell ref="I858:J858"/>
    <mergeCell ref="D860:E860"/>
    <mergeCell ref="I853:J853"/>
    <mergeCell ref="D855:E855"/>
    <mergeCell ref="M864:N864"/>
    <mergeCell ref="Q864:R864"/>
    <mergeCell ref="K857:K858"/>
    <mergeCell ref="L857:L858"/>
    <mergeCell ref="M857:M858"/>
    <mergeCell ref="N857:N858"/>
    <mergeCell ref="O857:O858"/>
    <mergeCell ref="P857:P858"/>
    <mergeCell ref="A857:C858"/>
    <mergeCell ref="D857:D858"/>
    <mergeCell ref="E857:E858"/>
    <mergeCell ref="F857:G858"/>
    <mergeCell ref="H857:H858"/>
    <mergeCell ref="I857:J857"/>
    <mergeCell ref="K852:K853"/>
    <mergeCell ref="Q847:S847"/>
    <mergeCell ref="T847:T848"/>
    <mergeCell ref="I848:J848"/>
    <mergeCell ref="D850:E850"/>
    <mergeCell ref="A852:C853"/>
    <mergeCell ref="D852:D853"/>
    <mergeCell ref="E852:E853"/>
    <mergeCell ref="F852:G853"/>
    <mergeCell ref="H852:H853"/>
    <mergeCell ref="I852:J852"/>
    <mergeCell ref="K847:K848"/>
    <mergeCell ref="L847:L848"/>
    <mergeCell ref="M847:M848"/>
    <mergeCell ref="N847:N848"/>
    <mergeCell ref="O847:O848"/>
    <mergeCell ref="P847:P848"/>
    <mergeCell ref="A847:C848"/>
    <mergeCell ref="D847:D848"/>
    <mergeCell ref="E847:E848"/>
    <mergeCell ref="F847:G848"/>
    <mergeCell ref="H847:H848"/>
    <mergeCell ref="I847:J847"/>
    <mergeCell ref="Q852:S852"/>
    <mergeCell ref="T852:T853"/>
    <mergeCell ref="R839:S839"/>
    <mergeCell ref="R841:S841"/>
    <mergeCell ref="R842:S842"/>
    <mergeCell ref="R843:S843"/>
    <mergeCell ref="R844:S844"/>
    <mergeCell ref="R845:S845"/>
    <mergeCell ref="L852:L853"/>
    <mergeCell ref="M852:M853"/>
    <mergeCell ref="N852:N853"/>
    <mergeCell ref="O852:O853"/>
    <mergeCell ref="P852:P853"/>
    <mergeCell ref="M832:N832"/>
    <mergeCell ref="R835:S835"/>
    <mergeCell ref="R836:S836"/>
    <mergeCell ref="R837:S837"/>
    <mergeCell ref="L829:L830"/>
    <mergeCell ref="M829:M830"/>
    <mergeCell ref="N829:N830"/>
    <mergeCell ref="O829:O830"/>
    <mergeCell ref="P829:P830"/>
    <mergeCell ref="Q829:S829"/>
    <mergeCell ref="A826:V827"/>
    <mergeCell ref="A829:C830"/>
    <mergeCell ref="D829:D830"/>
    <mergeCell ref="E829:E830"/>
    <mergeCell ref="F829:G830"/>
    <mergeCell ref="H829:H830"/>
    <mergeCell ref="I829:J829"/>
    <mergeCell ref="K829:K830"/>
    <mergeCell ref="L823:L824"/>
    <mergeCell ref="M823:M824"/>
    <mergeCell ref="N823:N824"/>
    <mergeCell ref="O823:O824"/>
    <mergeCell ref="P823:P824"/>
    <mergeCell ref="Q823:S823"/>
    <mergeCell ref="T829:T830"/>
    <mergeCell ref="I830:J830"/>
    <mergeCell ref="Q820:S820"/>
    <mergeCell ref="T820:T821"/>
    <mergeCell ref="I821:J821"/>
    <mergeCell ref="A823:C824"/>
    <mergeCell ref="D823:D824"/>
    <mergeCell ref="E823:E824"/>
    <mergeCell ref="F823:G824"/>
    <mergeCell ref="H823:H824"/>
    <mergeCell ref="I823:J823"/>
    <mergeCell ref="K823:K824"/>
    <mergeCell ref="K820:K821"/>
    <mergeCell ref="L820:L821"/>
    <mergeCell ref="M820:M821"/>
    <mergeCell ref="N820:N821"/>
    <mergeCell ref="O820:O821"/>
    <mergeCell ref="P820:P821"/>
    <mergeCell ref="A820:C821"/>
    <mergeCell ref="D820:D821"/>
    <mergeCell ref="E820:E821"/>
    <mergeCell ref="F820:G821"/>
    <mergeCell ref="H820:H821"/>
    <mergeCell ref="I820:J820"/>
    <mergeCell ref="T823:T824"/>
    <mergeCell ref="I824:J824"/>
    <mergeCell ref="J799:K799"/>
    <mergeCell ref="J800:K800"/>
    <mergeCell ref="O804:P804"/>
    <mergeCell ref="O805:P805"/>
    <mergeCell ref="O806:P806"/>
    <mergeCell ref="A808:V809"/>
    <mergeCell ref="J791:K791"/>
    <mergeCell ref="P791:Q791"/>
    <mergeCell ref="P794:Q794"/>
    <mergeCell ref="P795:Q795"/>
    <mergeCell ref="P796:Q796"/>
    <mergeCell ref="J798:K798"/>
    <mergeCell ref="AB584:AC584"/>
    <mergeCell ref="J783:K783"/>
    <mergeCell ref="J787:K787"/>
    <mergeCell ref="J788:K788"/>
    <mergeCell ref="J789:K789"/>
    <mergeCell ref="J790:K790"/>
    <mergeCell ref="H779:I779"/>
    <mergeCell ref="J779:K779"/>
    <mergeCell ref="L779:M779"/>
    <mergeCell ref="J780:K780"/>
    <mergeCell ref="J781:K781"/>
    <mergeCell ref="J782:K782"/>
    <mergeCell ref="T776:U776"/>
    <mergeCell ref="B777:C777"/>
    <mergeCell ref="T777:U777"/>
    <mergeCell ref="H778:I778"/>
    <mergeCell ref="J778:K778"/>
    <mergeCell ref="L778:M778"/>
    <mergeCell ref="T778:U778"/>
    <mergeCell ref="Q738:R738"/>
    <mergeCell ref="Q739:R739"/>
    <mergeCell ref="E742:F742"/>
    <mergeCell ref="H742:I742"/>
    <mergeCell ref="B776:C776"/>
    <mergeCell ref="D776:E777"/>
    <mergeCell ref="H776:M776"/>
    <mergeCell ref="P725:P726"/>
    <mergeCell ref="Q725:S725"/>
    <mergeCell ref="T725:T726"/>
    <mergeCell ref="I726:J726"/>
    <mergeCell ref="D728:E728"/>
    <mergeCell ref="M732:N732"/>
    <mergeCell ref="Q732:R732"/>
    <mergeCell ref="I725:J725"/>
    <mergeCell ref="K725:K726"/>
    <mergeCell ref="L725:L726"/>
    <mergeCell ref="M725:M726"/>
    <mergeCell ref="N725:N726"/>
    <mergeCell ref="O725:O726"/>
    <mergeCell ref="D723:E723"/>
    <mergeCell ref="A725:C726"/>
    <mergeCell ref="D725:D726"/>
    <mergeCell ref="E725:E726"/>
    <mergeCell ref="F725:G726"/>
    <mergeCell ref="H725:H726"/>
    <mergeCell ref="I720:J720"/>
    <mergeCell ref="K720:K721"/>
    <mergeCell ref="L720:L721"/>
    <mergeCell ref="T715:T716"/>
    <mergeCell ref="I716:J716"/>
    <mergeCell ref="D718:E718"/>
    <mergeCell ref="A720:C721"/>
    <mergeCell ref="D720:D721"/>
    <mergeCell ref="E720:E721"/>
    <mergeCell ref="F720:G721"/>
    <mergeCell ref="H720:H721"/>
    <mergeCell ref="I715:J715"/>
    <mergeCell ref="K715:K716"/>
    <mergeCell ref="L715:L716"/>
    <mergeCell ref="M715:M716"/>
    <mergeCell ref="N715:N716"/>
    <mergeCell ref="O715:O716"/>
    <mergeCell ref="P720:P721"/>
    <mergeCell ref="Q720:S720"/>
    <mergeCell ref="T720:T721"/>
    <mergeCell ref="I721:J721"/>
    <mergeCell ref="M720:M721"/>
    <mergeCell ref="N720:N721"/>
    <mergeCell ref="O720:O721"/>
    <mergeCell ref="R709:S709"/>
    <mergeCell ref="R710:S710"/>
    <mergeCell ref="R711:S711"/>
    <mergeCell ref="R712:S712"/>
    <mergeCell ref="R713:S713"/>
    <mergeCell ref="A715:C716"/>
    <mergeCell ref="D715:D716"/>
    <mergeCell ref="E715:E716"/>
    <mergeCell ref="F715:G716"/>
    <mergeCell ref="H715:H716"/>
    <mergeCell ref="P715:P716"/>
    <mergeCell ref="Q715:S715"/>
    <mergeCell ref="M700:N700"/>
    <mergeCell ref="R703:S703"/>
    <mergeCell ref="R704:S704"/>
    <mergeCell ref="R705:S705"/>
    <mergeCell ref="R707:S707"/>
    <mergeCell ref="M697:M698"/>
    <mergeCell ref="N697:N698"/>
    <mergeCell ref="O697:O698"/>
    <mergeCell ref="P697:P698"/>
    <mergeCell ref="Q697:S697"/>
    <mergeCell ref="T697:T698"/>
    <mergeCell ref="I692:J692"/>
    <mergeCell ref="A694:V695"/>
    <mergeCell ref="A697:C698"/>
    <mergeCell ref="D697:D698"/>
    <mergeCell ref="E697:E698"/>
    <mergeCell ref="F697:G698"/>
    <mergeCell ref="H697:H698"/>
    <mergeCell ref="I697:J697"/>
    <mergeCell ref="K697:K698"/>
    <mergeCell ref="L697:L698"/>
    <mergeCell ref="M691:M692"/>
    <mergeCell ref="N691:N692"/>
    <mergeCell ref="O691:O692"/>
    <mergeCell ref="P691:P692"/>
    <mergeCell ref="Q691:S691"/>
    <mergeCell ref="T691:T692"/>
    <mergeCell ref="I698:J698"/>
    <mergeCell ref="A691:C692"/>
    <mergeCell ref="D691:D692"/>
    <mergeCell ref="E691:E692"/>
    <mergeCell ref="F691:G692"/>
    <mergeCell ref="H691:H692"/>
    <mergeCell ref="I691:J691"/>
    <mergeCell ref="K691:K692"/>
    <mergeCell ref="L691:L692"/>
    <mergeCell ref="L688:L689"/>
    <mergeCell ref="O678:P678"/>
    <mergeCell ref="O679:P679"/>
    <mergeCell ref="A681:V682"/>
    <mergeCell ref="A688:C689"/>
    <mergeCell ref="D688:D689"/>
    <mergeCell ref="E688:E689"/>
    <mergeCell ref="F688:G689"/>
    <mergeCell ref="H688:H689"/>
    <mergeCell ref="I688:J688"/>
    <mergeCell ref="K688:K689"/>
    <mergeCell ref="T688:T689"/>
    <mergeCell ref="I689:J689"/>
    <mergeCell ref="M688:M689"/>
    <mergeCell ref="N688:N689"/>
    <mergeCell ref="O688:O689"/>
    <mergeCell ref="P688:P689"/>
    <mergeCell ref="Q688:S688"/>
    <mergeCell ref="P668:Q668"/>
    <mergeCell ref="P669:Q669"/>
    <mergeCell ref="J671:K671"/>
    <mergeCell ref="J672:K672"/>
    <mergeCell ref="J673:K673"/>
    <mergeCell ref="O677:P677"/>
    <mergeCell ref="J661:K661"/>
    <mergeCell ref="J662:K662"/>
    <mergeCell ref="J663:K663"/>
    <mergeCell ref="J664:K664"/>
    <mergeCell ref="P664:Q664"/>
    <mergeCell ref="P667:Q667"/>
    <mergeCell ref="H653:I653"/>
    <mergeCell ref="H654:I654"/>
    <mergeCell ref="H655:I655"/>
    <mergeCell ref="AB457:AC457"/>
    <mergeCell ref="H656:I656"/>
    <mergeCell ref="J660:K660"/>
    <mergeCell ref="T650:U650"/>
    <mergeCell ref="H651:I651"/>
    <mergeCell ref="J651:K651"/>
    <mergeCell ref="L651:M651"/>
    <mergeCell ref="T651:U651"/>
    <mergeCell ref="H652:I652"/>
    <mergeCell ref="J652:K652"/>
    <mergeCell ref="L652:M652"/>
    <mergeCell ref="S605:V608"/>
    <mergeCell ref="Q565:R565"/>
    <mergeCell ref="Q566:R566"/>
    <mergeCell ref="Q567:R567"/>
    <mergeCell ref="Q543:S543"/>
    <mergeCell ref="T543:T544"/>
    <mergeCell ref="A647:B647"/>
    <mergeCell ref="D647:F647"/>
    <mergeCell ref="H647:N647"/>
    <mergeCell ref="O647:Q647"/>
    <mergeCell ref="R647:V647"/>
    <mergeCell ref="B649:C649"/>
    <mergeCell ref="D649:E650"/>
    <mergeCell ref="H649:M649"/>
    <mergeCell ref="T649:U649"/>
    <mergeCell ref="B650:C650"/>
    <mergeCell ref="A645:G646"/>
    <mergeCell ref="H645:N646"/>
    <mergeCell ref="O645:Q645"/>
    <mergeCell ref="R645:V645"/>
    <mergeCell ref="O646:Q646"/>
    <mergeCell ref="R646:V646"/>
    <mergeCell ref="A643:G644"/>
    <mergeCell ref="H643:N643"/>
    <mergeCell ref="O643:Q643"/>
    <mergeCell ref="R643:V643"/>
    <mergeCell ref="H644:N644"/>
    <mergeCell ref="O644:Q644"/>
    <mergeCell ref="R644:V644"/>
    <mergeCell ref="A609:A611"/>
    <mergeCell ref="B609:C611"/>
    <mergeCell ref="D609:E609"/>
    <mergeCell ref="F609:F611"/>
    <mergeCell ref="G609:G611"/>
    <mergeCell ref="H609:H611"/>
    <mergeCell ref="D610:E610"/>
    <mergeCell ref="K610:L610"/>
    <mergeCell ref="M610:N610"/>
    <mergeCell ref="O610:P610"/>
    <mergeCell ref="S610:V610"/>
    <mergeCell ref="D611:E611"/>
    <mergeCell ref="K611:L611"/>
    <mergeCell ref="M611:N611"/>
    <mergeCell ref="O611:P611"/>
    <mergeCell ref="S611:V611"/>
    <mergeCell ref="I609:J611"/>
    <mergeCell ref="K609:L609"/>
    <mergeCell ref="M609:N609"/>
    <mergeCell ref="O609:P609"/>
    <mergeCell ref="Q609:R611"/>
    <mergeCell ref="S609:V609"/>
    <mergeCell ref="E570:F570"/>
    <mergeCell ref="H570:I570"/>
    <mergeCell ref="A605:C608"/>
    <mergeCell ref="D605:F608"/>
    <mergeCell ref="G605:H608"/>
    <mergeCell ref="I605:J608"/>
    <mergeCell ref="K605:L608"/>
    <mergeCell ref="M605:N608"/>
    <mergeCell ref="O605:P608"/>
    <mergeCell ref="Q605:R608"/>
    <mergeCell ref="Q553:S553"/>
    <mergeCell ref="T553:T554"/>
    <mergeCell ref="I554:J554"/>
    <mergeCell ref="D556:E556"/>
    <mergeCell ref="I549:J549"/>
    <mergeCell ref="D551:E551"/>
    <mergeCell ref="M560:N560"/>
    <mergeCell ref="Q560:R560"/>
    <mergeCell ref="K553:K554"/>
    <mergeCell ref="L553:L554"/>
    <mergeCell ref="M553:M554"/>
    <mergeCell ref="N553:N554"/>
    <mergeCell ref="O553:O554"/>
    <mergeCell ref="P553:P554"/>
    <mergeCell ref="A553:C554"/>
    <mergeCell ref="D553:D554"/>
    <mergeCell ref="E553:E554"/>
    <mergeCell ref="F553:G554"/>
    <mergeCell ref="H553:H554"/>
    <mergeCell ref="I553:J553"/>
    <mergeCell ref="K548:K549"/>
    <mergeCell ref="Q548:S548"/>
    <mergeCell ref="I544:J544"/>
    <mergeCell ref="D546:E546"/>
    <mergeCell ref="A548:C549"/>
    <mergeCell ref="D548:D549"/>
    <mergeCell ref="E548:E549"/>
    <mergeCell ref="F548:G549"/>
    <mergeCell ref="H548:H549"/>
    <mergeCell ref="I548:J548"/>
    <mergeCell ref="K543:K544"/>
    <mergeCell ref="L543:L544"/>
    <mergeCell ref="M543:M544"/>
    <mergeCell ref="N543:N544"/>
    <mergeCell ref="O543:O544"/>
    <mergeCell ref="P543:P544"/>
    <mergeCell ref="A543:C544"/>
    <mergeCell ref="D543:D544"/>
    <mergeCell ref="E543:E544"/>
    <mergeCell ref="F543:G544"/>
    <mergeCell ref="H543:H544"/>
    <mergeCell ref="I543:J543"/>
    <mergeCell ref="T548:T549"/>
    <mergeCell ref="R535:S535"/>
    <mergeCell ref="R537:S537"/>
    <mergeCell ref="R538:S538"/>
    <mergeCell ref="R539:S539"/>
    <mergeCell ref="R540:S540"/>
    <mergeCell ref="R541:S541"/>
    <mergeCell ref="L548:L549"/>
    <mergeCell ref="M548:M549"/>
    <mergeCell ref="N548:N549"/>
    <mergeCell ref="O548:O549"/>
    <mergeCell ref="P548:P549"/>
    <mergeCell ref="M528:N528"/>
    <mergeCell ref="R531:S531"/>
    <mergeCell ref="R532:S532"/>
    <mergeCell ref="R533:S533"/>
    <mergeCell ref="L525:L526"/>
    <mergeCell ref="M525:M526"/>
    <mergeCell ref="N525:N526"/>
    <mergeCell ref="O525:O526"/>
    <mergeCell ref="P525:P526"/>
    <mergeCell ref="Q525:S525"/>
    <mergeCell ref="A522:V523"/>
    <mergeCell ref="A525:C526"/>
    <mergeCell ref="D525:D526"/>
    <mergeCell ref="E525:E526"/>
    <mergeCell ref="F525:G526"/>
    <mergeCell ref="H525:H526"/>
    <mergeCell ref="I525:J525"/>
    <mergeCell ref="K525:K526"/>
    <mergeCell ref="L519:L520"/>
    <mergeCell ref="M519:M520"/>
    <mergeCell ref="N519:N520"/>
    <mergeCell ref="O519:O520"/>
    <mergeCell ref="P519:P520"/>
    <mergeCell ref="Q519:S519"/>
    <mergeCell ref="T525:T526"/>
    <mergeCell ref="I526:J526"/>
    <mergeCell ref="Q516:S516"/>
    <mergeCell ref="T516:T517"/>
    <mergeCell ref="I517:J517"/>
    <mergeCell ref="A519:C520"/>
    <mergeCell ref="D519:D520"/>
    <mergeCell ref="E519:E520"/>
    <mergeCell ref="F519:G520"/>
    <mergeCell ref="H519:H520"/>
    <mergeCell ref="I519:J519"/>
    <mergeCell ref="K519:K520"/>
    <mergeCell ref="K516:K517"/>
    <mergeCell ref="L516:L517"/>
    <mergeCell ref="M516:M517"/>
    <mergeCell ref="N516:N517"/>
    <mergeCell ref="O516:O517"/>
    <mergeCell ref="P516:P517"/>
    <mergeCell ref="A516:C517"/>
    <mergeCell ref="D516:D517"/>
    <mergeCell ref="E516:E517"/>
    <mergeCell ref="F516:G517"/>
    <mergeCell ref="H516:H517"/>
    <mergeCell ref="I516:J516"/>
    <mergeCell ref="T519:T520"/>
    <mergeCell ref="I520:J520"/>
    <mergeCell ref="J495:K495"/>
    <mergeCell ref="J496:K496"/>
    <mergeCell ref="O500:P500"/>
    <mergeCell ref="O501:P501"/>
    <mergeCell ref="O502:P502"/>
    <mergeCell ref="A504:V505"/>
    <mergeCell ref="J487:K487"/>
    <mergeCell ref="P487:Q487"/>
    <mergeCell ref="P490:Q490"/>
    <mergeCell ref="P491:Q491"/>
    <mergeCell ref="P492:Q492"/>
    <mergeCell ref="J494:K494"/>
    <mergeCell ref="AB280:AC280"/>
    <mergeCell ref="L479:M479"/>
    <mergeCell ref="J483:K483"/>
    <mergeCell ref="J484:K484"/>
    <mergeCell ref="J485:K485"/>
    <mergeCell ref="J486:K486"/>
    <mergeCell ref="H475:I475"/>
    <mergeCell ref="J475:K475"/>
    <mergeCell ref="L475:M475"/>
    <mergeCell ref="L476:M476"/>
    <mergeCell ref="L477:M477"/>
    <mergeCell ref="L478:M478"/>
    <mergeCell ref="T472:U472"/>
    <mergeCell ref="B473:C473"/>
    <mergeCell ref="T473:U473"/>
    <mergeCell ref="H474:I474"/>
    <mergeCell ref="J474:K474"/>
    <mergeCell ref="L474:M474"/>
    <mergeCell ref="T474:U474"/>
    <mergeCell ref="Q437:R437"/>
    <mergeCell ref="Q438:R438"/>
    <mergeCell ref="Q439:R439"/>
    <mergeCell ref="E442:F442"/>
    <mergeCell ref="H442:I442"/>
    <mergeCell ref="B472:C472"/>
    <mergeCell ref="D472:E473"/>
    <mergeCell ref="H472:M472"/>
    <mergeCell ref="Q418:S418"/>
    <mergeCell ref="T418:T419"/>
    <mergeCell ref="I419:J419"/>
    <mergeCell ref="D421:E421"/>
    <mergeCell ref="I414:J414"/>
    <mergeCell ref="D416:E416"/>
    <mergeCell ref="M432:N432"/>
    <mergeCell ref="Q432:R432"/>
    <mergeCell ref="K418:K419"/>
    <mergeCell ref="L418:L419"/>
    <mergeCell ref="M418:M419"/>
    <mergeCell ref="N418:N419"/>
    <mergeCell ref="O418:O419"/>
    <mergeCell ref="P418:P419"/>
    <mergeCell ref="A418:C419"/>
    <mergeCell ref="D418:D419"/>
    <mergeCell ref="E418:E419"/>
    <mergeCell ref="F418:G419"/>
    <mergeCell ref="H418:H419"/>
    <mergeCell ref="I418:J418"/>
    <mergeCell ref="K413:K414"/>
    <mergeCell ref="Q408:S408"/>
    <mergeCell ref="T408:T409"/>
    <mergeCell ref="I409:J409"/>
    <mergeCell ref="D411:E411"/>
    <mergeCell ref="A413:C414"/>
    <mergeCell ref="D413:D414"/>
    <mergeCell ref="E413:E414"/>
    <mergeCell ref="F413:G414"/>
    <mergeCell ref="H413:H414"/>
    <mergeCell ref="I413:J413"/>
    <mergeCell ref="K408:K409"/>
    <mergeCell ref="L408:L409"/>
    <mergeCell ref="M408:M409"/>
    <mergeCell ref="N408:N409"/>
    <mergeCell ref="O408:O409"/>
    <mergeCell ref="P408:P409"/>
    <mergeCell ref="A408:C409"/>
    <mergeCell ref="D408:D409"/>
    <mergeCell ref="E408:E409"/>
    <mergeCell ref="F408:G409"/>
    <mergeCell ref="H408:H409"/>
    <mergeCell ref="I408:J408"/>
    <mergeCell ref="Q413:S413"/>
    <mergeCell ref="T413:T414"/>
    <mergeCell ref="R400:S400"/>
    <mergeCell ref="R402:S402"/>
    <mergeCell ref="R403:S403"/>
    <mergeCell ref="R404:S404"/>
    <mergeCell ref="R405:S405"/>
    <mergeCell ref="R406:S406"/>
    <mergeCell ref="L413:L414"/>
    <mergeCell ref="M413:M414"/>
    <mergeCell ref="N413:N414"/>
    <mergeCell ref="O413:O414"/>
    <mergeCell ref="P413:P414"/>
    <mergeCell ref="M393:N393"/>
    <mergeCell ref="R396:S396"/>
    <mergeCell ref="R397:S397"/>
    <mergeCell ref="R398:S398"/>
    <mergeCell ref="L390:L391"/>
    <mergeCell ref="M390:M391"/>
    <mergeCell ref="N390:N391"/>
    <mergeCell ref="O390:O391"/>
    <mergeCell ref="P390:P391"/>
    <mergeCell ref="Q390:S390"/>
    <mergeCell ref="A387:V388"/>
    <mergeCell ref="A390:C391"/>
    <mergeCell ref="D390:D391"/>
    <mergeCell ref="E390:E391"/>
    <mergeCell ref="F390:G391"/>
    <mergeCell ref="H390:H391"/>
    <mergeCell ref="I390:J390"/>
    <mergeCell ref="K390:K391"/>
    <mergeCell ref="L384:L385"/>
    <mergeCell ref="M384:M385"/>
    <mergeCell ref="N384:N385"/>
    <mergeCell ref="O384:O385"/>
    <mergeCell ref="P384:P385"/>
    <mergeCell ref="Q384:S384"/>
    <mergeCell ref="T390:T391"/>
    <mergeCell ref="I391:J391"/>
    <mergeCell ref="Q381:S381"/>
    <mergeCell ref="T381:T382"/>
    <mergeCell ref="I382:J382"/>
    <mergeCell ref="A384:C385"/>
    <mergeCell ref="D384:D385"/>
    <mergeCell ref="E384:E385"/>
    <mergeCell ref="F384:G385"/>
    <mergeCell ref="H384:H385"/>
    <mergeCell ref="I384:J384"/>
    <mergeCell ref="K384:K385"/>
    <mergeCell ref="K381:K382"/>
    <mergeCell ref="L381:L382"/>
    <mergeCell ref="M381:M382"/>
    <mergeCell ref="N381:N382"/>
    <mergeCell ref="O381:O382"/>
    <mergeCell ref="P381:P382"/>
    <mergeCell ref="A381:C382"/>
    <mergeCell ref="D381:D382"/>
    <mergeCell ref="E381:E382"/>
    <mergeCell ref="F381:G382"/>
    <mergeCell ref="H381:H382"/>
    <mergeCell ref="I381:J381"/>
    <mergeCell ref="T384:T385"/>
    <mergeCell ref="I385:J385"/>
    <mergeCell ref="J365:K365"/>
    <mergeCell ref="O369:P369"/>
    <mergeCell ref="O370:P370"/>
    <mergeCell ref="O371:P371"/>
    <mergeCell ref="A373:V374"/>
    <mergeCell ref="J356:K356"/>
    <mergeCell ref="P356:Q356"/>
    <mergeCell ref="P359:Q359"/>
    <mergeCell ref="P360:Q360"/>
    <mergeCell ref="P361:Q361"/>
    <mergeCell ref="J363:K363"/>
    <mergeCell ref="J354:K354"/>
    <mergeCell ref="J355:K355"/>
    <mergeCell ref="H344:I344"/>
    <mergeCell ref="J344:K344"/>
    <mergeCell ref="L344:M344"/>
    <mergeCell ref="J345:K345"/>
    <mergeCell ref="J346:K346"/>
    <mergeCell ref="J347:K347"/>
    <mergeCell ref="J364:K364"/>
    <mergeCell ref="E310:F310"/>
    <mergeCell ref="H310:I310"/>
    <mergeCell ref="B341:C341"/>
    <mergeCell ref="H341:N341"/>
    <mergeCell ref="D341:E341"/>
    <mergeCell ref="AB149:AC149"/>
    <mergeCell ref="J348:K348"/>
    <mergeCell ref="J352:K352"/>
    <mergeCell ref="J353:K353"/>
    <mergeCell ref="T341:U341"/>
    <mergeCell ref="T342:U342"/>
    <mergeCell ref="H343:I343"/>
    <mergeCell ref="J343:K343"/>
    <mergeCell ref="L343:M343"/>
    <mergeCell ref="T343:U343"/>
    <mergeCell ref="Q305:R305"/>
    <mergeCell ref="Q306:R306"/>
    <mergeCell ref="Q307:R307"/>
    <mergeCell ref="P295:P296"/>
    <mergeCell ref="Q295:S295"/>
    <mergeCell ref="T295:T296"/>
    <mergeCell ref="I296:J296"/>
    <mergeCell ref="D298:E298"/>
    <mergeCell ref="M300:N300"/>
    <mergeCell ref="Q300:R300"/>
    <mergeCell ref="I295:J295"/>
    <mergeCell ref="K295:K296"/>
    <mergeCell ref="L295:L296"/>
    <mergeCell ref="M295:M296"/>
    <mergeCell ref="N295:N296"/>
    <mergeCell ref="O295:O296"/>
    <mergeCell ref="D280:E280"/>
    <mergeCell ref="A295:C296"/>
    <mergeCell ref="D295:D296"/>
    <mergeCell ref="E295:E296"/>
    <mergeCell ref="F295:G296"/>
    <mergeCell ref="H295:H296"/>
    <mergeCell ref="I277:J277"/>
    <mergeCell ref="K277:K278"/>
    <mergeCell ref="L277:L278"/>
    <mergeCell ref="T272:T273"/>
    <mergeCell ref="I273:J273"/>
    <mergeCell ref="D275:E275"/>
    <mergeCell ref="A277:C278"/>
    <mergeCell ref="D277:D278"/>
    <mergeCell ref="E277:E278"/>
    <mergeCell ref="F277:G278"/>
    <mergeCell ref="H277:H278"/>
    <mergeCell ref="I272:J272"/>
    <mergeCell ref="K272:K273"/>
    <mergeCell ref="L272:L273"/>
    <mergeCell ref="M272:M273"/>
    <mergeCell ref="N272:N273"/>
    <mergeCell ref="O272:O273"/>
    <mergeCell ref="P277:P278"/>
    <mergeCell ref="Q277:S277"/>
    <mergeCell ref="T277:T278"/>
    <mergeCell ref="I278:J278"/>
    <mergeCell ref="M277:M278"/>
    <mergeCell ref="N277:N278"/>
    <mergeCell ref="O277:O278"/>
    <mergeCell ref="R266:S266"/>
    <mergeCell ref="R267:S267"/>
    <mergeCell ref="R268:S268"/>
    <mergeCell ref="R269:S269"/>
    <mergeCell ref="R270:S270"/>
    <mergeCell ref="A272:C273"/>
    <mergeCell ref="D272:D273"/>
    <mergeCell ref="E272:E273"/>
    <mergeCell ref="F272:G273"/>
    <mergeCell ref="H272:H273"/>
    <mergeCell ref="P272:P273"/>
    <mergeCell ref="Q272:S272"/>
    <mergeCell ref="M257:N257"/>
    <mergeCell ref="R260:S260"/>
    <mergeCell ref="R261:S261"/>
    <mergeCell ref="R262:S262"/>
    <mergeCell ref="R264:S264"/>
    <mergeCell ref="M254:M255"/>
    <mergeCell ref="N254:N255"/>
    <mergeCell ref="O254:O255"/>
    <mergeCell ref="P254:P255"/>
    <mergeCell ref="Q254:S254"/>
    <mergeCell ref="T254:T255"/>
    <mergeCell ref="I249:J249"/>
    <mergeCell ref="A251:V252"/>
    <mergeCell ref="A254:C255"/>
    <mergeCell ref="D254:D255"/>
    <mergeCell ref="E254:E255"/>
    <mergeCell ref="F254:G255"/>
    <mergeCell ref="H254:H255"/>
    <mergeCell ref="I254:J254"/>
    <mergeCell ref="K254:K255"/>
    <mergeCell ref="L254:L255"/>
    <mergeCell ref="M248:M249"/>
    <mergeCell ref="N248:N249"/>
    <mergeCell ref="O248:O249"/>
    <mergeCell ref="P248:P249"/>
    <mergeCell ref="Q248:S248"/>
    <mergeCell ref="T248:T249"/>
    <mergeCell ref="I255:J255"/>
    <mergeCell ref="A248:C249"/>
    <mergeCell ref="D248:D249"/>
    <mergeCell ref="E248:E249"/>
    <mergeCell ref="F248:G249"/>
    <mergeCell ref="H248:H249"/>
    <mergeCell ref="I248:J248"/>
    <mergeCell ref="K248:K249"/>
    <mergeCell ref="L248:L249"/>
    <mergeCell ref="L245:L246"/>
    <mergeCell ref="O234:P234"/>
    <mergeCell ref="O235:P235"/>
    <mergeCell ref="A237:V238"/>
    <mergeCell ref="A245:C246"/>
    <mergeCell ref="D245:D246"/>
    <mergeCell ref="E245:E246"/>
    <mergeCell ref="F245:G246"/>
    <mergeCell ref="H245:H246"/>
    <mergeCell ref="I245:J245"/>
    <mergeCell ref="K245:K246"/>
    <mergeCell ref="T245:T246"/>
    <mergeCell ref="I246:J246"/>
    <mergeCell ref="M245:M246"/>
    <mergeCell ref="N245:N246"/>
    <mergeCell ref="O245:O246"/>
    <mergeCell ref="P245:P246"/>
    <mergeCell ref="Q245:S245"/>
    <mergeCell ref="P224:Q224"/>
    <mergeCell ref="P225:Q225"/>
    <mergeCell ref="J227:K227"/>
    <mergeCell ref="J228:K228"/>
    <mergeCell ref="J229:K229"/>
    <mergeCell ref="O233:P233"/>
    <mergeCell ref="J217:K217"/>
    <mergeCell ref="J218:K218"/>
    <mergeCell ref="J219:K219"/>
    <mergeCell ref="J220:K220"/>
    <mergeCell ref="P220:Q220"/>
    <mergeCell ref="P223:Q223"/>
    <mergeCell ref="H209:I209"/>
    <mergeCell ref="H210:I210"/>
    <mergeCell ref="H211:I211"/>
    <mergeCell ref="AB13:AC13"/>
    <mergeCell ref="H212:I212"/>
    <mergeCell ref="J216:K216"/>
    <mergeCell ref="H207:I207"/>
    <mergeCell ref="J207:K207"/>
    <mergeCell ref="L207:M207"/>
    <mergeCell ref="T207:U207"/>
    <mergeCell ref="H208:I208"/>
    <mergeCell ref="J208:K208"/>
    <mergeCell ref="L208:M208"/>
    <mergeCell ref="J106:K106"/>
    <mergeCell ref="G163:H163"/>
    <mergeCell ref="J163:K163"/>
    <mergeCell ref="G164:H164"/>
    <mergeCell ref="J164:K164"/>
    <mergeCell ref="G165:H165"/>
    <mergeCell ref="M166:N166"/>
    <mergeCell ref="P166:Q166"/>
    <mergeCell ref="M167:N167"/>
    <mergeCell ref="P167:Q167"/>
    <mergeCell ref="M168:N168"/>
    <mergeCell ref="B205:C205"/>
    <mergeCell ref="D205:E205"/>
    <mergeCell ref="T205:U205"/>
    <mergeCell ref="B206:C206"/>
    <mergeCell ref="D206:E206"/>
    <mergeCell ref="T206:U206"/>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G205:O205"/>
    <mergeCell ref="S8:T8"/>
    <mergeCell ref="S9:T9"/>
    <mergeCell ref="S10:T10"/>
    <mergeCell ref="S13:T13"/>
  </mergeCells>
  <conditionalFormatting sqref="H311:H336 H443 H571 H743:H763 H875:H895 H1007:H1027">
    <cfRule type="cellIs" dxfId="198" priority="1" stopIfTrue="1" operator="equal">
      <formula>"Under Dimentioned"</formula>
    </cfRule>
  </conditionalFormatting>
  <dataValidations count="3">
    <dataValidation type="list" allowBlank="1" showInputMessage="1" showErrorMessage="1" sqref="M964:N964 JI766:JJ766 TE766:TF766 ADA766:ADB766 AMW766:AMX766 AWS766:AWT766 BGO766:BGP766 BQK766:BQL766 CAG766:CAH766 CKC766:CKD766 CTY766:CTZ766 DDU766:DDV766 DNQ766:DNR766 DXM766:DXN766 EHI766:EHJ766 ERE766:ERF766 FBA766:FBB766 FKW766:FKX766 FUS766:FUT766 GEO766:GEP766 GOK766:GOL766 GYG766:GYH766 HIC766:HID766 HRY766:HRZ766 IBU766:IBV766 ILQ766:ILR766 IVM766:IVN766 JFI766:JFJ766 JPE766:JPF766 JZA766:JZB766 KIW766:KIX766 KSS766:KST766 LCO766:LCP766 LMK766:LML766 LWG766:LWH766 MGC766:MGD766 MPY766:MPZ766 MZU766:MZV766 NJQ766:NJR766 NTM766:NTN766 ODI766:ODJ766 ONE766:ONF766 OXA766:OXB766 PGW766:PGX766 PQS766:PQT766 QAO766:QAP766 QKK766:QKL766 QUG766:QUH766 REC766:RED766 RNY766:RNZ766 RXU766:RXV766 SHQ766:SHR766 SRM766:SRN766 TBI766:TBJ766 TLE766:TLF766 TVA766:TVB766 UEW766:UEX766 UOS766:UOT766 UYO766:UYP766 VIK766:VIL766 VSG766:VSH766 WCC766:WCD766 WLY766:WLZ766 WVU766:WVV766 M66500:N66500 JI66302:JJ66302 TE66302:TF66302 ADA66302:ADB66302 AMW66302:AMX66302 AWS66302:AWT66302 BGO66302:BGP66302 BQK66302:BQL66302 CAG66302:CAH66302 CKC66302:CKD66302 CTY66302:CTZ66302 DDU66302:DDV66302 DNQ66302:DNR66302 DXM66302:DXN66302 EHI66302:EHJ66302 ERE66302:ERF66302 FBA66302:FBB66302 FKW66302:FKX66302 FUS66302:FUT66302 GEO66302:GEP66302 GOK66302:GOL66302 GYG66302:GYH66302 HIC66302:HID66302 HRY66302:HRZ66302 IBU66302:IBV66302 ILQ66302:ILR66302 IVM66302:IVN66302 JFI66302:JFJ66302 JPE66302:JPF66302 JZA66302:JZB66302 KIW66302:KIX66302 KSS66302:KST66302 LCO66302:LCP66302 LMK66302:LML66302 LWG66302:LWH66302 MGC66302:MGD66302 MPY66302:MPZ66302 MZU66302:MZV66302 NJQ66302:NJR66302 NTM66302:NTN66302 ODI66302:ODJ66302 ONE66302:ONF66302 OXA66302:OXB66302 PGW66302:PGX66302 PQS66302:PQT66302 QAO66302:QAP66302 QKK66302:QKL66302 QUG66302:QUH66302 REC66302:RED66302 RNY66302:RNZ66302 RXU66302:RXV66302 SHQ66302:SHR66302 SRM66302:SRN66302 TBI66302:TBJ66302 TLE66302:TLF66302 TVA66302:TVB66302 UEW66302:UEX66302 UOS66302:UOT66302 UYO66302:UYP66302 VIK66302:VIL66302 VSG66302:VSH66302 WCC66302:WCD66302 WLY66302:WLZ66302 WVU66302:WVV66302 M132036:N132036 JI131838:JJ131838 TE131838:TF131838 ADA131838:ADB131838 AMW131838:AMX131838 AWS131838:AWT131838 BGO131838:BGP131838 BQK131838:BQL131838 CAG131838:CAH131838 CKC131838:CKD131838 CTY131838:CTZ131838 DDU131838:DDV131838 DNQ131838:DNR131838 DXM131838:DXN131838 EHI131838:EHJ131838 ERE131838:ERF131838 FBA131838:FBB131838 FKW131838:FKX131838 FUS131838:FUT131838 GEO131838:GEP131838 GOK131838:GOL131838 GYG131838:GYH131838 HIC131838:HID131838 HRY131838:HRZ131838 IBU131838:IBV131838 ILQ131838:ILR131838 IVM131838:IVN131838 JFI131838:JFJ131838 JPE131838:JPF131838 JZA131838:JZB131838 KIW131838:KIX131838 KSS131838:KST131838 LCO131838:LCP131838 LMK131838:LML131838 LWG131838:LWH131838 MGC131838:MGD131838 MPY131838:MPZ131838 MZU131838:MZV131838 NJQ131838:NJR131838 NTM131838:NTN131838 ODI131838:ODJ131838 ONE131838:ONF131838 OXA131838:OXB131838 PGW131838:PGX131838 PQS131838:PQT131838 QAO131838:QAP131838 QKK131838:QKL131838 QUG131838:QUH131838 REC131838:RED131838 RNY131838:RNZ131838 RXU131838:RXV131838 SHQ131838:SHR131838 SRM131838:SRN131838 TBI131838:TBJ131838 TLE131838:TLF131838 TVA131838:TVB131838 UEW131838:UEX131838 UOS131838:UOT131838 UYO131838:UYP131838 VIK131838:VIL131838 VSG131838:VSH131838 WCC131838:WCD131838 WLY131838:WLZ131838 WVU131838:WVV131838 M197572:N197572 JI197374:JJ197374 TE197374:TF197374 ADA197374:ADB197374 AMW197374:AMX197374 AWS197374:AWT197374 BGO197374:BGP197374 BQK197374:BQL197374 CAG197374:CAH197374 CKC197374:CKD197374 CTY197374:CTZ197374 DDU197374:DDV197374 DNQ197374:DNR197374 DXM197374:DXN197374 EHI197374:EHJ197374 ERE197374:ERF197374 FBA197374:FBB197374 FKW197374:FKX197374 FUS197374:FUT197374 GEO197374:GEP197374 GOK197374:GOL197374 GYG197374:GYH197374 HIC197374:HID197374 HRY197374:HRZ197374 IBU197374:IBV197374 ILQ197374:ILR197374 IVM197374:IVN197374 JFI197374:JFJ197374 JPE197374:JPF197374 JZA197374:JZB197374 KIW197374:KIX197374 KSS197374:KST197374 LCO197374:LCP197374 LMK197374:LML197374 LWG197374:LWH197374 MGC197374:MGD197374 MPY197374:MPZ197374 MZU197374:MZV197374 NJQ197374:NJR197374 NTM197374:NTN197374 ODI197374:ODJ197374 ONE197374:ONF197374 OXA197374:OXB197374 PGW197374:PGX197374 PQS197374:PQT197374 QAO197374:QAP197374 QKK197374:QKL197374 QUG197374:QUH197374 REC197374:RED197374 RNY197374:RNZ197374 RXU197374:RXV197374 SHQ197374:SHR197374 SRM197374:SRN197374 TBI197374:TBJ197374 TLE197374:TLF197374 TVA197374:TVB197374 UEW197374:UEX197374 UOS197374:UOT197374 UYO197374:UYP197374 VIK197374:VIL197374 VSG197374:VSH197374 WCC197374:WCD197374 WLY197374:WLZ197374 WVU197374:WVV197374 M263108:N263108 JI262910:JJ262910 TE262910:TF262910 ADA262910:ADB262910 AMW262910:AMX262910 AWS262910:AWT262910 BGO262910:BGP262910 BQK262910:BQL262910 CAG262910:CAH262910 CKC262910:CKD262910 CTY262910:CTZ262910 DDU262910:DDV262910 DNQ262910:DNR262910 DXM262910:DXN262910 EHI262910:EHJ262910 ERE262910:ERF262910 FBA262910:FBB262910 FKW262910:FKX262910 FUS262910:FUT262910 GEO262910:GEP262910 GOK262910:GOL262910 GYG262910:GYH262910 HIC262910:HID262910 HRY262910:HRZ262910 IBU262910:IBV262910 ILQ262910:ILR262910 IVM262910:IVN262910 JFI262910:JFJ262910 JPE262910:JPF262910 JZA262910:JZB262910 KIW262910:KIX262910 KSS262910:KST262910 LCO262910:LCP262910 LMK262910:LML262910 LWG262910:LWH262910 MGC262910:MGD262910 MPY262910:MPZ262910 MZU262910:MZV262910 NJQ262910:NJR262910 NTM262910:NTN262910 ODI262910:ODJ262910 ONE262910:ONF262910 OXA262910:OXB262910 PGW262910:PGX262910 PQS262910:PQT262910 QAO262910:QAP262910 QKK262910:QKL262910 QUG262910:QUH262910 REC262910:RED262910 RNY262910:RNZ262910 RXU262910:RXV262910 SHQ262910:SHR262910 SRM262910:SRN262910 TBI262910:TBJ262910 TLE262910:TLF262910 TVA262910:TVB262910 UEW262910:UEX262910 UOS262910:UOT262910 UYO262910:UYP262910 VIK262910:VIL262910 VSG262910:VSH262910 WCC262910:WCD262910 WLY262910:WLZ262910 WVU262910:WVV262910 M328644:N328644 JI328446:JJ328446 TE328446:TF328446 ADA328446:ADB328446 AMW328446:AMX328446 AWS328446:AWT328446 BGO328446:BGP328446 BQK328446:BQL328446 CAG328446:CAH328446 CKC328446:CKD328446 CTY328446:CTZ328446 DDU328446:DDV328446 DNQ328446:DNR328446 DXM328446:DXN328446 EHI328446:EHJ328446 ERE328446:ERF328446 FBA328446:FBB328446 FKW328446:FKX328446 FUS328446:FUT328446 GEO328446:GEP328446 GOK328446:GOL328446 GYG328446:GYH328446 HIC328446:HID328446 HRY328446:HRZ328446 IBU328446:IBV328446 ILQ328446:ILR328446 IVM328446:IVN328446 JFI328446:JFJ328446 JPE328446:JPF328446 JZA328446:JZB328446 KIW328446:KIX328446 KSS328446:KST328446 LCO328446:LCP328446 LMK328446:LML328446 LWG328446:LWH328446 MGC328446:MGD328446 MPY328446:MPZ328446 MZU328446:MZV328446 NJQ328446:NJR328446 NTM328446:NTN328446 ODI328446:ODJ328446 ONE328446:ONF328446 OXA328446:OXB328446 PGW328446:PGX328446 PQS328446:PQT328446 QAO328446:QAP328446 QKK328446:QKL328446 QUG328446:QUH328446 REC328446:RED328446 RNY328446:RNZ328446 RXU328446:RXV328446 SHQ328446:SHR328446 SRM328446:SRN328446 TBI328446:TBJ328446 TLE328446:TLF328446 TVA328446:TVB328446 UEW328446:UEX328446 UOS328446:UOT328446 UYO328446:UYP328446 VIK328446:VIL328446 VSG328446:VSH328446 WCC328446:WCD328446 WLY328446:WLZ328446 WVU328446:WVV328446 M394180:N394180 JI393982:JJ393982 TE393982:TF393982 ADA393982:ADB393982 AMW393982:AMX393982 AWS393982:AWT393982 BGO393982:BGP393982 BQK393982:BQL393982 CAG393982:CAH393982 CKC393982:CKD393982 CTY393982:CTZ393982 DDU393982:DDV393982 DNQ393982:DNR393982 DXM393982:DXN393982 EHI393982:EHJ393982 ERE393982:ERF393982 FBA393982:FBB393982 FKW393982:FKX393982 FUS393982:FUT393982 GEO393982:GEP393982 GOK393982:GOL393982 GYG393982:GYH393982 HIC393982:HID393982 HRY393982:HRZ393982 IBU393982:IBV393982 ILQ393982:ILR393982 IVM393982:IVN393982 JFI393982:JFJ393982 JPE393982:JPF393982 JZA393982:JZB393982 KIW393982:KIX393982 KSS393982:KST393982 LCO393982:LCP393982 LMK393982:LML393982 LWG393982:LWH393982 MGC393982:MGD393982 MPY393982:MPZ393982 MZU393982:MZV393982 NJQ393982:NJR393982 NTM393982:NTN393982 ODI393982:ODJ393982 ONE393982:ONF393982 OXA393982:OXB393982 PGW393982:PGX393982 PQS393982:PQT393982 QAO393982:QAP393982 QKK393982:QKL393982 QUG393982:QUH393982 REC393982:RED393982 RNY393982:RNZ393982 RXU393982:RXV393982 SHQ393982:SHR393982 SRM393982:SRN393982 TBI393982:TBJ393982 TLE393982:TLF393982 TVA393982:TVB393982 UEW393982:UEX393982 UOS393982:UOT393982 UYO393982:UYP393982 VIK393982:VIL393982 VSG393982:VSH393982 WCC393982:WCD393982 WLY393982:WLZ393982 WVU393982:WVV393982 M459716:N459716 JI459518:JJ459518 TE459518:TF459518 ADA459518:ADB459518 AMW459518:AMX459518 AWS459518:AWT459518 BGO459518:BGP459518 BQK459518:BQL459518 CAG459518:CAH459518 CKC459518:CKD459518 CTY459518:CTZ459518 DDU459518:DDV459518 DNQ459518:DNR459518 DXM459518:DXN459518 EHI459518:EHJ459518 ERE459518:ERF459518 FBA459518:FBB459518 FKW459518:FKX459518 FUS459518:FUT459518 GEO459518:GEP459518 GOK459518:GOL459518 GYG459518:GYH459518 HIC459518:HID459518 HRY459518:HRZ459518 IBU459518:IBV459518 ILQ459518:ILR459518 IVM459518:IVN459518 JFI459518:JFJ459518 JPE459518:JPF459518 JZA459518:JZB459518 KIW459518:KIX459518 KSS459518:KST459518 LCO459518:LCP459518 LMK459518:LML459518 LWG459518:LWH459518 MGC459518:MGD459518 MPY459518:MPZ459518 MZU459518:MZV459518 NJQ459518:NJR459518 NTM459518:NTN459518 ODI459518:ODJ459518 ONE459518:ONF459518 OXA459518:OXB459518 PGW459518:PGX459518 PQS459518:PQT459518 QAO459518:QAP459518 QKK459518:QKL459518 QUG459518:QUH459518 REC459518:RED459518 RNY459518:RNZ459518 RXU459518:RXV459518 SHQ459518:SHR459518 SRM459518:SRN459518 TBI459518:TBJ459518 TLE459518:TLF459518 TVA459518:TVB459518 UEW459518:UEX459518 UOS459518:UOT459518 UYO459518:UYP459518 VIK459518:VIL459518 VSG459518:VSH459518 WCC459518:WCD459518 WLY459518:WLZ459518 WVU459518:WVV459518 M525252:N525252 JI525054:JJ525054 TE525054:TF525054 ADA525054:ADB525054 AMW525054:AMX525054 AWS525054:AWT525054 BGO525054:BGP525054 BQK525054:BQL525054 CAG525054:CAH525054 CKC525054:CKD525054 CTY525054:CTZ525054 DDU525054:DDV525054 DNQ525054:DNR525054 DXM525054:DXN525054 EHI525054:EHJ525054 ERE525054:ERF525054 FBA525054:FBB525054 FKW525054:FKX525054 FUS525054:FUT525054 GEO525054:GEP525054 GOK525054:GOL525054 GYG525054:GYH525054 HIC525054:HID525054 HRY525054:HRZ525054 IBU525054:IBV525054 ILQ525054:ILR525054 IVM525054:IVN525054 JFI525054:JFJ525054 JPE525054:JPF525054 JZA525054:JZB525054 KIW525054:KIX525054 KSS525054:KST525054 LCO525054:LCP525054 LMK525054:LML525054 LWG525054:LWH525054 MGC525054:MGD525054 MPY525054:MPZ525054 MZU525054:MZV525054 NJQ525054:NJR525054 NTM525054:NTN525054 ODI525054:ODJ525054 ONE525054:ONF525054 OXA525054:OXB525054 PGW525054:PGX525054 PQS525054:PQT525054 QAO525054:QAP525054 QKK525054:QKL525054 QUG525054:QUH525054 REC525054:RED525054 RNY525054:RNZ525054 RXU525054:RXV525054 SHQ525054:SHR525054 SRM525054:SRN525054 TBI525054:TBJ525054 TLE525054:TLF525054 TVA525054:TVB525054 UEW525054:UEX525054 UOS525054:UOT525054 UYO525054:UYP525054 VIK525054:VIL525054 VSG525054:VSH525054 WCC525054:WCD525054 WLY525054:WLZ525054 WVU525054:WVV525054 M590788:N590788 JI590590:JJ590590 TE590590:TF590590 ADA590590:ADB590590 AMW590590:AMX590590 AWS590590:AWT590590 BGO590590:BGP590590 BQK590590:BQL590590 CAG590590:CAH590590 CKC590590:CKD590590 CTY590590:CTZ590590 DDU590590:DDV590590 DNQ590590:DNR590590 DXM590590:DXN590590 EHI590590:EHJ590590 ERE590590:ERF590590 FBA590590:FBB590590 FKW590590:FKX590590 FUS590590:FUT590590 GEO590590:GEP590590 GOK590590:GOL590590 GYG590590:GYH590590 HIC590590:HID590590 HRY590590:HRZ590590 IBU590590:IBV590590 ILQ590590:ILR590590 IVM590590:IVN590590 JFI590590:JFJ590590 JPE590590:JPF590590 JZA590590:JZB590590 KIW590590:KIX590590 KSS590590:KST590590 LCO590590:LCP590590 LMK590590:LML590590 LWG590590:LWH590590 MGC590590:MGD590590 MPY590590:MPZ590590 MZU590590:MZV590590 NJQ590590:NJR590590 NTM590590:NTN590590 ODI590590:ODJ590590 ONE590590:ONF590590 OXA590590:OXB590590 PGW590590:PGX590590 PQS590590:PQT590590 QAO590590:QAP590590 QKK590590:QKL590590 QUG590590:QUH590590 REC590590:RED590590 RNY590590:RNZ590590 RXU590590:RXV590590 SHQ590590:SHR590590 SRM590590:SRN590590 TBI590590:TBJ590590 TLE590590:TLF590590 TVA590590:TVB590590 UEW590590:UEX590590 UOS590590:UOT590590 UYO590590:UYP590590 VIK590590:VIL590590 VSG590590:VSH590590 WCC590590:WCD590590 WLY590590:WLZ590590 WVU590590:WVV590590 M656324:N656324 JI656126:JJ656126 TE656126:TF656126 ADA656126:ADB656126 AMW656126:AMX656126 AWS656126:AWT656126 BGO656126:BGP656126 BQK656126:BQL656126 CAG656126:CAH656126 CKC656126:CKD656126 CTY656126:CTZ656126 DDU656126:DDV656126 DNQ656126:DNR656126 DXM656126:DXN656126 EHI656126:EHJ656126 ERE656126:ERF656126 FBA656126:FBB656126 FKW656126:FKX656126 FUS656126:FUT656126 GEO656126:GEP656126 GOK656126:GOL656126 GYG656126:GYH656126 HIC656126:HID656126 HRY656126:HRZ656126 IBU656126:IBV656126 ILQ656126:ILR656126 IVM656126:IVN656126 JFI656126:JFJ656126 JPE656126:JPF656126 JZA656126:JZB656126 KIW656126:KIX656126 KSS656126:KST656126 LCO656126:LCP656126 LMK656126:LML656126 LWG656126:LWH656126 MGC656126:MGD656126 MPY656126:MPZ656126 MZU656126:MZV656126 NJQ656126:NJR656126 NTM656126:NTN656126 ODI656126:ODJ656126 ONE656126:ONF656126 OXA656126:OXB656126 PGW656126:PGX656126 PQS656126:PQT656126 QAO656126:QAP656126 QKK656126:QKL656126 QUG656126:QUH656126 REC656126:RED656126 RNY656126:RNZ656126 RXU656126:RXV656126 SHQ656126:SHR656126 SRM656126:SRN656126 TBI656126:TBJ656126 TLE656126:TLF656126 TVA656126:TVB656126 UEW656126:UEX656126 UOS656126:UOT656126 UYO656126:UYP656126 VIK656126:VIL656126 VSG656126:VSH656126 WCC656126:WCD656126 WLY656126:WLZ656126 WVU656126:WVV656126 M721860:N721860 JI721662:JJ721662 TE721662:TF721662 ADA721662:ADB721662 AMW721662:AMX721662 AWS721662:AWT721662 BGO721662:BGP721662 BQK721662:BQL721662 CAG721662:CAH721662 CKC721662:CKD721662 CTY721662:CTZ721662 DDU721662:DDV721662 DNQ721662:DNR721662 DXM721662:DXN721662 EHI721662:EHJ721662 ERE721662:ERF721662 FBA721662:FBB721662 FKW721662:FKX721662 FUS721662:FUT721662 GEO721662:GEP721662 GOK721662:GOL721662 GYG721662:GYH721662 HIC721662:HID721662 HRY721662:HRZ721662 IBU721662:IBV721662 ILQ721662:ILR721662 IVM721662:IVN721662 JFI721662:JFJ721662 JPE721662:JPF721662 JZA721662:JZB721662 KIW721662:KIX721662 KSS721662:KST721662 LCO721662:LCP721662 LMK721662:LML721662 LWG721662:LWH721662 MGC721662:MGD721662 MPY721662:MPZ721662 MZU721662:MZV721662 NJQ721662:NJR721662 NTM721662:NTN721662 ODI721662:ODJ721662 ONE721662:ONF721662 OXA721662:OXB721662 PGW721662:PGX721662 PQS721662:PQT721662 QAO721662:QAP721662 QKK721662:QKL721662 QUG721662:QUH721662 REC721662:RED721662 RNY721662:RNZ721662 RXU721662:RXV721662 SHQ721662:SHR721662 SRM721662:SRN721662 TBI721662:TBJ721662 TLE721662:TLF721662 TVA721662:TVB721662 UEW721662:UEX721662 UOS721662:UOT721662 UYO721662:UYP721662 VIK721662:VIL721662 VSG721662:VSH721662 WCC721662:WCD721662 WLY721662:WLZ721662 WVU721662:WVV721662 M787396:N787396 JI787198:JJ787198 TE787198:TF787198 ADA787198:ADB787198 AMW787198:AMX787198 AWS787198:AWT787198 BGO787198:BGP787198 BQK787198:BQL787198 CAG787198:CAH787198 CKC787198:CKD787198 CTY787198:CTZ787198 DDU787198:DDV787198 DNQ787198:DNR787198 DXM787198:DXN787198 EHI787198:EHJ787198 ERE787198:ERF787198 FBA787198:FBB787198 FKW787198:FKX787198 FUS787198:FUT787198 GEO787198:GEP787198 GOK787198:GOL787198 GYG787198:GYH787198 HIC787198:HID787198 HRY787198:HRZ787198 IBU787198:IBV787198 ILQ787198:ILR787198 IVM787198:IVN787198 JFI787198:JFJ787198 JPE787198:JPF787198 JZA787198:JZB787198 KIW787198:KIX787198 KSS787198:KST787198 LCO787198:LCP787198 LMK787198:LML787198 LWG787198:LWH787198 MGC787198:MGD787198 MPY787198:MPZ787198 MZU787198:MZV787198 NJQ787198:NJR787198 NTM787198:NTN787198 ODI787198:ODJ787198 ONE787198:ONF787198 OXA787198:OXB787198 PGW787198:PGX787198 PQS787198:PQT787198 QAO787198:QAP787198 QKK787198:QKL787198 QUG787198:QUH787198 REC787198:RED787198 RNY787198:RNZ787198 RXU787198:RXV787198 SHQ787198:SHR787198 SRM787198:SRN787198 TBI787198:TBJ787198 TLE787198:TLF787198 TVA787198:TVB787198 UEW787198:UEX787198 UOS787198:UOT787198 UYO787198:UYP787198 VIK787198:VIL787198 VSG787198:VSH787198 WCC787198:WCD787198 WLY787198:WLZ787198 WVU787198:WVV787198 M852932:N852932 JI852734:JJ852734 TE852734:TF852734 ADA852734:ADB852734 AMW852734:AMX852734 AWS852734:AWT852734 BGO852734:BGP852734 BQK852734:BQL852734 CAG852734:CAH852734 CKC852734:CKD852734 CTY852734:CTZ852734 DDU852734:DDV852734 DNQ852734:DNR852734 DXM852734:DXN852734 EHI852734:EHJ852734 ERE852734:ERF852734 FBA852734:FBB852734 FKW852734:FKX852734 FUS852734:FUT852734 GEO852734:GEP852734 GOK852734:GOL852734 GYG852734:GYH852734 HIC852734:HID852734 HRY852734:HRZ852734 IBU852734:IBV852734 ILQ852734:ILR852734 IVM852734:IVN852734 JFI852734:JFJ852734 JPE852734:JPF852734 JZA852734:JZB852734 KIW852734:KIX852734 KSS852734:KST852734 LCO852734:LCP852734 LMK852734:LML852734 LWG852734:LWH852734 MGC852734:MGD852734 MPY852734:MPZ852734 MZU852734:MZV852734 NJQ852734:NJR852734 NTM852734:NTN852734 ODI852734:ODJ852734 ONE852734:ONF852734 OXA852734:OXB852734 PGW852734:PGX852734 PQS852734:PQT852734 QAO852734:QAP852734 QKK852734:QKL852734 QUG852734:QUH852734 REC852734:RED852734 RNY852734:RNZ852734 RXU852734:RXV852734 SHQ852734:SHR852734 SRM852734:SRN852734 TBI852734:TBJ852734 TLE852734:TLF852734 TVA852734:TVB852734 UEW852734:UEX852734 UOS852734:UOT852734 UYO852734:UYP852734 VIK852734:VIL852734 VSG852734:VSH852734 WCC852734:WCD852734 WLY852734:WLZ852734 WVU852734:WVV852734 M918468:N918468 JI918270:JJ918270 TE918270:TF918270 ADA918270:ADB918270 AMW918270:AMX918270 AWS918270:AWT918270 BGO918270:BGP918270 BQK918270:BQL918270 CAG918270:CAH918270 CKC918270:CKD918270 CTY918270:CTZ918270 DDU918270:DDV918270 DNQ918270:DNR918270 DXM918270:DXN918270 EHI918270:EHJ918270 ERE918270:ERF918270 FBA918270:FBB918270 FKW918270:FKX918270 FUS918270:FUT918270 GEO918270:GEP918270 GOK918270:GOL918270 GYG918270:GYH918270 HIC918270:HID918270 HRY918270:HRZ918270 IBU918270:IBV918270 ILQ918270:ILR918270 IVM918270:IVN918270 JFI918270:JFJ918270 JPE918270:JPF918270 JZA918270:JZB918270 KIW918270:KIX918270 KSS918270:KST918270 LCO918270:LCP918270 LMK918270:LML918270 LWG918270:LWH918270 MGC918270:MGD918270 MPY918270:MPZ918270 MZU918270:MZV918270 NJQ918270:NJR918270 NTM918270:NTN918270 ODI918270:ODJ918270 ONE918270:ONF918270 OXA918270:OXB918270 PGW918270:PGX918270 PQS918270:PQT918270 QAO918270:QAP918270 QKK918270:QKL918270 QUG918270:QUH918270 REC918270:RED918270 RNY918270:RNZ918270 RXU918270:RXV918270 SHQ918270:SHR918270 SRM918270:SRN918270 TBI918270:TBJ918270 TLE918270:TLF918270 TVA918270:TVB918270 UEW918270:UEX918270 UOS918270:UOT918270 UYO918270:UYP918270 VIK918270:VIL918270 VSG918270:VSH918270 WCC918270:WCD918270 WLY918270:WLZ918270 WVU918270:WVV918270 M984004:N984004 JI983806:JJ983806 TE983806:TF983806 ADA983806:ADB983806 AMW983806:AMX983806 AWS983806:AWT983806 BGO983806:BGP983806 BQK983806:BQL983806 CAG983806:CAH983806 CKC983806:CKD983806 CTY983806:CTZ983806 DDU983806:DDV983806 DNQ983806:DNR983806 DXM983806:DXN983806 EHI983806:EHJ983806 ERE983806:ERF983806 FBA983806:FBB983806 FKW983806:FKX983806 FUS983806:FUT983806 GEO983806:GEP983806 GOK983806:GOL983806 GYG983806:GYH983806 HIC983806:HID983806 HRY983806:HRZ983806 IBU983806:IBV983806 ILQ983806:ILR983806 IVM983806:IVN983806 JFI983806:JFJ983806 JPE983806:JPF983806 JZA983806:JZB983806 KIW983806:KIX983806 KSS983806:KST983806 LCO983806:LCP983806 LMK983806:LML983806 LWG983806:LWH983806 MGC983806:MGD983806 MPY983806:MPZ983806 MZU983806:MZV983806 NJQ983806:NJR983806 NTM983806:NTN983806 ODI983806:ODJ983806 ONE983806:ONF983806 OXA983806:OXB983806 PGW983806:PGX983806 PQS983806:PQT983806 QAO983806:QAP983806 QKK983806:QKL983806 QUG983806:QUH983806 REC983806:RED983806 RNY983806:RNZ983806 RXU983806:RXV983806 SHQ983806:SHR983806 SRM983806:SRN983806 TBI983806:TBJ983806 TLE983806:TLF983806 TVA983806:TVB983806 UEW983806:UEX983806 UOS983806:UOT983806 UYO983806:UYP983806 VIK983806:VIL983806 VSG983806:VSH983806 WCC983806:WCD983806 WLY983806:WLZ983806 WVU983806:WVV983806 M832:N832 JI634:JJ634 TE634:TF634 ADA634:ADB634 AMW634:AMX634 AWS634:AWT634 BGO634:BGP634 BQK634:BQL634 CAG634:CAH634 CKC634:CKD634 CTY634:CTZ634 DDU634:DDV634 DNQ634:DNR634 DXM634:DXN634 EHI634:EHJ634 ERE634:ERF634 FBA634:FBB634 FKW634:FKX634 FUS634:FUT634 GEO634:GEP634 GOK634:GOL634 GYG634:GYH634 HIC634:HID634 HRY634:HRZ634 IBU634:IBV634 ILQ634:ILR634 IVM634:IVN634 JFI634:JFJ634 JPE634:JPF634 JZA634:JZB634 KIW634:KIX634 KSS634:KST634 LCO634:LCP634 LMK634:LML634 LWG634:LWH634 MGC634:MGD634 MPY634:MPZ634 MZU634:MZV634 NJQ634:NJR634 NTM634:NTN634 ODI634:ODJ634 ONE634:ONF634 OXA634:OXB634 PGW634:PGX634 PQS634:PQT634 QAO634:QAP634 QKK634:QKL634 QUG634:QUH634 REC634:RED634 RNY634:RNZ634 RXU634:RXV634 SHQ634:SHR634 SRM634:SRN634 TBI634:TBJ634 TLE634:TLF634 TVA634:TVB634 UEW634:UEX634 UOS634:UOT634 UYO634:UYP634 VIK634:VIL634 VSG634:VSH634 WCC634:WCD634 WLY634:WLZ634 WVU634:WVV634 M66368:N66368 JI66170:JJ66170 TE66170:TF66170 ADA66170:ADB66170 AMW66170:AMX66170 AWS66170:AWT66170 BGO66170:BGP66170 BQK66170:BQL66170 CAG66170:CAH66170 CKC66170:CKD66170 CTY66170:CTZ66170 DDU66170:DDV66170 DNQ66170:DNR66170 DXM66170:DXN66170 EHI66170:EHJ66170 ERE66170:ERF66170 FBA66170:FBB66170 FKW66170:FKX66170 FUS66170:FUT66170 GEO66170:GEP66170 GOK66170:GOL66170 GYG66170:GYH66170 HIC66170:HID66170 HRY66170:HRZ66170 IBU66170:IBV66170 ILQ66170:ILR66170 IVM66170:IVN66170 JFI66170:JFJ66170 JPE66170:JPF66170 JZA66170:JZB66170 KIW66170:KIX66170 KSS66170:KST66170 LCO66170:LCP66170 LMK66170:LML66170 LWG66170:LWH66170 MGC66170:MGD66170 MPY66170:MPZ66170 MZU66170:MZV66170 NJQ66170:NJR66170 NTM66170:NTN66170 ODI66170:ODJ66170 ONE66170:ONF66170 OXA66170:OXB66170 PGW66170:PGX66170 PQS66170:PQT66170 QAO66170:QAP66170 QKK66170:QKL66170 QUG66170:QUH66170 REC66170:RED66170 RNY66170:RNZ66170 RXU66170:RXV66170 SHQ66170:SHR66170 SRM66170:SRN66170 TBI66170:TBJ66170 TLE66170:TLF66170 TVA66170:TVB66170 UEW66170:UEX66170 UOS66170:UOT66170 UYO66170:UYP66170 VIK66170:VIL66170 VSG66170:VSH66170 WCC66170:WCD66170 WLY66170:WLZ66170 WVU66170:WVV66170 M131904:N131904 JI131706:JJ131706 TE131706:TF131706 ADA131706:ADB131706 AMW131706:AMX131706 AWS131706:AWT131706 BGO131706:BGP131706 BQK131706:BQL131706 CAG131706:CAH131706 CKC131706:CKD131706 CTY131706:CTZ131706 DDU131706:DDV131706 DNQ131706:DNR131706 DXM131706:DXN131706 EHI131706:EHJ131706 ERE131706:ERF131706 FBA131706:FBB131706 FKW131706:FKX131706 FUS131706:FUT131706 GEO131706:GEP131706 GOK131706:GOL131706 GYG131706:GYH131706 HIC131706:HID131706 HRY131706:HRZ131706 IBU131706:IBV131706 ILQ131706:ILR131706 IVM131706:IVN131706 JFI131706:JFJ131706 JPE131706:JPF131706 JZA131706:JZB131706 KIW131706:KIX131706 KSS131706:KST131706 LCO131706:LCP131706 LMK131706:LML131706 LWG131706:LWH131706 MGC131706:MGD131706 MPY131706:MPZ131706 MZU131706:MZV131706 NJQ131706:NJR131706 NTM131706:NTN131706 ODI131706:ODJ131706 ONE131706:ONF131706 OXA131706:OXB131706 PGW131706:PGX131706 PQS131706:PQT131706 QAO131706:QAP131706 QKK131706:QKL131706 QUG131706:QUH131706 REC131706:RED131706 RNY131706:RNZ131706 RXU131706:RXV131706 SHQ131706:SHR131706 SRM131706:SRN131706 TBI131706:TBJ131706 TLE131706:TLF131706 TVA131706:TVB131706 UEW131706:UEX131706 UOS131706:UOT131706 UYO131706:UYP131706 VIK131706:VIL131706 VSG131706:VSH131706 WCC131706:WCD131706 WLY131706:WLZ131706 WVU131706:WVV131706 M197440:N197440 JI197242:JJ197242 TE197242:TF197242 ADA197242:ADB197242 AMW197242:AMX197242 AWS197242:AWT197242 BGO197242:BGP197242 BQK197242:BQL197242 CAG197242:CAH197242 CKC197242:CKD197242 CTY197242:CTZ197242 DDU197242:DDV197242 DNQ197242:DNR197242 DXM197242:DXN197242 EHI197242:EHJ197242 ERE197242:ERF197242 FBA197242:FBB197242 FKW197242:FKX197242 FUS197242:FUT197242 GEO197242:GEP197242 GOK197242:GOL197242 GYG197242:GYH197242 HIC197242:HID197242 HRY197242:HRZ197242 IBU197242:IBV197242 ILQ197242:ILR197242 IVM197242:IVN197242 JFI197242:JFJ197242 JPE197242:JPF197242 JZA197242:JZB197242 KIW197242:KIX197242 KSS197242:KST197242 LCO197242:LCP197242 LMK197242:LML197242 LWG197242:LWH197242 MGC197242:MGD197242 MPY197242:MPZ197242 MZU197242:MZV197242 NJQ197242:NJR197242 NTM197242:NTN197242 ODI197242:ODJ197242 ONE197242:ONF197242 OXA197242:OXB197242 PGW197242:PGX197242 PQS197242:PQT197242 QAO197242:QAP197242 QKK197242:QKL197242 QUG197242:QUH197242 REC197242:RED197242 RNY197242:RNZ197242 RXU197242:RXV197242 SHQ197242:SHR197242 SRM197242:SRN197242 TBI197242:TBJ197242 TLE197242:TLF197242 TVA197242:TVB197242 UEW197242:UEX197242 UOS197242:UOT197242 UYO197242:UYP197242 VIK197242:VIL197242 VSG197242:VSH197242 WCC197242:WCD197242 WLY197242:WLZ197242 WVU197242:WVV197242 M262976:N262976 JI262778:JJ262778 TE262778:TF262778 ADA262778:ADB262778 AMW262778:AMX262778 AWS262778:AWT262778 BGO262778:BGP262778 BQK262778:BQL262778 CAG262778:CAH262778 CKC262778:CKD262778 CTY262778:CTZ262778 DDU262778:DDV262778 DNQ262778:DNR262778 DXM262778:DXN262778 EHI262778:EHJ262778 ERE262778:ERF262778 FBA262778:FBB262778 FKW262778:FKX262778 FUS262778:FUT262778 GEO262778:GEP262778 GOK262778:GOL262778 GYG262778:GYH262778 HIC262778:HID262778 HRY262778:HRZ262778 IBU262778:IBV262778 ILQ262778:ILR262778 IVM262778:IVN262778 JFI262778:JFJ262778 JPE262778:JPF262778 JZA262778:JZB262778 KIW262778:KIX262778 KSS262778:KST262778 LCO262778:LCP262778 LMK262778:LML262778 LWG262778:LWH262778 MGC262778:MGD262778 MPY262778:MPZ262778 MZU262778:MZV262778 NJQ262778:NJR262778 NTM262778:NTN262778 ODI262778:ODJ262778 ONE262778:ONF262778 OXA262778:OXB262778 PGW262778:PGX262778 PQS262778:PQT262778 QAO262778:QAP262778 QKK262778:QKL262778 QUG262778:QUH262778 REC262778:RED262778 RNY262778:RNZ262778 RXU262778:RXV262778 SHQ262778:SHR262778 SRM262778:SRN262778 TBI262778:TBJ262778 TLE262778:TLF262778 TVA262778:TVB262778 UEW262778:UEX262778 UOS262778:UOT262778 UYO262778:UYP262778 VIK262778:VIL262778 VSG262778:VSH262778 WCC262778:WCD262778 WLY262778:WLZ262778 WVU262778:WVV262778 M328512:N328512 JI328314:JJ328314 TE328314:TF328314 ADA328314:ADB328314 AMW328314:AMX328314 AWS328314:AWT328314 BGO328314:BGP328314 BQK328314:BQL328314 CAG328314:CAH328314 CKC328314:CKD328314 CTY328314:CTZ328314 DDU328314:DDV328314 DNQ328314:DNR328314 DXM328314:DXN328314 EHI328314:EHJ328314 ERE328314:ERF328314 FBA328314:FBB328314 FKW328314:FKX328314 FUS328314:FUT328314 GEO328314:GEP328314 GOK328314:GOL328314 GYG328314:GYH328314 HIC328314:HID328314 HRY328314:HRZ328314 IBU328314:IBV328314 ILQ328314:ILR328314 IVM328314:IVN328314 JFI328314:JFJ328314 JPE328314:JPF328314 JZA328314:JZB328314 KIW328314:KIX328314 KSS328314:KST328314 LCO328314:LCP328314 LMK328314:LML328314 LWG328314:LWH328314 MGC328314:MGD328314 MPY328314:MPZ328314 MZU328314:MZV328314 NJQ328314:NJR328314 NTM328314:NTN328314 ODI328314:ODJ328314 ONE328314:ONF328314 OXA328314:OXB328314 PGW328314:PGX328314 PQS328314:PQT328314 QAO328314:QAP328314 QKK328314:QKL328314 QUG328314:QUH328314 REC328314:RED328314 RNY328314:RNZ328314 RXU328314:RXV328314 SHQ328314:SHR328314 SRM328314:SRN328314 TBI328314:TBJ328314 TLE328314:TLF328314 TVA328314:TVB328314 UEW328314:UEX328314 UOS328314:UOT328314 UYO328314:UYP328314 VIK328314:VIL328314 VSG328314:VSH328314 WCC328314:WCD328314 WLY328314:WLZ328314 WVU328314:WVV328314 M394048:N394048 JI393850:JJ393850 TE393850:TF393850 ADA393850:ADB393850 AMW393850:AMX393850 AWS393850:AWT393850 BGO393850:BGP393850 BQK393850:BQL393850 CAG393850:CAH393850 CKC393850:CKD393850 CTY393850:CTZ393850 DDU393850:DDV393850 DNQ393850:DNR393850 DXM393850:DXN393850 EHI393850:EHJ393850 ERE393850:ERF393850 FBA393850:FBB393850 FKW393850:FKX393850 FUS393850:FUT393850 GEO393850:GEP393850 GOK393850:GOL393850 GYG393850:GYH393850 HIC393850:HID393850 HRY393850:HRZ393850 IBU393850:IBV393850 ILQ393850:ILR393850 IVM393850:IVN393850 JFI393850:JFJ393850 JPE393850:JPF393850 JZA393850:JZB393850 KIW393850:KIX393850 KSS393850:KST393850 LCO393850:LCP393850 LMK393850:LML393850 LWG393850:LWH393850 MGC393850:MGD393850 MPY393850:MPZ393850 MZU393850:MZV393850 NJQ393850:NJR393850 NTM393850:NTN393850 ODI393850:ODJ393850 ONE393850:ONF393850 OXA393850:OXB393850 PGW393850:PGX393850 PQS393850:PQT393850 QAO393850:QAP393850 QKK393850:QKL393850 QUG393850:QUH393850 REC393850:RED393850 RNY393850:RNZ393850 RXU393850:RXV393850 SHQ393850:SHR393850 SRM393850:SRN393850 TBI393850:TBJ393850 TLE393850:TLF393850 TVA393850:TVB393850 UEW393850:UEX393850 UOS393850:UOT393850 UYO393850:UYP393850 VIK393850:VIL393850 VSG393850:VSH393850 WCC393850:WCD393850 WLY393850:WLZ393850 WVU393850:WVV393850 M459584:N459584 JI459386:JJ459386 TE459386:TF459386 ADA459386:ADB459386 AMW459386:AMX459386 AWS459386:AWT459386 BGO459386:BGP459386 BQK459386:BQL459386 CAG459386:CAH459386 CKC459386:CKD459386 CTY459386:CTZ459386 DDU459386:DDV459386 DNQ459386:DNR459386 DXM459386:DXN459386 EHI459386:EHJ459386 ERE459386:ERF459386 FBA459386:FBB459386 FKW459386:FKX459386 FUS459386:FUT459386 GEO459386:GEP459386 GOK459386:GOL459386 GYG459386:GYH459386 HIC459386:HID459386 HRY459386:HRZ459386 IBU459386:IBV459386 ILQ459386:ILR459386 IVM459386:IVN459386 JFI459386:JFJ459386 JPE459386:JPF459386 JZA459386:JZB459386 KIW459386:KIX459386 KSS459386:KST459386 LCO459386:LCP459386 LMK459386:LML459386 LWG459386:LWH459386 MGC459386:MGD459386 MPY459386:MPZ459386 MZU459386:MZV459386 NJQ459386:NJR459386 NTM459386:NTN459386 ODI459386:ODJ459386 ONE459386:ONF459386 OXA459386:OXB459386 PGW459386:PGX459386 PQS459386:PQT459386 QAO459386:QAP459386 QKK459386:QKL459386 QUG459386:QUH459386 REC459386:RED459386 RNY459386:RNZ459386 RXU459386:RXV459386 SHQ459386:SHR459386 SRM459386:SRN459386 TBI459386:TBJ459386 TLE459386:TLF459386 TVA459386:TVB459386 UEW459386:UEX459386 UOS459386:UOT459386 UYO459386:UYP459386 VIK459386:VIL459386 VSG459386:VSH459386 WCC459386:WCD459386 WLY459386:WLZ459386 WVU459386:WVV459386 M525120:N525120 JI524922:JJ524922 TE524922:TF524922 ADA524922:ADB524922 AMW524922:AMX524922 AWS524922:AWT524922 BGO524922:BGP524922 BQK524922:BQL524922 CAG524922:CAH524922 CKC524922:CKD524922 CTY524922:CTZ524922 DDU524922:DDV524922 DNQ524922:DNR524922 DXM524922:DXN524922 EHI524922:EHJ524922 ERE524922:ERF524922 FBA524922:FBB524922 FKW524922:FKX524922 FUS524922:FUT524922 GEO524922:GEP524922 GOK524922:GOL524922 GYG524922:GYH524922 HIC524922:HID524922 HRY524922:HRZ524922 IBU524922:IBV524922 ILQ524922:ILR524922 IVM524922:IVN524922 JFI524922:JFJ524922 JPE524922:JPF524922 JZA524922:JZB524922 KIW524922:KIX524922 KSS524922:KST524922 LCO524922:LCP524922 LMK524922:LML524922 LWG524922:LWH524922 MGC524922:MGD524922 MPY524922:MPZ524922 MZU524922:MZV524922 NJQ524922:NJR524922 NTM524922:NTN524922 ODI524922:ODJ524922 ONE524922:ONF524922 OXA524922:OXB524922 PGW524922:PGX524922 PQS524922:PQT524922 QAO524922:QAP524922 QKK524922:QKL524922 QUG524922:QUH524922 REC524922:RED524922 RNY524922:RNZ524922 RXU524922:RXV524922 SHQ524922:SHR524922 SRM524922:SRN524922 TBI524922:TBJ524922 TLE524922:TLF524922 TVA524922:TVB524922 UEW524922:UEX524922 UOS524922:UOT524922 UYO524922:UYP524922 VIK524922:VIL524922 VSG524922:VSH524922 WCC524922:WCD524922 WLY524922:WLZ524922 WVU524922:WVV524922 M590656:N590656 JI590458:JJ590458 TE590458:TF590458 ADA590458:ADB590458 AMW590458:AMX590458 AWS590458:AWT590458 BGO590458:BGP590458 BQK590458:BQL590458 CAG590458:CAH590458 CKC590458:CKD590458 CTY590458:CTZ590458 DDU590458:DDV590458 DNQ590458:DNR590458 DXM590458:DXN590458 EHI590458:EHJ590458 ERE590458:ERF590458 FBA590458:FBB590458 FKW590458:FKX590458 FUS590458:FUT590458 GEO590458:GEP590458 GOK590458:GOL590458 GYG590458:GYH590458 HIC590458:HID590458 HRY590458:HRZ590458 IBU590458:IBV590458 ILQ590458:ILR590458 IVM590458:IVN590458 JFI590458:JFJ590458 JPE590458:JPF590458 JZA590458:JZB590458 KIW590458:KIX590458 KSS590458:KST590458 LCO590458:LCP590458 LMK590458:LML590458 LWG590458:LWH590458 MGC590458:MGD590458 MPY590458:MPZ590458 MZU590458:MZV590458 NJQ590458:NJR590458 NTM590458:NTN590458 ODI590458:ODJ590458 ONE590458:ONF590458 OXA590458:OXB590458 PGW590458:PGX590458 PQS590458:PQT590458 QAO590458:QAP590458 QKK590458:QKL590458 QUG590458:QUH590458 REC590458:RED590458 RNY590458:RNZ590458 RXU590458:RXV590458 SHQ590458:SHR590458 SRM590458:SRN590458 TBI590458:TBJ590458 TLE590458:TLF590458 TVA590458:TVB590458 UEW590458:UEX590458 UOS590458:UOT590458 UYO590458:UYP590458 VIK590458:VIL590458 VSG590458:VSH590458 WCC590458:WCD590458 WLY590458:WLZ590458 WVU590458:WVV590458 M656192:N656192 JI655994:JJ655994 TE655994:TF655994 ADA655994:ADB655994 AMW655994:AMX655994 AWS655994:AWT655994 BGO655994:BGP655994 BQK655994:BQL655994 CAG655994:CAH655994 CKC655994:CKD655994 CTY655994:CTZ655994 DDU655994:DDV655994 DNQ655994:DNR655994 DXM655994:DXN655994 EHI655994:EHJ655994 ERE655994:ERF655994 FBA655994:FBB655994 FKW655994:FKX655994 FUS655994:FUT655994 GEO655994:GEP655994 GOK655994:GOL655994 GYG655994:GYH655994 HIC655994:HID655994 HRY655994:HRZ655994 IBU655994:IBV655994 ILQ655994:ILR655994 IVM655994:IVN655994 JFI655994:JFJ655994 JPE655994:JPF655994 JZA655994:JZB655994 KIW655994:KIX655994 KSS655994:KST655994 LCO655994:LCP655994 LMK655994:LML655994 LWG655994:LWH655994 MGC655994:MGD655994 MPY655994:MPZ655994 MZU655994:MZV655994 NJQ655994:NJR655994 NTM655994:NTN655994 ODI655994:ODJ655994 ONE655994:ONF655994 OXA655994:OXB655994 PGW655994:PGX655994 PQS655994:PQT655994 QAO655994:QAP655994 QKK655994:QKL655994 QUG655994:QUH655994 REC655994:RED655994 RNY655994:RNZ655994 RXU655994:RXV655994 SHQ655994:SHR655994 SRM655994:SRN655994 TBI655994:TBJ655994 TLE655994:TLF655994 TVA655994:TVB655994 UEW655994:UEX655994 UOS655994:UOT655994 UYO655994:UYP655994 VIK655994:VIL655994 VSG655994:VSH655994 WCC655994:WCD655994 WLY655994:WLZ655994 WVU655994:WVV655994 M721728:N721728 JI721530:JJ721530 TE721530:TF721530 ADA721530:ADB721530 AMW721530:AMX721530 AWS721530:AWT721530 BGO721530:BGP721530 BQK721530:BQL721530 CAG721530:CAH721530 CKC721530:CKD721530 CTY721530:CTZ721530 DDU721530:DDV721530 DNQ721530:DNR721530 DXM721530:DXN721530 EHI721530:EHJ721530 ERE721530:ERF721530 FBA721530:FBB721530 FKW721530:FKX721530 FUS721530:FUT721530 GEO721530:GEP721530 GOK721530:GOL721530 GYG721530:GYH721530 HIC721530:HID721530 HRY721530:HRZ721530 IBU721530:IBV721530 ILQ721530:ILR721530 IVM721530:IVN721530 JFI721530:JFJ721530 JPE721530:JPF721530 JZA721530:JZB721530 KIW721530:KIX721530 KSS721530:KST721530 LCO721530:LCP721530 LMK721530:LML721530 LWG721530:LWH721530 MGC721530:MGD721530 MPY721530:MPZ721530 MZU721530:MZV721530 NJQ721530:NJR721530 NTM721530:NTN721530 ODI721530:ODJ721530 ONE721530:ONF721530 OXA721530:OXB721530 PGW721530:PGX721530 PQS721530:PQT721530 QAO721530:QAP721530 QKK721530:QKL721530 QUG721530:QUH721530 REC721530:RED721530 RNY721530:RNZ721530 RXU721530:RXV721530 SHQ721530:SHR721530 SRM721530:SRN721530 TBI721530:TBJ721530 TLE721530:TLF721530 TVA721530:TVB721530 UEW721530:UEX721530 UOS721530:UOT721530 UYO721530:UYP721530 VIK721530:VIL721530 VSG721530:VSH721530 WCC721530:WCD721530 WLY721530:WLZ721530 WVU721530:WVV721530 M787264:N787264 JI787066:JJ787066 TE787066:TF787066 ADA787066:ADB787066 AMW787066:AMX787066 AWS787066:AWT787066 BGO787066:BGP787066 BQK787066:BQL787066 CAG787066:CAH787066 CKC787066:CKD787066 CTY787066:CTZ787066 DDU787066:DDV787066 DNQ787066:DNR787066 DXM787066:DXN787066 EHI787066:EHJ787066 ERE787066:ERF787066 FBA787066:FBB787066 FKW787066:FKX787066 FUS787066:FUT787066 GEO787066:GEP787066 GOK787066:GOL787066 GYG787066:GYH787066 HIC787066:HID787066 HRY787066:HRZ787066 IBU787066:IBV787066 ILQ787066:ILR787066 IVM787066:IVN787066 JFI787066:JFJ787066 JPE787066:JPF787066 JZA787066:JZB787066 KIW787066:KIX787066 KSS787066:KST787066 LCO787066:LCP787066 LMK787066:LML787066 LWG787066:LWH787066 MGC787066:MGD787066 MPY787066:MPZ787066 MZU787066:MZV787066 NJQ787066:NJR787066 NTM787066:NTN787066 ODI787066:ODJ787066 ONE787066:ONF787066 OXA787066:OXB787066 PGW787066:PGX787066 PQS787066:PQT787066 QAO787066:QAP787066 QKK787066:QKL787066 QUG787066:QUH787066 REC787066:RED787066 RNY787066:RNZ787066 RXU787066:RXV787066 SHQ787066:SHR787066 SRM787066:SRN787066 TBI787066:TBJ787066 TLE787066:TLF787066 TVA787066:TVB787066 UEW787066:UEX787066 UOS787066:UOT787066 UYO787066:UYP787066 VIK787066:VIL787066 VSG787066:VSH787066 WCC787066:WCD787066 WLY787066:WLZ787066 WVU787066:WVV787066 M852800:N852800 JI852602:JJ852602 TE852602:TF852602 ADA852602:ADB852602 AMW852602:AMX852602 AWS852602:AWT852602 BGO852602:BGP852602 BQK852602:BQL852602 CAG852602:CAH852602 CKC852602:CKD852602 CTY852602:CTZ852602 DDU852602:DDV852602 DNQ852602:DNR852602 DXM852602:DXN852602 EHI852602:EHJ852602 ERE852602:ERF852602 FBA852602:FBB852602 FKW852602:FKX852602 FUS852602:FUT852602 GEO852602:GEP852602 GOK852602:GOL852602 GYG852602:GYH852602 HIC852602:HID852602 HRY852602:HRZ852602 IBU852602:IBV852602 ILQ852602:ILR852602 IVM852602:IVN852602 JFI852602:JFJ852602 JPE852602:JPF852602 JZA852602:JZB852602 KIW852602:KIX852602 KSS852602:KST852602 LCO852602:LCP852602 LMK852602:LML852602 LWG852602:LWH852602 MGC852602:MGD852602 MPY852602:MPZ852602 MZU852602:MZV852602 NJQ852602:NJR852602 NTM852602:NTN852602 ODI852602:ODJ852602 ONE852602:ONF852602 OXA852602:OXB852602 PGW852602:PGX852602 PQS852602:PQT852602 QAO852602:QAP852602 QKK852602:QKL852602 QUG852602:QUH852602 REC852602:RED852602 RNY852602:RNZ852602 RXU852602:RXV852602 SHQ852602:SHR852602 SRM852602:SRN852602 TBI852602:TBJ852602 TLE852602:TLF852602 TVA852602:TVB852602 UEW852602:UEX852602 UOS852602:UOT852602 UYO852602:UYP852602 VIK852602:VIL852602 VSG852602:VSH852602 WCC852602:WCD852602 WLY852602:WLZ852602 WVU852602:WVV852602 M918336:N918336 JI918138:JJ918138 TE918138:TF918138 ADA918138:ADB918138 AMW918138:AMX918138 AWS918138:AWT918138 BGO918138:BGP918138 BQK918138:BQL918138 CAG918138:CAH918138 CKC918138:CKD918138 CTY918138:CTZ918138 DDU918138:DDV918138 DNQ918138:DNR918138 DXM918138:DXN918138 EHI918138:EHJ918138 ERE918138:ERF918138 FBA918138:FBB918138 FKW918138:FKX918138 FUS918138:FUT918138 GEO918138:GEP918138 GOK918138:GOL918138 GYG918138:GYH918138 HIC918138:HID918138 HRY918138:HRZ918138 IBU918138:IBV918138 ILQ918138:ILR918138 IVM918138:IVN918138 JFI918138:JFJ918138 JPE918138:JPF918138 JZA918138:JZB918138 KIW918138:KIX918138 KSS918138:KST918138 LCO918138:LCP918138 LMK918138:LML918138 LWG918138:LWH918138 MGC918138:MGD918138 MPY918138:MPZ918138 MZU918138:MZV918138 NJQ918138:NJR918138 NTM918138:NTN918138 ODI918138:ODJ918138 ONE918138:ONF918138 OXA918138:OXB918138 PGW918138:PGX918138 PQS918138:PQT918138 QAO918138:QAP918138 QKK918138:QKL918138 QUG918138:QUH918138 REC918138:RED918138 RNY918138:RNZ918138 RXU918138:RXV918138 SHQ918138:SHR918138 SRM918138:SRN918138 TBI918138:TBJ918138 TLE918138:TLF918138 TVA918138:TVB918138 UEW918138:UEX918138 UOS918138:UOT918138 UYO918138:UYP918138 VIK918138:VIL918138 VSG918138:VSH918138 WCC918138:WCD918138 WLY918138:WLZ918138 WVU918138:WVV918138 M983872:N983872 JI983674:JJ983674 TE983674:TF983674 ADA983674:ADB983674 AMW983674:AMX983674 AWS983674:AWT983674 BGO983674:BGP983674 BQK983674:BQL983674 CAG983674:CAH983674 CKC983674:CKD983674 CTY983674:CTZ983674 DDU983674:DDV983674 DNQ983674:DNR983674 DXM983674:DXN983674 EHI983674:EHJ983674 ERE983674:ERF983674 FBA983674:FBB983674 FKW983674:FKX983674 FUS983674:FUT983674 GEO983674:GEP983674 GOK983674:GOL983674 GYG983674:GYH983674 HIC983674:HID983674 HRY983674:HRZ983674 IBU983674:IBV983674 ILQ983674:ILR983674 IVM983674:IVN983674 JFI983674:JFJ983674 JPE983674:JPF983674 JZA983674:JZB983674 KIW983674:KIX983674 KSS983674:KST983674 LCO983674:LCP983674 LMK983674:LML983674 LWG983674:LWH983674 MGC983674:MGD983674 MPY983674:MPZ983674 MZU983674:MZV983674 NJQ983674:NJR983674 NTM983674:NTN983674 ODI983674:ODJ983674 ONE983674:ONF983674 OXA983674:OXB983674 PGW983674:PGX983674 PQS983674:PQT983674 QAO983674:QAP983674 QKK983674:QKL983674 QUG983674:QUH983674 REC983674:RED983674 RNY983674:RNZ983674 RXU983674:RXV983674 SHQ983674:SHR983674 SRM983674:SRN983674 TBI983674:TBJ983674 TLE983674:TLF983674 TVA983674:TVB983674 UEW983674:UEX983674 UOS983674:UOT983674 UYO983674:UYP983674 VIK983674:VIL983674 VSG983674:VSH983674 WCC983674:WCD983674 WLY983674:WLZ983674 WVU983674:WVV983674 M528:N528 JI330:JJ330 TE330:TF330 ADA330:ADB330 AMW330:AMX330 AWS330:AWT330 BGO330:BGP330 BQK330:BQL330 CAG330:CAH330 CKC330:CKD330 CTY330:CTZ330 DDU330:DDV330 DNQ330:DNR330 DXM330:DXN330 EHI330:EHJ330 ERE330:ERF330 FBA330:FBB330 FKW330:FKX330 FUS330:FUT330 GEO330:GEP330 GOK330:GOL330 GYG330:GYH330 HIC330:HID330 HRY330:HRZ330 IBU330:IBV330 ILQ330:ILR330 IVM330:IVN330 JFI330:JFJ330 JPE330:JPF330 JZA330:JZB330 KIW330:KIX330 KSS330:KST330 LCO330:LCP330 LMK330:LML330 LWG330:LWH330 MGC330:MGD330 MPY330:MPZ330 MZU330:MZV330 NJQ330:NJR330 NTM330:NTN330 ODI330:ODJ330 ONE330:ONF330 OXA330:OXB330 PGW330:PGX330 PQS330:PQT330 QAO330:QAP330 QKK330:QKL330 QUG330:QUH330 REC330:RED330 RNY330:RNZ330 RXU330:RXV330 SHQ330:SHR330 SRM330:SRN330 TBI330:TBJ330 TLE330:TLF330 TVA330:TVB330 UEW330:UEX330 UOS330:UOT330 UYO330:UYP330 VIK330:VIL330 VSG330:VSH330 WCC330:WCD330 WLY330:WLZ330 WVU330:WVV330 M66064:N66064 JI65866:JJ65866 TE65866:TF65866 ADA65866:ADB65866 AMW65866:AMX65866 AWS65866:AWT65866 BGO65866:BGP65866 BQK65866:BQL65866 CAG65866:CAH65866 CKC65866:CKD65866 CTY65866:CTZ65866 DDU65866:DDV65866 DNQ65866:DNR65866 DXM65866:DXN65866 EHI65866:EHJ65866 ERE65866:ERF65866 FBA65866:FBB65866 FKW65866:FKX65866 FUS65866:FUT65866 GEO65866:GEP65866 GOK65866:GOL65866 GYG65866:GYH65866 HIC65866:HID65866 HRY65866:HRZ65866 IBU65866:IBV65866 ILQ65866:ILR65866 IVM65866:IVN65866 JFI65866:JFJ65866 JPE65866:JPF65866 JZA65866:JZB65866 KIW65866:KIX65866 KSS65866:KST65866 LCO65866:LCP65866 LMK65866:LML65866 LWG65866:LWH65866 MGC65866:MGD65866 MPY65866:MPZ65866 MZU65866:MZV65866 NJQ65866:NJR65866 NTM65866:NTN65866 ODI65866:ODJ65866 ONE65866:ONF65866 OXA65866:OXB65866 PGW65866:PGX65866 PQS65866:PQT65866 QAO65866:QAP65866 QKK65866:QKL65866 QUG65866:QUH65866 REC65866:RED65866 RNY65866:RNZ65866 RXU65866:RXV65866 SHQ65866:SHR65866 SRM65866:SRN65866 TBI65866:TBJ65866 TLE65866:TLF65866 TVA65866:TVB65866 UEW65866:UEX65866 UOS65866:UOT65866 UYO65866:UYP65866 VIK65866:VIL65866 VSG65866:VSH65866 WCC65866:WCD65866 WLY65866:WLZ65866 WVU65866:WVV65866 M131600:N131600 JI131402:JJ131402 TE131402:TF131402 ADA131402:ADB131402 AMW131402:AMX131402 AWS131402:AWT131402 BGO131402:BGP131402 BQK131402:BQL131402 CAG131402:CAH131402 CKC131402:CKD131402 CTY131402:CTZ131402 DDU131402:DDV131402 DNQ131402:DNR131402 DXM131402:DXN131402 EHI131402:EHJ131402 ERE131402:ERF131402 FBA131402:FBB131402 FKW131402:FKX131402 FUS131402:FUT131402 GEO131402:GEP131402 GOK131402:GOL131402 GYG131402:GYH131402 HIC131402:HID131402 HRY131402:HRZ131402 IBU131402:IBV131402 ILQ131402:ILR131402 IVM131402:IVN131402 JFI131402:JFJ131402 JPE131402:JPF131402 JZA131402:JZB131402 KIW131402:KIX131402 KSS131402:KST131402 LCO131402:LCP131402 LMK131402:LML131402 LWG131402:LWH131402 MGC131402:MGD131402 MPY131402:MPZ131402 MZU131402:MZV131402 NJQ131402:NJR131402 NTM131402:NTN131402 ODI131402:ODJ131402 ONE131402:ONF131402 OXA131402:OXB131402 PGW131402:PGX131402 PQS131402:PQT131402 QAO131402:QAP131402 QKK131402:QKL131402 QUG131402:QUH131402 REC131402:RED131402 RNY131402:RNZ131402 RXU131402:RXV131402 SHQ131402:SHR131402 SRM131402:SRN131402 TBI131402:TBJ131402 TLE131402:TLF131402 TVA131402:TVB131402 UEW131402:UEX131402 UOS131402:UOT131402 UYO131402:UYP131402 VIK131402:VIL131402 VSG131402:VSH131402 WCC131402:WCD131402 WLY131402:WLZ131402 WVU131402:WVV131402 M197136:N197136 JI196938:JJ196938 TE196938:TF196938 ADA196938:ADB196938 AMW196938:AMX196938 AWS196938:AWT196938 BGO196938:BGP196938 BQK196938:BQL196938 CAG196938:CAH196938 CKC196938:CKD196938 CTY196938:CTZ196938 DDU196938:DDV196938 DNQ196938:DNR196938 DXM196938:DXN196938 EHI196938:EHJ196938 ERE196938:ERF196938 FBA196938:FBB196938 FKW196938:FKX196938 FUS196938:FUT196938 GEO196938:GEP196938 GOK196938:GOL196938 GYG196938:GYH196938 HIC196938:HID196938 HRY196938:HRZ196938 IBU196938:IBV196938 ILQ196938:ILR196938 IVM196938:IVN196938 JFI196938:JFJ196938 JPE196938:JPF196938 JZA196938:JZB196938 KIW196938:KIX196938 KSS196938:KST196938 LCO196938:LCP196938 LMK196938:LML196938 LWG196938:LWH196938 MGC196938:MGD196938 MPY196938:MPZ196938 MZU196938:MZV196938 NJQ196938:NJR196938 NTM196938:NTN196938 ODI196938:ODJ196938 ONE196938:ONF196938 OXA196938:OXB196938 PGW196938:PGX196938 PQS196938:PQT196938 QAO196938:QAP196938 QKK196938:QKL196938 QUG196938:QUH196938 REC196938:RED196938 RNY196938:RNZ196938 RXU196938:RXV196938 SHQ196938:SHR196938 SRM196938:SRN196938 TBI196938:TBJ196938 TLE196938:TLF196938 TVA196938:TVB196938 UEW196938:UEX196938 UOS196938:UOT196938 UYO196938:UYP196938 VIK196938:VIL196938 VSG196938:VSH196938 WCC196938:WCD196938 WLY196938:WLZ196938 WVU196938:WVV196938 M262672:N262672 JI262474:JJ262474 TE262474:TF262474 ADA262474:ADB262474 AMW262474:AMX262474 AWS262474:AWT262474 BGO262474:BGP262474 BQK262474:BQL262474 CAG262474:CAH262474 CKC262474:CKD262474 CTY262474:CTZ262474 DDU262474:DDV262474 DNQ262474:DNR262474 DXM262474:DXN262474 EHI262474:EHJ262474 ERE262474:ERF262474 FBA262474:FBB262474 FKW262474:FKX262474 FUS262474:FUT262474 GEO262474:GEP262474 GOK262474:GOL262474 GYG262474:GYH262474 HIC262474:HID262474 HRY262474:HRZ262474 IBU262474:IBV262474 ILQ262474:ILR262474 IVM262474:IVN262474 JFI262474:JFJ262474 JPE262474:JPF262474 JZA262474:JZB262474 KIW262474:KIX262474 KSS262474:KST262474 LCO262474:LCP262474 LMK262474:LML262474 LWG262474:LWH262474 MGC262474:MGD262474 MPY262474:MPZ262474 MZU262474:MZV262474 NJQ262474:NJR262474 NTM262474:NTN262474 ODI262474:ODJ262474 ONE262474:ONF262474 OXA262474:OXB262474 PGW262474:PGX262474 PQS262474:PQT262474 QAO262474:QAP262474 QKK262474:QKL262474 QUG262474:QUH262474 REC262474:RED262474 RNY262474:RNZ262474 RXU262474:RXV262474 SHQ262474:SHR262474 SRM262474:SRN262474 TBI262474:TBJ262474 TLE262474:TLF262474 TVA262474:TVB262474 UEW262474:UEX262474 UOS262474:UOT262474 UYO262474:UYP262474 VIK262474:VIL262474 VSG262474:VSH262474 WCC262474:WCD262474 WLY262474:WLZ262474 WVU262474:WVV262474 M328208:N328208 JI328010:JJ328010 TE328010:TF328010 ADA328010:ADB328010 AMW328010:AMX328010 AWS328010:AWT328010 BGO328010:BGP328010 BQK328010:BQL328010 CAG328010:CAH328010 CKC328010:CKD328010 CTY328010:CTZ328010 DDU328010:DDV328010 DNQ328010:DNR328010 DXM328010:DXN328010 EHI328010:EHJ328010 ERE328010:ERF328010 FBA328010:FBB328010 FKW328010:FKX328010 FUS328010:FUT328010 GEO328010:GEP328010 GOK328010:GOL328010 GYG328010:GYH328010 HIC328010:HID328010 HRY328010:HRZ328010 IBU328010:IBV328010 ILQ328010:ILR328010 IVM328010:IVN328010 JFI328010:JFJ328010 JPE328010:JPF328010 JZA328010:JZB328010 KIW328010:KIX328010 KSS328010:KST328010 LCO328010:LCP328010 LMK328010:LML328010 LWG328010:LWH328010 MGC328010:MGD328010 MPY328010:MPZ328010 MZU328010:MZV328010 NJQ328010:NJR328010 NTM328010:NTN328010 ODI328010:ODJ328010 ONE328010:ONF328010 OXA328010:OXB328010 PGW328010:PGX328010 PQS328010:PQT328010 QAO328010:QAP328010 QKK328010:QKL328010 QUG328010:QUH328010 REC328010:RED328010 RNY328010:RNZ328010 RXU328010:RXV328010 SHQ328010:SHR328010 SRM328010:SRN328010 TBI328010:TBJ328010 TLE328010:TLF328010 TVA328010:TVB328010 UEW328010:UEX328010 UOS328010:UOT328010 UYO328010:UYP328010 VIK328010:VIL328010 VSG328010:VSH328010 WCC328010:WCD328010 WLY328010:WLZ328010 WVU328010:WVV328010 M393744:N393744 JI393546:JJ393546 TE393546:TF393546 ADA393546:ADB393546 AMW393546:AMX393546 AWS393546:AWT393546 BGO393546:BGP393546 BQK393546:BQL393546 CAG393546:CAH393546 CKC393546:CKD393546 CTY393546:CTZ393546 DDU393546:DDV393546 DNQ393546:DNR393546 DXM393546:DXN393546 EHI393546:EHJ393546 ERE393546:ERF393546 FBA393546:FBB393546 FKW393546:FKX393546 FUS393546:FUT393546 GEO393546:GEP393546 GOK393546:GOL393546 GYG393546:GYH393546 HIC393546:HID393546 HRY393546:HRZ393546 IBU393546:IBV393546 ILQ393546:ILR393546 IVM393546:IVN393546 JFI393546:JFJ393546 JPE393546:JPF393546 JZA393546:JZB393546 KIW393546:KIX393546 KSS393546:KST393546 LCO393546:LCP393546 LMK393546:LML393546 LWG393546:LWH393546 MGC393546:MGD393546 MPY393546:MPZ393546 MZU393546:MZV393546 NJQ393546:NJR393546 NTM393546:NTN393546 ODI393546:ODJ393546 ONE393546:ONF393546 OXA393546:OXB393546 PGW393546:PGX393546 PQS393546:PQT393546 QAO393546:QAP393546 QKK393546:QKL393546 QUG393546:QUH393546 REC393546:RED393546 RNY393546:RNZ393546 RXU393546:RXV393546 SHQ393546:SHR393546 SRM393546:SRN393546 TBI393546:TBJ393546 TLE393546:TLF393546 TVA393546:TVB393546 UEW393546:UEX393546 UOS393546:UOT393546 UYO393546:UYP393546 VIK393546:VIL393546 VSG393546:VSH393546 WCC393546:WCD393546 WLY393546:WLZ393546 WVU393546:WVV393546 M459280:N459280 JI459082:JJ459082 TE459082:TF459082 ADA459082:ADB459082 AMW459082:AMX459082 AWS459082:AWT459082 BGO459082:BGP459082 BQK459082:BQL459082 CAG459082:CAH459082 CKC459082:CKD459082 CTY459082:CTZ459082 DDU459082:DDV459082 DNQ459082:DNR459082 DXM459082:DXN459082 EHI459082:EHJ459082 ERE459082:ERF459082 FBA459082:FBB459082 FKW459082:FKX459082 FUS459082:FUT459082 GEO459082:GEP459082 GOK459082:GOL459082 GYG459082:GYH459082 HIC459082:HID459082 HRY459082:HRZ459082 IBU459082:IBV459082 ILQ459082:ILR459082 IVM459082:IVN459082 JFI459082:JFJ459082 JPE459082:JPF459082 JZA459082:JZB459082 KIW459082:KIX459082 KSS459082:KST459082 LCO459082:LCP459082 LMK459082:LML459082 LWG459082:LWH459082 MGC459082:MGD459082 MPY459082:MPZ459082 MZU459082:MZV459082 NJQ459082:NJR459082 NTM459082:NTN459082 ODI459082:ODJ459082 ONE459082:ONF459082 OXA459082:OXB459082 PGW459082:PGX459082 PQS459082:PQT459082 QAO459082:QAP459082 QKK459082:QKL459082 QUG459082:QUH459082 REC459082:RED459082 RNY459082:RNZ459082 RXU459082:RXV459082 SHQ459082:SHR459082 SRM459082:SRN459082 TBI459082:TBJ459082 TLE459082:TLF459082 TVA459082:TVB459082 UEW459082:UEX459082 UOS459082:UOT459082 UYO459082:UYP459082 VIK459082:VIL459082 VSG459082:VSH459082 WCC459082:WCD459082 WLY459082:WLZ459082 WVU459082:WVV459082 M524816:N524816 JI524618:JJ524618 TE524618:TF524618 ADA524618:ADB524618 AMW524618:AMX524618 AWS524618:AWT524618 BGO524618:BGP524618 BQK524618:BQL524618 CAG524618:CAH524618 CKC524618:CKD524618 CTY524618:CTZ524618 DDU524618:DDV524618 DNQ524618:DNR524618 DXM524618:DXN524618 EHI524618:EHJ524618 ERE524618:ERF524618 FBA524618:FBB524618 FKW524618:FKX524618 FUS524618:FUT524618 GEO524618:GEP524618 GOK524618:GOL524618 GYG524618:GYH524618 HIC524618:HID524618 HRY524618:HRZ524618 IBU524618:IBV524618 ILQ524618:ILR524618 IVM524618:IVN524618 JFI524618:JFJ524618 JPE524618:JPF524618 JZA524618:JZB524618 KIW524618:KIX524618 KSS524618:KST524618 LCO524618:LCP524618 LMK524618:LML524618 LWG524618:LWH524618 MGC524618:MGD524618 MPY524618:MPZ524618 MZU524618:MZV524618 NJQ524618:NJR524618 NTM524618:NTN524618 ODI524618:ODJ524618 ONE524618:ONF524618 OXA524618:OXB524618 PGW524618:PGX524618 PQS524618:PQT524618 QAO524618:QAP524618 QKK524618:QKL524618 QUG524618:QUH524618 REC524618:RED524618 RNY524618:RNZ524618 RXU524618:RXV524618 SHQ524618:SHR524618 SRM524618:SRN524618 TBI524618:TBJ524618 TLE524618:TLF524618 TVA524618:TVB524618 UEW524618:UEX524618 UOS524618:UOT524618 UYO524618:UYP524618 VIK524618:VIL524618 VSG524618:VSH524618 WCC524618:WCD524618 WLY524618:WLZ524618 WVU524618:WVV524618 M590352:N590352 JI590154:JJ590154 TE590154:TF590154 ADA590154:ADB590154 AMW590154:AMX590154 AWS590154:AWT590154 BGO590154:BGP590154 BQK590154:BQL590154 CAG590154:CAH590154 CKC590154:CKD590154 CTY590154:CTZ590154 DDU590154:DDV590154 DNQ590154:DNR590154 DXM590154:DXN590154 EHI590154:EHJ590154 ERE590154:ERF590154 FBA590154:FBB590154 FKW590154:FKX590154 FUS590154:FUT590154 GEO590154:GEP590154 GOK590154:GOL590154 GYG590154:GYH590154 HIC590154:HID590154 HRY590154:HRZ590154 IBU590154:IBV590154 ILQ590154:ILR590154 IVM590154:IVN590154 JFI590154:JFJ590154 JPE590154:JPF590154 JZA590154:JZB590154 KIW590154:KIX590154 KSS590154:KST590154 LCO590154:LCP590154 LMK590154:LML590154 LWG590154:LWH590154 MGC590154:MGD590154 MPY590154:MPZ590154 MZU590154:MZV590154 NJQ590154:NJR590154 NTM590154:NTN590154 ODI590154:ODJ590154 ONE590154:ONF590154 OXA590154:OXB590154 PGW590154:PGX590154 PQS590154:PQT590154 QAO590154:QAP590154 QKK590154:QKL590154 QUG590154:QUH590154 REC590154:RED590154 RNY590154:RNZ590154 RXU590154:RXV590154 SHQ590154:SHR590154 SRM590154:SRN590154 TBI590154:TBJ590154 TLE590154:TLF590154 TVA590154:TVB590154 UEW590154:UEX590154 UOS590154:UOT590154 UYO590154:UYP590154 VIK590154:VIL590154 VSG590154:VSH590154 WCC590154:WCD590154 WLY590154:WLZ590154 WVU590154:WVV590154 M655888:N655888 JI655690:JJ655690 TE655690:TF655690 ADA655690:ADB655690 AMW655690:AMX655690 AWS655690:AWT655690 BGO655690:BGP655690 BQK655690:BQL655690 CAG655690:CAH655690 CKC655690:CKD655690 CTY655690:CTZ655690 DDU655690:DDV655690 DNQ655690:DNR655690 DXM655690:DXN655690 EHI655690:EHJ655690 ERE655690:ERF655690 FBA655690:FBB655690 FKW655690:FKX655690 FUS655690:FUT655690 GEO655690:GEP655690 GOK655690:GOL655690 GYG655690:GYH655690 HIC655690:HID655690 HRY655690:HRZ655690 IBU655690:IBV655690 ILQ655690:ILR655690 IVM655690:IVN655690 JFI655690:JFJ655690 JPE655690:JPF655690 JZA655690:JZB655690 KIW655690:KIX655690 KSS655690:KST655690 LCO655690:LCP655690 LMK655690:LML655690 LWG655690:LWH655690 MGC655690:MGD655690 MPY655690:MPZ655690 MZU655690:MZV655690 NJQ655690:NJR655690 NTM655690:NTN655690 ODI655690:ODJ655690 ONE655690:ONF655690 OXA655690:OXB655690 PGW655690:PGX655690 PQS655690:PQT655690 QAO655690:QAP655690 QKK655690:QKL655690 QUG655690:QUH655690 REC655690:RED655690 RNY655690:RNZ655690 RXU655690:RXV655690 SHQ655690:SHR655690 SRM655690:SRN655690 TBI655690:TBJ655690 TLE655690:TLF655690 TVA655690:TVB655690 UEW655690:UEX655690 UOS655690:UOT655690 UYO655690:UYP655690 VIK655690:VIL655690 VSG655690:VSH655690 WCC655690:WCD655690 WLY655690:WLZ655690 WVU655690:WVV655690 M721424:N721424 JI721226:JJ721226 TE721226:TF721226 ADA721226:ADB721226 AMW721226:AMX721226 AWS721226:AWT721226 BGO721226:BGP721226 BQK721226:BQL721226 CAG721226:CAH721226 CKC721226:CKD721226 CTY721226:CTZ721226 DDU721226:DDV721226 DNQ721226:DNR721226 DXM721226:DXN721226 EHI721226:EHJ721226 ERE721226:ERF721226 FBA721226:FBB721226 FKW721226:FKX721226 FUS721226:FUT721226 GEO721226:GEP721226 GOK721226:GOL721226 GYG721226:GYH721226 HIC721226:HID721226 HRY721226:HRZ721226 IBU721226:IBV721226 ILQ721226:ILR721226 IVM721226:IVN721226 JFI721226:JFJ721226 JPE721226:JPF721226 JZA721226:JZB721226 KIW721226:KIX721226 KSS721226:KST721226 LCO721226:LCP721226 LMK721226:LML721226 LWG721226:LWH721226 MGC721226:MGD721226 MPY721226:MPZ721226 MZU721226:MZV721226 NJQ721226:NJR721226 NTM721226:NTN721226 ODI721226:ODJ721226 ONE721226:ONF721226 OXA721226:OXB721226 PGW721226:PGX721226 PQS721226:PQT721226 QAO721226:QAP721226 QKK721226:QKL721226 QUG721226:QUH721226 REC721226:RED721226 RNY721226:RNZ721226 RXU721226:RXV721226 SHQ721226:SHR721226 SRM721226:SRN721226 TBI721226:TBJ721226 TLE721226:TLF721226 TVA721226:TVB721226 UEW721226:UEX721226 UOS721226:UOT721226 UYO721226:UYP721226 VIK721226:VIL721226 VSG721226:VSH721226 WCC721226:WCD721226 WLY721226:WLZ721226 WVU721226:WVV721226 M786960:N786960 JI786762:JJ786762 TE786762:TF786762 ADA786762:ADB786762 AMW786762:AMX786762 AWS786762:AWT786762 BGO786762:BGP786762 BQK786762:BQL786762 CAG786762:CAH786762 CKC786762:CKD786762 CTY786762:CTZ786762 DDU786762:DDV786762 DNQ786762:DNR786762 DXM786762:DXN786762 EHI786762:EHJ786762 ERE786762:ERF786762 FBA786762:FBB786762 FKW786762:FKX786762 FUS786762:FUT786762 GEO786762:GEP786762 GOK786762:GOL786762 GYG786762:GYH786762 HIC786762:HID786762 HRY786762:HRZ786762 IBU786762:IBV786762 ILQ786762:ILR786762 IVM786762:IVN786762 JFI786762:JFJ786762 JPE786762:JPF786762 JZA786762:JZB786762 KIW786762:KIX786762 KSS786762:KST786762 LCO786762:LCP786762 LMK786762:LML786762 LWG786762:LWH786762 MGC786762:MGD786762 MPY786762:MPZ786762 MZU786762:MZV786762 NJQ786762:NJR786762 NTM786762:NTN786762 ODI786762:ODJ786762 ONE786762:ONF786762 OXA786762:OXB786762 PGW786762:PGX786762 PQS786762:PQT786762 QAO786762:QAP786762 QKK786762:QKL786762 QUG786762:QUH786762 REC786762:RED786762 RNY786762:RNZ786762 RXU786762:RXV786762 SHQ786762:SHR786762 SRM786762:SRN786762 TBI786762:TBJ786762 TLE786762:TLF786762 TVA786762:TVB786762 UEW786762:UEX786762 UOS786762:UOT786762 UYO786762:UYP786762 VIK786762:VIL786762 VSG786762:VSH786762 WCC786762:WCD786762 WLY786762:WLZ786762 WVU786762:WVV786762 M852496:N852496 JI852298:JJ852298 TE852298:TF852298 ADA852298:ADB852298 AMW852298:AMX852298 AWS852298:AWT852298 BGO852298:BGP852298 BQK852298:BQL852298 CAG852298:CAH852298 CKC852298:CKD852298 CTY852298:CTZ852298 DDU852298:DDV852298 DNQ852298:DNR852298 DXM852298:DXN852298 EHI852298:EHJ852298 ERE852298:ERF852298 FBA852298:FBB852298 FKW852298:FKX852298 FUS852298:FUT852298 GEO852298:GEP852298 GOK852298:GOL852298 GYG852298:GYH852298 HIC852298:HID852298 HRY852298:HRZ852298 IBU852298:IBV852298 ILQ852298:ILR852298 IVM852298:IVN852298 JFI852298:JFJ852298 JPE852298:JPF852298 JZA852298:JZB852298 KIW852298:KIX852298 KSS852298:KST852298 LCO852298:LCP852298 LMK852298:LML852298 LWG852298:LWH852298 MGC852298:MGD852298 MPY852298:MPZ852298 MZU852298:MZV852298 NJQ852298:NJR852298 NTM852298:NTN852298 ODI852298:ODJ852298 ONE852298:ONF852298 OXA852298:OXB852298 PGW852298:PGX852298 PQS852298:PQT852298 QAO852298:QAP852298 QKK852298:QKL852298 QUG852298:QUH852298 REC852298:RED852298 RNY852298:RNZ852298 RXU852298:RXV852298 SHQ852298:SHR852298 SRM852298:SRN852298 TBI852298:TBJ852298 TLE852298:TLF852298 TVA852298:TVB852298 UEW852298:UEX852298 UOS852298:UOT852298 UYO852298:UYP852298 VIK852298:VIL852298 VSG852298:VSH852298 WCC852298:WCD852298 WLY852298:WLZ852298 WVU852298:WVV852298 M918032:N918032 JI917834:JJ917834 TE917834:TF917834 ADA917834:ADB917834 AMW917834:AMX917834 AWS917834:AWT917834 BGO917834:BGP917834 BQK917834:BQL917834 CAG917834:CAH917834 CKC917834:CKD917834 CTY917834:CTZ917834 DDU917834:DDV917834 DNQ917834:DNR917834 DXM917834:DXN917834 EHI917834:EHJ917834 ERE917834:ERF917834 FBA917834:FBB917834 FKW917834:FKX917834 FUS917834:FUT917834 GEO917834:GEP917834 GOK917834:GOL917834 GYG917834:GYH917834 HIC917834:HID917834 HRY917834:HRZ917834 IBU917834:IBV917834 ILQ917834:ILR917834 IVM917834:IVN917834 JFI917834:JFJ917834 JPE917834:JPF917834 JZA917834:JZB917834 KIW917834:KIX917834 KSS917834:KST917834 LCO917834:LCP917834 LMK917834:LML917834 LWG917834:LWH917834 MGC917834:MGD917834 MPY917834:MPZ917834 MZU917834:MZV917834 NJQ917834:NJR917834 NTM917834:NTN917834 ODI917834:ODJ917834 ONE917834:ONF917834 OXA917834:OXB917834 PGW917834:PGX917834 PQS917834:PQT917834 QAO917834:QAP917834 QKK917834:QKL917834 QUG917834:QUH917834 REC917834:RED917834 RNY917834:RNZ917834 RXU917834:RXV917834 SHQ917834:SHR917834 SRM917834:SRN917834 TBI917834:TBJ917834 TLE917834:TLF917834 TVA917834:TVB917834 UEW917834:UEX917834 UOS917834:UOT917834 UYO917834:UYP917834 VIK917834:VIL917834 VSG917834:VSH917834 WCC917834:WCD917834 WLY917834:WLZ917834 WVU917834:WVV917834 M983568:N983568 JI983370:JJ983370 TE983370:TF983370 ADA983370:ADB983370 AMW983370:AMX983370 AWS983370:AWT983370 BGO983370:BGP983370 BQK983370:BQL983370 CAG983370:CAH983370 CKC983370:CKD983370 CTY983370:CTZ983370 DDU983370:DDV983370 DNQ983370:DNR983370 DXM983370:DXN983370 EHI983370:EHJ983370 ERE983370:ERF983370 FBA983370:FBB983370 FKW983370:FKX983370 FUS983370:FUT983370 GEO983370:GEP983370 GOK983370:GOL983370 GYG983370:GYH983370 HIC983370:HID983370 HRY983370:HRZ983370 IBU983370:IBV983370 ILQ983370:ILR983370 IVM983370:IVN983370 JFI983370:JFJ983370 JPE983370:JPF983370 JZA983370:JZB983370 KIW983370:KIX983370 KSS983370:KST983370 LCO983370:LCP983370 LMK983370:LML983370 LWG983370:LWH983370 MGC983370:MGD983370 MPY983370:MPZ983370 MZU983370:MZV983370 NJQ983370:NJR983370 NTM983370:NTN983370 ODI983370:ODJ983370 ONE983370:ONF983370 OXA983370:OXB983370 PGW983370:PGX983370 PQS983370:PQT983370 QAO983370:QAP983370 QKK983370:QKL983370 QUG983370:QUH983370 REC983370:RED983370 RNY983370:RNZ983370 RXU983370:RXV983370 SHQ983370:SHR983370 SRM983370:SRN983370 TBI983370:TBJ983370 TLE983370:TLF983370 TVA983370:TVB983370 UEW983370:UEX983370 UOS983370:UOT983370 UYO983370:UYP983370 VIK983370:VIL983370 VSG983370:VSH983370 WCC983370:WCD983370 WLY983370:WLZ983370 WVU983370:WVV983370 M257:N257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792:N65792 JI65594:JJ65594 TE65594:TF65594 ADA65594:ADB65594 AMW65594:AMX65594 AWS65594:AWT65594 BGO65594:BGP65594 BQK65594:BQL65594 CAG65594:CAH65594 CKC65594:CKD65594 CTY65594:CTZ65594 DDU65594:DDV65594 DNQ65594:DNR65594 DXM65594:DXN65594 EHI65594:EHJ65594 ERE65594:ERF65594 FBA65594:FBB65594 FKW65594:FKX65594 FUS65594:FUT65594 GEO65594:GEP65594 GOK65594:GOL65594 GYG65594:GYH65594 HIC65594:HID65594 HRY65594:HRZ65594 IBU65594:IBV65594 ILQ65594:ILR65594 IVM65594:IVN65594 JFI65594:JFJ65594 JPE65594:JPF65594 JZA65594:JZB65594 KIW65594:KIX65594 KSS65594:KST65594 LCO65594:LCP65594 LMK65594:LML65594 LWG65594:LWH65594 MGC65594:MGD65594 MPY65594:MPZ65594 MZU65594:MZV65594 NJQ65594:NJR65594 NTM65594:NTN65594 ODI65594:ODJ65594 ONE65594:ONF65594 OXA65594:OXB65594 PGW65594:PGX65594 PQS65594:PQT65594 QAO65594:QAP65594 QKK65594:QKL65594 QUG65594:QUH65594 REC65594:RED65594 RNY65594:RNZ65594 RXU65594:RXV65594 SHQ65594:SHR65594 SRM65594:SRN65594 TBI65594:TBJ65594 TLE65594:TLF65594 TVA65594:TVB65594 UEW65594:UEX65594 UOS65594:UOT65594 UYO65594:UYP65594 VIK65594:VIL65594 VSG65594:VSH65594 WCC65594:WCD65594 WLY65594:WLZ65594 WVU65594:WVV65594 M131328:N131328 JI131130:JJ131130 TE131130:TF131130 ADA131130:ADB131130 AMW131130:AMX131130 AWS131130:AWT131130 BGO131130:BGP131130 BQK131130:BQL131130 CAG131130:CAH131130 CKC131130:CKD131130 CTY131130:CTZ131130 DDU131130:DDV131130 DNQ131130:DNR131130 DXM131130:DXN131130 EHI131130:EHJ131130 ERE131130:ERF131130 FBA131130:FBB131130 FKW131130:FKX131130 FUS131130:FUT131130 GEO131130:GEP131130 GOK131130:GOL131130 GYG131130:GYH131130 HIC131130:HID131130 HRY131130:HRZ131130 IBU131130:IBV131130 ILQ131130:ILR131130 IVM131130:IVN131130 JFI131130:JFJ131130 JPE131130:JPF131130 JZA131130:JZB131130 KIW131130:KIX131130 KSS131130:KST131130 LCO131130:LCP131130 LMK131130:LML131130 LWG131130:LWH131130 MGC131130:MGD131130 MPY131130:MPZ131130 MZU131130:MZV131130 NJQ131130:NJR131130 NTM131130:NTN131130 ODI131130:ODJ131130 ONE131130:ONF131130 OXA131130:OXB131130 PGW131130:PGX131130 PQS131130:PQT131130 QAO131130:QAP131130 QKK131130:QKL131130 QUG131130:QUH131130 REC131130:RED131130 RNY131130:RNZ131130 RXU131130:RXV131130 SHQ131130:SHR131130 SRM131130:SRN131130 TBI131130:TBJ131130 TLE131130:TLF131130 TVA131130:TVB131130 UEW131130:UEX131130 UOS131130:UOT131130 UYO131130:UYP131130 VIK131130:VIL131130 VSG131130:VSH131130 WCC131130:WCD131130 WLY131130:WLZ131130 WVU131130:WVV131130 M196864:N196864 JI196666:JJ196666 TE196666:TF196666 ADA196666:ADB196666 AMW196666:AMX196666 AWS196666:AWT196666 BGO196666:BGP196666 BQK196666:BQL196666 CAG196666:CAH196666 CKC196666:CKD196666 CTY196666:CTZ196666 DDU196666:DDV196666 DNQ196666:DNR196666 DXM196666:DXN196666 EHI196666:EHJ196666 ERE196666:ERF196666 FBA196666:FBB196666 FKW196666:FKX196666 FUS196666:FUT196666 GEO196666:GEP196666 GOK196666:GOL196666 GYG196666:GYH196666 HIC196666:HID196666 HRY196666:HRZ196666 IBU196666:IBV196666 ILQ196666:ILR196666 IVM196666:IVN196666 JFI196666:JFJ196666 JPE196666:JPF196666 JZA196666:JZB196666 KIW196666:KIX196666 KSS196666:KST196666 LCO196666:LCP196666 LMK196666:LML196666 LWG196666:LWH196666 MGC196666:MGD196666 MPY196666:MPZ196666 MZU196666:MZV196666 NJQ196666:NJR196666 NTM196666:NTN196666 ODI196666:ODJ196666 ONE196666:ONF196666 OXA196666:OXB196666 PGW196666:PGX196666 PQS196666:PQT196666 QAO196666:QAP196666 QKK196666:QKL196666 QUG196666:QUH196666 REC196666:RED196666 RNY196666:RNZ196666 RXU196666:RXV196666 SHQ196666:SHR196666 SRM196666:SRN196666 TBI196666:TBJ196666 TLE196666:TLF196666 TVA196666:TVB196666 UEW196666:UEX196666 UOS196666:UOT196666 UYO196666:UYP196666 VIK196666:VIL196666 VSG196666:VSH196666 WCC196666:WCD196666 WLY196666:WLZ196666 WVU196666:WVV196666 M262400:N262400 JI262202:JJ262202 TE262202:TF262202 ADA262202:ADB262202 AMW262202:AMX262202 AWS262202:AWT262202 BGO262202:BGP262202 BQK262202:BQL262202 CAG262202:CAH262202 CKC262202:CKD262202 CTY262202:CTZ262202 DDU262202:DDV262202 DNQ262202:DNR262202 DXM262202:DXN262202 EHI262202:EHJ262202 ERE262202:ERF262202 FBA262202:FBB262202 FKW262202:FKX262202 FUS262202:FUT262202 GEO262202:GEP262202 GOK262202:GOL262202 GYG262202:GYH262202 HIC262202:HID262202 HRY262202:HRZ262202 IBU262202:IBV262202 ILQ262202:ILR262202 IVM262202:IVN262202 JFI262202:JFJ262202 JPE262202:JPF262202 JZA262202:JZB262202 KIW262202:KIX262202 KSS262202:KST262202 LCO262202:LCP262202 LMK262202:LML262202 LWG262202:LWH262202 MGC262202:MGD262202 MPY262202:MPZ262202 MZU262202:MZV262202 NJQ262202:NJR262202 NTM262202:NTN262202 ODI262202:ODJ262202 ONE262202:ONF262202 OXA262202:OXB262202 PGW262202:PGX262202 PQS262202:PQT262202 QAO262202:QAP262202 QKK262202:QKL262202 QUG262202:QUH262202 REC262202:RED262202 RNY262202:RNZ262202 RXU262202:RXV262202 SHQ262202:SHR262202 SRM262202:SRN262202 TBI262202:TBJ262202 TLE262202:TLF262202 TVA262202:TVB262202 UEW262202:UEX262202 UOS262202:UOT262202 UYO262202:UYP262202 VIK262202:VIL262202 VSG262202:VSH262202 WCC262202:WCD262202 WLY262202:WLZ262202 WVU262202:WVV262202 M327936:N327936 JI327738:JJ327738 TE327738:TF327738 ADA327738:ADB327738 AMW327738:AMX327738 AWS327738:AWT327738 BGO327738:BGP327738 BQK327738:BQL327738 CAG327738:CAH327738 CKC327738:CKD327738 CTY327738:CTZ327738 DDU327738:DDV327738 DNQ327738:DNR327738 DXM327738:DXN327738 EHI327738:EHJ327738 ERE327738:ERF327738 FBA327738:FBB327738 FKW327738:FKX327738 FUS327738:FUT327738 GEO327738:GEP327738 GOK327738:GOL327738 GYG327738:GYH327738 HIC327738:HID327738 HRY327738:HRZ327738 IBU327738:IBV327738 ILQ327738:ILR327738 IVM327738:IVN327738 JFI327738:JFJ327738 JPE327738:JPF327738 JZA327738:JZB327738 KIW327738:KIX327738 KSS327738:KST327738 LCO327738:LCP327738 LMK327738:LML327738 LWG327738:LWH327738 MGC327738:MGD327738 MPY327738:MPZ327738 MZU327738:MZV327738 NJQ327738:NJR327738 NTM327738:NTN327738 ODI327738:ODJ327738 ONE327738:ONF327738 OXA327738:OXB327738 PGW327738:PGX327738 PQS327738:PQT327738 QAO327738:QAP327738 QKK327738:QKL327738 QUG327738:QUH327738 REC327738:RED327738 RNY327738:RNZ327738 RXU327738:RXV327738 SHQ327738:SHR327738 SRM327738:SRN327738 TBI327738:TBJ327738 TLE327738:TLF327738 TVA327738:TVB327738 UEW327738:UEX327738 UOS327738:UOT327738 UYO327738:UYP327738 VIK327738:VIL327738 VSG327738:VSH327738 WCC327738:WCD327738 WLY327738:WLZ327738 WVU327738:WVV327738 M393472:N393472 JI393274:JJ393274 TE393274:TF393274 ADA393274:ADB393274 AMW393274:AMX393274 AWS393274:AWT393274 BGO393274:BGP393274 BQK393274:BQL393274 CAG393274:CAH393274 CKC393274:CKD393274 CTY393274:CTZ393274 DDU393274:DDV393274 DNQ393274:DNR393274 DXM393274:DXN393274 EHI393274:EHJ393274 ERE393274:ERF393274 FBA393274:FBB393274 FKW393274:FKX393274 FUS393274:FUT393274 GEO393274:GEP393274 GOK393274:GOL393274 GYG393274:GYH393274 HIC393274:HID393274 HRY393274:HRZ393274 IBU393274:IBV393274 ILQ393274:ILR393274 IVM393274:IVN393274 JFI393274:JFJ393274 JPE393274:JPF393274 JZA393274:JZB393274 KIW393274:KIX393274 KSS393274:KST393274 LCO393274:LCP393274 LMK393274:LML393274 LWG393274:LWH393274 MGC393274:MGD393274 MPY393274:MPZ393274 MZU393274:MZV393274 NJQ393274:NJR393274 NTM393274:NTN393274 ODI393274:ODJ393274 ONE393274:ONF393274 OXA393274:OXB393274 PGW393274:PGX393274 PQS393274:PQT393274 QAO393274:QAP393274 QKK393274:QKL393274 QUG393274:QUH393274 REC393274:RED393274 RNY393274:RNZ393274 RXU393274:RXV393274 SHQ393274:SHR393274 SRM393274:SRN393274 TBI393274:TBJ393274 TLE393274:TLF393274 TVA393274:TVB393274 UEW393274:UEX393274 UOS393274:UOT393274 UYO393274:UYP393274 VIK393274:VIL393274 VSG393274:VSH393274 WCC393274:WCD393274 WLY393274:WLZ393274 WVU393274:WVV393274 M459008:N459008 JI458810:JJ458810 TE458810:TF458810 ADA458810:ADB458810 AMW458810:AMX458810 AWS458810:AWT458810 BGO458810:BGP458810 BQK458810:BQL458810 CAG458810:CAH458810 CKC458810:CKD458810 CTY458810:CTZ458810 DDU458810:DDV458810 DNQ458810:DNR458810 DXM458810:DXN458810 EHI458810:EHJ458810 ERE458810:ERF458810 FBA458810:FBB458810 FKW458810:FKX458810 FUS458810:FUT458810 GEO458810:GEP458810 GOK458810:GOL458810 GYG458810:GYH458810 HIC458810:HID458810 HRY458810:HRZ458810 IBU458810:IBV458810 ILQ458810:ILR458810 IVM458810:IVN458810 JFI458810:JFJ458810 JPE458810:JPF458810 JZA458810:JZB458810 KIW458810:KIX458810 KSS458810:KST458810 LCO458810:LCP458810 LMK458810:LML458810 LWG458810:LWH458810 MGC458810:MGD458810 MPY458810:MPZ458810 MZU458810:MZV458810 NJQ458810:NJR458810 NTM458810:NTN458810 ODI458810:ODJ458810 ONE458810:ONF458810 OXA458810:OXB458810 PGW458810:PGX458810 PQS458810:PQT458810 QAO458810:QAP458810 QKK458810:QKL458810 QUG458810:QUH458810 REC458810:RED458810 RNY458810:RNZ458810 RXU458810:RXV458810 SHQ458810:SHR458810 SRM458810:SRN458810 TBI458810:TBJ458810 TLE458810:TLF458810 TVA458810:TVB458810 UEW458810:UEX458810 UOS458810:UOT458810 UYO458810:UYP458810 VIK458810:VIL458810 VSG458810:VSH458810 WCC458810:WCD458810 WLY458810:WLZ458810 WVU458810:WVV458810 M524544:N524544 JI524346:JJ524346 TE524346:TF524346 ADA524346:ADB524346 AMW524346:AMX524346 AWS524346:AWT524346 BGO524346:BGP524346 BQK524346:BQL524346 CAG524346:CAH524346 CKC524346:CKD524346 CTY524346:CTZ524346 DDU524346:DDV524346 DNQ524346:DNR524346 DXM524346:DXN524346 EHI524346:EHJ524346 ERE524346:ERF524346 FBA524346:FBB524346 FKW524346:FKX524346 FUS524346:FUT524346 GEO524346:GEP524346 GOK524346:GOL524346 GYG524346:GYH524346 HIC524346:HID524346 HRY524346:HRZ524346 IBU524346:IBV524346 ILQ524346:ILR524346 IVM524346:IVN524346 JFI524346:JFJ524346 JPE524346:JPF524346 JZA524346:JZB524346 KIW524346:KIX524346 KSS524346:KST524346 LCO524346:LCP524346 LMK524346:LML524346 LWG524346:LWH524346 MGC524346:MGD524346 MPY524346:MPZ524346 MZU524346:MZV524346 NJQ524346:NJR524346 NTM524346:NTN524346 ODI524346:ODJ524346 ONE524346:ONF524346 OXA524346:OXB524346 PGW524346:PGX524346 PQS524346:PQT524346 QAO524346:QAP524346 QKK524346:QKL524346 QUG524346:QUH524346 REC524346:RED524346 RNY524346:RNZ524346 RXU524346:RXV524346 SHQ524346:SHR524346 SRM524346:SRN524346 TBI524346:TBJ524346 TLE524346:TLF524346 TVA524346:TVB524346 UEW524346:UEX524346 UOS524346:UOT524346 UYO524346:UYP524346 VIK524346:VIL524346 VSG524346:VSH524346 WCC524346:WCD524346 WLY524346:WLZ524346 WVU524346:WVV524346 M590080:N590080 JI589882:JJ589882 TE589882:TF589882 ADA589882:ADB589882 AMW589882:AMX589882 AWS589882:AWT589882 BGO589882:BGP589882 BQK589882:BQL589882 CAG589882:CAH589882 CKC589882:CKD589882 CTY589882:CTZ589882 DDU589882:DDV589882 DNQ589882:DNR589882 DXM589882:DXN589882 EHI589882:EHJ589882 ERE589882:ERF589882 FBA589882:FBB589882 FKW589882:FKX589882 FUS589882:FUT589882 GEO589882:GEP589882 GOK589882:GOL589882 GYG589882:GYH589882 HIC589882:HID589882 HRY589882:HRZ589882 IBU589882:IBV589882 ILQ589882:ILR589882 IVM589882:IVN589882 JFI589882:JFJ589882 JPE589882:JPF589882 JZA589882:JZB589882 KIW589882:KIX589882 KSS589882:KST589882 LCO589882:LCP589882 LMK589882:LML589882 LWG589882:LWH589882 MGC589882:MGD589882 MPY589882:MPZ589882 MZU589882:MZV589882 NJQ589882:NJR589882 NTM589882:NTN589882 ODI589882:ODJ589882 ONE589882:ONF589882 OXA589882:OXB589882 PGW589882:PGX589882 PQS589882:PQT589882 QAO589882:QAP589882 QKK589882:QKL589882 QUG589882:QUH589882 REC589882:RED589882 RNY589882:RNZ589882 RXU589882:RXV589882 SHQ589882:SHR589882 SRM589882:SRN589882 TBI589882:TBJ589882 TLE589882:TLF589882 TVA589882:TVB589882 UEW589882:UEX589882 UOS589882:UOT589882 UYO589882:UYP589882 VIK589882:VIL589882 VSG589882:VSH589882 WCC589882:WCD589882 WLY589882:WLZ589882 WVU589882:WVV589882 M655616:N655616 JI655418:JJ655418 TE655418:TF655418 ADA655418:ADB655418 AMW655418:AMX655418 AWS655418:AWT655418 BGO655418:BGP655418 BQK655418:BQL655418 CAG655418:CAH655418 CKC655418:CKD655418 CTY655418:CTZ655418 DDU655418:DDV655418 DNQ655418:DNR655418 DXM655418:DXN655418 EHI655418:EHJ655418 ERE655418:ERF655418 FBA655418:FBB655418 FKW655418:FKX655418 FUS655418:FUT655418 GEO655418:GEP655418 GOK655418:GOL655418 GYG655418:GYH655418 HIC655418:HID655418 HRY655418:HRZ655418 IBU655418:IBV655418 ILQ655418:ILR655418 IVM655418:IVN655418 JFI655418:JFJ655418 JPE655418:JPF655418 JZA655418:JZB655418 KIW655418:KIX655418 KSS655418:KST655418 LCO655418:LCP655418 LMK655418:LML655418 LWG655418:LWH655418 MGC655418:MGD655418 MPY655418:MPZ655418 MZU655418:MZV655418 NJQ655418:NJR655418 NTM655418:NTN655418 ODI655418:ODJ655418 ONE655418:ONF655418 OXA655418:OXB655418 PGW655418:PGX655418 PQS655418:PQT655418 QAO655418:QAP655418 QKK655418:QKL655418 QUG655418:QUH655418 REC655418:RED655418 RNY655418:RNZ655418 RXU655418:RXV655418 SHQ655418:SHR655418 SRM655418:SRN655418 TBI655418:TBJ655418 TLE655418:TLF655418 TVA655418:TVB655418 UEW655418:UEX655418 UOS655418:UOT655418 UYO655418:UYP655418 VIK655418:VIL655418 VSG655418:VSH655418 WCC655418:WCD655418 WLY655418:WLZ655418 WVU655418:WVV655418 M721152:N721152 JI720954:JJ720954 TE720954:TF720954 ADA720954:ADB720954 AMW720954:AMX720954 AWS720954:AWT720954 BGO720954:BGP720954 BQK720954:BQL720954 CAG720954:CAH720954 CKC720954:CKD720954 CTY720954:CTZ720954 DDU720954:DDV720954 DNQ720954:DNR720954 DXM720954:DXN720954 EHI720954:EHJ720954 ERE720954:ERF720954 FBA720954:FBB720954 FKW720954:FKX720954 FUS720954:FUT720954 GEO720954:GEP720954 GOK720954:GOL720954 GYG720954:GYH720954 HIC720954:HID720954 HRY720954:HRZ720954 IBU720954:IBV720954 ILQ720954:ILR720954 IVM720954:IVN720954 JFI720954:JFJ720954 JPE720954:JPF720954 JZA720954:JZB720954 KIW720954:KIX720954 KSS720954:KST720954 LCO720954:LCP720954 LMK720954:LML720954 LWG720954:LWH720954 MGC720954:MGD720954 MPY720954:MPZ720954 MZU720954:MZV720954 NJQ720954:NJR720954 NTM720954:NTN720954 ODI720954:ODJ720954 ONE720954:ONF720954 OXA720954:OXB720954 PGW720954:PGX720954 PQS720954:PQT720954 QAO720954:QAP720954 QKK720954:QKL720954 QUG720954:QUH720954 REC720954:RED720954 RNY720954:RNZ720954 RXU720954:RXV720954 SHQ720954:SHR720954 SRM720954:SRN720954 TBI720954:TBJ720954 TLE720954:TLF720954 TVA720954:TVB720954 UEW720954:UEX720954 UOS720954:UOT720954 UYO720954:UYP720954 VIK720954:VIL720954 VSG720954:VSH720954 WCC720954:WCD720954 WLY720954:WLZ720954 WVU720954:WVV720954 M786688:N786688 JI786490:JJ786490 TE786490:TF786490 ADA786490:ADB786490 AMW786490:AMX786490 AWS786490:AWT786490 BGO786490:BGP786490 BQK786490:BQL786490 CAG786490:CAH786490 CKC786490:CKD786490 CTY786490:CTZ786490 DDU786490:DDV786490 DNQ786490:DNR786490 DXM786490:DXN786490 EHI786490:EHJ786490 ERE786490:ERF786490 FBA786490:FBB786490 FKW786490:FKX786490 FUS786490:FUT786490 GEO786490:GEP786490 GOK786490:GOL786490 GYG786490:GYH786490 HIC786490:HID786490 HRY786490:HRZ786490 IBU786490:IBV786490 ILQ786490:ILR786490 IVM786490:IVN786490 JFI786490:JFJ786490 JPE786490:JPF786490 JZA786490:JZB786490 KIW786490:KIX786490 KSS786490:KST786490 LCO786490:LCP786490 LMK786490:LML786490 LWG786490:LWH786490 MGC786490:MGD786490 MPY786490:MPZ786490 MZU786490:MZV786490 NJQ786490:NJR786490 NTM786490:NTN786490 ODI786490:ODJ786490 ONE786490:ONF786490 OXA786490:OXB786490 PGW786490:PGX786490 PQS786490:PQT786490 QAO786490:QAP786490 QKK786490:QKL786490 QUG786490:QUH786490 REC786490:RED786490 RNY786490:RNZ786490 RXU786490:RXV786490 SHQ786490:SHR786490 SRM786490:SRN786490 TBI786490:TBJ786490 TLE786490:TLF786490 TVA786490:TVB786490 UEW786490:UEX786490 UOS786490:UOT786490 UYO786490:UYP786490 VIK786490:VIL786490 VSG786490:VSH786490 WCC786490:WCD786490 WLY786490:WLZ786490 WVU786490:WVV786490 M852224:N852224 JI852026:JJ852026 TE852026:TF852026 ADA852026:ADB852026 AMW852026:AMX852026 AWS852026:AWT852026 BGO852026:BGP852026 BQK852026:BQL852026 CAG852026:CAH852026 CKC852026:CKD852026 CTY852026:CTZ852026 DDU852026:DDV852026 DNQ852026:DNR852026 DXM852026:DXN852026 EHI852026:EHJ852026 ERE852026:ERF852026 FBA852026:FBB852026 FKW852026:FKX852026 FUS852026:FUT852026 GEO852026:GEP852026 GOK852026:GOL852026 GYG852026:GYH852026 HIC852026:HID852026 HRY852026:HRZ852026 IBU852026:IBV852026 ILQ852026:ILR852026 IVM852026:IVN852026 JFI852026:JFJ852026 JPE852026:JPF852026 JZA852026:JZB852026 KIW852026:KIX852026 KSS852026:KST852026 LCO852026:LCP852026 LMK852026:LML852026 LWG852026:LWH852026 MGC852026:MGD852026 MPY852026:MPZ852026 MZU852026:MZV852026 NJQ852026:NJR852026 NTM852026:NTN852026 ODI852026:ODJ852026 ONE852026:ONF852026 OXA852026:OXB852026 PGW852026:PGX852026 PQS852026:PQT852026 QAO852026:QAP852026 QKK852026:QKL852026 QUG852026:QUH852026 REC852026:RED852026 RNY852026:RNZ852026 RXU852026:RXV852026 SHQ852026:SHR852026 SRM852026:SRN852026 TBI852026:TBJ852026 TLE852026:TLF852026 TVA852026:TVB852026 UEW852026:UEX852026 UOS852026:UOT852026 UYO852026:UYP852026 VIK852026:VIL852026 VSG852026:VSH852026 WCC852026:WCD852026 WLY852026:WLZ852026 WVU852026:WVV852026 M917760:N917760 JI917562:JJ917562 TE917562:TF917562 ADA917562:ADB917562 AMW917562:AMX917562 AWS917562:AWT917562 BGO917562:BGP917562 BQK917562:BQL917562 CAG917562:CAH917562 CKC917562:CKD917562 CTY917562:CTZ917562 DDU917562:DDV917562 DNQ917562:DNR917562 DXM917562:DXN917562 EHI917562:EHJ917562 ERE917562:ERF917562 FBA917562:FBB917562 FKW917562:FKX917562 FUS917562:FUT917562 GEO917562:GEP917562 GOK917562:GOL917562 GYG917562:GYH917562 HIC917562:HID917562 HRY917562:HRZ917562 IBU917562:IBV917562 ILQ917562:ILR917562 IVM917562:IVN917562 JFI917562:JFJ917562 JPE917562:JPF917562 JZA917562:JZB917562 KIW917562:KIX917562 KSS917562:KST917562 LCO917562:LCP917562 LMK917562:LML917562 LWG917562:LWH917562 MGC917562:MGD917562 MPY917562:MPZ917562 MZU917562:MZV917562 NJQ917562:NJR917562 NTM917562:NTN917562 ODI917562:ODJ917562 ONE917562:ONF917562 OXA917562:OXB917562 PGW917562:PGX917562 PQS917562:PQT917562 QAO917562:QAP917562 QKK917562:QKL917562 QUG917562:QUH917562 REC917562:RED917562 RNY917562:RNZ917562 RXU917562:RXV917562 SHQ917562:SHR917562 SRM917562:SRN917562 TBI917562:TBJ917562 TLE917562:TLF917562 TVA917562:TVB917562 UEW917562:UEX917562 UOS917562:UOT917562 UYO917562:UYP917562 VIK917562:VIL917562 VSG917562:VSH917562 WCC917562:WCD917562 WLY917562:WLZ917562 WVU917562:WVV917562 M983296:N983296 JI983098:JJ983098 TE983098:TF983098 ADA983098:ADB983098 AMW983098:AMX983098 AWS983098:AWT983098 BGO983098:BGP983098 BQK983098:BQL983098 CAG983098:CAH983098 CKC983098:CKD983098 CTY983098:CTZ983098 DDU983098:DDV983098 DNQ983098:DNR983098 DXM983098:DXN983098 EHI983098:EHJ983098 ERE983098:ERF983098 FBA983098:FBB983098 FKW983098:FKX983098 FUS983098:FUT983098 GEO983098:GEP983098 GOK983098:GOL983098 GYG983098:GYH983098 HIC983098:HID983098 HRY983098:HRZ983098 IBU983098:IBV983098 ILQ983098:ILR983098 IVM983098:IVN983098 JFI983098:JFJ983098 JPE983098:JPF983098 JZA983098:JZB983098 KIW983098:KIX983098 KSS983098:KST983098 LCO983098:LCP983098 LMK983098:LML983098 LWG983098:LWH983098 MGC983098:MGD983098 MPY983098:MPZ983098 MZU983098:MZV983098 NJQ983098:NJR983098 NTM983098:NTN983098 ODI983098:ODJ983098 ONE983098:ONF983098 OXA983098:OXB983098 PGW983098:PGX983098 PQS983098:PQT983098 QAO983098:QAP983098 QKK983098:QKL983098 QUG983098:QUH983098 REC983098:RED983098 RNY983098:RNZ983098 RXU983098:RXV983098 SHQ983098:SHR983098 SRM983098:SRN983098 TBI983098:TBJ983098 TLE983098:TLF983098 TVA983098:TVB983098 UEW983098:UEX983098 UOS983098:UOT983098 UYO983098:UYP983098 VIK983098:VIL983098 VSG983098:VSH983098 WCC983098:WCD983098 WLY983098:WLZ983098 WVU983098:WVV983098 M393:N393 JI195:JJ195 TE195:TF195 ADA195:ADB195 AMW195:AMX195 AWS195:AWT195 BGO195:BGP195 BQK195:BQL195 CAG195:CAH195 CKC195:CKD195 CTY195:CTZ195 DDU195:DDV195 DNQ195:DNR195 DXM195:DXN195 EHI195:EHJ195 ERE195:ERF195 FBA195:FBB195 FKW195:FKX195 FUS195:FUT195 GEO195:GEP195 GOK195:GOL195 GYG195:GYH195 HIC195:HID195 HRY195:HRZ195 IBU195:IBV195 ILQ195:ILR195 IVM195:IVN195 JFI195:JFJ195 JPE195:JPF195 JZA195:JZB195 KIW195:KIX195 KSS195:KST195 LCO195:LCP195 LMK195:LML195 LWG195:LWH195 MGC195:MGD195 MPY195:MPZ195 MZU195:MZV195 NJQ195:NJR195 NTM195:NTN195 ODI195:ODJ195 ONE195:ONF195 OXA195:OXB195 PGW195:PGX195 PQS195:PQT195 QAO195:QAP195 QKK195:QKL195 QUG195:QUH195 REC195:RED195 RNY195:RNZ195 RXU195:RXV195 SHQ195:SHR195 SRM195:SRN195 TBI195:TBJ195 TLE195:TLF195 TVA195:TVB195 UEW195:UEX195 UOS195:UOT195 UYO195:UYP195 VIK195:VIL195 VSG195:VSH195 WCC195:WCD195 WLY195:WLZ195 WVU195:WVV195 M65926:N65926 JI65728:JJ65728 TE65728:TF65728 ADA65728:ADB65728 AMW65728:AMX65728 AWS65728:AWT65728 BGO65728:BGP65728 BQK65728:BQL65728 CAG65728:CAH65728 CKC65728:CKD65728 CTY65728:CTZ65728 DDU65728:DDV65728 DNQ65728:DNR65728 DXM65728:DXN65728 EHI65728:EHJ65728 ERE65728:ERF65728 FBA65728:FBB65728 FKW65728:FKX65728 FUS65728:FUT65728 GEO65728:GEP65728 GOK65728:GOL65728 GYG65728:GYH65728 HIC65728:HID65728 HRY65728:HRZ65728 IBU65728:IBV65728 ILQ65728:ILR65728 IVM65728:IVN65728 JFI65728:JFJ65728 JPE65728:JPF65728 JZA65728:JZB65728 KIW65728:KIX65728 KSS65728:KST65728 LCO65728:LCP65728 LMK65728:LML65728 LWG65728:LWH65728 MGC65728:MGD65728 MPY65728:MPZ65728 MZU65728:MZV65728 NJQ65728:NJR65728 NTM65728:NTN65728 ODI65728:ODJ65728 ONE65728:ONF65728 OXA65728:OXB65728 PGW65728:PGX65728 PQS65728:PQT65728 QAO65728:QAP65728 QKK65728:QKL65728 QUG65728:QUH65728 REC65728:RED65728 RNY65728:RNZ65728 RXU65728:RXV65728 SHQ65728:SHR65728 SRM65728:SRN65728 TBI65728:TBJ65728 TLE65728:TLF65728 TVA65728:TVB65728 UEW65728:UEX65728 UOS65728:UOT65728 UYO65728:UYP65728 VIK65728:VIL65728 VSG65728:VSH65728 WCC65728:WCD65728 WLY65728:WLZ65728 WVU65728:WVV65728 M131462:N131462 JI131264:JJ131264 TE131264:TF131264 ADA131264:ADB131264 AMW131264:AMX131264 AWS131264:AWT131264 BGO131264:BGP131264 BQK131264:BQL131264 CAG131264:CAH131264 CKC131264:CKD131264 CTY131264:CTZ131264 DDU131264:DDV131264 DNQ131264:DNR131264 DXM131264:DXN131264 EHI131264:EHJ131264 ERE131264:ERF131264 FBA131264:FBB131264 FKW131264:FKX131264 FUS131264:FUT131264 GEO131264:GEP131264 GOK131264:GOL131264 GYG131264:GYH131264 HIC131264:HID131264 HRY131264:HRZ131264 IBU131264:IBV131264 ILQ131264:ILR131264 IVM131264:IVN131264 JFI131264:JFJ131264 JPE131264:JPF131264 JZA131264:JZB131264 KIW131264:KIX131264 KSS131264:KST131264 LCO131264:LCP131264 LMK131264:LML131264 LWG131264:LWH131264 MGC131264:MGD131264 MPY131264:MPZ131264 MZU131264:MZV131264 NJQ131264:NJR131264 NTM131264:NTN131264 ODI131264:ODJ131264 ONE131264:ONF131264 OXA131264:OXB131264 PGW131264:PGX131264 PQS131264:PQT131264 QAO131264:QAP131264 QKK131264:QKL131264 QUG131264:QUH131264 REC131264:RED131264 RNY131264:RNZ131264 RXU131264:RXV131264 SHQ131264:SHR131264 SRM131264:SRN131264 TBI131264:TBJ131264 TLE131264:TLF131264 TVA131264:TVB131264 UEW131264:UEX131264 UOS131264:UOT131264 UYO131264:UYP131264 VIK131264:VIL131264 VSG131264:VSH131264 WCC131264:WCD131264 WLY131264:WLZ131264 WVU131264:WVV131264 M196998:N196998 JI196800:JJ196800 TE196800:TF196800 ADA196800:ADB196800 AMW196800:AMX196800 AWS196800:AWT196800 BGO196800:BGP196800 BQK196800:BQL196800 CAG196800:CAH196800 CKC196800:CKD196800 CTY196800:CTZ196800 DDU196800:DDV196800 DNQ196800:DNR196800 DXM196800:DXN196800 EHI196800:EHJ196800 ERE196800:ERF196800 FBA196800:FBB196800 FKW196800:FKX196800 FUS196800:FUT196800 GEO196800:GEP196800 GOK196800:GOL196800 GYG196800:GYH196800 HIC196800:HID196800 HRY196800:HRZ196800 IBU196800:IBV196800 ILQ196800:ILR196800 IVM196800:IVN196800 JFI196800:JFJ196800 JPE196800:JPF196800 JZA196800:JZB196800 KIW196800:KIX196800 KSS196800:KST196800 LCO196800:LCP196800 LMK196800:LML196800 LWG196800:LWH196800 MGC196800:MGD196800 MPY196800:MPZ196800 MZU196800:MZV196800 NJQ196800:NJR196800 NTM196800:NTN196800 ODI196800:ODJ196800 ONE196800:ONF196800 OXA196800:OXB196800 PGW196800:PGX196800 PQS196800:PQT196800 QAO196800:QAP196800 QKK196800:QKL196800 QUG196800:QUH196800 REC196800:RED196800 RNY196800:RNZ196800 RXU196800:RXV196800 SHQ196800:SHR196800 SRM196800:SRN196800 TBI196800:TBJ196800 TLE196800:TLF196800 TVA196800:TVB196800 UEW196800:UEX196800 UOS196800:UOT196800 UYO196800:UYP196800 VIK196800:VIL196800 VSG196800:VSH196800 WCC196800:WCD196800 WLY196800:WLZ196800 WVU196800:WVV196800 M262534:N262534 JI262336:JJ262336 TE262336:TF262336 ADA262336:ADB262336 AMW262336:AMX262336 AWS262336:AWT262336 BGO262336:BGP262336 BQK262336:BQL262336 CAG262336:CAH262336 CKC262336:CKD262336 CTY262336:CTZ262336 DDU262336:DDV262336 DNQ262336:DNR262336 DXM262336:DXN262336 EHI262336:EHJ262336 ERE262336:ERF262336 FBA262336:FBB262336 FKW262336:FKX262336 FUS262336:FUT262336 GEO262336:GEP262336 GOK262336:GOL262336 GYG262336:GYH262336 HIC262336:HID262336 HRY262336:HRZ262336 IBU262336:IBV262336 ILQ262336:ILR262336 IVM262336:IVN262336 JFI262336:JFJ262336 JPE262336:JPF262336 JZA262336:JZB262336 KIW262336:KIX262336 KSS262336:KST262336 LCO262336:LCP262336 LMK262336:LML262336 LWG262336:LWH262336 MGC262336:MGD262336 MPY262336:MPZ262336 MZU262336:MZV262336 NJQ262336:NJR262336 NTM262336:NTN262336 ODI262336:ODJ262336 ONE262336:ONF262336 OXA262336:OXB262336 PGW262336:PGX262336 PQS262336:PQT262336 QAO262336:QAP262336 QKK262336:QKL262336 QUG262336:QUH262336 REC262336:RED262336 RNY262336:RNZ262336 RXU262336:RXV262336 SHQ262336:SHR262336 SRM262336:SRN262336 TBI262336:TBJ262336 TLE262336:TLF262336 TVA262336:TVB262336 UEW262336:UEX262336 UOS262336:UOT262336 UYO262336:UYP262336 VIK262336:VIL262336 VSG262336:VSH262336 WCC262336:WCD262336 WLY262336:WLZ262336 WVU262336:WVV262336 M328070:N328070 JI327872:JJ327872 TE327872:TF327872 ADA327872:ADB327872 AMW327872:AMX327872 AWS327872:AWT327872 BGO327872:BGP327872 BQK327872:BQL327872 CAG327872:CAH327872 CKC327872:CKD327872 CTY327872:CTZ327872 DDU327872:DDV327872 DNQ327872:DNR327872 DXM327872:DXN327872 EHI327872:EHJ327872 ERE327872:ERF327872 FBA327872:FBB327872 FKW327872:FKX327872 FUS327872:FUT327872 GEO327872:GEP327872 GOK327872:GOL327872 GYG327872:GYH327872 HIC327872:HID327872 HRY327872:HRZ327872 IBU327872:IBV327872 ILQ327872:ILR327872 IVM327872:IVN327872 JFI327872:JFJ327872 JPE327872:JPF327872 JZA327872:JZB327872 KIW327872:KIX327872 KSS327872:KST327872 LCO327872:LCP327872 LMK327872:LML327872 LWG327872:LWH327872 MGC327872:MGD327872 MPY327872:MPZ327872 MZU327872:MZV327872 NJQ327872:NJR327872 NTM327872:NTN327872 ODI327872:ODJ327872 ONE327872:ONF327872 OXA327872:OXB327872 PGW327872:PGX327872 PQS327872:PQT327872 QAO327872:QAP327872 QKK327872:QKL327872 QUG327872:QUH327872 REC327872:RED327872 RNY327872:RNZ327872 RXU327872:RXV327872 SHQ327872:SHR327872 SRM327872:SRN327872 TBI327872:TBJ327872 TLE327872:TLF327872 TVA327872:TVB327872 UEW327872:UEX327872 UOS327872:UOT327872 UYO327872:UYP327872 VIK327872:VIL327872 VSG327872:VSH327872 WCC327872:WCD327872 WLY327872:WLZ327872 WVU327872:WVV327872 M393606:N393606 JI393408:JJ393408 TE393408:TF393408 ADA393408:ADB393408 AMW393408:AMX393408 AWS393408:AWT393408 BGO393408:BGP393408 BQK393408:BQL393408 CAG393408:CAH393408 CKC393408:CKD393408 CTY393408:CTZ393408 DDU393408:DDV393408 DNQ393408:DNR393408 DXM393408:DXN393408 EHI393408:EHJ393408 ERE393408:ERF393408 FBA393408:FBB393408 FKW393408:FKX393408 FUS393408:FUT393408 GEO393408:GEP393408 GOK393408:GOL393408 GYG393408:GYH393408 HIC393408:HID393408 HRY393408:HRZ393408 IBU393408:IBV393408 ILQ393408:ILR393408 IVM393408:IVN393408 JFI393408:JFJ393408 JPE393408:JPF393408 JZA393408:JZB393408 KIW393408:KIX393408 KSS393408:KST393408 LCO393408:LCP393408 LMK393408:LML393408 LWG393408:LWH393408 MGC393408:MGD393408 MPY393408:MPZ393408 MZU393408:MZV393408 NJQ393408:NJR393408 NTM393408:NTN393408 ODI393408:ODJ393408 ONE393408:ONF393408 OXA393408:OXB393408 PGW393408:PGX393408 PQS393408:PQT393408 QAO393408:QAP393408 QKK393408:QKL393408 QUG393408:QUH393408 REC393408:RED393408 RNY393408:RNZ393408 RXU393408:RXV393408 SHQ393408:SHR393408 SRM393408:SRN393408 TBI393408:TBJ393408 TLE393408:TLF393408 TVA393408:TVB393408 UEW393408:UEX393408 UOS393408:UOT393408 UYO393408:UYP393408 VIK393408:VIL393408 VSG393408:VSH393408 WCC393408:WCD393408 WLY393408:WLZ393408 WVU393408:WVV393408 M459142:N459142 JI458944:JJ458944 TE458944:TF458944 ADA458944:ADB458944 AMW458944:AMX458944 AWS458944:AWT458944 BGO458944:BGP458944 BQK458944:BQL458944 CAG458944:CAH458944 CKC458944:CKD458944 CTY458944:CTZ458944 DDU458944:DDV458944 DNQ458944:DNR458944 DXM458944:DXN458944 EHI458944:EHJ458944 ERE458944:ERF458944 FBA458944:FBB458944 FKW458944:FKX458944 FUS458944:FUT458944 GEO458944:GEP458944 GOK458944:GOL458944 GYG458944:GYH458944 HIC458944:HID458944 HRY458944:HRZ458944 IBU458944:IBV458944 ILQ458944:ILR458944 IVM458944:IVN458944 JFI458944:JFJ458944 JPE458944:JPF458944 JZA458944:JZB458944 KIW458944:KIX458944 KSS458944:KST458944 LCO458944:LCP458944 LMK458944:LML458944 LWG458944:LWH458944 MGC458944:MGD458944 MPY458944:MPZ458944 MZU458944:MZV458944 NJQ458944:NJR458944 NTM458944:NTN458944 ODI458944:ODJ458944 ONE458944:ONF458944 OXA458944:OXB458944 PGW458944:PGX458944 PQS458944:PQT458944 QAO458944:QAP458944 QKK458944:QKL458944 QUG458944:QUH458944 REC458944:RED458944 RNY458944:RNZ458944 RXU458944:RXV458944 SHQ458944:SHR458944 SRM458944:SRN458944 TBI458944:TBJ458944 TLE458944:TLF458944 TVA458944:TVB458944 UEW458944:UEX458944 UOS458944:UOT458944 UYO458944:UYP458944 VIK458944:VIL458944 VSG458944:VSH458944 WCC458944:WCD458944 WLY458944:WLZ458944 WVU458944:WVV458944 M524678:N524678 JI524480:JJ524480 TE524480:TF524480 ADA524480:ADB524480 AMW524480:AMX524480 AWS524480:AWT524480 BGO524480:BGP524480 BQK524480:BQL524480 CAG524480:CAH524480 CKC524480:CKD524480 CTY524480:CTZ524480 DDU524480:DDV524480 DNQ524480:DNR524480 DXM524480:DXN524480 EHI524480:EHJ524480 ERE524480:ERF524480 FBA524480:FBB524480 FKW524480:FKX524480 FUS524480:FUT524480 GEO524480:GEP524480 GOK524480:GOL524480 GYG524480:GYH524480 HIC524480:HID524480 HRY524480:HRZ524480 IBU524480:IBV524480 ILQ524480:ILR524480 IVM524480:IVN524480 JFI524480:JFJ524480 JPE524480:JPF524480 JZA524480:JZB524480 KIW524480:KIX524480 KSS524480:KST524480 LCO524480:LCP524480 LMK524480:LML524480 LWG524480:LWH524480 MGC524480:MGD524480 MPY524480:MPZ524480 MZU524480:MZV524480 NJQ524480:NJR524480 NTM524480:NTN524480 ODI524480:ODJ524480 ONE524480:ONF524480 OXA524480:OXB524480 PGW524480:PGX524480 PQS524480:PQT524480 QAO524480:QAP524480 QKK524480:QKL524480 QUG524480:QUH524480 REC524480:RED524480 RNY524480:RNZ524480 RXU524480:RXV524480 SHQ524480:SHR524480 SRM524480:SRN524480 TBI524480:TBJ524480 TLE524480:TLF524480 TVA524480:TVB524480 UEW524480:UEX524480 UOS524480:UOT524480 UYO524480:UYP524480 VIK524480:VIL524480 VSG524480:VSH524480 WCC524480:WCD524480 WLY524480:WLZ524480 WVU524480:WVV524480 M590214:N590214 JI590016:JJ590016 TE590016:TF590016 ADA590016:ADB590016 AMW590016:AMX590016 AWS590016:AWT590016 BGO590016:BGP590016 BQK590016:BQL590016 CAG590016:CAH590016 CKC590016:CKD590016 CTY590016:CTZ590016 DDU590016:DDV590016 DNQ590016:DNR590016 DXM590016:DXN590016 EHI590016:EHJ590016 ERE590016:ERF590016 FBA590016:FBB590016 FKW590016:FKX590016 FUS590016:FUT590016 GEO590016:GEP590016 GOK590016:GOL590016 GYG590016:GYH590016 HIC590016:HID590016 HRY590016:HRZ590016 IBU590016:IBV590016 ILQ590016:ILR590016 IVM590016:IVN590016 JFI590016:JFJ590016 JPE590016:JPF590016 JZA590016:JZB590016 KIW590016:KIX590016 KSS590016:KST590016 LCO590016:LCP590016 LMK590016:LML590016 LWG590016:LWH590016 MGC590016:MGD590016 MPY590016:MPZ590016 MZU590016:MZV590016 NJQ590016:NJR590016 NTM590016:NTN590016 ODI590016:ODJ590016 ONE590016:ONF590016 OXA590016:OXB590016 PGW590016:PGX590016 PQS590016:PQT590016 QAO590016:QAP590016 QKK590016:QKL590016 QUG590016:QUH590016 REC590016:RED590016 RNY590016:RNZ590016 RXU590016:RXV590016 SHQ590016:SHR590016 SRM590016:SRN590016 TBI590016:TBJ590016 TLE590016:TLF590016 TVA590016:TVB590016 UEW590016:UEX590016 UOS590016:UOT590016 UYO590016:UYP590016 VIK590016:VIL590016 VSG590016:VSH590016 WCC590016:WCD590016 WLY590016:WLZ590016 WVU590016:WVV590016 M655750:N655750 JI655552:JJ655552 TE655552:TF655552 ADA655552:ADB655552 AMW655552:AMX655552 AWS655552:AWT655552 BGO655552:BGP655552 BQK655552:BQL655552 CAG655552:CAH655552 CKC655552:CKD655552 CTY655552:CTZ655552 DDU655552:DDV655552 DNQ655552:DNR655552 DXM655552:DXN655552 EHI655552:EHJ655552 ERE655552:ERF655552 FBA655552:FBB655552 FKW655552:FKX655552 FUS655552:FUT655552 GEO655552:GEP655552 GOK655552:GOL655552 GYG655552:GYH655552 HIC655552:HID655552 HRY655552:HRZ655552 IBU655552:IBV655552 ILQ655552:ILR655552 IVM655552:IVN655552 JFI655552:JFJ655552 JPE655552:JPF655552 JZA655552:JZB655552 KIW655552:KIX655552 KSS655552:KST655552 LCO655552:LCP655552 LMK655552:LML655552 LWG655552:LWH655552 MGC655552:MGD655552 MPY655552:MPZ655552 MZU655552:MZV655552 NJQ655552:NJR655552 NTM655552:NTN655552 ODI655552:ODJ655552 ONE655552:ONF655552 OXA655552:OXB655552 PGW655552:PGX655552 PQS655552:PQT655552 QAO655552:QAP655552 QKK655552:QKL655552 QUG655552:QUH655552 REC655552:RED655552 RNY655552:RNZ655552 RXU655552:RXV655552 SHQ655552:SHR655552 SRM655552:SRN655552 TBI655552:TBJ655552 TLE655552:TLF655552 TVA655552:TVB655552 UEW655552:UEX655552 UOS655552:UOT655552 UYO655552:UYP655552 VIK655552:VIL655552 VSG655552:VSH655552 WCC655552:WCD655552 WLY655552:WLZ655552 WVU655552:WVV655552 M721286:N721286 JI721088:JJ721088 TE721088:TF721088 ADA721088:ADB721088 AMW721088:AMX721088 AWS721088:AWT721088 BGO721088:BGP721088 BQK721088:BQL721088 CAG721088:CAH721088 CKC721088:CKD721088 CTY721088:CTZ721088 DDU721088:DDV721088 DNQ721088:DNR721088 DXM721088:DXN721088 EHI721088:EHJ721088 ERE721088:ERF721088 FBA721088:FBB721088 FKW721088:FKX721088 FUS721088:FUT721088 GEO721088:GEP721088 GOK721088:GOL721088 GYG721088:GYH721088 HIC721088:HID721088 HRY721088:HRZ721088 IBU721088:IBV721088 ILQ721088:ILR721088 IVM721088:IVN721088 JFI721088:JFJ721088 JPE721088:JPF721088 JZA721088:JZB721088 KIW721088:KIX721088 KSS721088:KST721088 LCO721088:LCP721088 LMK721088:LML721088 LWG721088:LWH721088 MGC721088:MGD721088 MPY721088:MPZ721088 MZU721088:MZV721088 NJQ721088:NJR721088 NTM721088:NTN721088 ODI721088:ODJ721088 ONE721088:ONF721088 OXA721088:OXB721088 PGW721088:PGX721088 PQS721088:PQT721088 QAO721088:QAP721088 QKK721088:QKL721088 QUG721088:QUH721088 REC721088:RED721088 RNY721088:RNZ721088 RXU721088:RXV721088 SHQ721088:SHR721088 SRM721088:SRN721088 TBI721088:TBJ721088 TLE721088:TLF721088 TVA721088:TVB721088 UEW721088:UEX721088 UOS721088:UOT721088 UYO721088:UYP721088 VIK721088:VIL721088 VSG721088:VSH721088 WCC721088:WCD721088 WLY721088:WLZ721088 WVU721088:WVV721088 M786822:N786822 JI786624:JJ786624 TE786624:TF786624 ADA786624:ADB786624 AMW786624:AMX786624 AWS786624:AWT786624 BGO786624:BGP786624 BQK786624:BQL786624 CAG786624:CAH786624 CKC786624:CKD786624 CTY786624:CTZ786624 DDU786624:DDV786624 DNQ786624:DNR786624 DXM786624:DXN786624 EHI786624:EHJ786624 ERE786624:ERF786624 FBA786624:FBB786624 FKW786624:FKX786624 FUS786624:FUT786624 GEO786624:GEP786624 GOK786624:GOL786624 GYG786624:GYH786624 HIC786624:HID786624 HRY786624:HRZ786624 IBU786624:IBV786624 ILQ786624:ILR786624 IVM786624:IVN786624 JFI786624:JFJ786624 JPE786624:JPF786624 JZA786624:JZB786624 KIW786624:KIX786624 KSS786624:KST786624 LCO786624:LCP786624 LMK786624:LML786624 LWG786624:LWH786624 MGC786624:MGD786624 MPY786624:MPZ786624 MZU786624:MZV786624 NJQ786624:NJR786624 NTM786624:NTN786624 ODI786624:ODJ786624 ONE786624:ONF786624 OXA786624:OXB786624 PGW786624:PGX786624 PQS786624:PQT786624 QAO786624:QAP786624 QKK786624:QKL786624 QUG786624:QUH786624 REC786624:RED786624 RNY786624:RNZ786624 RXU786624:RXV786624 SHQ786624:SHR786624 SRM786624:SRN786624 TBI786624:TBJ786624 TLE786624:TLF786624 TVA786624:TVB786624 UEW786624:UEX786624 UOS786624:UOT786624 UYO786624:UYP786624 VIK786624:VIL786624 VSG786624:VSH786624 WCC786624:WCD786624 WLY786624:WLZ786624 WVU786624:WVV786624 M852358:N852358 JI852160:JJ852160 TE852160:TF852160 ADA852160:ADB852160 AMW852160:AMX852160 AWS852160:AWT852160 BGO852160:BGP852160 BQK852160:BQL852160 CAG852160:CAH852160 CKC852160:CKD852160 CTY852160:CTZ852160 DDU852160:DDV852160 DNQ852160:DNR852160 DXM852160:DXN852160 EHI852160:EHJ852160 ERE852160:ERF852160 FBA852160:FBB852160 FKW852160:FKX852160 FUS852160:FUT852160 GEO852160:GEP852160 GOK852160:GOL852160 GYG852160:GYH852160 HIC852160:HID852160 HRY852160:HRZ852160 IBU852160:IBV852160 ILQ852160:ILR852160 IVM852160:IVN852160 JFI852160:JFJ852160 JPE852160:JPF852160 JZA852160:JZB852160 KIW852160:KIX852160 KSS852160:KST852160 LCO852160:LCP852160 LMK852160:LML852160 LWG852160:LWH852160 MGC852160:MGD852160 MPY852160:MPZ852160 MZU852160:MZV852160 NJQ852160:NJR852160 NTM852160:NTN852160 ODI852160:ODJ852160 ONE852160:ONF852160 OXA852160:OXB852160 PGW852160:PGX852160 PQS852160:PQT852160 QAO852160:QAP852160 QKK852160:QKL852160 QUG852160:QUH852160 REC852160:RED852160 RNY852160:RNZ852160 RXU852160:RXV852160 SHQ852160:SHR852160 SRM852160:SRN852160 TBI852160:TBJ852160 TLE852160:TLF852160 TVA852160:TVB852160 UEW852160:UEX852160 UOS852160:UOT852160 UYO852160:UYP852160 VIK852160:VIL852160 VSG852160:VSH852160 WCC852160:WCD852160 WLY852160:WLZ852160 WVU852160:WVV852160 M917894:N917894 JI917696:JJ917696 TE917696:TF917696 ADA917696:ADB917696 AMW917696:AMX917696 AWS917696:AWT917696 BGO917696:BGP917696 BQK917696:BQL917696 CAG917696:CAH917696 CKC917696:CKD917696 CTY917696:CTZ917696 DDU917696:DDV917696 DNQ917696:DNR917696 DXM917696:DXN917696 EHI917696:EHJ917696 ERE917696:ERF917696 FBA917696:FBB917696 FKW917696:FKX917696 FUS917696:FUT917696 GEO917696:GEP917696 GOK917696:GOL917696 GYG917696:GYH917696 HIC917696:HID917696 HRY917696:HRZ917696 IBU917696:IBV917696 ILQ917696:ILR917696 IVM917696:IVN917696 JFI917696:JFJ917696 JPE917696:JPF917696 JZA917696:JZB917696 KIW917696:KIX917696 KSS917696:KST917696 LCO917696:LCP917696 LMK917696:LML917696 LWG917696:LWH917696 MGC917696:MGD917696 MPY917696:MPZ917696 MZU917696:MZV917696 NJQ917696:NJR917696 NTM917696:NTN917696 ODI917696:ODJ917696 ONE917696:ONF917696 OXA917696:OXB917696 PGW917696:PGX917696 PQS917696:PQT917696 QAO917696:QAP917696 QKK917696:QKL917696 QUG917696:QUH917696 REC917696:RED917696 RNY917696:RNZ917696 RXU917696:RXV917696 SHQ917696:SHR917696 SRM917696:SRN917696 TBI917696:TBJ917696 TLE917696:TLF917696 TVA917696:TVB917696 UEW917696:UEX917696 UOS917696:UOT917696 UYO917696:UYP917696 VIK917696:VIL917696 VSG917696:VSH917696 WCC917696:WCD917696 WLY917696:WLZ917696 WVU917696:WVV917696 M983430:N983430 JI983232:JJ983232 TE983232:TF983232 ADA983232:ADB983232 AMW983232:AMX983232 AWS983232:AWT983232 BGO983232:BGP983232 BQK983232:BQL983232 CAG983232:CAH983232 CKC983232:CKD983232 CTY983232:CTZ983232 DDU983232:DDV983232 DNQ983232:DNR983232 DXM983232:DXN983232 EHI983232:EHJ983232 ERE983232:ERF983232 FBA983232:FBB983232 FKW983232:FKX983232 FUS983232:FUT983232 GEO983232:GEP983232 GOK983232:GOL983232 GYG983232:GYH983232 HIC983232:HID983232 HRY983232:HRZ983232 IBU983232:IBV983232 ILQ983232:ILR983232 IVM983232:IVN983232 JFI983232:JFJ983232 JPE983232:JPF983232 JZA983232:JZB983232 KIW983232:KIX983232 KSS983232:KST983232 LCO983232:LCP983232 LMK983232:LML983232 LWG983232:LWH983232 MGC983232:MGD983232 MPY983232:MPZ983232 MZU983232:MZV983232 NJQ983232:NJR983232 NTM983232:NTN983232 ODI983232:ODJ983232 ONE983232:ONF983232 OXA983232:OXB983232 PGW983232:PGX983232 PQS983232:PQT983232 QAO983232:QAP983232 QKK983232:QKL983232 QUG983232:QUH983232 REC983232:RED983232 RNY983232:RNZ983232 RXU983232:RXV983232 SHQ983232:SHR983232 SRM983232:SRN983232 TBI983232:TBJ983232 TLE983232:TLF983232 TVA983232:TVB983232 UEW983232:UEX983232 UOS983232:UOT983232 UYO983232:UYP983232 VIK983232:VIL983232 VSG983232:VSH983232 WCC983232:WCD983232 WLY983232:WLZ983232 WVU983232:WVV983232 M700:N700 JI502:JJ502 TE502:TF502 ADA502:ADB502 AMW502:AMX502 AWS502:AWT502 BGO502:BGP502 BQK502:BQL502 CAG502:CAH502 CKC502:CKD502 CTY502:CTZ502 DDU502:DDV502 DNQ502:DNR502 DXM502:DXN502 EHI502:EHJ502 ERE502:ERF502 FBA502:FBB502 FKW502:FKX502 FUS502:FUT502 GEO502:GEP502 GOK502:GOL502 GYG502:GYH502 HIC502:HID502 HRY502:HRZ502 IBU502:IBV502 ILQ502:ILR502 IVM502:IVN502 JFI502:JFJ502 JPE502:JPF502 JZA502:JZB502 KIW502:KIX502 KSS502:KST502 LCO502:LCP502 LMK502:LML502 LWG502:LWH502 MGC502:MGD502 MPY502:MPZ502 MZU502:MZV502 NJQ502:NJR502 NTM502:NTN502 ODI502:ODJ502 ONE502:ONF502 OXA502:OXB502 PGW502:PGX502 PQS502:PQT502 QAO502:QAP502 QKK502:QKL502 QUG502:QUH502 REC502:RED502 RNY502:RNZ502 RXU502:RXV502 SHQ502:SHR502 SRM502:SRN502 TBI502:TBJ502 TLE502:TLF502 TVA502:TVB502 UEW502:UEX502 UOS502:UOT502 UYO502:UYP502 VIK502:VIL502 VSG502:VSH502 WCC502:WCD502 WLY502:WLZ502 WVU502:WVV502 M66236:N66236 JI66038:JJ66038 TE66038:TF66038 ADA66038:ADB66038 AMW66038:AMX66038 AWS66038:AWT66038 BGO66038:BGP66038 BQK66038:BQL66038 CAG66038:CAH66038 CKC66038:CKD66038 CTY66038:CTZ66038 DDU66038:DDV66038 DNQ66038:DNR66038 DXM66038:DXN66038 EHI66038:EHJ66038 ERE66038:ERF66038 FBA66038:FBB66038 FKW66038:FKX66038 FUS66038:FUT66038 GEO66038:GEP66038 GOK66038:GOL66038 GYG66038:GYH66038 HIC66038:HID66038 HRY66038:HRZ66038 IBU66038:IBV66038 ILQ66038:ILR66038 IVM66038:IVN66038 JFI66038:JFJ66038 JPE66038:JPF66038 JZA66038:JZB66038 KIW66038:KIX66038 KSS66038:KST66038 LCO66038:LCP66038 LMK66038:LML66038 LWG66038:LWH66038 MGC66038:MGD66038 MPY66038:MPZ66038 MZU66038:MZV66038 NJQ66038:NJR66038 NTM66038:NTN66038 ODI66038:ODJ66038 ONE66038:ONF66038 OXA66038:OXB66038 PGW66038:PGX66038 PQS66038:PQT66038 QAO66038:QAP66038 QKK66038:QKL66038 QUG66038:QUH66038 REC66038:RED66038 RNY66038:RNZ66038 RXU66038:RXV66038 SHQ66038:SHR66038 SRM66038:SRN66038 TBI66038:TBJ66038 TLE66038:TLF66038 TVA66038:TVB66038 UEW66038:UEX66038 UOS66038:UOT66038 UYO66038:UYP66038 VIK66038:VIL66038 VSG66038:VSH66038 WCC66038:WCD66038 WLY66038:WLZ66038 WVU66038:WVV66038 M131772:N131772 JI131574:JJ131574 TE131574:TF131574 ADA131574:ADB131574 AMW131574:AMX131574 AWS131574:AWT131574 BGO131574:BGP131574 BQK131574:BQL131574 CAG131574:CAH131574 CKC131574:CKD131574 CTY131574:CTZ131574 DDU131574:DDV131574 DNQ131574:DNR131574 DXM131574:DXN131574 EHI131574:EHJ131574 ERE131574:ERF131574 FBA131574:FBB131574 FKW131574:FKX131574 FUS131574:FUT131574 GEO131574:GEP131574 GOK131574:GOL131574 GYG131574:GYH131574 HIC131574:HID131574 HRY131574:HRZ131574 IBU131574:IBV131574 ILQ131574:ILR131574 IVM131574:IVN131574 JFI131574:JFJ131574 JPE131574:JPF131574 JZA131574:JZB131574 KIW131574:KIX131574 KSS131574:KST131574 LCO131574:LCP131574 LMK131574:LML131574 LWG131574:LWH131574 MGC131574:MGD131574 MPY131574:MPZ131574 MZU131574:MZV131574 NJQ131574:NJR131574 NTM131574:NTN131574 ODI131574:ODJ131574 ONE131574:ONF131574 OXA131574:OXB131574 PGW131574:PGX131574 PQS131574:PQT131574 QAO131574:QAP131574 QKK131574:QKL131574 QUG131574:QUH131574 REC131574:RED131574 RNY131574:RNZ131574 RXU131574:RXV131574 SHQ131574:SHR131574 SRM131574:SRN131574 TBI131574:TBJ131574 TLE131574:TLF131574 TVA131574:TVB131574 UEW131574:UEX131574 UOS131574:UOT131574 UYO131574:UYP131574 VIK131574:VIL131574 VSG131574:VSH131574 WCC131574:WCD131574 WLY131574:WLZ131574 WVU131574:WVV131574 M197308:N197308 JI197110:JJ197110 TE197110:TF197110 ADA197110:ADB197110 AMW197110:AMX197110 AWS197110:AWT197110 BGO197110:BGP197110 BQK197110:BQL197110 CAG197110:CAH197110 CKC197110:CKD197110 CTY197110:CTZ197110 DDU197110:DDV197110 DNQ197110:DNR197110 DXM197110:DXN197110 EHI197110:EHJ197110 ERE197110:ERF197110 FBA197110:FBB197110 FKW197110:FKX197110 FUS197110:FUT197110 GEO197110:GEP197110 GOK197110:GOL197110 GYG197110:GYH197110 HIC197110:HID197110 HRY197110:HRZ197110 IBU197110:IBV197110 ILQ197110:ILR197110 IVM197110:IVN197110 JFI197110:JFJ197110 JPE197110:JPF197110 JZA197110:JZB197110 KIW197110:KIX197110 KSS197110:KST197110 LCO197110:LCP197110 LMK197110:LML197110 LWG197110:LWH197110 MGC197110:MGD197110 MPY197110:MPZ197110 MZU197110:MZV197110 NJQ197110:NJR197110 NTM197110:NTN197110 ODI197110:ODJ197110 ONE197110:ONF197110 OXA197110:OXB197110 PGW197110:PGX197110 PQS197110:PQT197110 QAO197110:QAP197110 QKK197110:QKL197110 QUG197110:QUH197110 REC197110:RED197110 RNY197110:RNZ197110 RXU197110:RXV197110 SHQ197110:SHR197110 SRM197110:SRN197110 TBI197110:TBJ197110 TLE197110:TLF197110 TVA197110:TVB197110 UEW197110:UEX197110 UOS197110:UOT197110 UYO197110:UYP197110 VIK197110:VIL197110 VSG197110:VSH197110 WCC197110:WCD197110 WLY197110:WLZ197110 WVU197110:WVV197110 M262844:N262844 JI262646:JJ262646 TE262646:TF262646 ADA262646:ADB262646 AMW262646:AMX262646 AWS262646:AWT262646 BGO262646:BGP262646 BQK262646:BQL262646 CAG262646:CAH262646 CKC262646:CKD262646 CTY262646:CTZ262646 DDU262646:DDV262646 DNQ262646:DNR262646 DXM262646:DXN262646 EHI262646:EHJ262646 ERE262646:ERF262646 FBA262646:FBB262646 FKW262646:FKX262646 FUS262646:FUT262646 GEO262646:GEP262646 GOK262646:GOL262646 GYG262646:GYH262646 HIC262646:HID262646 HRY262646:HRZ262646 IBU262646:IBV262646 ILQ262646:ILR262646 IVM262646:IVN262646 JFI262646:JFJ262646 JPE262646:JPF262646 JZA262646:JZB262646 KIW262646:KIX262646 KSS262646:KST262646 LCO262646:LCP262646 LMK262646:LML262646 LWG262646:LWH262646 MGC262646:MGD262646 MPY262646:MPZ262646 MZU262646:MZV262646 NJQ262646:NJR262646 NTM262646:NTN262646 ODI262646:ODJ262646 ONE262646:ONF262646 OXA262646:OXB262646 PGW262646:PGX262646 PQS262646:PQT262646 QAO262646:QAP262646 QKK262646:QKL262646 QUG262646:QUH262646 REC262646:RED262646 RNY262646:RNZ262646 RXU262646:RXV262646 SHQ262646:SHR262646 SRM262646:SRN262646 TBI262646:TBJ262646 TLE262646:TLF262646 TVA262646:TVB262646 UEW262646:UEX262646 UOS262646:UOT262646 UYO262646:UYP262646 VIK262646:VIL262646 VSG262646:VSH262646 WCC262646:WCD262646 WLY262646:WLZ262646 WVU262646:WVV262646 M328380:N328380 JI328182:JJ328182 TE328182:TF328182 ADA328182:ADB328182 AMW328182:AMX328182 AWS328182:AWT328182 BGO328182:BGP328182 BQK328182:BQL328182 CAG328182:CAH328182 CKC328182:CKD328182 CTY328182:CTZ328182 DDU328182:DDV328182 DNQ328182:DNR328182 DXM328182:DXN328182 EHI328182:EHJ328182 ERE328182:ERF328182 FBA328182:FBB328182 FKW328182:FKX328182 FUS328182:FUT328182 GEO328182:GEP328182 GOK328182:GOL328182 GYG328182:GYH328182 HIC328182:HID328182 HRY328182:HRZ328182 IBU328182:IBV328182 ILQ328182:ILR328182 IVM328182:IVN328182 JFI328182:JFJ328182 JPE328182:JPF328182 JZA328182:JZB328182 KIW328182:KIX328182 KSS328182:KST328182 LCO328182:LCP328182 LMK328182:LML328182 LWG328182:LWH328182 MGC328182:MGD328182 MPY328182:MPZ328182 MZU328182:MZV328182 NJQ328182:NJR328182 NTM328182:NTN328182 ODI328182:ODJ328182 ONE328182:ONF328182 OXA328182:OXB328182 PGW328182:PGX328182 PQS328182:PQT328182 QAO328182:QAP328182 QKK328182:QKL328182 QUG328182:QUH328182 REC328182:RED328182 RNY328182:RNZ328182 RXU328182:RXV328182 SHQ328182:SHR328182 SRM328182:SRN328182 TBI328182:TBJ328182 TLE328182:TLF328182 TVA328182:TVB328182 UEW328182:UEX328182 UOS328182:UOT328182 UYO328182:UYP328182 VIK328182:VIL328182 VSG328182:VSH328182 WCC328182:WCD328182 WLY328182:WLZ328182 WVU328182:WVV328182 M393916:N393916 JI393718:JJ393718 TE393718:TF393718 ADA393718:ADB393718 AMW393718:AMX393718 AWS393718:AWT393718 BGO393718:BGP393718 BQK393718:BQL393718 CAG393718:CAH393718 CKC393718:CKD393718 CTY393718:CTZ393718 DDU393718:DDV393718 DNQ393718:DNR393718 DXM393718:DXN393718 EHI393718:EHJ393718 ERE393718:ERF393718 FBA393718:FBB393718 FKW393718:FKX393718 FUS393718:FUT393718 GEO393718:GEP393718 GOK393718:GOL393718 GYG393718:GYH393718 HIC393718:HID393718 HRY393718:HRZ393718 IBU393718:IBV393718 ILQ393718:ILR393718 IVM393718:IVN393718 JFI393718:JFJ393718 JPE393718:JPF393718 JZA393718:JZB393718 KIW393718:KIX393718 KSS393718:KST393718 LCO393718:LCP393718 LMK393718:LML393718 LWG393718:LWH393718 MGC393718:MGD393718 MPY393718:MPZ393718 MZU393718:MZV393718 NJQ393718:NJR393718 NTM393718:NTN393718 ODI393718:ODJ393718 ONE393718:ONF393718 OXA393718:OXB393718 PGW393718:PGX393718 PQS393718:PQT393718 QAO393718:QAP393718 QKK393718:QKL393718 QUG393718:QUH393718 REC393718:RED393718 RNY393718:RNZ393718 RXU393718:RXV393718 SHQ393718:SHR393718 SRM393718:SRN393718 TBI393718:TBJ393718 TLE393718:TLF393718 TVA393718:TVB393718 UEW393718:UEX393718 UOS393718:UOT393718 UYO393718:UYP393718 VIK393718:VIL393718 VSG393718:VSH393718 WCC393718:WCD393718 WLY393718:WLZ393718 WVU393718:WVV393718 M459452:N459452 JI459254:JJ459254 TE459254:TF459254 ADA459254:ADB459254 AMW459254:AMX459254 AWS459254:AWT459254 BGO459254:BGP459254 BQK459254:BQL459254 CAG459254:CAH459254 CKC459254:CKD459254 CTY459254:CTZ459254 DDU459254:DDV459254 DNQ459254:DNR459254 DXM459254:DXN459254 EHI459254:EHJ459254 ERE459254:ERF459254 FBA459254:FBB459254 FKW459254:FKX459254 FUS459254:FUT459254 GEO459254:GEP459254 GOK459254:GOL459254 GYG459254:GYH459254 HIC459254:HID459254 HRY459254:HRZ459254 IBU459254:IBV459254 ILQ459254:ILR459254 IVM459254:IVN459254 JFI459254:JFJ459254 JPE459254:JPF459254 JZA459254:JZB459254 KIW459254:KIX459254 KSS459254:KST459254 LCO459254:LCP459254 LMK459254:LML459254 LWG459254:LWH459254 MGC459254:MGD459254 MPY459254:MPZ459254 MZU459254:MZV459254 NJQ459254:NJR459254 NTM459254:NTN459254 ODI459254:ODJ459254 ONE459254:ONF459254 OXA459254:OXB459254 PGW459254:PGX459254 PQS459254:PQT459254 QAO459254:QAP459254 QKK459254:QKL459254 QUG459254:QUH459254 REC459254:RED459254 RNY459254:RNZ459254 RXU459254:RXV459254 SHQ459254:SHR459254 SRM459254:SRN459254 TBI459254:TBJ459254 TLE459254:TLF459254 TVA459254:TVB459254 UEW459254:UEX459254 UOS459254:UOT459254 UYO459254:UYP459254 VIK459254:VIL459254 VSG459254:VSH459254 WCC459254:WCD459254 WLY459254:WLZ459254 WVU459254:WVV459254 M524988:N524988 JI524790:JJ524790 TE524790:TF524790 ADA524790:ADB524790 AMW524790:AMX524790 AWS524790:AWT524790 BGO524790:BGP524790 BQK524790:BQL524790 CAG524790:CAH524790 CKC524790:CKD524790 CTY524790:CTZ524790 DDU524790:DDV524790 DNQ524790:DNR524790 DXM524790:DXN524790 EHI524790:EHJ524790 ERE524790:ERF524790 FBA524790:FBB524790 FKW524790:FKX524790 FUS524790:FUT524790 GEO524790:GEP524790 GOK524790:GOL524790 GYG524790:GYH524790 HIC524790:HID524790 HRY524790:HRZ524790 IBU524790:IBV524790 ILQ524790:ILR524790 IVM524790:IVN524790 JFI524790:JFJ524790 JPE524790:JPF524790 JZA524790:JZB524790 KIW524790:KIX524790 KSS524790:KST524790 LCO524790:LCP524790 LMK524790:LML524790 LWG524790:LWH524790 MGC524790:MGD524790 MPY524790:MPZ524790 MZU524790:MZV524790 NJQ524790:NJR524790 NTM524790:NTN524790 ODI524790:ODJ524790 ONE524790:ONF524790 OXA524790:OXB524790 PGW524790:PGX524790 PQS524790:PQT524790 QAO524790:QAP524790 QKK524790:QKL524790 QUG524790:QUH524790 REC524790:RED524790 RNY524790:RNZ524790 RXU524790:RXV524790 SHQ524790:SHR524790 SRM524790:SRN524790 TBI524790:TBJ524790 TLE524790:TLF524790 TVA524790:TVB524790 UEW524790:UEX524790 UOS524790:UOT524790 UYO524790:UYP524790 VIK524790:VIL524790 VSG524790:VSH524790 WCC524790:WCD524790 WLY524790:WLZ524790 WVU524790:WVV524790 M590524:N590524 JI590326:JJ590326 TE590326:TF590326 ADA590326:ADB590326 AMW590326:AMX590326 AWS590326:AWT590326 BGO590326:BGP590326 BQK590326:BQL590326 CAG590326:CAH590326 CKC590326:CKD590326 CTY590326:CTZ590326 DDU590326:DDV590326 DNQ590326:DNR590326 DXM590326:DXN590326 EHI590326:EHJ590326 ERE590326:ERF590326 FBA590326:FBB590326 FKW590326:FKX590326 FUS590326:FUT590326 GEO590326:GEP590326 GOK590326:GOL590326 GYG590326:GYH590326 HIC590326:HID590326 HRY590326:HRZ590326 IBU590326:IBV590326 ILQ590326:ILR590326 IVM590326:IVN590326 JFI590326:JFJ590326 JPE590326:JPF590326 JZA590326:JZB590326 KIW590326:KIX590326 KSS590326:KST590326 LCO590326:LCP590326 LMK590326:LML590326 LWG590326:LWH590326 MGC590326:MGD590326 MPY590326:MPZ590326 MZU590326:MZV590326 NJQ590326:NJR590326 NTM590326:NTN590326 ODI590326:ODJ590326 ONE590326:ONF590326 OXA590326:OXB590326 PGW590326:PGX590326 PQS590326:PQT590326 QAO590326:QAP590326 QKK590326:QKL590326 QUG590326:QUH590326 REC590326:RED590326 RNY590326:RNZ590326 RXU590326:RXV590326 SHQ590326:SHR590326 SRM590326:SRN590326 TBI590326:TBJ590326 TLE590326:TLF590326 TVA590326:TVB590326 UEW590326:UEX590326 UOS590326:UOT590326 UYO590326:UYP590326 VIK590326:VIL590326 VSG590326:VSH590326 WCC590326:WCD590326 WLY590326:WLZ590326 WVU590326:WVV590326 M656060:N656060 JI655862:JJ655862 TE655862:TF655862 ADA655862:ADB655862 AMW655862:AMX655862 AWS655862:AWT655862 BGO655862:BGP655862 BQK655862:BQL655862 CAG655862:CAH655862 CKC655862:CKD655862 CTY655862:CTZ655862 DDU655862:DDV655862 DNQ655862:DNR655862 DXM655862:DXN655862 EHI655862:EHJ655862 ERE655862:ERF655862 FBA655862:FBB655862 FKW655862:FKX655862 FUS655862:FUT655862 GEO655862:GEP655862 GOK655862:GOL655862 GYG655862:GYH655862 HIC655862:HID655862 HRY655862:HRZ655862 IBU655862:IBV655862 ILQ655862:ILR655862 IVM655862:IVN655862 JFI655862:JFJ655862 JPE655862:JPF655862 JZA655862:JZB655862 KIW655862:KIX655862 KSS655862:KST655862 LCO655862:LCP655862 LMK655862:LML655862 LWG655862:LWH655862 MGC655862:MGD655862 MPY655862:MPZ655862 MZU655862:MZV655862 NJQ655862:NJR655862 NTM655862:NTN655862 ODI655862:ODJ655862 ONE655862:ONF655862 OXA655862:OXB655862 PGW655862:PGX655862 PQS655862:PQT655862 QAO655862:QAP655862 QKK655862:QKL655862 QUG655862:QUH655862 REC655862:RED655862 RNY655862:RNZ655862 RXU655862:RXV655862 SHQ655862:SHR655862 SRM655862:SRN655862 TBI655862:TBJ655862 TLE655862:TLF655862 TVA655862:TVB655862 UEW655862:UEX655862 UOS655862:UOT655862 UYO655862:UYP655862 VIK655862:VIL655862 VSG655862:VSH655862 WCC655862:WCD655862 WLY655862:WLZ655862 WVU655862:WVV655862 M721596:N721596 JI721398:JJ721398 TE721398:TF721398 ADA721398:ADB721398 AMW721398:AMX721398 AWS721398:AWT721398 BGO721398:BGP721398 BQK721398:BQL721398 CAG721398:CAH721398 CKC721398:CKD721398 CTY721398:CTZ721398 DDU721398:DDV721398 DNQ721398:DNR721398 DXM721398:DXN721398 EHI721398:EHJ721398 ERE721398:ERF721398 FBA721398:FBB721398 FKW721398:FKX721398 FUS721398:FUT721398 GEO721398:GEP721398 GOK721398:GOL721398 GYG721398:GYH721398 HIC721398:HID721398 HRY721398:HRZ721398 IBU721398:IBV721398 ILQ721398:ILR721398 IVM721398:IVN721398 JFI721398:JFJ721398 JPE721398:JPF721398 JZA721398:JZB721398 KIW721398:KIX721398 KSS721398:KST721398 LCO721398:LCP721398 LMK721398:LML721398 LWG721398:LWH721398 MGC721398:MGD721398 MPY721398:MPZ721398 MZU721398:MZV721398 NJQ721398:NJR721398 NTM721398:NTN721398 ODI721398:ODJ721398 ONE721398:ONF721398 OXA721398:OXB721398 PGW721398:PGX721398 PQS721398:PQT721398 QAO721398:QAP721398 QKK721398:QKL721398 QUG721398:QUH721398 REC721398:RED721398 RNY721398:RNZ721398 RXU721398:RXV721398 SHQ721398:SHR721398 SRM721398:SRN721398 TBI721398:TBJ721398 TLE721398:TLF721398 TVA721398:TVB721398 UEW721398:UEX721398 UOS721398:UOT721398 UYO721398:UYP721398 VIK721398:VIL721398 VSG721398:VSH721398 WCC721398:WCD721398 WLY721398:WLZ721398 WVU721398:WVV721398 M787132:N787132 JI786934:JJ786934 TE786934:TF786934 ADA786934:ADB786934 AMW786934:AMX786934 AWS786934:AWT786934 BGO786934:BGP786934 BQK786934:BQL786934 CAG786934:CAH786934 CKC786934:CKD786934 CTY786934:CTZ786934 DDU786934:DDV786934 DNQ786934:DNR786934 DXM786934:DXN786934 EHI786934:EHJ786934 ERE786934:ERF786934 FBA786934:FBB786934 FKW786934:FKX786934 FUS786934:FUT786934 GEO786934:GEP786934 GOK786934:GOL786934 GYG786934:GYH786934 HIC786934:HID786934 HRY786934:HRZ786934 IBU786934:IBV786934 ILQ786934:ILR786934 IVM786934:IVN786934 JFI786934:JFJ786934 JPE786934:JPF786934 JZA786934:JZB786934 KIW786934:KIX786934 KSS786934:KST786934 LCO786934:LCP786934 LMK786934:LML786934 LWG786934:LWH786934 MGC786934:MGD786934 MPY786934:MPZ786934 MZU786934:MZV786934 NJQ786934:NJR786934 NTM786934:NTN786934 ODI786934:ODJ786934 ONE786934:ONF786934 OXA786934:OXB786934 PGW786934:PGX786934 PQS786934:PQT786934 QAO786934:QAP786934 QKK786934:QKL786934 QUG786934:QUH786934 REC786934:RED786934 RNY786934:RNZ786934 RXU786934:RXV786934 SHQ786934:SHR786934 SRM786934:SRN786934 TBI786934:TBJ786934 TLE786934:TLF786934 TVA786934:TVB786934 UEW786934:UEX786934 UOS786934:UOT786934 UYO786934:UYP786934 VIK786934:VIL786934 VSG786934:VSH786934 WCC786934:WCD786934 WLY786934:WLZ786934 WVU786934:WVV786934 M852668:N852668 JI852470:JJ852470 TE852470:TF852470 ADA852470:ADB852470 AMW852470:AMX852470 AWS852470:AWT852470 BGO852470:BGP852470 BQK852470:BQL852470 CAG852470:CAH852470 CKC852470:CKD852470 CTY852470:CTZ852470 DDU852470:DDV852470 DNQ852470:DNR852470 DXM852470:DXN852470 EHI852470:EHJ852470 ERE852470:ERF852470 FBA852470:FBB852470 FKW852470:FKX852470 FUS852470:FUT852470 GEO852470:GEP852470 GOK852470:GOL852470 GYG852470:GYH852470 HIC852470:HID852470 HRY852470:HRZ852470 IBU852470:IBV852470 ILQ852470:ILR852470 IVM852470:IVN852470 JFI852470:JFJ852470 JPE852470:JPF852470 JZA852470:JZB852470 KIW852470:KIX852470 KSS852470:KST852470 LCO852470:LCP852470 LMK852470:LML852470 LWG852470:LWH852470 MGC852470:MGD852470 MPY852470:MPZ852470 MZU852470:MZV852470 NJQ852470:NJR852470 NTM852470:NTN852470 ODI852470:ODJ852470 ONE852470:ONF852470 OXA852470:OXB852470 PGW852470:PGX852470 PQS852470:PQT852470 QAO852470:QAP852470 QKK852470:QKL852470 QUG852470:QUH852470 REC852470:RED852470 RNY852470:RNZ852470 RXU852470:RXV852470 SHQ852470:SHR852470 SRM852470:SRN852470 TBI852470:TBJ852470 TLE852470:TLF852470 TVA852470:TVB852470 UEW852470:UEX852470 UOS852470:UOT852470 UYO852470:UYP852470 VIK852470:VIL852470 VSG852470:VSH852470 WCC852470:WCD852470 WLY852470:WLZ852470 WVU852470:WVV852470 M918204:N918204 JI918006:JJ918006 TE918006:TF918006 ADA918006:ADB918006 AMW918006:AMX918006 AWS918006:AWT918006 BGO918006:BGP918006 BQK918006:BQL918006 CAG918006:CAH918006 CKC918006:CKD918006 CTY918006:CTZ918006 DDU918006:DDV918006 DNQ918006:DNR918006 DXM918006:DXN918006 EHI918006:EHJ918006 ERE918006:ERF918006 FBA918006:FBB918006 FKW918006:FKX918006 FUS918006:FUT918006 GEO918006:GEP918006 GOK918006:GOL918006 GYG918006:GYH918006 HIC918006:HID918006 HRY918006:HRZ918006 IBU918006:IBV918006 ILQ918006:ILR918006 IVM918006:IVN918006 JFI918006:JFJ918006 JPE918006:JPF918006 JZA918006:JZB918006 KIW918006:KIX918006 KSS918006:KST918006 LCO918006:LCP918006 LMK918006:LML918006 LWG918006:LWH918006 MGC918006:MGD918006 MPY918006:MPZ918006 MZU918006:MZV918006 NJQ918006:NJR918006 NTM918006:NTN918006 ODI918006:ODJ918006 ONE918006:ONF918006 OXA918006:OXB918006 PGW918006:PGX918006 PQS918006:PQT918006 QAO918006:QAP918006 QKK918006:QKL918006 QUG918006:QUH918006 REC918006:RED918006 RNY918006:RNZ918006 RXU918006:RXV918006 SHQ918006:SHR918006 SRM918006:SRN918006 TBI918006:TBJ918006 TLE918006:TLF918006 TVA918006:TVB918006 UEW918006:UEX918006 UOS918006:UOT918006 UYO918006:UYP918006 VIK918006:VIL918006 VSG918006:VSH918006 WCC918006:WCD918006 WLY918006:WLZ918006 WVU918006:WVV918006 M983740:N983740 JI983542:JJ983542 TE983542:TF983542 ADA983542:ADB983542 AMW983542:AMX983542 AWS983542:AWT983542 BGO983542:BGP983542 BQK983542:BQL983542 CAG983542:CAH983542 CKC983542:CKD983542 CTY983542:CTZ983542 DDU983542:DDV983542 DNQ983542:DNR983542 DXM983542:DXN983542 EHI983542:EHJ983542 ERE983542:ERF983542 FBA983542:FBB983542 FKW983542:FKX983542 FUS983542:FUT983542 GEO983542:GEP983542 GOK983542:GOL983542 GYG983542:GYH983542 HIC983542:HID983542 HRY983542:HRZ983542 IBU983542:IBV983542 ILQ983542:ILR983542 IVM983542:IVN983542 JFI983542:JFJ983542 JPE983542:JPF983542 JZA983542:JZB983542 KIW983542:KIX983542 KSS983542:KST983542 LCO983542:LCP983542 LMK983542:LML983542 LWG983542:LWH983542 MGC983542:MGD983542 MPY983542:MPZ983542 MZU983542:MZV983542 NJQ983542:NJR983542 NTM983542:NTN983542 ODI983542:ODJ983542 ONE983542:ONF983542 OXA983542:OXB983542 PGW983542:PGX983542 PQS983542:PQT983542 QAO983542:QAP983542 QKK983542:QKL983542 QUG983542:QUH983542 REC983542:RED983542 RNY983542:RNZ983542 RXU983542:RXV983542 SHQ983542:SHR983542 SRM983542:SRN983542 TBI983542:TBJ983542 TLE983542:TLF983542 TVA983542:TVB983542 UEW983542:UEX983542 UOS983542:UOT983542 UYO983542:UYP983542 VIK983542:VIL983542 VSG983542:VSH983542 WCC983542:WCD983542 WLY983542:WLZ983542 WVU983542:WVV983542" xr:uid="{995ECD97-0AD6-4612-9CD0-3B89B455E54B}">
      <formula1>"Y,N"</formula1>
    </dataValidation>
    <dataValidation type="list" allowBlank="1" showInputMessage="1" showErrorMessage="1" sqref="D908 IZ710 SV710 ACR710 AMN710 AWJ710 BGF710 BQB710 BZX710 CJT710 CTP710 DDL710 DNH710 DXD710 EGZ710 EQV710 FAR710 FKN710 FUJ710 GEF710 GOB710 GXX710 HHT710 HRP710 IBL710 ILH710 IVD710 JEZ710 JOV710 JYR710 KIN710 KSJ710 LCF710 LMB710 LVX710 MFT710 MPP710 MZL710 NJH710 NTD710 OCZ710 OMV710 OWR710 PGN710 PQJ710 QAF710 QKB710 QTX710 RDT710 RNP710 RXL710 SHH710 SRD710 TAZ710 TKV710 TUR710 UEN710 UOJ710 UYF710 VIB710 VRX710 WBT710 WLP710 WVL710 D66444 IZ66246 SV66246 ACR66246 AMN66246 AWJ66246 BGF66246 BQB66246 BZX66246 CJT66246 CTP66246 DDL66246 DNH66246 DXD66246 EGZ66246 EQV66246 FAR66246 FKN66246 FUJ66246 GEF66246 GOB66246 GXX66246 HHT66246 HRP66246 IBL66246 ILH66246 IVD66246 JEZ66246 JOV66246 JYR66246 KIN66246 KSJ66246 LCF66246 LMB66246 LVX66246 MFT66246 MPP66246 MZL66246 NJH66246 NTD66246 OCZ66246 OMV66246 OWR66246 PGN66246 PQJ66246 QAF66246 QKB66246 QTX66246 RDT66246 RNP66246 RXL66246 SHH66246 SRD66246 TAZ66246 TKV66246 TUR66246 UEN66246 UOJ66246 UYF66246 VIB66246 VRX66246 WBT66246 WLP66246 WVL66246 D131980 IZ131782 SV131782 ACR131782 AMN131782 AWJ131782 BGF131782 BQB131782 BZX131782 CJT131782 CTP131782 DDL131782 DNH131782 DXD131782 EGZ131782 EQV131782 FAR131782 FKN131782 FUJ131782 GEF131782 GOB131782 GXX131782 HHT131782 HRP131782 IBL131782 ILH131782 IVD131782 JEZ131782 JOV131782 JYR131782 KIN131782 KSJ131782 LCF131782 LMB131782 LVX131782 MFT131782 MPP131782 MZL131782 NJH131782 NTD131782 OCZ131782 OMV131782 OWR131782 PGN131782 PQJ131782 QAF131782 QKB131782 QTX131782 RDT131782 RNP131782 RXL131782 SHH131782 SRD131782 TAZ131782 TKV131782 TUR131782 UEN131782 UOJ131782 UYF131782 VIB131782 VRX131782 WBT131782 WLP131782 WVL131782 D197516 IZ197318 SV197318 ACR197318 AMN197318 AWJ197318 BGF197318 BQB197318 BZX197318 CJT197318 CTP197318 DDL197318 DNH197318 DXD197318 EGZ197318 EQV197318 FAR197318 FKN197318 FUJ197318 GEF197318 GOB197318 GXX197318 HHT197318 HRP197318 IBL197318 ILH197318 IVD197318 JEZ197318 JOV197318 JYR197318 KIN197318 KSJ197318 LCF197318 LMB197318 LVX197318 MFT197318 MPP197318 MZL197318 NJH197318 NTD197318 OCZ197318 OMV197318 OWR197318 PGN197318 PQJ197318 QAF197318 QKB197318 QTX197318 RDT197318 RNP197318 RXL197318 SHH197318 SRD197318 TAZ197318 TKV197318 TUR197318 UEN197318 UOJ197318 UYF197318 VIB197318 VRX197318 WBT197318 WLP197318 WVL197318 D263052 IZ262854 SV262854 ACR262854 AMN262854 AWJ262854 BGF262854 BQB262854 BZX262854 CJT262854 CTP262854 DDL262854 DNH262854 DXD262854 EGZ262854 EQV262854 FAR262854 FKN262854 FUJ262854 GEF262854 GOB262854 GXX262854 HHT262854 HRP262854 IBL262854 ILH262854 IVD262854 JEZ262854 JOV262854 JYR262854 KIN262854 KSJ262854 LCF262854 LMB262854 LVX262854 MFT262854 MPP262854 MZL262854 NJH262854 NTD262854 OCZ262854 OMV262854 OWR262854 PGN262854 PQJ262854 QAF262854 QKB262854 QTX262854 RDT262854 RNP262854 RXL262854 SHH262854 SRD262854 TAZ262854 TKV262854 TUR262854 UEN262854 UOJ262854 UYF262854 VIB262854 VRX262854 WBT262854 WLP262854 WVL262854 D328588 IZ328390 SV328390 ACR328390 AMN328390 AWJ328390 BGF328390 BQB328390 BZX328390 CJT328390 CTP328390 DDL328390 DNH328390 DXD328390 EGZ328390 EQV328390 FAR328390 FKN328390 FUJ328390 GEF328390 GOB328390 GXX328390 HHT328390 HRP328390 IBL328390 ILH328390 IVD328390 JEZ328390 JOV328390 JYR328390 KIN328390 KSJ328390 LCF328390 LMB328390 LVX328390 MFT328390 MPP328390 MZL328390 NJH328390 NTD328390 OCZ328390 OMV328390 OWR328390 PGN328390 PQJ328390 QAF328390 QKB328390 QTX328390 RDT328390 RNP328390 RXL328390 SHH328390 SRD328390 TAZ328390 TKV328390 TUR328390 UEN328390 UOJ328390 UYF328390 VIB328390 VRX328390 WBT328390 WLP328390 WVL328390 D394124 IZ393926 SV393926 ACR393926 AMN393926 AWJ393926 BGF393926 BQB393926 BZX393926 CJT393926 CTP393926 DDL393926 DNH393926 DXD393926 EGZ393926 EQV393926 FAR393926 FKN393926 FUJ393926 GEF393926 GOB393926 GXX393926 HHT393926 HRP393926 IBL393926 ILH393926 IVD393926 JEZ393926 JOV393926 JYR393926 KIN393926 KSJ393926 LCF393926 LMB393926 LVX393926 MFT393926 MPP393926 MZL393926 NJH393926 NTD393926 OCZ393926 OMV393926 OWR393926 PGN393926 PQJ393926 QAF393926 QKB393926 QTX393926 RDT393926 RNP393926 RXL393926 SHH393926 SRD393926 TAZ393926 TKV393926 TUR393926 UEN393926 UOJ393926 UYF393926 VIB393926 VRX393926 WBT393926 WLP393926 WVL393926 D459660 IZ459462 SV459462 ACR459462 AMN459462 AWJ459462 BGF459462 BQB459462 BZX459462 CJT459462 CTP459462 DDL459462 DNH459462 DXD459462 EGZ459462 EQV459462 FAR459462 FKN459462 FUJ459462 GEF459462 GOB459462 GXX459462 HHT459462 HRP459462 IBL459462 ILH459462 IVD459462 JEZ459462 JOV459462 JYR459462 KIN459462 KSJ459462 LCF459462 LMB459462 LVX459462 MFT459462 MPP459462 MZL459462 NJH459462 NTD459462 OCZ459462 OMV459462 OWR459462 PGN459462 PQJ459462 QAF459462 QKB459462 QTX459462 RDT459462 RNP459462 RXL459462 SHH459462 SRD459462 TAZ459462 TKV459462 TUR459462 UEN459462 UOJ459462 UYF459462 VIB459462 VRX459462 WBT459462 WLP459462 WVL459462 D525196 IZ524998 SV524998 ACR524998 AMN524998 AWJ524998 BGF524998 BQB524998 BZX524998 CJT524998 CTP524998 DDL524998 DNH524998 DXD524998 EGZ524998 EQV524998 FAR524998 FKN524998 FUJ524998 GEF524998 GOB524998 GXX524998 HHT524998 HRP524998 IBL524998 ILH524998 IVD524998 JEZ524998 JOV524998 JYR524998 KIN524998 KSJ524998 LCF524998 LMB524998 LVX524998 MFT524998 MPP524998 MZL524998 NJH524998 NTD524998 OCZ524998 OMV524998 OWR524998 PGN524998 PQJ524998 QAF524998 QKB524998 QTX524998 RDT524998 RNP524998 RXL524998 SHH524998 SRD524998 TAZ524998 TKV524998 TUR524998 UEN524998 UOJ524998 UYF524998 VIB524998 VRX524998 WBT524998 WLP524998 WVL524998 D590732 IZ590534 SV590534 ACR590534 AMN590534 AWJ590534 BGF590534 BQB590534 BZX590534 CJT590534 CTP590534 DDL590534 DNH590534 DXD590534 EGZ590534 EQV590534 FAR590534 FKN590534 FUJ590534 GEF590534 GOB590534 GXX590534 HHT590534 HRP590534 IBL590534 ILH590534 IVD590534 JEZ590534 JOV590534 JYR590534 KIN590534 KSJ590534 LCF590534 LMB590534 LVX590534 MFT590534 MPP590534 MZL590534 NJH590534 NTD590534 OCZ590534 OMV590534 OWR590534 PGN590534 PQJ590534 QAF590534 QKB590534 QTX590534 RDT590534 RNP590534 RXL590534 SHH590534 SRD590534 TAZ590534 TKV590534 TUR590534 UEN590534 UOJ590534 UYF590534 VIB590534 VRX590534 WBT590534 WLP590534 WVL590534 D656268 IZ656070 SV656070 ACR656070 AMN656070 AWJ656070 BGF656070 BQB656070 BZX656070 CJT656070 CTP656070 DDL656070 DNH656070 DXD656070 EGZ656070 EQV656070 FAR656070 FKN656070 FUJ656070 GEF656070 GOB656070 GXX656070 HHT656070 HRP656070 IBL656070 ILH656070 IVD656070 JEZ656070 JOV656070 JYR656070 KIN656070 KSJ656070 LCF656070 LMB656070 LVX656070 MFT656070 MPP656070 MZL656070 NJH656070 NTD656070 OCZ656070 OMV656070 OWR656070 PGN656070 PQJ656070 QAF656070 QKB656070 QTX656070 RDT656070 RNP656070 RXL656070 SHH656070 SRD656070 TAZ656070 TKV656070 TUR656070 UEN656070 UOJ656070 UYF656070 VIB656070 VRX656070 WBT656070 WLP656070 WVL656070 D721804 IZ721606 SV721606 ACR721606 AMN721606 AWJ721606 BGF721606 BQB721606 BZX721606 CJT721606 CTP721606 DDL721606 DNH721606 DXD721606 EGZ721606 EQV721606 FAR721606 FKN721606 FUJ721606 GEF721606 GOB721606 GXX721606 HHT721606 HRP721606 IBL721606 ILH721606 IVD721606 JEZ721606 JOV721606 JYR721606 KIN721606 KSJ721606 LCF721606 LMB721606 LVX721606 MFT721606 MPP721606 MZL721606 NJH721606 NTD721606 OCZ721606 OMV721606 OWR721606 PGN721606 PQJ721606 QAF721606 QKB721606 QTX721606 RDT721606 RNP721606 RXL721606 SHH721606 SRD721606 TAZ721606 TKV721606 TUR721606 UEN721606 UOJ721606 UYF721606 VIB721606 VRX721606 WBT721606 WLP721606 WVL721606 D787340 IZ787142 SV787142 ACR787142 AMN787142 AWJ787142 BGF787142 BQB787142 BZX787142 CJT787142 CTP787142 DDL787142 DNH787142 DXD787142 EGZ787142 EQV787142 FAR787142 FKN787142 FUJ787142 GEF787142 GOB787142 GXX787142 HHT787142 HRP787142 IBL787142 ILH787142 IVD787142 JEZ787142 JOV787142 JYR787142 KIN787142 KSJ787142 LCF787142 LMB787142 LVX787142 MFT787142 MPP787142 MZL787142 NJH787142 NTD787142 OCZ787142 OMV787142 OWR787142 PGN787142 PQJ787142 QAF787142 QKB787142 QTX787142 RDT787142 RNP787142 RXL787142 SHH787142 SRD787142 TAZ787142 TKV787142 TUR787142 UEN787142 UOJ787142 UYF787142 VIB787142 VRX787142 WBT787142 WLP787142 WVL787142 D852876 IZ852678 SV852678 ACR852678 AMN852678 AWJ852678 BGF852678 BQB852678 BZX852678 CJT852678 CTP852678 DDL852678 DNH852678 DXD852678 EGZ852678 EQV852678 FAR852678 FKN852678 FUJ852678 GEF852678 GOB852678 GXX852678 HHT852678 HRP852678 IBL852678 ILH852678 IVD852678 JEZ852678 JOV852678 JYR852678 KIN852678 KSJ852678 LCF852678 LMB852678 LVX852678 MFT852678 MPP852678 MZL852678 NJH852678 NTD852678 OCZ852678 OMV852678 OWR852678 PGN852678 PQJ852678 QAF852678 QKB852678 QTX852678 RDT852678 RNP852678 RXL852678 SHH852678 SRD852678 TAZ852678 TKV852678 TUR852678 UEN852678 UOJ852678 UYF852678 VIB852678 VRX852678 WBT852678 WLP852678 WVL852678 D918412 IZ918214 SV918214 ACR918214 AMN918214 AWJ918214 BGF918214 BQB918214 BZX918214 CJT918214 CTP918214 DDL918214 DNH918214 DXD918214 EGZ918214 EQV918214 FAR918214 FKN918214 FUJ918214 GEF918214 GOB918214 GXX918214 HHT918214 HRP918214 IBL918214 ILH918214 IVD918214 JEZ918214 JOV918214 JYR918214 KIN918214 KSJ918214 LCF918214 LMB918214 LVX918214 MFT918214 MPP918214 MZL918214 NJH918214 NTD918214 OCZ918214 OMV918214 OWR918214 PGN918214 PQJ918214 QAF918214 QKB918214 QTX918214 RDT918214 RNP918214 RXL918214 SHH918214 SRD918214 TAZ918214 TKV918214 TUR918214 UEN918214 UOJ918214 UYF918214 VIB918214 VRX918214 WBT918214 WLP918214 WVL918214 D983948 IZ983750 SV983750 ACR983750 AMN983750 AWJ983750 BGF983750 BQB983750 BZX983750 CJT983750 CTP983750 DDL983750 DNH983750 DXD983750 EGZ983750 EQV983750 FAR983750 FKN983750 FUJ983750 GEF983750 GOB983750 GXX983750 HHT983750 HRP983750 IBL983750 ILH983750 IVD983750 JEZ983750 JOV983750 JYR983750 KIN983750 KSJ983750 LCF983750 LMB983750 LVX983750 MFT983750 MPP983750 MZL983750 NJH983750 NTD983750 OCZ983750 OMV983750 OWR983750 PGN983750 PQJ983750 QAF983750 QKB983750 QTX983750 RDT983750 RNP983750 RXL983750 SHH983750 SRD983750 TAZ983750 TKV983750 TUR983750 UEN983750 UOJ983750 UYF983750 VIB983750 VRX983750 WBT983750 WLP983750 WVL983750 D776 IZ578 SV578 ACR578 AMN578 AWJ578 BGF578 BQB578 BZX578 CJT578 CTP578 DDL578 DNH578 DXD578 EGZ578 EQV578 FAR578 FKN578 FUJ578 GEF578 GOB578 GXX578 HHT578 HRP578 IBL578 ILH578 IVD578 JEZ578 JOV578 JYR578 KIN578 KSJ578 LCF578 LMB578 LVX578 MFT578 MPP578 MZL578 NJH578 NTD578 OCZ578 OMV578 OWR578 PGN578 PQJ578 QAF578 QKB578 QTX578 RDT578 RNP578 RXL578 SHH578 SRD578 TAZ578 TKV578 TUR578 UEN578 UOJ578 UYF578 VIB578 VRX578 WBT578 WLP578 WVL578 D66312 IZ66114 SV66114 ACR66114 AMN66114 AWJ66114 BGF66114 BQB66114 BZX66114 CJT66114 CTP66114 DDL66114 DNH66114 DXD66114 EGZ66114 EQV66114 FAR66114 FKN66114 FUJ66114 GEF66114 GOB66114 GXX66114 HHT66114 HRP66114 IBL66114 ILH66114 IVD66114 JEZ66114 JOV66114 JYR66114 KIN66114 KSJ66114 LCF66114 LMB66114 LVX66114 MFT66114 MPP66114 MZL66114 NJH66114 NTD66114 OCZ66114 OMV66114 OWR66114 PGN66114 PQJ66114 QAF66114 QKB66114 QTX66114 RDT66114 RNP66114 RXL66114 SHH66114 SRD66114 TAZ66114 TKV66114 TUR66114 UEN66114 UOJ66114 UYF66114 VIB66114 VRX66114 WBT66114 WLP66114 WVL66114 D131848 IZ131650 SV131650 ACR131650 AMN131650 AWJ131650 BGF131650 BQB131650 BZX131650 CJT131650 CTP131650 DDL131650 DNH131650 DXD131650 EGZ131650 EQV131650 FAR131650 FKN131650 FUJ131650 GEF131650 GOB131650 GXX131650 HHT131650 HRP131650 IBL131650 ILH131650 IVD131650 JEZ131650 JOV131650 JYR131650 KIN131650 KSJ131650 LCF131650 LMB131650 LVX131650 MFT131650 MPP131650 MZL131650 NJH131650 NTD131650 OCZ131650 OMV131650 OWR131650 PGN131650 PQJ131650 QAF131650 QKB131650 QTX131650 RDT131650 RNP131650 RXL131650 SHH131650 SRD131650 TAZ131650 TKV131650 TUR131650 UEN131650 UOJ131650 UYF131650 VIB131650 VRX131650 WBT131650 WLP131650 WVL131650 D197384 IZ197186 SV197186 ACR197186 AMN197186 AWJ197186 BGF197186 BQB197186 BZX197186 CJT197186 CTP197186 DDL197186 DNH197186 DXD197186 EGZ197186 EQV197186 FAR197186 FKN197186 FUJ197186 GEF197186 GOB197186 GXX197186 HHT197186 HRP197186 IBL197186 ILH197186 IVD197186 JEZ197186 JOV197186 JYR197186 KIN197186 KSJ197186 LCF197186 LMB197186 LVX197186 MFT197186 MPP197186 MZL197186 NJH197186 NTD197186 OCZ197186 OMV197186 OWR197186 PGN197186 PQJ197186 QAF197186 QKB197186 QTX197186 RDT197186 RNP197186 RXL197186 SHH197186 SRD197186 TAZ197186 TKV197186 TUR197186 UEN197186 UOJ197186 UYF197186 VIB197186 VRX197186 WBT197186 WLP197186 WVL197186 D262920 IZ262722 SV262722 ACR262722 AMN262722 AWJ262722 BGF262722 BQB262722 BZX262722 CJT262722 CTP262722 DDL262722 DNH262722 DXD262722 EGZ262722 EQV262722 FAR262722 FKN262722 FUJ262722 GEF262722 GOB262722 GXX262722 HHT262722 HRP262722 IBL262722 ILH262722 IVD262722 JEZ262722 JOV262722 JYR262722 KIN262722 KSJ262722 LCF262722 LMB262722 LVX262722 MFT262722 MPP262722 MZL262722 NJH262722 NTD262722 OCZ262722 OMV262722 OWR262722 PGN262722 PQJ262722 QAF262722 QKB262722 QTX262722 RDT262722 RNP262722 RXL262722 SHH262722 SRD262722 TAZ262722 TKV262722 TUR262722 UEN262722 UOJ262722 UYF262722 VIB262722 VRX262722 WBT262722 WLP262722 WVL262722 D328456 IZ328258 SV328258 ACR328258 AMN328258 AWJ328258 BGF328258 BQB328258 BZX328258 CJT328258 CTP328258 DDL328258 DNH328258 DXD328258 EGZ328258 EQV328258 FAR328258 FKN328258 FUJ328258 GEF328258 GOB328258 GXX328258 HHT328258 HRP328258 IBL328258 ILH328258 IVD328258 JEZ328258 JOV328258 JYR328258 KIN328258 KSJ328258 LCF328258 LMB328258 LVX328258 MFT328258 MPP328258 MZL328258 NJH328258 NTD328258 OCZ328258 OMV328258 OWR328258 PGN328258 PQJ328258 QAF328258 QKB328258 QTX328258 RDT328258 RNP328258 RXL328258 SHH328258 SRD328258 TAZ328258 TKV328258 TUR328258 UEN328258 UOJ328258 UYF328258 VIB328258 VRX328258 WBT328258 WLP328258 WVL328258 D393992 IZ393794 SV393794 ACR393794 AMN393794 AWJ393794 BGF393794 BQB393794 BZX393794 CJT393794 CTP393794 DDL393794 DNH393794 DXD393794 EGZ393794 EQV393794 FAR393794 FKN393794 FUJ393794 GEF393794 GOB393794 GXX393794 HHT393794 HRP393794 IBL393794 ILH393794 IVD393794 JEZ393794 JOV393794 JYR393794 KIN393794 KSJ393794 LCF393794 LMB393794 LVX393794 MFT393794 MPP393794 MZL393794 NJH393794 NTD393794 OCZ393794 OMV393794 OWR393794 PGN393794 PQJ393794 QAF393794 QKB393794 QTX393794 RDT393794 RNP393794 RXL393794 SHH393794 SRD393794 TAZ393794 TKV393794 TUR393794 UEN393794 UOJ393794 UYF393794 VIB393794 VRX393794 WBT393794 WLP393794 WVL393794 D459528 IZ459330 SV459330 ACR459330 AMN459330 AWJ459330 BGF459330 BQB459330 BZX459330 CJT459330 CTP459330 DDL459330 DNH459330 DXD459330 EGZ459330 EQV459330 FAR459330 FKN459330 FUJ459330 GEF459330 GOB459330 GXX459330 HHT459330 HRP459330 IBL459330 ILH459330 IVD459330 JEZ459330 JOV459330 JYR459330 KIN459330 KSJ459330 LCF459330 LMB459330 LVX459330 MFT459330 MPP459330 MZL459330 NJH459330 NTD459330 OCZ459330 OMV459330 OWR459330 PGN459330 PQJ459330 QAF459330 QKB459330 QTX459330 RDT459330 RNP459330 RXL459330 SHH459330 SRD459330 TAZ459330 TKV459330 TUR459330 UEN459330 UOJ459330 UYF459330 VIB459330 VRX459330 WBT459330 WLP459330 WVL459330 D525064 IZ524866 SV524866 ACR524866 AMN524866 AWJ524866 BGF524866 BQB524866 BZX524866 CJT524866 CTP524866 DDL524866 DNH524866 DXD524866 EGZ524866 EQV524866 FAR524866 FKN524866 FUJ524866 GEF524866 GOB524866 GXX524866 HHT524866 HRP524866 IBL524866 ILH524866 IVD524866 JEZ524866 JOV524866 JYR524866 KIN524866 KSJ524866 LCF524866 LMB524866 LVX524866 MFT524866 MPP524866 MZL524866 NJH524866 NTD524866 OCZ524866 OMV524866 OWR524866 PGN524866 PQJ524866 QAF524866 QKB524866 QTX524866 RDT524866 RNP524866 RXL524866 SHH524866 SRD524866 TAZ524866 TKV524866 TUR524866 UEN524866 UOJ524866 UYF524866 VIB524866 VRX524866 WBT524866 WLP524866 WVL524866 D590600 IZ590402 SV590402 ACR590402 AMN590402 AWJ590402 BGF590402 BQB590402 BZX590402 CJT590402 CTP590402 DDL590402 DNH590402 DXD590402 EGZ590402 EQV590402 FAR590402 FKN590402 FUJ590402 GEF590402 GOB590402 GXX590402 HHT590402 HRP590402 IBL590402 ILH590402 IVD590402 JEZ590402 JOV590402 JYR590402 KIN590402 KSJ590402 LCF590402 LMB590402 LVX590402 MFT590402 MPP590402 MZL590402 NJH590402 NTD590402 OCZ590402 OMV590402 OWR590402 PGN590402 PQJ590402 QAF590402 QKB590402 QTX590402 RDT590402 RNP590402 RXL590402 SHH590402 SRD590402 TAZ590402 TKV590402 TUR590402 UEN590402 UOJ590402 UYF590402 VIB590402 VRX590402 WBT590402 WLP590402 WVL590402 D656136 IZ655938 SV655938 ACR655938 AMN655938 AWJ655938 BGF655938 BQB655938 BZX655938 CJT655938 CTP655938 DDL655938 DNH655938 DXD655938 EGZ655938 EQV655938 FAR655938 FKN655938 FUJ655938 GEF655938 GOB655938 GXX655938 HHT655938 HRP655938 IBL655938 ILH655938 IVD655938 JEZ655938 JOV655938 JYR655938 KIN655938 KSJ655938 LCF655938 LMB655938 LVX655938 MFT655938 MPP655938 MZL655938 NJH655938 NTD655938 OCZ655938 OMV655938 OWR655938 PGN655938 PQJ655938 QAF655938 QKB655938 QTX655938 RDT655938 RNP655938 RXL655938 SHH655938 SRD655938 TAZ655938 TKV655938 TUR655938 UEN655938 UOJ655938 UYF655938 VIB655938 VRX655938 WBT655938 WLP655938 WVL655938 D721672 IZ721474 SV721474 ACR721474 AMN721474 AWJ721474 BGF721474 BQB721474 BZX721474 CJT721474 CTP721474 DDL721474 DNH721474 DXD721474 EGZ721474 EQV721474 FAR721474 FKN721474 FUJ721474 GEF721474 GOB721474 GXX721474 HHT721474 HRP721474 IBL721474 ILH721474 IVD721474 JEZ721474 JOV721474 JYR721474 KIN721474 KSJ721474 LCF721474 LMB721474 LVX721474 MFT721474 MPP721474 MZL721474 NJH721474 NTD721474 OCZ721474 OMV721474 OWR721474 PGN721474 PQJ721474 QAF721474 QKB721474 QTX721474 RDT721474 RNP721474 RXL721474 SHH721474 SRD721474 TAZ721474 TKV721474 TUR721474 UEN721474 UOJ721474 UYF721474 VIB721474 VRX721474 WBT721474 WLP721474 WVL721474 D787208 IZ787010 SV787010 ACR787010 AMN787010 AWJ787010 BGF787010 BQB787010 BZX787010 CJT787010 CTP787010 DDL787010 DNH787010 DXD787010 EGZ787010 EQV787010 FAR787010 FKN787010 FUJ787010 GEF787010 GOB787010 GXX787010 HHT787010 HRP787010 IBL787010 ILH787010 IVD787010 JEZ787010 JOV787010 JYR787010 KIN787010 KSJ787010 LCF787010 LMB787010 LVX787010 MFT787010 MPP787010 MZL787010 NJH787010 NTD787010 OCZ787010 OMV787010 OWR787010 PGN787010 PQJ787010 QAF787010 QKB787010 QTX787010 RDT787010 RNP787010 RXL787010 SHH787010 SRD787010 TAZ787010 TKV787010 TUR787010 UEN787010 UOJ787010 UYF787010 VIB787010 VRX787010 WBT787010 WLP787010 WVL787010 D852744 IZ852546 SV852546 ACR852546 AMN852546 AWJ852546 BGF852546 BQB852546 BZX852546 CJT852546 CTP852546 DDL852546 DNH852546 DXD852546 EGZ852546 EQV852546 FAR852546 FKN852546 FUJ852546 GEF852546 GOB852546 GXX852546 HHT852546 HRP852546 IBL852546 ILH852546 IVD852546 JEZ852546 JOV852546 JYR852546 KIN852546 KSJ852546 LCF852546 LMB852546 LVX852546 MFT852546 MPP852546 MZL852546 NJH852546 NTD852546 OCZ852546 OMV852546 OWR852546 PGN852546 PQJ852546 QAF852546 QKB852546 QTX852546 RDT852546 RNP852546 RXL852546 SHH852546 SRD852546 TAZ852546 TKV852546 TUR852546 UEN852546 UOJ852546 UYF852546 VIB852546 VRX852546 WBT852546 WLP852546 WVL852546 D918280 IZ918082 SV918082 ACR918082 AMN918082 AWJ918082 BGF918082 BQB918082 BZX918082 CJT918082 CTP918082 DDL918082 DNH918082 DXD918082 EGZ918082 EQV918082 FAR918082 FKN918082 FUJ918082 GEF918082 GOB918082 GXX918082 HHT918082 HRP918082 IBL918082 ILH918082 IVD918082 JEZ918082 JOV918082 JYR918082 KIN918082 KSJ918082 LCF918082 LMB918082 LVX918082 MFT918082 MPP918082 MZL918082 NJH918082 NTD918082 OCZ918082 OMV918082 OWR918082 PGN918082 PQJ918082 QAF918082 QKB918082 QTX918082 RDT918082 RNP918082 RXL918082 SHH918082 SRD918082 TAZ918082 TKV918082 TUR918082 UEN918082 UOJ918082 UYF918082 VIB918082 VRX918082 WBT918082 WLP918082 WVL918082 D983816 IZ983618 SV983618 ACR983618 AMN983618 AWJ983618 BGF983618 BQB983618 BZX983618 CJT983618 CTP983618 DDL983618 DNH983618 DXD983618 EGZ983618 EQV983618 FAR983618 FKN983618 FUJ983618 GEF983618 GOB983618 GXX983618 HHT983618 HRP983618 IBL983618 ILH983618 IVD983618 JEZ983618 JOV983618 JYR983618 KIN983618 KSJ983618 LCF983618 LMB983618 LVX983618 MFT983618 MPP983618 MZL983618 NJH983618 NTD983618 OCZ983618 OMV983618 OWR983618 PGN983618 PQJ983618 QAF983618 QKB983618 QTX983618 RDT983618 RNP983618 RXL983618 SHH983618 SRD983618 TAZ983618 TKV983618 TUR983618 UEN983618 UOJ983618 UYF983618 VIB983618 VRX983618 WBT983618 WLP983618 WVL983618 D472 IZ274 SV274 ACR274 AMN274 AWJ274 BGF274 BQB274 BZX274 CJT274 CTP274 DDL274 DNH274 DXD274 EGZ274 EQV274 FAR274 FKN274 FUJ274 GEF274 GOB274 GXX274 HHT274 HRP274 IBL274 ILH274 IVD274 JEZ274 JOV274 JYR274 KIN274 KSJ274 LCF274 LMB274 LVX274 MFT274 MPP274 MZL274 NJH274 NTD274 OCZ274 OMV274 OWR274 PGN274 PQJ274 QAF274 QKB274 QTX274 RDT274 RNP274 RXL274 SHH274 SRD274 TAZ274 TKV274 TUR274 UEN274 UOJ274 UYF274 VIB274 VRX274 WBT274 WLP274 WVL274 D66008 IZ65810 SV65810 ACR65810 AMN65810 AWJ65810 BGF65810 BQB65810 BZX65810 CJT65810 CTP65810 DDL65810 DNH65810 DXD65810 EGZ65810 EQV65810 FAR65810 FKN65810 FUJ65810 GEF65810 GOB65810 GXX65810 HHT65810 HRP65810 IBL65810 ILH65810 IVD65810 JEZ65810 JOV65810 JYR65810 KIN65810 KSJ65810 LCF65810 LMB65810 LVX65810 MFT65810 MPP65810 MZL65810 NJH65810 NTD65810 OCZ65810 OMV65810 OWR65810 PGN65810 PQJ65810 QAF65810 QKB65810 QTX65810 RDT65810 RNP65810 RXL65810 SHH65810 SRD65810 TAZ65810 TKV65810 TUR65810 UEN65810 UOJ65810 UYF65810 VIB65810 VRX65810 WBT65810 WLP65810 WVL65810 D131544 IZ131346 SV131346 ACR131346 AMN131346 AWJ131346 BGF131346 BQB131346 BZX131346 CJT131346 CTP131346 DDL131346 DNH131346 DXD131346 EGZ131346 EQV131346 FAR131346 FKN131346 FUJ131346 GEF131346 GOB131346 GXX131346 HHT131346 HRP131346 IBL131346 ILH131346 IVD131346 JEZ131346 JOV131346 JYR131346 KIN131346 KSJ131346 LCF131346 LMB131346 LVX131346 MFT131346 MPP131346 MZL131346 NJH131346 NTD131346 OCZ131346 OMV131346 OWR131346 PGN131346 PQJ131346 QAF131346 QKB131346 QTX131346 RDT131346 RNP131346 RXL131346 SHH131346 SRD131346 TAZ131346 TKV131346 TUR131346 UEN131346 UOJ131346 UYF131346 VIB131346 VRX131346 WBT131346 WLP131346 WVL131346 D197080 IZ196882 SV196882 ACR196882 AMN196882 AWJ196882 BGF196882 BQB196882 BZX196882 CJT196882 CTP196882 DDL196882 DNH196882 DXD196882 EGZ196882 EQV196882 FAR196882 FKN196882 FUJ196882 GEF196882 GOB196882 GXX196882 HHT196882 HRP196882 IBL196882 ILH196882 IVD196882 JEZ196882 JOV196882 JYR196882 KIN196882 KSJ196882 LCF196882 LMB196882 LVX196882 MFT196882 MPP196882 MZL196882 NJH196882 NTD196882 OCZ196882 OMV196882 OWR196882 PGN196882 PQJ196882 QAF196882 QKB196882 QTX196882 RDT196882 RNP196882 RXL196882 SHH196882 SRD196882 TAZ196882 TKV196882 TUR196882 UEN196882 UOJ196882 UYF196882 VIB196882 VRX196882 WBT196882 WLP196882 WVL196882 D262616 IZ262418 SV262418 ACR262418 AMN262418 AWJ262418 BGF262418 BQB262418 BZX262418 CJT262418 CTP262418 DDL262418 DNH262418 DXD262418 EGZ262418 EQV262418 FAR262418 FKN262418 FUJ262418 GEF262418 GOB262418 GXX262418 HHT262418 HRP262418 IBL262418 ILH262418 IVD262418 JEZ262418 JOV262418 JYR262418 KIN262418 KSJ262418 LCF262418 LMB262418 LVX262418 MFT262418 MPP262418 MZL262418 NJH262418 NTD262418 OCZ262418 OMV262418 OWR262418 PGN262418 PQJ262418 QAF262418 QKB262418 QTX262418 RDT262418 RNP262418 RXL262418 SHH262418 SRD262418 TAZ262418 TKV262418 TUR262418 UEN262418 UOJ262418 UYF262418 VIB262418 VRX262418 WBT262418 WLP262418 WVL262418 D328152 IZ327954 SV327954 ACR327954 AMN327954 AWJ327954 BGF327954 BQB327954 BZX327954 CJT327954 CTP327954 DDL327954 DNH327954 DXD327954 EGZ327954 EQV327954 FAR327954 FKN327954 FUJ327954 GEF327954 GOB327954 GXX327954 HHT327954 HRP327954 IBL327954 ILH327954 IVD327954 JEZ327954 JOV327954 JYR327954 KIN327954 KSJ327954 LCF327954 LMB327954 LVX327954 MFT327954 MPP327954 MZL327954 NJH327954 NTD327954 OCZ327954 OMV327954 OWR327954 PGN327954 PQJ327954 QAF327954 QKB327954 QTX327954 RDT327954 RNP327954 RXL327954 SHH327954 SRD327954 TAZ327954 TKV327954 TUR327954 UEN327954 UOJ327954 UYF327954 VIB327954 VRX327954 WBT327954 WLP327954 WVL327954 D393688 IZ393490 SV393490 ACR393490 AMN393490 AWJ393490 BGF393490 BQB393490 BZX393490 CJT393490 CTP393490 DDL393490 DNH393490 DXD393490 EGZ393490 EQV393490 FAR393490 FKN393490 FUJ393490 GEF393490 GOB393490 GXX393490 HHT393490 HRP393490 IBL393490 ILH393490 IVD393490 JEZ393490 JOV393490 JYR393490 KIN393490 KSJ393490 LCF393490 LMB393490 LVX393490 MFT393490 MPP393490 MZL393490 NJH393490 NTD393490 OCZ393490 OMV393490 OWR393490 PGN393490 PQJ393490 QAF393490 QKB393490 QTX393490 RDT393490 RNP393490 RXL393490 SHH393490 SRD393490 TAZ393490 TKV393490 TUR393490 UEN393490 UOJ393490 UYF393490 VIB393490 VRX393490 WBT393490 WLP393490 WVL393490 D459224 IZ459026 SV459026 ACR459026 AMN459026 AWJ459026 BGF459026 BQB459026 BZX459026 CJT459026 CTP459026 DDL459026 DNH459026 DXD459026 EGZ459026 EQV459026 FAR459026 FKN459026 FUJ459026 GEF459026 GOB459026 GXX459026 HHT459026 HRP459026 IBL459026 ILH459026 IVD459026 JEZ459026 JOV459026 JYR459026 KIN459026 KSJ459026 LCF459026 LMB459026 LVX459026 MFT459026 MPP459026 MZL459026 NJH459026 NTD459026 OCZ459026 OMV459026 OWR459026 PGN459026 PQJ459026 QAF459026 QKB459026 QTX459026 RDT459026 RNP459026 RXL459026 SHH459026 SRD459026 TAZ459026 TKV459026 TUR459026 UEN459026 UOJ459026 UYF459026 VIB459026 VRX459026 WBT459026 WLP459026 WVL459026 D524760 IZ524562 SV524562 ACR524562 AMN524562 AWJ524562 BGF524562 BQB524562 BZX524562 CJT524562 CTP524562 DDL524562 DNH524562 DXD524562 EGZ524562 EQV524562 FAR524562 FKN524562 FUJ524562 GEF524562 GOB524562 GXX524562 HHT524562 HRP524562 IBL524562 ILH524562 IVD524562 JEZ524562 JOV524562 JYR524562 KIN524562 KSJ524562 LCF524562 LMB524562 LVX524562 MFT524562 MPP524562 MZL524562 NJH524562 NTD524562 OCZ524562 OMV524562 OWR524562 PGN524562 PQJ524562 QAF524562 QKB524562 QTX524562 RDT524562 RNP524562 RXL524562 SHH524562 SRD524562 TAZ524562 TKV524562 TUR524562 UEN524562 UOJ524562 UYF524562 VIB524562 VRX524562 WBT524562 WLP524562 WVL524562 D590296 IZ590098 SV590098 ACR590098 AMN590098 AWJ590098 BGF590098 BQB590098 BZX590098 CJT590098 CTP590098 DDL590098 DNH590098 DXD590098 EGZ590098 EQV590098 FAR590098 FKN590098 FUJ590098 GEF590098 GOB590098 GXX590098 HHT590098 HRP590098 IBL590098 ILH590098 IVD590098 JEZ590098 JOV590098 JYR590098 KIN590098 KSJ590098 LCF590098 LMB590098 LVX590098 MFT590098 MPP590098 MZL590098 NJH590098 NTD590098 OCZ590098 OMV590098 OWR590098 PGN590098 PQJ590098 QAF590098 QKB590098 QTX590098 RDT590098 RNP590098 RXL590098 SHH590098 SRD590098 TAZ590098 TKV590098 TUR590098 UEN590098 UOJ590098 UYF590098 VIB590098 VRX590098 WBT590098 WLP590098 WVL590098 D655832 IZ655634 SV655634 ACR655634 AMN655634 AWJ655634 BGF655634 BQB655634 BZX655634 CJT655634 CTP655634 DDL655634 DNH655634 DXD655634 EGZ655634 EQV655634 FAR655634 FKN655634 FUJ655634 GEF655634 GOB655634 GXX655634 HHT655634 HRP655634 IBL655634 ILH655634 IVD655634 JEZ655634 JOV655634 JYR655634 KIN655634 KSJ655634 LCF655634 LMB655634 LVX655634 MFT655634 MPP655634 MZL655634 NJH655634 NTD655634 OCZ655634 OMV655634 OWR655634 PGN655634 PQJ655634 QAF655634 QKB655634 QTX655634 RDT655634 RNP655634 RXL655634 SHH655634 SRD655634 TAZ655634 TKV655634 TUR655634 UEN655634 UOJ655634 UYF655634 VIB655634 VRX655634 WBT655634 WLP655634 WVL655634 D721368 IZ721170 SV721170 ACR721170 AMN721170 AWJ721170 BGF721170 BQB721170 BZX721170 CJT721170 CTP721170 DDL721170 DNH721170 DXD721170 EGZ721170 EQV721170 FAR721170 FKN721170 FUJ721170 GEF721170 GOB721170 GXX721170 HHT721170 HRP721170 IBL721170 ILH721170 IVD721170 JEZ721170 JOV721170 JYR721170 KIN721170 KSJ721170 LCF721170 LMB721170 LVX721170 MFT721170 MPP721170 MZL721170 NJH721170 NTD721170 OCZ721170 OMV721170 OWR721170 PGN721170 PQJ721170 QAF721170 QKB721170 QTX721170 RDT721170 RNP721170 RXL721170 SHH721170 SRD721170 TAZ721170 TKV721170 TUR721170 UEN721170 UOJ721170 UYF721170 VIB721170 VRX721170 WBT721170 WLP721170 WVL721170 D786904 IZ786706 SV786706 ACR786706 AMN786706 AWJ786706 BGF786706 BQB786706 BZX786706 CJT786706 CTP786706 DDL786706 DNH786706 DXD786706 EGZ786706 EQV786706 FAR786706 FKN786706 FUJ786706 GEF786706 GOB786706 GXX786706 HHT786706 HRP786706 IBL786706 ILH786706 IVD786706 JEZ786706 JOV786706 JYR786706 KIN786706 KSJ786706 LCF786706 LMB786706 LVX786706 MFT786706 MPP786706 MZL786706 NJH786706 NTD786706 OCZ786706 OMV786706 OWR786706 PGN786706 PQJ786706 QAF786706 QKB786706 QTX786706 RDT786706 RNP786706 RXL786706 SHH786706 SRD786706 TAZ786706 TKV786706 TUR786706 UEN786706 UOJ786706 UYF786706 VIB786706 VRX786706 WBT786706 WLP786706 WVL786706 D852440 IZ852242 SV852242 ACR852242 AMN852242 AWJ852242 BGF852242 BQB852242 BZX852242 CJT852242 CTP852242 DDL852242 DNH852242 DXD852242 EGZ852242 EQV852242 FAR852242 FKN852242 FUJ852242 GEF852242 GOB852242 GXX852242 HHT852242 HRP852242 IBL852242 ILH852242 IVD852242 JEZ852242 JOV852242 JYR852242 KIN852242 KSJ852242 LCF852242 LMB852242 LVX852242 MFT852242 MPP852242 MZL852242 NJH852242 NTD852242 OCZ852242 OMV852242 OWR852242 PGN852242 PQJ852242 QAF852242 QKB852242 QTX852242 RDT852242 RNP852242 RXL852242 SHH852242 SRD852242 TAZ852242 TKV852242 TUR852242 UEN852242 UOJ852242 UYF852242 VIB852242 VRX852242 WBT852242 WLP852242 WVL852242 D917976 IZ917778 SV917778 ACR917778 AMN917778 AWJ917778 BGF917778 BQB917778 BZX917778 CJT917778 CTP917778 DDL917778 DNH917778 DXD917778 EGZ917778 EQV917778 FAR917778 FKN917778 FUJ917778 GEF917778 GOB917778 GXX917778 HHT917778 HRP917778 IBL917778 ILH917778 IVD917778 JEZ917778 JOV917778 JYR917778 KIN917778 KSJ917778 LCF917778 LMB917778 LVX917778 MFT917778 MPP917778 MZL917778 NJH917778 NTD917778 OCZ917778 OMV917778 OWR917778 PGN917778 PQJ917778 QAF917778 QKB917778 QTX917778 RDT917778 RNP917778 RXL917778 SHH917778 SRD917778 TAZ917778 TKV917778 TUR917778 UEN917778 UOJ917778 UYF917778 VIB917778 VRX917778 WBT917778 WLP917778 WVL917778 D983512 IZ983314 SV983314 ACR983314 AMN983314 AWJ983314 BGF983314 BQB983314 BZX983314 CJT983314 CTP983314 DDL983314 DNH983314 DXD983314 EGZ983314 EQV983314 FAR983314 FKN983314 FUJ983314 GEF983314 GOB983314 GXX983314 HHT983314 HRP983314 IBL983314 ILH983314 IVD983314 JEZ983314 JOV983314 JYR983314 KIN983314 KSJ983314 LCF983314 LMB983314 LVX983314 MFT983314 MPP983314 MZL983314 NJH983314 NTD983314 OCZ983314 OMV983314 OWR983314 PGN983314 PQJ983314 QAF983314 QKB983314 QTX983314 RDT983314 RNP983314 RXL983314 SHH983314 SRD983314 TAZ983314 TKV983314 TUR983314 UEN983314 UOJ983314 UYF983314 VIB983314 VRX983314 WBT983314 WLP983314 WVL983314 D205:D206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740:D65741 IZ65542:IZ65543 SV65542:SV65543 ACR65542:ACR65543 AMN65542:AMN65543 AWJ65542:AWJ65543 BGF65542:BGF65543 BQB65542:BQB65543 BZX65542:BZX65543 CJT65542:CJT65543 CTP65542:CTP65543 DDL65542:DDL65543 DNH65542:DNH65543 DXD65542:DXD65543 EGZ65542:EGZ65543 EQV65542:EQV65543 FAR65542:FAR65543 FKN65542:FKN65543 FUJ65542:FUJ65543 GEF65542:GEF65543 GOB65542:GOB65543 GXX65542:GXX65543 HHT65542:HHT65543 HRP65542:HRP65543 IBL65542:IBL65543 ILH65542:ILH65543 IVD65542:IVD65543 JEZ65542:JEZ65543 JOV65542:JOV65543 JYR65542:JYR65543 KIN65542:KIN65543 KSJ65542:KSJ65543 LCF65542:LCF65543 LMB65542:LMB65543 LVX65542:LVX65543 MFT65542:MFT65543 MPP65542:MPP65543 MZL65542:MZL65543 NJH65542:NJH65543 NTD65542:NTD65543 OCZ65542:OCZ65543 OMV65542:OMV65543 OWR65542:OWR65543 PGN65542:PGN65543 PQJ65542:PQJ65543 QAF65542:QAF65543 QKB65542:QKB65543 QTX65542:QTX65543 RDT65542:RDT65543 RNP65542:RNP65543 RXL65542:RXL65543 SHH65542:SHH65543 SRD65542:SRD65543 TAZ65542:TAZ65543 TKV65542:TKV65543 TUR65542:TUR65543 UEN65542:UEN65543 UOJ65542:UOJ65543 UYF65542:UYF65543 VIB65542:VIB65543 VRX65542:VRX65543 WBT65542:WBT65543 WLP65542:WLP65543 WVL65542:WVL65543 D131276:D131277 IZ131078:IZ131079 SV131078:SV131079 ACR131078:ACR131079 AMN131078:AMN131079 AWJ131078:AWJ131079 BGF131078:BGF131079 BQB131078:BQB131079 BZX131078:BZX131079 CJT131078:CJT131079 CTP131078:CTP131079 DDL131078:DDL131079 DNH131078:DNH131079 DXD131078:DXD131079 EGZ131078:EGZ131079 EQV131078:EQV131079 FAR131078:FAR131079 FKN131078:FKN131079 FUJ131078:FUJ131079 GEF131078:GEF131079 GOB131078:GOB131079 GXX131078:GXX131079 HHT131078:HHT131079 HRP131078:HRP131079 IBL131078:IBL131079 ILH131078:ILH131079 IVD131078:IVD131079 JEZ131078:JEZ131079 JOV131078:JOV131079 JYR131078:JYR131079 KIN131078:KIN131079 KSJ131078:KSJ131079 LCF131078:LCF131079 LMB131078:LMB131079 LVX131078:LVX131079 MFT131078:MFT131079 MPP131078:MPP131079 MZL131078:MZL131079 NJH131078:NJH131079 NTD131078:NTD131079 OCZ131078:OCZ131079 OMV131078:OMV131079 OWR131078:OWR131079 PGN131078:PGN131079 PQJ131078:PQJ131079 QAF131078:QAF131079 QKB131078:QKB131079 QTX131078:QTX131079 RDT131078:RDT131079 RNP131078:RNP131079 RXL131078:RXL131079 SHH131078:SHH131079 SRD131078:SRD131079 TAZ131078:TAZ131079 TKV131078:TKV131079 TUR131078:TUR131079 UEN131078:UEN131079 UOJ131078:UOJ131079 UYF131078:UYF131079 VIB131078:VIB131079 VRX131078:VRX131079 WBT131078:WBT131079 WLP131078:WLP131079 WVL131078:WVL131079 D196812:D196813 IZ196614:IZ196615 SV196614:SV196615 ACR196614:ACR196615 AMN196614:AMN196615 AWJ196614:AWJ196615 BGF196614:BGF196615 BQB196614:BQB196615 BZX196614:BZX196615 CJT196614:CJT196615 CTP196614:CTP196615 DDL196614:DDL196615 DNH196614:DNH196615 DXD196614:DXD196615 EGZ196614:EGZ196615 EQV196614:EQV196615 FAR196614:FAR196615 FKN196614:FKN196615 FUJ196614:FUJ196615 GEF196614:GEF196615 GOB196614:GOB196615 GXX196614:GXX196615 HHT196614:HHT196615 HRP196614:HRP196615 IBL196614:IBL196615 ILH196614:ILH196615 IVD196614:IVD196615 JEZ196614:JEZ196615 JOV196614:JOV196615 JYR196614:JYR196615 KIN196614:KIN196615 KSJ196614:KSJ196615 LCF196614:LCF196615 LMB196614:LMB196615 LVX196614:LVX196615 MFT196614:MFT196615 MPP196614:MPP196615 MZL196614:MZL196615 NJH196614:NJH196615 NTD196614:NTD196615 OCZ196614:OCZ196615 OMV196614:OMV196615 OWR196614:OWR196615 PGN196614:PGN196615 PQJ196614:PQJ196615 QAF196614:QAF196615 QKB196614:QKB196615 QTX196614:QTX196615 RDT196614:RDT196615 RNP196614:RNP196615 RXL196614:RXL196615 SHH196614:SHH196615 SRD196614:SRD196615 TAZ196614:TAZ196615 TKV196614:TKV196615 TUR196614:TUR196615 UEN196614:UEN196615 UOJ196614:UOJ196615 UYF196614:UYF196615 VIB196614:VIB196615 VRX196614:VRX196615 WBT196614:WBT196615 WLP196614:WLP196615 WVL196614:WVL196615 D262348:D262349 IZ262150:IZ262151 SV262150:SV262151 ACR262150:ACR262151 AMN262150:AMN262151 AWJ262150:AWJ262151 BGF262150:BGF262151 BQB262150:BQB262151 BZX262150:BZX262151 CJT262150:CJT262151 CTP262150:CTP262151 DDL262150:DDL262151 DNH262150:DNH262151 DXD262150:DXD262151 EGZ262150:EGZ262151 EQV262150:EQV262151 FAR262150:FAR262151 FKN262150:FKN262151 FUJ262150:FUJ262151 GEF262150:GEF262151 GOB262150:GOB262151 GXX262150:GXX262151 HHT262150:HHT262151 HRP262150:HRP262151 IBL262150:IBL262151 ILH262150:ILH262151 IVD262150:IVD262151 JEZ262150:JEZ262151 JOV262150:JOV262151 JYR262150:JYR262151 KIN262150:KIN262151 KSJ262150:KSJ262151 LCF262150:LCF262151 LMB262150:LMB262151 LVX262150:LVX262151 MFT262150:MFT262151 MPP262150:MPP262151 MZL262150:MZL262151 NJH262150:NJH262151 NTD262150:NTD262151 OCZ262150:OCZ262151 OMV262150:OMV262151 OWR262150:OWR262151 PGN262150:PGN262151 PQJ262150:PQJ262151 QAF262150:QAF262151 QKB262150:QKB262151 QTX262150:QTX262151 RDT262150:RDT262151 RNP262150:RNP262151 RXL262150:RXL262151 SHH262150:SHH262151 SRD262150:SRD262151 TAZ262150:TAZ262151 TKV262150:TKV262151 TUR262150:TUR262151 UEN262150:UEN262151 UOJ262150:UOJ262151 UYF262150:UYF262151 VIB262150:VIB262151 VRX262150:VRX262151 WBT262150:WBT262151 WLP262150:WLP262151 WVL262150:WVL262151 D327884:D327885 IZ327686:IZ327687 SV327686:SV327687 ACR327686:ACR327687 AMN327686:AMN327687 AWJ327686:AWJ327687 BGF327686:BGF327687 BQB327686:BQB327687 BZX327686:BZX327687 CJT327686:CJT327687 CTP327686:CTP327687 DDL327686:DDL327687 DNH327686:DNH327687 DXD327686:DXD327687 EGZ327686:EGZ327687 EQV327686:EQV327687 FAR327686:FAR327687 FKN327686:FKN327687 FUJ327686:FUJ327687 GEF327686:GEF327687 GOB327686:GOB327687 GXX327686:GXX327687 HHT327686:HHT327687 HRP327686:HRP327687 IBL327686:IBL327687 ILH327686:ILH327687 IVD327686:IVD327687 JEZ327686:JEZ327687 JOV327686:JOV327687 JYR327686:JYR327687 KIN327686:KIN327687 KSJ327686:KSJ327687 LCF327686:LCF327687 LMB327686:LMB327687 LVX327686:LVX327687 MFT327686:MFT327687 MPP327686:MPP327687 MZL327686:MZL327687 NJH327686:NJH327687 NTD327686:NTD327687 OCZ327686:OCZ327687 OMV327686:OMV327687 OWR327686:OWR327687 PGN327686:PGN327687 PQJ327686:PQJ327687 QAF327686:QAF327687 QKB327686:QKB327687 QTX327686:QTX327687 RDT327686:RDT327687 RNP327686:RNP327687 RXL327686:RXL327687 SHH327686:SHH327687 SRD327686:SRD327687 TAZ327686:TAZ327687 TKV327686:TKV327687 TUR327686:TUR327687 UEN327686:UEN327687 UOJ327686:UOJ327687 UYF327686:UYF327687 VIB327686:VIB327687 VRX327686:VRX327687 WBT327686:WBT327687 WLP327686:WLP327687 WVL327686:WVL327687 D393420:D393421 IZ393222:IZ393223 SV393222:SV393223 ACR393222:ACR393223 AMN393222:AMN393223 AWJ393222:AWJ393223 BGF393222:BGF393223 BQB393222:BQB393223 BZX393222:BZX393223 CJT393222:CJT393223 CTP393222:CTP393223 DDL393222:DDL393223 DNH393222:DNH393223 DXD393222:DXD393223 EGZ393222:EGZ393223 EQV393222:EQV393223 FAR393222:FAR393223 FKN393222:FKN393223 FUJ393222:FUJ393223 GEF393222:GEF393223 GOB393222:GOB393223 GXX393222:GXX393223 HHT393222:HHT393223 HRP393222:HRP393223 IBL393222:IBL393223 ILH393222:ILH393223 IVD393222:IVD393223 JEZ393222:JEZ393223 JOV393222:JOV393223 JYR393222:JYR393223 KIN393222:KIN393223 KSJ393222:KSJ393223 LCF393222:LCF393223 LMB393222:LMB393223 LVX393222:LVX393223 MFT393222:MFT393223 MPP393222:MPP393223 MZL393222:MZL393223 NJH393222:NJH393223 NTD393222:NTD393223 OCZ393222:OCZ393223 OMV393222:OMV393223 OWR393222:OWR393223 PGN393222:PGN393223 PQJ393222:PQJ393223 QAF393222:QAF393223 QKB393222:QKB393223 QTX393222:QTX393223 RDT393222:RDT393223 RNP393222:RNP393223 RXL393222:RXL393223 SHH393222:SHH393223 SRD393222:SRD393223 TAZ393222:TAZ393223 TKV393222:TKV393223 TUR393222:TUR393223 UEN393222:UEN393223 UOJ393222:UOJ393223 UYF393222:UYF393223 VIB393222:VIB393223 VRX393222:VRX393223 WBT393222:WBT393223 WLP393222:WLP393223 WVL393222:WVL393223 D458956:D458957 IZ458758:IZ458759 SV458758:SV458759 ACR458758:ACR458759 AMN458758:AMN458759 AWJ458758:AWJ458759 BGF458758:BGF458759 BQB458758:BQB458759 BZX458758:BZX458759 CJT458758:CJT458759 CTP458758:CTP458759 DDL458758:DDL458759 DNH458758:DNH458759 DXD458758:DXD458759 EGZ458758:EGZ458759 EQV458758:EQV458759 FAR458758:FAR458759 FKN458758:FKN458759 FUJ458758:FUJ458759 GEF458758:GEF458759 GOB458758:GOB458759 GXX458758:GXX458759 HHT458758:HHT458759 HRP458758:HRP458759 IBL458758:IBL458759 ILH458758:ILH458759 IVD458758:IVD458759 JEZ458758:JEZ458759 JOV458758:JOV458759 JYR458758:JYR458759 KIN458758:KIN458759 KSJ458758:KSJ458759 LCF458758:LCF458759 LMB458758:LMB458759 LVX458758:LVX458759 MFT458758:MFT458759 MPP458758:MPP458759 MZL458758:MZL458759 NJH458758:NJH458759 NTD458758:NTD458759 OCZ458758:OCZ458759 OMV458758:OMV458759 OWR458758:OWR458759 PGN458758:PGN458759 PQJ458758:PQJ458759 QAF458758:QAF458759 QKB458758:QKB458759 QTX458758:QTX458759 RDT458758:RDT458759 RNP458758:RNP458759 RXL458758:RXL458759 SHH458758:SHH458759 SRD458758:SRD458759 TAZ458758:TAZ458759 TKV458758:TKV458759 TUR458758:TUR458759 UEN458758:UEN458759 UOJ458758:UOJ458759 UYF458758:UYF458759 VIB458758:VIB458759 VRX458758:VRX458759 WBT458758:WBT458759 WLP458758:WLP458759 WVL458758:WVL458759 D524492:D524493 IZ524294:IZ524295 SV524294:SV524295 ACR524294:ACR524295 AMN524294:AMN524295 AWJ524294:AWJ524295 BGF524294:BGF524295 BQB524294:BQB524295 BZX524294:BZX524295 CJT524294:CJT524295 CTP524294:CTP524295 DDL524294:DDL524295 DNH524294:DNH524295 DXD524294:DXD524295 EGZ524294:EGZ524295 EQV524294:EQV524295 FAR524294:FAR524295 FKN524294:FKN524295 FUJ524294:FUJ524295 GEF524294:GEF524295 GOB524294:GOB524295 GXX524294:GXX524295 HHT524294:HHT524295 HRP524294:HRP524295 IBL524294:IBL524295 ILH524294:ILH524295 IVD524294:IVD524295 JEZ524294:JEZ524295 JOV524294:JOV524295 JYR524294:JYR524295 KIN524294:KIN524295 KSJ524294:KSJ524295 LCF524294:LCF524295 LMB524294:LMB524295 LVX524294:LVX524295 MFT524294:MFT524295 MPP524294:MPP524295 MZL524294:MZL524295 NJH524294:NJH524295 NTD524294:NTD524295 OCZ524294:OCZ524295 OMV524294:OMV524295 OWR524294:OWR524295 PGN524294:PGN524295 PQJ524294:PQJ524295 QAF524294:QAF524295 QKB524294:QKB524295 QTX524294:QTX524295 RDT524294:RDT524295 RNP524294:RNP524295 RXL524294:RXL524295 SHH524294:SHH524295 SRD524294:SRD524295 TAZ524294:TAZ524295 TKV524294:TKV524295 TUR524294:TUR524295 UEN524294:UEN524295 UOJ524294:UOJ524295 UYF524294:UYF524295 VIB524294:VIB524295 VRX524294:VRX524295 WBT524294:WBT524295 WLP524294:WLP524295 WVL524294:WVL524295 D590028:D590029 IZ589830:IZ589831 SV589830:SV589831 ACR589830:ACR589831 AMN589830:AMN589831 AWJ589830:AWJ589831 BGF589830:BGF589831 BQB589830:BQB589831 BZX589830:BZX589831 CJT589830:CJT589831 CTP589830:CTP589831 DDL589830:DDL589831 DNH589830:DNH589831 DXD589830:DXD589831 EGZ589830:EGZ589831 EQV589830:EQV589831 FAR589830:FAR589831 FKN589830:FKN589831 FUJ589830:FUJ589831 GEF589830:GEF589831 GOB589830:GOB589831 GXX589830:GXX589831 HHT589830:HHT589831 HRP589830:HRP589831 IBL589830:IBL589831 ILH589830:ILH589831 IVD589830:IVD589831 JEZ589830:JEZ589831 JOV589830:JOV589831 JYR589830:JYR589831 KIN589830:KIN589831 KSJ589830:KSJ589831 LCF589830:LCF589831 LMB589830:LMB589831 LVX589830:LVX589831 MFT589830:MFT589831 MPP589830:MPP589831 MZL589830:MZL589831 NJH589830:NJH589831 NTD589830:NTD589831 OCZ589830:OCZ589831 OMV589830:OMV589831 OWR589830:OWR589831 PGN589830:PGN589831 PQJ589830:PQJ589831 QAF589830:QAF589831 QKB589830:QKB589831 QTX589830:QTX589831 RDT589830:RDT589831 RNP589830:RNP589831 RXL589830:RXL589831 SHH589830:SHH589831 SRD589830:SRD589831 TAZ589830:TAZ589831 TKV589830:TKV589831 TUR589830:TUR589831 UEN589830:UEN589831 UOJ589830:UOJ589831 UYF589830:UYF589831 VIB589830:VIB589831 VRX589830:VRX589831 WBT589830:WBT589831 WLP589830:WLP589831 WVL589830:WVL589831 D655564:D655565 IZ655366:IZ655367 SV655366:SV655367 ACR655366:ACR655367 AMN655366:AMN655367 AWJ655366:AWJ655367 BGF655366:BGF655367 BQB655366:BQB655367 BZX655366:BZX655367 CJT655366:CJT655367 CTP655366:CTP655367 DDL655366:DDL655367 DNH655366:DNH655367 DXD655366:DXD655367 EGZ655366:EGZ655367 EQV655366:EQV655367 FAR655366:FAR655367 FKN655366:FKN655367 FUJ655366:FUJ655367 GEF655366:GEF655367 GOB655366:GOB655367 GXX655366:GXX655367 HHT655366:HHT655367 HRP655366:HRP655367 IBL655366:IBL655367 ILH655366:ILH655367 IVD655366:IVD655367 JEZ655366:JEZ655367 JOV655366:JOV655367 JYR655366:JYR655367 KIN655366:KIN655367 KSJ655366:KSJ655367 LCF655366:LCF655367 LMB655366:LMB655367 LVX655366:LVX655367 MFT655366:MFT655367 MPP655366:MPP655367 MZL655366:MZL655367 NJH655366:NJH655367 NTD655366:NTD655367 OCZ655366:OCZ655367 OMV655366:OMV655367 OWR655366:OWR655367 PGN655366:PGN655367 PQJ655366:PQJ655367 QAF655366:QAF655367 QKB655366:QKB655367 QTX655366:QTX655367 RDT655366:RDT655367 RNP655366:RNP655367 RXL655366:RXL655367 SHH655366:SHH655367 SRD655366:SRD655367 TAZ655366:TAZ655367 TKV655366:TKV655367 TUR655366:TUR655367 UEN655366:UEN655367 UOJ655366:UOJ655367 UYF655366:UYF655367 VIB655366:VIB655367 VRX655366:VRX655367 WBT655366:WBT655367 WLP655366:WLP655367 WVL655366:WVL655367 D721100:D721101 IZ720902:IZ720903 SV720902:SV720903 ACR720902:ACR720903 AMN720902:AMN720903 AWJ720902:AWJ720903 BGF720902:BGF720903 BQB720902:BQB720903 BZX720902:BZX720903 CJT720902:CJT720903 CTP720902:CTP720903 DDL720902:DDL720903 DNH720902:DNH720903 DXD720902:DXD720903 EGZ720902:EGZ720903 EQV720902:EQV720903 FAR720902:FAR720903 FKN720902:FKN720903 FUJ720902:FUJ720903 GEF720902:GEF720903 GOB720902:GOB720903 GXX720902:GXX720903 HHT720902:HHT720903 HRP720902:HRP720903 IBL720902:IBL720903 ILH720902:ILH720903 IVD720902:IVD720903 JEZ720902:JEZ720903 JOV720902:JOV720903 JYR720902:JYR720903 KIN720902:KIN720903 KSJ720902:KSJ720903 LCF720902:LCF720903 LMB720902:LMB720903 LVX720902:LVX720903 MFT720902:MFT720903 MPP720902:MPP720903 MZL720902:MZL720903 NJH720902:NJH720903 NTD720902:NTD720903 OCZ720902:OCZ720903 OMV720902:OMV720903 OWR720902:OWR720903 PGN720902:PGN720903 PQJ720902:PQJ720903 QAF720902:QAF720903 QKB720902:QKB720903 QTX720902:QTX720903 RDT720902:RDT720903 RNP720902:RNP720903 RXL720902:RXL720903 SHH720902:SHH720903 SRD720902:SRD720903 TAZ720902:TAZ720903 TKV720902:TKV720903 TUR720902:TUR720903 UEN720902:UEN720903 UOJ720902:UOJ720903 UYF720902:UYF720903 VIB720902:VIB720903 VRX720902:VRX720903 WBT720902:WBT720903 WLP720902:WLP720903 WVL720902:WVL720903 D786636:D786637 IZ786438:IZ786439 SV786438:SV786439 ACR786438:ACR786439 AMN786438:AMN786439 AWJ786438:AWJ786439 BGF786438:BGF786439 BQB786438:BQB786439 BZX786438:BZX786439 CJT786438:CJT786439 CTP786438:CTP786439 DDL786438:DDL786439 DNH786438:DNH786439 DXD786438:DXD786439 EGZ786438:EGZ786439 EQV786438:EQV786439 FAR786438:FAR786439 FKN786438:FKN786439 FUJ786438:FUJ786439 GEF786438:GEF786439 GOB786438:GOB786439 GXX786438:GXX786439 HHT786438:HHT786439 HRP786438:HRP786439 IBL786438:IBL786439 ILH786438:ILH786439 IVD786438:IVD786439 JEZ786438:JEZ786439 JOV786438:JOV786439 JYR786438:JYR786439 KIN786438:KIN786439 KSJ786438:KSJ786439 LCF786438:LCF786439 LMB786438:LMB786439 LVX786438:LVX786439 MFT786438:MFT786439 MPP786438:MPP786439 MZL786438:MZL786439 NJH786438:NJH786439 NTD786438:NTD786439 OCZ786438:OCZ786439 OMV786438:OMV786439 OWR786438:OWR786439 PGN786438:PGN786439 PQJ786438:PQJ786439 QAF786438:QAF786439 QKB786438:QKB786439 QTX786438:QTX786439 RDT786438:RDT786439 RNP786438:RNP786439 RXL786438:RXL786439 SHH786438:SHH786439 SRD786438:SRD786439 TAZ786438:TAZ786439 TKV786438:TKV786439 TUR786438:TUR786439 UEN786438:UEN786439 UOJ786438:UOJ786439 UYF786438:UYF786439 VIB786438:VIB786439 VRX786438:VRX786439 WBT786438:WBT786439 WLP786438:WLP786439 WVL786438:WVL786439 D852172:D852173 IZ851974:IZ851975 SV851974:SV851975 ACR851974:ACR851975 AMN851974:AMN851975 AWJ851974:AWJ851975 BGF851974:BGF851975 BQB851974:BQB851975 BZX851974:BZX851975 CJT851974:CJT851975 CTP851974:CTP851975 DDL851974:DDL851975 DNH851974:DNH851975 DXD851974:DXD851975 EGZ851974:EGZ851975 EQV851974:EQV851975 FAR851974:FAR851975 FKN851974:FKN851975 FUJ851974:FUJ851975 GEF851974:GEF851975 GOB851974:GOB851975 GXX851974:GXX851975 HHT851974:HHT851975 HRP851974:HRP851975 IBL851974:IBL851975 ILH851974:ILH851975 IVD851974:IVD851975 JEZ851974:JEZ851975 JOV851974:JOV851975 JYR851974:JYR851975 KIN851974:KIN851975 KSJ851974:KSJ851975 LCF851974:LCF851975 LMB851974:LMB851975 LVX851974:LVX851975 MFT851974:MFT851975 MPP851974:MPP851975 MZL851974:MZL851975 NJH851974:NJH851975 NTD851974:NTD851975 OCZ851974:OCZ851975 OMV851974:OMV851975 OWR851974:OWR851975 PGN851974:PGN851975 PQJ851974:PQJ851975 QAF851974:QAF851975 QKB851974:QKB851975 QTX851974:QTX851975 RDT851974:RDT851975 RNP851974:RNP851975 RXL851974:RXL851975 SHH851974:SHH851975 SRD851974:SRD851975 TAZ851974:TAZ851975 TKV851974:TKV851975 TUR851974:TUR851975 UEN851974:UEN851975 UOJ851974:UOJ851975 UYF851974:UYF851975 VIB851974:VIB851975 VRX851974:VRX851975 WBT851974:WBT851975 WLP851974:WLP851975 WVL851974:WVL851975 D917708:D917709 IZ917510:IZ917511 SV917510:SV917511 ACR917510:ACR917511 AMN917510:AMN917511 AWJ917510:AWJ917511 BGF917510:BGF917511 BQB917510:BQB917511 BZX917510:BZX917511 CJT917510:CJT917511 CTP917510:CTP917511 DDL917510:DDL917511 DNH917510:DNH917511 DXD917510:DXD917511 EGZ917510:EGZ917511 EQV917510:EQV917511 FAR917510:FAR917511 FKN917510:FKN917511 FUJ917510:FUJ917511 GEF917510:GEF917511 GOB917510:GOB917511 GXX917510:GXX917511 HHT917510:HHT917511 HRP917510:HRP917511 IBL917510:IBL917511 ILH917510:ILH917511 IVD917510:IVD917511 JEZ917510:JEZ917511 JOV917510:JOV917511 JYR917510:JYR917511 KIN917510:KIN917511 KSJ917510:KSJ917511 LCF917510:LCF917511 LMB917510:LMB917511 LVX917510:LVX917511 MFT917510:MFT917511 MPP917510:MPP917511 MZL917510:MZL917511 NJH917510:NJH917511 NTD917510:NTD917511 OCZ917510:OCZ917511 OMV917510:OMV917511 OWR917510:OWR917511 PGN917510:PGN917511 PQJ917510:PQJ917511 QAF917510:QAF917511 QKB917510:QKB917511 QTX917510:QTX917511 RDT917510:RDT917511 RNP917510:RNP917511 RXL917510:RXL917511 SHH917510:SHH917511 SRD917510:SRD917511 TAZ917510:TAZ917511 TKV917510:TKV917511 TUR917510:TUR917511 UEN917510:UEN917511 UOJ917510:UOJ917511 UYF917510:UYF917511 VIB917510:VIB917511 VRX917510:VRX917511 WBT917510:WBT917511 WLP917510:WLP917511 WVL917510:WVL917511 D983244:D983245 IZ983046:IZ983047 SV983046:SV983047 ACR983046:ACR983047 AMN983046:AMN983047 AWJ983046:AWJ983047 BGF983046:BGF983047 BQB983046:BQB983047 BZX983046:BZX983047 CJT983046:CJT983047 CTP983046:CTP983047 DDL983046:DDL983047 DNH983046:DNH983047 DXD983046:DXD983047 EGZ983046:EGZ983047 EQV983046:EQV983047 FAR983046:FAR983047 FKN983046:FKN983047 FUJ983046:FUJ983047 GEF983046:GEF983047 GOB983046:GOB983047 GXX983046:GXX983047 HHT983046:HHT983047 HRP983046:HRP983047 IBL983046:IBL983047 ILH983046:ILH983047 IVD983046:IVD983047 JEZ983046:JEZ983047 JOV983046:JOV983047 JYR983046:JYR983047 KIN983046:KIN983047 KSJ983046:KSJ983047 LCF983046:LCF983047 LMB983046:LMB983047 LVX983046:LVX983047 MFT983046:MFT983047 MPP983046:MPP983047 MZL983046:MZL983047 NJH983046:NJH983047 NTD983046:NTD983047 OCZ983046:OCZ983047 OMV983046:OMV983047 OWR983046:OWR983047 PGN983046:PGN983047 PQJ983046:PQJ983047 QAF983046:QAF983047 QKB983046:QKB983047 QTX983046:QTX983047 RDT983046:RDT983047 RNP983046:RNP983047 RXL983046:RXL983047 SHH983046:SHH983047 SRD983046:SRD983047 TAZ983046:TAZ983047 TKV983046:TKV983047 TUR983046:TUR983047 UEN983046:UEN983047 UOJ983046:UOJ983047 UYF983046:UYF983047 VIB983046:VIB983047 VRX983046:VRX983047 WBT983046:WBT983047 WLP983046:WLP983047 WVL983046:WVL983047 D341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874 IZ65676 SV65676 ACR65676 AMN65676 AWJ65676 BGF65676 BQB65676 BZX65676 CJT65676 CTP65676 DDL65676 DNH65676 DXD65676 EGZ65676 EQV65676 FAR65676 FKN65676 FUJ65676 GEF65676 GOB65676 GXX65676 HHT65676 HRP65676 IBL65676 ILH65676 IVD65676 JEZ65676 JOV65676 JYR65676 KIN65676 KSJ65676 LCF65676 LMB65676 LVX65676 MFT65676 MPP65676 MZL65676 NJH65676 NTD65676 OCZ65676 OMV65676 OWR65676 PGN65676 PQJ65676 QAF65676 QKB65676 QTX65676 RDT65676 RNP65676 RXL65676 SHH65676 SRD65676 TAZ65676 TKV65676 TUR65676 UEN65676 UOJ65676 UYF65676 VIB65676 VRX65676 WBT65676 WLP65676 WVL65676 D131410 IZ131212 SV131212 ACR131212 AMN131212 AWJ131212 BGF131212 BQB131212 BZX131212 CJT131212 CTP131212 DDL131212 DNH131212 DXD131212 EGZ131212 EQV131212 FAR131212 FKN131212 FUJ131212 GEF131212 GOB131212 GXX131212 HHT131212 HRP131212 IBL131212 ILH131212 IVD131212 JEZ131212 JOV131212 JYR131212 KIN131212 KSJ131212 LCF131212 LMB131212 LVX131212 MFT131212 MPP131212 MZL131212 NJH131212 NTD131212 OCZ131212 OMV131212 OWR131212 PGN131212 PQJ131212 QAF131212 QKB131212 QTX131212 RDT131212 RNP131212 RXL131212 SHH131212 SRD131212 TAZ131212 TKV131212 TUR131212 UEN131212 UOJ131212 UYF131212 VIB131212 VRX131212 WBT131212 WLP131212 WVL131212 D196946 IZ196748 SV196748 ACR196748 AMN196748 AWJ196748 BGF196748 BQB196748 BZX196748 CJT196748 CTP196748 DDL196748 DNH196748 DXD196748 EGZ196748 EQV196748 FAR196748 FKN196748 FUJ196748 GEF196748 GOB196748 GXX196748 HHT196748 HRP196748 IBL196748 ILH196748 IVD196748 JEZ196748 JOV196748 JYR196748 KIN196748 KSJ196748 LCF196748 LMB196748 LVX196748 MFT196748 MPP196748 MZL196748 NJH196748 NTD196748 OCZ196748 OMV196748 OWR196748 PGN196748 PQJ196748 QAF196748 QKB196748 QTX196748 RDT196748 RNP196748 RXL196748 SHH196748 SRD196748 TAZ196748 TKV196748 TUR196748 UEN196748 UOJ196748 UYF196748 VIB196748 VRX196748 WBT196748 WLP196748 WVL196748 D262482 IZ262284 SV262284 ACR262284 AMN262284 AWJ262284 BGF262284 BQB262284 BZX262284 CJT262284 CTP262284 DDL262284 DNH262284 DXD262284 EGZ262284 EQV262284 FAR262284 FKN262284 FUJ262284 GEF262284 GOB262284 GXX262284 HHT262284 HRP262284 IBL262284 ILH262284 IVD262284 JEZ262284 JOV262284 JYR262284 KIN262284 KSJ262284 LCF262284 LMB262284 LVX262284 MFT262284 MPP262284 MZL262284 NJH262284 NTD262284 OCZ262284 OMV262284 OWR262284 PGN262284 PQJ262284 QAF262284 QKB262284 QTX262284 RDT262284 RNP262284 RXL262284 SHH262284 SRD262284 TAZ262284 TKV262284 TUR262284 UEN262284 UOJ262284 UYF262284 VIB262284 VRX262284 WBT262284 WLP262284 WVL262284 D328018 IZ327820 SV327820 ACR327820 AMN327820 AWJ327820 BGF327820 BQB327820 BZX327820 CJT327820 CTP327820 DDL327820 DNH327820 DXD327820 EGZ327820 EQV327820 FAR327820 FKN327820 FUJ327820 GEF327820 GOB327820 GXX327820 HHT327820 HRP327820 IBL327820 ILH327820 IVD327820 JEZ327820 JOV327820 JYR327820 KIN327820 KSJ327820 LCF327820 LMB327820 LVX327820 MFT327820 MPP327820 MZL327820 NJH327820 NTD327820 OCZ327820 OMV327820 OWR327820 PGN327820 PQJ327820 QAF327820 QKB327820 QTX327820 RDT327820 RNP327820 RXL327820 SHH327820 SRD327820 TAZ327820 TKV327820 TUR327820 UEN327820 UOJ327820 UYF327820 VIB327820 VRX327820 WBT327820 WLP327820 WVL327820 D393554 IZ393356 SV393356 ACR393356 AMN393356 AWJ393356 BGF393356 BQB393356 BZX393356 CJT393356 CTP393356 DDL393356 DNH393356 DXD393356 EGZ393356 EQV393356 FAR393356 FKN393356 FUJ393356 GEF393356 GOB393356 GXX393356 HHT393356 HRP393356 IBL393356 ILH393356 IVD393356 JEZ393356 JOV393356 JYR393356 KIN393356 KSJ393356 LCF393356 LMB393356 LVX393356 MFT393356 MPP393356 MZL393356 NJH393356 NTD393356 OCZ393356 OMV393356 OWR393356 PGN393356 PQJ393356 QAF393356 QKB393356 QTX393356 RDT393356 RNP393356 RXL393356 SHH393356 SRD393356 TAZ393356 TKV393356 TUR393356 UEN393356 UOJ393356 UYF393356 VIB393356 VRX393356 WBT393356 WLP393356 WVL393356 D459090 IZ458892 SV458892 ACR458892 AMN458892 AWJ458892 BGF458892 BQB458892 BZX458892 CJT458892 CTP458892 DDL458892 DNH458892 DXD458892 EGZ458892 EQV458892 FAR458892 FKN458892 FUJ458892 GEF458892 GOB458892 GXX458892 HHT458892 HRP458892 IBL458892 ILH458892 IVD458892 JEZ458892 JOV458892 JYR458892 KIN458892 KSJ458892 LCF458892 LMB458892 LVX458892 MFT458892 MPP458892 MZL458892 NJH458892 NTD458892 OCZ458892 OMV458892 OWR458892 PGN458892 PQJ458892 QAF458892 QKB458892 QTX458892 RDT458892 RNP458892 RXL458892 SHH458892 SRD458892 TAZ458892 TKV458892 TUR458892 UEN458892 UOJ458892 UYF458892 VIB458892 VRX458892 WBT458892 WLP458892 WVL458892 D524626 IZ524428 SV524428 ACR524428 AMN524428 AWJ524428 BGF524428 BQB524428 BZX524428 CJT524428 CTP524428 DDL524428 DNH524428 DXD524428 EGZ524428 EQV524428 FAR524428 FKN524428 FUJ524428 GEF524428 GOB524428 GXX524428 HHT524428 HRP524428 IBL524428 ILH524428 IVD524428 JEZ524428 JOV524428 JYR524428 KIN524428 KSJ524428 LCF524428 LMB524428 LVX524428 MFT524428 MPP524428 MZL524428 NJH524428 NTD524428 OCZ524428 OMV524428 OWR524428 PGN524428 PQJ524428 QAF524428 QKB524428 QTX524428 RDT524428 RNP524428 RXL524428 SHH524428 SRD524428 TAZ524428 TKV524428 TUR524428 UEN524428 UOJ524428 UYF524428 VIB524428 VRX524428 WBT524428 WLP524428 WVL524428 D590162 IZ589964 SV589964 ACR589964 AMN589964 AWJ589964 BGF589964 BQB589964 BZX589964 CJT589964 CTP589964 DDL589964 DNH589964 DXD589964 EGZ589964 EQV589964 FAR589964 FKN589964 FUJ589964 GEF589964 GOB589964 GXX589964 HHT589964 HRP589964 IBL589964 ILH589964 IVD589964 JEZ589964 JOV589964 JYR589964 KIN589964 KSJ589964 LCF589964 LMB589964 LVX589964 MFT589964 MPP589964 MZL589964 NJH589964 NTD589964 OCZ589964 OMV589964 OWR589964 PGN589964 PQJ589964 QAF589964 QKB589964 QTX589964 RDT589964 RNP589964 RXL589964 SHH589964 SRD589964 TAZ589964 TKV589964 TUR589964 UEN589964 UOJ589964 UYF589964 VIB589964 VRX589964 WBT589964 WLP589964 WVL589964 D655698 IZ655500 SV655500 ACR655500 AMN655500 AWJ655500 BGF655500 BQB655500 BZX655500 CJT655500 CTP655500 DDL655500 DNH655500 DXD655500 EGZ655500 EQV655500 FAR655500 FKN655500 FUJ655500 GEF655500 GOB655500 GXX655500 HHT655500 HRP655500 IBL655500 ILH655500 IVD655500 JEZ655500 JOV655500 JYR655500 KIN655500 KSJ655500 LCF655500 LMB655500 LVX655500 MFT655500 MPP655500 MZL655500 NJH655500 NTD655500 OCZ655500 OMV655500 OWR655500 PGN655500 PQJ655500 QAF655500 QKB655500 QTX655500 RDT655500 RNP655500 RXL655500 SHH655500 SRD655500 TAZ655500 TKV655500 TUR655500 UEN655500 UOJ655500 UYF655500 VIB655500 VRX655500 WBT655500 WLP655500 WVL655500 D721234 IZ721036 SV721036 ACR721036 AMN721036 AWJ721036 BGF721036 BQB721036 BZX721036 CJT721036 CTP721036 DDL721036 DNH721036 DXD721036 EGZ721036 EQV721036 FAR721036 FKN721036 FUJ721036 GEF721036 GOB721036 GXX721036 HHT721036 HRP721036 IBL721036 ILH721036 IVD721036 JEZ721036 JOV721036 JYR721036 KIN721036 KSJ721036 LCF721036 LMB721036 LVX721036 MFT721036 MPP721036 MZL721036 NJH721036 NTD721036 OCZ721036 OMV721036 OWR721036 PGN721036 PQJ721036 QAF721036 QKB721036 QTX721036 RDT721036 RNP721036 RXL721036 SHH721036 SRD721036 TAZ721036 TKV721036 TUR721036 UEN721036 UOJ721036 UYF721036 VIB721036 VRX721036 WBT721036 WLP721036 WVL721036 D786770 IZ786572 SV786572 ACR786572 AMN786572 AWJ786572 BGF786572 BQB786572 BZX786572 CJT786572 CTP786572 DDL786572 DNH786572 DXD786572 EGZ786572 EQV786572 FAR786572 FKN786572 FUJ786572 GEF786572 GOB786572 GXX786572 HHT786572 HRP786572 IBL786572 ILH786572 IVD786572 JEZ786572 JOV786572 JYR786572 KIN786572 KSJ786572 LCF786572 LMB786572 LVX786572 MFT786572 MPP786572 MZL786572 NJH786572 NTD786572 OCZ786572 OMV786572 OWR786572 PGN786572 PQJ786572 QAF786572 QKB786572 QTX786572 RDT786572 RNP786572 RXL786572 SHH786572 SRD786572 TAZ786572 TKV786572 TUR786572 UEN786572 UOJ786572 UYF786572 VIB786572 VRX786572 WBT786572 WLP786572 WVL786572 D852306 IZ852108 SV852108 ACR852108 AMN852108 AWJ852108 BGF852108 BQB852108 BZX852108 CJT852108 CTP852108 DDL852108 DNH852108 DXD852108 EGZ852108 EQV852108 FAR852108 FKN852108 FUJ852108 GEF852108 GOB852108 GXX852108 HHT852108 HRP852108 IBL852108 ILH852108 IVD852108 JEZ852108 JOV852108 JYR852108 KIN852108 KSJ852108 LCF852108 LMB852108 LVX852108 MFT852108 MPP852108 MZL852108 NJH852108 NTD852108 OCZ852108 OMV852108 OWR852108 PGN852108 PQJ852108 QAF852108 QKB852108 QTX852108 RDT852108 RNP852108 RXL852108 SHH852108 SRD852108 TAZ852108 TKV852108 TUR852108 UEN852108 UOJ852108 UYF852108 VIB852108 VRX852108 WBT852108 WLP852108 WVL852108 D917842 IZ917644 SV917644 ACR917644 AMN917644 AWJ917644 BGF917644 BQB917644 BZX917644 CJT917644 CTP917644 DDL917644 DNH917644 DXD917644 EGZ917644 EQV917644 FAR917644 FKN917644 FUJ917644 GEF917644 GOB917644 GXX917644 HHT917644 HRP917644 IBL917644 ILH917644 IVD917644 JEZ917644 JOV917644 JYR917644 KIN917644 KSJ917644 LCF917644 LMB917644 LVX917644 MFT917644 MPP917644 MZL917644 NJH917644 NTD917644 OCZ917644 OMV917644 OWR917644 PGN917644 PQJ917644 QAF917644 QKB917644 QTX917644 RDT917644 RNP917644 RXL917644 SHH917644 SRD917644 TAZ917644 TKV917644 TUR917644 UEN917644 UOJ917644 UYF917644 VIB917644 VRX917644 WBT917644 WLP917644 WVL917644 D983378 IZ983180 SV983180 ACR983180 AMN983180 AWJ983180 BGF983180 BQB983180 BZX983180 CJT983180 CTP983180 DDL983180 DNH983180 DXD983180 EGZ983180 EQV983180 FAR983180 FKN983180 FUJ983180 GEF983180 GOB983180 GXX983180 HHT983180 HRP983180 IBL983180 ILH983180 IVD983180 JEZ983180 JOV983180 JYR983180 KIN983180 KSJ983180 LCF983180 LMB983180 LVX983180 MFT983180 MPP983180 MZL983180 NJH983180 NTD983180 OCZ983180 OMV983180 OWR983180 PGN983180 PQJ983180 QAF983180 QKB983180 QTX983180 RDT983180 RNP983180 RXL983180 SHH983180 SRD983180 TAZ983180 TKV983180 TUR983180 UEN983180 UOJ983180 UYF983180 VIB983180 VRX983180 WBT983180 WLP983180 WVL983180 D649 IZ451 SV451 ACR451 AMN451 AWJ451 BGF451 BQB451 BZX451 CJT451 CTP451 DDL451 DNH451 DXD451 EGZ451 EQV451 FAR451 FKN451 FUJ451 GEF451 GOB451 GXX451 HHT451 HRP451 IBL451 ILH451 IVD451 JEZ451 JOV451 JYR451 KIN451 KSJ451 LCF451 LMB451 LVX451 MFT451 MPP451 MZL451 NJH451 NTD451 OCZ451 OMV451 OWR451 PGN451 PQJ451 QAF451 QKB451 QTX451 RDT451 RNP451 RXL451 SHH451 SRD451 TAZ451 TKV451 TUR451 UEN451 UOJ451 UYF451 VIB451 VRX451 WBT451 WLP451 WVL451 D66185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721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257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793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329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865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401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937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473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6009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545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7081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617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8153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689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xr:uid="{5CC234E2-64E7-4DEE-9B26-EAF7FA6A3F37}">
      <formula1>"Core1,Core2,Core3"</formula1>
    </dataValidation>
    <dataValidation type="list" allowBlank="1" showInputMessage="1" showErrorMessage="1" sqref="G70" xr:uid="{40DCE0E8-6536-4FAA-9136-1723A5D92AA6}">
      <formula1>"AL, CU,"</formula1>
    </dataValidation>
  </dataValidations>
  <printOptions horizontalCentered="1" verticalCentered="1"/>
  <pageMargins left="0.5" right="0.5" top="0.5" bottom="0.5" header="0" footer="0"/>
  <pageSetup paperSize="9" scale="90" orientation="portrait" r:id="rId1"/>
  <headerFooter alignWithMargins="0"/>
  <rowBreaks count="7" manualBreakCount="7">
    <brk id="203" max="21" man="1"/>
    <brk id="243" max="21" man="1"/>
    <brk id="294" max="21" man="1"/>
    <brk id="339" max="21" man="1"/>
    <brk id="379" max="21" man="1"/>
    <brk id="430" max="21" man="1"/>
    <brk id="602" max="21" man="1"/>
  </rowBreaks>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rgb="FF00B050"/>
  </sheetPr>
  <dimension ref="A1:AC662"/>
  <sheetViews>
    <sheetView showZeros="0" view="pageBreakPreview" topLeftCell="A170" zoomScale="115" zoomScaleNormal="100" zoomScaleSheetLayoutView="115" workbookViewId="0">
      <selection activeCell="O41" sqref="O41:P41"/>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920" t="s">
        <v>0</v>
      </c>
      <c r="B1" s="921"/>
      <c r="C1" s="921"/>
      <c r="D1" s="921"/>
      <c r="E1" s="921"/>
      <c r="F1" s="921"/>
      <c r="G1" s="922"/>
      <c r="H1" s="906" t="str">
        <f>[6]Title!H1</f>
        <v>CT / VT</v>
      </c>
      <c r="I1" s="929"/>
      <c r="J1" s="929"/>
      <c r="K1" s="929"/>
      <c r="L1" s="929"/>
      <c r="M1" s="929"/>
      <c r="N1" s="930"/>
      <c r="O1" s="885" t="str">
        <f>[6]Title!O1</f>
        <v>Contract No.</v>
      </c>
      <c r="P1" s="886"/>
      <c r="Q1" s="887"/>
      <c r="R1" s="775" t="str">
        <f>[6]Title!R1</f>
        <v>N-16682</v>
      </c>
      <c r="S1" s="1068"/>
      <c r="T1" s="1068"/>
      <c r="U1" s="1068"/>
      <c r="V1" s="776"/>
      <c r="W1" s="14"/>
      <c r="X1" s="14"/>
    </row>
    <row r="2" spans="1:29" ht="18" customHeight="1">
      <c r="A2" s="923"/>
      <c r="B2" s="924"/>
      <c r="C2" s="924"/>
      <c r="D2" s="924"/>
      <c r="E2" s="924"/>
      <c r="F2" s="924"/>
      <c r="G2" s="925"/>
      <c r="H2" s="909" t="str">
        <f>Title!H2</f>
        <v>ADEQUACY CHECK</v>
      </c>
      <c r="I2" s="934"/>
      <c r="J2" s="934"/>
      <c r="K2" s="934"/>
      <c r="L2" s="934"/>
      <c r="M2" s="934"/>
      <c r="N2" s="935"/>
      <c r="O2" s="885" t="str">
        <f>[6]Title!O2</f>
        <v>Date</v>
      </c>
      <c r="P2" s="886"/>
      <c r="Q2" s="887"/>
      <c r="R2" s="775">
        <f>[6]Title!R2</f>
        <v>45276</v>
      </c>
      <c r="S2" s="1068"/>
      <c r="T2" s="1068"/>
      <c r="U2" s="1068"/>
      <c r="V2" s="776"/>
      <c r="W2" s="14"/>
      <c r="X2" s="14"/>
    </row>
    <row r="3" spans="1:29" ht="18" customHeight="1">
      <c r="A3" s="923"/>
      <c r="B3" s="924"/>
      <c r="C3" s="924"/>
      <c r="D3" s="924"/>
      <c r="E3" s="924"/>
      <c r="F3" s="924"/>
      <c r="G3" s="925"/>
      <c r="H3" s="937" t="str">
        <f>Title!H3</f>
        <v xml:space="preserve">132/33kV SUBSTATION DF4W    AT AL DHAFRA AREA </v>
      </c>
      <c r="I3" s="938"/>
      <c r="J3" s="938"/>
      <c r="K3" s="938"/>
      <c r="L3" s="938"/>
      <c r="M3" s="938"/>
      <c r="N3" s="939"/>
      <c r="O3" s="885" t="str">
        <f>[6]Title!O3</f>
        <v>Document No.</v>
      </c>
      <c r="P3" s="886"/>
      <c r="Q3" s="887"/>
      <c r="R3" s="775" t="str">
        <f>[6]Title!R3</f>
        <v>N16682-CB-0070-J-7901</v>
      </c>
      <c r="S3" s="1068"/>
      <c r="T3" s="1068"/>
      <c r="U3" s="1068"/>
      <c r="V3" s="776"/>
      <c r="W3" s="14"/>
      <c r="X3" s="14"/>
    </row>
    <row r="4" spans="1:29" ht="18" customHeight="1">
      <c r="A4" s="926"/>
      <c r="B4" s="927"/>
      <c r="C4" s="927"/>
      <c r="D4" s="927"/>
      <c r="E4" s="927"/>
      <c r="F4" s="927"/>
      <c r="G4" s="928"/>
      <c r="H4" s="940"/>
      <c r="I4" s="941"/>
      <c r="J4" s="941"/>
      <c r="K4" s="941"/>
      <c r="L4" s="941"/>
      <c r="M4" s="941"/>
      <c r="N4" s="942"/>
      <c r="O4" s="885" t="str">
        <f>[6]Title!O4</f>
        <v>Revision No.</v>
      </c>
      <c r="P4" s="886"/>
      <c r="Q4" s="887"/>
      <c r="R4" s="775" t="str">
        <f>[6]Title!R4</f>
        <v>A</v>
      </c>
      <c r="S4" s="1068"/>
      <c r="T4" s="1068"/>
      <c r="U4" s="1068"/>
      <c r="V4" s="776"/>
      <c r="W4" s="14"/>
      <c r="X4" s="14"/>
    </row>
    <row r="5" spans="1:29" ht="18" customHeight="1">
      <c r="A5" s="880" t="str">
        <f>[6]Title!A5</f>
        <v>Prep. By</v>
      </c>
      <c r="B5" s="943"/>
      <c r="C5" s="25" t="str">
        <f>[6]Title!C5</f>
        <v>PK</v>
      </c>
      <c r="D5" s="880" t="str">
        <f>[6]Title!D5</f>
        <v>Checked By</v>
      </c>
      <c r="E5" s="881"/>
      <c r="F5" s="943"/>
      <c r="G5" s="25" t="str">
        <f>[6]Title!G5</f>
        <v>RN</v>
      </c>
      <c r="H5" s="944" t="s">
        <v>958</v>
      </c>
      <c r="I5" s="945"/>
      <c r="J5" s="945"/>
      <c r="K5" s="945"/>
      <c r="L5" s="945"/>
      <c r="M5" s="945"/>
      <c r="N5" s="946"/>
      <c r="O5" s="947" t="str">
        <f>[6]Title!O5</f>
        <v>Contractor</v>
      </c>
      <c r="P5" s="948"/>
      <c r="Q5" s="949"/>
      <c r="R5" s="775" t="str">
        <f>[6]Title!R5</f>
        <v>HITACHI ENERGY</v>
      </c>
      <c r="S5" s="1068"/>
      <c r="T5" s="1068"/>
      <c r="U5" s="1068"/>
      <c r="V5" s="776"/>
      <c r="W5" s="14"/>
      <c r="X5" s="14"/>
    </row>
    <row r="6" spans="1:29"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9" ht="18" customHeight="1">
      <c r="A7" s="184"/>
      <c r="B7" s="781" t="s">
        <v>108</v>
      </c>
      <c r="C7" s="782"/>
      <c r="D7" s="781" t="s">
        <v>506</v>
      </c>
      <c r="E7" s="782"/>
      <c r="F7" s="186"/>
      <c r="H7" s="689" t="s">
        <v>594</v>
      </c>
      <c r="I7" s="689"/>
      <c r="J7" s="689"/>
      <c r="K7" s="689"/>
      <c r="L7" s="689"/>
      <c r="M7" s="689"/>
      <c r="N7" s="689"/>
      <c r="P7" s="186"/>
      <c r="S7" s="187" t="s">
        <v>387</v>
      </c>
      <c r="T7" s="1161" t="s">
        <v>205</v>
      </c>
      <c r="U7" s="1162"/>
      <c r="V7" s="185"/>
    </row>
    <row r="8" spans="1:29" ht="18" customHeight="1">
      <c r="A8" s="184"/>
      <c r="B8" s="1228"/>
      <c r="C8" s="1228"/>
      <c r="D8" s="1228"/>
      <c r="E8" s="1228"/>
      <c r="F8" s="255"/>
      <c r="T8" s="1161" t="s">
        <v>896</v>
      </c>
      <c r="U8" s="1162"/>
      <c r="V8" s="185"/>
    </row>
    <row r="9" spans="1:29" ht="18" customHeight="1">
      <c r="A9" s="1191"/>
      <c r="B9" s="1192"/>
      <c r="C9" s="1192"/>
      <c r="D9" s="684"/>
      <c r="H9" s="789" t="s">
        <v>390</v>
      </c>
      <c r="I9" s="789"/>
      <c r="J9" s="708" t="s">
        <v>391</v>
      </c>
      <c r="K9" s="708"/>
      <c r="L9" s="708" t="s">
        <v>392</v>
      </c>
      <c r="M9" s="708"/>
      <c r="T9" s="1161"/>
      <c r="U9" s="1162"/>
      <c r="V9" s="185"/>
    </row>
    <row r="10" spans="1:29" ht="18" customHeight="1">
      <c r="A10" s="184"/>
      <c r="B10" s="47" t="s">
        <v>393</v>
      </c>
      <c r="H10" s="791">
        <v>600</v>
      </c>
      <c r="I10" s="792"/>
      <c r="J10" s="781">
        <v>1800</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1.5</v>
      </c>
      <c r="I12" s="782"/>
      <c r="J12" s="192" t="s">
        <v>333</v>
      </c>
      <c r="V12" s="185"/>
    </row>
    <row r="13" spans="1:29" ht="18" customHeight="1">
      <c r="A13" s="184"/>
      <c r="B13" s="47" t="s">
        <v>398</v>
      </c>
      <c r="G13" s="120" t="s">
        <v>498</v>
      </c>
      <c r="H13" s="781">
        <v>400</v>
      </c>
      <c r="I13" s="782"/>
      <c r="J13" s="14" t="s">
        <v>305</v>
      </c>
      <c r="V13" s="185"/>
      <c r="W13" s="30" t="s">
        <v>400</v>
      </c>
      <c r="AB13" s="785">
        <f>D59</f>
        <v>94.160000000000011</v>
      </c>
      <c r="AC13" s="786"/>
    </row>
    <row r="14" spans="1:29" ht="18" customHeight="1">
      <c r="A14" s="184"/>
      <c r="B14" s="14" t="s">
        <v>401</v>
      </c>
      <c r="G14" s="120" t="s">
        <v>402</v>
      </c>
      <c r="H14" s="781">
        <v>30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7UT85</v>
      </c>
      <c r="E18" s="196"/>
      <c r="F18" s="196"/>
      <c r="G18" s="196"/>
      <c r="H18" s="182" t="s">
        <v>406</v>
      </c>
      <c r="I18" s="183" t="s">
        <v>127</v>
      </c>
      <c r="J18" s="1193">
        <f>'CT-VT Burdens'!Q119</f>
        <v>0.1</v>
      </c>
      <c r="K18" s="1105"/>
      <c r="L18" s="3" t="s">
        <v>157</v>
      </c>
      <c r="V18" s="185"/>
    </row>
    <row r="19" spans="1:22" ht="18" customHeight="1">
      <c r="A19" s="184"/>
      <c r="B19" s="184" t="s">
        <v>405</v>
      </c>
      <c r="D19" s="30" t="str">
        <f>T8</f>
        <v>IDM+</v>
      </c>
      <c r="H19" s="27"/>
      <c r="I19" s="177" t="s">
        <v>127</v>
      </c>
      <c r="J19" s="1194">
        <f>'CT-VT Burdens'!Q149</f>
        <v>5.8000000000000003E-2</v>
      </c>
      <c r="K19" s="1107"/>
      <c r="L19" s="198" t="s">
        <v>157</v>
      </c>
      <c r="V19" s="185"/>
    </row>
    <row r="20" spans="1:22" ht="18" customHeight="1">
      <c r="A20" s="184"/>
      <c r="B20" s="184" t="s">
        <v>405</v>
      </c>
      <c r="D20" s="30">
        <f>T9</f>
        <v>0</v>
      </c>
      <c r="E20" s="14"/>
      <c r="G20" s="199"/>
      <c r="H20" s="27"/>
      <c r="I20" s="177" t="s">
        <v>127</v>
      </c>
      <c r="J20" s="1108"/>
      <c r="K20" s="788"/>
      <c r="L20" s="202" t="s">
        <v>157</v>
      </c>
      <c r="V20" s="185"/>
    </row>
    <row r="21" spans="1:22" ht="18" customHeight="1">
      <c r="A21" s="184"/>
      <c r="B21" s="184" t="s">
        <v>412</v>
      </c>
      <c r="H21" s="27" t="s">
        <v>599</v>
      </c>
      <c r="I21" s="177" t="s">
        <v>127</v>
      </c>
      <c r="J21" s="793">
        <f>'CT-VT Burdens'!S30</f>
        <v>1.1667743100000001</v>
      </c>
      <c r="K21" s="1156"/>
      <c r="L21" s="203" t="s">
        <v>157</v>
      </c>
      <c r="V21" s="185"/>
    </row>
    <row r="22" spans="1:22" ht="18" customHeight="1">
      <c r="A22" s="184"/>
      <c r="B22" s="205" t="s">
        <v>413</v>
      </c>
      <c r="C22" s="206"/>
      <c r="D22" s="206"/>
      <c r="E22" s="206"/>
      <c r="F22" s="207"/>
      <c r="G22" s="207"/>
      <c r="H22" s="190" t="s">
        <v>409</v>
      </c>
      <c r="I22" s="208" t="s">
        <v>127</v>
      </c>
      <c r="J22" s="766">
        <f>J19+J21</f>
        <v>1.2247743100000001</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S55</f>
        <v>1</v>
      </c>
      <c r="G26" s="27" t="s">
        <v>315</v>
      </c>
      <c r="H26" s="27">
        <f>S55</f>
        <v>1</v>
      </c>
      <c r="I26" s="30" t="s">
        <v>350</v>
      </c>
      <c r="J26" s="199"/>
      <c r="L26" s="47"/>
      <c r="N26" s="27" t="s">
        <v>127</v>
      </c>
      <c r="O26" s="204">
        <f>J22</f>
        <v>1.2247743100000001</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1.2247743100000001</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t="s">
        <v>668</v>
      </c>
      <c r="C29" s="47"/>
      <c r="D29" s="47"/>
      <c r="E29" s="47"/>
      <c r="H29" s="27"/>
      <c r="I29" s="28"/>
      <c r="J29" s="199"/>
      <c r="L29" s="28" t="s">
        <v>127</v>
      </c>
      <c r="M29" s="795">
        <f>D27</f>
        <v>0.1</v>
      </c>
      <c r="N29" s="795"/>
      <c r="O29" s="27" t="s">
        <v>347</v>
      </c>
      <c r="P29" s="795">
        <f>O27</f>
        <v>1.2247743100000001</v>
      </c>
      <c r="Q29" s="795"/>
      <c r="R29" s="211" t="s">
        <v>127</v>
      </c>
      <c r="S29" s="795">
        <f>M29+P29</f>
        <v>1.3247743100000002</v>
      </c>
      <c r="T29" s="795"/>
      <c r="U29" s="192" t="s">
        <v>333</v>
      </c>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2" s="14" customFormat="1" ht="18" customHeight="1">
      <c r="A33" s="96"/>
      <c r="B33" s="47" t="s">
        <v>605</v>
      </c>
      <c r="C33" s="5"/>
      <c r="D33" s="5"/>
      <c r="E33" s="5"/>
      <c r="M33" s="120" t="s">
        <v>606</v>
      </c>
      <c r="N33" s="103" t="s">
        <v>607</v>
      </c>
      <c r="O33" s="1154">
        <v>132</v>
      </c>
      <c r="P33" s="831"/>
      <c r="Q33" s="14" t="s">
        <v>163</v>
      </c>
      <c r="S33" s="214"/>
      <c r="T33" s="18"/>
      <c r="U33" s="18"/>
      <c r="V33" s="97"/>
    </row>
    <row r="34" spans="1:22" s="14" customFormat="1" ht="18" customHeight="1">
      <c r="A34" s="216"/>
      <c r="B34" s="212"/>
      <c r="C34" s="212"/>
      <c r="D34" s="212"/>
      <c r="E34" s="212"/>
      <c r="T34" s="18"/>
      <c r="U34" s="18"/>
      <c r="V34" s="97"/>
    </row>
    <row r="35" spans="1:22"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2"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132</v>
      </c>
      <c r="R36" s="47" t="s">
        <v>350</v>
      </c>
      <c r="T36" s="18"/>
      <c r="U36" s="18"/>
      <c r="V36" s="97"/>
    </row>
    <row r="37" spans="1:22" s="14" customFormat="1" ht="18" customHeight="1">
      <c r="A37" s="216"/>
      <c r="B37" s="212"/>
      <c r="C37" s="212"/>
      <c r="D37" s="212"/>
      <c r="E37" s="212"/>
      <c r="F37" s="212"/>
      <c r="G37" s="212"/>
      <c r="I37" s="28" t="s">
        <v>127</v>
      </c>
      <c r="J37" s="692">
        <f>(O31*1000)/(SQRT(3)*O33)</f>
        <v>437.38656756789834</v>
      </c>
      <c r="K37" s="692"/>
      <c r="L37" s="14" t="s">
        <v>8</v>
      </c>
      <c r="M37" s="120"/>
      <c r="N37" s="120"/>
      <c r="O37" s="120"/>
      <c r="T37" s="18"/>
      <c r="U37" s="18"/>
      <c r="V37" s="97"/>
    </row>
    <row r="38" spans="1:22" s="14" customFormat="1" ht="18" customHeight="1">
      <c r="A38" s="216"/>
      <c r="B38" s="212"/>
      <c r="C38" s="212"/>
      <c r="D38" s="212"/>
      <c r="E38" s="212"/>
      <c r="G38" s="212"/>
      <c r="H38" s="28"/>
      <c r="I38" s="103"/>
      <c r="J38" s="28"/>
      <c r="M38" s="212"/>
      <c r="N38" s="219"/>
      <c r="O38" s="212"/>
      <c r="T38" s="18"/>
      <c r="U38" s="18"/>
      <c r="V38" s="97"/>
    </row>
    <row r="39" spans="1:22" s="14" customFormat="1" ht="18" customHeight="1">
      <c r="A39" s="147" t="s">
        <v>669</v>
      </c>
      <c r="B39" s="5"/>
      <c r="C39" s="5"/>
      <c r="D39" s="5"/>
      <c r="E39" s="5"/>
      <c r="F39" s="212"/>
      <c r="G39" s="212"/>
      <c r="H39" s="5"/>
      <c r="I39" s="5"/>
      <c r="J39" s="5"/>
      <c r="K39" s="5"/>
      <c r="L39" s="103"/>
      <c r="M39" s="103"/>
      <c r="N39" s="103"/>
      <c r="O39" s="103"/>
      <c r="P39" s="212"/>
      <c r="Q39" s="213"/>
      <c r="U39" s="18"/>
      <c r="V39" s="97"/>
    </row>
    <row r="40" spans="1:22" s="14" customFormat="1" ht="18" customHeight="1">
      <c r="A40" s="147"/>
      <c r="B40" s="5"/>
      <c r="C40" s="5"/>
      <c r="D40" s="5"/>
      <c r="E40" s="5"/>
      <c r="F40" s="212"/>
      <c r="G40" s="212"/>
      <c r="H40" s="5"/>
      <c r="I40" s="5"/>
      <c r="J40" s="5"/>
      <c r="K40" s="5"/>
      <c r="L40" s="103"/>
      <c r="M40" s="103"/>
      <c r="N40" s="103"/>
      <c r="O40" s="103"/>
      <c r="P40" s="212"/>
      <c r="Q40" s="213"/>
      <c r="S40" s="214"/>
      <c r="T40" s="18"/>
      <c r="U40" s="18"/>
      <c r="V40" s="97"/>
    </row>
    <row r="41" spans="1:22" ht="18" customHeight="1">
      <c r="A41" s="184" t="s">
        <v>670</v>
      </c>
      <c r="B41" s="14"/>
      <c r="C41" s="14"/>
      <c r="D41" s="14"/>
      <c r="E41" s="14"/>
      <c r="M41" s="120"/>
      <c r="N41" s="27" t="s">
        <v>127</v>
      </c>
      <c r="O41" s="689">
        <v>50000</v>
      </c>
      <c r="P41" s="716"/>
      <c r="Q41" s="461" t="s">
        <v>8</v>
      </c>
      <c r="R41" s="221"/>
      <c r="S41" s="214"/>
      <c r="V41" s="185"/>
    </row>
    <row r="42" spans="1:22" ht="18" customHeight="1">
      <c r="A42" s="184"/>
      <c r="B42" s="14"/>
      <c r="C42" s="14"/>
      <c r="D42" s="14"/>
      <c r="E42" s="14"/>
      <c r="M42" s="120"/>
      <c r="N42" s="27"/>
      <c r="O42" s="28"/>
      <c r="P42" s="14"/>
      <c r="Q42" s="461"/>
      <c r="R42" s="221"/>
      <c r="S42" s="214"/>
      <c r="V42" s="185"/>
    </row>
    <row r="43" spans="1:22" ht="18" customHeight="1">
      <c r="A43" s="184"/>
      <c r="B43" s="689" t="s">
        <v>473</v>
      </c>
      <c r="C43" s="1150" t="s">
        <v>652</v>
      </c>
      <c r="D43" s="279"/>
      <c r="E43" s="279"/>
      <c r="F43" s="279"/>
      <c r="G43" s="802">
        <v>0.4</v>
      </c>
      <c r="H43" s="1153" t="s">
        <v>315</v>
      </c>
      <c r="I43" s="790" t="s">
        <v>671</v>
      </c>
      <c r="J43" s="1147"/>
      <c r="K43" s="1147"/>
      <c r="L43" s="1147"/>
      <c r="M43" s="1147"/>
      <c r="N43" s="689" t="s">
        <v>672</v>
      </c>
      <c r="O43" s="708" t="s">
        <v>420</v>
      </c>
      <c r="P43" s="689" t="s">
        <v>347</v>
      </c>
      <c r="Q43" s="790" t="s">
        <v>673</v>
      </c>
      <c r="R43" s="708" t="s">
        <v>674</v>
      </c>
      <c r="S43" s="790" t="s">
        <v>482</v>
      </c>
      <c r="T43" s="14"/>
      <c r="U43" s="729" t="s">
        <v>653</v>
      </c>
      <c r="V43" s="185"/>
    </row>
    <row r="44" spans="1:22" ht="18" customHeight="1">
      <c r="A44" s="96"/>
      <c r="B44" s="689"/>
      <c r="C44" s="689"/>
      <c r="D44" s="279"/>
      <c r="E44" s="279"/>
      <c r="F44" s="279"/>
      <c r="G44" s="802"/>
      <c r="H44" s="689"/>
      <c r="I44" s="1190" t="s">
        <v>483</v>
      </c>
      <c r="J44" s="1189"/>
      <c r="K44" s="1189"/>
      <c r="L44" s="1189"/>
      <c r="M44" s="1189"/>
      <c r="N44" s="689"/>
      <c r="O44" s="689"/>
      <c r="P44" s="689"/>
      <c r="Q44" s="689"/>
      <c r="R44" s="689"/>
      <c r="S44" s="689"/>
      <c r="T44" s="14"/>
      <c r="U44" s="689"/>
      <c r="V44" s="185"/>
    </row>
    <row r="45" spans="1:22" ht="13.2" customHeight="1">
      <c r="A45" s="96"/>
      <c r="B45" s="5"/>
      <c r="C45" s="5"/>
      <c r="D45" s="5"/>
      <c r="E45" s="5"/>
      <c r="M45" s="120"/>
      <c r="N45" s="28"/>
      <c r="O45" s="689"/>
      <c r="P45" s="716"/>
      <c r="Q45" s="241"/>
      <c r="R45" s="14"/>
      <c r="S45" s="214"/>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2" s="14" customFormat="1" ht="18" customHeight="1">
      <c r="A47" s="135"/>
      <c r="B47" s="273"/>
      <c r="C47" s="273"/>
      <c r="D47" s="273"/>
      <c r="E47" s="273"/>
      <c r="F47" s="273"/>
      <c r="G47" s="273"/>
      <c r="H47" s="273"/>
      <c r="I47" s="273"/>
      <c r="J47" s="273"/>
      <c r="K47" s="273"/>
      <c r="L47" s="273"/>
      <c r="M47" s="273"/>
      <c r="N47" s="273"/>
      <c r="O47" s="273"/>
      <c r="P47" s="273"/>
      <c r="Q47" s="274"/>
      <c r="R47" s="138"/>
      <c r="S47" s="275"/>
      <c r="T47" s="273"/>
      <c r="U47" s="273"/>
      <c r="V47" s="276"/>
    </row>
    <row r="48" spans="1:22" ht="18" customHeight="1">
      <c r="A48" s="184"/>
      <c r="V48" s="185"/>
    </row>
    <row r="49" spans="1:22" ht="18" customHeight="1">
      <c r="A49" s="184"/>
      <c r="B49" s="47" t="s">
        <v>675</v>
      </c>
      <c r="C49" s="14"/>
      <c r="D49" s="14"/>
      <c r="E49" s="14"/>
      <c r="F49" s="18"/>
      <c r="G49" s="18"/>
      <c r="H49" s="14"/>
      <c r="I49" s="120"/>
      <c r="J49" s="14"/>
      <c r="K49" s="14"/>
      <c r="M49" s="14"/>
      <c r="N49" s="14"/>
      <c r="P49" s="30" t="s">
        <v>483</v>
      </c>
      <c r="R49" s="234" t="s">
        <v>127</v>
      </c>
      <c r="S49" s="684">
        <f>H10</f>
        <v>600</v>
      </c>
      <c r="T49" s="684"/>
      <c r="U49" s="30" t="s">
        <v>8</v>
      </c>
      <c r="V49" s="185"/>
    </row>
    <row r="50" spans="1:22" ht="18" customHeight="1">
      <c r="A50" s="184"/>
      <c r="B50" s="47" t="s">
        <v>655</v>
      </c>
      <c r="C50" s="14"/>
      <c r="D50" s="14"/>
      <c r="E50" s="14"/>
      <c r="F50" s="18"/>
      <c r="G50" s="18"/>
      <c r="H50" s="14"/>
      <c r="I50" s="120"/>
      <c r="J50" s="14"/>
      <c r="K50" s="14"/>
      <c r="M50" s="14"/>
      <c r="N50" s="14"/>
      <c r="P50" s="14" t="s">
        <v>420</v>
      </c>
      <c r="R50" s="234" t="s">
        <v>127</v>
      </c>
      <c r="S50" s="684">
        <f>H12</f>
        <v>1.5</v>
      </c>
      <c r="T50" s="684"/>
      <c r="U50" s="192" t="s">
        <v>333</v>
      </c>
      <c r="V50" s="185"/>
    </row>
    <row r="51" spans="1:22" ht="18" customHeight="1">
      <c r="A51" s="184"/>
      <c r="B51" s="47" t="s">
        <v>676</v>
      </c>
      <c r="C51" s="14"/>
      <c r="D51" s="14"/>
      <c r="E51" s="14"/>
      <c r="F51" s="18"/>
      <c r="G51" s="18"/>
      <c r="H51" s="14"/>
      <c r="I51" s="120"/>
      <c r="J51" s="14"/>
      <c r="K51" s="14"/>
      <c r="M51" s="14"/>
      <c r="N51" s="14"/>
      <c r="P51" s="30" t="s">
        <v>673</v>
      </c>
      <c r="R51" s="234" t="s">
        <v>127</v>
      </c>
      <c r="S51" s="795">
        <f>S29</f>
        <v>1.3247743100000002</v>
      </c>
      <c r="T51" s="795"/>
      <c r="U51" s="192" t="s">
        <v>333</v>
      </c>
      <c r="V51" s="185"/>
    </row>
    <row r="52" spans="1:22" ht="18" customHeight="1">
      <c r="A52" s="184"/>
      <c r="B52" s="296" t="s">
        <v>677</v>
      </c>
      <c r="C52" s="14"/>
      <c r="D52" s="14"/>
      <c r="E52" s="14"/>
      <c r="F52" s="14"/>
      <c r="G52" s="14"/>
      <c r="H52" s="14"/>
      <c r="I52" s="120"/>
      <c r="J52" s="14"/>
      <c r="K52" s="14"/>
      <c r="M52" s="14"/>
      <c r="N52" s="14"/>
      <c r="P52" s="14" t="s">
        <v>411</v>
      </c>
      <c r="R52" s="234" t="s">
        <v>127</v>
      </c>
      <c r="S52" s="684">
        <f>O10</f>
        <v>1</v>
      </c>
      <c r="T52" s="684"/>
      <c r="U52" s="30" t="s">
        <v>8</v>
      </c>
      <c r="V52" s="185"/>
    </row>
    <row r="53" spans="1:22" ht="18" customHeight="1">
      <c r="A53" s="184"/>
      <c r="B53" s="47" t="s">
        <v>678</v>
      </c>
      <c r="C53" s="14"/>
      <c r="D53" s="14"/>
      <c r="E53" s="14"/>
      <c r="F53" s="14"/>
      <c r="G53" s="14"/>
      <c r="H53" s="14"/>
      <c r="I53" s="120"/>
      <c r="J53" s="14"/>
      <c r="K53" s="14"/>
      <c r="M53" s="14"/>
      <c r="N53" s="14"/>
      <c r="P53" s="244" t="s">
        <v>671</v>
      </c>
      <c r="R53" s="234" t="s">
        <v>127</v>
      </c>
      <c r="S53" s="684">
        <f>O41</f>
        <v>50000</v>
      </c>
      <c r="T53" s="684"/>
      <c r="U53" s="30" t="s">
        <v>8</v>
      </c>
      <c r="V53" s="185"/>
    </row>
    <row r="54" spans="1:22" ht="18" customHeight="1">
      <c r="A54" s="184"/>
      <c r="B54" s="296" t="s">
        <v>679</v>
      </c>
      <c r="C54" s="14"/>
      <c r="D54" s="14"/>
      <c r="E54" s="14"/>
      <c r="F54" s="14"/>
      <c r="G54" s="14"/>
      <c r="H54" s="14"/>
      <c r="I54" s="120"/>
      <c r="J54" s="14"/>
      <c r="K54" s="14"/>
      <c r="M54" s="14"/>
      <c r="N54" s="14"/>
      <c r="P54" s="120" t="s">
        <v>680</v>
      </c>
      <c r="R54" s="234" t="s">
        <v>127</v>
      </c>
      <c r="S54" s="795">
        <f>J37</f>
        <v>437.38656756789834</v>
      </c>
      <c r="T54" s="684"/>
      <c r="U54" s="30" t="s">
        <v>8</v>
      </c>
      <c r="V54" s="185"/>
    </row>
    <row r="55" spans="1:22" ht="18" customHeight="1">
      <c r="A55" s="184"/>
      <c r="B55" s="47" t="s">
        <v>659</v>
      </c>
      <c r="C55" s="14"/>
      <c r="D55" s="14"/>
      <c r="E55" s="14"/>
      <c r="F55" s="14"/>
      <c r="G55" s="14"/>
      <c r="H55" s="14"/>
      <c r="I55" s="120"/>
      <c r="J55" s="14"/>
      <c r="K55" s="14"/>
      <c r="M55" s="14"/>
      <c r="N55" s="14"/>
      <c r="P55" s="120" t="s">
        <v>660</v>
      </c>
      <c r="R55" s="234" t="s">
        <v>127</v>
      </c>
      <c r="S55" s="684">
        <f>'[6]CT-VT Burdens'!S18</f>
        <v>1</v>
      </c>
      <c r="T55" s="684"/>
      <c r="U55" s="30" t="s">
        <v>8</v>
      </c>
      <c r="V55" s="185"/>
    </row>
    <row r="56" spans="1:22" ht="18" customHeight="1">
      <c r="A56" s="96"/>
      <c r="B56" s="14"/>
      <c r="C56" s="14"/>
      <c r="D56" s="235"/>
      <c r="E56" s="14"/>
      <c r="F56" s="28"/>
      <c r="G56" s="249"/>
      <c r="H56" s="28"/>
      <c r="I56" s="251"/>
      <c r="J56" s="14"/>
      <c r="K56" s="280"/>
      <c r="M56" s="47"/>
      <c r="N56" s="268"/>
      <c r="P56" s="281"/>
      <c r="R56" s="234"/>
      <c r="S56" s="1148"/>
      <c r="T56" s="723"/>
      <c r="V56" s="185"/>
    </row>
    <row r="57" spans="1:22" s="279" customFormat="1" ht="18" customHeight="1">
      <c r="A57" s="277"/>
      <c r="B57" s="689" t="s">
        <v>473</v>
      </c>
      <c r="C57" s="1150" t="s">
        <v>652</v>
      </c>
      <c r="G57" s="802">
        <f>G43</f>
        <v>0.4</v>
      </c>
      <c r="H57" s="1151" t="s">
        <v>315</v>
      </c>
      <c r="I57" s="829">
        <f>O41</f>
        <v>50000</v>
      </c>
      <c r="J57" s="1152"/>
      <c r="K57" s="1152"/>
      <c r="L57" s="1152"/>
      <c r="M57" s="1152"/>
      <c r="N57" s="689" t="s">
        <v>672</v>
      </c>
      <c r="O57" s="708">
        <f>S50</f>
        <v>1.5</v>
      </c>
      <c r="P57" s="689" t="s">
        <v>347</v>
      </c>
      <c r="Q57" s="829">
        <f>S51</f>
        <v>1.3247743100000002</v>
      </c>
      <c r="R57" s="708" t="s">
        <v>674</v>
      </c>
      <c r="S57" s="708">
        <f>S52</f>
        <v>1</v>
      </c>
      <c r="T57" s="14"/>
      <c r="U57" s="729" t="s">
        <v>653</v>
      </c>
      <c r="V57" s="185"/>
    </row>
    <row r="58" spans="1:22" s="279" customFormat="1" ht="18" customHeight="1">
      <c r="A58" s="277"/>
      <c r="B58" s="689"/>
      <c r="C58" s="689"/>
      <c r="G58" s="802"/>
      <c r="H58" s="684"/>
      <c r="I58" s="1189">
        <f>H10</f>
        <v>600</v>
      </c>
      <c r="J58" s="1189"/>
      <c r="K58" s="1189"/>
      <c r="L58" s="1189"/>
      <c r="M58" s="1189"/>
      <c r="N58" s="689"/>
      <c r="O58" s="689"/>
      <c r="P58" s="689"/>
      <c r="Q58" s="689"/>
      <c r="R58" s="689"/>
      <c r="S58" s="689"/>
      <c r="T58" s="14"/>
      <c r="U58" s="689"/>
      <c r="V58" s="185"/>
    </row>
    <row r="59" spans="1:22" ht="18" customHeight="1">
      <c r="A59" s="96"/>
      <c r="B59" s="14"/>
      <c r="C59" s="27" t="s">
        <v>127</v>
      </c>
      <c r="D59" s="812">
        <f>ROUNDUP(G57*(I57/(I58)*(O57+Q57)*S57),2)</f>
        <v>94.160000000000011</v>
      </c>
      <c r="E59" s="813"/>
      <c r="F59" s="30" t="s">
        <v>305</v>
      </c>
      <c r="G59" s="14"/>
      <c r="H59" s="14"/>
      <c r="I59" s="14"/>
      <c r="J59" s="14"/>
      <c r="K59" s="14"/>
      <c r="L59" s="14"/>
      <c r="M59" s="14"/>
      <c r="N59" s="14"/>
      <c r="R59" s="234"/>
      <c r="S59" s="204"/>
      <c r="V59" s="185"/>
    </row>
    <row r="60" spans="1:22" ht="18" customHeight="1">
      <c r="A60" s="96"/>
      <c r="B60" s="14"/>
      <c r="G60" s="14"/>
      <c r="H60" s="14"/>
      <c r="I60" s="14"/>
      <c r="J60" s="14"/>
      <c r="K60" s="14"/>
      <c r="L60" s="14"/>
      <c r="M60" s="14"/>
      <c r="N60" s="14"/>
      <c r="R60" s="234"/>
      <c r="S60" s="204"/>
      <c r="V60" s="185"/>
    </row>
    <row r="61" spans="1:22" ht="18" hidden="1" customHeight="1">
      <c r="A61" s="96"/>
      <c r="B61" s="14"/>
      <c r="G61" s="27"/>
      <c r="M61" s="14"/>
      <c r="N61" s="14"/>
      <c r="R61" s="234"/>
      <c r="S61" s="204"/>
      <c r="V61" s="185"/>
    </row>
    <row r="62" spans="1:22" ht="18" hidden="1" customHeight="1">
      <c r="A62" s="96"/>
      <c r="B62" s="14"/>
      <c r="G62" s="27"/>
      <c r="H62" s="204"/>
      <c r="M62" s="14"/>
      <c r="N62" s="14"/>
      <c r="R62" s="234"/>
      <c r="S62" s="204"/>
      <c r="V62" s="185"/>
    </row>
    <row r="63" spans="1:22" ht="18" hidden="1" customHeight="1">
      <c r="A63" s="96"/>
      <c r="B63" s="14"/>
      <c r="F63" s="244"/>
      <c r="H63" s="18"/>
      <c r="M63" s="14"/>
      <c r="N63" s="14"/>
      <c r="R63" s="234"/>
      <c r="S63" s="204"/>
      <c r="V63" s="185"/>
    </row>
    <row r="64" spans="1:22" ht="18" hidden="1" customHeight="1">
      <c r="A64" s="96"/>
      <c r="B64" s="14"/>
      <c r="G64" s="14"/>
      <c r="H64" s="14"/>
      <c r="I64" s="14"/>
      <c r="J64" s="14"/>
      <c r="K64" s="14"/>
      <c r="L64" s="14"/>
      <c r="M64" s="14"/>
      <c r="N64" s="14"/>
      <c r="R64" s="234"/>
      <c r="S64" s="204"/>
      <c r="V64" s="185"/>
    </row>
    <row r="65" spans="1:22" ht="18" customHeight="1">
      <c r="A65" s="184" t="s">
        <v>612</v>
      </c>
      <c r="B65" s="14"/>
      <c r="C65" s="14"/>
      <c r="D65" s="14"/>
      <c r="E65" s="14"/>
      <c r="M65" s="120" t="s">
        <v>613</v>
      </c>
      <c r="N65" s="28" t="s">
        <v>127</v>
      </c>
      <c r="O65" s="689" t="s">
        <v>609</v>
      </c>
      <c r="P65" s="716"/>
      <c r="Q65" s="245" t="s">
        <v>681</v>
      </c>
      <c r="R65" s="805" t="str">
        <f>B32</f>
        <v>Percentage Impedance</v>
      </c>
      <c r="S65" s="805"/>
      <c r="T65" s="805"/>
      <c r="U65" s="805"/>
      <c r="V65" s="968"/>
    </row>
    <row r="66" spans="1:22" ht="18" customHeight="1">
      <c r="A66" s="96"/>
      <c r="B66" s="5"/>
      <c r="C66" s="5"/>
      <c r="D66" s="5"/>
      <c r="E66" s="5"/>
      <c r="M66" s="250"/>
      <c r="N66" s="28" t="s">
        <v>127</v>
      </c>
      <c r="O66" s="692">
        <f>J37</f>
        <v>437.38656756789834</v>
      </c>
      <c r="P66" s="716"/>
      <c r="Q66" s="245" t="s">
        <v>342</v>
      </c>
      <c r="R66" s="221">
        <f>O32%</f>
        <v>0.25</v>
      </c>
      <c r="S66" s="214"/>
      <c r="V66" s="185"/>
    </row>
    <row r="67" spans="1:22" ht="18" customHeight="1">
      <c r="A67" s="96"/>
      <c r="B67" s="5"/>
      <c r="C67" s="5"/>
      <c r="D67" s="5"/>
      <c r="E67" s="5"/>
      <c r="M67" s="120" t="s">
        <v>613</v>
      </c>
      <c r="N67" s="28" t="s">
        <v>127</v>
      </c>
      <c r="O67" s="689">
        <f>O66/R66</f>
        <v>1749.5462702715934</v>
      </c>
      <c r="P67" s="716"/>
      <c r="Q67" s="241" t="s">
        <v>8</v>
      </c>
      <c r="R67" s="14"/>
      <c r="S67" s="214"/>
      <c r="V67" s="185"/>
    </row>
    <row r="68" spans="1:22" ht="18" customHeight="1">
      <c r="A68" s="96"/>
      <c r="B68" s="5"/>
      <c r="C68" s="5"/>
      <c r="D68" s="5"/>
      <c r="E68" s="5"/>
      <c r="M68" s="120"/>
      <c r="N68" s="28"/>
      <c r="O68" s="28"/>
      <c r="P68" s="14"/>
      <c r="Q68" s="241"/>
      <c r="R68" s="14"/>
      <c r="S68" s="214"/>
      <c r="V68" s="185"/>
    </row>
    <row r="69" spans="1:22" s="279" customFormat="1" ht="18" customHeight="1">
      <c r="A69" s="277"/>
      <c r="B69" s="689" t="s">
        <v>473</v>
      </c>
      <c r="C69" s="1150" t="s">
        <v>652</v>
      </c>
      <c r="G69" s="802">
        <v>1.6</v>
      </c>
      <c r="H69" s="1153" t="s">
        <v>315</v>
      </c>
      <c r="I69" s="790" t="s">
        <v>682</v>
      </c>
      <c r="J69" s="1147"/>
      <c r="K69" s="1147"/>
      <c r="L69" s="1147"/>
      <c r="M69" s="1147"/>
      <c r="N69" s="689" t="s">
        <v>672</v>
      </c>
      <c r="O69" s="708" t="s">
        <v>420</v>
      </c>
      <c r="P69" s="689" t="s">
        <v>347</v>
      </c>
      <c r="Q69" s="790" t="s">
        <v>673</v>
      </c>
      <c r="R69" s="708" t="s">
        <v>674</v>
      </c>
      <c r="S69" s="790" t="s">
        <v>482</v>
      </c>
      <c r="T69" s="14"/>
      <c r="U69" s="726" t="s">
        <v>683</v>
      </c>
      <c r="V69" s="185"/>
    </row>
    <row r="70" spans="1:22" s="279" customFormat="1" ht="18" customHeight="1">
      <c r="A70" s="277"/>
      <c r="B70" s="689"/>
      <c r="C70" s="689"/>
      <c r="G70" s="802"/>
      <c r="H70" s="689"/>
      <c r="I70" s="1190" t="s">
        <v>483</v>
      </c>
      <c r="J70" s="1189"/>
      <c r="K70" s="1189"/>
      <c r="L70" s="1189"/>
      <c r="M70" s="1189"/>
      <c r="N70" s="689"/>
      <c r="O70" s="689"/>
      <c r="P70" s="689"/>
      <c r="Q70" s="689"/>
      <c r="R70" s="689"/>
      <c r="S70" s="689"/>
      <c r="T70" s="14"/>
      <c r="U70" s="689"/>
      <c r="V70" s="185"/>
    </row>
    <row r="71" spans="1:22" ht="18" customHeight="1">
      <c r="A71" s="184"/>
      <c r="V71" s="185"/>
    </row>
    <row r="72" spans="1:22" ht="18" customHeight="1">
      <c r="A72" s="184"/>
      <c r="B72" s="47" t="s">
        <v>675</v>
      </c>
      <c r="C72" s="14"/>
      <c r="D72" s="14"/>
      <c r="E72" s="14"/>
      <c r="F72" s="18"/>
      <c r="G72" s="18"/>
      <c r="H72" s="14"/>
      <c r="I72" s="120"/>
      <c r="J72" s="14"/>
      <c r="K72" s="14"/>
      <c r="M72" s="14"/>
      <c r="N72" s="14"/>
      <c r="P72" s="30" t="s">
        <v>483</v>
      </c>
      <c r="R72" s="234" t="s">
        <v>127</v>
      </c>
      <c r="S72" s="684">
        <f>H10</f>
        <v>600</v>
      </c>
      <c r="T72" s="684"/>
      <c r="U72" s="30" t="s">
        <v>8</v>
      </c>
      <c r="V72" s="185"/>
    </row>
    <row r="73" spans="1:22" ht="18" customHeight="1">
      <c r="A73" s="184"/>
      <c r="B73" s="47" t="s">
        <v>655</v>
      </c>
      <c r="C73" s="14"/>
      <c r="D73" s="14"/>
      <c r="E73" s="14"/>
      <c r="F73" s="18"/>
      <c r="G73" s="18"/>
      <c r="H73" s="14"/>
      <c r="I73" s="120"/>
      <c r="J73" s="14"/>
      <c r="K73" s="14"/>
      <c r="M73" s="14"/>
      <c r="N73" s="14"/>
      <c r="P73" s="14" t="s">
        <v>420</v>
      </c>
      <c r="R73" s="234" t="s">
        <v>127</v>
      </c>
      <c r="S73" s="684">
        <f>H12</f>
        <v>1.5</v>
      </c>
      <c r="T73" s="684"/>
      <c r="U73" s="192" t="s">
        <v>333</v>
      </c>
      <c r="V73" s="185"/>
    </row>
    <row r="74" spans="1:22" ht="18" customHeight="1">
      <c r="A74" s="184"/>
      <c r="B74" s="47" t="s">
        <v>676</v>
      </c>
      <c r="C74" s="14"/>
      <c r="D74" s="14"/>
      <c r="E74" s="14"/>
      <c r="F74" s="18"/>
      <c r="G74" s="18"/>
      <c r="H74" s="14"/>
      <c r="I74" s="120"/>
      <c r="J74" s="14"/>
      <c r="K74" s="14"/>
      <c r="M74" s="14"/>
      <c r="N74" s="14"/>
      <c r="P74" s="30" t="s">
        <v>673</v>
      </c>
      <c r="R74" s="234" t="s">
        <v>127</v>
      </c>
      <c r="S74" s="795">
        <f>S29</f>
        <v>1.3247743100000002</v>
      </c>
      <c r="T74" s="795"/>
      <c r="U74" s="192" t="s">
        <v>333</v>
      </c>
      <c r="V74" s="185"/>
    </row>
    <row r="75" spans="1:22" ht="18" customHeight="1">
      <c r="A75" s="184"/>
      <c r="B75" s="296" t="s">
        <v>677</v>
      </c>
      <c r="C75" s="14"/>
      <c r="D75" s="14"/>
      <c r="E75" s="14"/>
      <c r="F75" s="14"/>
      <c r="G75" s="14"/>
      <c r="H75" s="14"/>
      <c r="I75" s="120"/>
      <c r="J75" s="14"/>
      <c r="K75" s="14"/>
      <c r="M75" s="14"/>
      <c r="N75" s="14"/>
      <c r="P75" s="14" t="s">
        <v>411</v>
      </c>
      <c r="R75" s="234" t="s">
        <v>127</v>
      </c>
      <c r="S75" s="684">
        <f>O10</f>
        <v>1</v>
      </c>
      <c r="T75" s="684"/>
      <c r="U75" s="30" t="s">
        <v>8</v>
      </c>
      <c r="V75" s="185"/>
    </row>
    <row r="76" spans="1:22" ht="18" customHeight="1">
      <c r="A76" s="184"/>
      <c r="B76" s="47" t="s">
        <v>678</v>
      </c>
      <c r="C76" s="14"/>
      <c r="D76" s="14"/>
      <c r="E76" s="14"/>
      <c r="F76" s="14"/>
      <c r="G76" s="14"/>
      <c r="H76" s="14"/>
      <c r="I76" s="120"/>
      <c r="J76" s="14"/>
      <c r="K76" s="14"/>
      <c r="M76" s="14"/>
      <c r="N76" s="14"/>
      <c r="P76" s="244" t="s">
        <v>682</v>
      </c>
      <c r="R76" s="234" t="s">
        <v>127</v>
      </c>
      <c r="S76" s="684">
        <f>O67</f>
        <v>1749.5462702715934</v>
      </c>
      <c r="T76" s="684"/>
      <c r="U76" s="30" t="s">
        <v>8</v>
      </c>
      <c r="V76" s="185"/>
    </row>
    <row r="77" spans="1:22" ht="18" customHeight="1">
      <c r="A77" s="184"/>
      <c r="B77" s="296" t="s">
        <v>679</v>
      </c>
      <c r="C77" s="14"/>
      <c r="D77" s="14"/>
      <c r="E77" s="14"/>
      <c r="F77" s="14"/>
      <c r="G77" s="14"/>
      <c r="H77" s="14"/>
      <c r="I77" s="120"/>
      <c r="J77" s="14"/>
      <c r="K77" s="14"/>
      <c r="M77" s="14"/>
      <c r="N77" s="14"/>
      <c r="P77" s="120" t="s">
        <v>680</v>
      </c>
      <c r="R77" s="234" t="s">
        <v>127</v>
      </c>
      <c r="S77" s="795">
        <f>J37</f>
        <v>437.38656756789834</v>
      </c>
      <c r="T77" s="684"/>
      <c r="U77" s="30" t="s">
        <v>8</v>
      </c>
      <c r="V77" s="185"/>
    </row>
    <row r="78" spans="1:22" ht="18" customHeight="1">
      <c r="A78" s="184"/>
      <c r="B78" s="47" t="s">
        <v>659</v>
      </c>
      <c r="C78" s="14"/>
      <c r="D78" s="14"/>
      <c r="E78" s="14"/>
      <c r="F78" s="14"/>
      <c r="G78" s="14"/>
      <c r="H78" s="14"/>
      <c r="I78" s="120"/>
      <c r="J78" s="14"/>
      <c r="K78" s="14"/>
      <c r="M78" s="14"/>
      <c r="N78" s="14"/>
      <c r="P78" s="120" t="s">
        <v>660</v>
      </c>
      <c r="R78" s="234" t="s">
        <v>127</v>
      </c>
      <c r="S78" s="684">
        <f>O10</f>
        <v>1</v>
      </c>
      <c r="T78" s="684"/>
      <c r="U78" s="30" t="s">
        <v>8</v>
      </c>
      <c r="V78" s="185"/>
    </row>
    <row r="79" spans="1:22" ht="18" customHeight="1">
      <c r="A79" s="96"/>
      <c r="B79" s="14"/>
      <c r="C79" s="14"/>
      <c r="D79" s="235"/>
      <c r="E79" s="14"/>
      <c r="F79" s="28"/>
      <c r="G79" s="249"/>
      <c r="H79" s="28"/>
      <c r="I79" s="251"/>
      <c r="J79" s="14"/>
      <c r="K79" s="280"/>
      <c r="M79" s="47"/>
      <c r="N79" s="268"/>
      <c r="P79" s="281"/>
      <c r="R79" s="234"/>
      <c r="S79" s="1148"/>
      <c r="T79" s="723"/>
      <c r="V79" s="185"/>
    </row>
    <row r="80" spans="1:22" s="279" customFormat="1" ht="18" customHeight="1">
      <c r="A80" s="277"/>
      <c r="B80" s="689" t="s">
        <v>473</v>
      </c>
      <c r="C80" s="1150" t="s">
        <v>652</v>
      </c>
      <c r="G80" s="802">
        <f>G69</f>
        <v>1.6</v>
      </c>
      <c r="H80" s="1151" t="s">
        <v>315</v>
      </c>
      <c r="I80" s="829">
        <f>O67</f>
        <v>1749.5462702715934</v>
      </c>
      <c r="J80" s="1152"/>
      <c r="K80" s="1152"/>
      <c r="L80" s="1152"/>
      <c r="M80" s="1152"/>
      <c r="N80" s="689" t="s">
        <v>672</v>
      </c>
      <c r="O80" s="708">
        <f>S73</f>
        <v>1.5</v>
      </c>
      <c r="P80" s="689" t="s">
        <v>347</v>
      </c>
      <c r="Q80" s="829">
        <f>S74</f>
        <v>1.3247743100000002</v>
      </c>
      <c r="R80" s="708" t="s">
        <v>674</v>
      </c>
      <c r="S80" s="708">
        <f>S75</f>
        <v>1</v>
      </c>
      <c r="T80" s="14"/>
      <c r="U80" s="726" t="s">
        <v>683</v>
      </c>
      <c r="V80" s="185"/>
    </row>
    <row r="81" spans="1:22" s="279" customFormat="1" ht="18" customHeight="1">
      <c r="A81" s="277"/>
      <c r="B81" s="689"/>
      <c r="C81" s="689"/>
      <c r="G81" s="802"/>
      <c r="H81" s="684"/>
      <c r="I81" s="1189">
        <f>H10</f>
        <v>600</v>
      </c>
      <c r="J81" s="1189"/>
      <c r="K81" s="1189"/>
      <c r="L81" s="1189"/>
      <c r="M81" s="1189"/>
      <c r="N81" s="689"/>
      <c r="O81" s="689"/>
      <c r="P81" s="689"/>
      <c r="Q81" s="689"/>
      <c r="R81" s="689"/>
      <c r="S81" s="689"/>
      <c r="T81" s="14"/>
      <c r="U81" s="689"/>
      <c r="V81" s="185"/>
    </row>
    <row r="82" spans="1:22" ht="18" customHeight="1">
      <c r="A82" s="96"/>
      <c r="B82" s="14"/>
      <c r="C82" s="27" t="s">
        <v>127</v>
      </c>
      <c r="D82" s="812">
        <f>ROUNDUP(G80*(I80/(I81)*(O80+Q80)*S80),2)</f>
        <v>13.18</v>
      </c>
      <c r="E82" s="813"/>
      <c r="F82" s="30" t="s">
        <v>305</v>
      </c>
      <c r="G82" s="14"/>
      <c r="H82" s="14"/>
      <c r="I82" s="14"/>
      <c r="J82" s="14"/>
      <c r="K82" s="14"/>
      <c r="L82" s="14"/>
      <c r="M82" s="14"/>
      <c r="N82" s="14"/>
      <c r="R82" s="234"/>
      <c r="S82" s="204"/>
      <c r="V82" s="185"/>
    </row>
    <row r="83" spans="1:22" ht="18" customHeight="1">
      <c r="A83" s="96"/>
      <c r="B83" s="14"/>
      <c r="C83" s="27"/>
      <c r="D83" s="211"/>
      <c r="E83" s="211"/>
      <c r="G83" s="14"/>
      <c r="H83" s="14"/>
      <c r="I83" s="14"/>
      <c r="J83" s="14"/>
      <c r="K83" s="14"/>
      <c r="L83" s="14"/>
      <c r="M83" s="14"/>
      <c r="N83" s="14"/>
      <c r="R83" s="234"/>
      <c r="S83" s="204"/>
      <c r="V83" s="185"/>
    </row>
    <row r="84" spans="1:22" ht="18" customHeight="1">
      <c r="A84" s="96"/>
      <c r="B84" s="14"/>
      <c r="C84" s="27"/>
      <c r="D84" s="211"/>
      <c r="E84" s="211"/>
      <c r="G84" s="14"/>
      <c r="H84" s="14"/>
      <c r="I84" s="14"/>
      <c r="J84" s="14"/>
      <c r="K84" s="14"/>
      <c r="L84" s="14"/>
      <c r="M84" s="14"/>
      <c r="N84" s="14"/>
      <c r="R84" s="234"/>
      <c r="S84" s="204"/>
      <c r="V84" s="185"/>
    </row>
    <row r="85" spans="1:22" ht="18" customHeight="1">
      <c r="A85" s="96"/>
      <c r="B85" s="14"/>
      <c r="C85" s="27"/>
      <c r="D85" s="211"/>
      <c r="E85" s="211"/>
      <c r="G85" s="14"/>
      <c r="H85" s="14"/>
      <c r="I85" s="14"/>
      <c r="J85" s="14"/>
      <c r="K85" s="14"/>
      <c r="L85" s="14"/>
      <c r="M85" s="14"/>
      <c r="N85" s="14"/>
      <c r="R85" s="234"/>
      <c r="S85" s="204"/>
      <c r="V85" s="185"/>
    </row>
    <row r="86" spans="1:22" ht="18" customHeight="1">
      <c r="A86" s="96"/>
      <c r="B86" s="14"/>
      <c r="C86" s="27"/>
      <c r="D86" s="211"/>
      <c r="E86" s="211"/>
      <c r="G86" s="14"/>
      <c r="H86" s="14"/>
      <c r="I86" s="14"/>
      <c r="J86" s="14"/>
      <c r="K86" s="14"/>
      <c r="L86" s="14"/>
      <c r="M86" s="14"/>
      <c r="N86" s="14"/>
      <c r="R86" s="234"/>
      <c r="S86" s="204"/>
      <c r="V86" s="185"/>
    </row>
    <row r="87" spans="1:22" ht="18" customHeight="1">
      <c r="A87" s="96"/>
      <c r="B87" s="14"/>
      <c r="C87" s="27"/>
      <c r="D87" s="211"/>
      <c r="E87" s="211"/>
      <c r="G87" s="14"/>
      <c r="H87" s="14"/>
      <c r="I87" s="14"/>
      <c r="J87" s="14"/>
      <c r="K87" s="14"/>
      <c r="L87" s="14"/>
      <c r="M87" s="14"/>
      <c r="N87" s="14"/>
      <c r="R87" s="234"/>
      <c r="S87" s="204"/>
      <c r="V87" s="185"/>
    </row>
    <row r="88" spans="1:22" ht="18" customHeight="1">
      <c r="A88" s="96"/>
      <c r="B88" s="14"/>
      <c r="C88" s="27"/>
      <c r="D88" s="211"/>
      <c r="E88" s="211"/>
      <c r="G88" s="14"/>
      <c r="H88" s="14"/>
      <c r="I88" s="14"/>
      <c r="J88" s="14"/>
      <c r="K88" s="14"/>
      <c r="L88" s="14"/>
      <c r="M88" s="14"/>
      <c r="N88" s="14"/>
      <c r="R88" s="234"/>
      <c r="S88" s="204"/>
      <c r="V88" s="185"/>
    </row>
    <row r="89" spans="1:22" ht="18" customHeight="1">
      <c r="A89" s="96"/>
      <c r="B89" s="14"/>
      <c r="G89" s="14"/>
      <c r="H89" s="14"/>
      <c r="I89" s="14"/>
      <c r="J89" s="14"/>
      <c r="K89" s="14"/>
      <c r="L89" s="14"/>
      <c r="M89" s="14"/>
      <c r="N89" s="14"/>
      <c r="R89" s="234"/>
      <c r="S89" s="204"/>
      <c r="V89" s="185"/>
    </row>
    <row r="90" spans="1:22" ht="18" customHeight="1">
      <c r="A90" s="194"/>
      <c r="B90" s="195"/>
      <c r="C90" s="196"/>
      <c r="D90" s="196"/>
      <c r="E90" s="196"/>
      <c r="F90" s="196"/>
      <c r="G90" s="195"/>
      <c r="H90" s="195"/>
      <c r="I90" s="195"/>
      <c r="J90" s="195"/>
      <c r="K90" s="195"/>
      <c r="L90" s="195"/>
      <c r="M90" s="195"/>
      <c r="N90" s="195"/>
      <c r="O90" s="196"/>
      <c r="P90" s="196"/>
      <c r="Q90" s="196"/>
      <c r="R90" s="591"/>
      <c r="S90" s="518"/>
      <c r="T90" s="196"/>
      <c r="U90" s="196"/>
      <c r="V90" s="291"/>
    </row>
    <row r="91" spans="1:22" ht="18" customHeight="1">
      <c r="A91" s="96"/>
      <c r="B91" s="14"/>
      <c r="G91" s="14"/>
      <c r="H91" s="14"/>
      <c r="I91" s="14"/>
      <c r="J91" s="14"/>
      <c r="K91" s="14"/>
      <c r="L91" s="14"/>
      <c r="M91" s="14"/>
      <c r="N91" s="14"/>
      <c r="R91" s="234"/>
      <c r="S91" s="204"/>
      <c r="V91" s="185"/>
    </row>
    <row r="92" spans="1:22" ht="18" customHeight="1">
      <c r="A92" s="184" t="s">
        <v>684</v>
      </c>
      <c r="B92" s="14"/>
      <c r="G92" s="14"/>
      <c r="H92" s="14"/>
      <c r="I92" s="14"/>
      <c r="J92" s="14"/>
      <c r="K92" s="14"/>
      <c r="L92" s="14"/>
      <c r="M92" s="14"/>
      <c r="N92" s="14"/>
      <c r="R92" s="234"/>
      <c r="S92" s="204"/>
      <c r="U92" s="726" t="s">
        <v>685</v>
      </c>
      <c r="V92" s="185"/>
    </row>
    <row r="93" spans="1:22" ht="18" customHeight="1">
      <c r="A93" s="184"/>
      <c r="E93" s="30" t="s">
        <v>473</v>
      </c>
      <c r="F93" s="278" t="s">
        <v>652</v>
      </c>
      <c r="G93" s="28">
        <v>20</v>
      </c>
      <c r="H93" s="27" t="s">
        <v>315</v>
      </c>
      <c r="I93" s="27" t="s">
        <v>482</v>
      </c>
      <c r="J93" s="27" t="s">
        <v>372</v>
      </c>
      <c r="K93" s="27" t="s">
        <v>420</v>
      </c>
      <c r="L93" s="27" t="s">
        <v>347</v>
      </c>
      <c r="M93" s="27" t="s">
        <v>673</v>
      </c>
      <c r="N93" s="27" t="s">
        <v>350</v>
      </c>
      <c r="R93" s="234"/>
      <c r="S93" s="204"/>
      <c r="U93" s="689"/>
      <c r="V93" s="185"/>
    </row>
    <row r="94" spans="1:22" ht="18" customHeight="1">
      <c r="A94" s="184"/>
      <c r="B94" s="47" t="s">
        <v>655</v>
      </c>
      <c r="C94" s="14"/>
      <c r="D94" s="14"/>
      <c r="E94" s="14"/>
      <c r="F94" s="18"/>
      <c r="G94" s="18"/>
      <c r="H94" s="14"/>
      <c r="I94" s="120"/>
      <c r="J94" s="14"/>
      <c r="K94" s="14"/>
      <c r="M94" s="14"/>
      <c r="N94" s="14"/>
      <c r="P94" s="14" t="s">
        <v>420</v>
      </c>
      <c r="R94" s="234" t="s">
        <v>127</v>
      </c>
      <c r="S94" s="684">
        <f>H12</f>
        <v>1.5</v>
      </c>
      <c r="T94" s="684"/>
      <c r="U94" s="192" t="s">
        <v>333</v>
      </c>
      <c r="V94" s="185"/>
    </row>
    <row r="95" spans="1:22" ht="18" customHeight="1">
      <c r="A95" s="184"/>
      <c r="B95" s="47" t="s">
        <v>676</v>
      </c>
      <c r="C95" s="14"/>
      <c r="D95" s="14"/>
      <c r="E95" s="14"/>
      <c r="F95" s="18"/>
      <c r="G95" s="18"/>
      <c r="H95" s="14"/>
      <c r="I95" s="120"/>
      <c r="J95" s="14"/>
      <c r="K95" s="14"/>
      <c r="M95" s="14"/>
      <c r="N95" s="14"/>
      <c r="P95" s="30" t="s">
        <v>673</v>
      </c>
      <c r="R95" s="234" t="s">
        <v>127</v>
      </c>
      <c r="S95" s="795">
        <f>S29</f>
        <v>1.3247743100000002</v>
      </c>
      <c r="T95" s="795"/>
      <c r="U95" s="192" t="s">
        <v>333</v>
      </c>
      <c r="V95" s="185"/>
    </row>
    <row r="96" spans="1:22" ht="18" customHeight="1">
      <c r="A96" s="184"/>
      <c r="B96" s="296" t="s">
        <v>677</v>
      </c>
      <c r="C96" s="14"/>
      <c r="D96" s="14"/>
      <c r="E96" s="14"/>
      <c r="F96" s="14"/>
      <c r="G96" s="14"/>
      <c r="H96" s="14"/>
      <c r="I96" s="120"/>
      <c r="J96" s="14"/>
      <c r="K96" s="14"/>
      <c r="M96" s="14"/>
      <c r="N96" s="14"/>
      <c r="P96" s="30" t="s">
        <v>482</v>
      </c>
      <c r="R96" s="234" t="s">
        <v>127</v>
      </c>
      <c r="S96" s="684">
        <v>1</v>
      </c>
      <c r="T96" s="684"/>
      <c r="U96" s="30" t="s">
        <v>8</v>
      </c>
      <c r="V96" s="185"/>
    </row>
    <row r="97" spans="1:27" ht="18" customHeight="1">
      <c r="A97" s="184"/>
      <c r="B97" s="296"/>
      <c r="C97" s="14"/>
      <c r="D97" s="14"/>
      <c r="E97" s="14"/>
      <c r="F97" s="14"/>
      <c r="G97" s="14"/>
      <c r="H97" s="14"/>
      <c r="I97" s="120"/>
      <c r="J97" s="14"/>
      <c r="K97" s="14"/>
      <c r="M97" s="14"/>
      <c r="N97" s="14"/>
      <c r="R97" s="234"/>
      <c r="S97" s="27"/>
      <c r="T97" s="27"/>
      <c r="V97" s="185"/>
    </row>
    <row r="98" spans="1:27" ht="18" customHeight="1">
      <c r="A98" s="193"/>
      <c r="B98" s="14"/>
      <c r="E98" s="30" t="s">
        <v>473</v>
      </c>
      <c r="F98" s="278" t="s">
        <v>652</v>
      </c>
      <c r="G98" s="28">
        <f>G93</f>
        <v>20</v>
      </c>
      <c r="H98" s="28" t="str">
        <f>H93</f>
        <v>x</v>
      </c>
      <c r="I98" s="28">
        <f>S96</f>
        <v>1</v>
      </c>
      <c r="J98" s="27" t="s">
        <v>372</v>
      </c>
      <c r="K98" s="28">
        <f>S94</f>
        <v>1.5</v>
      </c>
      <c r="L98" s="27" t="s">
        <v>347</v>
      </c>
      <c r="M98" s="218">
        <f>S95</f>
        <v>1.3247743100000002</v>
      </c>
      <c r="N98" s="28" t="str">
        <f>N93</f>
        <v>)</v>
      </c>
      <c r="R98" s="234"/>
      <c r="S98" s="204"/>
      <c r="V98" s="185"/>
    </row>
    <row r="99" spans="1:27" ht="18" customHeight="1">
      <c r="A99" s="193"/>
      <c r="B99" s="14"/>
      <c r="C99" s="278"/>
      <c r="G99" s="28"/>
      <c r="H99" s="28"/>
      <c r="I99" s="28"/>
      <c r="J99" s="27"/>
      <c r="K99" s="28"/>
      <c r="L99" s="27"/>
      <c r="M99" s="218"/>
      <c r="N99" s="28"/>
      <c r="R99" s="234"/>
      <c r="S99" s="204"/>
      <c r="V99" s="185"/>
    </row>
    <row r="100" spans="1:27" ht="18" customHeight="1">
      <c r="A100" s="193"/>
      <c r="B100" s="14"/>
      <c r="C100" s="278"/>
      <c r="F100" s="30" t="s">
        <v>127</v>
      </c>
      <c r="G100" s="1188">
        <f>ROUNDUP(G98*I98*(K98+M98),2)</f>
        <v>56.5</v>
      </c>
      <c r="H100" s="1188"/>
      <c r="I100" s="28"/>
      <c r="J100" s="27"/>
      <c r="K100" s="28"/>
      <c r="L100" s="27"/>
      <c r="M100" s="218"/>
      <c r="N100" s="28"/>
      <c r="R100" s="234"/>
      <c r="S100" s="204"/>
      <c r="V100" s="185"/>
    </row>
    <row r="101" spans="1:27" ht="18" customHeight="1">
      <c r="A101" s="193"/>
      <c r="B101" s="14"/>
      <c r="C101" s="278"/>
      <c r="G101" s="281"/>
      <c r="H101" s="281"/>
      <c r="I101" s="28"/>
      <c r="J101" s="27"/>
      <c r="K101" s="28"/>
      <c r="L101" s="27"/>
      <c r="M101" s="218"/>
      <c r="N101" s="28"/>
      <c r="R101" s="234"/>
      <c r="S101" s="204"/>
      <c r="V101" s="185"/>
    </row>
    <row r="102" spans="1:27" ht="18" customHeight="1">
      <c r="A102" s="193"/>
      <c r="B102" s="14"/>
      <c r="C102" s="278"/>
      <c r="G102" s="28"/>
      <c r="H102" s="28"/>
      <c r="I102" s="28"/>
      <c r="J102" s="27"/>
      <c r="K102" s="28"/>
      <c r="L102" s="27"/>
      <c r="M102" s="218"/>
      <c r="N102" s="28"/>
      <c r="R102" s="234"/>
      <c r="S102" s="204"/>
      <c r="V102" s="185"/>
    </row>
    <row r="103" spans="1:27" ht="18" customHeight="1">
      <c r="A103" s="96"/>
      <c r="B103" s="14"/>
      <c r="D103" s="30" t="s">
        <v>527</v>
      </c>
      <c r="E103" s="14"/>
      <c r="F103" s="279"/>
      <c r="G103" s="14"/>
      <c r="H103" s="14"/>
      <c r="I103" s="279"/>
      <c r="J103" s="14"/>
      <c r="K103" s="14"/>
      <c r="L103" s="30" t="s">
        <v>473</v>
      </c>
      <c r="M103" s="505" t="s">
        <v>529</v>
      </c>
      <c r="N103" s="30" t="str">
        <f>CONCATENATE(Y103,X103,D59,Z103,D82,Z103,G100,AA103)</f>
        <v>max(94.16,13.18,56.5)</v>
      </c>
      <c r="R103" s="234"/>
      <c r="S103" s="204"/>
      <c r="V103" s="185"/>
      <c r="X103" s="30" t="s">
        <v>419</v>
      </c>
      <c r="Y103" s="30" t="s">
        <v>530</v>
      </c>
      <c r="Z103" s="30" t="s">
        <v>531</v>
      </c>
      <c r="AA103" s="30" t="s">
        <v>350</v>
      </c>
    </row>
    <row r="104" spans="1:27" ht="18" customHeight="1">
      <c r="A104" s="96"/>
      <c r="B104" s="14"/>
      <c r="D104" s="14"/>
      <c r="E104" s="14"/>
      <c r="F104" s="279"/>
      <c r="G104" s="14"/>
      <c r="H104" s="14"/>
      <c r="I104" s="279"/>
      <c r="J104" s="14"/>
      <c r="K104" s="14"/>
      <c r="L104" s="30" t="s">
        <v>473</v>
      </c>
      <c r="M104" s="505" t="s">
        <v>529</v>
      </c>
      <c r="N104" s="795">
        <f>MAX(D82,D59,G100)</f>
        <v>94.160000000000011</v>
      </c>
      <c r="O104" s="795"/>
      <c r="R104" s="234"/>
      <c r="S104" s="204"/>
      <c r="V104" s="185"/>
    </row>
    <row r="105" spans="1:27" ht="18" customHeight="1">
      <c r="A105" s="96"/>
      <c r="B105" s="14"/>
      <c r="G105" s="14"/>
      <c r="H105" s="14"/>
      <c r="I105" s="14"/>
      <c r="J105" s="14"/>
      <c r="K105" s="14"/>
      <c r="L105" s="296">
        <f>H13</f>
        <v>400</v>
      </c>
      <c r="M105" s="505" t="s">
        <v>529</v>
      </c>
      <c r="N105" s="795">
        <f>N104</f>
        <v>94.160000000000011</v>
      </c>
      <c r="O105" s="795"/>
      <c r="R105" s="234"/>
      <c r="S105" s="204"/>
      <c r="V105" s="185"/>
    </row>
    <row r="106" spans="1:27" ht="18" customHeight="1">
      <c r="A106" s="96"/>
      <c r="B106" s="14"/>
      <c r="F106" s="14"/>
      <c r="G106" s="14"/>
      <c r="H106" s="14"/>
      <c r="I106" s="14"/>
      <c r="J106" s="14"/>
      <c r="K106" s="14"/>
      <c r="L106" s="14"/>
      <c r="M106" s="14"/>
      <c r="N106" s="14"/>
      <c r="O106" s="154"/>
      <c r="P106" s="14"/>
      <c r="R106" s="234"/>
      <c r="S106" s="204"/>
      <c r="V106" s="185"/>
    </row>
    <row r="107" spans="1:27" ht="18" customHeight="1">
      <c r="A107" s="96"/>
      <c r="B107" s="14"/>
      <c r="D107"/>
      <c r="E107"/>
      <c r="F107" s="244" t="s">
        <v>478</v>
      </c>
      <c r="G107"/>
      <c r="H107" s="18" t="str">
        <f>IF(L105&gt;N105,"Suitably Dimensioned","Under Dimensioned")</f>
        <v>Suitably Dimensioned</v>
      </c>
      <c r="I107"/>
      <c r="J107"/>
      <c r="K107"/>
      <c r="L107"/>
      <c r="N107" s="14"/>
      <c r="R107" s="234"/>
      <c r="S107" s="204"/>
      <c r="V107" s="185"/>
    </row>
    <row r="108" spans="1:27" ht="18" customHeight="1">
      <c r="A108" s="96"/>
      <c r="B108" s="14"/>
      <c r="D108"/>
      <c r="E108"/>
      <c r="F108" s="244"/>
      <c r="G108"/>
      <c r="H108" s="18"/>
      <c r="I108"/>
      <c r="J108"/>
      <c r="K108"/>
      <c r="L108"/>
      <c r="N108" s="14"/>
      <c r="R108" s="234"/>
      <c r="S108" s="204"/>
      <c r="V108" s="185"/>
    </row>
    <row r="109" spans="1:27" ht="18" customHeight="1">
      <c r="A109" s="96"/>
      <c r="B109" s="14"/>
      <c r="D109"/>
      <c r="E109"/>
      <c r="F109" s="244"/>
      <c r="G109"/>
      <c r="H109" s="18"/>
      <c r="I109"/>
      <c r="J109"/>
      <c r="K109"/>
      <c r="L109"/>
      <c r="N109" s="14"/>
      <c r="R109" s="234"/>
      <c r="S109" s="204"/>
      <c r="V109" s="185"/>
    </row>
    <row r="110" spans="1:27" ht="18" customHeight="1">
      <c r="A110" s="96"/>
      <c r="B110" s="14"/>
      <c r="D110"/>
      <c r="E110"/>
      <c r="F110" s="244"/>
      <c r="G110"/>
      <c r="H110" s="18"/>
      <c r="I110"/>
      <c r="J110"/>
      <c r="K110"/>
      <c r="L110"/>
      <c r="N110" s="14"/>
      <c r="R110" s="234"/>
      <c r="S110" s="204"/>
      <c r="V110" s="185"/>
    </row>
    <row r="111" spans="1:27" ht="18" customHeight="1">
      <c r="A111" s="96"/>
      <c r="B111" s="14"/>
      <c r="D111"/>
      <c r="E111"/>
      <c r="F111" s="244"/>
      <c r="G111"/>
      <c r="H111" s="18"/>
      <c r="I111"/>
      <c r="J111"/>
      <c r="K111"/>
      <c r="L111"/>
      <c r="N111" s="14"/>
      <c r="R111" s="234"/>
      <c r="S111" s="204"/>
      <c r="V111" s="185"/>
    </row>
    <row r="112" spans="1:27" ht="18" customHeight="1">
      <c r="A112" s="96"/>
      <c r="B112" s="14"/>
      <c r="D112"/>
      <c r="E112"/>
      <c r="F112" s="244"/>
      <c r="G112"/>
      <c r="H112" s="18"/>
      <c r="I112"/>
      <c r="J112"/>
      <c r="K112"/>
      <c r="L112"/>
      <c r="N112" s="14"/>
      <c r="R112" s="234"/>
      <c r="S112" s="204"/>
      <c r="V112" s="185"/>
    </row>
    <row r="113" spans="1:22" ht="18" customHeight="1">
      <c r="A113" s="96"/>
      <c r="B113" s="14"/>
      <c r="D113"/>
      <c r="E113"/>
      <c r="F113" s="244"/>
      <c r="G113"/>
      <c r="H113" s="18"/>
      <c r="I113"/>
      <c r="J113"/>
      <c r="K113"/>
      <c r="L113"/>
      <c r="N113" s="14"/>
      <c r="R113" s="234"/>
      <c r="S113" s="204"/>
      <c r="V113" s="185"/>
    </row>
    <row r="114" spans="1:22" ht="18" customHeight="1">
      <c r="A114" s="96"/>
      <c r="B114" s="14"/>
      <c r="D114"/>
      <c r="E114"/>
      <c r="F114" s="244"/>
      <c r="G114"/>
      <c r="H114" s="18"/>
      <c r="I114"/>
      <c r="J114"/>
      <c r="K114"/>
      <c r="L114"/>
      <c r="N114" s="14"/>
      <c r="R114" s="234"/>
      <c r="S114" s="204"/>
      <c r="V114" s="185"/>
    </row>
    <row r="115" spans="1:22" ht="18" customHeight="1">
      <c r="A115" s="96"/>
      <c r="B115" s="14"/>
      <c r="D115"/>
      <c r="E115"/>
      <c r="F115" s="244"/>
      <c r="G115"/>
      <c r="H115" s="18"/>
      <c r="I115"/>
      <c r="J115"/>
      <c r="K115"/>
      <c r="L115"/>
      <c r="N115" s="14"/>
      <c r="R115" s="234"/>
      <c r="S115" s="204"/>
      <c r="V115" s="185"/>
    </row>
    <row r="116" spans="1:22" ht="18" customHeight="1">
      <c r="A116" s="96"/>
      <c r="B116" s="14"/>
      <c r="D116"/>
      <c r="E116"/>
      <c r="F116" s="244"/>
      <c r="G116"/>
      <c r="H116" s="18"/>
      <c r="I116"/>
      <c r="J116"/>
      <c r="K116"/>
      <c r="L116"/>
      <c r="N116" s="14"/>
      <c r="R116" s="234"/>
      <c r="S116" s="204"/>
      <c r="V116" s="185"/>
    </row>
    <row r="117" spans="1:22" ht="18" customHeight="1">
      <c r="A117" s="96"/>
      <c r="B117" s="14"/>
      <c r="D117"/>
      <c r="E117"/>
      <c r="F117" s="244"/>
      <c r="G117"/>
      <c r="H117" s="18"/>
      <c r="I117"/>
      <c r="J117"/>
      <c r="K117"/>
      <c r="L117"/>
      <c r="N117" s="14"/>
      <c r="R117" s="234"/>
      <c r="S117" s="204"/>
      <c r="V117" s="185"/>
    </row>
    <row r="118" spans="1:22" ht="18" customHeight="1">
      <c r="A118" s="96"/>
      <c r="B118" s="14"/>
      <c r="D118"/>
      <c r="E118"/>
      <c r="F118" s="244"/>
      <c r="G118"/>
      <c r="H118" s="18"/>
      <c r="I118"/>
      <c r="J118"/>
      <c r="K118"/>
      <c r="L118"/>
      <c r="N118" s="14"/>
      <c r="R118" s="234"/>
      <c r="S118" s="204"/>
      <c r="V118" s="185"/>
    </row>
    <row r="119" spans="1:22" ht="18" customHeight="1">
      <c r="A119" s="96"/>
      <c r="B119" s="14"/>
      <c r="D119"/>
      <c r="E119"/>
      <c r="F119" s="244"/>
      <c r="G119"/>
      <c r="H119" s="18"/>
      <c r="I119"/>
      <c r="J119"/>
      <c r="K119"/>
      <c r="L119"/>
      <c r="N119" s="14"/>
      <c r="R119" s="234"/>
      <c r="S119" s="204"/>
      <c r="V119" s="185"/>
    </row>
    <row r="120" spans="1:22" ht="18" customHeight="1">
      <c r="A120" s="96"/>
      <c r="B120" s="14"/>
      <c r="D120"/>
      <c r="E120"/>
      <c r="F120" s="244"/>
      <c r="G120"/>
      <c r="H120" s="18"/>
      <c r="I120"/>
      <c r="J120"/>
      <c r="K120"/>
      <c r="L120"/>
      <c r="N120" s="14"/>
      <c r="R120" s="234"/>
      <c r="S120" s="204"/>
      <c r="V120" s="185"/>
    </row>
    <row r="121" spans="1:22" ht="18" customHeight="1">
      <c r="A121" s="96"/>
      <c r="B121" s="14"/>
      <c r="D121"/>
      <c r="E121"/>
      <c r="F121" s="244"/>
      <c r="G121"/>
      <c r="H121" s="18"/>
      <c r="I121"/>
      <c r="J121"/>
      <c r="K121"/>
      <c r="L121"/>
      <c r="N121" s="14"/>
      <c r="R121" s="234"/>
      <c r="S121" s="204"/>
      <c r="V121" s="185"/>
    </row>
    <row r="122" spans="1:22" ht="18" customHeight="1">
      <c r="A122" s="96"/>
      <c r="B122" s="14"/>
      <c r="D122"/>
      <c r="E122"/>
      <c r="F122" s="244"/>
      <c r="G122"/>
      <c r="H122" s="18"/>
      <c r="I122"/>
      <c r="J122"/>
      <c r="K122"/>
      <c r="L122"/>
      <c r="N122" s="14"/>
      <c r="R122" s="234"/>
      <c r="S122" s="204"/>
      <c r="V122" s="185"/>
    </row>
    <row r="123" spans="1:22" ht="18" customHeight="1">
      <c r="A123" s="96"/>
      <c r="B123" s="14"/>
      <c r="D123"/>
      <c r="E123"/>
      <c r="F123" s="244"/>
      <c r="G123"/>
      <c r="H123" s="18"/>
      <c r="I123"/>
      <c r="J123"/>
      <c r="K123"/>
      <c r="L123"/>
      <c r="N123" s="14"/>
      <c r="R123" s="234"/>
      <c r="S123" s="204"/>
      <c r="V123" s="185"/>
    </row>
    <row r="124" spans="1:22" ht="18" customHeight="1">
      <c r="A124" s="96"/>
      <c r="B124" s="14"/>
      <c r="D124"/>
      <c r="E124"/>
      <c r="F124" s="244"/>
      <c r="G124"/>
      <c r="H124" s="18"/>
      <c r="I124"/>
      <c r="J124"/>
      <c r="K124"/>
      <c r="L124"/>
      <c r="N124" s="14"/>
      <c r="R124" s="234"/>
      <c r="S124" s="204"/>
      <c r="V124" s="185"/>
    </row>
    <row r="125" spans="1:22" ht="18" customHeight="1">
      <c r="A125" s="96"/>
      <c r="B125" s="14"/>
      <c r="D125"/>
      <c r="E125"/>
      <c r="F125" s="244"/>
      <c r="G125"/>
      <c r="H125" s="18"/>
      <c r="I125"/>
      <c r="J125"/>
      <c r="K125"/>
      <c r="L125"/>
      <c r="N125" s="14"/>
      <c r="R125" s="234"/>
      <c r="S125" s="204"/>
      <c r="V125" s="185"/>
    </row>
    <row r="126" spans="1:22" ht="18" customHeight="1">
      <c r="A126" s="96"/>
      <c r="B126" s="14"/>
      <c r="D126"/>
      <c r="E126"/>
      <c r="F126" s="244"/>
      <c r="G126"/>
      <c r="H126" s="18"/>
      <c r="I126"/>
      <c r="J126"/>
      <c r="K126"/>
      <c r="L126"/>
      <c r="N126" s="14"/>
      <c r="R126" s="234"/>
      <c r="S126" s="204"/>
      <c r="V126" s="185"/>
    </row>
    <row r="127" spans="1:22" ht="18" customHeight="1">
      <c r="A127" s="96"/>
      <c r="B127" s="14"/>
      <c r="D127"/>
      <c r="E127"/>
      <c r="F127" s="244"/>
      <c r="G127"/>
      <c r="H127" s="18"/>
      <c r="I127"/>
      <c r="J127"/>
      <c r="K127"/>
      <c r="L127"/>
      <c r="N127" s="14"/>
      <c r="R127" s="234"/>
      <c r="S127" s="204"/>
      <c r="V127" s="185"/>
    </row>
    <row r="128" spans="1:22" ht="18" customHeight="1">
      <c r="A128" s="96"/>
      <c r="B128" s="14"/>
      <c r="D128"/>
      <c r="E128"/>
      <c r="F128" s="244"/>
      <c r="G128"/>
      <c r="H128" s="18"/>
      <c r="I128"/>
      <c r="J128"/>
      <c r="K128"/>
      <c r="L128"/>
      <c r="N128" s="14"/>
      <c r="R128" s="234"/>
      <c r="S128" s="204"/>
      <c r="V128" s="185"/>
    </row>
    <row r="129" spans="1:29" ht="18" customHeight="1">
      <c r="A129" s="96"/>
      <c r="B129" s="14"/>
      <c r="D129"/>
      <c r="E129"/>
      <c r="F129" s="244"/>
      <c r="G129"/>
      <c r="H129" s="18"/>
      <c r="I129"/>
      <c r="J129"/>
      <c r="K129"/>
      <c r="L129"/>
      <c r="N129" s="14"/>
      <c r="R129" s="234"/>
      <c r="S129" s="204"/>
      <c r="V129" s="185"/>
    </row>
    <row r="130" spans="1:29" s="14" customFormat="1" ht="18" customHeight="1">
      <c r="A130" s="194"/>
      <c r="B130" s="195"/>
      <c r="C130" s="195"/>
      <c r="D130" s="195"/>
      <c r="E130" s="195"/>
      <c r="F130" s="195"/>
      <c r="G130" s="195"/>
      <c r="H130" s="195"/>
      <c r="I130" s="195"/>
      <c r="J130" s="195"/>
      <c r="K130" s="195"/>
      <c r="L130" s="195"/>
      <c r="M130" s="195"/>
      <c r="N130" s="195"/>
      <c r="O130" s="195"/>
      <c r="P130" s="195"/>
      <c r="Q130" s="224"/>
      <c r="R130" s="182"/>
      <c r="S130" s="225"/>
      <c r="T130" s="195"/>
      <c r="U130" s="195"/>
      <c r="V130" s="134"/>
    </row>
    <row r="131" spans="1:29" ht="18" customHeight="1">
      <c r="A131" s="226"/>
      <c r="B131" s="227"/>
      <c r="C131" s="227"/>
      <c r="D131" s="227"/>
      <c r="E131" s="227"/>
      <c r="F131" s="227"/>
      <c r="G131" s="227"/>
      <c r="H131" s="227"/>
      <c r="I131" s="227"/>
      <c r="J131" s="227"/>
      <c r="K131" s="227"/>
      <c r="L131" s="227"/>
      <c r="M131" s="227"/>
      <c r="N131" s="227"/>
      <c r="O131" s="227"/>
      <c r="P131" s="227"/>
      <c r="Q131" s="227"/>
      <c r="R131" s="227"/>
      <c r="S131" s="227"/>
      <c r="T131" s="227"/>
      <c r="U131" s="227"/>
      <c r="V131" s="228"/>
    </row>
    <row r="132" spans="1:29" ht="18" customHeight="1">
      <c r="A132" s="184"/>
      <c r="B132" s="781" t="s">
        <v>108</v>
      </c>
      <c r="C132" s="782"/>
      <c r="D132" s="781" t="s">
        <v>506</v>
      </c>
      <c r="E132" s="782"/>
      <c r="F132" s="186" t="s">
        <v>631</v>
      </c>
      <c r="H132" s="684" t="str">
        <f>H7</f>
        <v>(Transformer Differential)</v>
      </c>
      <c r="I132" s="684"/>
      <c r="J132" s="684"/>
      <c r="K132" s="684"/>
      <c r="L132" s="684"/>
      <c r="M132" s="684"/>
      <c r="P132" s="186"/>
      <c r="S132" s="187" t="s">
        <v>387</v>
      </c>
      <c r="T132" s="1154" t="str">
        <f>T7</f>
        <v>7UT85</v>
      </c>
      <c r="U132" s="1155"/>
      <c r="V132" s="185"/>
    </row>
    <row r="133" spans="1:29" ht="18" customHeight="1">
      <c r="A133" s="184"/>
      <c r="B133" s="18"/>
      <c r="C133" s="18"/>
      <c r="D133" s="14"/>
      <c r="E133" s="14"/>
      <c r="F133" s="287"/>
      <c r="T133" s="1154" t="str">
        <f>T8</f>
        <v>IDM+</v>
      </c>
      <c r="U133" s="1155"/>
      <c r="V133" s="185"/>
    </row>
    <row r="134" spans="1:29" ht="18" customHeight="1">
      <c r="A134" s="184"/>
      <c r="H134" s="708" t="s">
        <v>390</v>
      </c>
      <c r="I134" s="708"/>
      <c r="J134" s="789" t="s">
        <v>391</v>
      </c>
      <c r="K134" s="789"/>
      <c r="L134" s="708" t="s">
        <v>392</v>
      </c>
      <c r="M134" s="708"/>
      <c r="T134" s="1154">
        <f>T9</f>
        <v>0</v>
      </c>
      <c r="U134" s="1155"/>
      <c r="V134" s="185"/>
    </row>
    <row r="135" spans="1:29" ht="18" customHeight="1">
      <c r="A135" s="184"/>
      <c r="B135" s="47" t="s">
        <v>393</v>
      </c>
      <c r="H135" s="854">
        <f>H10</f>
        <v>600</v>
      </c>
      <c r="I135" s="831"/>
      <c r="J135" s="863">
        <f>J10</f>
        <v>1800</v>
      </c>
      <c r="K135" s="864"/>
      <c r="L135" s="854" t="str">
        <f>L10</f>
        <v>-</v>
      </c>
      <c r="M135" s="831"/>
      <c r="N135" s="102" t="s">
        <v>342</v>
      </c>
      <c r="O135" s="256">
        <f>O10</f>
        <v>1</v>
      </c>
      <c r="P135" s="27" t="s">
        <v>8</v>
      </c>
      <c r="V135" s="185"/>
    </row>
    <row r="136" spans="1:29" ht="18" customHeight="1">
      <c r="A136" s="184"/>
      <c r="B136" s="47" t="s">
        <v>394</v>
      </c>
      <c r="H136" s="14"/>
      <c r="I136" s="14"/>
      <c r="J136" s="854" t="str">
        <f>H11</f>
        <v>PX</v>
      </c>
      <c r="K136" s="776"/>
      <c r="L136" s="14"/>
      <c r="M136" s="14"/>
      <c r="V136" s="185"/>
    </row>
    <row r="137" spans="1:29" ht="18" customHeight="1">
      <c r="A137" s="184"/>
      <c r="B137" s="47" t="s">
        <v>396</v>
      </c>
      <c r="I137" s="120" t="s">
        <v>497</v>
      </c>
      <c r="J137" s="781">
        <v>5</v>
      </c>
      <c r="K137" s="782"/>
      <c r="L137" s="192" t="s">
        <v>333</v>
      </c>
      <c r="V137" s="185"/>
    </row>
    <row r="138" spans="1:29" ht="18" customHeight="1">
      <c r="A138" s="184"/>
      <c r="B138" s="47" t="s">
        <v>398</v>
      </c>
      <c r="I138" s="120" t="s">
        <v>498</v>
      </c>
      <c r="J138" s="781">
        <v>1600</v>
      </c>
      <c r="K138" s="782"/>
      <c r="L138" s="14" t="s">
        <v>305</v>
      </c>
      <c r="V138" s="185"/>
      <c r="W138" s="30" t="s">
        <v>400</v>
      </c>
      <c r="AB138" s="785">
        <f>D189</f>
        <v>56.746078483949184</v>
      </c>
      <c r="AC138" s="786"/>
    </row>
    <row r="139" spans="1:29" ht="18" customHeight="1">
      <c r="A139" s="184"/>
      <c r="B139" s="14" t="s">
        <v>401</v>
      </c>
      <c r="I139" s="120" t="s">
        <v>402</v>
      </c>
      <c r="J139" s="781">
        <v>10</v>
      </c>
      <c r="K139" s="782"/>
      <c r="L139" s="30" t="s">
        <v>403</v>
      </c>
      <c r="V139" s="185"/>
    </row>
    <row r="140" spans="1:29" ht="18" customHeight="1">
      <c r="A140" s="96"/>
      <c r="V140" s="185"/>
    </row>
    <row r="141" spans="1:29" ht="18" customHeight="1">
      <c r="A141" s="193" t="s">
        <v>404</v>
      </c>
      <c r="V141" s="185"/>
    </row>
    <row r="142" spans="1:29" ht="18" customHeight="1">
      <c r="A142" s="184"/>
      <c r="V142" s="185"/>
    </row>
    <row r="143" spans="1:29" ht="18" customHeight="1">
      <c r="A143" s="184"/>
      <c r="B143" s="194" t="s">
        <v>405</v>
      </c>
      <c r="C143" s="195"/>
      <c r="D143" s="195" t="str">
        <f>T132</f>
        <v>7UT85</v>
      </c>
      <c r="E143" s="196"/>
      <c r="F143" s="196"/>
      <c r="G143" s="196"/>
      <c r="H143" s="182" t="s">
        <v>406</v>
      </c>
      <c r="I143" s="183" t="s">
        <v>127</v>
      </c>
      <c r="J143" s="766">
        <f>J18</f>
        <v>0.1</v>
      </c>
      <c r="K143" s="958"/>
      <c r="L143" s="3" t="s">
        <v>157</v>
      </c>
      <c r="V143" s="185"/>
    </row>
    <row r="144" spans="1:29" ht="18" customHeight="1">
      <c r="A144" s="184"/>
      <c r="B144" s="184" t="s">
        <v>405</v>
      </c>
      <c r="D144" s="30" t="str">
        <f>T133</f>
        <v>IDM+</v>
      </c>
      <c r="H144" s="27"/>
      <c r="I144" s="177" t="s">
        <v>127</v>
      </c>
      <c r="J144" s="861">
        <f>J19</f>
        <v>5.8000000000000003E-2</v>
      </c>
      <c r="K144" s="989"/>
      <c r="L144" s="198" t="s">
        <v>157</v>
      </c>
      <c r="V144" s="185"/>
    </row>
    <row r="145" spans="1:22" ht="18" customHeight="1">
      <c r="A145" s="184"/>
      <c r="B145" s="184" t="s">
        <v>405</v>
      </c>
      <c r="D145" s="30">
        <f>T134</f>
        <v>0</v>
      </c>
      <c r="E145" s="14"/>
      <c r="G145" s="199"/>
      <c r="H145" s="27"/>
      <c r="I145" s="177" t="s">
        <v>127</v>
      </c>
      <c r="J145" s="696">
        <f>J20</f>
        <v>0</v>
      </c>
      <c r="K145" s="820"/>
      <c r="L145" s="202" t="s">
        <v>157</v>
      </c>
      <c r="V145" s="185"/>
    </row>
    <row r="146" spans="1:22" ht="18" customHeight="1">
      <c r="A146" s="184"/>
      <c r="B146" s="184" t="s">
        <v>412</v>
      </c>
      <c r="H146" s="27" t="s">
        <v>599</v>
      </c>
      <c r="I146" s="177" t="s">
        <v>127</v>
      </c>
      <c r="J146" s="861">
        <f>J21</f>
        <v>1.1667743100000001</v>
      </c>
      <c r="K146" s="989"/>
      <c r="L146" s="203" t="s">
        <v>157</v>
      </c>
      <c r="V146" s="185"/>
    </row>
    <row r="147" spans="1:22" ht="18" customHeight="1">
      <c r="A147" s="184"/>
      <c r="B147" s="205" t="s">
        <v>413</v>
      </c>
      <c r="C147" s="206"/>
      <c r="D147" s="206"/>
      <c r="E147" s="206"/>
      <c r="F147" s="207"/>
      <c r="G147" s="207"/>
      <c r="H147" s="190" t="s">
        <v>409</v>
      </c>
      <c r="I147" s="208" t="s">
        <v>127</v>
      </c>
      <c r="J147" s="766">
        <f>J144+J146</f>
        <v>1.2247743100000001</v>
      </c>
      <c r="K147" s="958"/>
      <c r="L147" s="210" t="s">
        <v>157</v>
      </c>
      <c r="V147" s="185"/>
    </row>
    <row r="148" spans="1:22" ht="18" customHeight="1">
      <c r="A148" s="184"/>
      <c r="B148" s="47"/>
      <c r="C148" s="47"/>
      <c r="D148" s="47"/>
      <c r="E148" s="47"/>
      <c r="H148" s="27"/>
      <c r="I148" s="28"/>
      <c r="J148" s="199"/>
      <c r="L148" s="47"/>
      <c r="O148" s="27"/>
      <c r="P148" s="211"/>
      <c r="Q148" s="211"/>
      <c r="R148" s="192"/>
      <c r="V148" s="185"/>
    </row>
    <row r="149" spans="1:22" ht="18" customHeight="1">
      <c r="A149" s="184"/>
      <c r="B149" s="197" t="s">
        <v>648</v>
      </c>
      <c r="L149" s="47"/>
      <c r="M149" s="197" t="s">
        <v>407</v>
      </c>
      <c r="V149" s="185"/>
    </row>
    <row r="150" spans="1:22" ht="18" customHeight="1">
      <c r="A150" s="184"/>
      <c r="B150" s="27" t="s">
        <v>649</v>
      </c>
      <c r="C150" s="27" t="s">
        <v>127</v>
      </c>
      <c r="D150" s="30" t="s">
        <v>406</v>
      </c>
      <c r="E150" s="271" t="s">
        <v>410</v>
      </c>
      <c r="F150" s="27" t="s">
        <v>146</v>
      </c>
      <c r="G150" s="28" t="s">
        <v>315</v>
      </c>
      <c r="H150" s="218" t="s">
        <v>146</v>
      </c>
      <c r="I150" s="30" t="s">
        <v>350</v>
      </c>
      <c r="J150" s="199"/>
      <c r="L150" s="47"/>
      <c r="M150" s="30" t="s">
        <v>408</v>
      </c>
      <c r="N150" s="27" t="s">
        <v>127</v>
      </c>
      <c r="O150" s="30" t="s">
        <v>409</v>
      </c>
      <c r="P150" s="191" t="s">
        <v>410</v>
      </c>
      <c r="Q150" s="244" t="s">
        <v>411</v>
      </c>
      <c r="R150" s="27" t="s">
        <v>315</v>
      </c>
      <c r="S150" s="30" t="s">
        <v>411</v>
      </c>
      <c r="T150" s="30" t="s">
        <v>350</v>
      </c>
      <c r="V150" s="185"/>
    </row>
    <row r="151" spans="1:22" ht="18" customHeight="1">
      <c r="A151" s="184"/>
      <c r="B151" s="47"/>
      <c r="C151" s="27" t="s">
        <v>127</v>
      </c>
      <c r="D151" s="204">
        <f>J143</f>
        <v>0.1</v>
      </c>
      <c r="E151" s="191" t="s">
        <v>410</v>
      </c>
      <c r="F151" s="27">
        <f>F26</f>
        <v>1</v>
      </c>
      <c r="G151" s="27" t="s">
        <v>315</v>
      </c>
      <c r="H151" s="27">
        <f>H26</f>
        <v>1</v>
      </c>
      <c r="I151" s="30" t="s">
        <v>350</v>
      </c>
      <c r="J151" s="199"/>
      <c r="L151" s="47"/>
      <c r="N151" s="27" t="s">
        <v>127</v>
      </c>
      <c r="O151" s="204">
        <f>J147</f>
        <v>1.2247743100000001</v>
      </c>
      <c r="P151" s="191" t="s">
        <v>410</v>
      </c>
      <c r="Q151" s="27">
        <f>O135</f>
        <v>1</v>
      </c>
      <c r="R151" s="27" t="s">
        <v>315</v>
      </c>
      <c r="S151" s="27">
        <f>O135</f>
        <v>1</v>
      </c>
      <c r="T151" s="30" t="s">
        <v>350</v>
      </c>
      <c r="V151" s="185"/>
    </row>
    <row r="152" spans="1:22" ht="18" customHeight="1">
      <c r="A152" s="184"/>
      <c r="B152" s="47"/>
      <c r="C152" s="27" t="s">
        <v>127</v>
      </c>
      <c r="D152" s="795">
        <f>D151/(F151*H151)</f>
        <v>0.1</v>
      </c>
      <c r="E152" s="795"/>
      <c r="F152" s="192" t="s">
        <v>333</v>
      </c>
      <c r="J152" s="199"/>
      <c r="L152" s="47"/>
      <c r="N152" s="27" t="s">
        <v>127</v>
      </c>
      <c r="O152" s="795">
        <f>O151/(Q151*S151)</f>
        <v>1.2247743100000001</v>
      </c>
      <c r="P152" s="795"/>
      <c r="Q152" s="192" t="s">
        <v>333</v>
      </c>
      <c r="V152" s="185"/>
    </row>
    <row r="153" spans="1:22" ht="18" customHeight="1">
      <c r="A153" s="184"/>
      <c r="B153" s="47"/>
      <c r="C153" s="47"/>
      <c r="D153" s="47"/>
      <c r="E153" s="47"/>
      <c r="H153" s="27"/>
      <c r="I153" s="28"/>
      <c r="J153" s="199"/>
      <c r="L153" s="47"/>
      <c r="O153" s="27"/>
      <c r="P153" s="211"/>
      <c r="Q153" s="211"/>
      <c r="R153" s="192"/>
      <c r="V153" s="185"/>
    </row>
    <row r="154" spans="1:22" ht="18" customHeight="1">
      <c r="A154" s="184"/>
      <c r="B154" s="47" t="s">
        <v>668</v>
      </c>
      <c r="C154" s="47"/>
      <c r="D154" s="47"/>
      <c r="E154" s="47"/>
      <c r="H154" s="27"/>
      <c r="I154" s="28"/>
      <c r="J154" s="199"/>
      <c r="L154" s="28" t="s">
        <v>127</v>
      </c>
      <c r="M154" s="795">
        <f>D152</f>
        <v>0.1</v>
      </c>
      <c r="N154" s="795"/>
      <c r="O154" s="27" t="s">
        <v>347</v>
      </c>
      <c r="P154" s="795">
        <f>O152</f>
        <v>1.2247743100000001</v>
      </c>
      <c r="Q154" s="795"/>
      <c r="R154" s="211" t="s">
        <v>127</v>
      </c>
      <c r="S154" s="795">
        <f>M154+P154</f>
        <v>1.3247743100000002</v>
      </c>
      <c r="T154" s="795"/>
      <c r="U154" s="192" t="s">
        <v>333</v>
      </c>
      <c r="V154" s="185"/>
    </row>
    <row r="155" spans="1:22" s="14" customFormat="1" ht="18" customHeight="1">
      <c r="A155" s="193" t="s">
        <v>600</v>
      </c>
      <c r="B155" s="5"/>
      <c r="C155" s="5"/>
      <c r="D155" s="5"/>
      <c r="E155" s="5"/>
      <c r="F155" s="5"/>
      <c r="G155" s="5"/>
      <c r="H155" s="212"/>
      <c r="I155" s="212"/>
      <c r="J155" s="5"/>
      <c r="K155" s="5"/>
      <c r="L155" s="5"/>
      <c r="M155" s="5"/>
      <c r="N155" s="5"/>
      <c r="O155" s="5"/>
      <c r="P155" s="103"/>
      <c r="Q155" s="212"/>
      <c r="R155" s="213"/>
      <c r="S155" s="214"/>
      <c r="T155" s="18"/>
      <c r="U155" s="18"/>
      <c r="V155" s="97"/>
    </row>
    <row r="156" spans="1:22" s="14" customFormat="1" ht="18" customHeight="1">
      <c r="A156" s="96"/>
      <c r="B156" s="47" t="s">
        <v>601</v>
      </c>
      <c r="C156" s="5"/>
      <c r="D156" s="5"/>
      <c r="E156" s="5"/>
      <c r="I156" s="215"/>
      <c r="M156" s="5"/>
      <c r="N156" s="103" t="s">
        <v>127</v>
      </c>
      <c r="O156" s="1154">
        <v>100</v>
      </c>
      <c r="P156" s="831"/>
      <c r="Q156" s="14" t="s">
        <v>602</v>
      </c>
      <c r="S156" s="214"/>
      <c r="T156" s="18"/>
      <c r="U156" s="18"/>
      <c r="V156" s="97"/>
    </row>
    <row r="157" spans="1:22" s="14" customFormat="1" ht="18" customHeight="1">
      <c r="A157" s="96"/>
      <c r="B157" s="47" t="s">
        <v>603</v>
      </c>
      <c r="C157" s="5"/>
      <c r="D157" s="5"/>
      <c r="E157" s="5"/>
      <c r="I157" s="215"/>
      <c r="M157" s="5"/>
      <c r="N157" s="103" t="s">
        <v>127</v>
      </c>
      <c r="O157" s="1154">
        <f>O32</f>
        <v>25</v>
      </c>
      <c r="P157" s="831"/>
      <c r="Q157" s="14" t="s">
        <v>604</v>
      </c>
      <c r="S157" s="214"/>
      <c r="T157" s="18"/>
      <c r="U157" s="18"/>
      <c r="V157" s="97"/>
    </row>
    <row r="158" spans="1:22" s="14" customFormat="1" ht="18" customHeight="1">
      <c r="A158" s="96"/>
      <c r="B158" s="47" t="s">
        <v>605</v>
      </c>
      <c r="C158" s="5"/>
      <c r="D158" s="5"/>
      <c r="E158" s="5"/>
      <c r="M158" s="120" t="s">
        <v>606</v>
      </c>
      <c r="N158" s="103" t="s">
        <v>607</v>
      </c>
      <c r="O158" s="1154">
        <f>O33</f>
        <v>132</v>
      </c>
      <c r="P158" s="831"/>
      <c r="Q158" s="14" t="s">
        <v>163</v>
      </c>
      <c r="S158" s="214"/>
      <c r="T158" s="18"/>
      <c r="U158" s="18"/>
      <c r="V158" s="97"/>
    </row>
    <row r="159" spans="1:22" s="14" customFormat="1" ht="18" customHeight="1">
      <c r="A159" s="216"/>
      <c r="B159" s="212"/>
      <c r="C159" s="212"/>
      <c r="D159" s="212"/>
      <c r="E159" s="212"/>
      <c r="T159" s="18"/>
      <c r="U159" s="18"/>
      <c r="V159" s="97"/>
    </row>
    <row r="160" spans="1:22" s="14" customFormat="1" ht="18" customHeight="1">
      <c r="A160" s="272" t="s">
        <v>608</v>
      </c>
      <c r="B160" s="213"/>
      <c r="C160" s="213"/>
      <c r="D160" s="213"/>
      <c r="E160" s="213"/>
      <c r="H160" s="120" t="s">
        <v>609</v>
      </c>
      <c r="I160" s="28" t="s">
        <v>127</v>
      </c>
      <c r="J160" s="689" t="s">
        <v>610</v>
      </c>
      <c r="K160" s="689"/>
      <c r="L160" s="28" t="s">
        <v>315</v>
      </c>
      <c r="M160" s="217">
        <v>1000</v>
      </c>
      <c r="N160" s="102" t="s">
        <v>342</v>
      </c>
      <c r="O160" s="28" t="s">
        <v>611</v>
      </c>
      <c r="P160" s="28" t="s">
        <v>315</v>
      </c>
      <c r="Q160" s="28" t="s">
        <v>606</v>
      </c>
      <c r="R160" s="47" t="s">
        <v>350</v>
      </c>
      <c r="T160" s="18"/>
      <c r="U160" s="18"/>
      <c r="V160" s="97"/>
    </row>
    <row r="161" spans="1:22" s="14" customFormat="1" ht="18" customHeight="1">
      <c r="A161" s="216"/>
      <c r="B161" s="213"/>
      <c r="C161" s="213"/>
      <c r="D161" s="213"/>
      <c r="E161" s="213"/>
      <c r="F161" s="212"/>
      <c r="G161" s="212"/>
      <c r="H161" s="28"/>
      <c r="I161" s="28" t="s">
        <v>127</v>
      </c>
      <c r="J161" s="689">
        <f>O156</f>
        <v>100</v>
      </c>
      <c r="K161" s="689"/>
      <c r="L161" s="28" t="s">
        <v>315</v>
      </c>
      <c r="M161" s="217">
        <v>1000</v>
      </c>
      <c r="N161" s="102" t="s">
        <v>342</v>
      </c>
      <c r="O161" s="28" t="s">
        <v>611</v>
      </c>
      <c r="P161" s="28" t="s">
        <v>315</v>
      </c>
      <c r="Q161" s="28">
        <f>O158</f>
        <v>132</v>
      </c>
      <c r="R161" s="47" t="s">
        <v>350</v>
      </c>
      <c r="T161" s="18"/>
      <c r="U161" s="18"/>
      <c r="V161" s="97"/>
    </row>
    <row r="162" spans="1:22" s="14" customFormat="1" ht="18" customHeight="1">
      <c r="A162" s="216"/>
      <c r="B162" s="212"/>
      <c r="C162" s="212"/>
      <c r="D162" s="212"/>
      <c r="E162" s="212"/>
      <c r="F162" s="212"/>
      <c r="G162" s="212"/>
      <c r="I162" s="28" t="s">
        <v>127</v>
      </c>
      <c r="J162" s="692">
        <f>(O156*1000)/(SQRT(3)*O158)</f>
        <v>437.38656756789834</v>
      </c>
      <c r="K162" s="692"/>
      <c r="L162" s="14" t="s">
        <v>8</v>
      </c>
      <c r="M162" s="120"/>
      <c r="N162" s="120"/>
      <c r="O162" s="120"/>
      <c r="T162" s="18"/>
      <c r="U162" s="18"/>
      <c r="V162" s="97"/>
    </row>
    <row r="163" spans="1:22" s="14" customFormat="1" ht="18" customHeight="1">
      <c r="A163" s="216"/>
      <c r="B163" s="212"/>
      <c r="C163" s="212"/>
      <c r="D163" s="212"/>
      <c r="E163" s="212"/>
      <c r="G163" s="212"/>
      <c r="H163" s="28"/>
      <c r="I163" s="103"/>
      <c r="J163" s="28"/>
      <c r="M163" s="212"/>
      <c r="N163" s="219"/>
      <c r="O163" s="212"/>
      <c r="T163" s="18"/>
      <c r="U163" s="18"/>
      <c r="V163" s="97"/>
    </row>
    <row r="164" spans="1:22" s="14" customFormat="1" ht="18" customHeight="1">
      <c r="A164" s="147" t="s">
        <v>629</v>
      </c>
      <c r="B164" s="5"/>
      <c r="C164" s="5"/>
      <c r="D164" s="5"/>
      <c r="E164" s="5"/>
      <c r="F164" s="212"/>
      <c r="G164" s="212"/>
      <c r="H164" s="5"/>
      <c r="I164" s="5"/>
      <c r="J164" s="5"/>
      <c r="K164" s="5"/>
      <c r="L164" s="103"/>
      <c r="M164" s="103"/>
      <c r="N164" s="103"/>
      <c r="O164" s="103"/>
      <c r="P164" s="212"/>
      <c r="Q164" s="213"/>
      <c r="S164" s="220"/>
      <c r="T164" s="18"/>
      <c r="U164" s="18"/>
      <c r="V164" s="97"/>
    </row>
    <row r="165" spans="1:22" s="14" customFormat="1" ht="18" customHeight="1">
      <c r="A165" s="147"/>
      <c r="B165" s="5"/>
      <c r="C165" s="5"/>
      <c r="D165" s="5"/>
      <c r="E165" s="5"/>
      <c r="F165" s="212"/>
      <c r="G165" s="212"/>
      <c r="H165" s="5"/>
      <c r="I165" s="5"/>
      <c r="J165" s="5"/>
      <c r="K165" s="5"/>
      <c r="L165" s="103"/>
      <c r="M165" s="103"/>
      <c r="N165" s="103"/>
      <c r="O165" s="103"/>
      <c r="P165" s="212"/>
      <c r="Q165" s="213"/>
      <c r="S165" s="214"/>
      <c r="T165" s="18"/>
      <c r="U165" s="18"/>
      <c r="V165" s="97"/>
    </row>
    <row r="166" spans="1:22" ht="18" customHeight="1">
      <c r="A166" s="96" t="s">
        <v>632</v>
      </c>
      <c r="B166" s="14"/>
      <c r="C166" s="14"/>
      <c r="D166" s="14"/>
      <c r="E166" s="14"/>
      <c r="M166" s="120" t="s">
        <v>613</v>
      </c>
      <c r="N166" s="28" t="s">
        <v>127</v>
      </c>
      <c r="O166" s="689" t="s">
        <v>609</v>
      </c>
      <c r="P166" s="716"/>
      <c r="Q166" s="221" t="s">
        <v>630</v>
      </c>
      <c r="R166" s="221">
        <v>16</v>
      </c>
      <c r="S166" s="186"/>
      <c r="V166" s="185"/>
    </row>
    <row r="167" spans="1:22" ht="18" customHeight="1">
      <c r="A167" s="96"/>
      <c r="B167" s="5"/>
      <c r="C167" s="5"/>
      <c r="D167" s="5"/>
      <c r="E167" s="5"/>
      <c r="M167" s="250"/>
      <c r="N167" s="28" t="s">
        <v>127</v>
      </c>
      <c r="O167" s="689">
        <f>+J162</f>
        <v>437.38656756789834</v>
      </c>
      <c r="P167" s="716"/>
      <c r="Q167" s="221" t="s">
        <v>630</v>
      </c>
      <c r="R167" s="221">
        <v>16</v>
      </c>
      <c r="S167" s="186"/>
      <c r="V167" s="185"/>
    </row>
    <row r="168" spans="1:22" ht="18" customHeight="1">
      <c r="A168" s="96"/>
      <c r="B168" s="5"/>
      <c r="C168" s="5"/>
      <c r="D168" s="5"/>
      <c r="E168" s="5"/>
      <c r="M168" s="120" t="s">
        <v>613</v>
      </c>
      <c r="N168" s="28" t="s">
        <v>127</v>
      </c>
      <c r="O168" s="689">
        <f>O167*R167</f>
        <v>6998.1850810863734</v>
      </c>
      <c r="P168" s="716"/>
      <c r="Q168" s="241" t="s">
        <v>8</v>
      </c>
      <c r="R168" s="14"/>
      <c r="S168" s="186"/>
      <c r="V168" s="185"/>
    </row>
    <row r="169" spans="1:22" ht="18" customHeight="1">
      <c r="A169" s="96"/>
      <c r="B169" s="5"/>
      <c r="C169" s="5"/>
      <c r="D169" s="5"/>
      <c r="E169" s="5"/>
      <c r="M169" s="120"/>
      <c r="N169" s="28"/>
      <c r="O169" s="28"/>
      <c r="P169" s="14"/>
      <c r="Q169" s="241"/>
      <c r="R169" s="14"/>
      <c r="S169" s="186"/>
      <c r="V169" s="185"/>
    </row>
    <row r="170" spans="1:22" s="14" customFormat="1" ht="18"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s="14" customFormat="1" ht="18" customHeight="1">
      <c r="A171" s="135"/>
      <c r="B171" s="273"/>
      <c r="C171" s="273"/>
      <c r="D171" s="273"/>
      <c r="E171" s="273"/>
      <c r="F171" s="273"/>
      <c r="G171" s="273"/>
      <c r="H171" s="273"/>
      <c r="I171" s="273"/>
      <c r="J171" s="273"/>
      <c r="K171" s="273"/>
      <c r="L171" s="273"/>
      <c r="M171" s="273"/>
      <c r="N171" s="273"/>
      <c r="O171" s="273"/>
      <c r="P171" s="273"/>
      <c r="Q171" s="274"/>
      <c r="R171" s="138"/>
      <c r="S171" s="275"/>
      <c r="T171" s="273"/>
      <c r="U171" s="273"/>
      <c r="V171" s="276"/>
    </row>
    <row r="172" spans="1:22" ht="18" customHeight="1">
      <c r="A172" s="96" t="s">
        <v>686</v>
      </c>
      <c r="V172" s="185"/>
    </row>
    <row r="173" spans="1:22" ht="18" customHeight="1">
      <c r="A173" s="184"/>
      <c r="V173" s="185"/>
    </row>
    <row r="174" spans="1:22" s="279" customFormat="1" ht="18" customHeight="1">
      <c r="A174" s="277"/>
      <c r="B174" s="689" t="s">
        <v>473</v>
      </c>
      <c r="C174" s="1150" t="s">
        <v>652</v>
      </c>
      <c r="G174" s="802" t="s">
        <v>687</v>
      </c>
      <c r="H174" s="1153" t="s">
        <v>315</v>
      </c>
      <c r="I174" s="708" t="s">
        <v>688</v>
      </c>
      <c r="J174" s="1147"/>
      <c r="K174" s="1147"/>
      <c r="L174" s="1147"/>
      <c r="M174" s="1147"/>
      <c r="N174" s="689" t="s">
        <v>672</v>
      </c>
      <c r="O174" s="708" t="s">
        <v>420</v>
      </c>
      <c r="P174" s="689" t="s">
        <v>347</v>
      </c>
      <c r="Q174" s="708" t="s">
        <v>689</v>
      </c>
      <c r="R174" s="708" t="s">
        <v>674</v>
      </c>
      <c r="S174" s="708" t="s">
        <v>411</v>
      </c>
      <c r="T174" s="14"/>
      <c r="U174" s="729" t="s">
        <v>653</v>
      </c>
      <c r="V174" s="185"/>
    </row>
    <row r="175" spans="1:22" s="279" customFormat="1" ht="18" customHeight="1">
      <c r="A175" s="277"/>
      <c r="B175" s="689"/>
      <c r="C175" s="689"/>
      <c r="G175" s="802"/>
      <c r="H175" s="689"/>
      <c r="I175" s="689">
        <v>1.3</v>
      </c>
      <c r="J175" s="689"/>
      <c r="K175" s="28" t="s">
        <v>315</v>
      </c>
      <c r="L175" s="689" t="s">
        <v>423</v>
      </c>
      <c r="M175" s="689"/>
      <c r="N175" s="689"/>
      <c r="O175" s="689"/>
      <c r="P175" s="689"/>
      <c r="Q175" s="689"/>
      <c r="R175" s="689"/>
      <c r="S175" s="689"/>
      <c r="T175" s="14"/>
      <c r="U175" s="689"/>
      <c r="V175" s="185"/>
    </row>
    <row r="176" spans="1:22" ht="18" customHeight="1">
      <c r="A176" s="184"/>
      <c r="V176" s="185"/>
    </row>
    <row r="177" spans="1:22" ht="18" customHeight="1">
      <c r="A177" s="184"/>
      <c r="B177" s="47" t="s">
        <v>654</v>
      </c>
      <c r="C177" s="14"/>
      <c r="D177" s="14"/>
      <c r="E177" s="14"/>
      <c r="F177" s="18"/>
      <c r="G177" s="18"/>
      <c r="H177" s="14"/>
      <c r="I177" s="120"/>
      <c r="J177" s="14"/>
      <c r="K177" s="14"/>
      <c r="M177" s="14"/>
      <c r="N177" s="14"/>
      <c r="P177" s="14" t="s">
        <v>423</v>
      </c>
      <c r="R177" s="234" t="s">
        <v>127</v>
      </c>
      <c r="S177" s="684">
        <f>J135</f>
        <v>1800</v>
      </c>
      <c r="T177" s="684"/>
      <c r="U177" s="30" t="s">
        <v>8</v>
      </c>
      <c r="V177" s="185"/>
    </row>
    <row r="178" spans="1:22" ht="18" customHeight="1">
      <c r="A178" s="184"/>
      <c r="B178" s="47" t="s">
        <v>655</v>
      </c>
      <c r="C178" s="14"/>
      <c r="D178" s="14"/>
      <c r="E178" s="14"/>
      <c r="F178" s="18"/>
      <c r="G178" s="18"/>
      <c r="H178" s="14"/>
      <c r="I178" s="120"/>
      <c r="J178" s="14"/>
      <c r="K178" s="14"/>
      <c r="M178" s="14"/>
      <c r="N178" s="14"/>
      <c r="P178" s="14" t="s">
        <v>420</v>
      </c>
      <c r="R178" s="234" t="s">
        <v>127</v>
      </c>
      <c r="S178" s="684">
        <f>J137</f>
        <v>5</v>
      </c>
      <c r="T178" s="684"/>
      <c r="U178" s="192" t="s">
        <v>333</v>
      </c>
      <c r="V178" s="185"/>
    </row>
    <row r="179" spans="1:22" ht="18" customHeight="1">
      <c r="A179" s="184"/>
      <c r="B179" s="47" t="s">
        <v>676</v>
      </c>
      <c r="C179" s="14"/>
      <c r="D179" s="14"/>
      <c r="E179" s="14"/>
      <c r="F179" s="18"/>
      <c r="G179" s="18"/>
      <c r="H179" s="14"/>
      <c r="I179" s="120"/>
      <c r="J179" s="14"/>
      <c r="K179" s="14"/>
      <c r="M179" s="14"/>
      <c r="N179" s="14"/>
      <c r="P179" s="14" t="s">
        <v>690</v>
      </c>
      <c r="R179" s="234" t="s">
        <v>127</v>
      </c>
      <c r="S179" s="795">
        <f>S154</f>
        <v>1.3247743100000002</v>
      </c>
      <c r="T179" s="795"/>
      <c r="U179" s="192" t="s">
        <v>333</v>
      </c>
      <c r="V179" s="185"/>
    </row>
    <row r="180" spans="1:22" ht="18" customHeight="1">
      <c r="A180" s="184"/>
      <c r="B180" s="47" t="s">
        <v>691</v>
      </c>
      <c r="C180" s="14"/>
      <c r="D180" s="14"/>
      <c r="E180" s="14"/>
      <c r="F180" s="14"/>
      <c r="G180" s="14"/>
      <c r="H180" s="14"/>
      <c r="I180" s="120"/>
      <c r="J180" s="14"/>
      <c r="K180" s="14"/>
      <c r="M180" s="14"/>
      <c r="N180" s="14"/>
      <c r="P180" s="14" t="s">
        <v>411</v>
      </c>
      <c r="R180" s="234" t="s">
        <v>127</v>
      </c>
      <c r="S180" s="684">
        <f>O135</f>
        <v>1</v>
      </c>
      <c r="T180" s="684"/>
      <c r="U180" s="30" t="s">
        <v>8</v>
      </c>
      <c r="V180" s="185"/>
    </row>
    <row r="181" spans="1:22" ht="18" customHeight="1">
      <c r="A181" s="184"/>
      <c r="B181" s="47" t="s">
        <v>678</v>
      </c>
      <c r="C181" s="14"/>
      <c r="D181" s="14"/>
      <c r="E181" s="14"/>
      <c r="F181" s="14"/>
      <c r="G181" s="14"/>
      <c r="H181" s="14"/>
      <c r="I181" s="120"/>
      <c r="J181" s="14"/>
      <c r="K181" s="14"/>
      <c r="M181" s="14"/>
      <c r="N181" s="14"/>
      <c r="P181" s="120" t="s">
        <v>688</v>
      </c>
      <c r="R181" s="234" t="s">
        <v>127</v>
      </c>
      <c r="S181" s="684">
        <f>O168</f>
        <v>6998.1850810863734</v>
      </c>
      <c r="T181" s="684"/>
      <c r="U181" s="30" t="s">
        <v>8</v>
      </c>
      <c r="V181" s="185"/>
    </row>
    <row r="182" spans="1:22" ht="18" customHeight="1">
      <c r="A182" s="184"/>
      <c r="B182" s="47" t="s">
        <v>692</v>
      </c>
      <c r="C182" s="14"/>
      <c r="D182" s="14"/>
      <c r="E182" s="14"/>
      <c r="F182" s="14"/>
      <c r="G182" s="14"/>
      <c r="H182" s="14"/>
      <c r="I182" s="120"/>
      <c r="J182" s="14"/>
      <c r="K182" s="14"/>
      <c r="M182" s="14"/>
      <c r="N182" s="14"/>
      <c r="P182" s="120" t="s">
        <v>680</v>
      </c>
      <c r="R182" s="234" t="s">
        <v>127</v>
      </c>
      <c r="S182" s="795">
        <f>J162</f>
        <v>437.38656756789834</v>
      </c>
      <c r="T182" s="684"/>
      <c r="U182" s="30" t="s">
        <v>8</v>
      </c>
      <c r="V182" s="185"/>
    </row>
    <row r="183" spans="1:22" ht="18" customHeight="1">
      <c r="A183" s="184"/>
      <c r="B183" s="47" t="s">
        <v>659</v>
      </c>
      <c r="C183" s="14"/>
      <c r="D183" s="14"/>
      <c r="E183" s="14"/>
      <c r="F183" s="14"/>
      <c r="G183" s="14"/>
      <c r="H183" s="14"/>
      <c r="I183" s="120"/>
      <c r="J183" s="14"/>
      <c r="K183" s="14"/>
      <c r="M183" s="14"/>
      <c r="N183" s="14"/>
      <c r="P183" s="120" t="s">
        <v>660</v>
      </c>
      <c r="R183" s="234" t="s">
        <v>127</v>
      </c>
      <c r="S183" s="684">
        <f>S55</f>
        <v>1</v>
      </c>
      <c r="T183" s="684"/>
      <c r="U183" s="30" t="s">
        <v>8</v>
      </c>
      <c r="V183" s="185"/>
    </row>
    <row r="184" spans="1:22" ht="18" customHeight="1">
      <c r="A184" s="96"/>
      <c r="B184" s="14"/>
      <c r="C184" s="14"/>
      <c r="D184" s="235"/>
      <c r="E184" s="14"/>
      <c r="F184" s="28"/>
      <c r="G184" s="249"/>
      <c r="H184" s="28"/>
      <c r="I184" s="251"/>
      <c r="J184" s="14"/>
      <c r="K184" s="280"/>
      <c r="M184" s="47"/>
      <c r="N184" s="268"/>
      <c r="P184" s="281"/>
      <c r="R184" s="234"/>
      <c r="S184" s="1148"/>
      <c r="T184" s="723"/>
      <c r="V184" s="185"/>
    </row>
    <row r="185" spans="1:22" ht="18" customHeight="1">
      <c r="A185" s="272" t="s">
        <v>693</v>
      </c>
      <c r="B185" s="14"/>
      <c r="C185" s="14"/>
      <c r="D185" s="14"/>
      <c r="E185" s="14"/>
      <c r="F185" s="14"/>
      <c r="G185" s="14"/>
      <c r="H185" s="28">
        <v>3</v>
      </c>
      <c r="I185" s="47" t="s">
        <v>694</v>
      </c>
      <c r="J185" s="14"/>
      <c r="K185" s="14"/>
      <c r="M185" s="14" t="s">
        <v>337</v>
      </c>
      <c r="N185" s="14"/>
      <c r="P185" s="120"/>
      <c r="R185" s="234"/>
      <c r="S185" s="1149"/>
      <c r="T185" s="723"/>
      <c r="V185" s="185"/>
    </row>
    <row r="186" spans="1:22" ht="18" customHeight="1">
      <c r="A186" s="272"/>
      <c r="B186" s="14"/>
      <c r="C186" s="14"/>
      <c r="D186" s="14"/>
      <c r="E186" s="14"/>
      <c r="F186" s="14"/>
      <c r="G186" s="14"/>
      <c r="H186" s="28"/>
      <c r="I186" s="47"/>
      <c r="J186" s="14"/>
      <c r="K186" s="14"/>
      <c r="M186" s="14"/>
      <c r="N186" s="14"/>
      <c r="P186" s="120"/>
      <c r="R186" s="234"/>
      <c r="S186" s="282"/>
      <c r="V186" s="185"/>
    </row>
    <row r="187" spans="1:22" s="279" customFormat="1" ht="18" customHeight="1">
      <c r="A187" s="277"/>
      <c r="B187" s="689" t="s">
        <v>473</v>
      </c>
      <c r="C187" s="1150" t="s">
        <v>652</v>
      </c>
      <c r="G187" s="802">
        <f>H185</f>
        <v>3</v>
      </c>
      <c r="H187" s="1151" t="s">
        <v>315</v>
      </c>
      <c r="I187" s="829">
        <f>S181</f>
        <v>6998.1850810863734</v>
      </c>
      <c r="J187" s="1152"/>
      <c r="K187" s="1152"/>
      <c r="L187" s="1152"/>
      <c r="M187" s="1152"/>
      <c r="N187" s="689" t="s">
        <v>672</v>
      </c>
      <c r="O187" s="708">
        <f>S178</f>
        <v>5</v>
      </c>
      <c r="P187" s="689" t="s">
        <v>347</v>
      </c>
      <c r="Q187" s="829">
        <f>S179</f>
        <v>1.3247743100000002</v>
      </c>
      <c r="R187" s="708" t="s">
        <v>674</v>
      </c>
      <c r="S187" s="708">
        <f>S180</f>
        <v>1</v>
      </c>
      <c r="T187" s="14"/>
      <c r="U187" s="729" t="s">
        <v>653</v>
      </c>
      <c r="V187" s="185"/>
    </row>
    <row r="188" spans="1:22" s="279" customFormat="1" ht="18" customHeight="1">
      <c r="A188" s="277"/>
      <c r="B188" s="689"/>
      <c r="C188" s="689"/>
      <c r="G188" s="802"/>
      <c r="H188" s="684"/>
      <c r="I188" s="689">
        <v>1.3</v>
      </c>
      <c r="J188" s="684"/>
      <c r="K188" s="28" t="s">
        <v>315</v>
      </c>
      <c r="L188" s="689">
        <f>S177</f>
        <v>1800</v>
      </c>
      <c r="M188" s="684"/>
      <c r="N188" s="689"/>
      <c r="O188" s="689"/>
      <c r="P188" s="689"/>
      <c r="Q188" s="689"/>
      <c r="R188" s="689"/>
      <c r="S188" s="689"/>
      <c r="T188" s="14"/>
      <c r="U188" s="689"/>
      <c r="V188" s="185"/>
    </row>
    <row r="189" spans="1:22" ht="18" customHeight="1">
      <c r="A189" s="96"/>
      <c r="B189" s="14"/>
      <c r="C189" s="27" t="s">
        <v>127</v>
      </c>
      <c r="D189" s="812">
        <f>G187*(I187/(I188*L188)*(O187+Q187)*S187)</f>
        <v>56.746078483949184</v>
      </c>
      <c r="E189" s="813"/>
      <c r="F189" s="30" t="s">
        <v>305</v>
      </c>
      <c r="G189" s="14"/>
      <c r="H189" s="14"/>
      <c r="I189" s="14"/>
      <c r="J189" s="14"/>
      <c r="K189" s="14"/>
      <c r="L189" s="14"/>
      <c r="M189" s="14"/>
      <c r="N189" s="14"/>
      <c r="R189" s="234"/>
      <c r="S189" s="204"/>
      <c r="V189" s="185"/>
    </row>
    <row r="190" spans="1:22" ht="18" customHeight="1">
      <c r="A190" s="96"/>
      <c r="B190" s="14"/>
      <c r="G190" s="14"/>
      <c r="H190" s="14"/>
      <c r="I190" s="14"/>
      <c r="J190" s="14"/>
      <c r="K190" s="14"/>
      <c r="L190" s="14"/>
      <c r="M190" s="14"/>
      <c r="N190" s="14"/>
      <c r="R190" s="234"/>
      <c r="S190" s="204"/>
      <c r="V190" s="185"/>
    </row>
    <row r="191" spans="1:22" ht="18" customHeight="1">
      <c r="A191" s="96"/>
      <c r="B191" s="14"/>
      <c r="D191" s="30" t="s">
        <v>475</v>
      </c>
      <c r="G191" s="27" t="str">
        <f>IF(E192&gt;H192,"&gt;","&lt;")</f>
        <v>&gt;</v>
      </c>
      <c r="H191" s="30" t="s">
        <v>477</v>
      </c>
      <c r="M191" s="14"/>
      <c r="N191" s="14"/>
      <c r="R191" s="234"/>
      <c r="S191" s="204"/>
      <c r="V191" s="185"/>
    </row>
    <row r="192" spans="1:22" ht="18" customHeight="1">
      <c r="A192" s="96"/>
      <c r="B192" s="14"/>
      <c r="E192" s="684">
        <f>J138</f>
        <v>1600</v>
      </c>
      <c r="F192" s="684"/>
      <c r="G192" s="27" t="str">
        <f>G191</f>
        <v>&gt;</v>
      </c>
      <c r="H192" s="795">
        <f>D189</f>
        <v>56.746078483949184</v>
      </c>
      <c r="I192" s="684"/>
      <c r="M192" s="14"/>
      <c r="N192" s="14"/>
      <c r="R192" s="234"/>
      <c r="S192" s="204"/>
      <c r="V192" s="185"/>
    </row>
    <row r="193" spans="1:22" ht="18" customHeight="1">
      <c r="A193" s="96"/>
      <c r="B193" s="14"/>
      <c r="F193" s="244" t="s">
        <v>478</v>
      </c>
      <c r="H193" s="18" t="str">
        <f>IF(G191="&gt;","Suitably Dimentioned","Under Dimentioned")</f>
        <v>Suitably Dimentioned</v>
      </c>
      <c r="M193" s="14"/>
      <c r="N193" s="14"/>
      <c r="R193" s="234"/>
      <c r="S193" s="204"/>
      <c r="V193" s="185"/>
    </row>
    <row r="194" spans="1:22" ht="18" hidden="1" customHeight="1">
      <c r="A194" s="96"/>
      <c r="B194" s="14"/>
      <c r="G194" s="14"/>
      <c r="H194" s="14"/>
      <c r="I194" s="14"/>
      <c r="J194" s="14"/>
      <c r="K194" s="14"/>
      <c r="L194" s="14"/>
      <c r="M194" s="14"/>
      <c r="N194" s="14"/>
      <c r="R194" s="234"/>
      <c r="S194" s="204"/>
      <c r="V194" s="185"/>
    </row>
    <row r="195" spans="1:22" ht="18" hidden="1" customHeight="1">
      <c r="A195" s="193" t="s">
        <v>695</v>
      </c>
      <c r="B195" s="14"/>
      <c r="G195" s="14"/>
      <c r="H195" s="14"/>
      <c r="I195" s="14"/>
      <c r="J195" s="14"/>
      <c r="K195" s="14"/>
      <c r="L195" s="14"/>
      <c r="M195" s="14"/>
      <c r="N195" s="14"/>
      <c r="R195" s="234"/>
      <c r="S195" s="204"/>
      <c r="V195" s="185"/>
    </row>
    <row r="196" spans="1:22" ht="18" hidden="1" customHeight="1">
      <c r="A196" s="96"/>
      <c r="B196" s="14"/>
      <c r="D196" s="802" t="s">
        <v>696</v>
      </c>
      <c r="E196" s="716"/>
      <c r="F196" s="689" t="s">
        <v>127</v>
      </c>
      <c r="G196" s="708" t="s">
        <v>423</v>
      </c>
      <c r="H196" s="1147"/>
      <c r="I196" s="689" t="s">
        <v>315</v>
      </c>
      <c r="J196" s="708" t="s">
        <v>697</v>
      </c>
      <c r="K196" s="1147"/>
      <c r="L196" s="14"/>
      <c r="M196" s="14"/>
      <c r="N196" s="14"/>
      <c r="R196" s="234"/>
      <c r="S196" s="204"/>
      <c r="V196" s="185"/>
    </row>
    <row r="197" spans="1:22" ht="18" hidden="1" customHeight="1">
      <c r="A197" s="96"/>
      <c r="B197" s="14"/>
      <c r="D197" s="716"/>
      <c r="E197" s="716"/>
      <c r="F197" s="689"/>
      <c r="G197" s="689" t="s">
        <v>680</v>
      </c>
      <c r="H197" s="716"/>
      <c r="I197" s="689"/>
      <c r="J197" s="689" t="s">
        <v>411</v>
      </c>
      <c r="K197" s="716"/>
      <c r="L197" s="14"/>
      <c r="M197" s="14"/>
      <c r="N197" s="14"/>
      <c r="R197" s="234"/>
      <c r="S197" s="204"/>
      <c r="V197" s="185"/>
    </row>
    <row r="198" spans="1:22" ht="18" hidden="1" customHeight="1">
      <c r="A198" s="96"/>
      <c r="B198" s="14"/>
      <c r="G198" s="14"/>
      <c r="H198" s="14"/>
      <c r="I198" s="14"/>
      <c r="J198" s="14"/>
      <c r="K198" s="14"/>
      <c r="L198" s="14"/>
      <c r="M198" s="14"/>
      <c r="N198" s="14"/>
      <c r="R198" s="234"/>
      <c r="S198" s="204"/>
      <c r="V198" s="185"/>
    </row>
    <row r="199" spans="1:22" ht="18" hidden="1" customHeight="1">
      <c r="A199" s="96"/>
      <c r="B199" s="14"/>
      <c r="F199" s="689" t="s">
        <v>127</v>
      </c>
      <c r="G199" s="708">
        <f>S177</f>
        <v>1800</v>
      </c>
      <c r="H199" s="1147"/>
      <c r="I199" s="689" t="s">
        <v>315</v>
      </c>
      <c r="J199" s="708">
        <f>S183</f>
        <v>1</v>
      </c>
      <c r="K199" s="1147"/>
      <c r="L199" s="14"/>
      <c r="M199" s="14"/>
      <c r="N199" s="14"/>
      <c r="R199" s="234"/>
      <c r="S199" s="204"/>
      <c r="V199" s="185"/>
    </row>
    <row r="200" spans="1:22" ht="18" hidden="1" customHeight="1">
      <c r="A200" s="96"/>
      <c r="B200" s="14"/>
      <c r="F200" s="689"/>
      <c r="G200" s="692">
        <f>J162</f>
        <v>437.38656756789834</v>
      </c>
      <c r="H200" s="716"/>
      <c r="I200" s="689"/>
      <c r="J200" s="689">
        <f>S180</f>
        <v>1</v>
      </c>
      <c r="K200" s="716"/>
      <c r="L200" s="14"/>
      <c r="M200" s="14"/>
      <c r="N200" s="14"/>
      <c r="R200" s="234"/>
      <c r="S200" s="204"/>
      <c r="V200" s="185"/>
    </row>
    <row r="201" spans="1:22" ht="18" hidden="1" customHeight="1">
      <c r="A201" s="96"/>
      <c r="B201" s="14"/>
      <c r="G201" s="14"/>
      <c r="H201" s="14"/>
      <c r="I201" s="14"/>
      <c r="J201" s="14"/>
      <c r="K201" s="14"/>
      <c r="L201" s="14"/>
      <c r="M201" s="14"/>
      <c r="N201" s="14"/>
      <c r="R201" s="234"/>
      <c r="S201" s="204"/>
      <c r="V201" s="185"/>
    </row>
    <row r="202" spans="1:22" ht="18" hidden="1" customHeight="1">
      <c r="A202" s="96"/>
      <c r="B202" s="14"/>
      <c r="F202" s="27" t="s">
        <v>127</v>
      </c>
      <c r="G202" s="716">
        <f>(G199/G200)*(J199/J200)</f>
        <v>4.1153527187836518</v>
      </c>
      <c r="H202" s="716"/>
      <c r="I202" s="14"/>
      <c r="J202" s="14"/>
      <c r="K202" s="14"/>
      <c r="L202" s="14"/>
      <c r="M202" s="14"/>
      <c r="N202" s="14"/>
      <c r="R202" s="234"/>
      <c r="S202" s="204"/>
      <c r="V202" s="185"/>
    </row>
    <row r="203" spans="1:22" ht="18" hidden="1" customHeight="1">
      <c r="A203" s="96"/>
      <c r="B203" s="14"/>
      <c r="G203" s="14"/>
      <c r="H203" s="14"/>
      <c r="I203" s="14"/>
      <c r="J203" s="14"/>
      <c r="K203" s="14"/>
      <c r="L203" s="14"/>
      <c r="M203" s="14"/>
      <c r="N203" s="14"/>
      <c r="R203" s="234"/>
      <c r="S203" s="204"/>
      <c r="V203" s="185"/>
    </row>
    <row r="204" spans="1:22" ht="18" hidden="1" customHeight="1">
      <c r="A204" s="96"/>
      <c r="B204" s="14"/>
      <c r="D204" s="283" t="s">
        <v>698</v>
      </c>
      <c r="E204" s="284" t="s">
        <v>699</v>
      </c>
      <c r="F204" s="689" t="s">
        <v>696</v>
      </c>
      <c r="G204" s="716"/>
      <c r="H204" s="716"/>
      <c r="I204" s="284" t="s">
        <v>699</v>
      </c>
      <c r="J204" s="28">
        <v>4</v>
      </c>
      <c r="L204" s="279"/>
      <c r="M204" s="120" t="s">
        <v>700</v>
      </c>
      <c r="N204" s="47" t="s">
        <v>701</v>
      </c>
      <c r="O204" s="279"/>
      <c r="P204" s="236"/>
      <c r="Q204" s="236"/>
      <c r="R204" s="234"/>
      <c r="S204" s="204"/>
      <c r="V204" s="185"/>
    </row>
    <row r="205" spans="1:22" ht="18" hidden="1" customHeight="1">
      <c r="A205" s="96"/>
      <c r="B205" s="14"/>
      <c r="D205" s="218">
        <v>0.25</v>
      </c>
      <c r="E205" s="284" t="str">
        <f>IF(D205&lt;=G202,"≤","&gt;")</f>
        <v>≤</v>
      </c>
      <c r="F205" s="688">
        <f>G202</f>
        <v>4.1153527187836518</v>
      </c>
      <c r="G205" s="1145"/>
      <c r="H205" s="688"/>
      <c r="I205" s="284" t="str">
        <f>IF(G202&lt;=J204,"≤","&gt;")</f>
        <v>&gt;</v>
      </c>
      <c r="J205" s="28">
        <f>J204</f>
        <v>4</v>
      </c>
      <c r="L205" s="279"/>
      <c r="M205" s="120"/>
      <c r="N205" s="213"/>
      <c r="O205" s="279"/>
      <c r="P205" s="236"/>
      <c r="Q205" s="236"/>
      <c r="R205" s="234"/>
      <c r="S205" s="204"/>
      <c r="V205" s="185"/>
    </row>
    <row r="206" spans="1:22" ht="18" hidden="1" customHeight="1">
      <c r="A206" s="96"/>
      <c r="B206" s="14"/>
      <c r="G206" s="14"/>
      <c r="H206" s="14"/>
      <c r="I206" s="14"/>
      <c r="J206" s="14"/>
      <c r="K206" s="14"/>
      <c r="L206" s="14"/>
      <c r="M206" s="14"/>
      <c r="N206" s="14"/>
      <c r="R206" s="234"/>
      <c r="S206" s="204"/>
      <c r="V206" s="185"/>
    </row>
    <row r="207" spans="1:22" ht="18" hidden="1" customHeight="1">
      <c r="A207" s="96"/>
      <c r="B207" s="14" t="s">
        <v>702</v>
      </c>
      <c r="G207" s="14"/>
      <c r="H207" s="18" t="str">
        <f>IF(AND(E205="≤",I205="≤")=TRUE,"OK","Not OK")</f>
        <v>Not OK</v>
      </c>
      <c r="I207" s="14"/>
      <c r="J207" s="14"/>
      <c r="K207" s="14"/>
      <c r="L207" s="14"/>
      <c r="M207" s="14"/>
      <c r="N207" s="14"/>
      <c r="R207" s="234"/>
      <c r="S207" s="204"/>
      <c r="V207" s="185"/>
    </row>
    <row r="208" spans="1:22" ht="18" customHeight="1">
      <c r="A208" s="96"/>
      <c r="B208" s="14"/>
      <c r="G208" s="14"/>
      <c r="H208" s="18"/>
      <c r="I208" s="14"/>
      <c r="J208" s="14"/>
      <c r="K208" s="14"/>
      <c r="L208" s="14"/>
      <c r="M208" s="14"/>
      <c r="N208" s="14"/>
      <c r="R208" s="234"/>
      <c r="S208" s="204"/>
      <c r="V208" s="185"/>
    </row>
    <row r="209" spans="1:22" ht="18" customHeight="1">
      <c r="A209" s="96"/>
      <c r="B209" s="14"/>
      <c r="G209" s="14"/>
      <c r="H209" s="18"/>
      <c r="I209" s="14"/>
      <c r="J209" s="14"/>
      <c r="K209" s="14"/>
      <c r="L209" s="14"/>
      <c r="M209" s="14"/>
      <c r="N209" s="14"/>
      <c r="R209" s="234"/>
      <c r="S209" s="204"/>
      <c r="V209" s="185"/>
    </row>
    <row r="210" spans="1:22" ht="18" customHeight="1">
      <c r="A210" s="96"/>
      <c r="B210" s="14"/>
      <c r="G210" s="14"/>
      <c r="H210" s="18"/>
      <c r="I210" s="14"/>
      <c r="J210" s="14"/>
      <c r="K210" s="14"/>
      <c r="L210" s="14"/>
      <c r="M210" s="14"/>
      <c r="N210" s="14"/>
      <c r="R210" s="234"/>
      <c r="S210" s="204"/>
      <c r="V210" s="185"/>
    </row>
    <row r="211" spans="1:22" ht="18" customHeight="1">
      <c r="A211" s="96"/>
      <c r="B211" s="14"/>
      <c r="G211" s="14"/>
      <c r="H211" s="18"/>
      <c r="I211" s="14"/>
      <c r="J211" s="14"/>
      <c r="K211" s="14"/>
      <c r="L211" s="14"/>
      <c r="M211" s="14"/>
      <c r="N211" s="14"/>
      <c r="R211" s="234"/>
      <c r="S211" s="204"/>
      <c r="V211" s="185"/>
    </row>
    <row r="212" spans="1:22" ht="18" customHeight="1">
      <c r="A212" s="96"/>
      <c r="B212" s="14"/>
      <c r="G212" s="14"/>
      <c r="H212" s="18"/>
      <c r="I212" s="14"/>
      <c r="J212" s="14"/>
      <c r="K212" s="14"/>
      <c r="L212" s="14"/>
      <c r="M212" s="14"/>
      <c r="N212" s="14"/>
      <c r="R212" s="234"/>
      <c r="S212" s="204"/>
      <c r="V212" s="185"/>
    </row>
    <row r="213" spans="1:22" ht="18" customHeight="1">
      <c r="A213" s="96"/>
      <c r="B213" s="14"/>
      <c r="G213" s="14"/>
      <c r="H213" s="18"/>
      <c r="I213" s="14"/>
      <c r="J213" s="14"/>
      <c r="K213" s="14"/>
      <c r="L213" s="14"/>
      <c r="M213" s="14"/>
      <c r="N213" s="14"/>
      <c r="R213" s="234"/>
      <c r="S213" s="204"/>
      <c r="V213" s="185"/>
    </row>
    <row r="214" spans="1:22" ht="18" customHeight="1">
      <c r="A214" s="96"/>
      <c r="B214" s="14"/>
      <c r="G214" s="14"/>
      <c r="H214" s="18"/>
      <c r="I214" s="14"/>
      <c r="J214" s="14"/>
      <c r="K214" s="14"/>
      <c r="L214" s="14"/>
      <c r="M214" s="14"/>
      <c r="N214" s="14"/>
      <c r="R214" s="234"/>
      <c r="S214" s="204"/>
      <c r="V214" s="185"/>
    </row>
    <row r="215" spans="1:22" ht="18" customHeight="1">
      <c r="A215" s="96"/>
      <c r="B215" s="14"/>
      <c r="G215" s="14"/>
      <c r="H215" s="18"/>
      <c r="I215" s="14"/>
      <c r="J215" s="14"/>
      <c r="K215" s="14"/>
      <c r="L215" s="14"/>
      <c r="M215" s="14"/>
      <c r="N215" s="14"/>
      <c r="R215" s="234"/>
      <c r="S215" s="204"/>
      <c r="V215" s="185"/>
    </row>
    <row r="216" spans="1:22" ht="18" customHeight="1">
      <c r="A216" s="96"/>
      <c r="B216" s="14"/>
      <c r="G216" s="14"/>
      <c r="H216" s="18"/>
      <c r="I216" s="14"/>
      <c r="J216" s="14"/>
      <c r="K216" s="14"/>
      <c r="L216" s="14"/>
      <c r="M216" s="14"/>
      <c r="N216" s="14"/>
      <c r="R216" s="234"/>
      <c r="S216" s="204"/>
      <c r="V216" s="185"/>
    </row>
    <row r="217" spans="1:22" ht="18" customHeight="1">
      <c r="A217" s="96"/>
      <c r="B217" s="14"/>
      <c r="G217" s="14"/>
      <c r="H217" s="18"/>
      <c r="I217" s="14"/>
      <c r="J217" s="14"/>
      <c r="K217" s="14"/>
      <c r="L217" s="14"/>
      <c r="M217" s="14"/>
      <c r="N217" s="14"/>
      <c r="R217" s="234"/>
      <c r="S217" s="204"/>
      <c r="V217" s="185"/>
    </row>
    <row r="218" spans="1:22" ht="18" customHeight="1">
      <c r="A218" s="96"/>
      <c r="B218" s="14"/>
      <c r="G218" s="14"/>
      <c r="H218" s="18"/>
      <c r="I218" s="14"/>
      <c r="J218" s="14"/>
      <c r="K218" s="14"/>
      <c r="L218" s="14"/>
      <c r="M218" s="14"/>
      <c r="N218" s="14"/>
      <c r="R218" s="234"/>
      <c r="S218" s="204"/>
      <c r="V218" s="185"/>
    </row>
    <row r="219" spans="1:22" ht="18" customHeight="1">
      <c r="A219" s="96"/>
      <c r="B219" s="14"/>
      <c r="G219" s="14"/>
      <c r="H219" s="18"/>
      <c r="I219" s="14"/>
      <c r="J219" s="14"/>
      <c r="K219" s="14"/>
      <c r="L219" s="14"/>
      <c r="M219" s="14"/>
      <c r="N219" s="14"/>
      <c r="R219" s="234"/>
      <c r="S219" s="204"/>
      <c r="V219" s="185"/>
    </row>
    <row r="220" spans="1:22" ht="18" customHeight="1">
      <c r="A220" s="96"/>
      <c r="B220" s="14"/>
      <c r="G220" s="14"/>
      <c r="H220" s="18"/>
      <c r="I220" s="14"/>
      <c r="J220" s="14"/>
      <c r="K220" s="14"/>
      <c r="L220" s="14"/>
      <c r="M220" s="14"/>
      <c r="N220" s="14"/>
      <c r="R220" s="234"/>
      <c r="S220" s="204"/>
      <c r="V220" s="185"/>
    </row>
    <row r="221" spans="1:22" ht="18" customHeight="1">
      <c r="A221" s="96"/>
      <c r="B221" s="14"/>
      <c r="G221" s="14"/>
      <c r="H221" s="18"/>
      <c r="I221" s="14"/>
      <c r="J221" s="14"/>
      <c r="K221" s="14"/>
      <c r="L221" s="14"/>
      <c r="M221" s="14"/>
      <c r="N221" s="14"/>
      <c r="R221" s="234"/>
      <c r="S221" s="204"/>
      <c r="V221" s="185"/>
    </row>
    <row r="222" spans="1:22" ht="18" customHeight="1">
      <c r="A222" s="96"/>
      <c r="B222" s="14"/>
      <c r="G222" s="14"/>
      <c r="H222" s="18"/>
      <c r="I222" s="14"/>
      <c r="J222" s="14"/>
      <c r="K222" s="14"/>
      <c r="L222" s="14"/>
      <c r="M222" s="14"/>
      <c r="N222" s="14"/>
      <c r="R222" s="234"/>
      <c r="S222" s="204"/>
      <c r="V222" s="185"/>
    </row>
    <row r="223" spans="1:22" ht="18" customHeight="1">
      <c r="A223" s="96"/>
      <c r="B223" s="14"/>
      <c r="G223" s="14"/>
      <c r="H223" s="14"/>
      <c r="I223" s="14"/>
      <c r="J223" s="14"/>
      <c r="K223" s="14"/>
      <c r="L223" s="14"/>
      <c r="M223" s="14"/>
      <c r="N223" s="14"/>
      <c r="R223" s="234"/>
      <c r="S223" s="204"/>
      <c r="V223" s="185"/>
    </row>
    <row r="224" spans="1:22" s="14" customFormat="1" ht="18" customHeight="1">
      <c r="A224" s="194"/>
      <c r="B224" s="195"/>
      <c r="C224" s="195"/>
      <c r="D224" s="195"/>
      <c r="E224" s="195"/>
      <c r="F224" s="195"/>
      <c r="G224" s="195"/>
      <c r="H224" s="195"/>
      <c r="I224" s="195"/>
      <c r="J224" s="195"/>
      <c r="K224" s="195"/>
      <c r="L224" s="195"/>
      <c r="M224" s="195"/>
      <c r="N224" s="195"/>
      <c r="O224" s="195"/>
      <c r="P224" s="195"/>
      <c r="Q224" s="224"/>
      <c r="R224" s="182"/>
      <c r="S224" s="225"/>
      <c r="T224" s="195"/>
      <c r="U224" s="195"/>
      <c r="V224" s="134"/>
    </row>
    <row r="225" spans="1:29" ht="18" hidden="1" customHeight="1">
      <c r="A225" s="226"/>
      <c r="B225" s="227"/>
      <c r="C225" s="227"/>
      <c r="D225" s="227"/>
      <c r="E225" s="227"/>
      <c r="F225" s="227"/>
      <c r="G225" s="227"/>
      <c r="H225" s="227"/>
      <c r="I225" s="227"/>
      <c r="J225" s="227"/>
      <c r="K225" s="227"/>
      <c r="L225" s="227"/>
      <c r="M225" s="227"/>
      <c r="N225" s="227"/>
      <c r="O225" s="227"/>
      <c r="P225" s="227"/>
      <c r="Q225" s="227"/>
      <c r="R225" s="227"/>
      <c r="S225" s="227"/>
      <c r="T225" s="227"/>
      <c r="U225" s="227"/>
      <c r="V225" s="228"/>
    </row>
    <row r="226" spans="1:29" ht="18" hidden="1" customHeight="1">
      <c r="A226" s="184"/>
      <c r="B226" s="854" t="str">
        <f>B132</f>
        <v>T1</v>
      </c>
      <c r="C226" s="831"/>
      <c r="D226" s="855" t="str">
        <f>D132</f>
        <v>Core2</v>
      </c>
      <c r="E226" s="856"/>
      <c r="F226" s="186" t="s">
        <v>631</v>
      </c>
      <c r="H226" s="684" t="str">
        <f>H132</f>
        <v>(Transformer Differential)</v>
      </c>
      <c r="I226" s="684"/>
      <c r="J226" s="684"/>
      <c r="K226" s="684"/>
      <c r="L226" s="684"/>
      <c r="M226" s="684"/>
      <c r="P226" s="186"/>
      <c r="S226" s="187" t="s">
        <v>387</v>
      </c>
      <c r="T226" s="1154" t="str">
        <f>T132</f>
        <v>7UT85</v>
      </c>
      <c r="U226" s="1155"/>
      <c r="V226" s="185"/>
    </row>
    <row r="227" spans="1:29" ht="18" hidden="1" customHeight="1">
      <c r="A227" s="184"/>
      <c r="B227" s="853">
        <f>B133</f>
        <v>0</v>
      </c>
      <c r="C227" s="853"/>
      <c r="D227" s="857"/>
      <c r="E227" s="858"/>
      <c r="F227" s="287"/>
      <c r="T227" s="1154" t="str">
        <f>T133</f>
        <v>IDM+</v>
      </c>
      <c r="U227" s="1155"/>
      <c r="V227" s="185"/>
    </row>
    <row r="228" spans="1:29" ht="18" hidden="1" customHeight="1">
      <c r="A228" s="184"/>
      <c r="H228" s="708" t="s">
        <v>390</v>
      </c>
      <c r="I228" s="708"/>
      <c r="J228" s="708" t="s">
        <v>391</v>
      </c>
      <c r="K228" s="708"/>
      <c r="L228" s="789" t="s">
        <v>392</v>
      </c>
      <c r="M228" s="789"/>
      <c r="T228" s="1154">
        <f>T134</f>
        <v>0</v>
      </c>
      <c r="U228" s="1155"/>
      <c r="V228" s="185"/>
    </row>
    <row r="229" spans="1:29" ht="18" hidden="1" customHeight="1">
      <c r="A229" s="184"/>
      <c r="B229" s="47" t="s">
        <v>393</v>
      </c>
      <c r="H229" s="854">
        <f>H135</f>
        <v>600</v>
      </c>
      <c r="I229" s="831"/>
      <c r="J229" s="854">
        <f>J135</f>
        <v>1800</v>
      </c>
      <c r="K229" s="831"/>
      <c r="L229" s="863" t="str">
        <f>L135</f>
        <v>-</v>
      </c>
      <c r="M229" s="864"/>
      <c r="N229" s="102" t="s">
        <v>342</v>
      </c>
      <c r="O229" s="256">
        <f>O135</f>
        <v>1</v>
      </c>
      <c r="P229" s="27" t="s">
        <v>8</v>
      </c>
      <c r="V229" s="185"/>
    </row>
    <row r="230" spans="1:29" ht="18" hidden="1" customHeight="1">
      <c r="A230" s="184"/>
      <c r="B230" s="47" t="s">
        <v>394</v>
      </c>
      <c r="H230" s="14"/>
      <c r="I230" s="14"/>
      <c r="L230" s="854" t="str">
        <f>J136</f>
        <v>PX</v>
      </c>
      <c r="M230" s="776"/>
      <c r="V230" s="185"/>
    </row>
    <row r="231" spans="1:29" ht="18" hidden="1" customHeight="1">
      <c r="A231" s="184"/>
      <c r="B231" s="47" t="s">
        <v>396</v>
      </c>
      <c r="K231" s="120" t="s">
        <v>497</v>
      </c>
      <c r="L231" s="781">
        <v>3</v>
      </c>
      <c r="M231" s="782"/>
      <c r="N231" s="192" t="s">
        <v>333</v>
      </c>
      <c r="V231" s="185"/>
    </row>
    <row r="232" spans="1:29" ht="18" hidden="1" customHeight="1">
      <c r="A232" s="184"/>
      <c r="B232" s="47" t="s">
        <v>398</v>
      </c>
      <c r="K232" s="120" t="s">
        <v>498</v>
      </c>
      <c r="L232" s="781">
        <v>200</v>
      </c>
      <c r="M232" s="782"/>
      <c r="N232" s="14" t="s">
        <v>305</v>
      </c>
      <c r="V232" s="185"/>
      <c r="W232" s="30" t="s">
        <v>400</v>
      </c>
      <c r="AB232" s="785" t="e">
        <f>D287</f>
        <v>#VALUE!</v>
      </c>
      <c r="AC232" s="786"/>
    </row>
    <row r="233" spans="1:29" ht="18" hidden="1" customHeight="1">
      <c r="A233" s="184"/>
      <c r="B233" s="14" t="s">
        <v>401</v>
      </c>
      <c r="K233" s="120" t="s">
        <v>402</v>
      </c>
      <c r="L233" s="781">
        <v>50</v>
      </c>
      <c r="M233" s="782"/>
      <c r="N233" s="30" t="s">
        <v>403</v>
      </c>
      <c r="V233" s="185"/>
    </row>
    <row r="234" spans="1:29" ht="18" hidden="1" customHeight="1">
      <c r="A234" s="96"/>
      <c r="V234" s="185"/>
    </row>
    <row r="235" spans="1:29" ht="18" hidden="1" customHeight="1">
      <c r="A235" s="193" t="s">
        <v>404</v>
      </c>
      <c r="V235" s="185"/>
    </row>
    <row r="236" spans="1:29" ht="18" hidden="1" customHeight="1">
      <c r="A236" s="184"/>
      <c r="V236" s="185"/>
    </row>
    <row r="237" spans="1:29" ht="18" hidden="1" customHeight="1">
      <c r="A237" s="184"/>
      <c r="B237" s="194" t="s">
        <v>405</v>
      </c>
      <c r="C237" s="195"/>
      <c r="D237" s="195" t="str">
        <f>T226</f>
        <v>7UT85</v>
      </c>
      <c r="E237" s="196"/>
      <c r="F237" s="196"/>
      <c r="G237" s="196"/>
      <c r="H237" s="182" t="s">
        <v>406</v>
      </c>
      <c r="I237" s="183" t="s">
        <v>127</v>
      </c>
      <c r="J237" s="766">
        <f>J143</f>
        <v>0.1</v>
      </c>
      <c r="K237" s="958"/>
      <c r="L237" s="3" t="s">
        <v>157</v>
      </c>
      <c r="V237" s="185"/>
    </row>
    <row r="238" spans="1:29" ht="18" hidden="1" customHeight="1">
      <c r="A238" s="184"/>
      <c r="B238" s="184" t="s">
        <v>405</v>
      </c>
      <c r="D238" s="30" t="str">
        <f>T227</f>
        <v>IDM+</v>
      </c>
      <c r="H238" s="27"/>
      <c r="I238" s="177" t="s">
        <v>127</v>
      </c>
      <c r="J238" s="861">
        <f>J144</f>
        <v>5.8000000000000003E-2</v>
      </c>
      <c r="K238" s="989"/>
      <c r="L238" s="198" t="s">
        <v>157</v>
      </c>
      <c r="V238" s="185"/>
    </row>
    <row r="239" spans="1:29" ht="18" hidden="1" customHeight="1">
      <c r="A239" s="184"/>
      <c r="B239" s="184" t="s">
        <v>405</v>
      </c>
      <c r="D239" s="30">
        <f>T228</f>
        <v>0</v>
      </c>
      <c r="E239" s="14"/>
      <c r="G239" s="199"/>
      <c r="H239" s="27"/>
      <c r="I239" s="177" t="s">
        <v>127</v>
      </c>
      <c r="J239" s="696">
        <f>J145</f>
        <v>0</v>
      </c>
      <c r="K239" s="820"/>
      <c r="L239" s="202" t="s">
        <v>157</v>
      </c>
      <c r="V239" s="185"/>
    </row>
    <row r="240" spans="1:29" ht="18" hidden="1" customHeight="1">
      <c r="A240" s="184"/>
      <c r="B240" s="184" t="s">
        <v>412</v>
      </c>
      <c r="H240" s="27" t="s">
        <v>599</v>
      </c>
      <c r="I240" s="177" t="s">
        <v>127</v>
      </c>
      <c r="J240" s="861">
        <f>J146</f>
        <v>1.1667743100000001</v>
      </c>
      <c r="K240" s="989"/>
      <c r="L240" s="203" t="s">
        <v>157</v>
      </c>
      <c r="V240" s="185"/>
    </row>
    <row r="241" spans="1:22" ht="18" hidden="1" customHeight="1">
      <c r="A241" s="184"/>
      <c r="B241" s="205" t="s">
        <v>413</v>
      </c>
      <c r="C241" s="206"/>
      <c r="D241" s="206"/>
      <c r="E241" s="206"/>
      <c r="F241" s="207"/>
      <c r="G241" s="207"/>
      <c r="H241" s="190" t="s">
        <v>409</v>
      </c>
      <c r="I241" s="208" t="s">
        <v>127</v>
      </c>
      <c r="J241" s="766">
        <f>J238+J240</f>
        <v>1.2247743100000001</v>
      </c>
      <c r="K241" s="958"/>
      <c r="L241" s="210" t="s">
        <v>157</v>
      </c>
      <c r="V241" s="185"/>
    </row>
    <row r="242" spans="1:22" ht="18" hidden="1" customHeight="1">
      <c r="A242" s="184"/>
      <c r="B242" s="47"/>
      <c r="C242" s="47"/>
      <c r="D242" s="47"/>
      <c r="E242" s="47"/>
      <c r="H242" s="27"/>
      <c r="I242" s="28"/>
      <c r="J242" s="199"/>
      <c r="L242" s="47"/>
      <c r="O242" s="27"/>
      <c r="P242" s="211"/>
      <c r="Q242" s="211"/>
      <c r="R242" s="192"/>
      <c r="V242" s="185"/>
    </row>
    <row r="243" spans="1:22" ht="18" hidden="1" customHeight="1">
      <c r="A243" s="184"/>
      <c r="B243" s="197" t="s">
        <v>648</v>
      </c>
      <c r="L243" s="47"/>
      <c r="M243" s="197" t="s">
        <v>407</v>
      </c>
      <c r="V243" s="185"/>
    </row>
    <row r="244" spans="1:22" ht="18" hidden="1" customHeight="1">
      <c r="A244" s="184"/>
      <c r="B244" s="27" t="s">
        <v>649</v>
      </c>
      <c r="C244" s="27" t="s">
        <v>127</v>
      </c>
      <c r="D244" s="30" t="s">
        <v>406</v>
      </c>
      <c r="E244" s="271" t="s">
        <v>410</v>
      </c>
      <c r="F244" s="27" t="s">
        <v>146</v>
      </c>
      <c r="G244" s="28" t="s">
        <v>315</v>
      </c>
      <c r="H244" s="218" t="s">
        <v>146</v>
      </c>
      <c r="I244" s="30" t="s">
        <v>350</v>
      </c>
      <c r="J244" s="199"/>
      <c r="L244" s="47"/>
      <c r="M244" s="30" t="s">
        <v>408</v>
      </c>
      <c r="N244" s="27" t="s">
        <v>127</v>
      </c>
      <c r="O244" s="30" t="s">
        <v>409</v>
      </c>
      <c r="P244" s="191" t="s">
        <v>410</v>
      </c>
      <c r="Q244" s="244" t="s">
        <v>411</v>
      </c>
      <c r="R244" s="27" t="s">
        <v>315</v>
      </c>
      <c r="S244" s="30" t="s">
        <v>411</v>
      </c>
      <c r="T244" s="30" t="s">
        <v>350</v>
      </c>
      <c r="V244" s="185"/>
    </row>
    <row r="245" spans="1:22" ht="18" hidden="1" customHeight="1">
      <c r="A245" s="184"/>
      <c r="B245" s="47"/>
      <c r="C245" s="27" t="s">
        <v>127</v>
      </c>
      <c r="D245" s="204">
        <f>J237</f>
        <v>0.1</v>
      </c>
      <c r="E245" s="191" t="s">
        <v>410</v>
      </c>
      <c r="F245" s="27">
        <f>F151</f>
        <v>1</v>
      </c>
      <c r="G245" s="27" t="s">
        <v>315</v>
      </c>
      <c r="H245" s="27">
        <f>H151</f>
        <v>1</v>
      </c>
      <c r="I245" s="30" t="s">
        <v>350</v>
      </c>
      <c r="J245" s="199"/>
      <c r="L245" s="47"/>
      <c r="N245" s="27" t="s">
        <v>127</v>
      </c>
      <c r="O245" s="204">
        <f>J241</f>
        <v>1.2247743100000001</v>
      </c>
      <c r="P245" s="191" t="s">
        <v>410</v>
      </c>
      <c r="Q245" s="27">
        <f>O229</f>
        <v>1</v>
      </c>
      <c r="R245" s="27" t="s">
        <v>315</v>
      </c>
      <c r="S245" s="27">
        <f>O229</f>
        <v>1</v>
      </c>
      <c r="T245" s="30" t="s">
        <v>350</v>
      </c>
      <c r="V245" s="185"/>
    </row>
    <row r="246" spans="1:22" ht="18" hidden="1" customHeight="1">
      <c r="A246" s="184"/>
      <c r="B246" s="47"/>
      <c r="C246" s="27" t="s">
        <v>127</v>
      </c>
      <c r="D246" s="795">
        <f>D245/(F245*H245)</f>
        <v>0.1</v>
      </c>
      <c r="E246" s="795"/>
      <c r="F246" s="192" t="s">
        <v>333</v>
      </c>
      <c r="J246" s="199"/>
      <c r="L246" s="47"/>
      <c r="N246" s="27" t="s">
        <v>127</v>
      </c>
      <c r="O246" s="795">
        <f>O245/(Q245*S245)</f>
        <v>1.2247743100000001</v>
      </c>
      <c r="P246" s="795"/>
      <c r="Q246" s="192" t="s">
        <v>333</v>
      </c>
      <c r="V246" s="185"/>
    </row>
    <row r="247" spans="1:22" ht="18" hidden="1" customHeight="1">
      <c r="A247" s="184"/>
      <c r="B247" s="47"/>
      <c r="C247" s="47"/>
      <c r="D247" s="47"/>
      <c r="E247" s="47"/>
      <c r="H247" s="27"/>
      <c r="I247" s="28"/>
      <c r="J247" s="199"/>
      <c r="L247" s="47"/>
      <c r="O247" s="27"/>
      <c r="P247" s="211"/>
      <c r="Q247" s="211"/>
      <c r="R247" s="192"/>
      <c r="V247" s="185"/>
    </row>
    <row r="248" spans="1:22" ht="18" hidden="1" customHeight="1">
      <c r="A248" s="184"/>
      <c r="B248" s="47" t="s">
        <v>668</v>
      </c>
      <c r="C248" s="47"/>
      <c r="D248" s="47"/>
      <c r="E248" s="47"/>
      <c r="H248" s="27"/>
      <c r="I248" s="28"/>
      <c r="J248" s="199"/>
      <c r="L248" s="28" t="s">
        <v>127</v>
      </c>
      <c r="M248" s="795">
        <f>D246</f>
        <v>0.1</v>
      </c>
      <c r="N248" s="795"/>
      <c r="O248" s="27" t="s">
        <v>347</v>
      </c>
      <c r="P248" s="795">
        <f>O246</f>
        <v>1.2247743100000001</v>
      </c>
      <c r="Q248" s="795"/>
      <c r="R248" s="211" t="s">
        <v>127</v>
      </c>
      <c r="S248" s="795">
        <f>M248+P248</f>
        <v>1.3247743100000002</v>
      </c>
      <c r="T248" s="795"/>
      <c r="U248" s="192" t="s">
        <v>333</v>
      </c>
      <c r="V248" s="185"/>
    </row>
    <row r="249" spans="1:22" s="14" customFormat="1" ht="18" hidden="1" customHeight="1">
      <c r="A249" s="193" t="s">
        <v>600</v>
      </c>
      <c r="B249" s="5"/>
      <c r="C249" s="5"/>
      <c r="D249" s="5"/>
      <c r="E249" s="5"/>
      <c r="F249" s="5"/>
      <c r="G249" s="5"/>
      <c r="H249" s="212"/>
      <c r="I249" s="212"/>
      <c r="J249" s="5"/>
      <c r="K249" s="5"/>
      <c r="L249" s="5"/>
      <c r="M249" s="5"/>
      <c r="N249" s="5"/>
      <c r="O249" s="5"/>
      <c r="P249" s="103"/>
      <c r="Q249" s="212"/>
      <c r="R249" s="213"/>
      <c r="S249" s="214"/>
      <c r="T249" s="18"/>
      <c r="U249" s="18"/>
      <c r="V249" s="97"/>
    </row>
    <row r="250" spans="1:22" s="14" customFormat="1" ht="18" hidden="1" customHeight="1">
      <c r="A250" s="96"/>
      <c r="B250" s="47" t="s">
        <v>601</v>
      </c>
      <c r="C250" s="5"/>
      <c r="D250" s="5"/>
      <c r="E250" s="5"/>
      <c r="I250" s="215"/>
      <c r="M250" s="5"/>
      <c r="N250" s="103" t="s">
        <v>127</v>
      </c>
      <c r="O250" s="1154">
        <f>O156</f>
        <v>100</v>
      </c>
      <c r="P250" s="831"/>
      <c r="Q250" s="14" t="s">
        <v>602</v>
      </c>
      <c r="S250" s="214"/>
      <c r="T250" s="18"/>
      <c r="U250" s="18"/>
      <c r="V250" s="97"/>
    </row>
    <row r="251" spans="1:22" s="14" customFormat="1" ht="18" hidden="1" customHeight="1">
      <c r="A251" s="96"/>
      <c r="B251" s="47" t="s">
        <v>603</v>
      </c>
      <c r="C251" s="5"/>
      <c r="D251" s="5"/>
      <c r="E251" s="5"/>
      <c r="I251" s="215"/>
      <c r="M251" s="5"/>
      <c r="N251" s="103" t="s">
        <v>127</v>
      </c>
      <c r="O251" s="1154">
        <f>O157</f>
        <v>25</v>
      </c>
      <c r="P251" s="831"/>
      <c r="Q251" s="14" t="s">
        <v>604</v>
      </c>
      <c r="S251" s="214"/>
      <c r="T251" s="18"/>
      <c r="U251" s="18"/>
      <c r="V251" s="97"/>
    </row>
    <row r="252" spans="1:22" s="14" customFormat="1" ht="18" hidden="1" customHeight="1">
      <c r="A252" s="96"/>
      <c r="B252" s="47" t="s">
        <v>605</v>
      </c>
      <c r="C252" s="5"/>
      <c r="D252" s="5"/>
      <c r="E252" s="5"/>
      <c r="M252" s="120" t="s">
        <v>606</v>
      </c>
      <c r="N252" s="103" t="s">
        <v>607</v>
      </c>
      <c r="O252" s="1154">
        <f>O158</f>
        <v>132</v>
      </c>
      <c r="P252" s="831"/>
      <c r="Q252" s="14" t="s">
        <v>163</v>
      </c>
      <c r="S252" s="214"/>
      <c r="T252" s="18"/>
      <c r="U252" s="18"/>
      <c r="V252" s="97"/>
    </row>
    <row r="253" spans="1:22" s="14" customFormat="1" ht="18" hidden="1" customHeight="1">
      <c r="A253" s="216"/>
      <c r="B253" s="212"/>
      <c r="C253" s="212"/>
      <c r="D253" s="212"/>
      <c r="E253" s="212"/>
      <c r="T253" s="18"/>
      <c r="U253" s="18"/>
      <c r="V253" s="97"/>
    </row>
    <row r="254" spans="1:22" s="14" customFormat="1" ht="18" hidden="1" customHeight="1">
      <c r="A254" s="272" t="s">
        <v>608</v>
      </c>
      <c r="B254" s="213"/>
      <c r="C254" s="213"/>
      <c r="D254" s="213"/>
      <c r="E254" s="213"/>
      <c r="H254" s="120" t="s">
        <v>609</v>
      </c>
      <c r="I254" s="28" t="s">
        <v>127</v>
      </c>
      <c r="J254" s="689" t="s">
        <v>610</v>
      </c>
      <c r="K254" s="689"/>
      <c r="L254" s="28" t="s">
        <v>315</v>
      </c>
      <c r="M254" s="217">
        <v>1000</v>
      </c>
      <c r="N254" s="102" t="s">
        <v>342</v>
      </c>
      <c r="O254" s="28" t="s">
        <v>611</v>
      </c>
      <c r="P254" s="28" t="s">
        <v>315</v>
      </c>
      <c r="Q254" s="28" t="s">
        <v>606</v>
      </c>
      <c r="R254" s="47" t="s">
        <v>350</v>
      </c>
      <c r="T254" s="18"/>
      <c r="U254" s="18"/>
      <c r="V254" s="97"/>
    </row>
    <row r="255" spans="1:22" s="14" customFormat="1" ht="18" hidden="1" customHeight="1">
      <c r="A255" s="216"/>
      <c r="B255" s="213"/>
      <c r="C255" s="213"/>
      <c r="D255" s="213"/>
      <c r="E255" s="213"/>
      <c r="F255" s="212"/>
      <c r="G255" s="212"/>
      <c r="H255" s="28"/>
      <c r="I255" s="28" t="s">
        <v>127</v>
      </c>
      <c r="J255" s="689">
        <f>O250</f>
        <v>100</v>
      </c>
      <c r="K255" s="689"/>
      <c r="L255" s="28" t="s">
        <v>315</v>
      </c>
      <c r="M255" s="217">
        <v>1000</v>
      </c>
      <c r="N255" s="102" t="s">
        <v>342</v>
      </c>
      <c r="O255" s="28" t="s">
        <v>611</v>
      </c>
      <c r="P255" s="28" t="s">
        <v>315</v>
      </c>
      <c r="Q255" s="28">
        <f>O252</f>
        <v>132</v>
      </c>
      <c r="R255" s="47" t="s">
        <v>350</v>
      </c>
      <c r="T255" s="18"/>
      <c r="U255" s="18"/>
      <c r="V255" s="97"/>
    </row>
    <row r="256" spans="1:22" s="14" customFormat="1" ht="18" hidden="1" customHeight="1">
      <c r="A256" s="216"/>
      <c r="B256" s="212"/>
      <c r="C256" s="212"/>
      <c r="D256" s="212"/>
      <c r="E256" s="212"/>
      <c r="F256" s="212"/>
      <c r="G256" s="212"/>
      <c r="I256" s="28" t="s">
        <v>127</v>
      </c>
      <c r="J256" s="692">
        <f>(O250*1000)/(SQRT(3)*O252)</f>
        <v>437.38656756789834</v>
      </c>
      <c r="K256" s="692"/>
      <c r="L256" s="14" t="s">
        <v>8</v>
      </c>
      <c r="M256" s="120"/>
      <c r="N256" s="120"/>
      <c r="O256" s="120"/>
      <c r="T256" s="18"/>
      <c r="U256" s="18"/>
      <c r="V256" s="97"/>
    </row>
    <row r="257" spans="1:22" s="14" customFormat="1" ht="18" hidden="1" customHeight="1">
      <c r="A257" s="216"/>
      <c r="B257" s="212"/>
      <c r="C257" s="212"/>
      <c r="D257" s="212"/>
      <c r="E257" s="212"/>
      <c r="G257" s="212"/>
      <c r="H257" s="28"/>
      <c r="I257" s="103"/>
      <c r="J257" s="28"/>
      <c r="M257" s="212"/>
      <c r="N257" s="219"/>
      <c r="O257" s="212"/>
      <c r="T257" s="18"/>
      <c r="U257" s="18"/>
      <c r="V257" s="97"/>
    </row>
    <row r="258" spans="1:22" s="14" customFormat="1" ht="18" hidden="1" customHeight="1">
      <c r="A258" s="147" t="s">
        <v>629</v>
      </c>
      <c r="B258" s="5"/>
      <c r="C258" s="5"/>
      <c r="D258" s="5"/>
      <c r="E258" s="5"/>
      <c r="F258" s="212"/>
      <c r="G258" s="212"/>
      <c r="H258" s="5"/>
      <c r="I258" s="5"/>
      <c r="J258" s="5"/>
      <c r="K258" s="5"/>
      <c r="L258" s="103"/>
      <c r="M258" s="103"/>
      <c r="N258" s="103"/>
      <c r="O258" s="103"/>
      <c r="P258" s="212"/>
      <c r="Q258" s="213"/>
      <c r="S258" s="220"/>
      <c r="T258" s="18"/>
      <c r="U258" s="18"/>
      <c r="V258" s="97"/>
    </row>
    <row r="259" spans="1:22" s="14" customFormat="1" ht="18" hidden="1" customHeight="1">
      <c r="A259" s="147"/>
      <c r="B259" s="5"/>
      <c r="C259" s="5"/>
      <c r="D259" s="5"/>
      <c r="E259" s="5"/>
      <c r="F259" s="212"/>
      <c r="G259" s="212"/>
      <c r="H259" s="5"/>
      <c r="I259" s="5"/>
      <c r="J259" s="5"/>
      <c r="K259" s="5"/>
      <c r="L259" s="103"/>
      <c r="M259" s="103"/>
      <c r="N259" s="103"/>
      <c r="O259" s="103"/>
      <c r="P259" s="212"/>
      <c r="Q259" s="213"/>
      <c r="S259" s="214"/>
      <c r="T259" s="18"/>
      <c r="U259" s="18"/>
      <c r="V259" s="97"/>
    </row>
    <row r="260" spans="1:22" ht="18" hidden="1" customHeight="1">
      <c r="A260" s="96" t="s">
        <v>632</v>
      </c>
      <c r="B260" s="14"/>
      <c r="C260" s="14"/>
      <c r="D260" s="14"/>
      <c r="E260" s="14"/>
      <c r="M260" s="120" t="s">
        <v>613</v>
      </c>
      <c r="N260" s="28" t="s">
        <v>127</v>
      </c>
      <c r="O260" s="689" t="s">
        <v>609</v>
      </c>
      <c r="P260" s="716"/>
      <c r="Q260" s="221" t="s">
        <v>630</v>
      </c>
      <c r="R260" s="221">
        <v>16</v>
      </c>
      <c r="S260" s="214"/>
      <c r="V260" s="185"/>
    </row>
    <row r="261" spans="1:22" ht="18" hidden="1" customHeight="1">
      <c r="A261" s="96"/>
      <c r="B261" s="5"/>
      <c r="C261" s="5"/>
      <c r="D261" s="5"/>
      <c r="E261" s="5"/>
      <c r="M261" s="250"/>
      <c r="N261" s="28" t="s">
        <v>127</v>
      </c>
      <c r="O261" s="689">
        <f>+J256</f>
        <v>437.38656756789834</v>
      </c>
      <c r="P261" s="716"/>
      <c r="Q261" s="221" t="s">
        <v>630</v>
      </c>
      <c r="R261" s="221">
        <v>16</v>
      </c>
      <c r="S261" s="214"/>
      <c r="V261" s="185"/>
    </row>
    <row r="262" spans="1:22" ht="18" hidden="1" customHeight="1">
      <c r="A262" s="96"/>
      <c r="B262" s="5"/>
      <c r="C262" s="5"/>
      <c r="D262" s="5"/>
      <c r="E262" s="5"/>
      <c r="M262" s="120" t="s">
        <v>613</v>
      </c>
      <c r="N262" s="28" t="s">
        <v>127</v>
      </c>
      <c r="O262" s="689">
        <f>O261*R261</f>
        <v>6998.1850810863734</v>
      </c>
      <c r="P262" s="716"/>
      <c r="Q262" s="241" t="s">
        <v>8</v>
      </c>
      <c r="R262" s="14"/>
      <c r="S262" s="214"/>
      <c r="V262" s="185"/>
    </row>
    <row r="263" spans="1:22" ht="18" hidden="1" customHeight="1">
      <c r="A263" s="96"/>
      <c r="B263" s="5"/>
      <c r="C263" s="5"/>
      <c r="D263" s="5"/>
      <c r="E263" s="5"/>
      <c r="M263" s="120"/>
      <c r="N263" s="28"/>
      <c r="O263" s="28"/>
      <c r="P263" s="14"/>
      <c r="Q263" s="241"/>
      <c r="R263" s="14"/>
      <c r="S263" s="214"/>
      <c r="V263" s="185"/>
    </row>
    <row r="264" spans="1:22" ht="18" hidden="1" customHeight="1">
      <c r="A264" s="96"/>
      <c r="B264" s="5"/>
      <c r="C264" s="5"/>
      <c r="D264" s="5"/>
      <c r="E264" s="5"/>
      <c r="M264" s="120"/>
      <c r="N264" s="28"/>
      <c r="O264" s="28"/>
      <c r="P264" s="14"/>
      <c r="Q264" s="241"/>
      <c r="R264" s="14"/>
      <c r="S264" s="214"/>
      <c r="V264" s="185"/>
    </row>
    <row r="265" spans="1:22" ht="18" hidden="1" customHeight="1">
      <c r="A265" s="96"/>
      <c r="B265" s="5"/>
      <c r="C265" s="5"/>
      <c r="D265" s="5"/>
      <c r="E265" s="5"/>
      <c r="M265" s="120"/>
      <c r="N265" s="28"/>
      <c r="O265" s="28"/>
      <c r="P265" s="14"/>
      <c r="Q265" s="241"/>
      <c r="R265" s="14"/>
      <c r="S265" s="214"/>
      <c r="V265" s="185"/>
    </row>
    <row r="266" spans="1:22" ht="18" hidden="1" customHeight="1">
      <c r="A266" s="96"/>
      <c r="B266" s="5"/>
      <c r="C266" s="5"/>
      <c r="D266" s="5"/>
      <c r="E266" s="5"/>
      <c r="M266" s="120"/>
      <c r="N266" s="28"/>
      <c r="O266" s="28"/>
      <c r="P266" s="14"/>
      <c r="Q266" s="241"/>
      <c r="R266" s="14"/>
      <c r="S266" s="214"/>
      <c r="V266" s="185"/>
    </row>
    <row r="267" spans="1:22" ht="18" hidden="1" customHeight="1">
      <c r="A267" s="96"/>
      <c r="B267" s="5"/>
      <c r="C267" s="5"/>
      <c r="D267" s="5"/>
      <c r="E267" s="5"/>
      <c r="M267" s="120"/>
      <c r="N267" s="28"/>
      <c r="O267" s="28"/>
      <c r="P267" s="14"/>
      <c r="Q267" s="241"/>
      <c r="R267" s="14"/>
      <c r="S267" s="214"/>
      <c r="V267" s="185"/>
    </row>
    <row r="268" spans="1:22" s="14" customFormat="1" ht="18" hidden="1" customHeight="1">
      <c r="A268" s="194"/>
      <c r="B268" s="195"/>
      <c r="C268" s="195"/>
      <c r="D268" s="195"/>
      <c r="E268" s="195"/>
      <c r="F268" s="195"/>
      <c r="G268" s="195"/>
      <c r="H268" s="195"/>
      <c r="I268" s="195"/>
      <c r="J268" s="195"/>
      <c r="K268" s="195"/>
      <c r="L268" s="195"/>
      <c r="M268" s="195"/>
      <c r="N268" s="195"/>
      <c r="O268" s="195"/>
      <c r="P268" s="195"/>
      <c r="Q268" s="224"/>
      <c r="R268" s="182"/>
      <c r="S268" s="225"/>
      <c r="T268" s="195"/>
      <c r="U268" s="195"/>
      <c r="V268" s="134" t="s">
        <v>552</v>
      </c>
    </row>
    <row r="269" spans="1:22" s="14" customFormat="1" ht="18" hidden="1" customHeight="1">
      <c r="A269" s="135"/>
      <c r="B269" s="273"/>
      <c r="C269" s="273"/>
      <c r="D269" s="273"/>
      <c r="E269" s="273"/>
      <c r="F269" s="273"/>
      <c r="G269" s="273"/>
      <c r="H269" s="273"/>
      <c r="I269" s="273"/>
      <c r="J269" s="273"/>
      <c r="K269" s="273"/>
      <c r="L269" s="273"/>
      <c r="M269" s="273"/>
      <c r="N269" s="273"/>
      <c r="O269" s="273"/>
      <c r="P269" s="273"/>
      <c r="Q269" s="274"/>
      <c r="R269" s="138"/>
      <c r="S269" s="275"/>
      <c r="T269" s="273"/>
      <c r="U269" s="273"/>
      <c r="V269" s="276"/>
    </row>
    <row r="270" spans="1:22" ht="18" hidden="1" customHeight="1">
      <c r="A270" s="96" t="s">
        <v>686</v>
      </c>
      <c r="V270" s="185"/>
    </row>
    <row r="271" spans="1:22" ht="18" hidden="1" customHeight="1">
      <c r="A271" s="184"/>
      <c r="V271" s="185"/>
    </row>
    <row r="272" spans="1:22" s="279" customFormat="1" ht="18" hidden="1" customHeight="1">
      <c r="A272" s="277"/>
      <c r="B272" s="689" t="s">
        <v>473</v>
      </c>
      <c r="C272" s="1150" t="s">
        <v>652</v>
      </c>
      <c r="G272" s="802" t="s">
        <v>687</v>
      </c>
      <c r="H272" s="1153" t="s">
        <v>315</v>
      </c>
      <c r="I272" s="708" t="s">
        <v>688</v>
      </c>
      <c r="J272" s="1147"/>
      <c r="K272" s="1147"/>
      <c r="L272" s="1147"/>
      <c r="M272" s="1147"/>
      <c r="N272" s="689" t="s">
        <v>672</v>
      </c>
      <c r="O272" s="708" t="s">
        <v>420</v>
      </c>
      <c r="P272" s="689" t="s">
        <v>347</v>
      </c>
      <c r="Q272" s="708" t="s">
        <v>689</v>
      </c>
      <c r="R272" s="708" t="s">
        <v>674</v>
      </c>
      <c r="S272" s="708" t="s">
        <v>411</v>
      </c>
      <c r="T272" s="14"/>
      <c r="U272" s="729" t="s">
        <v>653</v>
      </c>
      <c r="V272" s="185"/>
    </row>
    <row r="273" spans="1:22" s="279" customFormat="1" ht="18" hidden="1" customHeight="1">
      <c r="A273" s="277"/>
      <c r="B273" s="689"/>
      <c r="C273" s="689"/>
      <c r="G273" s="802"/>
      <c r="H273" s="689"/>
      <c r="I273" s="689">
        <v>1.3</v>
      </c>
      <c r="J273" s="689"/>
      <c r="K273" s="28" t="s">
        <v>315</v>
      </c>
      <c r="L273" s="689" t="s">
        <v>423</v>
      </c>
      <c r="M273" s="689"/>
      <c r="N273" s="689"/>
      <c r="O273" s="689"/>
      <c r="P273" s="689"/>
      <c r="Q273" s="689"/>
      <c r="R273" s="689"/>
      <c r="S273" s="689"/>
      <c r="T273" s="14"/>
      <c r="U273" s="689"/>
      <c r="V273" s="185"/>
    </row>
    <row r="274" spans="1:22" ht="18" hidden="1" customHeight="1">
      <c r="A274" s="184"/>
      <c r="V274" s="185"/>
    </row>
    <row r="275" spans="1:22" ht="18" hidden="1" customHeight="1">
      <c r="A275" s="184"/>
      <c r="B275" s="47" t="s">
        <v>654</v>
      </c>
      <c r="C275" s="14"/>
      <c r="D275" s="14"/>
      <c r="E275" s="14"/>
      <c r="F275" s="18"/>
      <c r="G275" s="18"/>
      <c r="H275" s="14"/>
      <c r="I275" s="120"/>
      <c r="J275" s="14"/>
      <c r="K275" s="14"/>
      <c r="M275" s="14"/>
      <c r="N275" s="14"/>
      <c r="P275" s="14" t="s">
        <v>423</v>
      </c>
      <c r="R275" s="234" t="s">
        <v>127</v>
      </c>
      <c r="S275" s="684" t="str">
        <f>L229</f>
        <v>-</v>
      </c>
      <c r="T275" s="684"/>
      <c r="U275" s="30" t="s">
        <v>8</v>
      </c>
      <c r="V275" s="185"/>
    </row>
    <row r="276" spans="1:22" ht="18" hidden="1" customHeight="1">
      <c r="A276" s="184"/>
      <c r="B276" s="47" t="s">
        <v>655</v>
      </c>
      <c r="C276" s="14"/>
      <c r="D276" s="14"/>
      <c r="E276" s="14"/>
      <c r="F276" s="18"/>
      <c r="G276" s="18"/>
      <c r="H276" s="14"/>
      <c r="I276" s="120"/>
      <c r="J276" s="14"/>
      <c r="K276" s="14"/>
      <c r="M276" s="14"/>
      <c r="N276" s="14"/>
      <c r="P276" s="14" t="s">
        <v>420</v>
      </c>
      <c r="R276" s="234" t="s">
        <v>127</v>
      </c>
      <c r="S276" s="684">
        <f>L231</f>
        <v>3</v>
      </c>
      <c r="T276" s="684"/>
      <c r="U276" s="192" t="s">
        <v>333</v>
      </c>
      <c r="V276" s="185"/>
    </row>
    <row r="277" spans="1:22" ht="18" hidden="1" customHeight="1">
      <c r="A277" s="184"/>
      <c r="B277" s="47" t="s">
        <v>676</v>
      </c>
      <c r="C277" s="14"/>
      <c r="D277" s="14"/>
      <c r="E277" s="14"/>
      <c r="F277" s="18"/>
      <c r="G277" s="18"/>
      <c r="H277" s="14"/>
      <c r="I277" s="120"/>
      <c r="J277" s="14"/>
      <c r="K277" s="14"/>
      <c r="M277" s="14"/>
      <c r="N277" s="14"/>
      <c r="P277" s="14" t="s">
        <v>689</v>
      </c>
      <c r="R277" s="234" t="s">
        <v>127</v>
      </c>
      <c r="S277" s="795">
        <f>S248</f>
        <v>1.3247743100000002</v>
      </c>
      <c r="T277" s="795"/>
      <c r="U277" s="192" t="s">
        <v>333</v>
      </c>
      <c r="V277" s="185"/>
    </row>
    <row r="278" spans="1:22" ht="18" hidden="1" customHeight="1">
      <c r="A278" s="184"/>
      <c r="B278" s="47" t="s">
        <v>691</v>
      </c>
      <c r="C278" s="14"/>
      <c r="D278" s="14"/>
      <c r="E278" s="14"/>
      <c r="F278" s="14"/>
      <c r="G278" s="14"/>
      <c r="H278" s="14"/>
      <c r="I278" s="120"/>
      <c r="J278" s="14"/>
      <c r="K278" s="14"/>
      <c r="M278" s="14"/>
      <c r="N278" s="14"/>
      <c r="P278" s="14" t="s">
        <v>411</v>
      </c>
      <c r="R278" s="234" t="s">
        <v>127</v>
      </c>
      <c r="S278" s="684">
        <f>O229</f>
        <v>1</v>
      </c>
      <c r="T278" s="684"/>
      <c r="U278" s="30" t="s">
        <v>8</v>
      </c>
      <c r="V278" s="185"/>
    </row>
    <row r="279" spans="1:22" ht="18" hidden="1" customHeight="1">
      <c r="A279" s="184"/>
      <c r="B279" s="47" t="s">
        <v>678</v>
      </c>
      <c r="C279" s="14"/>
      <c r="D279" s="14"/>
      <c r="E279" s="14"/>
      <c r="F279" s="14"/>
      <c r="G279" s="14"/>
      <c r="H279" s="14"/>
      <c r="I279" s="120"/>
      <c r="J279" s="14"/>
      <c r="K279" s="14"/>
      <c r="M279" s="14"/>
      <c r="N279" s="14"/>
      <c r="P279" s="120" t="s">
        <v>688</v>
      </c>
      <c r="R279" s="234" t="s">
        <v>127</v>
      </c>
      <c r="S279" s="684">
        <f>O262</f>
        <v>6998.1850810863734</v>
      </c>
      <c r="T279" s="684"/>
      <c r="U279" s="30" t="s">
        <v>8</v>
      </c>
      <c r="V279" s="185"/>
    </row>
    <row r="280" spans="1:22" ht="18" hidden="1" customHeight="1">
      <c r="A280" s="184"/>
      <c r="B280" s="47" t="s">
        <v>692</v>
      </c>
      <c r="C280" s="14"/>
      <c r="D280" s="14"/>
      <c r="E280" s="14"/>
      <c r="F280" s="14"/>
      <c r="G280" s="14"/>
      <c r="H280" s="14"/>
      <c r="I280" s="120"/>
      <c r="J280" s="14"/>
      <c r="K280" s="14"/>
      <c r="M280" s="14"/>
      <c r="N280" s="14"/>
      <c r="P280" s="120" t="s">
        <v>680</v>
      </c>
      <c r="R280" s="234" t="s">
        <v>127</v>
      </c>
      <c r="S280" s="795">
        <f>J256</f>
        <v>437.38656756789834</v>
      </c>
      <c r="T280" s="684"/>
      <c r="U280" s="30" t="s">
        <v>8</v>
      </c>
      <c r="V280" s="185"/>
    </row>
    <row r="281" spans="1:22" ht="18" hidden="1" customHeight="1">
      <c r="A281" s="184"/>
      <c r="B281" s="47" t="s">
        <v>659</v>
      </c>
      <c r="C281" s="14"/>
      <c r="D281" s="14"/>
      <c r="E281" s="14"/>
      <c r="F281" s="14"/>
      <c r="G281" s="14"/>
      <c r="H281" s="14"/>
      <c r="I281" s="120"/>
      <c r="J281" s="14"/>
      <c r="K281" s="14"/>
      <c r="M281" s="14"/>
      <c r="N281" s="14"/>
      <c r="P281" s="120" t="s">
        <v>660</v>
      </c>
      <c r="R281" s="234" t="s">
        <v>127</v>
      </c>
      <c r="S281" s="684">
        <f>S183</f>
        <v>1</v>
      </c>
      <c r="T281" s="684"/>
      <c r="U281" s="30" t="s">
        <v>8</v>
      </c>
      <c r="V281" s="185"/>
    </row>
    <row r="282" spans="1:22" ht="18" hidden="1" customHeight="1">
      <c r="A282" s="96"/>
      <c r="B282" s="14"/>
      <c r="C282" s="14"/>
      <c r="D282" s="235"/>
      <c r="E282" s="14"/>
      <c r="F282" s="28"/>
      <c r="G282" s="249"/>
      <c r="H282" s="28"/>
      <c r="I282" s="251"/>
      <c r="J282" s="14"/>
      <c r="K282" s="280"/>
      <c r="M282" s="47"/>
      <c r="N282" s="268"/>
      <c r="P282" s="281"/>
      <c r="R282" s="234"/>
      <c r="S282" s="1148"/>
      <c r="T282" s="723"/>
      <c r="V282" s="185"/>
    </row>
    <row r="283" spans="1:22" ht="18" hidden="1" customHeight="1">
      <c r="A283" s="272" t="s">
        <v>693</v>
      </c>
      <c r="B283" s="14"/>
      <c r="C283" s="14"/>
      <c r="D283" s="14"/>
      <c r="E283" s="14"/>
      <c r="F283" s="14"/>
      <c r="G283" s="14"/>
      <c r="H283" s="28">
        <v>3</v>
      </c>
      <c r="I283" s="47" t="s">
        <v>694</v>
      </c>
      <c r="J283" s="14"/>
      <c r="K283" s="14"/>
      <c r="M283" s="14" t="s">
        <v>337</v>
      </c>
      <c r="N283" s="14"/>
      <c r="P283" s="120"/>
      <c r="R283" s="234"/>
      <c r="S283" s="1149"/>
      <c r="T283" s="723"/>
      <c r="V283" s="185"/>
    </row>
    <row r="284" spans="1:22" ht="18" hidden="1" customHeight="1">
      <c r="A284" s="272"/>
      <c r="B284" s="14"/>
      <c r="C284" s="14"/>
      <c r="D284" s="14"/>
      <c r="E284" s="14"/>
      <c r="F284" s="14"/>
      <c r="G284" s="14"/>
      <c r="H284" s="28"/>
      <c r="I284" s="47"/>
      <c r="J284" s="14"/>
      <c r="K284" s="14"/>
      <c r="M284" s="14"/>
      <c r="N284" s="14"/>
      <c r="P284" s="120"/>
      <c r="R284" s="234"/>
      <c r="S284" s="282"/>
      <c r="V284" s="185"/>
    </row>
    <row r="285" spans="1:22" s="279" customFormat="1" ht="18" hidden="1" customHeight="1">
      <c r="A285" s="277"/>
      <c r="B285" s="689" t="s">
        <v>703</v>
      </c>
      <c r="C285" s="1150" t="s">
        <v>652</v>
      </c>
      <c r="G285" s="802">
        <f>H283</f>
        <v>3</v>
      </c>
      <c r="H285" s="1151" t="s">
        <v>315</v>
      </c>
      <c r="I285" s="829">
        <f>S279</f>
        <v>6998.1850810863734</v>
      </c>
      <c r="J285" s="1152"/>
      <c r="K285" s="1152"/>
      <c r="L285" s="1152"/>
      <c r="M285" s="1152"/>
      <c r="N285" s="689" t="s">
        <v>672</v>
      </c>
      <c r="O285" s="708">
        <f>S276</f>
        <v>3</v>
      </c>
      <c r="P285" s="689" t="s">
        <v>347</v>
      </c>
      <c r="Q285" s="829">
        <f>S277</f>
        <v>1.3247743100000002</v>
      </c>
      <c r="R285" s="708" t="s">
        <v>674</v>
      </c>
      <c r="S285" s="708">
        <f>S278</f>
        <v>1</v>
      </c>
      <c r="T285" s="14"/>
      <c r="U285" s="729" t="s">
        <v>653</v>
      </c>
      <c r="V285" s="185"/>
    </row>
    <row r="286" spans="1:22" s="279" customFormat="1" ht="18" hidden="1" customHeight="1">
      <c r="A286" s="277"/>
      <c r="B286" s="689"/>
      <c r="C286" s="689"/>
      <c r="G286" s="802"/>
      <c r="H286" s="684"/>
      <c r="I286" s="689">
        <v>1.3</v>
      </c>
      <c r="J286" s="684"/>
      <c r="K286" s="28" t="s">
        <v>315</v>
      </c>
      <c r="L286" s="689" t="str">
        <f>S275</f>
        <v>-</v>
      </c>
      <c r="M286" s="684"/>
      <c r="N286" s="689"/>
      <c r="O286" s="689"/>
      <c r="P286" s="689"/>
      <c r="Q286" s="689"/>
      <c r="R286" s="689"/>
      <c r="S286" s="689"/>
      <c r="T286" s="14"/>
      <c r="U286" s="689"/>
      <c r="V286" s="185"/>
    </row>
    <row r="287" spans="1:22" ht="18" hidden="1" customHeight="1">
      <c r="A287" s="96"/>
      <c r="B287" s="14"/>
      <c r="C287" s="27" t="s">
        <v>127</v>
      </c>
      <c r="D287" s="812" t="e">
        <f>G285*(I285/(I286*L286)*(O285+Q285)*S285)</f>
        <v>#VALUE!</v>
      </c>
      <c r="E287" s="813"/>
      <c r="F287" s="30" t="s">
        <v>305</v>
      </c>
      <c r="G287" s="14"/>
      <c r="H287" s="14"/>
      <c r="I287" s="14"/>
      <c r="J287" s="14"/>
      <c r="K287" s="14"/>
      <c r="L287" s="14"/>
      <c r="M287" s="14"/>
      <c r="N287" s="14"/>
      <c r="R287" s="234"/>
      <c r="S287" s="204"/>
      <c r="V287" s="185"/>
    </row>
    <row r="288" spans="1:22" ht="18" hidden="1" customHeight="1">
      <c r="A288" s="96"/>
      <c r="B288" s="14"/>
      <c r="G288" s="14"/>
      <c r="H288" s="14"/>
      <c r="I288" s="14"/>
      <c r="J288" s="14"/>
      <c r="K288" s="14"/>
      <c r="L288" s="14"/>
      <c r="M288" s="14"/>
      <c r="N288" s="14"/>
      <c r="R288" s="234"/>
      <c r="S288" s="204"/>
      <c r="V288" s="185"/>
    </row>
    <row r="289" spans="1:22" ht="18" hidden="1" customHeight="1">
      <c r="A289" s="96"/>
      <c r="B289" s="14"/>
      <c r="D289" s="30" t="s">
        <v>475</v>
      </c>
      <c r="G289" s="27" t="e">
        <f>IF(E290&gt;H290,"&gt;","&lt;")</f>
        <v>#VALUE!</v>
      </c>
      <c r="H289" s="30" t="s">
        <v>477</v>
      </c>
      <c r="M289" s="14"/>
      <c r="N289" s="14"/>
      <c r="R289" s="234"/>
      <c r="S289" s="204"/>
      <c r="V289" s="185"/>
    </row>
    <row r="290" spans="1:22" ht="18" hidden="1" customHeight="1">
      <c r="A290" s="96"/>
      <c r="B290" s="14"/>
      <c r="E290" s="684">
        <f>L232</f>
        <v>200</v>
      </c>
      <c r="F290" s="684"/>
      <c r="G290" s="27" t="e">
        <f>G289</f>
        <v>#VALUE!</v>
      </c>
      <c r="H290" s="795" t="e">
        <f>D287</f>
        <v>#VALUE!</v>
      </c>
      <c r="I290" s="684"/>
      <c r="M290" s="14"/>
      <c r="N290" s="14"/>
      <c r="R290" s="234"/>
      <c r="S290" s="204"/>
      <c r="V290" s="185"/>
    </row>
    <row r="291" spans="1:22" ht="18" hidden="1" customHeight="1">
      <c r="A291" s="96"/>
      <c r="B291" s="14"/>
      <c r="F291" s="244" t="s">
        <v>478</v>
      </c>
      <c r="H291" s="18" t="e">
        <f>IF(G289="&gt;","Suitably Dimentioned","Under Dimentioned")</f>
        <v>#VALUE!</v>
      </c>
      <c r="M291" s="14"/>
      <c r="N291" s="14"/>
      <c r="R291" s="234"/>
      <c r="S291" s="204"/>
      <c r="V291" s="185"/>
    </row>
    <row r="292" spans="1:22" ht="18" hidden="1" customHeight="1">
      <c r="A292" s="96"/>
      <c r="B292" s="14"/>
      <c r="G292" s="14"/>
      <c r="H292" s="14"/>
      <c r="I292" s="14"/>
      <c r="J292" s="14"/>
      <c r="K292" s="14"/>
      <c r="L292" s="14"/>
      <c r="M292" s="14"/>
      <c r="N292" s="14"/>
      <c r="R292" s="234"/>
      <c r="S292" s="204"/>
      <c r="V292" s="185"/>
    </row>
    <row r="293" spans="1:22" ht="18" hidden="1" customHeight="1">
      <c r="A293" s="193" t="s">
        <v>695</v>
      </c>
      <c r="B293" s="14"/>
      <c r="G293" s="14"/>
      <c r="H293" s="14"/>
      <c r="I293" s="14"/>
      <c r="J293" s="14"/>
      <c r="K293" s="14"/>
      <c r="L293" s="14"/>
      <c r="M293" s="14"/>
      <c r="N293" s="14"/>
      <c r="R293" s="234"/>
      <c r="S293" s="204"/>
      <c r="V293" s="185"/>
    </row>
    <row r="294" spans="1:22" ht="18" hidden="1" customHeight="1">
      <c r="A294" s="96"/>
      <c r="B294" s="14"/>
      <c r="D294" s="802" t="s">
        <v>696</v>
      </c>
      <c r="E294" s="716"/>
      <c r="F294" s="689" t="s">
        <v>127</v>
      </c>
      <c r="G294" s="708" t="s">
        <v>423</v>
      </c>
      <c r="H294" s="1147"/>
      <c r="I294" s="689" t="s">
        <v>315</v>
      </c>
      <c r="J294" s="708" t="s">
        <v>697</v>
      </c>
      <c r="K294" s="1147"/>
      <c r="L294" s="14"/>
      <c r="M294" s="14"/>
      <c r="N294" s="14"/>
      <c r="R294" s="234"/>
      <c r="S294" s="204"/>
      <c r="V294" s="185"/>
    </row>
    <row r="295" spans="1:22" ht="18" hidden="1" customHeight="1">
      <c r="A295" s="96"/>
      <c r="B295" s="14"/>
      <c r="D295" s="716"/>
      <c r="E295" s="716"/>
      <c r="F295" s="689"/>
      <c r="G295" s="689" t="s">
        <v>680</v>
      </c>
      <c r="H295" s="716"/>
      <c r="I295" s="689"/>
      <c r="J295" s="689" t="s">
        <v>411</v>
      </c>
      <c r="K295" s="716"/>
      <c r="L295" s="14"/>
      <c r="M295" s="14"/>
      <c r="N295" s="14"/>
      <c r="R295" s="234"/>
      <c r="S295" s="204"/>
      <c r="V295" s="185"/>
    </row>
    <row r="296" spans="1:22" ht="18" hidden="1" customHeight="1">
      <c r="A296" s="96"/>
      <c r="B296" s="14"/>
      <c r="D296" s="14"/>
      <c r="E296" s="14"/>
      <c r="F296" s="14"/>
      <c r="G296" s="14"/>
      <c r="H296" s="14"/>
      <c r="I296" s="14"/>
      <c r="J296" s="14"/>
      <c r="K296" s="14"/>
      <c r="L296" s="14"/>
      <c r="M296" s="14"/>
      <c r="N296" s="14"/>
      <c r="R296" s="234"/>
      <c r="S296" s="204"/>
      <c r="V296" s="185"/>
    </row>
    <row r="297" spans="1:22" ht="18" hidden="1" customHeight="1">
      <c r="A297" s="96"/>
      <c r="B297" s="14"/>
      <c r="D297" s="14"/>
      <c r="E297" s="14"/>
      <c r="F297" s="689" t="s">
        <v>127</v>
      </c>
      <c r="G297" s="708" t="str">
        <f>S275</f>
        <v>-</v>
      </c>
      <c r="H297" s="1147"/>
      <c r="I297" s="689" t="s">
        <v>315</v>
      </c>
      <c r="J297" s="708">
        <f>S281</f>
        <v>1</v>
      </c>
      <c r="K297" s="1147"/>
      <c r="L297" s="14"/>
      <c r="M297" s="14"/>
      <c r="N297" s="14"/>
      <c r="R297" s="234"/>
      <c r="S297" s="204"/>
      <c r="V297" s="185"/>
    </row>
    <row r="298" spans="1:22" ht="18" hidden="1" customHeight="1">
      <c r="A298" s="96"/>
      <c r="B298" s="14"/>
      <c r="D298" s="14"/>
      <c r="E298" s="14"/>
      <c r="F298" s="689"/>
      <c r="G298" s="692">
        <f>J256</f>
        <v>437.38656756789834</v>
      </c>
      <c r="H298" s="716"/>
      <c r="I298" s="689"/>
      <c r="J298" s="689">
        <f>S278</f>
        <v>1</v>
      </c>
      <c r="K298" s="716"/>
      <c r="L298" s="14"/>
      <c r="M298" s="14"/>
      <c r="N298" s="14"/>
      <c r="R298" s="234"/>
      <c r="S298" s="204"/>
      <c r="V298" s="185"/>
    </row>
    <row r="299" spans="1:22" ht="18" hidden="1" customHeight="1">
      <c r="A299" s="96"/>
      <c r="B299" s="14"/>
      <c r="D299" s="14"/>
      <c r="E299" s="14"/>
      <c r="F299" s="14"/>
      <c r="G299" s="14"/>
      <c r="H299" s="14"/>
      <c r="I299" s="14"/>
      <c r="J299" s="14"/>
      <c r="K299" s="14"/>
      <c r="L299" s="14"/>
      <c r="M299" s="14"/>
      <c r="N299" s="14"/>
      <c r="R299" s="234"/>
      <c r="S299" s="204"/>
      <c r="V299" s="185"/>
    </row>
    <row r="300" spans="1:22" ht="18" hidden="1" customHeight="1">
      <c r="A300" s="96"/>
      <c r="B300" s="14"/>
      <c r="D300" s="14"/>
      <c r="E300" s="14"/>
      <c r="F300" s="28" t="s">
        <v>127</v>
      </c>
      <c r="G300" s="716" t="e">
        <f>(G297/G298)*(J297/J298)</f>
        <v>#VALUE!</v>
      </c>
      <c r="H300" s="716"/>
      <c r="I300" s="14"/>
      <c r="J300" s="14"/>
      <c r="K300" s="14"/>
      <c r="L300" s="14"/>
      <c r="M300" s="14"/>
      <c r="N300" s="14"/>
      <c r="R300" s="234"/>
      <c r="S300" s="204"/>
      <c r="V300" s="185"/>
    </row>
    <row r="301" spans="1:22" ht="18" hidden="1" customHeight="1">
      <c r="A301" s="96"/>
      <c r="B301" s="14"/>
      <c r="G301" s="14"/>
      <c r="H301" s="14"/>
      <c r="I301" s="14"/>
      <c r="J301" s="14"/>
      <c r="K301" s="14"/>
      <c r="L301" s="14"/>
      <c r="M301" s="14"/>
      <c r="N301" s="14"/>
      <c r="R301" s="234"/>
      <c r="S301" s="204"/>
      <c r="V301" s="185"/>
    </row>
    <row r="302" spans="1:22" ht="18" hidden="1" customHeight="1">
      <c r="A302" s="96"/>
      <c r="B302" s="14"/>
      <c r="D302" s="283" t="s">
        <v>698</v>
      </c>
      <c r="E302" s="284" t="s">
        <v>699</v>
      </c>
      <c r="F302" s="689" t="s">
        <v>696</v>
      </c>
      <c r="G302" s="716"/>
      <c r="H302" s="716"/>
      <c r="I302" s="284" t="s">
        <v>699</v>
      </c>
      <c r="J302" s="28">
        <v>4</v>
      </c>
      <c r="L302" s="279"/>
      <c r="M302" s="120" t="s">
        <v>700</v>
      </c>
      <c r="N302" s="47" t="s">
        <v>701</v>
      </c>
      <c r="O302" s="279"/>
      <c r="P302" s="236"/>
      <c r="Q302" s="236"/>
      <c r="R302" s="234"/>
      <c r="S302" s="204"/>
      <c r="V302" s="185"/>
    </row>
    <row r="303" spans="1:22" ht="18" hidden="1" customHeight="1">
      <c r="A303" s="96"/>
      <c r="B303" s="14"/>
      <c r="D303" s="218">
        <v>0.25</v>
      </c>
      <c r="E303" s="284" t="e">
        <f>IF(D303&lt;=G300,"≤","&gt;")</f>
        <v>#VALUE!</v>
      </c>
      <c r="F303" s="688" t="e">
        <f>G300</f>
        <v>#VALUE!</v>
      </c>
      <c r="G303" s="1145"/>
      <c r="H303" s="688"/>
      <c r="I303" s="284" t="e">
        <f>IF(G300&lt;=J302,"≤","&gt;")</f>
        <v>#VALUE!</v>
      </c>
      <c r="J303" s="28">
        <f>J302</f>
        <v>4</v>
      </c>
      <c r="L303" s="279"/>
      <c r="M303" s="120"/>
      <c r="N303" s="213"/>
      <c r="O303" s="279"/>
      <c r="P303" s="236"/>
      <c r="Q303" s="236"/>
      <c r="R303" s="234"/>
      <c r="S303" s="204"/>
      <c r="V303" s="185"/>
    </row>
    <row r="304" spans="1:22" ht="18" hidden="1" customHeight="1">
      <c r="A304" s="96"/>
      <c r="B304" s="14"/>
      <c r="G304" s="14"/>
      <c r="H304" s="14"/>
      <c r="I304" s="14"/>
      <c r="J304" s="14"/>
      <c r="K304" s="14"/>
      <c r="L304" s="14"/>
      <c r="M304" s="14"/>
      <c r="N304" s="14"/>
      <c r="R304" s="234"/>
      <c r="S304" s="204"/>
      <c r="V304" s="185"/>
    </row>
    <row r="305" spans="1:22" ht="18" hidden="1" customHeight="1">
      <c r="A305" s="96"/>
      <c r="B305" s="14" t="s">
        <v>702</v>
      </c>
      <c r="G305" s="14"/>
      <c r="H305" s="18" t="e">
        <f>IF(AND(E303="≤",I303="≤")=TRUE,"OK","Not OK")</f>
        <v>#VALUE!</v>
      </c>
      <c r="I305" s="14"/>
      <c r="J305" s="14"/>
      <c r="K305" s="14"/>
      <c r="L305" s="14"/>
      <c r="M305" s="14"/>
      <c r="N305" s="14"/>
      <c r="R305" s="234"/>
      <c r="S305" s="204"/>
      <c r="V305" s="185"/>
    </row>
    <row r="306" spans="1:22" ht="18" hidden="1" customHeight="1">
      <c r="A306" s="96"/>
      <c r="B306" s="14"/>
      <c r="G306" s="14"/>
      <c r="H306" s="18"/>
      <c r="I306" s="14"/>
      <c r="J306" s="14"/>
      <c r="K306" s="14"/>
      <c r="L306" s="14"/>
      <c r="M306" s="14"/>
      <c r="N306" s="14"/>
      <c r="R306" s="234"/>
      <c r="S306" s="204"/>
      <c r="V306" s="185"/>
    </row>
    <row r="307" spans="1:22" ht="18" hidden="1" customHeight="1">
      <c r="A307" s="96"/>
      <c r="B307" s="14"/>
      <c r="G307" s="14"/>
      <c r="H307" s="18"/>
      <c r="I307" s="14"/>
      <c r="J307" s="14"/>
      <c r="K307" s="14"/>
      <c r="L307" s="14"/>
      <c r="M307" s="14"/>
      <c r="N307" s="14"/>
      <c r="R307" s="234"/>
      <c r="S307" s="204"/>
      <c r="V307" s="185"/>
    </row>
    <row r="308" spans="1:22" ht="18" hidden="1" customHeight="1">
      <c r="A308" s="96"/>
      <c r="B308" s="14"/>
      <c r="G308" s="14"/>
      <c r="H308" s="18"/>
      <c r="I308" s="14"/>
      <c r="J308" s="14"/>
      <c r="K308" s="14"/>
      <c r="L308" s="14"/>
      <c r="M308" s="14"/>
      <c r="N308" s="14"/>
      <c r="R308" s="234"/>
      <c r="S308" s="204"/>
      <c r="V308" s="185"/>
    </row>
    <row r="309" spans="1:22" ht="18" hidden="1" customHeight="1">
      <c r="A309" s="96"/>
      <c r="B309" s="14"/>
      <c r="G309" s="14"/>
      <c r="H309" s="18"/>
      <c r="I309" s="14"/>
      <c r="J309" s="14"/>
      <c r="K309" s="14"/>
      <c r="L309" s="14"/>
      <c r="M309" s="14"/>
      <c r="N309" s="14"/>
      <c r="R309" s="234"/>
      <c r="S309" s="204"/>
      <c r="V309" s="185"/>
    </row>
    <row r="310" spans="1:22" ht="18" hidden="1" customHeight="1">
      <c r="A310" s="96"/>
      <c r="B310" s="14"/>
      <c r="G310" s="14"/>
      <c r="H310" s="18"/>
      <c r="I310" s="14"/>
      <c r="J310" s="14"/>
      <c r="K310" s="14"/>
      <c r="L310" s="14"/>
      <c r="M310" s="14"/>
      <c r="N310" s="14"/>
      <c r="R310" s="234"/>
      <c r="S310" s="204"/>
      <c r="V310" s="185"/>
    </row>
    <row r="311" spans="1:22" ht="18" hidden="1" customHeight="1">
      <c r="A311" s="96"/>
      <c r="B311" s="14"/>
      <c r="G311" s="14"/>
      <c r="H311" s="14"/>
      <c r="I311" s="14"/>
      <c r="J311" s="14"/>
      <c r="K311" s="14"/>
      <c r="L311" s="14"/>
      <c r="M311" s="14"/>
      <c r="N311" s="14"/>
      <c r="R311" s="234"/>
      <c r="S311" s="204"/>
      <c r="V311" s="185"/>
    </row>
    <row r="312" spans="1:22" s="14" customFormat="1" ht="18" hidden="1" customHeight="1">
      <c r="A312" s="194"/>
      <c r="B312" s="195"/>
      <c r="C312" s="195"/>
      <c r="D312" s="195"/>
      <c r="E312" s="195"/>
      <c r="F312" s="195"/>
      <c r="G312" s="195"/>
      <c r="H312" s="195"/>
      <c r="I312" s="195"/>
      <c r="J312" s="195"/>
      <c r="K312" s="195"/>
      <c r="L312" s="195"/>
      <c r="M312" s="195"/>
      <c r="N312" s="195"/>
      <c r="O312" s="195"/>
      <c r="P312" s="195"/>
      <c r="Q312" s="224"/>
      <c r="R312" s="182"/>
      <c r="S312" s="225"/>
      <c r="T312" s="195"/>
      <c r="U312" s="195"/>
      <c r="V312" s="134" t="s">
        <v>552</v>
      </c>
    </row>
    <row r="313" spans="1:22" s="14" customFormat="1" ht="18" hidden="1" customHeight="1">
      <c r="A313" s="96"/>
      <c r="Q313" s="120"/>
      <c r="R313" s="28"/>
      <c r="S313" s="204"/>
      <c r="T313" s="204"/>
      <c r="V313" s="381"/>
    </row>
    <row r="314" spans="1:22" s="14" customFormat="1" ht="18" customHeight="1">
      <c r="A314" s="96"/>
      <c r="Q314" s="120"/>
      <c r="R314" s="28"/>
      <c r="S314" s="204"/>
      <c r="T314" s="204"/>
      <c r="V314" s="381"/>
    </row>
    <row r="315" spans="1:22" ht="18" customHeight="1">
      <c r="A315" s="262" t="s">
        <v>532</v>
      </c>
      <c r="B315" s="14"/>
      <c r="C315" s="14"/>
      <c r="D315" s="120"/>
      <c r="E315" s="120"/>
      <c r="F315" s="18"/>
      <c r="G315" s="18"/>
      <c r="H315" s="14"/>
      <c r="I315" s="14"/>
      <c r="J315" s="14"/>
      <c r="K315" s="14"/>
      <c r="L315" s="14"/>
      <c r="M315" s="14"/>
      <c r="N315" s="14"/>
      <c r="O315" s="14"/>
      <c r="P315" s="28"/>
      <c r="Q315" s="120"/>
      <c r="R315" s="47"/>
      <c r="S315" s="206"/>
      <c r="T315" s="259"/>
      <c r="U315" s="14"/>
      <c r="V315" s="97"/>
    </row>
    <row r="316" spans="1:22" ht="18" customHeight="1">
      <c r="A316" s="868" t="s">
        <v>85</v>
      </c>
      <c r="B316" s="868"/>
      <c r="C316" s="869"/>
      <c r="D316" s="868" t="s">
        <v>86</v>
      </c>
      <c r="E316" s="868"/>
      <c r="F316" s="868"/>
      <c r="G316" s="868" t="s">
        <v>87</v>
      </c>
      <c r="H316" s="868"/>
      <c r="I316" s="868" t="s">
        <v>88</v>
      </c>
      <c r="J316" s="868"/>
      <c r="K316" s="868" t="s">
        <v>502</v>
      </c>
      <c r="L316" s="868"/>
      <c r="M316" s="868" t="s">
        <v>503</v>
      </c>
      <c r="N316" s="868"/>
      <c r="O316" s="868" t="s">
        <v>504</v>
      </c>
      <c r="P316" s="868"/>
      <c r="Q316" s="868" t="s">
        <v>505</v>
      </c>
      <c r="R316" s="868"/>
      <c r="S316" s="868" t="s">
        <v>93</v>
      </c>
      <c r="T316" s="868"/>
      <c r="U316" s="868"/>
      <c r="V316" s="868"/>
    </row>
    <row r="317" spans="1:22" ht="18" customHeight="1">
      <c r="A317" s="868"/>
      <c r="B317" s="868"/>
      <c r="C317" s="869"/>
      <c r="D317" s="868"/>
      <c r="E317" s="868"/>
      <c r="F317" s="868"/>
      <c r="G317" s="868"/>
      <c r="H317" s="868"/>
      <c r="I317" s="868"/>
      <c r="J317" s="868"/>
      <c r="K317" s="868"/>
      <c r="L317" s="868"/>
      <c r="M317" s="868"/>
      <c r="N317" s="868"/>
      <c r="O317" s="868"/>
      <c r="P317" s="868"/>
      <c r="Q317" s="868"/>
      <c r="R317" s="868"/>
      <c r="S317" s="868"/>
      <c r="T317" s="868"/>
      <c r="U317" s="868"/>
      <c r="V317" s="868"/>
    </row>
    <row r="318" spans="1:22" ht="18" customHeight="1">
      <c r="A318" s="868"/>
      <c r="B318" s="868"/>
      <c r="C318" s="869"/>
      <c r="D318" s="868"/>
      <c r="E318" s="868"/>
      <c r="F318" s="868"/>
      <c r="G318" s="868"/>
      <c r="H318" s="868"/>
      <c r="I318" s="868"/>
      <c r="J318" s="868"/>
      <c r="K318" s="868"/>
      <c r="L318" s="868"/>
      <c r="M318" s="868"/>
      <c r="N318" s="868"/>
      <c r="O318" s="868"/>
      <c r="P318" s="868"/>
      <c r="Q318" s="868"/>
      <c r="R318" s="868"/>
      <c r="S318" s="868"/>
      <c r="T318" s="868"/>
      <c r="U318" s="868"/>
      <c r="V318" s="868"/>
    </row>
    <row r="319" spans="1:22" ht="18" customHeight="1">
      <c r="A319" s="868"/>
      <c r="B319" s="868"/>
      <c r="C319" s="869"/>
      <c r="D319" s="868"/>
      <c r="E319" s="868"/>
      <c r="F319" s="868"/>
      <c r="G319" s="868"/>
      <c r="H319" s="868"/>
      <c r="I319" s="868"/>
      <c r="J319" s="868"/>
      <c r="K319" s="868"/>
      <c r="L319" s="868"/>
      <c r="M319" s="868"/>
      <c r="N319" s="868"/>
      <c r="O319" s="868"/>
      <c r="P319" s="868"/>
      <c r="Q319" s="868"/>
      <c r="R319" s="868"/>
      <c r="S319" s="868"/>
      <c r="T319" s="868"/>
      <c r="U319" s="868"/>
      <c r="V319" s="868"/>
    </row>
    <row r="320" spans="1:22" ht="18" customHeight="1">
      <c r="A320" s="765" t="str">
        <f>B7</f>
        <v>T1</v>
      </c>
      <c r="B320" s="765" t="str">
        <f>D7</f>
        <v>Core2</v>
      </c>
      <c r="C320" s="765"/>
      <c r="D320" s="870">
        <f>H10</f>
        <v>600</v>
      </c>
      <c r="E320" s="870"/>
      <c r="F320" s="871">
        <f>O10</f>
        <v>1</v>
      </c>
      <c r="G320" s="870">
        <f>'CT-VT Burdens'!S21</f>
        <v>120</v>
      </c>
      <c r="H320" s="874">
        <f>'CT-VT Burdens'!S10</f>
        <v>6</v>
      </c>
      <c r="I320" s="874" t="str">
        <f>H11</f>
        <v>PX</v>
      </c>
      <c r="J320" s="874"/>
      <c r="K320" s="869">
        <f>H12</f>
        <v>1.5</v>
      </c>
      <c r="L320" s="869"/>
      <c r="M320" s="869">
        <f>H13</f>
        <v>400</v>
      </c>
      <c r="N320" s="869"/>
      <c r="O320" s="870">
        <f>H14</f>
        <v>30</v>
      </c>
      <c r="P320" s="870"/>
      <c r="Q320" s="879" t="str">
        <f>CONCATENATE(T7)</f>
        <v>7UT85</v>
      </c>
      <c r="R320" s="879"/>
      <c r="S320" s="876" t="str">
        <f>H107</f>
        <v>Suitably Dimensioned</v>
      </c>
      <c r="T320" s="870"/>
      <c r="U320" s="870"/>
      <c r="V320" s="870"/>
    </row>
    <row r="321" spans="1:22" ht="18" customHeight="1">
      <c r="A321" s="765"/>
      <c r="B321" s="765"/>
      <c r="C321" s="765"/>
      <c r="D321" s="876">
        <f>J135</f>
        <v>1800</v>
      </c>
      <c r="E321" s="870"/>
      <c r="F321" s="872"/>
      <c r="G321" s="870"/>
      <c r="H321" s="870"/>
      <c r="I321" s="874"/>
      <c r="J321" s="874"/>
      <c r="K321" s="875">
        <f>J137</f>
        <v>5</v>
      </c>
      <c r="L321" s="869"/>
      <c r="M321" s="875">
        <f>J138</f>
        <v>1600</v>
      </c>
      <c r="N321" s="869"/>
      <c r="O321" s="876">
        <f>J139</f>
        <v>10</v>
      </c>
      <c r="P321" s="870"/>
      <c r="Q321" s="879"/>
      <c r="R321" s="879"/>
      <c r="S321" s="876" t="str">
        <f>H193</f>
        <v>Suitably Dimentioned</v>
      </c>
      <c r="T321" s="870"/>
      <c r="U321" s="870"/>
      <c r="V321" s="870"/>
    </row>
    <row r="322" spans="1:22" ht="18" customHeight="1">
      <c r="A322" s="765"/>
      <c r="B322" s="765"/>
      <c r="C322" s="765"/>
      <c r="D322" s="876" t="s">
        <v>6</v>
      </c>
      <c r="E322" s="870"/>
      <c r="F322" s="873"/>
      <c r="G322" s="870"/>
      <c r="H322" s="870"/>
      <c r="I322" s="874"/>
      <c r="J322" s="874"/>
      <c r="K322" s="875" t="s">
        <v>6</v>
      </c>
      <c r="L322" s="869"/>
      <c r="M322" s="875" t="s">
        <v>6</v>
      </c>
      <c r="N322" s="869"/>
      <c r="O322" s="876" t="s">
        <v>6</v>
      </c>
      <c r="P322" s="870"/>
      <c r="Q322" s="879"/>
      <c r="R322" s="879"/>
      <c r="S322" s="870" t="s">
        <v>6</v>
      </c>
      <c r="T322" s="870"/>
      <c r="U322" s="870"/>
      <c r="V322" s="870"/>
    </row>
    <row r="323" spans="1:22" ht="18" customHeight="1">
      <c r="A323" s="184"/>
      <c r="V323" s="185"/>
    </row>
    <row r="324" spans="1:22" ht="18" customHeight="1">
      <c r="A324" s="184"/>
      <c r="V324" s="185"/>
    </row>
    <row r="325" spans="1:22" ht="18" customHeight="1">
      <c r="A325" s="184"/>
      <c r="V325" s="185"/>
    </row>
    <row r="326" spans="1:22" ht="18" customHeight="1">
      <c r="A326" s="184"/>
      <c r="V326" s="185"/>
    </row>
    <row r="327" spans="1:22" ht="18" customHeight="1">
      <c r="A327" s="184"/>
      <c r="V327" s="185"/>
    </row>
    <row r="328" spans="1:22" ht="18" customHeight="1">
      <c r="A328" s="184"/>
      <c r="V328" s="185"/>
    </row>
    <row r="329" spans="1:22" ht="18" customHeight="1">
      <c r="A329" s="184"/>
      <c r="V329" s="185"/>
    </row>
    <row r="330" spans="1:22" ht="18" customHeight="1">
      <c r="A330" s="184"/>
      <c r="V330" s="185"/>
    </row>
    <row r="331" spans="1:22" ht="18" customHeight="1">
      <c r="A331" s="184"/>
      <c r="V331" s="185"/>
    </row>
    <row r="332" spans="1:22" ht="18" customHeight="1">
      <c r="A332" s="184"/>
      <c r="V332" s="185"/>
    </row>
    <row r="333" spans="1:22" ht="18" customHeight="1">
      <c r="A333" s="184"/>
      <c r="V333" s="185"/>
    </row>
    <row r="334" spans="1:22" ht="18" customHeight="1">
      <c r="A334" s="184"/>
      <c r="V334" s="185"/>
    </row>
    <row r="335" spans="1:22" ht="18" customHeight="1">
      <c r="A335" s="184"/>
      <c r="V335" s="185"/>
    </row>
    <row r="336" spans="1:22" ht="18" customHeight="1">
      <c r="A336" s="184"/>
      <c r="V336" s="185"/>
    </row>
    <row r="337" spans="1:22" ht="18" customHeight="1">
      <c r="A337" s="184"/>
      <c r="V337" s="185"/>
    </row>
    <row r="338" spans="1:22" ht="18" customHeight="1">
      <c r="A338" s="184"/>
      <c r="V338" s="185"/>
    </row>
    <row r="339" spans="1:22" ht="18" customHeight="1">
      <c r="A339" s="184"/>
      <c r="V339" s="185"/>
    </row>
    <row r="340" spans="1:22" ht="18" customHeight="1">
      <c r="A340" s="184"/>
      <c r="V340" s="185"/>
    </row>
    <row r="341" spans="1:22" ht="18" customHeight="1">
      <c r="A341" s="184"/>
      <c r="V341" s="185"/>
    </row>
    <row r="342" spans="1:22" ht="18" customHeight="1">
      <c r="A342" s="184"/>
      <c r="V342" s="185"/>
    </row>
    <row r="343" spans="1:22" ht="18" customHeight="1">
      <c r="A343" s="184"/>
      <c r="V343" s="185"/>
    </row>
    <row r="344" spans="1:22" ht="18" customHeight="1">
      <c r="A344" s="184"/>
      <c r="V344" s="185"/>
    </row>
    <row r="345" spans="1:22" ht="18" customHeight="1">
      <c r="A345" s="184"/>
      <c r="V345" s="185"/>
    </row>
    <row r="346" spans="1:22" ht="18" customHeight="1">
      <c r="A346" s="184"/>
      <c r="V346" s="185"/>
    </row>
    <row r="347" spans="1:22" ht="18" customHeight="1">
      <c r="A347" s="184"/>
      <c r="V347" s="185"/>
    </row>
    <row r="348" spans="1:22" ht="18" customHeight="1">
      <c r="A348" s="184"/>
      <c r="V348" s="185"/>
    </row>
    <row r="349" spans="1:22" ht="18" customHeight="1">
      <c r="A349" s="184"/>
      <c r="V349" s="185"/>
    </row>
    <row r="350" spans="1:22" ht="18" customHeight="1">
      <c r="A350" s="184"/>
      <c r="V350" s="185"/>
    </row>
    <row r="351" spans="1:22" ht="14.4" customHeight="1">
      <c r="A351" s="184"/>
      <c r="V351" s="185"/>
    </row>
    <row r="352" spans="1:22" ht="13.8" customHeight="1">
      <c r="A352" s="184"/>
      <c r="V352" s="185"/>
    </row>
    <row r="353" spans="1:29" ht="18" customHeight="1">
      <c r="A353" s="290"/>
      <c r="B353" s="196"/>
      <c r="C353" s="196"/>
      <c r="D353" s="196"/>
      <c r="E353" s="196"/>
      <c r="F353" s="196"/>
      <c r="G353" s="196"/>
      <c r="H353" s="196"/>
      <c r="I353" s="196"/>
      <c r="J353" s="196"/>
      <c r="K353" s="196"/>
      <c r="L353" s="196"/>
      <c r="M353" s="196"/>
      <c r="N353" s="196"/>
      <c r="O353" s="196"/>
      <c r="P353" s="196"/>
      <c r="Q353" s="196"/>
      <c r="R353" s="196"/>
      <c r="S353" s="196"/>
      <c r="T353" s="196"/>
      <c r="U353" s="196"/>
      <c r="V353" s="291"/>
    </row>
    <row r="354" spans="1:29" s="14" customFormat="1" ht="18" hidden="1" customHeight="1">
      <c r="A354" s="194"/>
      <c r="B354" s="195"/>
      <c r="C354" s="195"/>
      <c r="D354" s="195"/>
      <c r="E354" s="195"/>
      <c r="F354" s="195"/>
      <c r="G354" s="195"/>
      <c r="H354" s="195"/>
      <c r="I354" s="195"/>
      <c r="J354" s="195"/>
      <c r="K354" s="195"/>
      <c r="L354" s="195"/>
      <c r="M354" s="195"/>
      <c r="N354" s="195"/>
      <c r="O354" s="195"/>
      <c r="P354" s="195"/>
      <c r="Q354" s="224"/>
      <c r="R354" s="182"/>
      <c r="S354" s="225"/>
      <c r="T354" s="195"/>
      <c r="U354" s="195"/>
      <c r="V354" s="134"/>
    </row>
    <row r="355" spans="1:29" ht="18" hidden="1" customHeight="1">
      <c r="A355" s="1178" t="str">
        <f>A1</f>
        <v>HITACHI</v>
      </c>
      <c r="B355" s="1179"/>
      <c r="C355" s="1179"/>
      <c r="D355" s="1179"/>
      <c r="E355" s="1179"/>
      <c r="F355" s="1179"/>
      <c r="G355" s="1180"/>
      <c r="H355" s="906" t="str">
        <f>H1</f>
        <v>CT / VT</v>
      </c>
      <c r="I355" s="929"/>
      <c r="J355" s="929"/>
      <c r="K355" s="929"/>
      <c r="L355" s="929"/>
      <c r="M355" s="929"/>
      <c r="N355" s="930"/>
      <c r="O355" s="885" t="str">
        <f>O1</f>
        <v>Contract No.</v>
      </c>
      <c r="P355" s="886"/>
      <c r="Q355" s="887"/>
      <c r="R355" s="1166" t="str">
        <f>R1</f>
        <v>N-16682</v>
      </c>
      <c r="S355" s="1167"/>
      <c r="T355" s="1167"/>
      <c r="U355" s="1167"/>
      <c r="V355" s="1168"/>
    </row>
    <row r="356" spans="1:29" ht="18" hidden="1" customHeight="1">
      <c r="A356" s="1181"/>
      <c r="B356" s="1182"/>
      <c r="C356" s="1182"/>
      <c r="D356" s="1182"/>
      <c r="E356" s="1182"/>
      <c r="F356" s="1182"/>
      <c r="G356" s="1183"/>
      <c r="H356" s="909" t="str">
        <f>H2</f>
        <v>ADEQUACY CHECK</v>
      </c>
      <c r="I356" s="934"/>
      <c r="J356" s="934"/>
      <c r="K356" s="934"/>
      <c r="L356" s="934"/>
      <c r="M356" s="934"/>
      <c r="N356" s="935"/>
      <c r="O356" s="885" t="str">
        <f>O2</f>
        <v>Date</v>
      </c>
      <c r="P356" s="886"/>
      <c r="Q356" s="887"/>
      <c r="R356" s="1166">
        <f>R2</f>
        <v>45276</v>
      </c>
      <c r="S356" s="1167"/>
      <c r="T356" s="1167"/>
      <c r="U356" s="1167"/>
      <c r="V356" s="1168"/>
    </row>
    <row r="357" spans="1:29" ht="18" hidden="1" customHeight="1">
      <c r="A357" s="955">
        <f>A3</f>
        <v>0</v>
      </c>
      <c r="B357" s="956"/>
      <c r="C357" s="956"/>
      <c r="D357" s="956"/>
      <c r="E357" s="956"/>
      <c r="F357" s="956"/>
      <c r="G357" s="957"/>
      <c r="H357" s="1172" t="str">
        <f>H3</f>
        <v xml:space="preserve">132/33kV SUBSTATION DF4W    AT AL DHAFRA AREA </v>
      </c>
      <c r="I357" s="1173"/>
      <c r="J357" s="1173"/>
      <c r="K357" s="1173"/>
      <c r="L357" s="1173"/>
      <c r="M357" s="1173"/>
      <c r="N357" s="1174"/>
      <c r="O357" s="885" t="str">
        <f>O3</f>
        <v>Document No.</v>
      </c>
      <c r="P357" s="886"/>
      <c r="Q357" s="887"/>
      <c r="R357" s="1166" t="str">
        <f>R3</f>
        <v>N16682-CB-0070-J-7901</v>
      </c>
      <c r="S357" s="1167"/>
      <c r="T357" s="1167"/>
      <c r="U357" s="1167"/>
      <c r="V357" s="1168"/>
    </row>
    <row r="358" spans="1:29" ht="18" hidden="1" customHeight="1">
      <c r="A358" s="1047"/>
      <c r="B358" s="1048"/>
      <c r="C358" s="1048"/>
      <c r="D358" s="1048"/>
      <c r="E358" s="1048"/>
      <c r="F358" s="1048"/>
      <c r="G358" s="1049"/>
      <c r="H358" s="1175"/>
      <c r="I358" s="1176"/>
      <c r="J358" s="1176"/>
      <c r="K358" s="1176"/>
      <c r="L358" s="1176"/>
      <c r="M358" s="1176"/>
      <c r="N358" s="1177"/>
      <c r="O358" s="885" t="str">
        <f>O4</f>
        <v>Revision No.</v>
      </c>
      <c r="P358" s="886"/>
      <c r="Q358" s="887"/>
      <c r="R358" s="1166" t="str">
        <f>R4</f>
        <v>A</v>
      </c>
      <c r="S358" s="1167"/>
      <c r="T358" s="1167"/>
      <c r="U358" s="1167"/>
      <c r="V358" s="1168"/>
    </row>
    <row r="359" spans="1:29" ht="18" hidden="1" customHeight="1">
      <c r="A359" s="880" t="str">
        <f>A5</f>
        <v>Prep. By</v>
      </c>
      <c r="B359" s="943"/>
      <c r="C359" s="292" t="str">
        <f>C5</f>
        <v>PK</v>
      </c>
      <c r="D359" s="880" t="str">
        <f>D5</f>
        <v>Checked By</v>
      </c>
      <c r="E359" s="881"/>
      <c r="F359" s="943"/>
      <c r="G359" s="292" t="str">
        <f>G5</f>
        <v>RN</v>
      </c>
      <c r="H359" s="1163" t="str">
        <f>H5</f>
        <v>132kV_100MVA TR. FEEDERS</v>
      </c>
      <c r="I359" s="1164"/>
      <c r="J359" s="1164"/>
      <c r="K359" s="1164"/>
      <c r="L359" s="1164"/>
      <c r="M359" s="1164"/>
      <c r="N359" s="1165"/>
      <c r="O359" s="947" t="str">
        <f>O5</f>
        <v>Contractor</v>
      </c>
      <c r="P359" s="948"/>
      <c r="Q359" s="949"/>
      <c r="R359" s="1166" t="str">
        <f>R5</f>
        <v>HITACHI ENERGY</v>
      </c>
      <c r="S359" s="1167"/>
      <c r="T359" s="1167"/>
      <c r="U359" s="1167"/>
      <c r="V359" s="1168"/>
    </row>
    <row r="360" spans="1:29" ht="18" hidden="1" customHeight="1">
      <c r="A360" s="226"/>
      <c r="B360" s="227"/>
      <c r="C360" s="227"/>
      <c r="D360" s="227"/>
      <c r="E360" s="227"/>
      <c r="F360" s="227"/>
      <c r="G360" s="227"/>
      <c r="H360" s="227"/>
      <c r="I360" s="227"/>
      <c r="J360" s="227"/>
      <c r="K360" s="227"/>
      <c r="L360" s="227"/>
      <c r="M360" s="227"/>
      <c r="N360" s="227"/>
      <c r="O360" s="227"/>
      <c r="P360" s="227"/>
      <c r="Q360" s="227"/>
      <c r="R360" s="227"/>
      <c r="S360" s="227"/>
      <c r="T360" s="227"/>
      <c r="U360" s="227"/>
      <c r="V360" s="228"/>
    </row>
    <row r="361" spans="1:29" ht="18" hidden="1" customHeight="1">
      <c r="A361" s="184"/>
      <c r="B361" s="781" t="s">
        <v>663</v>
      </c>
      <c r="C361" s="782"/>
      <c r="D361" s="1099" t="s">
        <v>109</v>
      </c>
      <c r="E361" s="1169"/>
      <c r="F361" s="186" t="s">
        <v>636</v>
      </c>
      <c r="H361" s="684" t="str">
        <f>H226</f>
        <v>(Transformer Differential)</v>
      </c>
      <c r="I361" s="684"/>
      <c r="J361" s="684"/>
      <c r="K361" s="684"/>
      <c r="L361" s="684"/>
      <c r="M361" s="684"/>
      <c r="P361" s="186"/>
      <c r="S361" s="187" t="s">
        <v>387</v>
      </c>
      <c r="T361" s="1161" t="str">
        <f>T226</f>
        <v>7UT85</v>
      </c>
      <c r="U361" s="1162"/>
      <c r="V361" s="185"/>
    </row>
    <row r="362" spans="1:29" ht="18" hidden="1" customHeight="1">
      <c r="A362" s="184"/>
      <c r="B362" s="743" t="s">
        <v>664</v>
      </c>
      <c r="C362" s="743"/>
      <c r="D362" s="1170"/>
      <c r="E362" s="1171"/>
      <c r="F362" s="255"/>
      <c r="T362" s="1161"/>
      <c r="U362" s="1162"/>
      <c r="V362" s="185"/>
    </row>
    <row r="363" spans="1:29" ht="18" hidden="1" customHeight="1">
      <c r="A363" s="184"/>
      <c r="H363" s="789" t="s">
        <v>390</v>
      </c>
      <c r="I363" s="789"/>
      <c r="J363" s="708" t="s">
        <v>391</v>
      </c>
      <c r="K363" s="708"/>
      <c r="L363" s="708" t="s">
        <v>392</v>
      </c>
      <c r="M363" s="708"/>
      <c r="T363" s="1161"/>
      <c r="U363" s="1162"/>
      <c r="V363" s="185"/>
    </row>
    <row r="364" spans="1:29" ht="18" hidden="1" customHeight="1">
      <c r="A364" s="184"/>
      <c r="B364" s="47" t="s">
        <v>393</v>
      </c>
      <c r="H364" s="791">
        <v>5000</v>
      </c>
      <c r="I364" s="792"/>
      <c r="J364" s="781">
        <v>4000</v>
      </c>
      <c r="K364" s="782"/>
      <c r="L364" s="781">
        <v>3000</v>
      </c>
      <c r="M364" s="782"/>
      <c r="N364" s="191" t="s">
        <v>342</v>
      </c>
      <c r="O364" s="125">
        <v>1</v>
      </c>
      <c r="P364" s="27" t="s">
        <v>8</v>
      </c>
      <c r="V364" s="185"/>
    </row>
    <row r="365" spans="1:29" ht="18" hidden="1" customHeight="1">
      <c r="A365" s="184"/>
      <c r="B365" s="47" t="s">
        <v>394</v>
      </c>
      <c r="H365" s="781" t="s">
        <v>395</v>
      </c>
      <c r="I365" s="788"/>
      <c r="V365" s="185"/>
    </row>
    <row r="366" spans="1:29" ht="18" hidden="1" customHeight="1">
      <c r="A366" s="184"/>
      <c r="B366" s="47" t="s">
        <v>396</v>
      </c>
      <c r="G366" s="120" t="s">
        <v>497</v>
      </c>
      <c r="H366" s="781">
        <v>20</v>
      </c>
      <c r="I366" s="782"/>
      <c r="J366" s="192" t="s">
        <v>333</v>
      </c>
      <c r="V366" s="185"/>
    </row>
    <row r="367" spans="1:29" ht="18" hidden="1" customHeight="1">
      <c r="A367" s="184"/>
      <c r="B367" s="47" t="s">
        <v>398</v>
      </c>
      <c r="G367" s="120" t="s">
        <v>498</v>
      </c>
      <c r="H367" s="781">
        <v>1000</v>
      </c>
      <c r="I367" s="782"/>
      <c r="J367" s="14" t="s">
        <v>305</v>
      </c>
      <c r="V367" s="185"/>
      <c r="W367" s="30" t="s">
        <v>400</v>
      </c>
      <c r="AB367" s="785">
        <f>D417</f>
        <v>68.690225861110591</v>
      </c>
      <c r="AC367" s="786"/>
    </row>
    <row r="368" spans="1:29" ht="18" hidden="1" customHeight="1">
      <c r="A368" s="184"/>
      <c r="B368" s="14" t="s">
        <v>401</v>
      </c>
      <c r="G368" s="120" t="s">
        <v>402</v>
      </c>
      <c r="H368" s="781">
        <v>20</v>
      </c>
      <c r="I368" s="782"/>
      <c r="J368" s="30" t="s">
        <v>403</v>
      </c>
      <c r="V368" s="185"/>
    </row>
    <row r="369" spans="1:22" ht="18" hidden="1" customHeight="1">
      <c r="A369" s="96"/>
      <c r="V369" s="185"/>
    </row>
    <row r="370" spans="1:22" ht="18" hidden="1" customHeight="1">
      <c r="A370" s="193" t="s">
        <v>404</v>
      </c>
      <c r="V370" s="185"/>
    </row>
    <row r="371" spans="1:22" ht="18" hidden="1" customHeight="1">
      <c r="A371" s="184"/>
      <c r="V371" s="185"/>
    </row>
    <row r="372" spans="1:22" ht="18" hidden="1" customHeight="1">
      <c r="A372" s="184"/>
      <c r="B372" s="194" t="s">
        <v>405</v>
      </c>
      <c r="C372" s="195"/>
      <c r="D372" s="195" t="str">
        <f>T361</f>
        <v>7UT85</v>
      </c>
      <c r="E372" s="196"/>
      <c r="F372" s="196"/>
      <c r="G372" s="196"/>
      <c r="H372" s="182" t="s">
        <v>406</v>
      </c>
      <c r="I372" s="183" t="s">
        <v>127</v>
      </c>
      <c r="J372" s="1159">
        <f>J237</f>
        <v>0.1</v>
      </c>
      <c r="K372" s="1160"/>
      <c r="L372" s="3" t="s">
        <v>157</v>
      </c>
      <c r="V372" s="185"/>
    </row>
    <row r="373" spans="1:22" ht="18" hidden="1" customHeight="1">
      <c r="A373" s="184"/>
      <c r="B373" s="184" t="s">
        <v>405</v>
      </c>
      <c r="D373" s="30">
        <f>T362</f>
        <v>0</v>
      </c>
      <c r="H373" s="27"/>
      <c r="I373" s="177" t="s">
        <v>127</v>
      </c>
      <c r="J373" s="793"/>
      <c r="K373" s="1156"/>
      <c r="L373" s="198" t="s">
        <v>157</v>
      </c>
      <c r="V373" s="185"/>
    </row>
    <row r="374" spans="1:22" ht="18" hidden="1" customHeight="1">
      <c r="A374" s="184"/>
      <c r="B374" s="184" t="s">
        <v>405</v>
      </c>
      <c r="D374" s="30">
        <f>T363</f>
        <v>0</v>
      </c>
      <c r="E374" s="14"/>
      <c r="G374" s="199"/>
      <c r="H374" s="27"/>
      <c r="I374" s="177" t="s">
        <v>127</v>
      </c>
      <c r="J374" s="1157"/>
      <c r="K374" s="1158"/>
      <c r="L374" s="202" t="s">
        <v>157</v>
      </c>
      <c r="V374" s="185"/>
    </row>
    <row r="375" spans="1:22" ht="18" hidden="1" customHeight="1">
      <c r="A375" s="184"/>
      <c r="B375" s="184" t="s">
        <v>412</v>
      </c>
      <c r="H375" s="27" t="s">
        <v>599</v>
      </c>
      <c r="I375" s="177" t="s">
        <v>127</v>
      </c>
      <c r="J375" s="861">
        <f>J240</f>
        <v>1.1667743100000001</v>
      </c>
      <c r="K375" s="989"/>
      <c r="L375" s="203" t="s">
        <v>157</v>
      </c>
      <c r="V375" s="185"/>
    </row>
    <row r="376" spans="1:22" ht="18" hidden="1" customHeight="1">
      <c r="A376" s="184"/>
      <c r="B376" s="205" t="s">
        <v>413</v>
      </c>
      <c r="C376" s="206"/>
      <c r="D376" s="206"/>
      <c r="E376" s="206"/>
      <c r="F376" s="207"/>
      <c r="G376" s="207"/>
      <c r="H376" s="190" t="s">
        <v>409</v>
      </c>
      <c r="I376" s="208" t="s">
        <v>127</v>
      </c>
      <c r="J376" s="766">
        <f>J373+J375</f>
        <v>1.1667743100000001</v>
      </c>
      <c r="K376" s="958"/>
      <c r="L376" s="210" t="s">
        <v>157</v>
      </c>
      <c r="V376" s="185"/>
    </row>
    <row r="377" spans="1:22" ht="18" hidden="1" customHeight="1">
      <c r="A377" s="184"/>
      <c r="B377" s="47"/>
      <c r="C377" s="47"/>
      <c r="D377" s="47"/>
      <c r="E377" s="47"/>
      <c r="H377" s="27"/>
      <c r="I377" s="28"/>
      <c r="J377" s="199"/>
      <c r="L377" s="47"/>
      <c r="O377" s="27"/>
      <c r="P377" s="211"/>
      <c r="Q377" s="211"/>
      <c r="R377" s="192"/>
      <c r="V377" s="185"/>
    </row>
    <row r="378" spans="1:22" ht="18" hidden="1" customHeight="1">
      <c r="A378" s="184"/>
      <c r="B378" s="197" t="s">
        <v>648</v>
      </c>
      <c r="L378" s="47"/>
      <c r="M378" s="197" t="s">
        <v>407</v>
      </c>
      <c r="V378" s="185"/>
    </row>
    <row r="379" spans="1:22" s="14" customFormat="1" ht="18" hidden="1" customHeight="1">
      <c r="A379" s="184"/>
      <c r="B379" s="27" t="s">
        <v>649</v>
      </c>
      <c r="C379" s="27" t="s">
        <v>127</v>
      </c>
      <c r="D379" s="30" t="s">
        <v>406</v>
      </c>
      <c r="E379" s="271" t="s">
        <v>410</v>
      </c>
      <c r="F379" s="27" t="s">
        <v>146</v>
      </c>
      <c r="G379" s="28" t="s">
        <v>315</v>
      </c>
      <c r="H379" s="218" t="s">
        <v>146</v>
      </c>
      <c r="I379" s="30" t="s">
        <v>350</v>
      </c>
      <c r="J379" s="199"/>
      <c r="K379" s="30"/>
      <c r="L379" s="47"/>
      <c r="M379" s="30" t="s">
        <v>408</v>
      </c>
      <c r="N379" s="27" t="s">
        <v>127</v>
      </c>
      <c r="O379" s="30" t="s">
        <v>409</v>
      </c>
      <c r="P379" s="191" t="s">
        <v>410</v>
      </c>
      <c r="Q379" s="244" t="s">
        <v>411</v>
      </c>
      <c r="R379" s="27" t="s">
        <v>315</v>
      </c>
      <c r="S379" s="30" t="s">
        <v>411</v>
      </c>
      <c r="T379" s="30" t="s">
        <v>350</v>
      </c>
      <c r="U379" s="30"/>
      <c r="V379" s="185"/>
    </row>
    <row r="380" spans="1:22" s="14" customFormat="1" ht="18" hidden="1" customHeight="1">
      <c r="A380" s="184"/>
      <c r="B380" s="47"/>
      <c r="C380" s="27" t="s">
        <v>127</v>
      </c>
      <c r="D380" s="204">
        <f>J372</f>
        <v>0.1</v>
      </c>
      <c r="E380" s="191" t="s">
        <v>410</v>
      </c>
      <c r="F380" s="27">
        <f>F151</f>
        <v>1</v>
      </c>
      <c r="G380" s="27" t="s">
        <v>315</v>
      </c>
      <c r="H380" s="27">
        <f>H151</f>
        <v>1</v>
      </c>
      <c r="I380" s="30" t="s">
        <v>350</v>
      </c>
      <c r="J380" s="199"/>
      <c r="K380" s="30"/>
      <c r="L380" s="47"/>
      <c r="M380" s="30"/>
      <c r="N380" s="27" t="s">
        <v>127</v>
      </c>
      <c r="O380" s="204">
        <f>J376</f>
        <v>1.1667743100000001</v>
      </c>
      <c r="P380" s="191" t="s">
        <v>410</v>
      </c>
      <c r="Q380" s="27">
        <f>O364</f>
        <v>1</v>
      </c>
      <c r="R380" s="27" t="s">
        <v>315</v>
      </c>
      <c r="S380" s="27">
        <f>O364</f>
        <v>1</v>
      </c>
      <c r="T380" s="30" t="s">
        <v>350</v>
      </c>
      <c r="U380" s="30"/>
      <c r="V380" s="185"/>
    </row>
    <row r="381" spans="1:22" s="14" customFormat="1" ht="18" hidden="1" customHeight="1">
      <c r="A381" s="184"/>
      <c r="B381" s="47"/>
      <c r="C381" s="27" t="s">
        <v>127</v>
      </c>
      <c r="D381" s="795">
        <f>D380/(F380*H380)</f>
        <v>0.1</v>
      </c>
      <c r="E381" s="795"/>
      <c r="F381" s="192" t="s">
        <v>333</v>
      </c>
      <c r="G381" s="30"/>
      <c r="H381" s="30"/>
      <c r="I381" s="30"/>
      <c r="J381" s="199"/>
      <c r="K381" s="30"/>
      <c r="L381" s="47"/>
      <c r="M381" s="30"/>
      <c r="N381" s="27" t="s">
        <v>127</v>
      </c>
      <c r="O381" s="795">
        <f>O380/(Q380*S380)</f>
        <v>1.1667743100000001</v>
      </c>
      <c r="P381" s="795"/>
      <c r="Q381" s="192" t="s">
        <v>333</v>
      </c>
      <c r="R381" s="30"/>
      <c r="S381" s="30"/>
      <c r="T381" s="30"/>
      <c r="U381" s="30"/>
      <c r="V381" s="185"/>
    </row>
    <row r="382" spans="1:22" s="14" customFormat="1" ht="18" hidden="1" customHeight="1">
      <c r="A382" s="184"/>
      <c r="B382" s="47"/>
      <c r="C382" s="47"/>
      <c r="D382" s="47"/>
      <c r="E382" s="47"/>
      <c r="F382" s="30"/>
      <c r="G382" s="30"/>
      <c r="H382" s="27"/>
      <c r="I382" s="28"/>
      <c r="J382" s="199"/>
      <c r="K382" s="30"/>
      <c r="L382" s="47"/>
      <c r="M382" s="30"/>
      <c r="N382" s="30"/>
      <c r="O382" s="27"/>
      <c r="P382" s="211"/>
      <c r="Q382" s="211"/>
      <c r="R382" s="192"/>
      <c r="S382" s="30"/>
      <c r="T382" s="30"/>
      <c r="U382" s="30"/>
      <c r="V382" s="185"/>
    </row>
    <row r="383" spans="1:22" s="14" customFormat="1" ht="18" hidden="1" customHeight="1">
      <c r="A383" s="184"/>
      <c r="B383" s="47" t="s">
        <v>668</v>
      </c>
      <c r="C383" s="47"/>
      <c r="D383" s="47"/>
      <c r="E383" s="47"/>
      <c r="F383" s="30"/>
      <c r="G383" s="30"/>
      <c r="H383" s="27"/>
      <c r="I383" s="28"/>
      <c r="J383" s="199"/>
      <c r="K383" s="30"/>
      <c r="L383" s="47" t="s">
        <v>127</v>
      </c>
      <c r="M383" s="204">
        <f>D381</f>
        <v>0.1</v>
      </c>
      <c r="N383" s="27" t="s">
        <v>347</v>
      </c>
      <c r="O383" s="211">
        <f>O381</f>
        <v>1.1667743100000001</v>
      </c>
      <c r="P383" s="211" t="s">
        <v>127</v>
      </c>
      <c r="Q383" s="211">
        <f>M383+O383</f>
        <v>1.2667743100000002</v>
      </c>
      <c r="R383" s="192" t="s">
        <v>333</v>
      </c>
      <c r="S383" s="30"/>
      <c r="T383" s="30"/>
      <c r="U383" s="30"/>
      <c r="V383" s="185"/>
    </row>
    <row r="384" spans="1:22" s="14" customFormat="1" ht="18" hidden="1" customHeight="1">
      <c r="A384" s="193" t="s">
        <v>600</v>
      </c>
      <c r="B384" s="5"/>
      <c r="C384" s="5"/>
      <c r="D384" s="5"/>
      <c r="E384" s="5"/>
      <c r="F384" s="5"/>
      <c r="G384" s="5"/>
      <c r="H384" s="212"/>
      <c r="I384" s="212"/>
      <c r="J384" s="5"/>
      <c r="K384" s="5"/>
      <c r="L384" s="5"/>
      <c r="M384" s="5"/>
      <c r="N384" s="5"/>
      <c r="O384" s="5"/>
      <c r="P384" s="103"/>
      <c r="Q384" s="212"/>
      <c r="R384" s="213"/>
      <c r="S384" s="214"/>
      <c r="T384" s="18"/>
      <c r="U384" s="18"/>
      <c r="V384" s="97"/>
    </row>
    <row r="385" spans="1:22" s="14" customFormat="1" ht="18" hidden="1" customHeight="1">
      <c r="A385" s="96"/>
      <c r="B385" s="47" t="s">
        <v>601</v>
      </c>
      <c r="C385" s="5"/>
      <c r="D385" s="5"/>
      <c r="E385" s="5"/>
      <c r="I385" s="215"/>
      <c r="M385" s="5"/>
      <c r="N385" s="103" t="s">
        <v>127</v>
      </c>
      <c r="O385" s="1154">
        <f>O156</f>
        <v>100</v>
      </c>
      <c r="P385" s="831"/>
      <c r="Q385" s="14" t="s">
        <v>602</v>
      </c>
      <c r="S385" s="214"/>
      <c r="T385" s="18"/>
      <c r="U385" s="18"/>
      <c r="V385" s="97"/>
    </row>
    <row r="386" spans="1:22" s="14" customFormat="1" ht="18" hidden="1" customHeight="1">
      <c r="A386" s="96"/>
      <c r="B386" s="47" t="s">
        <v>603</v>
      </c>
      <c r="C386" s="5"/>
      <c r="D386" s="5"/>
      <c r="E386" s="5"/>
      <c r="I386" s="215"/>
      <c r="M386" s="5"/>
      <c r="N386" s="103" t="s">
        <v>127</v>
      </c>
      <c r="O386" s="1154">
        <f>O157</f>
        <v>25</v>
      </c>
      <c r="P386" s="831"/>
      <c r="Q386" s="14" t="s">
        <v>604</v>
      </c>
      <c r="S386" s="214"/>
      <c r="T386" s="18"/>
      <c r="U386" s="18"/>
      <c r="V386" s="97"/>
    </row>
    <row r="387" spans="1:22" s="14" customFormat="1" ht="18" hidden="1" customHeight="1">
      <c r="A387" s="96"/>
      <c r="B387" s="47" t="s">
        <v>605</v>
      </c>
      <c r="C387" s="5"/>
      <c r="D387" s="5"/>
      <c r="E387" s="5"/>
      <c r="M387" s="120" t="s">
        <v>606</v>
      </c>
      <c r="N387" s="103" t="s">
        <v>607</v>
      </c>
      <c r="O387" s="1154">
        <f>'[6]Parameters &amp; Fault Cal.'!Q12</f>
        <v>132</v>
      </c>
      <c r="P387" s="831"/>
      <c r="Q387" s="14" t="s">
        <v>163</v>
      </c>
      <c r="S387" s="214"/>
      <c r="T387" s="18"/>
      <c r="U387" s="18"/>
      <c r="V387" s="97"/>
    </row>
    <row r="388" spans="1:22" s="14" customFormat="1" ht="18" hidden="1" customHeight="1">
      <c r="A388" s="216"/>
      <c r="B388" s="212"/>
      <c r="C388" s="212"/>
      <c r="D388" s="212"/>
      <c r="E388" s="212"/>
      <c r="T388" s="18"/>
      <c r="U388" s="18"/>
      <c r="V388" s="97"/>
    </row>
    <row r="389" spans="1:22" s="14" customFormat="1" ht="18" hidden="1" customHeight="1">
      <c r="A389" s="272" t="s">
        <v>608</v>
      </c>
      <c r="B389" s="213"/>
      <c r="C389" s="213"/>
      <c r="D389" s="213"/>
      <c r="E389" s="213"/>
      <c r="H389" s="120" t="s">
        <v>609</v>
      </c>
      <c r="I389" s="28" t="s">
        <v>127</v>
      </c>
      <c r="J389" s="689" t="s">
        <v>610</v>
      </c>
      <c r="K389" s="689"/>
      <c r="L389" s="28" t="s">
        <v>315</v>
      </c>
      <c r="M389" s="217">
        <v>1000</v>
      </c>
      <c r="N389" s="102" t="s">
        <v>342</v>
      </c>
      <c r="O389" s="28" t="s">
        <v>611</v>
      </c>
      <c r="P389" s="28" t="s">
        <v>315</v>
      </c>
      <c r="Q389" s="28" t="s">
        <v>606</v>
      </c>
      <c r="R389" s="47" t="s">
        <v>350</v>
      </c>
      <c r="T389" s="18"/>
      <c r="U389" s="18"/>
      <c r="V389" s="97"/>
    </row>
    <row r="390" spans="1:22" ht="18" hidden="1" customHeight="1">
      <c r="A390" s="216"/>
      <c r="B390" s="213"/>
      <c r="C390" s="213"/>
      <c r="D390" s="213"/>
      <c r="E390" s="213"/>
      <c r="F390" s="212"/>
      <c r="G390" s="212"/>
      <c r="H390" s="28"/>
      <c r="I390" s="28" t="s">
        <v>127</v>
      </c>
      <c r="J390" s="689">
        <f>O385</f>
        <v>100</v>
      </c>
      <c r="K390" s="689"/>
      <c r="L390" s="28" t="s">
        <v>315</v>
      </c>
      <c r="M390" s="217">
        <v>1000</v>
      </c>
      <c r="N390" s="102" t="s">
        <v>342</v>
      </c>
      <c r="O390" s="28" t="s">
        <v>611</v>
      </c>
      <c r="P390" s="28" t="s">
        <v>315</v>
      </c>
      <c r="Q390" s="28">
        <f>O387</f>
        <v>132</v>
      </c>
      <c r="R390" s="47" t="s">
        <v>350</v>
      </c>
      <c r="S390" s="14"/>
      <c r="T390" s="18"/>
      <c r="U390" s="18"/>
      <c r="V390" s="97"/>
    </row>
    <row r="391" spans="1:22" ht="18" hidden="1" customHeight="1">
      <c r="A391" s="216"/>
      <c r="B391" s="212"/>
      <c r="C391" s="212"/>
      <c r="D391" s="212"/>
      <c r="E391" s="212"/>
      <c r="F391" s="212"/>
      <c r="G391" s="212"/>
      <c r="H391" s="14"/>
      <c r="I391" s="28" t="s">
        <v>127</v>
      </c>
      <c r="J391" s="692">
        <f>(O385*1000)/(SQRT(3)*O387)</f>
        <v>437.38656756789834</v>
      </c>
      <c r="K391" s="692"/>
      <c r="L391" s="14" t="s">
        <v>8</v>
      </c>
      <c r="M391" s="120"/>
      <c r="N391" s="120"/>
      <c r="O391" s="120"/>
      <c r="P391" s="14"/>
      <c r="Q391" s="14"/>
      <c r="R391" s="14"/>
      <c r="S391" s="14"/>
      <c r="T391" s="18"/>
      <c r="U391" s="18"/>
      <c r="V391" s="97"/>
    </row>
    <row r="392" spans="1:22" ht="18" hidden="1" customHeight="1">
      <c r="A392" s="216"/>
      <c r="B392" s="212"/>
      <c r="C392" s="212"/>
      <c r="D392" s="212"/>
      <c r="E392" s="212"/>
      <c r="F392" s="14"/>
      <c r="G392" s="212"/>
      <c r="H392" s="28"/>
      <c r="I392" s="103"/>
      <c r="J392" s="28"/>
      <c r="K392" s="14"/>
      <c r="L392" s="14"/>
      <c r="M392" s="212"/>
      <c r="N392" s="219"/>
      <c r="O392" s="212"/>
      <c r="P392" s="14"/>
      <c r="Q392" s="14"/>
      <c r="R392" s="14"/>
      <c r="S392" s="14"/>
      <c r="T392" s="18"/>
      <c r="U392" s="18"/>
      <c r="V392" s="97"/>
    </row>
    <row r="393" spans="1:22" s="14" customFormat="1" ht="18" hidden="1" customHeight="1">
      <c r="A393" s="147" t="s">
        <v>629</v>
      </c>
      <c r="B393" s="5"/>
      <c r="C393" s="5"/>
      <c r="D393" s="5"/>
      <c r="E393" s="5"/>
      <c r="F393" s="212"/>
      <c r="G393" s="212"/>
      <c r="H393" s="5"/>
      <c r="I393" s="5"/>
      <c r="J393" s="5"/>
      <c r="K393" s="5"/>
      <c r="L393" s="103"/>
      <c r="M393" s="103"/>
      <c r="N393" s="103"/>
      <c r="O393" s="103"/>
      <c r="P393" s="212"/>
      <c r="Q393" s="213"/>
      <c r="S393" s="220"/>
      <c r="T393" s="18"/>
      <c r="U393" s="18"/>
      <c r="V393" s="97"/>
    </row>
    <row r="394" spans="1:22" s="14" customFormat="1" ht="18" hidden="1" customHeight="1">
      <c r="A394" s="147"/>
      <c r="B394" s="5"/>
      <c r="C394" s="5"/>
      <c r="D394" s="5"/>
      <c r="E394" s="5"/>
      <c r="F394" s="212"/>
      <c r="G394" s="212"/>
      <c r="H394" s="5"/>
      <c r="I394" s="5"/>
      <c r="J394" s="5"/>
      <c r="K394" s="5"/>
      <c r="L394" s="103"/>
      <c r="M394" s="103"/>
      <c r="N394" s="103"/>
      <c r="O394" s="103"/>
      <c r="P394" s="212"/>
      <c r="Q394" s="213"/>
      <c r="S394" s="214"/>
      <c r="T394" s="18"/>
      <c r="U394" s="18"/>
      <c r="V394" s="97"/>
    </row>
    <row r="395" spans="1:22" ht="18" hidden="1" customHeight="1">
      <c r="A395" s="96" t="s">
        <v>612</v>
      </c>
      <c r="B395" s="14"/>
      <c r="C395" s="14"/>
      <c r="D395" s="14"/>
      <c r="E395" s="14"/>
      <c r="M395" s="120" t="s">
        <v>613</v>
      </c>
      <c r="N395" s="28" t="s">
        <v>127</v>
      </c>
      <c r="O395" s="689" t="s">
        <v>609</v>
      </c>
      <c r="P395" s="716"/>
      <c r="Q395" s="221" t="s">
        <v>630</v>
      </c>
      <c r="R395" s="221">
        <v>16</v>
      </c>
      <c r="S395" s="186"/>
      <c r="V395" s="185"/>
    </row>
    <row r="396" spans="1:22" ht="18" hidden="1" customHeight="1">
      <c r="A396" s="96"/>
      <c r="B396" s="5"/>
      <c r="C396" s="5"/>
      <c r="D396" s="5"/>
      <c r="E396" s="5"/>
      <c r="M396" s="250"/>
      <c r="N396" s="28" t="s">
        <v>127</v>
      </c>
      <c r="O396" s="689">
        <f>+J391</f>
        <v>437.38656756789834</v>
      </c>
      <c r="P396" s="716"/>
      <c r="Q396" s="221" t="s">
        <v>630</v>
      </c>
      <c r="R396" s="221">
        <v>16</v>
      </c>
      <c r="S396" s="186"/>
      <c r="V396" s="185"/>
    </row>
    <row r="397" spans="1:22" s="279" customFormat="1" ht="18" hidden="1" customHeight="1">
      <c r="A397" s="96"/>
      <c r="B397" s="5"/>
      <c r="C397" s="5"/>
      <c r="D397" s="5"/>
      <c r="E397" s="5"/>
      <c r="F397" s="30"/>
      <c r="G397" s="30"/>
      <c r="H397" s="30"/>
      <c r="I397" s="30"/>
      <c r="J397" s="30"/>
      <c r="K397" s="30"/>
      <c r="L397" s="30"/>
      <c r="M397" s="120" t="s">
        <v>613</v>
      </c>
      <c r="N397" s="28" t="s">
        <v>127</v>
      </c>
      <c r="O397" s="689">
        <f>O396*R396</f>
        <v>6998.1850810863734</v>
      </c>
      <c r="P397" s="716"/>
      <c r="Q397" s="241" t="s">
        <v>8</v>
      </c>
      <c r="R397" s="14"/>
      <c r="S397" s="186"/>
      <c r="T397" s="30"/>
      <c r="U397" s="30"/>
      <c r="V397" s="185"/>
    </row>
    <row r="398" spans="1:22" s="279" customFormat="1" ht="18" hidden="1" customHeight="1">
      <c r="A398" s="194"/>
      <c r="B398" s="195"/>
      <c r="C398" s="195"/>
      <c r="D398" s="195"/>
      <c r="E398" s="195"/>
      <c r="F398" s="195"/>
      <c r="G398" s="195"/>
      <c r="H398" s="195"/>
      <c r="I398" s="195"/>
      <c r="J398" s="195"/>
      <c r="K398" s="195"/>
      <c r="L398" s="195"/>
      <c r="M398" s="195"/>
      <c r="N398" s="195"/>
      <c r="O398" s="195"/>
      <c r="P398" s="195"/>
      <c r="Q398" s="224"/>
      <c r="R398" s="182"/>
      <c r="S398" s="225"/>
      <c r="T398" s="195"/>
      <c r="U398" s="195"/>
      <c r="V398" s="134" t="s">
        <v>552</v>
      </c>
    </row>
    <row r="399" spans="1:22" ht="18" hidden="1" customHeight="1">
      <c r="A399" s="135"/>
      <c r="B399" s="273"/>
      <c r="C399" s="273"/>
      <c r="D399" s="273"/>
      <c r="E399" s="273"/>
      <c r="F399" s="273"/>
      <c r="G399" s="273"/>
      <c r="H399" s="273"/>
      <c r="I399" s="273"/>
      <c r="J399" s="273"/>
      <c r="K399" s="273"/>
      <c r="L399" s="273"/>
      <c r="M399" s="273"/>
      <c r="N399" s="273"/>
      <c r="O399" s="273"/>
      <c r="P399" s="273"/>
      <c r="Q399" s="274"/>
      <c r="R399" s="138"/>
      <c r="S399" s="275"/>
      <c r="T399" s="273"/>
      <c r="U399" s="273"/>
      <c r="V399" s="276"/>
    </row>
    <row r="400" spans="1:22" ht="18" hidden="1" customHeight="1">
      <c r="A400" s="96" t="s">
        <v>686</v>
      </c>
      <c r="V400" s="185"/>
    </row>
    <row r="401" spans="1:22" ht="18" hidden="1" customHeight="1">
      <c r="A401" s="184"/>
      <c r="V401" s="185"/>
    </row>
    <row r="402" spans="1:22" ht="18" hidden="1" customHeight="1">
      <c r="A402" s="277"/>
      <c r="B402" s="689" t="s">
        <v>473</v>
      </c>
      <c r="C402" s="1150" t="s">
        <v>652</v>
      </c>
      <c r="D402" s="279"/>
      <c r="E402" s="279"/>
      <c r="F402" s="279"/>
      <c r="G402" s="802" t="s">
        <v>687</v>
      </c>
      <c r="H402" s="1153" t="s">
        <v>315</v>
      </c>
      <c r="I402" s="708" t="s">
        <v>688</v>
      </c>
      <c r="J402" s="1147"/>
      <c r="K402" s="1147"/>
      <c r="L402" s="1147"/>
      <c r="M402" s="1147"/>
      <c r="N402" s="689" t="s">
        <v>672</v>
      </c>
      <c r="O402" s="708" t="s">
        <v>420</v>
      </c>
      <c r="P402" s="689" t="s">
        <v>347</v>
      </c>
      <c r="Q402" s="708" t="s">
        <v>689</v>
      </c>
      <c r="R402" s="708" t="s">
        <v>674</v>
      </c>
      <c r="S402" s="708" t="s">
        <v>411</v>
      </c>
      <c r="T402" s="14"/>
      <c r="U402" s="729" t="s">
        <v>653</v>
      </c>
      <c r="V402" s="185"/>
    </row>
    <row r="403" spans="1:22" ht="18" hidden="1" customHeight="1">
      <c r="A403" s="277"/>
      <c r="B403" s="689"/>
      <c r="C403" s="689"/>
      <c r="D403" s="279"/>
      <c r="E403" s="279"/>
      <c r="F403" s="279"/>
      <c r="G403" s="802"/>
      <c r="H403" s="689"/>
      <c r="I403" s="689">
        <v>1.3</v>
      </c>
      <c r="J403" s="689"/>
      <c r="K403" s="28" t="s">
        <v>315</v>
      </c>
      <c r="L403" s="689" t="s">
        <v>423</v>
      </c>
      <c r="M403" s="689"/>
      <c r="N403" s="689"/>
      <c r="O403" s="689"/>
      <c r="P403" s="689"/>
      <c r="Q403" s="689"/>
      <c r="R403" s="689"/>
      <c r="S403" s="689"/>
      <c r="T403" s="14"/>
      <c r="U403" s="689"/>
      <c r="V403" s="185"/>
    </row>
    <row r="404" spans="1:22" ht="18" hidden="1" customHeight="1">
      <c r="A404" s="184"/>
      <c r="V404" s="185"/>
    </row>
    <row r="405" spans="1:22" ht="18" hidden="1" customHeight="1">
      <c r="A405" s="184"/>
      <c r="B405" s="47" t="s">
        <v>654</v>
      </c>
      <c r="C405" s="14"/>
      <c r="D405" s="14"/>
      <c r="E405" s="14"/>
      <c r="F405" s="18"/>
      <c r="G405" s="18"/>
      <c r="H405" s="14"/>
      <c r="I405" s="120"/>
      <c r="J405" s="14"/>
      <c r="K405" s="14"/>
      <c r="M405" s="14"/>
      <c r="N405" s="14"/>
      <c r="P405" s="14" t="s">
        <v>423</v>
      </c>
      <c r="R405" s="234" t="s">
        <v>127</v>
      </c>
      <c r="S405" s="684">
        <f>H364</f>
        <v>5000</v>
      </c>
      <c r="T405" s="684"/>
      <c r="U405" s="30" t="s">
        <v>8</v>
      </c>
      <c r="V405" s="185"/>
    </row>
    <row r="406" spans="1:22" ht="18" hidden="1" customHeight="1">
      <c r="A406" s="184"/>
      <c r="B406" s="47" t="s">
        <v>655</v>
      </c>
      <c r="C406" s="14"/>
      <c r="D406" s="14"/>
      <c r="E406" s="14"/>
      <c r="F406" s="18"/>
      <c r="G406" s="18"/>
      <c r="H406" s="14"/>
      <c r="I406" s="120"/>
      <c r="J406" s="14"/>
      <c r="K406" s="14"/>
      <c r="M406" s="14"/>
      <c r="N406" s="14"/>
      <c r="P406" s="14" t="s">
        <v>420</v>
      </c>
      <c r="R406" s="234" t="s">
        <v>127</v>
      </c>
      <c r="S406" s="684">
        <f>H366</f>
        <v>20</v>
      </c>
      <c r="T406" s="684"/>
      <c r="U406" s="192" t="s">
        <v>333</v>
      </c>
      <c r="V406" s="185"/>
    </row>
    <row r="407" spans="1:22" ht="18" hidden="1" customHeight="1">
      <c r="A407" s="184"/>
      <c r="B407" s="47" t="s">
        <v>676</v>
      </c>
      <c r="C407" s="14"/>
      <c r="D407" s="14"/>
      <c r="E407" s="14"/>
      <c r="F407" s="18"/>
      <c r="G407" s="18"/>
      <c r="H407" s="14"/>
      <c r="I407" s="120"/>
      <c r="J407" s="14"/>
      <c r="K407" s="14"/>
      <c r="M407" s="14"/>
      <c r="N407" s="14"/>
      <c r="P407" s="14" t="s">
        <v>690</v>
      </c>
      <c r="R407" s="234" t="s">
        <v>127</v>
      </c>
      <c r="S407" s="795">
        <f>Q383</f>
        <v>1.2667743100000002</v>
      </c>
      <c r="T407" s="795"/>
      <c r="U407" s="192" t="s">
        <v>333</v>
      </c>
      <c r="V407" s="185"/>
    </row>
    <row r="408" spans="1:22" ht="18" hidden="1" customHeight="1">
      <c r="A408" s="184"/>
      <c r="B408" s="47" t="s">
        <v>691</v>
      </c>
      <c r="C408" s="14"/>
      <c r="D408" s="14"/>
      <c r="E408" s="14"/>
      <c r="F408" s="14"/>
      <c r="G408" s="14"/>
      <c r="H408" s="14"/>
      <c r="I408" s="120"/>
      <c r="J408" s="14"/>
      <c r="K408" s="14"/>
      <c r="M408" s="14"/>
      <c r="N408" s="14"/>
      <c r="P408" s="14" t="s">
        <v>411</v>
      </c>
      <c r="R408" s="234" t="s">
        <v>127</v>
      </c>
      <c r="S408" s="684">
        <f>O364</f>
        <v>1</v>
      </c>
      <c r="T408" s="684"/>
      <c r="U408" s="30" t="s">
        <v>8</v>
      </c>
      <c r="V408" s="185"/>
    </row>
    <row r="409" spans="1:22" ht="18" hidden="1" customHeight="1">
      <c r="A409" s="184"/>
      <c r="B409" s="47" t="s">
        <v>678</v>
      </c>
      <c r="C409" s="14"/>
      <c r="D409" s="14"/>
      <c r="E409" s="14"/>
      <c r="F409" s="14"/>
      <c r="G409" s="14"/>
      <c r="H409" s="14"/>
      <c r="I409" s="120"/>
      <c r="J409" s="14"/>
      <c r="K409" s="14"/>
      <c r="M409" s="14"/>
      <c r="N409" s="14"/>
      <c r="P409" s="120" t="s">
        <v>688</v>
      </c>
      <c r="R409" s="234" t="s">
        <v>127</v>
      </c>
      <c r="S409" s="684">
        <f>O397</f>
        <v>6998.1850810863734</v>
      </c>
      <c r="T409" s="684"/>
      <c r="U409" s="30" t="s">
        <v>8</v>
      </c>
      <c r="V409" s="185"/>
    </row>
    <row r="410" spans="1:22" s="279" customFormat="1" ht="18" hidden="1" customHeight="1">
      <c r="A410" s="184"/>
      <c r="B410" s="47" t="s">
        <v>692</v>
      </c>
      <c r="C410" s="14"/>
      <c r="D410" s="14"/>
      <c r="E410" s="14"/>
      <c r="F410" s="14"/>
      <c r="G410" s="14"/>
      <c r="H410" s="14"/>
      <c r="I410" s="120"/>
      <c r="J410" s="14"/>
      <c r="K410" s="14"/>
      <c r="L410" s="30"/>
      <c r="M410" s="14"/>
      <c r="N410" s="14"/>
      <c r="O410" s="30"/>
      <c r="P410" s="120" t="s">
        <v>680</v>
      </c>
      <c r="Q410" s="30"/>
      <c r="R410" s="234" t="s">
        <v>127</v>
      </c>
      <c r="S410" s="795">
        <f>J391</f>
        <v>437.38656756789834</v>
      </c>
      <c r="T410" s="684"/>
      <c r="U410" s="30" t="s">
        <v>8</v>
      </c>
      <c r="V410" s="185"/>
    </row>
    <row r="411" spans="1:22" s="279" customFormat="1" ht="18" hidden="1" customHeight="1">
      <c r="A411" s="184"/>
      <c r="B411" s="47" t="s">
        <v>659</v>
      </c>
      <c r="C411" s="14"/>
      <c r="D411" s="14"/>
      <c r="E411" s="14"/>
      <c r="F411" s="14"/>
      <c r="G411" s="14"/>
      <c r="H411" s="14"/>
      <c r="I411" s="120"/>
      <c r="J411" s="14"/>
      <c r="K411" s="14"/>
      <c r="L411" s="30"/>
      <c r="M411" s="14"/>
      <c r="N411" s="14"/>
      <c r="O411" s="30"/>
      <c r="P411" s="120" t="s">
        <v>660</v>
      </c>
      <c r="Q411" s="30"/>
      <c r="R411" s="234" t="s">
        <v>127</v>
      </c>
      <c r="S411" s="684">
        <f>S183</f>
        <v>1</v>
      </c>
      <c r="T411" s="684"/>
      <c r="U411" s="30" t="s">
        <v>8</v>
      </c>
      <c r="V411" s="185"/>
    </row>
    <row r="412" spans="1:22" ht="18" hidden="1" customHeight="1">
      <c r="A412" s="96"/>
      <c r="B412" s="14"/>
      <c r="C412" s="14"/>
      <c r="D412" s="235"/>
      <c r="E412" s="14"/>
      <c r="F412" s="28"/>
      <c r="G412" s="249"/>
      <c r="H412" s="28"/>
      <c r="I412" s="251"/>
      <c r="J412" s="14"/>
      <c r="K412" s="280"/>
      <c r="M412" s="47"/>
      <c r="N412" s="268"/>
      <c r="P412" s="281"/>
      <c r="R412" s="234"/>
      <c r="S412" s="1148"/>
      <c r="T412" s="723"/>
      <c r="V412" s="185"/>
    </row>
    <row r="413" spans="1:22" ht="18" hidden="1" customHeight="1">
      <c r="A413" s="272" t="s">
        <v>693</v>
      </c>
      <c r="B413" s="14"/>
      <c r="C413" s="14"/>
      <c r="D413" s="14"/>
      <c r="E413" s="14"/>
      <c r="F413" s="14"/>
      <c r="G413" s="14"/>
      <c r="H413" s="28">
        <v>3</v>
      </c>
      <c r="I413" s="47" t="s">
        <v>694</v>
      </c>
      <c r="J413" s="14"/>
      <c r="K413" s="14"/>
      <c r="M413" s="14" t="s">
        <v>337</v>
      </c>
      <c r="N413" s="14"/>
      <c r="P413" s="120"/>
      <c r="R413" s="234"/>
      <c r="S413" s="1149"/>
      <c r="T413" s="723"/>
      <c r="V413" s="185"/>
    </row>
    <row r="414" spans="1:22" ht="18" hidden="1" customHeight="1">
      <c r="A414" s="272"/>
      <c r="B414" s="14"/>
      <c r="C414" s="14"/>
      <c r="D414" s="14"/>
      <c r="E414" s="14"/>
      <c r="F414" s="14"/>
      <c r="G414" s="14"/>
      <c r="H414" s="28"/>
      <c r="I414" s="47"/>
      <c r="J414" s="14"/>
      <c r="K414" s="14"/>
      <c r="M414" s="14"/>
      <c r="N414" s="14"/>
      <c r="P414" s="120"/>
      <c r="R414" s="234"/>
      <c r="S414" s="282"/>
      <c r="V414" s="185"/>
    </row>
    <row r="415" spans="1:22" ht="18" hidden="1" customHeight="1">
      <c r="A415" s="277"/>
      <c r="B415" s="689" t="s">
        <v>703</v>
      </c>
      <c r="C415" s="1150" t="s">
        <v>652</v>
      </c>
      <c r="D415" s="279"/>
      <c r="E415" s="279"/>
      <c r="F415" s="279"/>
      <c r="G415" s="802">
        <f>H413</f>
        <v>3</v>
      </c>
      <c r="H415" s="1151" t="s">
        <v>315</v>
      </c>
      <c r="I415" s="829">
        <f>S409</f>
        <v>6998.1850810863734</v>
      </c>
      <c r="J415" s="1152"/>
      <c r="K415" s="1152"/>
      <c r="L415" s="1152"/>
      <c r="M415" s="1152"/>
      <c r="N415" s="689" t="s">
        <v>672</v>
      </c>
      <c r="O415" s="708">
        <f>S406</f>
        <v>20</v>
      </c>
      <c r="P415" s="689" t="s">
        <v>347</v>
      </c>
      <c r="Q415" s="829">
        <f>S407</f>
        <v>1.2667743100000002</v>
      </c>
      <c r="R415" s="708" t="s">
        <v>674</v>
      </c>
      <c r="S415" s="708">
        <f>S408</f>
        <v>1</v>
      </c>
      <c r="T415" s="14"/>
      <c r="U415" s="729" t="s">
        <v>653</v>
      </c>
      <c r="V415" s="185"/>
    </row>
    <row r="416" spans="1:22" ht="18" hidden="1" customHeight="1">
      <c r="A416" s="277"/>
      <c r="B416" s="689"/>
      <c r="C416" s="689"/>
      <c r="D416" s="279"/>
      <c r="E416" s="279"/>
      <c r="F416" s="279"/>
      <c r="G416" s="802"/>
      <c r="H416" s="684"/>
      <c r="I416" s="689">
        <v>1.3</v>
      </c>
      <c r="J416" s="684"/>
      <c r="K416" s="28" t="s">
        <v>315</v>
      </c>
      <c r="L416" s="689">
        <f>S405</f>
        <v>5000</v>
      </c>
      <c r="M416" s="684"/>
      <c r="N416" s="689"/>
      <c r="O416" s="689"/>
      <c r="P416" s="689"/>
      <c r="Q416" s="689"/>
      <c r="R416" s="689"/>
      <c r="S416" s="689"/>
      <c r="T416" s="14"/>
      <c r="U416" s="689"/>
      <c r="V416" s="185"/>
    </row>
    <row r="417" spans="1:22" ht="18" hidden="1" customHeight="1">
      <c r="A417" s="96"/>
      <c r="B417" s="14"/>
      <c r="C417" s="27" t="s">
        <v>127</v>
      </c>
      <c r="D417" s="812">
        <f>G415*(I415/(I416*L416)*(O415+Q415)*S415)</f>
        <v>68.690225861110591</v>
      </c>
      <c r="E417" s="813"/>
      <c r="F417" s="30" t="s">
        <v>305</v>
      </c>
      <c r="G417" s="14"/>
      <c r="H417" s="14"/>
      <c r="I417" s="14"/>
      <c r="J417" s="14"/>
      <c r="K417" s="14"/>
      <c r="L417" s="14"/>
      <c r="M417" s="14"/>
      <c r="N417" s="14"/>
      <c r="R417" s="234"/>
      <c r="S417" s="204"/>
      <c r="V417" s="185"/>
    </row>
    <row r="418" spans="1:22" ht="18" hidden="1" customHeight="1">
      <c r="A418" s="96"/>
      <c r="B418" s="14"/>
      <c r="G418" s="14"/>
      <c r="H418" s="14"/>
      <c r="I418" s="14"/>
      <c r="J418" s="14"/>
      <c r="K418" s="14"/>
      <c r="L418" s="14"/>
      <c r="M418" s="14"/>
      <c r="N418" s="14"/>
      <c r="R418" s="234"/>
      <c r="S418" s="204"/>
      <c r="V418" s="185"/>
    </row>
    <row r="419" spans="1:22" ht="18" hidden="1" customHeight="1">
      <c r="A419" s="96"/>
      <c r="B419" s="14"/>
      <c r="D419" s="30" t="s">
        <v>475</v>
      </c>
      <c r="G419" s="27" t="str">
        <f>IF(E420&gt;H420,"&gt;","&lt;")</f>
        <v>&gt;</v>
      </c>
      <c r="H419" s="30" t="s">
        <v>477</v>
      </c>
      <c r="M419" s="14"/>
      <c r="N419" s="14"/>
      <c r="R419" s="234"/>
      <c r="S419" s="204"/>
      <c r="V419" s="185"/>
    </row>
    <row r="420" spans="1:22" ht="18" hidden="1" customHeight="1">
      <c r="A420" s="96"/>
      <c r="B420" s="14"/>
      <c r="E420" s="684">
        <f>H367</f>
        <v>1000</v>
      </c>
      <c r="F420" s="684"/>
      <c r="G420" s="27" t="str">
        <f>G419</f>
        <v>&gt;</v>
      </c>
      <c r="H420" s="795">
        <f>D417</f>
        <v>68.690225861110591</v>
      </c>
      <c r="I420" s="684"/>
      <c r="M420" s="14"/>
      <c r="N420" s="14"/>
      <c r="R420" s="234"/>
      <c r="S420" s="204"/>
      <c r="V420" s="185"/>
    </row>
    <row r="421" spans="1:22" ht="18" hidden="1" customHeight="1">
      <c r="A421" s="96"/>
      <c r="B421" s="14"/>
      <c r="F421" s="244" t="s">
        <v>478</v>
      </c>
      <c r="H421" s="18" t="str">
        <f>IF(G419="&gt;","Suitably Dimentioned","Under Dimentioned")</f>
        <v>Suitably Dimentioned</v>
      </c>
      <c r="M421" s="14"/>
      <c r="N421" s="14"/>
      <c r="R421" s="234"/>
      <c r="S421" s="204"/>
      <c r="V421" s="185"/>
    </row>
    <row r="422" spans="1:22" ht="18" hidden="1" customHeight="1">
      <c r="A422" s="96"/>
      <c r="B422" s="14"/>
      <c r="G422" s="14"/>
      <c r="H422" s="14"/>
      <c r="I422" s="14"/>
      <c r="J422" s="14"/>
      <c r="K422" s="14"/>
      <c r="L422" s="14"/>
      <c r="M422" s="14"/>
      <c r="N422" s="14"/>
      <c r="R422" s="234"/>
      <c r="S422" s="204"/>
      <c r="V422" s="185"/>
    </row>
    <row r="423" spans="1:22" ht="18" hidden="1" customHeight="1">
      <c r="A423" s="193" t="s">
        <v>695</v>
      </c>
      <c r="B423" s="14"/>
      <c r="G423" s="14"/>
      <c r="H423" s="14"/>
      <c r="I423" s="14"/>
      <c r="J423" s="14"/>
      <c r="K423" s="14"/>
      <c r="L423" s="14"/>
      <c r="M423" s="14"/>
      <c r="N423" s="14"/>
      <c r="R423" s="234"/>
      <c r="S423" s="204"/>
      <c r="V423" s="185"/>
    </row>
    <row r="424" spans="1:22" ht="18" hidden="1" customHeight="1">
      <c r="A424" s="96"/>
      <c r="B424" s="14"/>
      <c r="D424" s="802" t="s">
        <v>696</v>
      </c>
      <c r="E424" s="716"/>
      <c r="F424" s="689" t="s">
        <v>127</v>
      </c>
      <c r="G424" s="708" t="s">
        <v>423</v>
      </c>
      <c r="H424" s="1147"/>
      <c r="I424" s="689" t="s">
        <v>315</v>
      </c>
      <c r="J424" s="708" t="s">
        <v>697</v>
      </c>
      <c r="K424" s="1147"/>
      <c r="L424" s="14"/>
      <c r="M424" s="14"/>
      <c r="N424" s="14"/>
      <c r="R424" s="234"/>
      <c r="S424" s="204"/>
      <c r="V424" s="185"/>
    </row>
    <row r="425" spans="1:22" ht="18" hidden="1" customHeight="1">
      <c r="A425" s="96"/>
      <c r="B425" s="14"/>
      <c r="D425" s="716"/>
      <c r="E425" s="716"/>
      <c r="F425" s="689"/>
      <c r="G425" s="689" t="s">
        <v>680</v>
      </c>
      <c r="H425" s="716"/>
      <c r="I425" s="689"/>
      <c r="J425" s="689" t="s">
        <v>411</v>
      </c>
      <c r="K425" s="716"/>
      <c r="L425" s="14"/>
      <c r="M425" s="14"/>
      <c r="N425" s="14"/>
      <c r="R425" s="234"/>
      <c r="S425" s="204"/>
      <c r="V425" s="185"/>
    </row>
    <row r="426" spans="1:22" ht="18" hidden="1" customHeight="1">
      <c r="A426" s="96"/>
      <c r="B426" s="14"/>
      <c r="D426" s="14"/>
      <c r="E426" s="14"/>
      <c r="F426" s="14"/>
      <c r="G426" s="14"/>
      <c r="H426" s="14"/>
      <c r="I426" s="14"/>
      <c r="J426" s="14"/>
      <c r="K426" s="14"/>
      <c r="L426" s="14"/>
      <c r="M426" s="14"/>
      <c r="N426" s="14"/>
      <c r="R426" s="234"/>
      <c r="S426" s="204"/>
      <c r="V426" s="185"/>
    </row>
    <row r="427" spans="1:22" ht="18" hidden="1" customHeight="1">
      <c r="A427" s="96"/>
      <c r="B427" s="14"/>
      <c r="D427" s="14"/>
      <c r="E427" s="14"/>
      <c r="F427" s="689" t="s">
        <v>127</v>
      </c>
      <c r="G427" s="708">
        <f>S405</f>
        <v>5000</v>
      </c>
      <c r="H427" s="1147"/>
      <c r="I427" s="689" t="s">
        <v>315</v>
      </c>
      <c r="J427" s="708">
        <f>S411</f>
        <v>1</v>
      </c>
      <c r="K427" s="1147"/>
      <c r="L427" s="14"/>
      <c r="M427" s="14"/>
      <c r="N427" s="14"/>
      <c r="R427" s="234"/>
      <c r="S427" s="204"/>
      <c r="V427" s="185"/>
    </row>
    <row r="428" spans="1:22" ht="18" hidden="1" customHeight="1">
      <c r="A428" s="96"/>
      <c r="B428" s="14"/>
      <c r="D428" s="14"/>
      <c r="E428" s="14"/>
      <c r="F428" s="689"/>
      <c r="G428" s="692">
        <f>J391</f>
        <v>437.38656756789834</v>
      </c>
      <c r="H428" s="716"/>
      <c r="I428" s="689"/>
      <c r="J428" s="689">
        <f>S408</f>
        <v>1</v>
      </c>
      <c r="K428" s="716"/>
      <c r="L428" s="14"/>
      <c r="M428" s="14"/>
      <c r="N428" s="14"/>
      <c r="R428" s="234"/>
      <c r="S428" s="204"/>
      <c r="V428" s="185"/>
    </row>
    <row r="429" spans="1:22" ht="18" hidden="1" customHeight="1">
      <c r="A429" s="96"/>
      <c r="B429" s="14"/>
      <c r="D429" s="14"/>
      <c r="E429" s="14"/>
      <c r="F429" s="14"/>
      <c r="G429" s="14"/>
      <c r="H429" s="14"/>
      <c r="I429" s="14"/>
      <c r="J429" s="14"/>
      <c r="K429" s="14"/>
      <c r="L429" s="14"/>
      <c r="M429" s="14"/>
      <c r="N429" s="14"/>
      <c r="R429" s="234"/>
      <c r="S429" s="204"/>
      <c r="V429" s="185"/>
    </row>
    <row r="430" spans="1:22" ht="18" hidden="1" customHeight="1">
      <c r="A430" s="96"/>
      <c r="B430" s="14"/>
      <c r="D430" s="14"/>
      <c r="E430" s="14"/>
      <c r="F430" s="28" t="s">
        <v>127</v>
      </c>
      <c r="G430" s="716">
        <f>(G427/G428)*(J427/J428)</f>
        <v>11.43153532995459</v>
      </c>
      <c r="H430" s="716"/>
      <c r="I430" s="14"/>
      <c r="J430" s="14"/>
      <c r="K430" s="14"/>
      <c r="L430" s="14"/>
      <c r="M430" s="14"/>
      <c r="N430" s="14"/>
      <c r="R430" s="234"/>
      <c r="S430" s="204"/>
      <c r="V430" s="185"/>
    </row>
    <row r="431" spans="1:22" ht="18" hidden="1" customHeight="1">
      <c r="A431" s="96"/>
      <c r="B431" s="14"/>
      <c r="G431" s="14"/>
      <c r="H431" s="14"/>
      <c r="I431" s="14"/>
      <c r="J431" s="14"/>
      <c r="K431" s="14"/>
      <c r="L431" s="14"/>
      <c r="M431" s="14"/>
      <c r="N431" s="14"/>
      <c r="R431" s="234"/>
      <c r="S431" s="204"/>
      <c r="V431" s="185"/>
    </row>
    <row r="432" spans="1:22" s="14" customFormat="1" ht="18" hidden="1" customHeight="1">
      <c r="A432" s="96"/>
      <c r="C432" s="30"/>
      <c r="D432" s="283" t="s">
        <v>698</v>
      </c>
      <c r="E432" s="284" t="s">
        <v>699</v>
      </c>
      <c r="F432" s="689" t="s">
        <v>696</v>
      </c>
      <c r="G432" s="716"/>
      <c r="H432" s="716"/>
      <c r="I432" s="284" t="s">
        <v>699</v>
      </c>
      <c r="J432" s="28">
        <v>4</v>
      </c>
      <c r="K432" s="30"/>
      <c r="L432" s="279"/>
      <c r="M432" s="120" t="s">
        <v>700</v>
      </c>
      <c r="N432" s="47" t="s">
        <v>701</v>
      </c>
      <c r="O432" s="279"/>
      <c r="P432" s="236"/>
      <c r="Q432" s="236"/>
      <c r="R432" s="234"/>
      <c r="S432" s="204"/>
      <c r="T432" s="30"/>
      <c r="U432" s="30"/>
      <c r="V432" s="185"/>
    </row>
    <row r="433" spans="1:22" ht="18" hidden="1" customHeight="1">
      <c r="A433" s="96"/>
      <c r="B433" s="14"/>
      <c r="D433" s="218">
        <v>0.25</v>
      </c>
      <c r="E433" s="284" t="str">
        <f>IF(D433&lt;=G430,"≤","&gt;")</f>
        <v>≤</v>
      </c>
      <c r="F433" s="688">
        <f>G430</f>
        <v>11.43153532995459</v>
      </c>
      <c r="G433" s="1145"/>
      <c r="H433" s="688"/>
      <c r="I433" s="284" t="str">
        <f>IF(G430&lt;=J432,"≤","&gt;")</f>
        <v>&gt;</v>
      </c>
      <c r="J433" s="28">
        <f>J432</f>
        <v>4</v>
      </c>
      <c r="L433" s="279"/>
      <c r="M433" s="120"/>
      <c r="N433" s="213"/>
      <c r="O433" s="279"/>
      <c r="P433" s="236"/>
      <c r="Q433" s="236"/>
      <c r="R433" s="234"/>
      <c r="S433" s="204"/>
      <c r="V433" s="185"/>
    </row>
    <row r="434" spans="1:22" ht="18" hidden="1" customHeight="1">
      <c r="A434" s="96"/>
      <c r="B434" s="14"/>
      <c r="G434" s="14"/>
      <c r="H434" s="14"/>
      <c r="I434" s="14"/>
      <c r="J434" s="14"/>
      <c r="K434" s="14"/>
      <c r="L434" s="14"/>
      <c r="M434" s="14"/>
      <c r="N434" s="14"/>
      <c r="R434" s="234"/>
      <c r="S434" s="204"/>
      <c r="V434" s="185"/>
    </row>
    <row r="435" spans="1:22" ht="18" hidden="1" customHeight="1">
      <c r="A435" s="96"/>
      <c r="B435" s="14" t="s">
        <v>702</v>
      </c>
      <c r="G435" s="14"/>
      <c r="H435" s="18" t="str">
        <f>IF(AND(E433="≤",I433="≤")=TRUE,"OK","Not OK")</f>
        <v>Not OK</v>
      </c>
      <c r="I435" s="14"/>
      <c r="J435" s="14"/>
      <c r="K435" s="14"/>
      <c r="L435" s="14"/>
      <c r="M435" s="14"/>
      <c r="N435" s="14"/>
      <c r="R435" s="234"/>
      <c r="S435" s="204"/>
      <c r="V435" s="185"/>
    </row>
    <row r="436" spans="1:22" ht="18" hidden="1" customHeight="1">
      <c r="A436" s="96"/>
      <c r="B436" s="14"/>
      <c r="G436" s="14"/>
      <c r="H436" s="18"/>
      <c r="I436" s="14"/>
      <c r="J436" s="14"/>
      <c r="K436" s="14"/>
      <c r="L436" s="14"/>
      <c r="M436" s="14"/>
      <c r="N436" s="14"/>
      <c r="R436" s="234"/>
      <c r="S436" s="204"/>
      <c r="V436" s="185"/>
    </row>
    <row r="437" spans="1:22" ht="18" hidden="1" customHeight="1">
      <c r="A437" s="96"/>
      <c r="B437" s="14"/>
      <c r="G437" s="14"/>
      <c r="H437" s="18"/>
      <c r="I437" s="14"/>
      <c r="J437" s="14"/>
      <c r="K437" s="14"/>
      <c r="L437" s="14"/>
      <c r="M437" s="14"/>
      <c r="N437" s="14"/>
      <c r="R437" s="234"/>
      <c r="S437" s="204"/>
      <c r="V437" s="185"/>
    </row>
    <row r="438" spans="1:22" ht="18" hidden="1" customHeight="1">
      <c r="A438" s="96"/>
      <c r="B438" s="14"/>
      <c r="G438" s="14"/>
      <c r="H438" s="18"/>
      <c r="I438" s="14"/>
      <c r="J438" s="14"/>
      <c r="K438" s="14"/>
      <c r="L438" s="14"/>
      <c r="M438" s="14"/>
      <c r="N438" s="14"/>
      <c r="R438" s="234"/>
      <c r="S438" s="204"/>
      <c r="V438" s="185"/>
    </row>
    <row r="439" spans="1:22" ht="18" hidden="1" customHeight="1">
      <c r="A439" s="96"/>
      <c r="B439" s="14"/>
      <c r="G439" s="14"/>
      <c r="H439" s="18"/>
      <c r="I439" s="14"/>
      <c r="J439" s="14"/>
      <c r="K439" s="14"/>
      <c r="L439" s="14"/>
      <c r="M439" s="14"/>
      <c r="N439" s="14"/>
      <c r="R439" s="234"/>
      <c r="S439" s="204"/>
      <c r="V439" s="185"/>
    </row>
    <row r="440" spans="1:22" ht="18" hidden="1" customHeight="1">
      <c r="A440" s="96"/>
      <c r="B440" s="14"/>
      <c r="G440" s="14"/>
      <c r="H440" s="18"/>
      <c r="I440" s="14"/>
      <c r="J440" s="14"/>
      <c r="K440" s="14"/>
      <c r="L440" s="14"/>
      <c r="M440" s="14"/>
      <c r="N440" s="14"/>
      <c r="R440" s="234"/>
      <c r="S440" s="204"/>
      <c r="V440" s="185"/>
    </row>
    <row r="441" spans="1:22" ht="18" hidden="1" customHeight="1">
      <c r="A441" s="96"/>
      <c r="B441" s="14"/>
      <c r="G441" s="14"/>
      <c r="H441" s="14"/>
      <c r="I441" s="14"/>
      <c r="J441" s="14"/>
      <c r="K441" s="14"/>
      <c r="L441" s="14"/>
      <c r="M441" s="14"/>
      <c r="N441" s="14"/>
      <c r="R441" s="234"/>
      <c r="S441" s="204"/>
      <c r="V441" s="185"/>
    </row>
    <row r="442" spans="1:22" ht="18" hidden="1" customHeight="1">
      <c r="A442" s="194"/>
      <c r="B442" s="195"/>
      <c r="C442" s="195"/>
      <c r="D442" s="195"/>
      <c r="E442" s="195"/>
      <c r="F442" s="195"/>
      <c r="G442" s="195"/>
      <c r="H442" s="195"/>
      <c r="I442" s="195"/>
      <c r="J442" s="195"/>
      <c r="K442" s="195"/>
      <c r="L442" s="195"/>
      <c r="M442" s="195"/>
      <c r="N442" s="195"/>
      <c r="O442" s="195"/>
      <c r="P442" s="195"/>
      <c r="Q442" s="224"/>
      <c r="R442" s="182"/>
      <c r="S442" s="225"/>
      <c r="T442" s="195"/>
      <c r="U442" s="195"/>
      <c r="V442" s="134" t="s">
        <v>552</v>
      </c>
    </row>
    <row r="443" spans="1:22" ht="18" hidden="1" customHeight="1">
      <c r="A443" s="226"/>
      <c r="B443" s="227"/>
      <c r="C443" s="227"/>
      <c r="D443" s="227"/>
      <c r="E443" s="227"/>
      <c r="F443" s="227"/>
      <c r="G443" s="227"/>
      <c r="H443" s="227"/>
      <c r="I443" s="227"/>
      <c r="J443" s="227"/>
      <c r="K443" s="227"/>
      <c r="L443" s="227"/>
      <c r="M443" s="227"/>
      <c r="N443" s="227"/>
      <c r="O443" s="227"/>
      <c r="P443" s="227"/>
      <c r="Q443" s="227"/>
      <c r="R443" s="227"/>
      <c r="S443" s="227"/>
      <c r="T443" s="227"/>
      <c r="U443" s="227"/>
      <c r="V443" s="228"/>
    </row>
    <row r="444" spans="1:22" ht="18" hidden="1" customHeight="1">
      <c r="A444" s="184"/>
      <c r="B444" s="854" t="str">
        <f>B361</f>
        <v>CT1L1</v>
      </c>
      <c r="C444" s="831"/>
      <c r="D444" s="855" t="str">
        <f>D361</f>
        <v>Core3</v>
      </c>
      <c r="E444" s="856"/>
      <c r="F444" s="186" t="s">
        <v>636</v>
      </c>
      <c r="H444" s="684" t="str">
        <f>H361</f>
        <v>(Transformer Differential)</v>
      </c>
      <c r="I444" s="684"/>
      <c r="J444" s="684"/>
      <c r="K444" s="684"/>
      <c r="L444" s="684"/>
      <c r="M444" s="684"/>
      <c r="P444" s="186"/>
      <c r="S444" s="187" t="s">
        <v>387</v>
      </c>
      <c r="T444" s="1154" t="str">
        <f>T361</f>
        <v>7UT85</v>
      </c>
      <c r="U444" s="1155"/>
      <c r="V444" s="185"/>
    </row>
    <row r="445" spans="1:22" ht="18" hidden="1" customHeight="1">
      <c r="A445" s="184"/>
      <c r="B445" s="853" t="str">
        <f>B362</f>
        <v>CT1L2</v>
      </c>
      <c r="C445" s="853"/>
      <c r="D445" s="857"/>
      <c r="E445" s="858"/>
      <c r="F445" s="255"/>
      <c r="T445" s="1154">
        <f>T362</f>
        <v>0</v>
      </c>
      <c r="U445" s="1155"/>
      <c r="V445" s="185"/>
    </row>
    <row r="446" spans="1:22" ht="18" hidden="1" customHeight="1">
      <c r="A446" s="184"/>
      <c r="H446" s="708" t="s">
        <v>390</v>
      </c>
      <c r="I446" s="708"/>
      <c r="J446" s="789" t="s">
        <v>391</v>
      </c>
      <c r="K446" s="789"/>
      <c r="L446" s="708" t="s">
        <v>392</v>
      </c>
      <c r="M446" s="708"/>
      <c r="T446" s="1154">
        <f>T363</f>
        <v>0</v>
      </c>
      <c r="U446" s="1155"/>
      <c r="V446" s="185"/>
    </row>
    <row r="447" spans="1:22" ht="18" hidden="1" customHeight="1">
      <c r="A447" s="184"/>
      <c r="B447" s="47" t="s">
        <v>393</v>
      </c>
      <c r="H447" s="854">
        <f>H364</f>
        <v>5000</v>
      </c>
      <c r="I447" s="831"/>
      <c r="J447" s="863">
        <f>J364</f>
        <v>4000</v>
      </c>
      <c r="K447" s="864"/>
      <c r="L447" s="854">
        <f>L364</f>
        <v>3000</v>
      </c>
      <c r="M447" s="831"/>
      <c r="N447" s="102" t="s">
        <v>342</v>
      </c>
      <c r="O447" s="256">
        <f>O364</f>
        <v>1</v>
      </c>
      <c r="P447" s="27" t="s">
        <v>8</v>
      </c>
      <c r="V447" s="185"/>
    </row>
    <row r="448" spans="1:22" ht="18" hidden="1" customHeight="1">
      <c r="A448" s="184"/>
      <c r="B448" s="47" t="s">
        <v>394</v>
      </c>
      <c r="H448" s="14"/>
      <c r="I448" s="14"/>
      <c r="J448" s="854" t="str">
        <f>H365</f>
        <v>PX</v>
      </c>
      <c r="K448" s="776"/>
      <c r="L448" s="14"/>
      <c r="M448" s="14"/>
      <c r="V448" s="185"/>
    </row>
    <row r="449" spans="1:29" ht="18" hidden="1" customHeight="1">
      <c r="A449" s="184"/>
      <c r="B449" s="47" t="s">
        <v>396</v>
      </c>
      <c r="I449" s="120" t="s">
        <v>497</v>
      </c>
      <c r="J449" s="781">
        <v>15</v>
      </c>
      <c r="K449" s="782"/>
      <c r="L449" s="192" t="s">
        <v>333</v>
      </c>
      <c r="V449" s="185"/>
    </row>
    <row r="450" spans="1:29" ht="18" hidden="1" customHeight="1">
      <c r="A450" s="184"/>
      <c r="B450" s="47" t="s">
        <v>398</v>
      </c>
      <c r="I450" s="120" t="s">
        <v>498</v>
      </c>
      <c r="J450" s="781">
        <v>800</v>
      </c>
      <c r="K450" s="782"/>
      <c r="L450" s="14" t="s">
        <v>305</v>
      </c>
      <c r="V450" s="185"/>
      <c r="W450" s="30" t="s">
        <v>400</v>
      </c>
      <c r="AB450" s="785">
        <f>D505</f>
        <v>65.675709977100624</v>
      </c>
      <c r="AC450" s="786"/>
    </row>
    <row r="451" spans="1:29" ht="18" hidden="1" customHeight="1">
      <c r="A451" s="184"/>
      <c r="B451" s="14" t="s">
        <v>401</v>
      </c>
      <c r="I451" s="120" t="s">
        <v>402</v>
      </c>
      <c r="J451" s="781">
        <v>40</v>
      </c>
      <c r="K451" s="782"/>
      <c r="L451" s="30" t="s">
        <v>403</v>
      </c>
      <c r="V451" s="185"/>
    </row>
    <row r="452" spans="1:29" ht="18" hidden="1" customHeight="1">
      <c r="A452" s="96"/>
      <c r="V452" s="185"/>
    </row>
    <row r="453" spans="1:29" ht="18" hidden="1" customHeight="1">
      <c r="A453" s="193" t="s">
        <v>404</v>
      </c>
      <c r="V453" s="185"/>
    </row>
    <row r="454" spans="1:29" ht="18" hidden="1" customHeight="1">
      <c r="A454" s="184"/>
      <c r="V454" s="185"/>
    </row>
    <row r="455" spans="1:29" ht="18" hidden="1" customHeight="1">
      <c r="A455" s="184"/>
      <c r="B455" s="194" t="s">
        <v>405</v>
      </c>
      <c r="C455" s="195"/>
      <c r="D455" s="195" t="str">
        <f>T444</f>
        <v>7UT85</v>
      </c>
      <c r="E455" s="196"/>
      <c r="F455" s="196"/>
      <c r="G455" s="196"/>
      <c r="H455" s="182" t="s">
        <v>406</v>
      </c>
      <c r="I455" s="183" t="s">
        <v>127</v>
      </c>
      <c r="J455" s="766">
        <f>J372</f>
        <v>0.1</v>
      </c>
      <c r="K455" s="958"/>
      <c r="L455" s="3" t="s">
        <v>157</v>
      </c>
      <c r="V455" s="185"/>
    </row>
    <row r="456" spans="1:29" ht="18" hidden="1" customHeight="1">
      <c r="A456" s="184"/>
      <c r="B456" s="184" t="s">
        <v>405</v>
      </c>
      <c r="D456" s="30">
        <f>T445</f>
        <v>0</v>
      </c>
      <c r="H456" s="27"/>
      <c r="I456" s="177" t="s">
        <v>127</v>
      </c>
      <c r="J456" s="766">
        <f>J373</f>
        <v>0</v>
      </c>
      <c r="K456" s="958"/>
      <c r="L456" s="198" t="s">
        <v>157</v>
      </c>
      <c r="V456" s="185"/>
    </row>
    <row r="457" spans="1:29" ht="18" hidden="1" customHeight="1">
      <c r="A457" s="184"/>
      <c r="B457" s="184" t="s">
        <v>405</v>
      </c>
      <c r="D457" s="30">
        <f>T446</f>
        <v>0</v>
      </c>
      <c r="E457" s="14"/>
      <c r="G457" s="199"/>
      <c r="H457" s="27"/>
      <c r="I457" s="177" t="s">
        <v>127</v>
      </c>
      <c r="J457" s="766">
        <f>J374</f>
        <v>0</v>
      </c>
      <c r="K457" s="958"/>
      <c r="L457" s="202" t="s">
        <v>157</v>
      </c>
      <c r="V457" s="185"/>
    </row>
    <row r="458" spans="1:29" ht="18" hidden="1" customHeight="1">
      <c r="A458" s="184"/>
      <c r="B458" s="184" t="s">
        <v>412</v>
      </c>
      <c r="H458" s="27" t="s">
        <v>599</v>
      </c>
      <c r="I458" s="177" t="s">
        <v>127</v>
      </c>
      <c r="J458" s="766">
        <f>J375</f>
        <v>1.1667743100000001</v>
      </c>
      <c r="K458" s="958"/>
      <c r="L458" s="203" t="s">
        <v>157</v>
      </c>
      <c r="V458" s="185"/>
    </row>
    <row r="459" spans="1:29" ht="18" hidden="1" customHeight="1">
      <c r="A459" s="184"/>
      <c r="B459" s="205" t="s">
        <v>413</v>
      </c>
      <c r="C459" s="206"/>
      <c r="D459" s="206"/>
      <c r="E459" s="206"/>
      <c r="F459" s="207"/>
      <c r="G459" s="207"/>
      <c r="H459" s="190" t="s">
        <v>409</v>
      </c>
      <c r="I459" s="208" t="s">
        <v>127</v>
      </c>
      <c r="J459" s="766">
        <f>J456+J458</f>
        <v>1.1667743100000001</v>
      </c>
      <c r="K459" s="958"/>
      <c r="L459" s="210" t="s">
        <v>157</v>
      </c>
      <c r="V459" s="185"/>
    </row>
    <row r="460" spans="1:29" ht="18" hidden="1" customHeight="1">
      <c r="A460" s="184"/>
      <c r="B460" s="47"/>
      <c r="C460" s="47"/>
      <c r="D460" s="47"/>
      <c r="E460" s="47"/>
      <c r="H460" s="27"/>
      <c r="I460" s="28"/>
      <c r="J460" s="199"/>
      <c r="L460" s="47"/>
      <c r="O460" s="27"/>
      <c r="P460" s="211"/>
      <c r="Q460" s="211"/>
      <c r="R460" s="192"/>
      <c r="V460" s="185"/>
    </row>
    <row r="461" spans="1:29" ht="18" hidden="1" customHeight="1">
      <c r="A461" s="184"/>
      <c r="B461" s="197" t="s">
        <v>648</v>
      </c>
      <c r="L461" s="47"/>
      <c r="M461" s="197" t="s">
        <v>407</v>
      </c>
      <c r="V461" s="185"/>
    </row>
    <row r="462" spans="1:29" s="14" customFormat="1" ht="18" hidden="1" customHeight="1">
      <c r="A462" s="184"/>
      <c r="B462" s="27" t="s">
        <v>649</v>
      </c>
      <c r="C462" s="27" t="s">
        <v>127</v>
      </c>
      <c r="D462" s="30" t="s">
        <v>406</v>
      </c>
      <c r="E462" s="271" t="s">
        <v>410</v>
      </c>
      <c r="F462" s="27" t="s">
        <v>146</v>
      </c>
      <c r="G462" s="28" t="s">
        <v>315</v>
      </c>
      <c r="H462" s="218" t="s">
        <v>146</v>
      </c>
      <c r="I462" s="30" t="s">
        <v>350</v>
      </c>
      <c r="J462" s="199"/>
      <c r="K462" s="30"/>
      <c r="L462" s="47"/>
      <c r="M462" s="30" t="s">
        <v>408</v>
      </c>
      <c r="N462" s="27" t="s">
        <v>127</v>
      </c>
      <c r="O462" s="30" t="s">
        <v>409</v>
      </c>
      <c r="P462" s="191" t="s">
        <v>410</v>
      </c>
      <c r="Q462" s="244" t="s">
        <v>411</v>
      </c>
      <c r="R462" s="27" t="s">
        <v>315</v>
      </c>
      <c r="S462" s="30" t="s">
        <v>411</v>
      </c>
      <c r="T462" s="30" t="s">
        <v>350</v>
      </c>
      <c r="U462" s="30"/>
      <c r="V462" s="185"/>
    </row>
    <row r="463" spans="1:29" s="14" customFormat="1" ht="18" hidden="1" customHeight="1">
      <c r="A463" s="184"/>
      <c r="B463" s="47"/>
      <c r="C463" s="27" t="s">
        <v>127</v>
      </c>
      <c r="D463" s="204">
        <f>J455</f>
        <v>0.1</v>
      </c>
      <c r="E463" s="191" t="s">
        <v>410</v>
      </c>
      <c r="F463" s="27">
        <f>F380</f>
        <v>1</v>
      </c>
      <c r="G463" s="27" t="s">
        <v>315</v>
      </c>
      <c r="H463" s="27">
        <f>H380</f>
        <v>1</v>
      </c>
      <c r="I463" s="30" t="s">
        <v>350</v>
      </c>
      <c r="J463" s="199"/>
      <c r="K463" s="30"/>
      <c r="L463" s="47"/>
      <c r="M463" s="30"/>
      <c r="N463" s="27" t="s">
        <v>127</v>
      </c>
      <c r="O463" s="204">
        <f>J459</f>
        <v>1.1667743100000001</v>
      </c>
      <c r="P463" s="191" t="s">
        <v>410</v>
      </c>
      <c r="Q463" s="27">
        <f>O447</f>
        <v>1</v>
      </c>
      <c r="R463" s="27" t="s">
        <v>315</v>
      </c>
      <c r="S463" s="27">
        <f>O447</f>
        <v>1</v>
      </c>
      <c r="T463" s="30" t="s">
        <v>350</v>
      </c>
      <c r="U463" s="30"/>
      <c r="V463" s="185"/>
    </row>
    <row r="464" spans="1:29" s="14" customFormat="1" ht="18" hidden="1" customHeight="1">
      <c r="A464" s="184"/>
      <c r="B464" s="47"/>
      <c r="C464" s="27" t="s">
        <v>127</v>
      </c>
      <c r="D464" s="795">
        <f>D463/(F463*H463)</f>
        <v>0.1</v>
      </c>
      <c r="E464" s="795"/>
      <c r="F464" s="192" t="s">
        <v>333</v>
      </c>
      <c r="G464" s="30"/>
      <c r="H464" s="30"/>
      <c r="I464" s="30"/>
      <c r="J464" s="199"/>
      <c r="K464" s="30"/>
      <c r="L464" s="47"/>
      <c r="M464" s="30"/>
      <c r="N464" s="27" t="s">
        <v>127</v>
      </c>
      <c r="O464" s="795">
        <f>O463/(Q463*S463)</f>
        <v>1.1667743100000001</v>
      </c>
      <c r="P464" s="795"/>
      <c r="Q464" s="192" t="s">
        <v>333</v>
      </c>
      <c r="R464" s="30"/>
      <c r="S464" s="30"/>
      <c r="T464" s="30"/>
      <c r="U464" s="30"/>
      <c r="V464" s="185"/>
    </row>
    <row r="465" spans="1:22" s="14" customFormat="1" ht="18" hidden="1" customHeight="1">
      <c r="A465" s="184"/>
      <c r="B465" s="47"/>
      <c r="C465" s="47"/>
      <c r="D465" s="47"/>
      <c r="E465" s="47"/>
      <c r="F465" s="30"/>
      <c r="G465" s="30"/>
      <c r="H465" s="27"/>
      <c r="I465" s="28"/>
      <c r="J465" s="199"/>
      <c r="K465" s="30"/>
      <c r="L465" s="47"/>
      <c r="M465" s="30"/>
      <c r="N465" s="30"/>
      <c r="O465" s="27"/>
      <c r="P465" s="211"/>
      <c r="Q465" s="211"/>
      <c r="R465" s="192"/>
      <c r="S465" s="30"/>
      <c r="T465" s="30"/>
      <c r="U465" s="30"/>
      <c r="V465" s="185"/>
    </row>
    <row r="466" spans="1:22" s="14" customFormat="1" ht="18" hidden="1" customHeight="1">
      <c r="A466" s="184"/>
      <c r="B466" s="47" t="s">
        <v>668</v>
      </c>
      <c r="C466" s="47"/>
      <c r="D466" s="47"/>
      <c r="E466" s="47"/>
      <c r="F466" s="30"/>
      <c r="G466" s="30"/>
      <c r="H466" s="27"/>
      <c r="I466" s="28"/>
      <c r="J466" s="199"/>
      <c r="K466" s="30"/>
      <c r="L466" s="47" t="s">
        <v>127</v>
      </c>
      <c r="M466" s="204">
        <f>D464</f>
        <v>0.1</v>
      </c>
      <c r="N466" s="27" t="s">
        <v>347</v>
      </c>
      <c r="O466" s="211">
        <f>O464</f>
        <v>1.1667743100000001</v>
      </c>
      <c r="P466" s="211" t="s">
        <v>127</v>
      </c>
      <c r="Q466" s="211">
        <f>M466+O466</f>
        <v>1.2667743100000002</v>
      </c>
      <c r="R466" s="192" t="s">
        <v>333</v>
      </c>
      <c r="S466" s="30"/>
      <c r="T466" s="30"/>
      <c r="U466" s="30"/>
      <c r="V466" s="185"/>
    </row>
    <row r="467" spans="1:22" s="14" customFormat="1" ht="18" hidden="1" customHeight="1">
      <c r="A467" s="193" t="s">
        <v>600</v>
      </c>
      <c r="B467" s="5"/>
      <c r="C467" s="5"/>
      <c r="D467" s="5"/>
      <c r="E467" s="5"/>
      <c r="F467" s="5"/>
      <c r="G467" s="5"/>
      <c r="H467" s="212"/>
      <c r="I467" s="212"/>
      <c r="J467" s="5"/>
      <c r="K467" s="5"/>
      <c r="L467" s="5"/>
      <c r="M467" s="5"/>
      <c r="N467" s="5"/>
      <c r="O467" s="5"/>
      <c r="P467" s="103"/>
      <c r="Q467" s="212"/>
      <c r="R467" s="213"/>
      <c r="S467" s="214"/>
      <c r="T467" s="18"/>
      <c r="U467" s="18"/>
      <c r="V467" s="97"/>
    </row>
    <row r="468" spans="1:22" s="14" customFormat="1" ht="18" hidden="1" customHeight="1">
      <c r="A468" s="96"/>
      <c r="B468" s="47" t="s">
        <v>601</v>
      </c>
      <c r="C468" s="5"/>
      <c r="D468" s="5"/>
      <c r="E468" s="5"/>
      <c r="I468" s="215"/>
      <c r="M468" s="5"/>
      <c r="N468" s="103" t="s">
        <v>127</v>
      </c>
      <c r="O468" s="1154">
        <f>O385</f>
        <v>100</v>
      </c>
      <c r="P468" s="831"/>
      <c r="Q468" s="14" t="s">
        <v>602</v>
      </c>
      <c r="S468" s="214"/>
      <c r="T468" s="18"/>
      <c r="U468" s="18"/>
      <c r="V468" s="97"/>
    </row>
    <row r="469" spans="1:22" s="14" customFormat="1" ht="18" hidden="1" customHeight="1">
      <c r="A469" s="96"/>
      <c r="B469" s="47" t="s">
        <v>603</v>
      </c>
      <c r="C469" s="5"/>
      <c r="D469" s="5"/>
      <c r="E469" s="5"/>
      <c r="I469" s="215"/>
      <c r="M469" s="5"/>
      <c r="N469" s="103" t="s">
        <v>127</v>
      </c>
      <c r="O469" s="1154">
        <f>O386</f>
        <v>25</v>
      </c>
      <c r="P469" s="831"/>
      <c r="Q469" s="14" t="s">
        <v>604</v>
      </c>
      <c r="S469" s="214"/>
      <c r="T469" s="18"/>
      <c r="U469" s="18"/>
      <c r="V469" s="97"/>
    </row>
    <row r="470" spans="1:22" s="14" customFormat="1" ht="18" hidden="1" customHeight="1">
      <c r="A470" s="96"/>
      <c r="B470" s="47" t="s">
        <v>605</v>
      </c>
      <c r="C470" s="5"/>
      <c r="D470" s="5"/>
      <c r="E470" s="5"/>
      <c r="M470" s="120" t="s">
        <v>606</v>
      </c>
      <c r="N470" s="103" t="s">
        <v>607</v>
      </c>
      <c r="O470" s="1154">
        <f>O387</f>
        <v>132</v>
      </c>
      <c r="P470" s="831"/>
      <c r="Q470" s="14" t="s">
        <v>163</v>
      </c>
      <c r="S470" s="214"/>
      <c r="T470" s="18"/>
      <c r="U470" s="18"/>
      <c r="V470" s="97"/>
    </row>
    <row r="471" spans="1:22" s="14" customFormat="1" ht="18" hidden="1" customHeight="1">
      <c r="A471" s="216"/>
      <c r="B471" s="212"/>
      <c r="C471" s="212"/>
      <c r="D471" s="212"/>
      <c r="E471" s="212"/>
      <c r="T471" s="18"/>
      <c r="U471" s="18"/>
      <c r="V471" s="97"/>
    </row>
    <row r="472" spans="1:22" s="14" customFormat="1" ht="18" hidden="1" customHeight="1">
      <c r="A472" s="272" t="s">
        <v>608</v>
      </c>
      <c r="B472" s="213"/>
      <c r="C472" s="213"/>
      <c r="D472" s="213"/>
      <c r="E472" s="213"/>
      <c r="H472" s="120" t="s">
        <v>609</v>
      </c>
      <c r="I472" s="28" t="s">
        <v>127</v>
      </c>
      <c r="J472" s="689" t="s">
        <v>610</v>
      </c>
      <c r="K472" s="689"/>
      <c r="L472" s="28" t="s">
        <v>315</v>
      </c>
      <c r="M472" s="217">
        <v>1000</v>
      </c>
      <c r="N472" s="102" t="s">
        <v>342</v>
      </c>
      <c r="O472" s="28" t="s">
        <v>611</v>
      </c>
      <c r="P472" s="28" t="s">
        <v>315</v>
      </c>
      <c r="Q472" s="28" t="s">
        <v>606</v>
      </c>
      <c r="R472" s="47" t="s">
        <v>350</v>
      </c>
      <c r="T472" s="18"/>
      <c r="U472" s="18"/>
      <c r="V472" s="97"/>
    </row>
    <row r="473" spans="1:22" ht="18" hidden="1" customHeight="1">
      <c r="A473" s="216"/>
      <c r="B473" s="213"/>
      <c r="C473" s="213"/>
      <c r="D473" s="213"/>
      <c r="E473" s="213"/>
      <c r="F473" s="212"/>
      <c r="G473" s="212"/>
      <c r="H473" s="28"/>
      <c r="I473" s="28" t="s">
        <v>127</v>
      </c>
      <c r="J473" s="689">
        <f>O468</f>
        <v>100</v>
      </c>
      <c r="K473" s="689"/>
      <c r="L473" s="28" t="s">
        <v>315</v>
      </c>
      <c r="M473" s="217">
        <v>1000</v>
      </c>
      <c r="N473" s="102" t="s">
        <v>342</v>
      </c>
      <c r="O473" s="28" t="s">
        <v>611</v>
      </c>
      <c r="P473" s="28" t="s">
        <v>315</v>
      </c>
      <c r="Q473" s="28">
        <f>O470</f>
        <v>132</v>
      </c>
      <c r="R473" s="47" t="s">
        <v>350</v>
      </c>
      <c r="S473" s="14"/>
      <c r="T473" s="18"/>
      <c r="U473" s="18"/>
      <c r="V473" s="97"/>
    </row>
    <row r="474" spans="1:22" ht="18" hidden="1" customHeight="1">
      <c r="A474" s="216"/>
      <c r="B474" s="212"/>
      <c r="C474" s="212"/>
      <c r="D474" s="212"/>
      <c r="E474" s="212"/>
      <c r="F474" s="212"/>
      <c r="G474" s="212"/>
      <c r="H474" s="14"/>
      <c r="I474" s="28" t="s">
        <v>127</v>
      </c>
      <c r="J474" s="692">
        <f>(O468*1000)/(SQRT(3)*O470)</f>
        <v>437.38656756789834</v>
      </c>
      <c r="K474" s="692"/>
      <c r="L474" s="14" t="s">
        <v>8</v>
      </c>
      <c r="M474" s="120"/>
      <c r="N474" s="120"/>
      <c r="O474" s="120"/>
      <c r="P474" s="14"/>
      <c r="Q474" s="14"/>
      <c r="R474" s="14"/>
      <c r="S474" s="14"/>
      <c r="T474" s="18"/>
      <c r="U474" s="18"/>
      <c r="V474" s="97"/>
    </row>
    <row r="475" spans="1:22" ht="18" hidden="1" customHeight="1">
      <c r="A475" s="216"/>
      <c r="B475" s="212"/>
      <c r="C475" s="212"/>
      <c r="D475" s="212"/>
      <c r="E475" s="212"/>
      <c r="F475" s="14"/>
      <c r="G475" s="212"/>
      <c r="H475" s="28"/>
      <c r="I475" s="103"/>
      <c r="J475" s="28"/>
      <c r="K475" s="14"/>
      <c r="L475" s="14"/>
      <c r="M475" s="212"/>
      <c r="N475" s="219"/>
      <c r="O475" s="212"/>
      <c r="P475" s="14"/>
      <c r="Q475" s="14"/>
      <c r="R475" s="14"/>
      <c r="S475" s="14"/>
      <c r="T475" s="18"/>
      <c r="U475" s="18"/>
      <c r="V475" s="97"/>
    </row>
    <row r="476" spans="1:22" s="14" customFormat="1" ht="18" hidden="1" customHeight="1">
      <c r="A476" s="147" t="s">
        <v>629</v>
      </c>
      <c r="B476" s="5"/>
      <c r="C476" s="5"/>
      <c r="D476" s="5"/>
      <c r="E476" s="5"/>
      <c r="F476" s="212"/>
      <c r="G476" s="212"/>
      <c r="H476" s="5"/>
      <c r="I476" s="5"/>
      <c r="J476" s="5"/>
      <c r="K476" s="5"/>
      <c r="L476" s="103"/>
      <c r="M476" s="103"/>
      <c r="N476" s="103"/>
      <c r="O476" s="103"/>
      <c r="P476" s="212"/>
      <c r="Q476" s="213"/>
      <c r="S476" s="220"/>
      <c r="T476" s="18"/>
      <c r="U476" s="18"/>
      <c r="V476" s="97"/>
    </row>
    <row r="477" spans="1:22" s="14" customFormat="1" ht="18" hidden="1" customHeight="1">
      <c r="A477" s="147"/>
      <c r="B477" s="5"/>
      <c r="C477" s="5"/>
      <c r="D477" s="5"/>
      <c r="E477" s="5"/>
      <c r="F477" s="212"/>
      <c r="G477" s="212"/>
      <c r="H477" s="5"/>
      <c r="I477" s="5"/>
      <c r="J477" s="5"/>
      <c r="K477" s="5"/>
      <c r="L477" s="103"/>
      <c r="M477" s="103"/>
      <c r="N477" s="103"/>
      <c r="O477" s="103"/>
      <c r="P477" s="212"/>
      <c r="Q477" s="213"/>
      <c r="S477" s="214"/>
      <c r="T477" s="18"/>
      <c r="U477" s="18"/>
      <c r="V477" s="97"/>
    </row>
    <row r="478" spans="1:22" ht="18" hidden="1" customHeight="1">
      <c r="A478" s="96" t="s">
        <v>612</v>
      </c>
      <c r="B478" s="14"/>
      <c r="C478" s="14"/>
      <c r="D478" s="14"/>
      <c r="E478" s="14"/>
      <c r="M478" s="120" t="s">
        <v>613</v>
      </c>
      <c r="N478" s="28" t="s">
        <v>127</v>
      </c>
      <c r="O478" s="689" t="s">
        <v>609</v>
      </c>
      <c r="P478" s="716"/>
      <c r="Q478" s="221" t="s">
        <v>630</v>
      </c>
      <c r="R478" s="221">
        <v>16</v>
      </c>
      <c r="S478" s="214"/>
      <c r="V478" s="185"/>
    </row>
    <row r="479" spans="1:22" ht="18" hidden="1" customHeight="1">
      <c r="A479" s="96"/>
      <c r="B479" s="5"/>
      <c r="C479" s="5"/>
      <c r="D479" s="5"/>
      <c r="E479" s="5"/>
      <c r="M479" s="250"/>
      <c r="N479" s="28" t="s">
        <v>127</v>
      </c>
      <c r="O479" s="689">
        <f>+J474</f>
        <v>437.38656756789834</v>
      </c>
      <c r="P479" s="716"/>
      <c r="Q479" s="221" t="s">
        <v>630</v>
      </c>
      <c r="R479" s="221">
        <v>16</v>
      </c>
      <c r="S479" s="214"/>
      <c r="V479" s="185"/>
    </row>
    <row r="480" spans="1:22" s="279" customFormat="1" ht="18" hidden="1" customHeight="1">
      <c r="A480" s="96"/>
      <c r="B480" s="5"/>
      <c r="C480" s="5"/>
      <c r="D480" s="5"/>
      <c r="E480" s="5"/>
      <c r="F480" s="30"/>
      <c r="G480" s="30"/>
      <c r="H480" s="30"/>
      <c r="I480" s="30"/>
      <c r="J480" s="30"/>
      <c r="K480" s="30"/>
      <c r="L480" s="30"/>
      <c r="M480" s="120" t="s">
        <v>613</v>
      </c>
      <c r="N480" s="28" t="s">
        <v>127</v>
      </c>
      <c r="O480" s="689">
        <f>O479*R479</f>
        <v>6998.1850810863734</v>
      </c>
      <c r="P480" s="716"/>
      <c r="Q480" s="241" t="s">
        <v>8</v>
      </c>
      <c r="R480" s="14"/>
      <c r="S480" s="214"/>
      <c r="T480" s="30"/>
      <c r="U480" s="30"/>
      <c r="V480" s="185"/>
    </row>
    <row r="481" spans="1:22" s="279" customFormat="1" ht="18" hidden="1" customHeight="1">
      <c r="A481" s="96"/>
      <c r="B481" s="5"/>
      <c r="C481" s="5"/>
      <c r="D481" s="5"/>
      <c r="E481" s="5"/>
      <c r="F481" s="30"/>
      <c r="G481" s="30"/>
      <c r="H481" s="30"/>
      <c r="I481" s="30"/>
      <c r="J481" s="30"/>
      <c r="K481" s="30"/>
      <c r="L481" s="30"/>
      <c r="M481" s="120"/>
      <c r="N481" s="28"/>
      <c r="O481" s="28"/>
      <c r="P481" s="14"/>
      <c r="Q481" s="241"/>
      <c r="R481" s="14"/>
      <c r="S481" s="214"/>
      <c r="T481" s="30"/>
      <c r="U481" s="30"/>
      <c r="V481" s="185"/>
    </row>
    <row r="482" spans="1:22" s="279" customFormat="1" ht="18" hidden="1" customHeight="1">
      <c r="A482" s="96"/>
      <c r="B482" s="5"/>
      <c r="C482" s="5"/>
      <c r="D482" s="5"/>
      <c r="E482" s="5"/>
      <c r="F482" s="30"/>
      <c r="G482" s="30"/>
      <c r="H482" s="30"/>
      <c r="I482" s="30"/>
      <c r="J482" s="30"/>
      <c r="K482" s="30"/>
      <c r="L482" s="30"/>
      <c r="M482" s="120"/>
      <c r="N482" s="28"/>
      <c r="O482" s="28"/>
      <c r="P482" s="14"/>
      <c r="Q482" s="241"/>
      <c r="R482" s="14"/>
      <c r="S482" s="214"/>
      <c r="T482" s="30"/>
      <c r="U482" s="30"/>
      <c r="V482" s="185"/>
    </row>
    <row r="483" spans="1:22" s="279" customFormat="1" ht="18" hidden="1" customHeight="1">
      <c r="A483" s="96"/>
      <c r="B483" s="5"/>
      <c r="C483" s="5"/>
      <c r="D483" s="5"/>
      <c r="E483" s="5"/>
      <c r="F483" s="30"/>
      <c r="G483" s="30"/>
      <c r="H483" s="30"/>
      <c r="I483" s="30"/>
      <c r="J483" s="30"/>
      <c r="K483" s="30"/>
      <c r="L483" s="30"/>
      <c r="M483" s="120"/>
      <c r="N483" s="28"/>
      <c r="O483" s="28"/>
      <c r="P483" s="14"/>
      <c r="Q483" s="241"/>
      <c r="R483" s="14"/>
      <c r="S483" s="214"/>
      <c r="T483" s="30"/>
      <c r="U483" s="30"/>
      <c r="V483" s="185"/>
    </row>
    <row r="484" spans="1:22" s="279" customFormat="1" ht="18" hidden="1" customHeight="1">
      <c r="A484" s="96"/>
      <c r="B484" s="5"/>
      <c r="C484" s="5"/>
      <c r="D484" s="5"/>
      <c r="E484" s="5"/>
      <c r="F484" s="30"/>
      <c r="G484" s="30"/>
      <c r="H484" s="30"/>
      <c r="I484" s="30"/>
      <c r="J484" s="30"/>
      <c r="K484" s="30"/>
      <c r="L484" s="30"/>
      <c r="M484" s="120"/>
      <c r="N484" s="28"/>
      <c r="O484" s="28"/>
      <c r="P484" s="14"/>
      <c r="Q484" s="241"/>
      <c r="R484" s="14"/>
      <c r="S484" s="214"/>
      <c r="T484" s="30"/>
      <c r="U484" s="30"/>
      <c r="V484" s="185"/>
    </row>
    <row r="485" spans="1:22" s="279" customFormat="1" ht="18" hidden="1" customHeight="1">
      <c r="A485" s="96"/>
      <c r="B485" s="5"/>
      <c r="C485" s="5"/>
      <c r="D485" s="5"/>
      <c r="E485" s="5"/>
      <c r="F485" s="30"/>
      <c r="G485" s="30"/>
      <c r="H485" s="30"/>
      <c r="I485" s="30"/>
      <c r="J485" s="30"/>
      <c r="K485" s="30"/>
      <c r="L485" s="30"/>
      <c r="M485" s="120"/>
      <c r="N485" s="28"/>
      <c r="O485" s="28"/>
      <c r="P485" s="14"/>
      <c r="Q485" s="241"/>
      <c r="R485" s="14"/>
      <c r="S485" s="214"/>
      <c r="T485" s="30"/>
      <c r="U485" s="30"/>
      <c r="V485" s="185"/>
    </row>
    <row r="486" spans="1:22" s="279" customFormat="1" ht="18" hidden="1" customHeight="1">
      <c r="A486" s="194"/>
      <c r="B486" s="195"/>
      <c r="C486" s="195"/>
      <c r="D486" s="195"/>
      <c r="E486" s="195"/>
      <c r="F486" s="195"/>
      <c r="G486" s="195"/>
      <c r="H486" s="195"/>
      <c r="I486" s="195"/>
      <c r="J486" s="195"/>
      <c r="K486" s="195"/>
      <c r="L486" s="195"/>
      <c r="M486" s="195"/>
      <c r="N486" s="195"/>
      <c r="O486" s="195"/>
      <c r="P486" s="195"/>
      <c r="Q486" s="224"/>
      <c r="R486" s="182"/>
      <c r="S486" s="225"/>
      <c r="T486" s="195"/>
      <c r="U486" s="195"/>
      <c r="V486" s="134" t="s">
        <v>552</v>
      </c>
    </row>
    <row r="487" spans="1:22" ht="18" hidden="1" customHeight="1">
      <c r="A487" s="135"/>
      <c r="B487" s="273"/>
      <c r="C487" s="273"/>
      <c r="D487" s="273"/>
      <c r="E487" s="273"/>
      <c r="F487" s="273"/>
      <c r="G487" s="273"/>
      <c r="H487" s="273"/>
      <c r="I487" s="273"/>
      <c r="J487" s="273"/>
      <c r="K487" s="273"/>
      <c r="L487" s="273"/>
      <c r="M487" s="273"/>
      <c r="N487" s="273"/>
      <c r="O487" s="273"/>
      <c r="P487" s="273"/>
      <c r="Q487" s="274"/>
      <c r="R487" s="138"/>
      <c r="S487" s="275"/>
      <c r="T487" s="273"/>
      <c r="U487" s="273"/>
      <c r="V487" s="276"/>
    </row>
    <row r="488" spans="1:22" ht="18" hidden="1" customHeight="1">
      <c r="A488" s="96" t="s">
        <v>686</v>
      </c>
      <c r="V488" s="185"/>
    </row>
    <row r="489" spans="1:22" ht="18" hidden="1" customHeight="1">
      <c r="A489" s="184"/>
      <c r="V489" s="185"/>
    </row>
    <row r="490" spans="1:22" ht="18" hidden="1" customHeight="1">
      <c r="A490" s="277"/>
      <c r="B490" s="689" t="s">
        <v>473</v>
      </c>
      <c r="C490" s="1150" t="s">
        <v>652</v>
      </c>
      <c r="D490" s="279"/>
      <c r="E490" s="279"/>
      <c r="F490" s="279"/>
      <c r="G490" s="802" t="s">
        <v>687</v>
      </c>
      <c r="H490" s="1153" t="s">
        <v>315</v>
      </c>
      <c r="I490" s="708" t="s">
        <v>688</v>
      </c>
      <c r="J490" s="1147"/>
      <c r="K490" s="1147"/>
      <c r="L490" s="1147"/>
      <c r="M490" s="1147"/>
      <c r="N490" s="689" t="s">
        <v>672</v>
      </c>
      <c r="O490" s="708" t="s">
        <v>420</v>
      </c>
      <c r="P490" s="689" t="s">
        <v>347</v>
      </c>
      <c r="Q490" s="708" t="s">
        <v>689</v>
      </c>
      <c r="R490" s="708" t="s">
        <v>674</v>
      </c>
      <c r="S490" s="708" t="s">
        <v>411</v>
      </c>
      <c r="T490" s="14"/>
      <c r="U490" s="729" t="s">
        <v>653</v>
      </c>
      <c r="V490" s="185"/>
    </row>
    <row r="491" spans="1:22" ht="18" hidden="1" customHeight="1">
      <c r="A491" s="277"/>
      <c r="B491" s="689"/>
      <c r="C491" s="689"/>
      <c r="D491" s="279"/>
      <c r="E491" s="279"/>
      <c r="F491" s="279"/>
      <c r="G491" s="802"/>
      <c r="H491" s="689"/>
      <c r="I491" s="689">
        <v>1.3</v>
      </c>
      <c r="J491" s="689"/>
      <c r="K491" s="28" t="s">
        <v>315</v>
      </c>
      <c r="L491" s="689" t="s">
        <v>423</v>
      </c>
      <c r="M491" s="689"/>
      <c r="N491" s="689"/>
      <c r="O491" s="689"/>
      <c r="P491" s="689"/>
      <c r="Q491" s="689"/>
      <c r="R491" s="689"/>
      <c r="S491" s="689"/>
      <c r="T491" s="14"/>
      <c r="U491" s="689"/>
      <c r="V491" s="185"/>
    </row>
    <row r="492" spans="1:22" ht="18" hidden="1" customHeight="1">
      <c r="A492" s="184"/>
      <c r="V492" s="185"/>
    </row>
    <row r="493" spans="1:22" ht="18" hidden="1" customHeight="1">
      <c r="A493" s="184"/>
      <c r="B493" s="47" t="s">
        <v>654</v>
      </c>
      <c r="C493" s="14"/>
      <c r="D493" s="14"/>
      <c r="E493" s="14"/>
      <c r="F493" s="18"/>
      <c r="G493" s="18"/>
      <c r="H493" s="14"/>
      <c r="I493" s="120"/>
      <c r="J493" s="14"/>
      <c r="K493" s="14"/>
      <c r="M493" s="14"/>
      <c r="N493" s="14"/>
      <c r="P493" s="14" t="s">
        <v>423</v>
      </c>
      <c r="R493" s="234" t="s">
        <v>127</v>
      </c>
      <c r="S493" s="684">
        <f>J447</f>
        <v>4000</v>
      </c>
      <c r="T493" s="684"/>
      <c r="U493" s="30" t="s">
        <v>8</v>
      </c>
      <c r="V493" s="185"/>
    </row>
    <row r="494" spans="1:22" ht="18" hidden="1" customHeight="1">
      <c r="A494" s="184"/>
      <c r="B494" s="47" t="s">
        <v>655</v>
      </c>
      <c r="C494" s="14"/>
      <c r="D494" s="14"/>
      <c r="E494" s="14"/>
      <c r="F494" s="18"/>
      <c r="G494" s="18"/>
      <c r="H494" s="14"/>
      <c r="I494" s="120"/>
      <c r="J494" s="14"/>
      <c r="K494" s="14"/>
      <c r="M494" s="14"/>
      <c r="N494" s="14"/>
      <c r="P494" s="14" t="s">
        <v>420</v>
      </c>
      <c r="R494" s="234" t="s">
        <v>127</v>
      </c>
      <c r="S494" s="684">
        <f>J449</f>
        <v>15</v>
      </c>
      <c r="T494" s="684"/>
      <c r="U494" s="192" t="s">
        <v>333</v>
      </c>
      <c r="V494" s="185"/>
    </row>
    <row r="495" spans="1:22" ht="18" hidden="1" customHeight="1">
      <c r="A495" s="184"/>
      <c r="B495" s="47" t="s">
        <v>676</v>
      </c>
      <c r="C495" s="14"/>
      <c r="D495" s="14"/>
      <c r="E495" s="14"/>
      <c r="F495" s="18"/>
      <c r="G495" s="18"/>
      <c r="H495" s="14"/>
      <c r="I495" s="120"/>
      <c r="J495" s="14"/>
      <c r="K495" s="14"/>
      <c r="M495" s="14"/>
      <c r="N495" s="14"/>
      <c r="P495" s="14" t="s">
        <v>690</v>
      </c>
      <c r="R495" s="234" t="s">
        <v>127</v>
      </c>
      <c r="S495" s="795">
        <f>Q466</f>
        <v>1.2667743100000002</v>
      </c>
      <c r="T495" s="795"/>
      <c r="U495" s="192" t="s">
        <v>333</v>
      </c>
      <c r="V495" s="185"/>
    </row>
    <row r="496" spans="1:22" ht="18" hidden="1" customHeight="1">
      <c r="A496" s="184"/>
      <c r="B496" s="47" t="s">
        <v>691</v>
      </c>
      <c r="C496" s="14"/>
      <c r="D496" s="14"/>
      <c r="E496" s="14"/>
      <c r="F496" s="14"/>
      <c r="G496" s="14"/>
      <c r="H496" s="14"/>
      <c r="I496" s="120"/>
      <c r="J496" s="14"/>
      <c r="K496" s="14"/>
      <c r="M496" s="14"/>
      <c r="N496" s="14"/>
      <c r="P496" s="14" t="s">
        <v>411</v>
      </c>
      <c r="R496" s="234" t="s">
        <v>127</v>
      </c>
      <c r="S496" s="684">
        <f>O447</f>
        <v>1</v>
      </c>
      <c r="T496" s="684"/>
      <c r="U496" s="30" t="s">
        <v>8</v>
      </c>
      <c r="V496" s="185"/>
    </row>
    <row r="497" spans="1:22" ht="18" hidden="1" customHeight="1">
      <c r="A497" s="184"/>
      <c r="B497" s="47" t="s">
        <v>678</v>
      </c>
      <c r="C497" s="14"/>
      <c r="D497" s="14"/>
      <c r="E497" s="14"/>
      <c r="F497" s="14"/>
      <c r="G497" s="14"/>
      <c r="H497" s="14"/>
      <c r="I497" s="120"/>
      <c r="J497" s="14"/>
      <c r="K497" s="14"/>
      <c r="M497" s="14"/>
      <c r="N497" s="14"/>
      <c r="P497" s="120" t="s">
        <v>688</v>
      </c>
      <c r="R497" s="234" t="s">
        <v>127</v>
      </c>
      <c r="S497" s="684">
        <f>O480</f>
        <v>6998.1850810863734</v>
      </c>
      <c r="T497" s="684"/>
      <c r="U497" s="30" t="s">
        <v>8</v>
      </c>
      <c r="V497" s="185"/>
    </row>
    <row r="498" spans="1:22" s="279" customFormat="1" ht="18" hidden="1" customHeight="1">
      <c r="A498" s="184"/>
      <c r="B498" s="47" t="s">
        <v>692</v>
      </c>
      <c r="C498" s="14"/>
      <c r="D498" s="14"/>
      <c r="E498" s="14"/>
      <c r="F498" s="14"/>
      <c r="G498" s="14"/>
      <c r="H498" s="14"/>
      <c r="I498" s="120"/>
      <c r="J498" s="14"/>
      <c r="K498" s="14"/>
      <c r="L498" s="30"/>
      <c r="M498" s="14"/>
      <c r="N498" s="14"/>
      <c r="O498" s="30"/>
      <c r="P498" s="120" t="s">
        <v>680</v>
      </c>
      <c r="Q498" s="30"/>
      <c r="R498" s="234" t="s">
        <v>127</v>
      </c>
      <c r="S498" s="795">
        <f>J474</f>
        <v>437.38656756789834</v>
      </c>
      <c r="T498" s="684"/>
      <c r="U498" s="30" t="s">
        <v>8</v>
      </c>
      <c r="V498" s="185"/>
    </row>
    <row r="499" spans="1:22" s="279" customFormat="1" ht="18" hidden="1" customHeight="1">
      <c r="A499" s="184"/>
      <c r="B499" s="47" t="s">
        <v>659</v>
      </c>
      <c r="C499" s="14"/>
      <c r="D499" s="14"/>
      <c r="E499" s="14"/>
      <c r="F499" s="14"/>
      <c r="G499" s="14"/>
      <c r="H499" s="14"/>
      <c r="I499" s="120"/>
      <c r="J499" s="14"/>
      <c r="K499" s="14"/>
      <c r="L499" s="30"/>
      <c r="M499" s="14"/>
      <c r="N499" s="14"/>
      <c r="O499" s="30"/>
      <c r="P499" s="120" t="s">
        <v>660</v>
      </c>
      <c r="Q499" s="30"/>
      <c r="R499" s="234" t="s">
        <v>127</v>
      </c>
      <c r="S499" s="684">
        <f>S411</f>
        <v>1</v>
      </c>
      <c r="T499" s="684"/>
      <c r="U499" s="30" t="s">
        <v>8</v>
      </c>
      <c r="V499" s="185"/>
    </row>
    <row r="500" spans="1:22" ht="18" hidden="1" customHeight="1">
      <c r="A500" s="96"/>
      <c r="B500" s="14"/>
      <c r="C500" s="14"/>
      <c r="D500" s="235"/>
      <c r="E500" s="14"/>
      <c r="F500" s="28"/>
      <c r="G500" s="249"/>
      <c r="H500" s="28"/>
      <c r="I500" s="251"/>
      <c r="J500" s="14"/>
      <c r="K500" s="280"/>
      <c r="M500" s="47"/>
      <c r="N500" s="268"/>
      <c r="P500" s="281"/>
      <c r="R500" s="234"/>
      <c r="S500" s="1148"/>
      <c r="T500" s="723"/>
      <c r="V500" s="185"/>
    </row>
    <row r="501" spans="1:22" ht="18" hidden="1" customHeight="1">
      <c r="A501" s="272" t="s">
        <v>693</v>
      </c>
      <c r="B501" s="14"/>
      <c r="C501" s="14"/>
      <c r="D501" s="14"/>
      <c r="E501" s="14"/>
      <c r="F501" s="14"/>
      <c r="G501" s="14"/>
      <c r="H501" s="28">
        <v>3</v>
      </c>
      <c r="I501" s="47" t="s">
        <v>694</v>
      </c>
      <c r="J501" s="14"/>
      <c r="K501" s="14"/>
      <c r="M501" s="14" t="s">
        <v>337</v>
      </c>
      <c r="N501" s="14"/>
      <c r="P501" s="120"/>
      <c r="R501" s="234"/>
      <c r="S501" s="1149"/>
      <c r="T501" s="723"/>
      <c r="V501" s="185"/>
    </row>
    <row r="502" spans="1:22" ht="18" hidden="1" customHeight="1">
      <c r="A502" s="272"/>
      <c r="B502" s="14"/>
      <c r="C502" s="14"/>
      <c r="D502" s="14"/>
      <c r="E502" s="14"/>
      <c r="F502" s="14"/>
      <c r="G502" s="14"/>
      <c r="H502" s="28"/>
      <c r="I502" s="47"/>
      <c r="J502" s="14"/>
      <c r="K502" s="14"/>
      <c r="M502" s="14"/>
      <c r="N502" s="14"/>
      <c r="P502" s="120"/>
      <c r="R502" s="234"/>
      <c r="S502" s="282"/>
      <c r="V502" s="185"/>
    </row>
    <row r="503" spans="1:22" ht="18" hidden="1" customHeight="1">
      <c r="A503" s="277"/>
      <c r="B503" s="689" t="s">
        <v>473</v>
      </c>
      <c r="C503" s="1150" t="s">
        <v>652</v>
      </c>
      <c r="D503" s="279"/>
      <c r="E503" s="279"/>
      <c r="F503" s="279"/>
      <c r="G503" s="802">
        <f>H501</f>
        <v>3</v>
      </c>
      <c r="H503" s="1151" t="s">
        <v>315</v>
      </c>
      <c r="I503" s="829">
        <f>S497</f>
        <v>6998.1850810863734</v>
      </c>
      <c r="J503" s="1152"/>
      <c r="K503" s="1152"/>
      <c r="L503" s="1152"/>
      <c r="M503" s="1152"/>
      <c r="N503" s="689" t="s">
        <v>672</v>
      </c>
      <c r="O503" s="708">
        <f>S494</f>
        <v>15</v>
      </c>
      <c r="P503" s="689" t="s">
        <v>347</v>
      </c>
      <c r="Q503" s="829">
        <f>S495</f>
        <v>1.2667743100000002</v>
      </c>
      <c r="R503" s="708" t="s">
        <v>674</v>
      </c>
      <c r="S503" s="708">
        <f>S496</f>
        <v>1</v>
      </c>
      <c r="T503" s="14"/>
      <c r="U503" s="729" t="s">
        <v>653</v>
      </c>
      <c r="V503" s="185"/>
    </row>
    <row r="504" spans="1:22" ht="18" hidden="1" customHeight="1">
      <c r="A504" s="277"/>
      <c r="B504" s="689"/>
      <c r="C504" s="689"/>
      <c r="D504" s="279"/>
      <c r="E504" s="279"/>
      <c r="F504" s="279"/>
      <c r="G504" s="802"/>
      <c r="H504" s="684"/>
      <c r="I504" s="689">
        <v>1.3</v>
      </c>
      <c r="J504" s="684"/>
      <c r="K504" s="28" t="s">
        <v>315</v>
      </c>
      <c r="L504" s="689">
        <f>S493</f>
        <v>4000</v>
      </c>
      <c r="M504" s="684"/>
      <c r="N504" s="689"/>
      <c r="O504" s="689"/>
      <c r="P504" s="689"/>
      <c r="Q504" s="689"/>
      <c r="R504" s="689"/>
      <c r="S504" s="689"/>
      <c r="T504" s="14"/>
      <c r="U504" s="689"/>
      <c r="V504" s="185"/>
    </row>
    <row r="505" spans="1:22" ht="18" hidden="1" customHeight="1">
      <c r="A505" s="96"/>
      <c r="B505" s="14"/>
      <c r="C505" s="27" t="s">
        <v>127</v>
      </c>
      <c r="D505" s="812">
        <f>G503*(I503/(I504*L504)*(O503+Q503)*S503)</f>
        <v>65.675709977100624</v>
      </c>
      <c r="E505" s="813"/>
      <c r="F505" s="30" t="s">
        <v>305</v>
      </c>
      <c r="G505" s="14"/>
      <c r="H505" s="14"/>
      <c r="I505" s="14"/>
      <c r="J505" s="14"/>
      <c r="K505" s="14"/>
      <c r="L505" s="14"/>
      <c r="M505" s="14"/>
      <c r="N505" s="14"/>
      <c r="R505" s="234"/>
      <c r="S505" s="204"/>
      <c r="V505" s="185"/>
    </row>
    <row r="506" spans="1:22" ht="18" hidden="1" customHeight="1">
      <c r="A506" s="96"/>
      <c r="B506" s="14"/>
      <c r="G506" s="14"/>
      <c r="H506" s="14"/>
      <c r="I506" s="14"/>
      <c r="J506" s="14"/>
      <c r="K506" s="14"/>
      <c r="L506" s="14"/>
      <c r="M506" s="14"/>
      <c r="N506" s="14"/>
      <c r="R506" s="234"/>
      <c r="S506" s="204"/>
      <c r="V506" s="185"/>
    </row>
    <row r="507" spans="1:22" ht="18" hidden="1" customHeight="1">
      <c r="A507" s="96"/>
      <c r="B507" s="14"/>
      <c r="D507" s="30" t="s">
        <v>475</v>
      </c>
      <c r="G507" s="27" t="str">
        <f>IF(E508&gt;H508,"&gt;","&lt;")</f>
        <v>&gt;</v>
      </c>
      <c r="H507" s="30" t="s">
        <v>477</v>
      </c>
      <c r="M507" s="14"/>
      <c r="N507" s="14"/>
      <c r="R507" s="234"/>
      <c r="S507" s="204"/>
      <c r="V507" s="185"/>
    </row>
    <row r="508" spans="1:22" ht="18" hidden="1" customHeight="1">
      <c r="A508" s="96"/>
      <c r="B508" s="14"/>
      <c r="E508" s="684">
        <f>J450</f>
        <v>800</v>
      </c>
      <c r="F508" s="684"/>
      <c r="G508" s="27" t="str">
        <f>G507</f>
        <v>&gt;</v>
      </c>
      <c r="H508" s="795">
        <f>D505</f>
        <v>65.675709977100624</v>
      </c>
      <c r="I508" s="684"/>
      <c r="M508" s="14"/>
      <c r="N508" s="14"/>
      <c r="R508" s="234"/>
      <c r="S508" s="204"/>
      <c r="V508" s="185"/>
    </row>
    <row r="509" spans="1:22" ht="18" hidden="1" customHeight="1">
      <c r="A509" s="96"/>
      <c r="B509" s="14"/>
      <c r="F509" s="244" t="s">
        <v>478</v>
      </c>
      <c r="H509" s="18" t="str">
        <f>IF(G507="&gt;","Suitably Dimentioned","Under Dimentioned")</f>
        <v>Suitably Dimentioned</v>
      </c>
      <c r="M509" s="14"/>
      <c r="N509" s="14"/>
      <c r="R509" s="234"/>
      <c r="S509" s="204"/>
      <c r="V509" s="185"/>
    </row>
    <row r="510" spans="1:22" ht="18" hidden="1" customHeight="1">
      <c r="A510" s="96"/>
      <c r="B510" s="14"/>
      <c r="G510" s="14"/>
      <c r="H510" s="14"/>
      <c r="I510" s="14"/>
      <c r="J510" s="14"/>
      <c r="K510" s="14"/>
      <c r="L510" s="14"/>
      <c r="M510" s="14"/>
      <c r="N510" s="14"/>
      <c r="R510" s="234"/>
      <c r="S510" s="204"/>
      <c r="V510" s="185"/>
    </row>
    <row r="511" spans="1:22" ht="18" hidden="1" customHeight="1">
      <c r="A511" s="193" t="s">
        <v>695</v>
      </c>
      <c r="B511" s="14"/>
      <c r="G511" s="14"/>
      <c r="H511" s="14"/>
      <c r="I511" s="14"/>
      <c r="J511" s="14"/>
      <c r="K511" s="14"/>
      <c r="L511" s="14"/>
      <c r="M511" s="14"/>
      <c r="N511" s="14"/>
      <c r="R511" s="234"/>
      <c r="S511" s="204"/>
      <c r="V511" s="185"/>
    </row>
    <row r="512" spans="1:22" ht="18" hidden="1" customHeight="1">
      <c r="A512" s="96"/>
      <c r="B512" s="14"/>
      <c r="D512" s="802" t="s">
        <v>696</v>
      </c>
      <c r="E512" s="716"/>
      <c r="F512" s="689" t="s">
        <v>127</v>
      </c>
      <c r="G512" s="708" t="s">
        <v>423</v>
      </c>
      <c r="H512" s="1147"/>
      <c r="I512" s="689" t="s">
        <v>315</v>
      </c>
      <c r="J512" s="708" t="s">
        <v>697</v>
      </c>
      <c r="K512" s="1147"/>
      <c r="L512" s="14"/>
      <c r="M512" s="14"/>
      <c r="N512" s="14"/>
      <c r="R512" s="234"/>
      <c r="S512" s="204"/>
      <c r="V512" s="185"/>
    </row>
    <row r="513" spans="1:22" ht="18" hidden="1" customHeight="1">
      <c r="A513" s="96"/>
      <c r="B513" s="14"/>
      <c r="D513" s="716"/>
      <c r="E513" s="716"/>
      <c r="F513" s="689"/>
      <c r="G513" s="689" t="s">
        <v>680</v>
      </c>
      <c r="H513" s="716"/>
      <c r="I513" s="689"/>
      <c r="J513" s="689" t="s">
        <v>411</v>
      </c>
      <c r="K513" s="716"/>
      <c r="L513" s="14"/>
      <c r="M513" s="14"/>
      <c r="N513" s="14"/>
      <c r="R513" s="234"/>
      <c r="S513" s="204"/>
      <c r="V513" s="185"/>
    </row>
    <row r="514" spans="1:22" ht="18" hidden="1" customHeight="1">
      <c r="A514" s="96"/>
      <c r="B514" s="14"/>
      <c r="D514" s="14"/>
      <c r="E514" s="14"/>
      <c r="F514" s="14"/>
      <c r="G514" s="14"/>
      <c r="H514" s="14"/>
      <c r="I514" s="14"/>
      <c r="J514" s="14"/>
      <c r="K514" s="14"/>
      <c r="L514" s="14"/>
      <c r="M514" s="14"/>
      <c r="N514" s="14"/>
      <c r="R514" s="234"/>
      <c r="S514" s="204"/>
      <c r="V514" s="185"/>
    </row>
    <row r="515" spans="1:22" ht="18" hidden="1" customHeight="1">
      <c r="A515" s="96"/>
      <c r="B515" s="14"/>
      <c r="D515" s="14"/>
      <c r="E515" s="14"/>
      <c r="F515" s="689" t="s">
        <v>127</v>
      </c>
      <c r="G515" s="708">
        <f>S493</f>
        <v>4000</v>
      </c>
      <c r="H515" s="1147"/>
      <c r="I515" s="689" t="s">
        <v>315</v>
      </c>
      <c r="J515" s="708">
        <f>S499</f>
        <v>1</v>
      </c>
      <c r="K515" s="1147"/>
      <c r="L515" s="14"/>
      <c r="M515" s="14"/>
      <c r="N515" s="14"/>
      <c r="R515" s="234"/>
      <c r="S515" s="204"/>
      <c r="V515" s="185"/>
    </row>
    <row r="516" spans="1:22" ht="18" hidden="1" customHeight="1">
      <c r="A516" s="96"/>
      <c r="B516" s="14"/>
      <c r="D516" s="14"/>
      <c r="E516" s="14"/>
      <c r="F516" s="689"/>
      <c r="G516" s="692">
        <f>J474</f>
        <v>437.38656756789834</v>
      </c>
      <c r="H516" s="716"/>
      <c r="I516" s="689"/>
      <c r="J516" s="689">
        <f>S496</f>
        <v>1</v>
      </c>
      <c r="K516" s="716"/>
      <c r="L516" s="14"/>
      <c r="M516" s="14"/>
      <c r="N516" s="14"/>
      <c r="R516" s="234"/>
      <c r="S516" s="204"/>
      <c r="V516" s="185"/>
    </row>
    <row r="517" spans="1:22" ht="18" hidden="1" customHeight="1">
      <c r="A517" s="96"/>
      <c r="B517" s="14"/>
      <c r="D517" s="14"/>
      <c r="E517" s="14"/>
      <c r="F517" s="14"/>
      <c r="G517" s="14"/>
      <c r="H517" s="14"/>
      <c r="I517" s="14"/>
      <c r="J517" s="14"/>
      <c r="K517" s="14"/>
      <c r="L517" s="14"/>
      <c r="M517" s="14"/>
      <c r="N517" s="14"/>
      <c r="R517" s="234"/>
      <c r="S517" s="204"/>
      <c r="V517" s="185"/>
    </row>
    <row r="518" spans="1:22" ht="18" hidden="1" customHeight="1">
      <c r="A518" s="96"/>
      <c r="B518" s="14"/>
      <c r="D518" s="14"/>
      <c r="E518" s="14"/>
      <c r="F518" s="28" t="s">
        <v>127</v>
      </c>
      <c r="G518" s="716">
        <f>(G515/G516)*(J515/J516)</f>
        <v>9.1452282639636717</v>
      </c>
      <c r="H518" s="716"/>
      <c r="I518" s="14"/>
      <c r="J518" s="14"/>
      <c r="K518" s="14"/>
      <c r="L518" s="14"/>
      <c r="M518" s="14"/>
      <c r="N518" s="14"/>
      <c r="R518" s="234"/>
      <c r="S518" s="204"/>
      <c r="V518" s="185"/>
    </row>
    <row r="519" spans="1:22" ht="18" hidden="1" customHeight="1">
      <c r="A519" s="96"/>
      <c r="B519" s="14"/>
      <c r="G519" s="14"/>
      <c r="H519" s="14"/>
      <c r="I519" s="14"/>
      <c r="J519" s="14"/>
      <c r="K519" s="14"/>
      <c r="L519" s="14"/>
      <c r="M519" s="14"/>
      <c r="N519" s="14"/>
      <c r="R519" s="234"/>
      <c r="S519" s="204"/>
      <c r="V519" s="185"/>
    </row>
    <row r="520" spans="1:22" s="14" customFormat="1" ht="18" hidden="1" customHeight="1">
      <c r="A520" s="96"/>
      <c r="C520" s="30"/>
      <c r="D520" s="283" t="s">
        <v>698</v>
      </c>
      <c r="E520" s="284" t="s">
        <v>699</v>
      </c>
      <c r="F520" s="689" t="s">
        <v>696</v>
      </c>
      <c r="G520" s="716"/>
      <c r="H520" s="716"/>
      <c r="I520" s="284" t="s">
        <v>699</v>
      </c>
      <c r="J520" s="28">
        <v>4</v>
      </c>
      <c r="K520" s="30"/>
      <c r="L520" s="279"/>
      <c r="M520" s="120" t="s">
        <v>700</v>
      </c>
      <c r="N520" s="47" t="s">
        <v>701</v>
      </c>
      <c r="O520" s="279"/>
      <c r="P520" s="236"/>
      <c r="Q520" s="236"/>
      <c r="R520" s="234"/>
      <c r="S520" s="204"/>
      <c r="T520" s="30"/>
      <c r="U520" s="30"/>
      <c r="V520" s="185"/>
    </row>
    <row r="521" spans="1:22" ht="18" hidden="1" customHeight="1">
      <c r="A521" s="96"/>
      <c r="B521" s="14"/>
      <c r="D521" s="218">
        <v>0.25</v>
      </c>
      <c r="E521" s="284" t="str">
        <f>IF(D521&lt;=G518,"≤","&gt;")</f>
        <v>≤</v>
      </c>
      <c r="F521" s="688">
        <f>G518</f>
        <v>9.1452282639636717</v>
      </c>
      <c r="G521" s="1145"/>
      <c r="H521" s="688"/>
      <c r="I521" s="284" t="str">
        <f>IF(G518&lt;=J520,"≤","&gt;")</f>
        <v>&gt;</v>
      </c>
      <c r="J521" s="28">
        <f>J520</f>
        <v>4</v>
      </c>
      <c r="L521" s="279"/>
      <c r="M521" s="120"/>
      <c r="N521" s="213"/>
      <c r="O521" s="279"/>
      <c r="P521" s="236"/>
      <c r="Q521" s="236"/>
      <c r="R521" s="234"/>
      <c r="S521" s="204"/>
      <c r="V521" s="185"/>
    </row>
    <row r="522" spans="1:22" ht="18" hidden="1" customHeight="1">
      <c r="A522" s="96"/>
      <c r="B522" s="14"/>
      <c r="G522" s="14"/>
      <c r="H522" s="14"/>
      <c r="I522" s="14"/>
      <c r="J522" s="14"/>
      <c r="K522" s="14"/>
      <c r="L522" s="14"/>
      <c r="M522" s="14"/>
      <c r="N522" s="14"/>
      <c r="R522" s="234"/>
      <c r="S522" s="204"/>
      <c r="V522" s="185"/>
    </row>
    <row r="523" spans="1:22" ht="18" hidden="1" customHeight="1">
      <c r="A523" s="96"/>
      <c r="B523" s="14" t="s">
        <v>702</v>
      </c>
      <c r="G523" s="14"/>
      <c r="H523" s="18" t="str">
        <f>IF(AND(E521="≤",I521="≤")=TRUE,"OK","Not OK")</f>
        <v>Not OK</v>
      </c>
      <c r="I523" s="14"/>
      <c r="J523" s="14"/>
      <c r="K523" s="14"/>
      <c r="L523" s="14"/>
      <c r="M523" s="14"/>
      <c r="N523" s="14"/>
      <c r="R523" s="234"/>
      <c r="S523" s="204"/>
      <c r="V523" s="185"/>
    </row>
    <row r="524" spans="1:22" ht="18" hidden="1" customHeight="1">
      <c r="A524" s="96"/>
      <c r="B524" s="14"/>
      <c r="G524" s="14"/>
      <c r="H524" s="18"/>
      <c r="I524" s="14"/>
      <c r="J524" s="14"/>
      <c r="K524" s="14"/>
      <c r="L524" s="14"/>
      <c r="M524" s="14"/>
      <c r="N524" s="14"/>
      <c r="R524" s="234"/>
      <c r="S524" s="204"/>
      <c r="V524" s="185"/>
    </row>
    <row r="525" spans="1:22" ht="18" hidden="1" customHeight="1">
      <c r="A525" s="96"/>
      <c r="B525" s="14"/>
      <c r="G525" s="14"/>
      <c r="H525" s="18"/>
      <c r="I525" s="14"/>
      <c r="J525" s="14"/>
      <c r="K525" s="14"/>
      <c r="L525" s="14"/>
      <c r="M525" s="14"/>
      <c r="N525" s="14"/>
      <c r="R525" s="234"/>
      <c r="S525" s="204"/>
      <c r="V525" s="185"/>
    </row>
    <row r="526" spans="1:22" ht="18" hidden="1" customHeight="1">
      <c r="A526" s="96"/>
      <c r="B526" s="14"/>
      <c r="G526" s="14"/>
      <c r="H526" s="18"/>
      <c r="I526" s="14"/>
      <c r="J526" s="14"/>
      <c r="K526" s="14"/>
      <c r="L526" s="14"/>
      <c r="M526" s="14"/>
      <c r="N526" s="14"/>
      <c r="R526" s="234"/>
      <c r="S526" s="204"/>
      <c r="V526" s="185"/>
    </row>
    <row r="527" spans="1:22" ht="18" hidden="1" customHeight="1">
      <c r="A527" s="96"/>
      <c r="B527" s="14"/>
      <c r="G527" s="14"/>
      <c r="H527" s="18"/>
      <c r="I527" s="14"/>
      <c r="J527" s="14"/>
      <c r="K527" s="14"/>
      <c r="L527" s="14"/>
      <c r="M527" s="14"/>
      <c r="N527" s="14"/>
      <c r="R527" s="234"/>
      <c r="S527" s="204"/>
      <c r="V527" s="185"/>
    </row>
    <row r="528" spans="1:22" ht="18" hidden="1" customHeight="1">
      <c r="A528" s="96"/>
      <c r="B528" s="14"/>
      <c r="G528" s="14"/>
      <c r="H528" s="18"/>
      <c r="I528" s="14"/>
      <c r="J528" s="14"/>
      <c r="K528" s="14"/>
      <c r="L528" s="14"/>
      <c r="M528" s="14"/>
      <c r="N528" s="14"/>
      <c r="R528" s="234"/>
      <c r="S528" s="204"/>
      <c r="V528" s="185"/>
    </row>
    <row r="529" spans="1:29" ht="18" hidden="1" customHeight="1">
      <c r="A529" s="96"/>
      <c r="B529" s="14"/>
      <c r="G529" s="14"/>
      <c r="H529" s="14"/>
      <c r="I529" s="14"/>
      <c r="J529" s="14"/>
      <c r="K529" s="14"/>
      <c r="L529" s="14"/>
      <c r="M529" s="14"/>
      <c r="N529" s="14"/>
      <c r="R529" s="234"/>
      <c r="S529" s="204"/>
      <c r="V529" s="185"/>
    </row>
    <row r="530" spans="1:29" ht="18" hidden="1" customHeight="1">
      <c r="A530" s="194"/>
      <c r="B530" s="195"/>
      <c r="C530" s="195"/>
      <c r="D530" s="195"/>
      <c r="E530" s="195"/>
      <c r="F530" s="195"/>
      <c r="G530" s="195"/>
      <c r="H530" s="195"/>
      <c r="I530" s="195"/>
      <c r="J530" s="195"/>
      <c r="K530" s="195"/>
      <c r="L530" s="195"/>
      <c r="M530" s="195"/>
      <c r="N530" s="195"/>
      <c r="O530" s="195"/>
      <c r="P530" s="195"/>
      <c r="Q530" s="224"/>
      <c r="R530" s="182"/>
      <c r="S530" s="225"/>
      <c r="T530" s="195"/>
      <c r="U530" s="195"/>
      <c r="V530" s="134" t="s">
        <v>552</v>
      </c>
    </row>
    <row r="531" spans="1:29" ht="18" hidden="1" customHeight="1">
      <c r="A531" s="226"/>
      <c r="B531" s="227"/>
      <c r="C531" s="227"/>
      <c r="D531" s="227"/>
      <c r="E531" s="227"/>
      <c r="F531" s="227"/>
      <c r="G531" s="227"/>
      <c r="H531" s="227"/>
      <c r="I531" s="227"/>
      <c r="J531" s="227"/>
      <c r="K531" s="227"/>
      <c r="L531" s="227"/>
      <c r="M531" s="227"/>
      <c r="N531" s="227"/>
      <c r="O531" s="227"/>
      <c r="P531" s="227"/>
      <c r="Q531" s="227"/>
      <c r="R531" s="227"/>
      <c r="S531" s="227"/>
      <c r="T531" s="227"/>
      <c r="U531" s="227"/>
      <c r="V531" s="228"/>
    </row>
    <row r="532" spans="1:29" ht="18" hidden="1" customHeight="1">
      <c r="A532" s="184"/>
      <c r="B532" s="854" t="str">
        <f>B444</f>
        <v>CT1L1</v>
      </c>
      <c r="C532" s="831"/>
      <c r="D532" s="855" t="str">
        <f>D444</f>
        <v>Core3</v>
      </c>
      <c r="E532" s="856"/>
      <c r="F532" s="186" t="s">
        <v>636</v>
      </c>
      <c r="H532" s="684" t="str">
        <f>H444</f>
        <v>(Transformer Differential)</v>
      </c>
      <c r="I532" s="684"/>
      <c r="J532" s="684"/>
      <c r="K532" s="684"/>
      <c r="L532" s="684"/>
      <c r="M532" s="684"/>
      <c r="P532" s="186"/>
      <c r="S532" s="187" t="s">
        <v>387</v>
      </c>
      <c r="T532" s="1154" t="str">
        <f>T444</f>
        <v>7UT85</v>
      </c>
      <c r="U532" s="1155"/>
      <c r="V532" s="185"/>
    </row>
    <row r="533" spans="1:29" ht="18" hidden="1" customHeight="1">
      <c r="A533" s="184"/>
      <c r="B533" s="853" t="str">
        <f>B445</f>
        <v>CT1L2</v>
      </c>
      <c r="C533" s="853"/>
      <c r="D533" s="857"/>
      <c r="E533" s="858"/>
      <c r="F533" s="255"/>
      <c r="T533" s="1154">
        <f>T445</f>
        <v>0</v>
      </c>
      <c r="U533" s="1155"/>
      <c r="V533" s="185"/>
    </row>
    <row r="534" spans="1:29" ht="18" hidden="1" customHeight="1">
      <c r="A534" s="184"/>
      <c r="H534" s="708" t="s">
        <v>390</v>
      </c>
      <c r="I534" s="708"/>
      <c r="J534" s="708" t="s">
        <v>391</v>
      </c>
      <c r="K534" s="708"/>
      <c r="L534" s="789" t="s">
        <v>392</v>
      </c>
      <c r="M534" s="789"/>
      <c r="T534" s="1154">
        <f>T446</f>
        <v>0</v>
      </c>
      <c r="U534" s="1155"/>
      <c r="V534" s="185"/>
    </row>
    <row r="535" spans="1:29" ht="18" hidden="1" customHeight="1">
      <c r="A535" s="184"/>
      <c r="B535" s="47" t="s">
        <v>393</v>
      </c>
      <c r="H535" s="854">
        <f>H447</f>
        <v>5000</v>
      </c>
      <c r="I535" s="831"/>
      <c r="J535" s="854">
        <f>J447</f>
        <v>4000</v>
      </c>
      <c r="K535" s="831"/>
      <c r="L535" s="863">
        <f>L447</f>
        <v>3000</v>
      </c>
      <c r="M535" s="864"/>
      <c r="N535" s="102" t="s">
        <v>342</v>
      </c>
      <c r="O535" s="256">
        <f>O447</f>
        <v>1</v>
      </c>
      <c r="P535" s="27" t="s">
        <v>8</v>
      </c>
      <c r="V535" s="185"/>
    </row>
    <row r="536" spans="1:29" ht="18" hidden="1" customHeight="1">
      <c r="A536" s="184"/>
      <c r="B536" s="47" t="s">
        <v>394</v>
      </c>
      <c r="H536" s="14"/>
      <c r="I536" s="14"/>
      <c r="L536" s="854" t="str">
        <f>J448</f>
        <v>PX</v>
      </c>
      <c r="M536" s="776"/>
      <c r="V536" s="185"/>
    </row>
    <row r="537" spans="1:29" ht="18" hidden="1" customHeight="1">
      <c r="A537" s="184"/>
      <c r="B537" s="47" t="s">
        <v>396</v>
      </c>
      <c r="K537" s="120" t="s">
        <v>497</v>
      </c>
      <c r="L537" s="781">
        <v>10</v>
      </c>
      <c r="M537" s="782"/>
      <c r="N537" s="192" t="s">
        <v>333</v>
      </c>
      <c r="V537" s="185"/>
    </row>
    <row r="538" spans="1:29" ht="18" hidden="1" customHeight="1">
      <c r="A538" s="184"/>
      <c r="B538" s="47" t="s">
        <v>398</v>
      </c>
      <c r="K538" s="120" t="s">
        <v>498</v>
      </c>
      <c r="L538" s="781">
        <v>800</v>
      </c>
      <c r="M538" s="782"/>
      <c r="N538" s="14" t="s">
        <v>305</v>
      </c>
      <c r="V538" s="185"/>
      <c r="W538" s="30" t="s">
        <v>400</v>
      </c>
      <c r="AB538" s="785">
        <f>D593</f>
        <v>60.651516837084017</v>
      </c>
      <c r="AC538" s="786"/>
    </row>
    <row r="539" spans="1:29" ht="18" hidden="1" customHeight="1">
      <c r="A539" s="184"/>
      <c r="B539" s="14" t="s">
        <v>401</v>
      </c>
      <c r="K539" s="120" t="s">
        <v>402</v>
      </c>
      <c r="L539" s="781">
        <v>50</v>
      </c>
      <c r="M539" s="782"/>
      <c r="N539" s="30" t="s">
        <v>403</v>
      </c>
      <c r="V539" s="185"/>
    </row>
    <row r="540" spans="1:29" ht="18" hidden="1" customHeight="1">
      <c r="A540" s="96"/>
      <c r="V540" s="185"/>
    </row>
    <row r="541" spans="1:29" ht="18" hidden="1" customHeight="1">
      <c r="A541" s="193" t="s">
        <v>404</v>
      </c>
      <c r="V541" s="185"/>
    </row>
    <row r="542" spans="1:29" ht="18" hidden="1" customHeight="1">
      <c r="A542" s="184"/>
      <c r="V542" s="185"/>
    </row>
    <row r="543" spans="1:29" ht="18" hidden="1" customHeight="1">
      <c r="A543" s="184"/>
      <c r="B543" s="194" t="s">
        <v>405</v>
      </c>
      <c r="C543" s="195"/>
      <c r="D543" s="195" t="str">
        <f>T532</f>
        <v>7UT85</v>
      </c>
      <c r="E543" s="196"/>
      <c r="F543" s="196"/>
      <c r="G543" s="196"/>
      <c r="H543" s="182" t="s">
        <v>406</v>
      </c>
      <c r="I543" s="183" t="s">
        <v>127</v>
      </c>
      <c r="J543" s="766">
        <f>J455</f>
        <v>0.1</v>
      </c>
      <c r="K543" s="958"/>
      <c r="L543" s="3" t="s">
        <v>157</v>
      </c>
      <c r="V543" s="185"/>
    </row>
    <row r="544" spans="1:29" ht="18" hidden="1" customHeight="1">
      <c r="A544" s="184"/>
      <c r="B544" s="184" t="s">
        <v>405</v>
      </c>
      <c r="D544" s="30">
        <f>T533</f>
        <v>0</v>
      </c>
      <c r="H544" s="27"/>
      <c r="I544" s="177" t="s">
        <v>127</v>
      </c>
      <c r="J544" s="766">
        <f>J456</f>
        <v>0</v>
      </c>
      <c r="K544" s="958"/>
      <c r="L544" s="198" t="s">
        <v>157</v>
      </c>
      <c r="V544" s="185"/>
    </row>
    <row r="545" spans="1:22" ht="18" hidden="1" customHeight="1">
      <c r="A545" s="184"/>
      <c r="B545" s="184" t="s">
        <v>405</v>
      </c>
      <c r="D545" s="30">
        <f>T534</f>
        <v>0</v>
      </c>
      <c r="E545" s="14"/>
      <c r="G545" s="199"/>
      <c r="H545" s="27"/>
      <c r="I545" s="177" t="s">
        <v>127</v>
      </c>
      <c r="J545" s="766">
        <f>J457</f>
        <v>0</v>
      </c>
      <c r="K545" s="958"/>
      <c r="L545" s="202" t="s">
        <v>157</v>
      </c>
      <c r="V545" s="185"/>
    </row>
    <row r="546" spans="1:22" ht="18" hidden="1" customHeight="1">
      <c r="A546" s="184"/>
      <c r="B546" s="184" t="s">
        <v>412</v>
      </c>
      <c r="H546" s="27" t="s">
        <v>599</v>
      </c>
      <c r="I546" s="177" t="s">
        <v>127</v>
      </c>
      <c r="J546" s="766">
        <f>J458</f>
        <v>1.1667743100000001</v>
      </c>
      <c r="K546" s="958"/>
      <c r="L546" s="203" t="s">
        <v>157</v>
      </c>
      <c r="V546" s="185"/>
    </row>
    <row r="547" spans="1:22" ht="18" hidden="1" customHeight="1">
      <c r="A547" s="184"/>
      <c r="B547" s="205" t="s">
        <v>413</v>
      </c>
      <c r="C547" s="206"/>
      <c r="D547" s="206"/>
      <c r="E547" s="206"/>
      <c r="F547" s="207"/>
      <c r="G547" s="207"/>
      <c r="H547" s="190" t="s">
        <v>409</v>
      </c>
      <c r="I547" s="208" t="s">
        <v>127</v>
      </c>
      <c r="J547" s="766">
        <f>J544+J546</f>
        <v>1.1667743100000001</v>
      </c>
      <c r="K547" s="958"/>
      <c r="L547" s="210" t="s">
        <v>157</v>
      </c>
      <c r="V547" s="185"/>
    </row>
    <row r="548" spans="1:22" ht="18" hidden="1" customHeight="1">
      <c r="A548" s="184"/>
      <c r="B548" s="47"/>
      <c r="C548" s="47"/>
      <c r="D548" s="47"/>
      <c r="E548" s="47"/>
      <c r="H548" s="27"/>
      <c r="I548" s="28"/>
      <c r="J548" s="199"/>
      <c r="L548" s="47"/>
      <c r="O548" s="27"/>
      <c r="P548" s="211"/>
      <c r="Q548" s="211"/>
      <c r="R548" s="192"/>
      <c r="V548" s="185"/>
    </row>
    <row r="549" spans="1:22" ht="18" hidden="1" customHeight="1">
      <c r="A549" s="184"/>
      <c r="B549" s="197" t="s">
        <v>648</v>
      </c>
      <c r="L549" s="47"/>
      <c r="M549" s="197" t="s">
        <v>407</v>
      </c>
      <c r="V549" s="185"/>
    </row>
    <row r="550" spans="1:22" s="14" customFormat="1" ht="18" hidden="1" customHeight="1">
      <c r="A550" s="184"/>
      <c r="B550" s="27" t="s">
        <v>649</v>
      </c>
      <c r="C550" s="27" t="s">
        <v>127</v>
      </c>
      <c r="D550" s="30" t="s">
        <v>406</v>
      </c>
      <c r="E550" s="271" t="s">
        <v>410</v>
      </c>
      <c r="F550" s="27" t="s">
        <v>146</v>
      </c>
      <c r="G550" s="28" t="s">
        <v>315</v>
      </c>
      <c r="H550" s="218" t="s">
        <v>146</v>
      </c>
      <c r="I550" s="30" t="s">
        <v>350</v>
      </c>
      <c r="J550" s="199"/>
      <c r="K550" s="30"/>
      <c r="L550" s="47"/>
      <c r="M550" s="30" t="s">
        <v>408</v>
      </c>
      <c r="N550" s="27" t="s">
        <v>127</v>
      </c>
      <c r="O550" s="30" t="s">
        <v>409</v>
      </c>
      <c r="P550" s="191" t="s">
        <v>410</v>
      </c>
      <c r="Q550" s="244" t="s">
        <v>411</v>
      </c>
      <c r="R550" s="27" t="s">
        <v>315</v>
      </c>
      <c r="S550" s="30" t="s">
        <v>411</v>
      </c>
      <c r="T550" s="30" t="s">
        <v>350</v>
      </c>
      <c r="U550" s="30"/>
      <c r="V550" s="185"/>
    </row>
    <row r="551" spans="1:22" s="14" customFormat="1" ht="18" hidden="1" customHeight="1">
      <c r="A551" s="184"/>
      <c r="B551" s="47"/>
      <c r="C551" s="27" t="s">
        <v>127</v>
      </c>
      <c r="D551" s="204">
        <f>J543</f>
        <v>0.1</v>
      </c>
      <c r="E551" s="191" t="s">
        <v>410</v>
      </c>
      <c r="F551" s="27">
        <f>F463</f>
        <v>1</v>
      </c>
      <c r="G551" s="27" t="s">
        <v>315</v>
      </c>
      <c r="H551" s="27">
        <f>H463</f>
        <v>1</v>
      </c>
      <c r="I551" s="30" t="s">
        <v>350</v>
      </c>
      <c r="J551" s="199"/>
      <c r="K551" s="30"/>
      <c r="L551" s="47"/>
      <c r="M551" s="30"/>
      <c r="N551" s="27" t="s">
        <v>127</v>
      </c>
      <c r="O551" s="204">
        <f>J547</f>
        <v>1.1667743100000001</v>
      </c>
      <c r="P551" s="191" t="s">
        <v>410</v>
      </c>
      <c r="Q551" s="27">
        <f>O535</f>
        <v>1</v>
      </c>
      <c r="R551" s="27" t="s">
        <v>315</v>
      </c>
      <c r="S551" s="27">
        <f>O535</f>
        <v>1</v>
      </c>
      <c r="T551" s="30" t="s">
        <v>350</v>
      </c>
      <c r="U551" s="30"/>
      <c r="V551" s="185"/>
    </row>
    <row r="552" spans="1:22" s="14" customFormat="1" ht="18" hidden="1" customHeight="1">
      <c r="A552" s="184"/>
      <c r="B552" s="47"/>
      <c r="C552" s="27" t="s">
        <v>127</v>
      </c>
      <c r="D552" s="795">
        <f>D551/(F551*H551)</f>
        <v>0.1</v>
      </c>
      <c r="E552" s="795"/>
      <c r="F552" s="192" t="s">
        <v>333</v>
      </c>
      <c r="G552" s="30"/>
      <c r="H552" s="30"/>
      <c r="I552" s="30"/>
      <c r="J552" s="199"/>
      <c r="K552" s="30"/>
      <c r="L552" s="47"/>
      <c r="M552" s="30"/>
      <c r="N552" s="27" t="s">
        <v>127</v>
      </c>
      <c r="O552" s="795">
        <f>O551/(Q551*S551)</f>
        <v>1.1667743100000001</v>
      </c>
      <c r="P552" s="795"/>
      <c r="Q552" s="192" t="s">
        <v>333</v>
      </c>
      <c r="R552" s="30"/>
      <c r="S552" s="30"/>
      <c r="T552" s="30"/>
      <c r="U552" s="30"/>
      <c r="V552" s="185"/>
    </row>
    <row r="553" spans="1:22" s="14" customFormat="1" ht="18" hidden="1" customHeight="1">
      <c r="A553" s="184"/>
      <c r="B553" s="47"/>
      <c r="C553" s="47"/>
      <c r="D553" s="47"/>
      <c r="E553" s="47"/>
      <c r="F553" s="30"/>
      <c r="G553" s="30"/>
      <c r="H553" s="27"/>
      <c r="I553" s="28"/>
      <c r="J553" s="199"/>
      <c r="K553" s="30"/>
      <c r="L553" s="47"/>
      <c r="M553" s="30"/>
      <c r="N553" s="30"/>
      <c r="O553" s="27"/>
      <c r="P553" s="211"/>
      <c r="Q553" s="211"/>
      <c r="R553" s="192"/>
      <c r="S553" s="30"/>
      <c r="T553" s="30"/>
      <c r="U553" s="30"/>
      <c r="V553" s="185"/>
    </row>
    <row r="554" spans="1:22" s="14" customFormat="1" ht="18" hidden="1" customHeight="1">
      <c r="A554" s="184"/>
      <c r="B554" s="47" t="s">
        <v>668</v>
      </c>
      <c r="C554" s="47"/>
      <c r="D554" s="47"/>
      <c r="E554" s="47"/>
      <c r="F554" s="30"/>
      <c r="G554" s="30"/>
      <c r="H554" s="27"/>
      <c r="I554" s="28"/>
      <c r="J554" s="199"/>
      <c r="K554" s="30"/>
      <c r="L554" s="47" t="s">
        <v>127</v>
      </c>
      <c r="M554" s="204">
        <f>D552</f>
        <v>0.1</v>
      </c>
      <c r="N554" s="27" t="s">
        <v>347</v>
      </c>
      <c r="O554" s="211">
        <f>O552</f>
        <v>1.1667743100000001</v>
      </c>
      <c r="P554" s="211" t="s">
        <v>127</v>
      </c>
      <c r="Q554" s="211">
        <f>M554+O554</f>
        <v>1.2667743100000002</v>
      </c>
      <c r="R554" s="192" t="s">
        <v>333</v>
      </c>
      <c r="S554" s="30"/>
      <c r="T554" s="30"/>
      <c r="U554" s="30"/>
      <c r="V554" s="185"/>
    </row>
    <row r="555" spans="1:22" s="14" customFormat="1" ht="18" hidden="1" customHeight="1">
      <c r="A555" s="193" t="s">
        <v>600</v>
      </c>
      <c r="B555" s="5"/>
      <c r="C555" s="5"/>
      <c r="D555" s="5"/>
      <c r="E555" s="5"/>
      <c r="F555" s="5"/>
      <c r="G555" s="5"/>
      <c r="H555" s="212"/>
      <c r="I555" s="212"/>
      <c r="J555" s="5"/>
      <c r="K555" s="5"/>
      <c r="L555" s="5"/>
      <c r="M555" s="5"/>
      <c r="N555" s="5"/>
      <c r="O555" s="5"/>
      <c r="P555" s="103"/>
      <c r="Q555" s="212"/>
      <c r="R555" s="213"/>
      <c r="S555" s="214"/>
      <c r="T555" s="18"/>
      <c r="U555" s="18"/>
      <c r="V555" s="97"/>
    </row>
    <row r="556" spans="1:22" s="14" customFormat="1" ht="18" hidden="1" customHeight="1">
      <c r="A556" s="96"/>
      <c r="B556" s="47" t="s">
        <v>601</v>
      </c>
      <c r="C556" s="5"/>
      <c r="D556" s="5"/>
      <c r="E556" s="5"/>
      <c r="I556" s="215"/>
      <c r="M556" s="5"/>
      <c r="N556" s="103" t="s">
        <v>127</v>
      </c>
      <c r="O556" s="1154">
        <f>O468</f>
        <v>100</v>
      </c>
      <c r="P556" s="831"/>
      <c r="Q556" s="14" t="s">
        <v>602</v>
      </c>
      <c r="S556" s="214"/>
      <c r="T556" s="18"/>
      <c r="U556" s="18"/>
      <c r="V556" s="97"/>
    </row>
    <row r="557" spans="1:22" s="14" customFormat="1" ht="18" hidden="1" customHeight="1">
      <c r="A557" s="96"/>
      <c r="B557" s="47" t="s">
        <v>603</v>
      </c>
      <c r="C557" s="5"/>
      <c r="D557" s="5"/>
      <c r="E557" s="5"/>
      <c r="I557" s="215"/>
      <c r="M557" s="5"/>
      <c r="N557" s="103" t="s">
        <v>127</v>
      </c>
      <c r="O557" s="1154">
        <f>O469</f>
        <v>25</v>
      </c>
      <c r="P557" s="831"/>
      <c r="Q557" s="14" t="s">
        <v>604</v>
      </c>
      <c r="S557" s="214"/>
      <c r="T557" s="18"/>
      <c r="U557" s="18"/>
      <c r="V557" s="97"/>
    </row>
    <row r="558" spans="1:22" s="14" customFormat="1" ht="18" hidden="1" customHeight="1">
      <c r="A558" s="96"/>
      <c r="B558" s="47" t="s">
        <v>605</v>
      </c>
      <c r="C558" s="5"/>
      <c r="D558" s="5"/>
      <c r="E558" s="5"/>
      <c r="M558" s="120" t="s">
        <v>606</v>
      </c>
      <c r="N558" s="103" t="s">
        <v>607</v>
      </c>
      <c r="O558" s="1154">
        <f>O470</f>
        <v>132</v>
      </c>
      <c r="P558" s="831"/>
      <c r="Q558" s="14" t="s">
        <v>163</v>
      </c>
      <c r="S558" s="214"/>
      <c r="T558" s="18"/>
      <c r="U558" s="18"/>
      <c r="V558" s="97"/>
    </row>
    <row r="559" spans="1:22" s="14" customFormat="1" ht="18" hidden="1" customHeight="1">
      <c r="A559" s="216"/>
      <c r="B559" s="212"/>
      <c r="C559" s="212"/>
      <c r="D559" s="212"/>
      <c r="E559" s="212"/>
      <c r="T559" s="18"/>
      <c r="U559" s="18"/>
      <c r="V559" s="97"/>
    </row>
    <row r="560" spans="1:22" s="14" customFormat="1" ht="18" hidden="1" customHeight="1">
      <c r="A560" s="272" t="s">
        <v>608</v>
      </c>
      <c r="B560" s="213"/>
      <c r="C560" s="213"/>
      <c r="D560" s="213"/>
      <c r="E560" s="213"/>
      <c r="H560" s="120" t="s">
        <v>609</v>
      </c>
      <c r="I560" s="28" t="s">
        <v>127</v>
      </c>
      <c r="J560" s="689" t="s">
        <v>610</v>
      </c>
      <c r="K560" s="689"/>
      <c r="L560" s="28" t="s">
        <v>315</v>
      </c>
      <c r="M560" s="217">
        <v>1000</v>
      </c>
      <c r="N560" s="102" t="s">
        <v>342</v>
      </c>
      <c r="O560" s="28" t="s">
        <v>611</v>
      </c>
      <c r="P560" s="28" t="s">
        <v>315</v>
      </c>
      <c r="Q560" s="28" t="s">
        <v>606</v>
      </c>
      <c r="R560" s="47" t="s">
        <v>350</v>
      </c>
      <c r="T560" s="18"/>
      <c r="U560" s="18"/>
      <c r="V560" s="97"/>
    </row>
    <row r="561" spans="1:22" ht="18" hidden="1" customHeight="1">
      <c r="A561" s="216"/>
      <c r="B561" s="213"/>
      <c r="C561" s="213"/>
      <c r="D561" s="213"/>
      <c r="E561" s="213"/>
      <c r="F561" s="212"/>
      <c r="G561" s="212"/>
      <c r="H561" s="28"/>
      <c r="I561" s="28" t="s">
        <v>127</v>
      </c>
      <c r="J561" s="689">
        <f>O556</f>
        <v>100</v>
      </c>
      <c r="K561" s="689"/>
      <c r="L561" s="28" t="s">
        <v>315</v>
      </c>
      <c r="M561" s="217">
        <v>1000</v>
      </c>
      <c r="N561" s="102" t="s">
        <v>342</v>
      </c>
      <c r="O561" s="28" t="s">
        <v>611</v>
      </c>
      <c r="P561" s="28" t="s">
        <v>315</v>
      </c>
      <c r="Q561" s="28">
        <f>O558</f>
        <v>132</v>
      </c>
      <c r="R561" s="47" t="s">
        <v>350</v>
      </c>
      <c r="S561" s="14"/>
      <c r="T561" s="18"/>
      <c r="U561" s="18"/>
      <c r="V561" s="97"/>
    </row>
    <row r="562" spans="1:22" ht="18" hidden="1" customHeight="1">
      <c r="A562" s="216"/>
      <c r="B562" s="212"/>
      <c r="C562" s="212"/>
      <c r="D562" s="212"/>
      <c r="E562" s="212"/>
      <c r="F562" s="212"/>
      <c r="G562" s="212"/>
      <c r="H562" s="14"/>
      <c r="I562" s="28" t="s">
        <v>127</v>
      </c>
      <c r="J562" s="692">
        <f>(O556*1000)/(SQRT(3)*O558)</f>
        <v>437.38656756789834</v>
      </c>
      <c r="K562" s="692"/>
      <c r="L562" s="14" t="s">
        <v>8</v>
      </c>
      <c r="M562" s="120"/>
      <c r="N562" s="120"/>
      <c r="O562" s="120"/>
      <c r="P562" s="14"/>
      <c r="Q562" s="14"/>
      <c r="R562" s="14"/>
      <c r="S562" s="14"/>
      <c r="T562" s="18"/>
      <c r="U562" s="18"/>
      <c r="V562" s="97"/>
    </row>
    <row r="563" spans="1:22" ht="18" hidden="1" customHeight="1">
      <c r="A563" s="216"/>
      <c r="B563" s="212"/>
      <c r="C563" s="212"/>
      <c r="D563" s="212"/>
      <c r="E563" s="212"/>
      <c r="F563" s="14"/>
      <c r="G563" s="212"/>
      <c r="H563" s="28"/>
      <c r="I563" s="103"/>
      <c r="J563" s="28"/>
      <c r="K563" s="14"/>
      <c r="L563" s="14"/>
      <c r="M563" s="212"/>
      <c r="N563" s="219"/>
      <c r="O563" s="212"/>
      <c r="P563" s="14"/>
      <c r="Q563" s="14"/>
      <c r="R563" s="14"/>
      <c r="S563" s="14"/>
      <c r="T563" s="18"/>
      <c r="U563" s="18"/>
      <c r="V563" s="97"/>
    </row>
    <row r="564" spans="1:22" s="14" customFormat="1" ht="18" hidden="1" customHeight="1">
      <c r="A564" s="147" t="s">
        <v>629</v>
      </c>
      <c r="B564" s="5"/>
      <c r="C564" s="5"/>
      <c r="D564" s="5"/>
      <c r="E564" s="5"/>
      <c r="F564" s="212"/>
      <c r="G564" s="212"/>
      <c r="H564" s="5"/>
      <c r="I564" s="5"/>
      <c r="J564" s="5"/>
      <c r="K564" s="5"/>
      <c r="L564" s="103"/>
      <c r="M564" s="103"/>
      <c r="N564" s="103"/>
      <c r="O564" s="103"/>
      <c r="P564" s="212"/>
      <c r="Q564" s="213"/>
      <c r="S564" s="220"/>
      <c r="T564" s="18"/>
      <c r="U564" s="18"/>
      <c r="V564" s="97"/>
    </row>
    <row r="565" spans="1:22" s="14" customFormat="1" ht="18" hidden="1" customHeight="1">
      <c r="A565" s="147"/>
      <c r="B565" s="5"/>
      <c r="C565" s="5"/>
      <c r="D565" s="5"/>
      <c r="E565" s="5"/>
      <c r="F565" s="212"/>
      <c r="G565" s="212"/>
      <c r="H565" s="5"/>
      <c r="I565" s="5"/>
      <c r="J565" s="5"/>
      <c r="K565" s="5"/>
      <c r="L565" s="103"/>
      <c r="M565" s="103"/>
      <c r="N565" s="103"/>
      <c r="O565" s="103"/>
      <c r="P565" s="212"/>
      <c r="Q565" s="213"/>
      <c r="S565" s="214"/>
      <c r="T565" s="18"/>
      <c r="U565" s="18"/>
      <c r="V565" s="97"/>
    </row>
    <row r="566" spans="1:22" ht="18" hidden="1" customHeight="1">
      <c r="A566" s="96" t="s">
        <v>612</v>
      </c>
      <c r="B566" s="14"/>
      <c r="C566" s="14"/>
      <c r="D566" s="14"/>
      <c r="E566" s="14"/>
      <c r="M566" s="120" t="s">
        <v>613</v>
      </c>
      <c r="N566" s="28" t="s">
        <v>127</v>
      </c>
      <c r="O566" s="689" t="s">
        <v>609</v>
      </c>
      <c r="P566" s="716"/>
      <c r="Q566" s="221" t="s">
        <v>630</v>
      </c>
      <c r="R566" s="221">
        <v>16</v>
      </c>
      <c r="S566" s="186"/>
      <c r="V566" s="185"/>
    </row>
    <row r="567" spans="1:22" ht="18" hidden="1" customHeight="1">
      <c r="A567" s="96"/>
      <c r="B567" s="5"/>
      <c r="C567" s="5"/>
      <c r="D567" s="5"/>
      <c r="E567" s="5"/>
      <c r="M567" s="250"/>
      <c r="N567" s="28" t="s">
        <v>127</v>
      </c>
      <c r="O567" s="689">
        <f>+J562</f>
        <v>437.38656756789834</v>
      </c>
      <c r="P567" s="716"/>
      <c r="Q567" s="221" t="s">
        <v>630</v>
      </c>
      <c r="R567" s="221">
        <v>16</v>
      </c>
      <c r="S567" s="186"/>
      <c r="V567" s="185"/>
    </row>
    <row r="568" spans="1:22" s="279" customFormat="1" ht="18" hidden="1" customHeight="1">
      <c r="A568" s="96"/>
      <c r="B568" s="5"/>
      <c r="C568" s="5"/>
      <c r="D568" s="5"/>
      <c r="E568" s="5"/>
      <c r="F568" s="30"/>
      <c r="G568" s="30"/>
      <c r="H568" s="30"/>
      <c r="I568" s="30"/>
      <c r="J568" s="30"/>
      <c r="K568" s="30"/>
      <c r="L568" s="30"/>
      <c r="M568" s="120" t="s">
        <v>613</v>
      </c>
      <c r="N568" s="28" t="s">
        <v>127</v>
      </c>
      <c r="O568" s="689">
        <f>O567*R567</f>
        <v>6998.1850810863734</v>
      </c>
      <c r="P568" s="716"/>
      <c r="Q568" s="241" t="s">
        <v>8</v>
      </c>
      <c r="R568" s="14"/>
      <c r="S568" s="186"/>
      <c r="T568" s="30"/>
      <c r="U568" s="30"/>
      <c r="V568" s="185"/>
    </row>
    <row r="569" spans="1:22" s="279" customFormat="1" ht="18" hidden="1" customHeight="1">
      <c r="A569" s="96"/>
      <c r="B569" s="5"/>
      <c r="C569" s="5"/>
      <c r="D569" s="5"/>
      <c r="E569" s="5"/>
      <c r="F569" s="30"/>
      <c r="G569" s="30"/>
      <c r="H569" s="30"/>
      <c r="I569" s="30"/>
      <c r="J569" s="30"/>
      <c r="K569" s="30"/>
      <c r="L569" s="30"/>
      <c r="M569" s="120"/>
      <c r="N569" s="28"/>
      <c r="O569" s="28"/>
      <c r="P569" s="14"/>
      <c r="Q569" s="241"/>
      <c r="R569" s="14"/>
      <c r="S569" s="186"/>
      <c r="T569" s="30"/>
      <c r="U569" s="30"/>
      <c r="V569" s="185"/>
    </row>
    <row r="570" spans="1:22" s="279" customFormat="1" ht="18" hidden="1" customHeight="1">
      <c r="A570" s="96"/>
      <c r="B570" s="5"/>
      <c r="C570" s="5"/>
      <c r="D570" s="5"/>
      <c r="E570" s="5"/>
      <c r="F570" s="30"/>
      <c r="G570" s="30"/>
      <c r="H570" s="30"/>
      <c r="I570" s="30"/>
      <c r="J570" s="30"/>
      <c r="K570" s="30"/>
      <c r="L570" s="30"/>
      <c r="M570" s="120"/>
      <c r="N570" s="28"/>
      <c r="O570" s="28"/>
      <c r="P570" s="14"/>
      <c r="Q570" s="241"/>
      <c r="R570" s="14"/>
      <c r="S570" s="186"/>
      <c r="T570" s="30"/>
      <c r="U570" s="30"/>
      <c r="V570" s="185"/>
    </row>
    <row r="571" spans="1:22" s="279" customFormat="1" ht="18" hidden="1" customHeight="1">
      <c r="A571" s="96"/>
      <c r="B571" s="5"/>
      <c r="C571" s="5"/>
      <c r="D571" s="5"/>
      <c r="E571" s="5"/>
      <c r="F571" s="30"/>
      <c r="G571" s="30"/>
      <c r="H571" s="30"/>
      <c r="I571" s="30"/>
      <c r="J571" s="30"/>
      <c r="K571" s="30"/>
      <c r="L571" s="30"/>
      <c r="M571" s="120"/>
      <c r="N571" s="28"/>
      <c r="O571" s="28"/>
      <c r="P571" s="14"/>
      <c r="Q571" s="241"/>
      <c r="R571" s="14"/>
      <c r="S571" s="186"/>
      <c r="T571" s="30"/>
      <c r="U571" s="30"/>
      <c r="V571" s="185"/>
    </row>
    <row r="572" spans="1:22" s="279" customFormat="1" ht="18" hidden="1" customHeight="1">
      <c r="A572" s="96"/>
      <c r="B572" s="5"/>
      <c r="C572" s="5"/>
      <c r="D572" s="5"/>
      <c r="E572" s="5"/>
      <c r="F572" s="30"/>
      <c r="G572" s="30"/>
      <c r="H572" s="30"/>
      <c r="I572" s="30"/>
      <c r="J572" s="30"/>
      <c r="K572" s="30"/>
      <c r="L572" s="30"/>
      <c r="M572" s="120"/>
      <c r="N572" s="28"/>
      <c r="O572" s="28"/>
      <c r="P572" s="14"/>
      <c r="Q572" s="241"/>
      <c r="R572" s="14"/>
      <c r="S572" s="186"/>
      <c r="T572" s="30"/>
      <c r="U572" s="30"/>
      <c r="V572" s="185"/>
    </row>
    <row r="573" spans="1:22" s="279" customFormat="1" ht="18" hidden="1" customHeight="1">
      <c r="A573" s="96"/>
      <c r="B573" s="5"/>
      <c r="C573" s="5"/>
      <c r="D573" s="5"/>
      <c r="E573" s="5"/>
      <c r="F573" s="30"/>
      <c r="G573" s="30"/>
      <c r="H573" s="30"/>
      <c r="I573" s="30"/>
      <c r="J573" s="30"/>
      <c r="K573" s="30"/>
      <c r="L573" s="30"/>
      <c r="M573" s="120"/>
      <c r="N573" s="28"/>
      <c r="O573" s="28"/>
      <c r="P573" s="14"/>
      <c r="Q573" s="241"/>
      <c r="R573" s="14"/>
      <c r="S573" s="186"/>
      <c r="T573" s="30"/>
      <c r="U573" s="30"/>
      <c r="V573" s="185"/>
    </row>
    <row r="574" spans="1:22" s="279" customFormat="1" ht="18" hidden="1" customHeight="1">
      <c r="A574" s="194"/>
      <c r="B574" s="195"/>
      <c r="C574" s="195"/>
      <c r="D574" s="195"/>
      <c r="E574" s="195"/>
      <c r="F574" s="195"/>
      <c r="G574" s="195"/>
      <c r="H574" s="195"/>
      <c r="I574" s="195"/>
      <c r="J574" s="195"/>
      <c r="K574" s="195"/>
      <c r="L574" s="195"/>
      <c r="M574" s="195"/>
      <c r="N574" s="195"/>
      <c r="O574" s="195"/>
      <c r="P574" s="195"/>
      <c r="Q574" s="224"/>
      <c r="R574" s="182"/>
      <c r="S574" s="225"/>
      <c r="T574" s="195"/>
      <c r="U574" s="195"/>
      <c r="V574" s="134" t="s">
        <v>552</v>
      </c>
    </row>
    <row r="575" spans="1:22" ht="18" hidden="1" customHeight="1">
      <c r="A575" s="135"/>
      <c r="B575" s="273"/>
      <c r="C575" s="273"/>
      <c r="D575" s="273"/>
      <c r="E575" s="273"/>
      <c r="F575" s="273"/>
      <c r="G575" s="273"/>
      <c r="H575" s="273"/>
      <c r="I575" s="273"/>
      <c r="J575" s="273"/>
      <c r="K575" s="273"/>
      <c r="L575" s="273"/>
      <c r="M575" s="273"/>
      <c r="N575" s="273"/>
      <c r="O575" s="273"/>
      <c r="P575" s="273"/>
      <c r="Q575" s="274"/>
      <c r="R575" s="138"/>
      <c r="S575" s="275"/>
      <c r="T575" s="273"/>
      <c r="U575" s="273"/>
      <c r="V575" s="276"/>
    </row>
    <row r="576" spans="1:22" ht="18" hidden="1" customHeight="1">
      <c r="A576" s="96" t="s">
        <v>686</v>
      </c>
      <c r="V576" s="185"/>
    </row>
    <row r="577" spans="1:22" ht="18" hidden="1" customHeight="1">
      <c r="A577" s="184"/>
      <c r="V577" s="185"/>
    </row>
    <row r="578" spans="1:22" ht="18" hidden="1" customHeight="1">
      <c r="A578" s="277"/>
      <c r="B578" s="689" t="s">
        <v>473</v>
      </c>
      <c r="C578" s="1150" t="s">
        <v>652</v>
      </c>
      <c r="D578" s="279"/>
      <c r="E578" s="279"/>
      <c r="F578" s="279"/>
      <c r="G578" s="802" t="s">
        <v>687</v>
      </c>
      <c r="H578" s="1153" t="s">
        <v>315</v>
      </c>
      <c r="I578" s="708" t="s">
        <v>688</v>
      </c>
      <c r="J578" s="1147"/>
      <c r="K578" s="1147"/>
      <c r="L578" s="1147"/>
      <c r="M578" s="1147"/>
      <c r="N578" s="689" t="s">
        <v>672</v>
      </c>
      <c r="O578" s="708" t="s">
        <v>420</v>
      </c>
      <c r="P578" s="689" t="s">
        <v>347</v>
      </c>
      <c r="Q578" s="708" t="s">
        <v>689</v>
      </c>
      <c r="R578" s="708" t="s">
        <v>674</v>
      </c>
      <c r="S578" s="708" t="s">
        <v>411</v>
      </c>
      <c r="T578" s="14"/>
      <c r="U578" s="729" t="s">
        <v>653</v>
      </c>
      <c r="V578" s="185"/>
    </row>
    <row r="579" spans="1:22" ht="18" hidden="1" customHeight="1">
      <c r="A579" s="277"/>
      <c r="B579" s="689"/>
      <c r="C579" s="689"/>
      <c r="D579" s="279"/>
      <c r="E579" s="279"/>
      <c r="F579" s="279"/>
      <c r="G579" s="802"/>
      <c r="H579" s="689"/>
      <c r="I579" s="689">
        <v>1.3</v>
      </c>
      <c r="J579" s="689"/>
      <c r="K579" s="28" t="s">
        <v>315</v>
      </c>
      <c r="L579" s="689" t="s">
        <v>423</v>
      </c>
      <c r="M579" s="689"/>
      <c r="N579" s="689"/>
      <c r="O579" s="689"/>
      <c r="P579" s="689"/>
      <c r="Q579" s="689"/>
      <c r="R579" s="689"/>
      <c r="S579" s="689"/>
      <c r="T579" s="14"/>
      <c r="U579" s="689"/>
      <c r="V579" s="185"/>
    </row>
    <row r="580" spans="1:22" ht="18" hidden="1" customHeight="1">
      <c r="A580" s="184"/>
      <c r="V580" s="185"/>
    </row>
    <row r="581" spans="1:22" ht="18" hidden="1" customHeight="1">
      <c r="A581" s="184"/>
      <c r="B581" s="47" t="s">
        <v>654</v>
      </c>
      <c r="C581" s="14"/>
      <c r="D581" s="14"/>
      <c r="E581" s="14"/>
      <c r="F581" s="18"/>
      <c r="G581" s="18"/>
      <c r="H581" s="14"/>
      <c r="I581" s="120"/>
      <c r="J581" s="14"/>
      <c r="K581" s="14"/>
      <c r="M581" s="14"/>
      <c r="N581" s="14"/>
      <c r="P581" s="14" t="s">
        <v>423</v>
      </c>
      <c r="R581" s="234" t="s">
        <v>127</v>
      </c>
      <c r="S581" s="684">
        <f>L535</f>
        <v>3000</v>
      </c>
      <c r="T581" s="684"/>
      <c r="U581" s="30" t="s">
        <v>8</v>
      </c>
      <c r="V581" s="185"/>
    </row>
    <row r="582" spans="1:22" ht="18" hidden="1" customHeight="1">
      <c r="A582" s="184"/>
      <c r="B582" s="47" t="s">
        <v>655</v>
      </c>
      <c r="C582" s="14"/>
      <c r="D582" s="14"/>
      <c r="E582" s="14"/>
      <c r="F582" s="18"/>
      <c r="G582" s="18"/>
      <c r="H582" s="14"/>
      <c r="I582" s="120"/>
      <c r="J582" s="14"/>
      <c r="K582" s="14"/>
      <c r="M582" s="14"/>
      <c r="N582" s="14"/>
      <c r="P582" s="14" t="s">
        <v>420</v>
      </c>
      <c r="R582" s="234" t="s">
        <v>127</v>
      </c>
      <c r="S582" s="684">
        <f>L537</f>
        <v>10</v>
      </c>
      <c r="T582" s="684"/>
      <c r="U582" s="192" t="s">
        <v>333</v>
      </c>
      <c r="V582" s="185"/>
    </row>
    <row r="583" spans="1:22" ht="18" hidden="1" customHeight="1">
      <c r="A583" s="184"/>
      <c r="B583" s="47" t="s">
        <v>676</v>
      </c>
      <c r="C583" s="14"/>
      <c r="D583" s="14"/>
      <c r="E583" s="14"/>
      <c r="F583" s="18"/>
      <c r="G583" s="18"/>
      <c r="H583" s="14"/>
      <c r="I583" s="120"/>
      <c r="J583" s="14"/>
      <c r="K583" s="14"/>
      <c r="M583" s="14"/>
      <c r="N583" s="14"/>
      <c r="P583" s="14" t="s">
        <v>690</v>
      </c>
      <c r="R583" s="234" t="s">
        <v>127</v>
      </c>
      <c r="S583" s="795">
        <f>Q554</f>
        <v>1.2667743100000002</v>
      </c>
      <c r="T583" s="795"/>
      <c r="U583" s="192" t="s">
        <v>333</v>
      </c>
      <c r="V583" s="185"/>
    </row>
    <row r="584" spans="1:22" ht="18" hidden="1" customHeight="1">
      <c r="A584" s="184"/>
      <c r="B584" s="47" t="s">
        <v>691</v>
      </c>
      <c r="C584" s="14"/>
      <c r="D584" s="14"/>
      <c r="E584" s="14"/>
      <c r="F584" s="14"/>
      <c r="G584" s="14"/>
      <c r="H584" s="14"/>
      <c r="I584" s="120"/>
      <c r="J584" s="14"/>
      <c r="K584" s="14"/>
      <c r="M584" s="14"/>
      <c r="N584" s="14"/>
      <c r="P584" s="14" t="s">
        <v>411</v>
      </c>
      <c r="R584" s="234" t="s">
        <v>127</v>
      </c>
      <c r="S584" s="684">
        <f>O535</f>
        <v>1</v>
      </c>
      <c r="T584" s="684"/>
      <c r="U584" s="30" t="s">
        <v>8</v>
      </c>
      <c r="V584" s="185"/>
    </row>
    <row r="585" spans="1:22" ht="18" hidden="1" customHeight="1">
      <c r="A585" s="184"/>
      <c r="B585" s="47" t="s">
        <v>678</v>
      </c>
      <c r="C585" s="14"/>
      <c r="D585" s="14"/>
      <c r="E585" s="14"/>
      <c r="F585" s="14"/>
      <c r="G585" s="14"/>
      <c r="H585" s="14"/>
      <c r="I585" s="120"/>
      <c r="J585" s="14"/>
      <c r="K585" s="14"/>
      <c r="M585" s="14"/>
      <c r="N585" s="14"/>
      <c r="P585" s="120" t="s">
        <v>688</v>
      </c>
      <c r="R585" s="234" t="s">
        <v>127</v>
      </c>
      <c r="S585" s="684">
        <f>O568</f>
        <v>6998.1850810863734</v>
      </c>
      <c r="T585" s="684"/>
      <c r="U585" s="30" t="s">
        <v>8</v>
      </c>
      <c r="V585" s="185"/>
    </row>
    <row r="586" spans="1:22" s="279" customFormat="1" ht="18" hidden="1" customHeight="1">
      <c r="A586" s="184"/>
      <c r="B586" s="47" t="s">
        <v>692</v>
      </c>
      <c r="C586" s="14"/>
      <c r="D586" s="14"/>
      <c r="E586" s="14"/>
      <c r="F586" s="14"/>
      <c r="G586" s="14"/>
      <c r="H586" s="14"/>
      <c r="I586" s="120"/>
      <c r="J586" s="14"/>
      <c r="K586" s="14"/>
      <c r="L586" s="30"/>
      <c r="M586" s="14"/>
      <c r="N586" s="14"/>
      <c r="O586" s="30"/>
      <c r="P586" s="120" t="s">
        <v>680</v>
      </c>
      <c r="Q586" s="30"/>
      <c r="R586" s="234" t="s">
        <v>127</v>
      </c>
      <c r="S586" s="795">
        <f>J562</f>
        <v>437.38656756789834</v>
      </c>
      <c r="T586" s="684"/>
      <c r="U586" s="30" t="s">
        <v>8</v>
      </c>
      <c r="V586" s="185"/>
    </row>
    <row r="587" spans="1:22" s="279" customFormat="1" ht="18" hidden="1" customHeight="1">
      <c r="A587" s="184"/>
      <c r="B587" s="47" t="s">
        <v>659</v>
      </c>
      <c r="C587" s="14"/>
      <c r="D587" s="14"/>
      <c r="E587" s="14"/>
      <c r="F587" s="14"/>
      <c r="G587" s="14"/>
      <c r="H587" s="14"/>
      <c r="I587" s="120"/>
      <c r="J587" s="14"/>
      <c r="K587" s="14"/>
      <c r="L587" s="30"/>
      <c r="M587" s="14"/>
      <c r="N587" s="14"/>
      <c r="O587" s="30"/>
      <c r="P587" s="120" t="s">
        <v>660</v>
      </c>
      <c r="Q587" s="30"/>
      <c r="R587" s="234" t="s">
        <v>127</v>
      </c>
      <c r="S587" s="684">
        <f>S499</f>
        <v>1</v>
      </c>
      <c r="T587" s="684"/>
      <c r="U587" s="30" t="s">
        <v>8</v>
      </c>
      <c r="V587" s="185"/>
    </row>
    <row r="588" spans="1:22" ht="18" hidden="1" customHeight="1">
      <c r="A588" s="96"/>
      <c r="B588" s="14"/>
      <c r="C588" s="14"/>
      <c r="D588" s="235"/>
      <c r="E588" s="14"/>
      <c r="F588" s="28"/>
      <c r="G588" s="249"/>
      <c r="H588" s="28"/>
      <c r="I588" s="251"/>
      <c r="J588" s="14"/>
      <c r="K588" s="280"/>
      <c r="M588" s="47"/>
      <c r="N588" s="268"/>
      <c r="P588" s="281"/>
      <c r="R588" s="234"/>
      <c r="S588" s="1148"/>
      <c r="T588" s="723"/>
      <c r="V588" s="185"/>
    </row>
    <row r="589" spans="1:22" ht="18" hidden="1" customHeight="1">
      <c r="A589" s="272" t="s">
        <v>693</v>
      </c>
      <c r="B589" s="14"/>
      <c r="C589" s="14"/>
      <c r="D589" s="14"/>
      <c r="E589" s="14"/>
      <c r="F589" s="14"/>
      <c r="G589" s="14"/>
      <c r="H589" s="28">
        <v>3</v>
      </c>
      <c r="I589" s="47" t="s">
        <v>694</v>
      </c>
      <c r="J589" s="14"/>
      <c r="K589" s="14"/>
      <c r="M589" s="14" t="s">
        <v>337</v>
      </c>
      <c r="N589" s="14"/>
      <c r="P589" s="120"/>
      <c r="R589" s="234"/>
      <c r="S589" s="1149"/>
      <c r="T589" s="723"/>
      <c r="V589" s="185"/>
    </row>
    <row r="590" spans="1:22" ht="18" hidden="1" customHeight="1">
      <c r="A590" s="272"/>
      <c r="B590" s="14"/>
      <c r="C590" s="14"/>
      <c r="D590" s="14"/>
      <c r="E590" s="14"/>
      <c r="F590" s="14"/>
      <c r="G590" s="14"/>
      <c r="H590" s="28"/>
      <c r="I590" s="47"/>
      <c r="J590" s="14"/>
      <c r="K590" s="14"/>
      <c r="M590" s="14"/>
      <c r="N590" s="14"/>
      <c r="P590" s="120"/>
      <c r="R590" s="234"/>
      <c r="S590" s="282"/>
      <c r="V590" s="185"/>
    </row>
    <row r="591" spans="1:22" ht="18" hidden="1" customHeight="1">
      <c r="A591" s="277"/>
      <c r="B591" s="689" t="s">
        <v>703</v>
      </c>
      <c r="C591" s="1150" t="s">
        <v>652</v>
      </c>
      <c r="D591" s="279"/>
      <c r="E591" s="279"/>
      <c r="F591" s="279"/>
      <c r="G591" s="802">
        <f>H589</f>
        <v>3</v>
      </c>
      <c r="H591" s="1151" t="s">
        <v>315</v>
      </c>
      <c r="I591" s="829">
        <f>S585</f>
        <v>6998.1850810863734</v>
      </c>
      <c r="J591" s="1152"/>
      <c r="K591" s="1152"/>
      <c r="L591" s="1152"/>
      <c r="M591" s="1152"/>
      <c r="N591" s="689" t="s">
        <v>672</v>
      </c>
      <c r="O591" s="708">
        <f>S582</f>
        <v>10</v>
      </c>
      <c r="P591" s="689" t="s">
        <v>347</v>
      </c>
      <c r="Q591" s="829">
        <f>S583</f>
        <v>1.2667743100000002</v>
      </c>
      <c r="R591" s="708" t="s">
        <v>674</v>
      </c>
      <c r="S591" s="708">
        <f>S584</f>
        <v>1</v>
      </c>
      <c r="T591" s="14"/>
      <c r="U591" s="729" t="s">
        <v>653</v>
      </c>
      <c r="V591" s="185"/>
    </row>
    <row r="592" spans="1:22" ht="18" hidden="1" customHeight="1">
      <c r="A592" s="277"/>
      <c r="B592" s="689"/>
      <c r="C592" s="689"/>
      <c r="D592" s="279"/>
      <c r="E592" s="279"/>
      <c r="F592" s="279"/>
      <c r="G592" s="802"/>
      <c r="H592" s="684"/>
      <c r="I592" s="689">
        <v>1.3</v>
      </c>
      <c r="J592" s="684"/>
      <c r="K592" s="28" t="s">
        <v>315</v>
      </c>
      <c r="L592" s="689">
        <f>S581</f>
        <v>3000</v>
      </c>
      <c r="M592" s="684"/>
      <c r="N592" s="689"/>
      <c r="O592" s="689"/>
      <c r="P592" s="689"/>
      <c r="Q592" s="689"/>
      <c r="R592" s="689"/>
      <c r="S592" s="689"/>
      <c r="T592" s="14"/>
      <c r="U592" s="689"/>
      <c r="V592" s="185"/>
    </row>
    <row r="593" spans="1:22" ht="18" hidden="1" customHeight="1">
      <c r="A593" s="96"/>
      <c r="B593" s="14"/>
      <c r="C593" s="27" t="s">
        <v>127</v>
      </c>
      <c r="D593" s="812">
        <f>G591*(I591/(I592*L592)*(O591+Q591)*S591)</f>
        <v>60.651516837084017</v>
      </c>
      <c r="E593" s="813"/>
      <c r="F593" s="30" t="s">
        <v>305</v>
      </c>
      <c r="G593" s="14"/>
      <c r="H593" s="14"/>
      <c r="I593" s="14"/>
      <c r="J593" s="14"/>
      <c r="K593" s="14"/>
      <c r="L593" s="14"/>
      <c r="M593" s="14"/>
      <c r="N593" s="14"/>
      <c r="R593" s="234"/>
      <c r="S593" s="204"/>
      <c r="V593" s="185"/>
    </row>
    <row r="594" spans="1:22" ht="18" hidden="1" customHeight="1">
      <c r="A594" s="96"/>
      <c r="B594" s="14"/>
      <c r="G594" s="14"/>
      <c r="H594" s="14"/>
      <c r="I594" s="14"/>
      <c r="J594" s="14"/>
      <c r="K594" s="14"/>
      <c r="L594" s="14"/>
      <c r="M594" s="14"/>
      <c r="N594" s="14"/>
      <c r="R594" s="234"/>
      <c r="S594" s="204"/>
      <c r="V594" s="185"/>
    </row>
    <row r="595" spans="1:22" ht="18" hidden="1" customHeight="1">
      <c r="A595" s="96"/>
      <c r="B595" s="14"/>
      <c r="D595" s="30" t="s">
        <v>475</v>
      </c>
      <c r="G595" s="27" t="str">
        <f>IF(E596&gt;H596,"&gt;","&lt;")</f>
        <v>&gt;</v>
      </c>
      <c r="H595" s="30" t="s">
        <v>477</v>
      </c>
      <c r="M595" s="14"/>
      <c r="N595" s="14"/>
      <c r="R595" s="234"/>
      <c r="S595" s="204"/>
      <c r="V595" s="185"/>
    </row>
    <row r="596" spans="1:22" ht="18" hidden="1" customHeight="1">
      <c r="A596" s="96"/>
      <c r="B596" s="14"/>
      <c r="E596" s="684">
        <f>L538</f>
        <v>800</v>
      </c>
      <c r="F596" s="684"/>
      <c r="G596" s="27" t="str">
        <f>G595</f>
        <v>&gt;</v>
      </c>
      <c r="H596" s="795">
        <f>D593</f>
        <v>60.651516837084017</v>
      </c>
      <c r="I596" s="684"/>
      <c r="M596" s="14"/>
      <c r="N596" s="14"/>
      <c r="R596" s="234"/>
      <c r="S596" s="204"/>
      <c r="V596" s="185"/>
    </row>
    <row r="597" spans="1:22" ht="18" hidden="1" customHeight="1">
      <c r="A597" s="96"/>
      <c r="B597" s="14"/>
      <c r="F597" s="244" t="s">
        <v>478</v>
      </c>
      <c r="H597" s="18" t="str">
        <f>IF(G595="&gt;","Suitably Dimentioned","Under Dimentioned")</f>
        <v>Suitably Dimentioned</v>
      </c>
      <c r="M597" s="14"/>
      <c r="N597" s="14"/>
      <c r="R597" s="234"/>
      <c r="S597" s="204"/>
      <c r="V597" s="185"/>
    </row>
    <row r="598" spans="1:22" ht="18" hidden="1" customHeight="1">
      <c r="A598" s="96"/>
      <c r="B598" s="14"/>
      <c r="G598" s="14"/>
      <c r="H598" s="14"/>
      <c r="I598" s="14"/>
      <c r="J598" s="14"/>
      <c r="K598" s="14"/>
      <c r="L598" s="14"/>
      <c r="M598" s="14"/>
      <c r="N598" s="14"/>
      <c r="R598" s="234"/>
      <c r="S598" s="204"/>
      <c r="V598" s="185"/>
    </row>
    <row r="599" spans="1:22" ht="18" hidden="1" customHeight="1">
      <c r="A599" s="193" t="s">
        <v>695</v>
      </c>
      <c r="B599" s="14"/>
      <c r="G599" s="14"/>
      <c r="H599" s="14"/>
      <c r="I599" s="14"/>
      <c r="J599" s="14"/>
      <c r="K599" s="14"/>
      <c r="L599" s="14"/>
      <c r="M599" s="14"/>
      <c r="N599" s="14"/>
      <c r="R599" s="234"/>
      <c r="S599" s="204"/>
      <c r="V599" s="185"/>
    </row>
    <row r="600" spans="1:22" ht="18" hidden="1" customHeight="1">
      <c r="A600" s="96"/>
      <c r="B600" s="14"/>
      <c r="D600" s="802" t="s">
        <v>696</v>
      </c>
      <c r="E600" s="716"/>
      <c r="F600" s="689" t="s">
        <v>127</v>
      </c>
      <c r="G600" s="708" t="s">
        <v>423</v>
      </c>
      <c r="H600" s="1147"/>
      <c r="I600" s="689" t="s">
        <v>315</v>
      </c>
      <c r="J600" s="708" t="s">
        <v>697</v>
      </c>
      <c r="K600" s="1147"/>
      <c r="L600" s="14"/>
      <c r="M600" s="14"/>
      <c r="N600" s="14"/>
      <c r="R600" s="234"/>
      <c r="S600" s="204"/>
      <c r="V600" s="185"/>
    </row>
    <row r="601" spans="1:22" ht="18" hidden="1" customHeight="1">
      <c r="A601" s="96"/>
      <c r="B601" s="14"/>
      <c r="D601" s="716"/>
      <c r="E601" s="716"/>
      <c r="F601" s="689"/>
      <c r="G601" s="689" t="s">
        <v>680</v>
      </c>
      <c r="H601" s="716"/>
      <c r="I601" s="689"/>
      <c r="J601" s="689" t="s">
        <v>411</v>
      </c>
      <c r="K601" s="716"/>
      <c r="L601" s="14"/>
      <c r="M601" s="14"/>
      <c r="N601" s="14"/>
      <c r="R601" s="234"/>
      <c r="S601" s="204"/>
      <c r="V601" s="185"/>
    </row>
    <row r="602" spans="1:22" ht="18" hidden="1" customHeight="1">
      <c r="A602" s="96"/>
      <c r="B602" s="14"/>
      <c r="D602" s="14"/>
      <c r="E602" s="14"/>
      <c r="F602" s="14"/>
      <c r="G602" s="14"/>
      <c r="H602" s="14"/>
      <c r="I602" s="14"/>
      <c r="J602" s="14"/>
      <c r="K602" s="14"/>
      <c r="L602" s="14"/>
      <c r="M602" s="14"/>
      <c r="N602" s="14"/>
      <c r="R602" s="234"/>
      <c r="S602" s="204"/>
      <c r="V602" s="185"/>
    </row>
    <row r="603" spans="1:22" ht="18" hidden="1" customHeight="1">
      <c r="A603" s="96"/>
      <c r="B603" s="14"/>
      <c r="D603" s="14"/>
      <c r="E603" s="14"/>
      <c r="F603" s="689" t="s">
        <v>127</v>
      </c>
      <c r="G603" s="708">
        <f>S581</f>
        <v>3000</v>
      </c>
      <c r="H603" s="1147"/>
      <c r="I603" s="689" t="s">
        <v>315</v>
      </c>
      <c r="J603" s="708">
        <f>S587</f>
        <v>1</v>
      </c>
      <c r="K603" s="1147"/>
      <c r="L603" s="14"/>
      <c r="M603" s="14"/>
      <c r="N603" s="14"/>
      <c r="R603" s="234"/>
      <c r="S603" s="204"/>
      <c r="V603" s="185"/>
    </row>
    <row r="604" spans="1:22" ht="18" hidden="1" customHeight="1">
      <c r="A604" s="96"/>
      <c r="B604" s="14"/>
      <c r="D604" s="14"/>
      <c r="E604" s="14"/>
      <c r="F604" s="689"/>
      <c r="G604" s="692">
        <f>J562</f>
        <v>437.38656756789834</v>
      </c>
      <c r="H604" s="716"/>
      <c r="I604" s="689"/>
      <c r="J604" s="689">
        <f>S584</f>
        <v>1</v>
      </c>
      <c r="K604" s="716"/>
      <c r="L604" s="14"/>
      <c r="M604" s="14"/>
      <c r="N604" s="14"/>
      <c r="R604" s="234"/>
      <c r="S604" s="204"/>
      <c r="V604" s="185"/>
    </row>
    <row r="605" spans="1:22" ht="18" hidden="1" customHeight="1">
      <c r="A605" s="96"/>
      <c r="B605" s="14"/>
      <c r="D605" s="14"/>
      <c r="E605" s="14"/>
      <c r="F605" s="14"/>
      <c r="G605" s="14"/>
      <c r="H605" s="14"/>
      <c r="I605" s="14"/>
      <c r="J605" s="14"/>
      <c r="K605" s="14"/>
      <c r="L605" s="14"/>
      <c r="M605" s="14"/>
      <c r="N605" s="14"/>
      <c r="R605" s="234"/>
      <c r="S605" s="204"/>
      <c r="V605" s="185"/>
    </row>
    <row r="606" spans="1:22" ht="18" hidden="1" customHeight="1">
      <c r="A606" s="96"/>
      <c r="B606" s="14"/>
      <c r="D606" s="14"/>
      <c r="E606" s="14"/>
      <c r="F606" s="28" t="s">
        <v>127</v>
      </c>
      <c r="G606" s="689">
        <f>(G603/G604)*(J603/J604)</f>
        <v>6.8589211979727533</v>
      </c>
      <c r="H606" s="689"/>
      <c r="I606" s="14"/>
      <c r="J606" s="14"/>
      <c r="K606" s="14"/>
      <c r="L606" s="14"/>
      <c r="M606" s="14"/>
      <c r="N606" s="14"/>
      <c r="R606" s="234"/>
      <c r="S606" s="204"/>
      <c r="V606" s="185"/>
    </row>
    <row r="607" spans="1:22" ht="18" hidden="1" customHeight="1">
      <c r="A607" s="96"/>
      <c r="B607" s="14"/>
      <c r="G607" s="14"/>
      <c r="H607" s="14"/>
      <c r="I607" s="14"/>
      <c r="J607" s="14"/>
      <c r="K607" s="14"/>
      <c r="L607" s="14"/>
      <c r="M607" s="14"/>
      <c r="N607" s="14"/>
      <c r="R607" s="234"/>
      <c r="S607" s="204"/>
      <c r="V607" s="185"/>
    </row>
    <row r="608" spans="1:22" s="14" customFormat="1" ht="18" hidden="1" customHeight="1">
      <c r="A608" s="96"/>
      <c r="C608" s="30"/>
      <c r="D608" s="283" t="s">
        <v>698</v>
      </c>
      <c r="E608" s="284" t="s">
        <v>699</v>
      </c>
      <c r="F608" s="689" t="s">
        <v>696</v>
      </c>
      <c r="G608" s="716"/>
      <c r="H608" s="716"/>
      <c r="I608" s="284" t="s">
        <v>699</v>
      </c>
      <c r="J608" s="28">
        <v>4</v>
      </c>
      <c r="K608" s="30"/>
      <c r="L608" s="279"/>
      <c r="M608" s="120" t="s">
        <v>700</v>
      </c>
      <c r="N608" s="47" t="s">
        <v>701</v>
      </c>
      <c r="O608" s="279"/>
      <c r="P608" s="236"/>
      <c r="Q608" s="236"/>
      <c r="R608" s="234"/>
      <c r="S608" s="204"/>
      <c r="T608" s="30"/>
      <c r="U608" s="30"/>
      <c r="V608" s="185"/>
    </row>
    <row r="609" spans="1:22" ht="18" hidden="1" customHeight="1">
      <c r="A609" s="96"/>
      <c r="B609" s="14"/>
      <c r="D609" s="218">
        <v>0.25</v>
      </c>
      <c r="E609" s="284" t="str">
        <f>IF(D609&lt;=G606,"≤","&gt;")</f>
        <v>≤</v>
      </c>
      <c r="F609" s="688">
        <f>G606</f>
        <v>6.8589211979727533</v>
      </c>
      <c r="G609" s="1145"/>
      <c r="H609" s="688"/>
      <c r="I609" s="284" t="str">
        <f>IF(G606&lt;=J608,"≤","&gt;")</f>
        <v>&gt;</v>
      </c>
      <c r="J609" s="28">
        <f>J608</f>
        <v>4</v>
      </c>
      <c r="L609" s="279"/>
      <c r="M609" s="120"/>
      <c r="N609" s="213"/>
      <c r="O609" s="279"/>
      <c r="P609" s="236"/>
      <c r="Q609" s="236"/>
      <c r="R609" s="234"/>
      <c r="S609" s="204"/>
      <c r="V609" s="185"/>
    </row>
    <row r="610" spans="1:22" ht="18" hidden="1" customHeight="1">
      <c r="A610" s="96"/>
      <c r="B610" s="14"/>
      <c r="G610" s="14"/>
      <c r="H610" s="14"/>
      <c r="I610" s="14"/>
      <c r="J610" s="14"/>
      <c r="K610" s="14"/>
      <c r="L610" s="14"/>
      <c r="M610" s="14"/>
      <c r="N610" s="14"/>
      <c r="R610" s="234"/>
      <c r="S610" s="204"/>
      <c r="V610" s="185"/>
    </row>
    <row r="611" spans="1:22" ht="18" hidden="1" customHeight="1">
      <c r="A611" s="96"/>
      <c r="B611" s="14" t="s">
        <v>702</v>
      </c>
      <c r="G611" s="14"/>
      <c r="H611" s="18" t="str">
        <f>IF(AND(E609="≤",I609="≤")=TRUE,"OK","Not OK")</f>
        <v>Not OK</v>
      </c>
      <c r="I611" s="14"/>
      <c r="J611" s="14"/>
      <c r="K611" s="14"/>
      <c r="L611" s="14"/>
      <c r="M611" s="14"/>
      <c r="N611" s="14"/>
      <c r="R611" s="234"/>
      <c r="S611" s="204"/>
      <c r="V611" s="185"/>
    </row>
    <row r="612" spans="1:22" ht="18" hidden="1" customHeight="1">
      <c r="A612" s="96"/>
      <c r="B612" s="14"/>
      <c r="G612" s="14"/>
      <c r="H612" s="18"/>
      <c r="I612" s="14"/>
      <c r="J612" s="14"/>
      <c r="K612" s="14"/>
      <c r="L612" s="14"/>
      <c r="M612" s="14"/>
      <c r="N612" s="14"/>
      <c r="R612" s="234"/>
      <c r="S612" s="204"/>
      <c r="V612" s="185"/>
    </row>
    <row r="613" spans="1:22" ht="18" hidden="1" customHeight="1">
      <c r="A613" s="96"/>
      <c r="B613" s="14"/>
      <c r="G613" s="14"/>
      <c r="H613" s="18"/>
      <c r="I613" s="14"/>
      <c r="J613" s="14"/>
      <c r="K613" s="14"/>
      <c r="L613" s="14"/>
      <c r="M613" s="14"/>
      <c r="N613" s="14"/>
      <c r="R613" s="234"/>
      <c r="S613" s="204"/>
      <c r="V613" s="185"/>
    </row>
    <row r="614" spans="1:22" ht="18" hidden="1" customHeight="1">
      <c r="A614" s="96"/>
      <c r="B614" s="14"/>
      <c r="G614" s="14"/>
      <c r="H614" s="18"/>
      <c r="I614" s="14"/>
      <c r="J614" s="14"/>
      <c r="K614" s="14"/>
      <c r="L614" s="14"/>
      <c r="M614" s="14"/>
      <c r="N614" s="14"/>
      <c r="R614" s="234"/>
      <c r="S614" s="204"/>
      <c r="V614" s="185"/>
    </row>
    <row r="615" spans="1:22" ht="18" hidden="1" customHeight="1">
      <c r="A615" s="96"/>
      <c r="B615" s="14"/>
      <c r="G615" s="14"/>
      <c r="H615" s="18"/>
      <c r="I615" s="14"/>
      <c r="J615" s="14"/>
      <c r="K615" s="14"/>
      <c r="L615" s="14"/>
      <c r="M615" s="14"/>
      <c r="N615" s="14"/>
      <c r="R615" s="234"/>
      <c r="S615" s="204"/>
      <c r="V615" s="185"/>
    </row>
    <row r="616" spans="1:22" ht="18" hidden="1" customHeight="1">
      <c r="A616" s="96"/>
      <c r="B616" s="14"/>
      <c r="G616" s="14"/>
      <c r="H616" s="18"/>
      <c r="I616" s="14"/>
      <c r="J616" s="14"/>
      <c r="K616" s="14"/>
      <c r="L616" s="14"/>
      <c r="M616" s="14"/>
      <c r="N616" s="14"/>
      <c r="R616" s="234"/>
      <c r="S616" s="204"/>
      <c r="V616" s="185"/>
    </row>
    <row r="617" spans="1:22" ht="18" hidden="1" customHeight="1">
      <c r="A617" s="96"/>
      <c r="B617" s="14"/>
      <c r="G617" s="14"/>
      <c r="H617" s="14"/>
      <c r="I617" s="14"/>
      <c r="J617" s="14"/>
      <c r="K617" s="14"/>
      <c r="L617" s="14"/>
      <c r="M617" s="14"/>
      <c r="N617" s="14"/>
      <c r="R617" s="234"/>
      <c r="S617" s="204"/>
      <c r="V617" s="185"/>
    </row>
    <row r="618" spans="1:22" ht="18" hidden="1" customHeight="1">
      <c r="A618" s="194"/>
      <c r="B618" s="195"/>
      <c r="C618" s="195"/>
      <c r="D618" s="195"/>
      <c r="E618" s="195"/>
      <c r="F618" s="195"/>
      <c r="G618" s="195"/>
      <c r="H618" s="195"/>
      <c r="I618" s="195"/>
      <c r="J618" s="195"/>
      <c r="K618" s="195"/>
      <c r="L618" s="195"/>
      <c r="M618" s="195"/>
      <c r="N618" s="195"/>
      <c r="O618" s="195"/>
      <c r="P618" s="195"/>
      <c r="Q618" s="224"/>
      <c r="R618" s="182"/>
      <c r="S618" s="225"/>
      <c r="T618" s="195"/>
      <c r="U618" s="195"/>
      <c r="V618" s="134" t="s">
        <v>552</v>
      </c>
    </row>
    <row r="619" spans="1:22" ht="18" hidden="1" customHeight="1">
      <c r="A619" s="226"/>
      <c r="B619" s="227"/>
      <c r="C619" s="227"/>
      <c r="D619" s="227"/>
      <c r="E619" s="227"/>
      <c r="F619" s="227"/>
      <c r="G619" s="227"/>
      <c r="H619" s="227"/>
      <c r="I619" s="227"/>
      <c r="J619" s="227"/>
      <c r="K619" s="227"/>
      <c r="L619" s="227"/>
      <c r="M619" s="227"/>
      <c r="N619" s="227"/>
      <c r="O619" s="227"/>
      <c r="P619" s="227"/>
      <c r="Q619" s="227"/>
      <c r="R619" s="227"/>
      <c r="S619" s="227"/>
      <c r="T619" s="227"/>
      <c r="U619" s="227"/>
      <c r="V619" s="228"/>
    </row>
    <row r="620" spans="1:22" ht="18" hidden="1" customHeight="1">
      <c r="A620" s="262" t="s">
        <v>532</v>
      </c>
      <c r="B620" s="14"/>
      <c r="C620" s="14"/>
      <c r="D620" s="120"/>
      <c r="E620" s="120"/>
      <c r="F620" s="18"/>
      <c r="G620" s="18"/>
      <c r="H620" s="14"/>
      <c r="I620" s="14"/>
      <c r="J620" s="14"/>
      <c r="K620" s="14"/>
      <c r="L620" s="14"/>
      <c r="M620" s="14"/>
      <c r="N620" s="14"/>
      <c r="O620" s="14"/>
      <c r="P620" s="28"/>
      <c r="Q620" s="120"/>
      <c r="R620" s="47"/>
      <c r="S620" s="206"/>
      <c r="T620" s="259"/>
      <c r="U620" s="14"/>
      <c r="V620" s="97"/>
    </row>
    <row r="621" spans="1:22" ht="18" hidden="1" customHeight="1">
      <c r="A621" s="955" t="s">
        <v>85</v>
      </c>
      <c r="B621" s="956"/>
      <c r="C621" s="1132"/>
      <c r="D621" s="955" t="s">
        <v>86</v>
      </c>
      <c r="E621" s="1146"/>
      <c r="F621" s="1146"/>
      <c r="G621" s="1132"/>
      <c r="H621" s="955" t="s">
        <v>87</v>
      </c>
      <c r="I621" s="957"/>
      <c r="J621" s="955" t="s">
        <v>88</v>
      </c>
      <c r="K621" s="1132"/>
      <c r="L621" s="955" t="s">
        <v>502</v>
      </c>
      <c r="M621" s="956"/>
      <c r="N621" s="957" t="s">
        <v>556</v>
      </c>
      <c r="O621" s="955" t="s">
        <v>557</v>
      </c>
      <c r="P621" s="956"/>
      <c r="Q621" s="1132"/>
      <c r="R621" s="955" t="s">
        <v>558</v>
      </c>
      <c r="S621" s="1135"/>
      <c r="T621" s="1133"/>
      <c r="U621" s="955" t="s">
        <v>505</v>
      </c>
      <c r="V621" s="1139"/>
    </row>
    <row r="622" spans="1:22" ht="18" hidden="1" customHeight="1">
      <c r="A622" s="1125"/>
      <c r="B622" s="983"/>
      <c r="C622" s="1133"/>
      <c r="D622" s="1136"/>
      <c r="E622" s="1135"/>
      <c r="F622" s="1135"/>
      <c r="G622" s="1133"/>
      <c r="H622" s="1125"/>
      <c r="I622" s="1126"/>
      <c r="J622" s="1136"/>
      <c r="K622" s="1133"/>
      <c r="L622" s="1125"/>
      <c r="M622" s="983"/>
      <c r="N622" s="1126"/>
      <c r="O622" s="1125"/>
      <c r="P622" s="983"/>
      <c r="Q622" s="1133"/>
      <c r="R622" s="1136"/>
      <c r="S622" s="1135"/>
      <c r="T622" s="1133"/>
      <c r="U622" s="1140"/>
      <c r="V622" s="1141"/>
    </row>
    <row r="623" spans="1:22" ht="18" hidden="1" customHeight="1">
      <c r="A623" s="1047"/>
      <c r="B623" s="1048"/>
      <c r="C623" s="1134"/>
      <c r="D623" s="1137"/>
      <c r="E623" s="1138"/>
      <c r="F623" s="1138"/>
      <c r="G623" s="1134"/>
      <c r="H623" s="1047"/>
      <c r="I623" s="1049"/>
      <c r="J623" s="1137"/>
      <c r="K623" s="1134"/>
      <c r="L623" s="1047"/>
      <c r="M623" s="1048"/>
      <c r="N623" s="1049"/>
      <c r="O623" s="1047"/>
      <c r="P623" s="1048"/>
      <c r="Q623" s="1134"/>
      <c r="R623" s="1137"/>
      <c r="S623" s="1138"/>
      <c r="T623" s="1134"/>
      <c r="U623" s="1142"/>
      <c r="V623" s="1143"/>
    </row>
    <row r="624" spans="1:22" ht="18" hidden="1" customHeight="1">
      <c r="A624" s="765" t="str">
        <f>B532</f>
        <v>CT1L1</v>
      </c>
      <c r="B624" s="1144" t="str">
        <f>B533</f>
        <v>CT1L2</v>
      </c>
      <c r="C624" s="871" t="str">
        <f>D532</f>
        <v>Core3</v>
      </c>
      <c r="D624" s="871">
        <f>H447</f>
        <v>5000</v>
      </c>
      <c r="E624" s="871">
        <f>J447</f>
        <v>4000</v>
      </c>
      <c r="F624" s="871">
        <f>L535</f>
        <v>3000</v>
      </c>
      <c r="G624" s="871">
        <f>O447</f>
        <v>1</v>
      </c>
      <c r="H624" s="871">
        <f>'[6]CT-VT Burdens'!S19</f>
        <v>100</v>
      </c>
      <c r="I624" s="1036">
        <f>'[6]CT-VT Burdens'!S10</f>
        <v>4</v>
      </c>
      <c r="J624" s="869" t="str">
        <f>J448</f>
        <v>PX</v>
      </c>
      <c r="K624" s="869"/>
      <c r="L624" s="871">
        <f>H366</f>
        <v>20</v>
      </c>
      <c r="M624" s="871">
        <f>J449</f>
        <v>15</v>
      </c>
      <c r="N624" s="871">
        <f>L537</f>
        <v>10</v>
      </c>
      <c r="O624" s="871">
        <f>H367</f>
        <v>1000</v>
      </c>
      <c r="P624" s="871">
        <f>J450</f>
        <v>800</v>
      </c>
      <c r="Q624" s="871">
        <f>L538</f>
        <v>800</v>
      </c>
      <c r="R624" s="871">
        <f>H368</f>
        <v>20</v>
      </c>
      <c r="S624" s="871">
        <f>J451</f>
        <v>40</v>
      </c>
      <c r="T624" s="871">
        <f>L539</f>
        <v>50</v>
      </c>
      <c r="U624" s="775" t="str">
        <f>D455</f>
        <v>7UT85</v>
      </c>
      <c r="V624" s="776"/>
    </row>
    <row r="625" spans="1:22" ht="18" hidden="1" customHeight="1">
      <c r="A625" s="765" t="str">
        <f>B533</f>
        <v>CT1L2</v>
      </c>
      <c r="B625" s="1144">
        <f>A534</f>
        <v>0</v>
      </c>
      <c r="C625" s="1130"/>
      <c r="D625" s="1130"/>
      <c r="E625" s="1130"/>
      <c r="F625" s="1130"/>
      <c r="G625" s="1130"/>
      <c r="H625" s="1130"/>
      <c r="I625" s="1130"/>
      <c r="J625" s="1129"/>
      <c r="K625" s="1129"/>
      <c r="L625" s="1130"/>
      <c r="M625" s="1130"/>
      <c r="N625" s="1130"/>
      <c r="O625" s="1130"/>
      <c r="P625" s="1130"/>
      <c r="Q625" s="1130"/>
      <c r="R625" s="1130"/>
      <c r="S625" s="1130"/>
      <c r="T625" s="1130"/>
      <c r="U625" s="775"/>
      <c r="V625" s="776"/>
    </row>
    <row r="626" spans="1:22" ht="18" hidden="1" customHeight="1">
      <c r="A626" s="765">
        <f>A534</f>
        <v>0</v>
      </c>
      <c r="B626" s="1144" t="str">
        <f>B535</f>
        <v>CT Ratio:</v>
      </c>
      <c r="C626" s="1131"/>
      <c r="D626" s="1131"/>
      <c r="E626" s="1131"/>
      <c r="F626" s="1131"/>
      <c r="G626" s="1131"/>
      <c r="H626" s="1131"/>
      <c r="I626" s="1131"/>
      <c r="J626" s="1129"/>
      <c r="K626" s="1129"/>
      <c r="L626" s="1131"/>
      <c r="M626" s="1131"/>
      <c r="N626" s="1131"/>
      <c r="O626" s="1131"/>
      <c r="P626" s="1131"/>
      <c r="Q626" s="1131"/>
      <c r="R626" s="1131"/>
      <c r="S626" s="1131"/>
      <c r="T626" s="1131"/>
      <c r="U626" s="775"/>
      <c r="V626" s="776"/>
    </row>
    <row r="627" spans="1:22" ht="18" hidden="1" customHeight="1">
      <c r="A627" s="184"/>
      <c r="V627" s="185"/>
    </row>
    <row r="628" spans="1:22" ht="18" hidden="1" customHeight="1">
      <c r="A628" s="184"/>
      <c r="V628" s="185"/>
    </row>
    <row r="629" spans="1:22" ht="18" hidden="1" customHeight="1">
      <c r="A629" s="184"/>
      <c r="V629" s="185"/>
    </row>
    <row r="630" spans="1:22" ht="18" hidden="1" customHeight="1">
      <c r="A630" s="184"/>
      <c r="V630" s="185"/>
    </row>
    <row r="631" spans="1:22" ht="18" hidden="1" customHeight="1">
      <c r="A631" s="184"/>
      <c r="V631" s="185"/>
    </row>
    <row r="632" spans="1:22" ht="18" hidden="1" customHeight="1">
      <c r="A632" s="184"/>
      <c r="V632" s="185"/>
    </row>
    <row r="633" spans="1:22" ht="18" hidden="1" customHeight="1">
      <c r="A633" s="184"/>
      <c r="V633" s="185"/>
    </row>
    <row r="634" spans="1:22" ht="18" hidden="1" customHeight="1">
      <c r="A634" s="184"/>
      <c r="V634" s="185"/>
    </row>
    <row r="635" spans="1:22" ht="18" hidden="1" customHeight="1">
      <c r="A635" s="184"/>
      <c r="V635" s="185"/>
    </row>
    <row r="636" spans="1:22" ht="18" hidden="1" customHeight="1">
      <c r="A636" s="184"/>
      <c r="V636" s="185"/>
    </row>
    <row r="637" spans="1:22" ht="18" hidden="1" customHeight="1">
      <c r="A637" s="184"/>
      <c r="V637" s="185"/>
    </row>
    <row r="638" spans="1:22" ht="18" hidden="1" customHeight="1">
      <c r="A638" s="184"/>
      <c r="V638" s="185"/>
    </row>
    <row r="639" spans="1:22" ht="18" hidden="1" customHeight="1">
      <c r="A639" s="184"/>
      <c r="V639" s="185"/>
    </row>
    <row r="640" spans="1:22" ht="18" hidden="1" customHeight="1">
      <c r="A640" s="184"/>
      <c r="V640" s="185"/>
    </row>
    <row r="641" spans="1:22" ht="18" hidden="1" customHeight="1">
      <c r="A641" s="184"/>
      <c r="V641" s="185"/>
    </row>
    <row r="642" spans="1:22" ht="18" hidden="1" customHeight="1">
      <c r="A642" s="184"/>
      <c r="V642" s="185"/>
    </row>
    <row r="643" spans="1:22" ht="18" hidden="1" customHeight="1">
      <c r="A643" s="184"/>
      <c r="V643" s="185"/>
    </row>
    <row r="644" spans="1:22" ht="18" hidden="1" customHeight="1">
      <c r="A644" s="184"/>
      <c r="V644" s="185"/>
    </row>
    <row r="645" spans="1:22" ht="18" hidden="1" customHeight="1">
      <c r="A645" s="184"/>
      <c r="V645" s="185"/>
    </row>
    <row r="646" spans="1:22" ht="18" hidden="1" customHeight="1">
      <c r="A646" s="184"/>
      <c r="V646" s="185"/>
    </row>
    <row r="647" spans="1:22" ht="18" hidden="1" customHeight="1">
      <c r="A647" s="184"/>
      <c r="V647" s="185"/>
    </row>
    <row r="648" spans="1:22" ht="18" hidden="1" customHeight="1">
      <c r="A648" s="184"/>
      <c r="V648" s="185"/>
    </row>
    <row r="649" spans="1:22" ht="18" hidden="1" customHeight="1">
      <c r="A649" s="184"/>
      <c r="V649" s="185"/>
    </row>
    <row r="650" spans="1:22" ht="18" hidden="1" customHeight="1">
      <c r="A650" s="184"/>
      <c r="V650" s="185"/>
    </row>
    <row r="651" spans="1:22" ht="18" hidden="1" customHeight="1">
      <c r="A651" s="184"/>
      <c r="V651" s="185"/>
    </row>
    <row r="652" spans="1:22" ht="18" hidden="1" customHeight="1">
      <c r="A652" s="184"/>
      <c r="V652" s="185"/>
    </row>
    <row r="653" spans="1:22" ht="18" hidden="1" customHeight="1">
      <c r="A653" s="184"/>
      <c r="V653" s="185"/>
    </row>
    <row r="654" spans="1:22" ht="18" hidden="1" customHeight="1">
      <c r="A654" s="184"/>
      <c r="V654" s="185"/>
    </row>
    <row r="655" spans="1:22" ht="18" hidden="1" customHeight="1">
      <c r="A655" s="184"/>
      <c r="V655" s="185"/>
    </row>
    <row r="656" spans="1:22" ht="18" hidden="1" customHeight="1">
      <c r="A656" s="184"/>
      <c r="V656" s="185"/>
    </row>
    <row r="657" spans="1:22" s="14" customFormat="1" ht="18" hidden="1" customHeight="1">
      <c r="A657" s="184"/>
      <c r="B657" s="30"/>
      <c r="C657" s="30"/>
      <c r="D657" s="30"/>
      <c r="E657" s="30"/>
      <c r="F657" s="30"/>
      <c r="G657" s="30"/>
      <c r="H657" s="30"/>
      <c r="I657" s="30"/>
      <c r="J657" s="30"/>
      <c r="K657" s="30"/>
      <c r="L657" s="30"/>
      <c r="M657" s="30"/>
      <c r="N657" s="30"/>
      <c r="O657" s="30"/>
      <c r="P657" s="30"/>
      <c r="Q657" s="30"/>
      <c r="R657" s="30"/>
      <c r="S657" s="30"/>
      <c r="T657" s="30"/>
      <c r="U657" s="30"/>
      <c r="V657" s="185"/>
    </row>
    <row r="658" spans="1:22" ht="18" hidden="1" customHeight="1">
      <c r="A658" s="184"/>
      <c r="V658" s="185"/>
    </row>
    <row r="659" spans="1:22" ht="18" hidden="1" customHeight="1">
      <c r="A659" s="184"/>
      <c r="V659" s="185"/>
    </row>
    <row r="660" spans="1:22" ht="18" hidden="1" customHeight="1">
      <c r="A660" s="184"/>
      <c r="V660" s="185"/>
    </row>
    <row r="661" spans="1:22" ht="18" hidden="1" customHeight="1">
      <c r="A661" s="184"/>
      <c r="V661" s="185"/>
    </row>
    <row r="662" spans="1:22" ht="18" hidden="1" customHeight="1">
      <c r="A662" s="194"/>
      <c r="B662" s="195"/>
      <c r="C662" s="195"/>
      <c r="D662" s="195"/>
      <c r="E662" s="195"/>
      <c r="F662" s="195"/>
      <c r="G662" s="195"/>
      <c r="H662" s="195"/>
      <c r="I662" s="195"/>
      <c r="J662" s="195"/>
      <c r="K662" s="195"/>
      <c r="L662" s="195"/>
      <c r="M662" s="195"/>
      <c r="N662" s="195"/>
      <c r="O662" s="195"/>
      <c r="P662" s="195"/>
      <c r="Q662" s="224"/>
      <c r="R662" s="182"/>
      <c r="S662" s="225"/>
      <c r="T662" s="195"/>
      <c r="U662" s="195"/>
      <c r="V662" s="134" t="s">
        <v>552</v>
      </c>
    </row>
  </sheetData>
  <mergeCells count="672">
    <mergeCell ref="B43:B44"/>
    <mergeCell ref="C43:C44"/>
    <mergeCell ref="G43:G44"/>
    <mergeCell ref="H43:H44"/>
    <mergeCell ref="I43:M43"/>
    <mergeCell ref="N43:N44"/>
    <mergeCell ref="O43:O44"/>
    <mergeCell ref="D82:E82"/>
    <mergeCell ref="B57:B58"/>
    <mergeCell ref="C57:C58"/>
    <mergeCell ref="G57:G58"/>
    <mergeCell ref="H57:H58"/>
    <mergeCell ref="D59:E59"/>
    <mergeCell ref="O66:P66"/>
    <mergeCell ref="O67:P67"/>
    <mergeCell ref="I44:M44"/>
    <mergeCell ref="B80:B81"/>
    <mergeCell ref="C80:C81"/>
    <mergeCell ref="G80:G81"/>
    <mergeCell ref="H80:H81"/>
    <mergeCell ref="I80:M80"/>
    <mergeCell ref="N80:N81"/>
    <mergeCell ref="O80:O81"/>
    <mergeCell ref="I70:M70"/>
    <mergeCell ref="S95:T95"/>
    <mergeCell ref="S96:T96"/>
    <mergeCell ref="P57:P58"/>
    <mergeCell ref="Q57:Q58"/>
    <mergeCell ref="R57:R58"/>
    <mergeCell ref="S57:S58"/>
    <mergeCell ref="U57:U58"/>
    <mergeCell ref="Q80:Q81"/>
    <mergeCell ref="R80:R81"/>
    <mergeCell ref="S80:S81"/>
    <mergeCell ref="U80:U81"/>
    <mergeCell ref="S78:T78"/>
    <mergeCell ref="S79:T79"/>
    <mergeCell ref="S72:T72"/>
    <mergeCell ref="S73:T73"/>
    <mergeCell ref="S74:T74"/>
    <mergeCell ref="S75:T75"/>
    <mergeCell ref="S76:T76"/>
    <mergeCell ref="S77:T77"/>
    <mergeCell ref="Q69:Q70"/>
    <mergeCell ref="R69:R70"/>
    <mergeCell ref="S69:S70"/>
    <mergeCell ref="R65:V65"/>
    <mergeCell ref="U69:U70"/>
    <mergeCell ref="O65:P65"/>
    <mergeCell ref="U92:U93"/>
    <mergeCell ref="S94:T94"/>
    <mergeCell ref="H3:N4"/>
    <mergeCell ref="O3:Q3"/>
    <mergeCell ref="R3:V3"/>
    <mergeCell ref="O4:Q4"/>
    <mergeCell ref="R4:V4"/>
    <mergeCell ref="D7:E7"/>
    <mergeCell ref="H7:N7"/>
    <mergeCell ref="T8:U8"/>
    <mergeCell ref="S29:T29"/>
    <mergeCell ref="O31:P31"/>
    <mergeCell ref="O32:P32"/>
    <mergeCell ref="O33:P33"/>
    <mergeCell ref="J35:K35"/>
    <mergeCell ref="J36:K36"/>
    <mergeCell ref="J37:K37"/>
    <mergeCell ref="J22:K22"/>
    <mergeCell ref="D27:E27"/>
    <mergeCell ref="O27:P27"/>
    <mergeCell ref="M29:N29"/>
    <mergeCell ref="P29:Q29"/>
    <mergeCell ref="H1:N1"/>
    <mergeCell ref="O1:Q1"/>
    <mergeCell ref="R1:V1"/>
    <mergeCell ref="H2:N2"/>
    <mergeCell ref="O2:Q2"/>
    <mergeCell ref="R2:V2"/>
    <mergeCell ref="A5:B5"/>
    <mergeCell ref="D5:F5"/>
    <mergeCell ref="H5:N5"/>
    <mergeCell ref="O5:Q5"/>
    <mergeCell ref="R5:V5"/>
    <mergeCell ref="A1:G4"/>
    <mergeCell ref="A9:B9"/>
    <mergeCell ref="C9:D9"/>
    <mergeCell ref="H9:I9"/>
    <mergeCell ref="J9:K9"/>
    <mergeCell ref="L9:M9"/>
    <mergeCell ref="T9:U9"/>
    <mergeCell ref="D8:E8"/>
    <mergeCell ref="B7:C7"/>
    <mergeCell ref="T7:U7"/>
    <mergeCell ref="B8:C8"/>
    <mergeCell ref="AB13:AC13"/>
    <mergeCell ref="H14:I14"/>
    <mergeCell ref="J18:K18"/>
    <mergeCell ref="J19:K19"/>
    <mergeCell ref="J20:K20"/>
    <mergeCell ref="J21:K21"/>
    <mergeCell ref="H10:I10"/>
    <mergeCell ref="J10:K10"/>
    <mergeCell ref="L10:M10"/>
    <mergeCell ref="H11:I11"/>
    <mergeCell ref="H12:I12"/>
    <mergeCell ref="H13:I13"/>
    <mergeCell ref="B132:C132"/>
    <mergeCell ref="H132:M132"/>
    <mergeCell ref="D132:E132"/>
    <mergeCell ref="O41:P41"/>
    <mergeCell ref="O45:P45"/>
    <mergeCell ref="U43:U44"/>
    <mergeCell ref="S49:T49"/>
    <mergeCell ref="S50:T50"/>
    <mergeCell ref="S51:T51"/>
    <mergeCell ref="S52:T52"/>
    <mergeCell ref="S53:T53"/>
    <mergeCell ref="S54:T54"/>
    <mergeCell ref="P43:P44"/>
    <mergeCell ref="Q43:Q44"/>
    <mergeCell ref="R43:R44"/>
    <mergeCell ref="S43:S44"/>
    <mergeCell ref="S55:T55"/>
    <mergeCell ref="S56:T56"/>
    <mergeCell ref="I57:M57"/>
    <mergeCell ref="N57:N58"/>
    <mergeCell ref="O57:O58"/>
    <mergeCell ref="O69:O70"/>
    <mergeCell ref="I58:M58"/>
    <mergeCell ref="P69:P70"/>
    <mergeCell ref="N104:O104"/>
    <mergeCell ref="N105:O105"/>
    <mergeCell ref="G100:H100"/>
    <mergeCell ref="S154:T154"/>
    <mergeCell ref="AB138:AC138"/>
    <mergeCell ref="J139:K139"/>
    <mergeCell ref="J143:K143"/>
    <mergeCell ref="J144:K144"/>
    <mergeCell ref="J145:K145"/>
    <mergeCell ref="J146:K146"/>
    <mergeCell ref="H135:I135"/>
    <mergeCell ref="J135:K135"/>
    <mergeCell ref="L135:M135"/>
    <mergeCell ref="J136:K136"/>
    <mergeCell ref="J137:K137"/>
    <mergeCell ref="J138:K138"/>
    <mergeCell ref="T132:U132"/>
    <mergeCell ref="T133:U133"/>
    <mergeCell ref="H134:I134"/>
    <mergeCell ref="J134:K134"/>
    <mergeCell ref="L134:M134"/>
    <mergeCell ref="T134:U134"/>
    <mergeCell ref="O156:P156"/>
    <mergeCell ref="O157:P157"/>
    <mergeCell ref="O158:P158"/>
    <mergeCell ref="J160:K160"/>
    <mergeCell ref="J161:K161"/>
    <mergeCell ref="J162:K162"/>
    <mergeCell ref="J147:K147"/>
    <mergeCell ref="D152:E152"/>
    <mergeCell ref="O152:P152"/>
    <mergeCell ref="M154:N154"/>
    <mergeCell ref="P154:Q154"/>
    <mergeCell ref="U174:U175"/>
    <mergeCell ref="I175:J175"/>
    <mergeCell ref="L175:M175"/>
    <mergeCell ref="O166:P166"/>
    <mergeCell ref="O167:P167"/>
    <mergeCell ref="O168:P168"/>
    <mergeCell ref="B174:B175"/>
    <mergeCell ref="C174:C175"/>
    <mergeCell ref="G174:G175"/>
    <mergeCell ref="H174:H175"/>
    <mergeCell ref="I174:M174"/>
    <mergeCell ref="N174:N175"/>
    <mergeCell ref="O174:O175"/>
    <mergeCell ref="S177:T177"/>
    <mergeCell ref="S178:T178"/>
    <mergeCell ref="S179:T179"/>
    <mergeCell ref="S180:T180"/>
    <mergeCell ref="S181:T181"/>
    <mergeCell ref="S182:T182"/>
    <mergeCell ref="P174:P175"/>
    <mergeCell ref="Q174:Q175"/>
    <mergeCell ref="R174:R175"/>
    <mergeCell ref="S174:S175"/>
    <mergeCell ref="R187:R188"/>
    <mergeCell ref="S187:S188"/>
    <mergeCell ref="U187:U188"/>
    <mergeCell ref="I188:J188"/>
    <mergeCell ref="L188:M188"/>
    <mergeCell ref="S183:T183"/>
    <mergeCell ref="S184:T184"/>
    <mergeCell ref="S185:T185"/>
    <mergeCell ref="B187:B188"/>
    <mergeCell ref="C187:C188"/>
    <mergeCell ref="G187:G188"/>
    <mergeCell ref="H187:H188"/>
    <mergeCell ref="I187:M187"/>
    <mergeCell ref="N187:N188"/>
    <mergeCell ref="O187:O188"/>
    <mergeCell ref="D189:E189"/>
    <mergeCell ref="E192:F192"/>
    <mergeCell ref="H192:I192"/>
    <mergeCell ref="D196:E197"/>
    <mergeCell ref="F196:F197"/>
    <mergeCell ref="G196:H196"/>
    <mergeCell ref="I196:I197"/>
    <mergeCell ref="P187:P188"/>
    <mergeCell ref="Q187:Q188"/>
    <mergeCell ref="J196:K196"/>
    <mergeCell ref="G197:H197"/>
    <mergeCell ref="J197:K197"/>
    <mergeCell ref="T228:U228"/>
    <mergeCell ref="G202:H202"/>
    <mergeCell ref="F204:H204"/>
    <mergeCell ref="F205:H205"/>
    <mergeCell ref="B226:C226"/>
    <mergeCell ref="D226:E227"/>
    <mergeCell ref="H226:M226"/>
    <mergeCell ref="F199:F200"/>
    <mergeCell ref="G199:H199"/>
    <mergeCell ref="I199:I200"/>
    <mergeCell ref="J199:K199"/>
    <mergeCell ref="G200:H200"/>
    <mergeCell ref="J200:K200"/>
    <mergeCell ref="T226:U226"/>
    <mergeCell ref="B227:C227"/>
    <mergeCell ref="T227:U227"/>
    <mergeCell ref="H229:I229"/>
    <mergeCell ref="J229:K229"/>
    <mergeCell ref="L229:M229"/>
    <mergeCell ref="L230:M230"/>
    <mergeCell ref="L231:M231"/>
    <mergeCell ref="L232:M232"/>
    <mergeCell ref="H228:I228"/>
    <mergeCell ref="J228:K228"/>
    <mergeCell ref="L228:M228"/>
    <mergeCell ref="J241:K241"/>
    <mergeCell ref="D246:E246"/>
    <mergeCell ref="O246:P246"/>
    <mergeCell ref="M248:N248"/>
    <mergeCell ref="P248:Q248"/>
    <mergeCell ref="S248:T248"/>
    <mergeCell ref="AB232:AC232"/>
    <mergeCell ref="L233:M233"/>
    <mergeCell ref="J237:K237"/>
    <mergeCell ref="J238:K238"/>
    <mergeCell ref="J239:K239"/>
    <mergeCell ref="J240:K240"/>
    <mergeCell ref="U272:U273"/>
    <mergeCell ref="I273:J273"/>
    <mergeCell ref="L273:M273"/>
    <mergeCell ref="O260:P260"/>
    <mergeCell ref="O261:P261"/>
    <mergeCell ref="O262:P262"/>
    <mergeCell ref="B272:B273"/>
    <mergeCell ref="C272:C273"/>
    <mergeCell ref="G272:G273"/>
    <mergeCell ref="H272:H273"/>
    <mergeCell ref="I272:M272"/>
    <mergeCell ref="N272:N273"/>
    <mergeCell ref="O272:O273"/>
    <mergeCell ref="S275:T275"/>
    <mergeCell ref="S276:T276"/>
    <mergeCell ref="S277:T277"/>
    <mergeCell ref="S278:T278"/>
    <mergeCell ref="S279:T279"/>
    <mergeCell ref="S280:T280"/>
    <mergeCell ref="P272:P273"/>
    <mergeCell ref="Q272:Q273"/>
    <mergeCell ref="R272:R273"/>
    <mergeCell ref="S272:S273"/>
    <mergeCell ref="Q285:Q286"/>
    <mergeCell ref="R285:R286"/>
    <mergeCell ref="S285:S286"/>
    <mergeCell ref="U285:U286"/>
    <mergeCell ref="I286:J286"/>
    <mergeCell ref="L286:M286"/>
    <mergeCell ref="S281:T281"/>
    <mergeCell ref="S282:T282"/>
    <mergeCell ref="S283:T283"/>
    <mergeCell ref="I285:M285"/>
    <mergeCell ref="N285:N286"/>
    <mergeCell ref="O285:O286"/>
    <mergeCell ref="S316:V319"/>
    <mergeCell ref="K316:L319"/>
    <mergeCell ref="I320:J322"/>
    <mergeCell ref="K320:L320"/>
    <mergeCell ref="M320:N320"/>
    <mergeCell ref="G300:H300"/>
    <mergeCell ref="F302:H302"/>
    <mergeCell ref="F303:H303"/>
    <mergeCell ref="J294:K294"/>
    <mergeCell ref="G295:H295"/>
    <mergeCell ref="J295:K295"/>
    <mergeCell ref="F297:F298"/>
    <mergeCell ref="G297:H297"/>
    <mergeCell ref="I297:I298"/>
    <mergeCell ref="J297:K297"/>
    <mergeCell ref="G298:H298"/>
    <mergeCell ref="J298:K298"/>
    <mergeCell ref="O316:P319"/>
    <mergeCell ref="Q316:R319"/>
    <mergeCell ref="O322:P322"/>
    <mergeCell ref="S322:V322"/>
    <mergeCell ref="F294:F295"/>
    <mergeCell ref="G294:H294"/>
    <mergeCell ref="I294:I295"/>
    <mergeCell ref="A357:G358"/>
    <mergeCell ref="H357:N358"/>
    <mergeCell ref="O357:Q357"/>
    <mergeCell ref="R357:V357"/>
    <mergeCell ref="O358:Q358"/>
    <mergeCell ref="R358:V358"/>
    <mergeCell ref="A355:G356"/>
    <mergeCell ref="H355:N355"/>
    <mergeCell ref="O355:Q355"/>
    <mergeCell ref="R355:V355"/>
    <mergeCell ref="H356:N356"/>
    <mergeCell ref="O356:Q356"/>
    <mergeCell ref="R356:V356"/>
    <mergeCell ref="A359:B359"/>
    <mergeCell ref="D359:F359"/>
    <mergeCell ref="H359:N359"/>
    <mergeCell ref="O359:Q359"/>
    <mergeCell ref="R359:V359"/>
    <mergeCell ref="B361:C361"/>
    <mergeCell ref="D361:E362"/>
    <mergeCell ref="H361:M361"/>
    <mergeCell ref="T361:U361"/>
    <mergeCell ref="B362:C362"/>
    <mergeCell ref="D381:E381"/>
    <mergeCell ref="O381:P381"/>
    <mergeCell ref="H365:I365"/>
    <mergeCell ref="H366:I366"/>
    <mergeCell ref="H367:I367"/>
    <mergeCell ref="AB367:AC367"/>
    <mergeCell ref="H368:I368"/>
    <mergeCell ref="J372:K372"/>
    <mergeCell ref="T362:U362"/>
    <mergeCell ref="H363:I363"/>
    <mergeCell ref="J363:K363"/>
    <mergeCell ref="L363:M363"/>
    <mergeCell ref="T363:U363"/>
    <mergeCell ref="H364:I364"/>
    <mergeCell ref="J364:K364"/>
    <mergeCell ref="L364:M364"/>
    <mergeCell ref="O385:P385"/>
    <mergeCell ref="O386:P386"/>
    <mergeCell ref="O387:P387"/>
    <mergeCell ref="J389:K389"/>
    <mergeCell ref="J390:K390"/>
    <mergeCell ref="J391:K391"/>
    <mergeCell ref="J373:K373"/>
    <mergeCell ref="J374:K374"/>
    <mergeCell ref="J375:K375"/>
    <mergeCell ref="J376:K376"/>
    <mergeCell ref="U402:U403"/>
    <mergeCell ref="I403:J403"/>
    <mergeCell ref="L403:M403"/>
    <mergeCell ref="O395:P395"/>
    <mergeCell ref="O396:P396"/>
    <mergeCell ref="O397:P397"/>
    <mergeCell ref="B402:B403"/>
    <mergeCell ref="C402:C403"/>
    <mergeCell ref="G402:G403"/>
    <mergeCell ref="H402:H403"/>
    <mergeCell ref="I402:M402"/>
    <mergeCell ref="N402:N403"/>
    <mergeCell ref="O402:O403"/>
    <mergeCell ref="S405:T405"/>
    <mergeCell ref="S406:T406"/>
    <mergeCell ref="S407:T407"/>
    <mergeCell ref="S408:T408"/>
    <mergeCell ref="S409:T409"/>
    <mergeCell ref="S410:T410"/>
    <mergeCell ref="P402:P403"/>
    <mergeCell ref="Q402:Q403"/>
    <mergeCell ref="R402:R403"/>
    <mergeCell ref="S402:S403"/>
    <mergeCell ref="R415:R416"/>
    <mergeCell ref="S415:S416"/>
    <mergeCell ref="U415:U416"/>
    <mergeCell ref="I416:J416"/>
    <mergeCell ref="L416:M416"/>
    <mergeCell ref="S411:T411"/>
    <mergeCell ref="S412:T412"/>
    <mergeCell ref="S413:T413"/>
    <mergeCell ref="B415:B416"/>
    <mergeCell ref="C415:C416"/>
    <mergeCell ref="G415:G416"/>
    <mergeCell ref="H415:H416"/>
    <mergeCell ref="I415:M415"/>
    <mergeCell ref="N415:N416"/>
    <mergeCell ref="O415:O416"/>
    <mergeCell ref="D417:E417"/>
    <mergeCell ref="E420:F420"/>
    <mergeCell ref="H420:I420"/>
    <mergeCell ref="D424:E425"/>
    <mergeCell ref="F424:F425"/>
    <mergeCell ref="G424:H424"/>
    <mergeCell ref="I424:I425"/>
    <mergeCell ref="P415:P416"/>
    <mergeCell ref="Q415:Q416"/>
    <mergeCell ref="J424:K424"/>
    <mergeCell ref="G425:H425"/>
    <mergeCell ref="J425:K425"/>
    <mergeCell ref="F427:F428"/>
    <mergeCell ref="G427:H427"/>
    <mergeCell ref="I427:I428"/>
    <mergeCell ref="J427:K427"/>
    <mergeCell ref="G428:H428"/>
    <mergeCell ref="J428:K428"/>
    <mergeCell ref="T444:U444"/>
    <mergeCell ref="B445:C445"/>
    <mergeCell ref="T445:U445"/>
    <mergeCell ref="H446:I446"/>
    <mergeCell ref="J446:K446"/>
    <mergeCell ref="L446:M446"/>
    <mergeCell ref="T446:U446"/>
    <mergeCell ref="G430:H430"/>
    <mergeCell ref="F432:H432"/>
    <mergeCell ref="F433:H433"/>
    <mergeCell ref="B444:C444"/>
    <mergeCell ref="D444:E445"/>
    <mergeCell ref="H444:M444"/>
    <mergeCell ref="AB450:AC450"/>
    <mergeCell ref="J451:K451"/>
    <mergeCell ref="J455:K455"/>
    <mergeCell ref="J456:K456"/>
    <mergeCell ref="J457:K457"/>
    <mergeCell ref="J458:K458"/>
    <mergeCell ref="H447:I447"/>
    <mergeCell ref="J447:K447"/>
    <mergeCell ref="L447:M447"/>
    <mergeCell ref="J448:K448"/>
    <mergeCell ref="J449:K449"/>
    <mergeCell ref="J450:K450"/>
    <mergeCell ref="J472:K472"/>
    <mergeCell ref="J473:K473"/>
    <mergeCell ref="J474:K474"/>
    <mergeCell ref="O478:P478"/>
    <mergeCell ref="O479:P479"/>
    <mergeCell ref="O480:P480"/>
    <mergeCell ref="J459:K459"/>
    <mergeCell ref="D464:E464"/>
    <mergeCell ref="O464:P464"/>
    <mergeCell ref="O468:P468"/>
    <mergeCell ref="O469:P469"/>
    <mergeCell ref="O470:P470"/>
    <mergeCell ref="U490:U491"/>
    <mergeCell ref="B490:B491"/>
    <mergeCell ref="C490:C491"/>
    <mergeCell ref="G490:G491"/>
    <mergeCell ref="H490:H491"/>
    <mergeCell ref="I490:M490"/>
    <mergeCell ref="N490:N491"/>
    <mergeCell ref="I491:J491"/>
    <mergeCell ref="L491:M491"/>
    <mergeCell ref="S493:T493"/>
    <mergeCell ref="S494:T494"/>
    <mergeCell ref="S495:T495"/>
    <mergeCell ref="S496:T496"/>
    <mergeCell ref="S497:T497"/>
    <mergeCell ref="S498:T498"/>
    <mergeCell ref="O490:O491"/>
    <mergeCell ref="P490:P491"/>
    <mergeCell ref="Q490:Q491"/>
    <mergeCell ref="R490:R491"/>
    <mergeCell ref="S490:S491"/>
    <mergeCell ref="R503:R504"/>
    <mergeCell ref="S503:S504"/>
    <mergeCell ref="U503:U504"/>
    <mergeCell ref="I504:J504"/>
    <mergeCell ref="L504:M504"/>
    <mergeCell ref="S499:T499"/>
    <mergeCell ref="S500:T500"/>
    <mergeCell ref="S501:T501"/>
    <mergeCell ref="B503:B504"/>
    <mergeCell ref="C503:C504"/>
    <mergeCell ref="G503:G504"/>
    <mergeCell ref="H503:H504"/>
    <mergeCell ref="I503:M503"/>
    <mergeCell ref="N503:N504"/>
    <mergeCell ref="O503:O504"/>
    <mergeCell ref="D505:E505"/>
    <mergeCell ref="E508:F508"/>
    <mergeCell ref="H508:I508"/>
    <mergeCell ref="D512:E513"/>
    <mergeCell ref="F512:F513"/>
    <mergeCell ref="G512:H512"/>
    <mergeCell ref="I512:I513"/>
    <mergeCell ref="P503:P504"/>
    <mergeCell ref="Q503:Q504"/>
    <mergeCell ref="J512:K512"/>
    <mergeCell ref="G513:H513"/>
    <mergeCell ref="J513:K513"/>
    <mergeCell ref="F515:F516"/>
    <mergeCell ref="G515:H515"/>
    <mergeCell ref="I515:I516"/>
    <mergeCell ref="J515:K515"/>
    <mergeCell ref="G516:H516"/>
    <mergeCell ref="J516:K516"/>
    <mergeCell ref="T532:U532"/>
    <mergeCell ref="B533:C533"/>
    <mergeCell ref="T533:U533"/>
    <mergeCell ref="H534:I534"/>
    <mergeCell ref="J534:K534"/>
    <mergeCell ref="L534:M534"/>
    <mergeCell ref="T534:U534"/>
    <mergeCell ref="G518:H518"/>
    <mergeCell ref="F520:H520"/>
    <mergeCell ref="F521:H521"/>
    <mergeCell ref="B532:C532"/>
    <mergeCell ref="D532:E533"/>
    <mergeCell ref="H532:M532"/>
    <mergeCell ref="AB538:AC538"/>
    <mergeCell ref="L539:M539"/>
    <mergeCell ref="J543:K543"/>
    <mergeCell ref="J544:K544"/>
    <mergeCell ref="J545:K545"/>
    <mergeCell ref="J546:K546"/>
    <mergeCell ref="H535:I535"/>
    <mergeCell ref="J535:K535"/>
    <mergeCell ref="L535:M535"/>
    <mergeCell ref="L536:M536"/>
    <mergeCell ref="L537:M537"/>
    <mergeCell ref="L538:M538"/>
    <mergeCell ref="J560:K560"/>
    <mergeCell ref="J561:K561"/>
    <mergeCell ref="J562:K562"/>
    <mergeCell ref="O566:P566"/>
    <mergeCell ref="O567:P567"/>
    <mergeCell ref="O568:P568"/>
    <mergeCell ref="J547:K547"/>
    <mergeCell ref="D552:E552"/>
    <mergeCell ref="O552:P552"/>
    <mergeCell ref="O556:P556"/>
    <mergeCell ref="O557:P557"/>
    <mergeCell ref="O558:P558"/>
    <mergeCell ref="O578:O579"/>
    <mergeCell ref="P578:P579"/>
    <mergeCell ref="Q578:Q579"/>
    <mergeCell ref="R578:R579"/>
    <mergeCell ref="S578:S579"/>
    <mergeCell ref="U578:U579"/>
    <mergeCell ref="B578:B579"/>
    <mergeCell ref="C578:C579"/>
    <mergeCell ref="G578:G579"/>
    <mergeCell ref="H578:H579"/>
    <mergeCell ref="I578:M578"/>
    <mergeCell ref="N578:N579"/>
    <mergeCell ref="I579:J579"/>
    <mergeCell ref="L579:M579"/>
    <mergeCell ref="B591:B592"/>
    <mergeCell ref="C591:C592"/>
    <mergeCell ref="G591:G592"/>
    <mergeCell ref="H591:H592"/>
    <mergeCell ref="I591:M591"/>
    <mergeCell ref="N591:N592"/>
    <mergeCell ref="O591:O592"/>
    <mergeCell ref="S581:T581"/>
    <mergeCell ref="S582:T582"/>
    <mergeCell ref="S583:T583"/>
    <mergeCell ref="S584:T584"/>
    <mergeCell ref="S585:T585"/>
    <mergeCell ref="S586:T586"/>
    <mergeCell ref="P591:P592"/>
    <mergeCell ref="Q591:Q592"/>
    <mergeCell ref="R591:R592"/>
    <mergeCell ref="S591:S592"/>
    <mergeCell ref="U591:U592"/>
    <mergeCell ref="I592:J592"/>
    <mergeCell ref="L592:M592"/>
    <mergeCell ref="S587:T587"/>
    <mergeCell ref="S588:T588"/>
    <mergeCell ref="S589:T589"/>
    <mergeCell ref="I603:I604"/>
    <mergeCell ref="J603:K603"/>
    <mergeCell ref="G604:H604"/>
    <mergeCell ref="J604:K604"/>
    <mergeCell ref="J621:K623"/>
    <mergeCell ref="D593:E593"/>
    <mergeCell ref="E596:F596"/>
    <mergeCell ref="H596:I596"/>
    <mergeCell ref="D600:E601"/>
    <mergeCell ref="F600:F601"/>
    <mergeCell ref="G600:H600"/>
    <mergeCell ref="I600:I601"/>
    <mergeCell ref="O621:Q623"/>
    <mergeCell ref="R621:T623"/>
    <mergeCell ref="U621:V623"/>
    <mergeCell ref="A624:B624"/>
    <mergeCell ref="C624:C626"/>
    <mergeCell ref="D624:D626"/>
    <mergeCell ref="E624:E626"/>
    <mergeCell ref="F624:F626"/>
    <mergeCell ref="T624:T626"/>
    <mergeCell ref="U624:V624"/>
    <mergeCell ref="A625:B625"/>
    <mergeCell ref="U625:V625"/>
    <mergeCell ref="A626:B626"/>
    <mergeCell ref="U626:V626"/>
    <mergeCell ref="N624:N626"/>
    <mergeCell ref="O624:O626"/>
    <mergeCell ref="P624:P626"/>
    <mergeCell ref="Q624:Q626"/>
    <mergeCell ref="R624:R626"/>
    <mergeCell ref="S624:S626"/>
    <mergeCell ref="G624:G626"/>
    <mergeCell ref="H624:H626"/>
    <mergeCell ref="I624:I626"/>
    <mergeCell ref="A621:C623"/>
    <mergeCell ref="J624:K626"/>
    <mergeCell ref="L624:L626"/>
    <mergeCell ref="M624:M626"/>
    <mergeCell ref="B69:B70"/>
    <mergeCell ref="C69:C70"/>
    <mergeCell ref="G69:G70"/>
    <mergeCell ref="H69:H70"/>
    <mergeCell ref="I69:M69"/>
    <mergeCell ref="N69:N70"/>
    <mergeCell ref="G316:H319"/>
    <mergeCell ref="I316:J319"/>
    <mergeCell ref="M316:N319"/>
    <mergeCell ref="M322:N322"/>
    <mergeCell ref="L621:N623"/>
    <mergeCell ref="G606:H606"/>
    <mergeCell ref="F608:H608"/>
    <mergeCell ref="F609:H609"/>
    <mergeCell ref="D621:G623"/>
    <mergeCell ref="H621:I623"/>
    <mergeCell ref="J600:K600"/>
    <mergeCell ref="G601:H601"/>
    <mergeCell ref="J601:K601"/>
    <mergeCell ref="F603:F604"/>
    <mergeCell ref="G603:H603"/>
    <mergeCell ref="I81:M81"/>
    <mergeCell ref="A320:A322"/>
    <mergeCell ref="B320:C322"/>
    <mergeCell ref="D320:E320"/>
    <mergeCell ref="F320:F322"/>
    <mergeCell ref="G320:G322"/>
    <mergeCell ref="H320:H322"/>
    <mergeCell ref="P80:P81"/>
    <mergeCell ref="A316:C319"/>
    <mergeCell ref="D316:F319"/>
    <mergeCell ref="D287:E287"/>
    <mergeCell ref="E290:F290"/>
    <mergeCell ref="H290:I290"/>
    <mergeCell ref="D294:E295"/>
    <mergeCell ref="P285:P286"/>
    <mergeCell ref="B285:B286"/>
    <mergeCell ref="C285:C286"/>
    <mergeCell ref="G285:G286"/>
    <mergeCell ref="H285:H286"/>
    <mergeCell ref="O250:P250"/>
    <mergeCell ref="O251:P251"/>
    <mergeCell ref="O252:P252"/>
    <mergeCell ref="J254:K254"/>
    <mergeCell ref="J255:K255"/>
    <mergeCell ref="J256:K256"/>
    <mergeCell ref="O320:P320"/>
    <mergeCell ref="Q320:R322"/>
    <mergeCell ref="S320:V320"/>
    <mergeCell ref="D321:E321"/>
    <mergeCell ref="K321:L321"/>
    <mergeCell ref="M321:N321"/>
    <mergeCell ref="O321:P321"/>
    <mergeCell ref="S321:V321"/>
    <mergeCell ref="D322:E322"/>
    <mergeCell ref="K322:L322"/>
  </mergeCells>
  <conditionalFormatting sqref="H63 H193 H291 H421 H509 H597">
    <cfRule type="cellIs" dxfId="197" priority="2" stopIfTrue="1" operator="equal">
      <formula>"Under Dimentioned"</formula>
    </cfRule>
  </conditionalFormatting>
  <conditionalFormatting sqref="H107:H129">
    <cfRule type="cellIs" dxfId="196" priority="1" stopIfTrue="1" operator="equal">
      <formula>"Under Dimentioned"</formula>
    </cfRule>
  </conditionalFormatting>
  <conditionalFormatting sqref="H207:H222 H305:H310 H435:H440 H523:H528 H611:H616">
    <cfRule type="cellIs" dxfId="195" priority="3" stopIfTrue="1" operator="equal">
      <formula>"Not OK"</formula>
    </cfRule>
  </conditionalFormatting>
  <dataValidations count="1">
    <dataValidation type="list" allowBlank="1" showInputMessage="1" showErrorMessage="1" sqref="D532 IZ532 SV532 ACR532 AMN532 AWJ532 BGF532 BQB532 BZX532 CJT532 CTP532 DDL532 DNH532 DXD532 EGZ532 EQV532 FAR532 FKN532 FUJ532 GEF532 GOB532 GXX532 HHT532 HRP532 IBL532 ILH532 IVD532 JEZ532 JOV532 JYR532 KIN532 KSJ532 LCF532 LMB532 LVX532 MFT532 MPP532 MZL532 NJH532 NTD532 OCZ532 OMV532 OWR532 PGN532 PQJ532 QAF532 QKB532 QTX532 RDT532 RNP532 RXL532 SHH532 SRD532 TAZ532 TKV532 TUR532 UEN532 UOJ532 UYF532 VIB532 VRX532 WBT532 WLP532 WVL532 D66068 IZ66068 SV66068 ACR66068 AMN66068 AWJ66068 BGF66068 BQB66068 BZX66068 CJT66068 CTP66068 DDL66068 DNH66068 DXD66068 EGZ66068 EQV66068 FAR66068 FKN66068 FUJ66068 GEF66068 GOB66068 GXX66068 HHT66068 HRP66068 IBL66068 ILH66068 IVD66068 JEZ66068 JOV66068 JYR66068 KIN66068 KSJ66068 LCF66068 LMB66068 LVX66068 MFT66068 MPP66068 MZL66068 NJH66068 NTD66068 OCZ66068 OMV66068 OWR66068 PGN66068 PQJ66068 QAF66068 QKB66068 QTX66068 RDT66068 RNP66068 RXL66068 SHH66068 SRD66068 TAZ66068 TKV66068 TUR66068 UEN66068 UOJ66068 UYF66068 VIB66068 VRX66068 WBT66068 WLP66068 WVL66068 D131604 IZ131604 SV131604 ACR131604 AMN131604 AWJ131604 BGF131604 BQB131604 BZX131604 CJT131604 CTP131604 DDL131604 DNH131604 DXD131604 EGZ131604 EQV131604 FAR131604 FKN131604 FUJ131604 GEF131604 GOB131604 GXX131604 HHT131604 HRP131604 IBL131604 ILH131604 IVD131604 JEZ131604 JOV131604 JYR131604 KIN131604 KSJ131604 LCF131604 LMB131604 LVX131604 MFT131604 MPP131604 MZL131604 NJH131604 NTD131604 OCZ131604 OMV131604 OWR131604 PGN131604 PQJ131604 QAF131604 QKB131604 QTX131604 RDT131604 RNP131604 RXL131604 SHH131604 SRD131604 TAZ131604 TKV131604 TUR131604 UEN131604 UOJ131604 UYF131604 VIB131604 VRX131604 WBT131604 WLP131604 WVL131604 D197140 IZ197140 SV197140 ACR197140 AMN197140 AWJ197140 BGF197140 BQB197140 BZX197140 CJT197140 CTP197140 DDL197140 DNH197140 DXD197140 EGZ197140 EQV197140 FAR197140 FKN197140 FUJ197140 GEF197140 GOB197140 GXX197140 HHT197140 HRP197140 IBL197140 ILH197140 IVD197140 JEZ197140 JOV197140 JYR197140 KIN197140 KSJ197140 LCF197140 LMB197140 LVX197140 MFT197140 MPP197140 MZL197140 NJH197140 NTD197140 OCZ197140 OMV197140 OWR197140 PGN197140 PQJ197140 QAF197140 QKB197140 QTX197140 RDT197140 RNP197140 RXL197140 SHH197140 SRD197140 TAZ197140 TKV197140 TUR197140 UEN197140 UOJ197140 UYF197140 VIB197140 VRX197140 WBT197140 WLP197140 WVL197140 D262676 IZ262676 SV262676 ACR262676 AMN262676 AWJ262676 BGF262676 BQB262676 BZX262676 CJT262676 CTP262676 DDL262676 DNH262676 DXD262676 EGZ262676 EQV262676 FAR262676 FKN262676 FUJ262676 GEF262676 GOB262676 GXX262676 HHT262676 HRP262676 IBL262676 ILH262676 IVD262676 JEZ262676 JOV262676 JYR262676 KIN262676 KSJ262676 LCF262676 LMB262676 LVX262676 MFT262676 MPP262676 MZL262676 NJH262676 NTD262676 OCZ262676 OMV262676 OWR262676 PGN262676 PQJ262676 QAF262676 QKB262676 QTX262676 RDT262676 RNP262676 RXL262676 SHH262676 SRD262676 TAZ262676 TKV262676 TUR262676 UEN262676 UOJ262676 UYF262676 VIB262676 VRX262676 WBT262676 WLP262676 WVL262676 D328212 IZ328212 SV328212 ACR328212 AMN328212 AWJ328212 BGF328212 BQB328212 BZX328212 CJT328212 CTP328212 DDL328212 DNH328212 DXD328212 EGZ328212 EQV328212 FAR328212 FKN328212 FUJ328212 GEF328212 GOB328212 GXX328212 HHT328212 HRP328212 IBL328212 ILH328212 IVD328212 JEZ328212 JOV328212 JYR328212 KIN328212 KSJ328212 LCF328212 LMB328212 LVX328212 MFT328212 MPP328212 MZL328212 NJH328212 NTD328212 OCZ328212 OMV328212 OWR328212 PGN328212 PQJ328212 QAF328212 QKB328212 QTX328212 RDT328212 RNP328212 RXL328212 SHH328212 SRD328212 TAZ328212 TKV328212 TUR328212 UEN328212 UOJ328212 UYF328212 VIB328212 VRX328212 WBT328212 WLP328212 WVL328212 D393748 IZ393748 SV393748 ACR393748 AMN393748 AWJ393748 BGF393748 BQB393748 BZX393748 CJT393748 CTP393748 DDL393748 DNH393748 DXD393748 EGZ393748 EQV393748 FAR393748 FKN393748 FUJ393748 GEF393748 GOB393748 GXX393748 HHT393748 HRP393748 IBL393748 ILH393748 IVD393748 JEZ393748 JOV393748 JYR393748 KIN393748 KSJ393748 LCF393748 LMB393748 LVX393748 MFT393748 MPP393748 MZL393748 NJH393748 NTD393748 OCZ393748 OMV393748 OWR393748 PGN393748 PQJ393748 QAF393748 QKB393748 QTX393748 RDT393748 RNP393748 RXL393748 SHH393748 SRD393748 TAZ393748 TKV393748 TUR393748 UEN393748 UOJ393748 UYF393748 VIB393748 VRX393748 WBT393748 WLP393748 WVL393748 D459284 IZ459284 SV459284 ACR459284 AMN459284 AWJ459284 BGF459284 BQB459284 BZX459284 CJT459284 CTP459284 DDL459284 DNH459284 DXD459284 EGZ459284 EQV459284 FAR459284 FKN459284 FUJ459284 GEF459284 GOB459284 GXX459284 HHT459284 HRP459284 IBL459284 ILH459284 IVD459284 JEZ459284 JOV459284 JYR459284 KIN459284 KSJ459284 LCF459284 LMB459284 LVX459284 MFT459284 MPP459284 MZL459284 NJH459284 NTD459284 OCZ459284 OMV459284 OWR459284 PGN459284 PQJ459284 QAF459284 QKB459284 QTX459284 RDT459284 RNP459284 RXL459284 SHH459284 SRD459284 TAZ459284 TKV459284 TUR459284 UEN459284 UOJ459284 UYF459284 VIB459284 VRX459284 WBT459284 WLP459284 WVL459284 D524820 IZ524820 SV524820 ACR524820 AMN524820 AWJ524820 BGF524820 BQB524820 BZX524820 CJT524820 CTP524820 DDL524820 DNH524820 DXD524820 EGZ524820 EQV524820 FAR524820 FKN524820 FUJ524820 GEF524820 GOB524820 GXX524820 HHT524820 HRP524820 IBL524820 ILH524820 IVD524820 JEZ524820 JOV524820 JYR524820 KIN524820 KSJ524820 LCF524820 LMB524820 LVX524820 MFT524820 MPP524820 MZL524820 NJH524820 NTD524820 OCZ524820 OMV524820 OWR524820 PGN524820 PQJ524820 QAF524820 QKB524820 QTX524820 RDT524820 RNP524820 RXL524820 SHH524820 SRD524820 TAZ524820 TKV524820 TUR524820 UEN524820 UOJ524820 UYF524820 VIB524820 VRX524820 WBT524820 WLP524820 WVL524820 D590356 IZ590356 SV590356 ACR590356 AMN590356 AWJ590356 BGF590356 BQB590356 BZX590356 CJT590356 CTP590356 DDL590356 DNH590356 DXD590356 EGZ590356 EQV590356 FAR590356 FKN590356 FUJ590356 GEF590356 GOB590356 GXX590356 HHT590356 HRP590356 IBL590356 ILH590356 IVD590356 JEZ590356 JOV590356 JYR590356 KIN590356 KSJ590356 LCF590356 LMB590356 LVX590356 MFT590356 MPP590356 MZL590356 NJH590356 NTD590356 OCZ590356 OMV590356 OWR590356 PGN590356 PQJ590356 QAF590356 QKB590356 QTX590356 RDT590356 RNP590356 RXL590356 SHH590356 SRD590356 TAZ590356 TKV590356 TUR590356 UEN590356 UOJ590356 UYF590356 VIB590356 VRX590356 WBT590356 WLP590356 WVL590356 D655892 IZ655892 SV655892 ACR655892 AMN655892 AWJ655892 BGF655892 BQB655892 BZX655892 CJT655892 CTP655892 DDL655892 DNH655892 DXD655892 EGZ655892 EQV655892 FAR655892 FKN655892 FUJ655892 GEF655892 GOB655892 GXX655892 HHT655892 HRP655892 IBL655892 ILH655892 IVD655892 JEZ655892 JOV655892 JYR655892 KIN655892 KSJ655892 LCF655892 LMB655892 LVX655892 MFT655892 MPP655892 MZL655892 NJH655892 NTD655892 OCZ655892 OMV655892 OWR655892 PGN655892 PQJ655892 QAF655892 QKB655892 QTX655892 RDT655892 RNP655892 RXL655892 SHH655892 SRD655892 TAZ655892 TKV655892 TUR655892 UEN655892 UOJ655892 UYF655892 VIB655892 VRX655892 WBT655892 WLP655892 WVL655892 D721428 IZ721428 SV721428 ACR721428 AMN721428 AWJ721428 BGF721428 BQB721428 BZX721428 CJT721428 CTP721428 DDL721428 DNH721428 DXD721428 EGZ721428 EQV721428 FAR721428 FKN721428 FUJ721428 GEF721428 GOB721428 GXX721428 HHT721428 HRP721428 IBL721428 ILH721428 IVD721428 JEZ721428 JOV721428 JYR721428 KIN721428 KSJ721428 LCF721428 LMB721428 LVX721428 MFT721428 MPP721428 MZL721428 NJH721428 NTD721428 OCZ721428 OMV721428 OWR721428 PGN721428 PQJ721428 QAF721428 QKB721428 QTX721428 RDT721428 RNP721428 RXL721428 SHH721428 SRD721428 TAZ721428 TKV721428 TUR721428 UEN721428 UOJ721428 UYF721428 VIB721428 VRX721428 WBT721428 WLP721428 WVL721428 D786964 IZ786964 SV786964 ACR786964 AMN786964 AWJ786964 BGF786964 BQB786964 BZX786964 CJT786964 CTP786964 DDL786964 DNH786964 DXD786964 EGZ786964 EQV786964 FAR786964 FKN786964 FUJ786964 GEF786964 GOB786964 GXX786964 HHT786964 HRP786964 IBL786964 ILH786964 IVD786964 JEZ786964 JOV786964 JYR786964 KIN786964 KSJ786964 LCF786964 LMB786964 LVX786964 MFT786964 MPP786964 MZL786964 NJH786964 NTD786964 OCZ786964 OMV786964 OWR786964 PGN786964 PQJ786964 QAF786964 QKB786964 QTX786964 RDT786964 RNP786964 RXL786964 SHH786964 SRD786964 TAZ786964 TKV786964 TUR786964 UEN786964 UOJ786964 UYF786964 VIB786964 VRX786964 WBT786964 WLP786964 WVL786964 D852500 IZ852500 SV852500 ACR852500 AMN852500 AWJ852500 BGF852500 BQB852500 BZX852500 CJT852500 CTP852500 DDL852500 DNH852500 DXD852500 EGZ852500 EQV852500 FAR852500 FKN852500 FUJ852500 GEF852500 GOB852500 GXX852500 HHT852500 HRP852500 IBL852500 ILH852500 IVD852500 JEZ852500 JOV852500 JYR852500 KIN852500 KSJ852500 LCF852500 LMB852500 LVX852500 MFT852500 MPP852500 MZL852500 NJH852500 NTD852500 OCZ852500 OMV852500 OWR852500 PGN852500 PQJ852500 QAF852500 QKB852500 QTX852500 RDT852500 RNP852500 RXL852500 SHH852500 SRD852500 TAZ852500 TKV852500 TUR852500 UEN852500 UOJ852500 UYF852500 VIB852500 VRX852500 WBT852500 WLP852500 WVL852500 D918036 IZ918036 SV918036 ACR918036 AMN918036 AWJ918036 BGF918036 BQB918036 BZX918036 CJT918036 CTP918036 DDL918036 DNH918036 DXD918036 EGZ918036 EQV918036 FAR918036 FKN918036 FUJ918036 GEF918036 GOB918036 GXX918036 HHT918036 HRP918036 IBL918036 ILH918036 IVD918036 JEZ918036 JOV918036 JYR918036 KIN918036 KSJ918036 LCF918036 LMB918036 LVX918036 MFT918036 MPP918036 MZL918036 NJH918036 NTD918036 OCZ918036 OMV918036 OWR918036 PGN918036 PQJ918036 QAF918036 QKB918036 QTX918036 RDT918036 RNP918036 RXL918036 SHH918036 SRD918036 TAZ918036 TKV918036 TUR918036 UEN918036 UOJ918036 UYF918036 VIB918036 VRX918036 WBT918036 WLP918036 WVL918036 D983572 IZ983572 SV983572 ACR983572 AMN983572 AWJ983572 BGF983572 BQB983572 BZX983572 CJT983572 CTP983572 DDL983572 DNH983572 DXD983572 EGZ983572 EQV983572 FAR983572 FKN983572 FUJ983572 GEF983572 GOB983572 GXX983572 HHT983572 HRP983572 IBL983572 ILH983572 IVD983572 JEZ983572 JOV983572 JYR983572 KIN983572 KSJ983572 LCF983572 LMB983572 LVX983572 MFT983572 MPP983572 MZL983572 NJH983572 NTD983572 OCZ983572 OMV983572 OWR983572 PGN983572 PQJ983572 QAF983572 QKB983572 QTX983572 RDT983572 RNP983572 RXL983572 SHH983572 SRD983572 TAZ983572 TKV983572 TUR983572 UEN983572 UOJ983572 UYF983572 VIB983572 VRX983572 WBT983572 WLP983572 WVL983572 D444 IZ444 SV444 ACR444 AMN444 AWJ444 BGF444 BQB444 BZX444 CJT444 CTP444 DDL444 DNH444 DXD444 EGZ444 EQV444 FAR444 FKN444 FUJ444 GEF444 GOB444 GXX444 HHT444 HRP444 IBL444 ILH444 IVD444 JEZ444 JOV444 JYR444 KIN444 KSJ444 LCF444 LMB444 LVX444 MFT444 MPP444 MZL444 NJH444 NTD444 OCZ444 OMV444 OWR444 PGN444 PQJ444 QAF444 QKB444 QTX444 RDT444 RNP444 RXL444 SHH444 SRD444 TAZ444 TKV444 TUR444 UEN444 UOJ444 UYF444 VIB444 VRX444 WBT444 WLP444 WVL444 D65980 IZ65980 SV65980 ACR65980 AMN65980 AWJ65980 BGF65980 BQB65980 BZX65980 CJT65980 CTP65980 DDL65980 DNH65980 DXD65980 EGZ65980 EQV65980 FAR65980 FKN65980 FUJ65980 GEF65980 GOB65980 GXX65980 HHT65980 HRP65980 IBL65980 ILH65980 IVD65980 JEZ65980 JOV65980 JYR65980 KIN65980 KSJ65980 LCF65980 LMB65980 LVX65980 MFT65980 MPP65980 MZL65980 NJH65980 NTD65980 OCZ65980 OMV65980 OWR65980 PGN65980 PQJ65980 QAF65980 QKB65980 QTX65980 RDT65980 RNP65980 RXL65980 SHH65980 SRD65980 TAZ65980 TKV65980 TUR65980 UEN65980 UOJ65980 UYF65980 VIB65980 VRX65980 WBT65980 WLP65980 WVL65980 D131516 IZ131516 SV131516 ACR131516 AMN131516 AWJ131516 BGF131516 BQB131516 BZX131516 CJT131516 CTP131516 DDL131516 DNH131516 DXD131516 EGZ131516 EQV131516 FAR131516 FKN131516 FUJ131516 GEF131516 GOB131516 GXX131516 HHT131516 HRP131516 IBL131516 ILH131516 IVD131516 JEZ131516 JOV131516 JYR131516 KIN131516 KSJ131516 LCF131516 LMB131516 LVX131516 MFT131516 MPP131516 MZL131516 NJH131516 NTD131516 OCZ131516 OMV131516 OWR131516 PGN131516 PQJ131516 QAF131516 QKB131516 QTX131516 RDT131516 RNP131516 RXL131516 SHH131516 SRD131516 TAZ131516 TKV131516 TUR131516 UEN131516 UOJ131516 UYF131516 VIB131516 VRX131516 WBT131516 WLP131516 WVL131516 D197052 IZ197052 SV197052 ACR197052 AMN197052 AWJ197052 BGF197052 BQB197052 BZX197052 CJT197052 CTP197052 DDL197052 DNH197052 DXD197052 EGZ197052 EQV197052 FAR197052 FKN197052 FUJ197052 GEF197052 GOB197052 GXX197052 HHT197052 HRP197052 IBL197052 ILH197052 IVD197052 JEZ197052 JOV197052 JYR197052 KIN197052 KSJ197052 LCF197052 LMB197052 LVX197052 MFT197052 MPP197052 MZL197052 NJH197052 NTD197052 OCZ197052 OMV197052 OWR197052 PGN197052 PQJ197052 QAF197052 QKB197052 QTX197052 RDT197052 RNP197052 RXL197052 SHH197052 SRD197052 TAZ197052 TKV197052 TUR197052 UEN197052 UOJ197052 UYF197052 VIB197052 VRX197052 WBT197052 WLP197052 WVL197052 D262588 IZ262588 SV262588 ACR262588 AMN262588 AWJ262588 BGF262588 BQB262588 BZX262588 CJT262588 CTP262588 DDL262588 DNH262588 DXD262588 EGZ262588 EQV262588 FAR262588 FKN262588 FUJ262588 GEF262588 GOB262588 GXX262588 HHT262588 HRP262588 IBL262588 ILH262588 IVD262588 JEZ262588 JOV262588 JYR262588 KIN262588 KSJ262588 LCF262588 LMB262588 LVX262588 MFT262588 MPP262588 MZL262588 NJH262588 NTD262588 OCZ262588 OMV262588 OWR262588 PGN262588 PQJ262588 QAF262588 QKB262588 QTX262588 RDT262588 RNP262588 RXL262588 SHH262588 SRD262588 TAZ262588 TKV262588 TUR262588 UEN262588 UOJ262588 UYF262588 VIB262588 VRX262588 WBT262588 WLP262588 WVL262588 D328124 IZ328124 SV328124 ACR328124 AMN328124 AWJ328124 BGF328124 BQB328124 BZX328124 CJT328124 CTP328124 DDL328124 DNH328124 DXD328124 EGZ328124 EQV328124 FAR328124 FKN328124 FUJ328124 GEF328124 GOB328124 GXX328124 HHT328124 HRP328124 IBL328124 ILH328124 IVD328124 JEZ328124 JOV328124 JYR328124 KIN328124 KSJ328124 LCF328124 LMB328124 LVX328124 MFT328124 MPP328124 MZL328124 NJH328124 NTD328124 OCZ328124 OMV328124 OWR328124 PGN328124 PQJ328124 QAF328124 QKB328124 QTX328124 RDT328124 RNP328124 RXL328124 SHH328124 SRD328124 TAZ328124 TKV328124 TUR328124 UEN328124 UOJ328124 UYF328124 VIB328124 VRX328124 WBT328124 WLP328124 WVL328124 D393660 IZ393660 SV393660 ACR393660 AMN393660 AWJ393660 BGF393660 BQB393660 BZX393660 CJT393660 CTP393660 DDL393660 DNH393660 DXD393660 EGZ393660 EQV393660 FAR393660 FKN393660 FUJ393660 GEF393660 GOB393660 GXX393660 HHT393660 HRP393660 IBL393660 ILH393660 IVD393660 JEZ393660 JOV393660 JYR393660 KIN393660 KSJ393660 LCF393660 LMB393660 LVX393660 MFT393660 MPP393660 MZL393660 NJH393660 NTD393660 OCZ393660 OMV393660 OWR393660 PGN393660 PQJ393660 QAF393660 QKB393660 QTX393660 RDT393660 RNP393660 RXL393660 SHH393660 SRD393660 TAZ393660 TKV393660 TUR393660 UEN393660 UOJ393660 UYF393660 VIB393660 VRX393660 WBT393660 WLP393660 WVL393660 D459196 IZ459196 SV459196 ACR459196 AMN459196 AWJ459196 BGF459196 BQB459196 BZX459196 CJT459196 CTP459196 DDL459196 DNH459196 DXD459196 EGZ459196 EQV459196 FAR459196 FKN459196 FUJ459196 GEF459196 GOB459196 GXX459196 HHT459196 HRP459196 IBL459196 ILH459196 IVD459196 JEZ459196 JOV459196 JYR459196 KIN459196 KSJ459196 LCF459196 LMB459196 LVX459196 MFT459196 MPP459196 MZL459196 NJH459196 NTD459196 OCZ459196 OMV459196 OWR459196 PGN459196 PQJ459196 QAF459196 QKB459196 QTX459196 RDT459196 RNP459196 RXL459196 SHH459196 SRD459196 TAZ459196 TKV459196 TUR459196 UEN459196 UOJ459196 UYF459196 VIB459196 VRX459196 WBT459196 WLP459196 WVL459196 D524732 IZ524732 SV524732 ACR524732 AMN524732 AWJ524732 BGF524732 BQB524732 BZX524732 CJT524732 CTP524732 DDL524732 DNH524732 DXD524732 EGZ524732 EQV524732 FAR524732 FKN524732 FUJ524732 GEF524732 GOB524732 GXX524732 HHT524732 HRP524732 IBL524732 ILH524732 IVD524732 JEZ524732 JOV524732 JYR524732 KIN524732 KSJ524732 LCF524732 LMB524732 LVX524732 MFT524732 MPP524732 MZL524732 NJH524732 NTD524732 OCZ524732 OMV524732 OWR524732 PGN524732 PQJ524732 QAF524732 QKB524732 QTX524732 RDT524732 RNP524732 RXL524732 SHH524732 SRD524732 TAZ524732 TKV524732 TUR524732 UEN524732 UOJ524732 UYF524732 VIB524732 VRX524732 WBT524732 WLP524732 WVL524732 D590268 IZ590268 SV590268 ACR590268 AMN590268 AWJ590268 BGF590268 BQB590268 BZX590268 CJT590268 CTP590268 DDL590268 DNH590268 DXD590268 EGZ590268 EQV590268 FAR590268 FKN590268 FUJ590268 GEF590268 GOB590268 GXX590268 HHT590268 HRP590268 IBL590268 ILH590268 IVD590268 JEZ590268 JOV590268 JYR590268 KIN590268 KSJ590268 LCF590268 LMB590268 LVX590268 MFT590268 MPP590268 MZL590268 NJH590268 NTD590268 OCZ590268 OMV590268 OWR590268 PGN590268 PQJ590268 QAF590268 QKB590268 QTX590268 RDT590268 RNP590268 RXL590268 SHH590268 SRD590268 TAZ590268 TKV590268 TUR590268 UEN590268 UOJ590268 UYF590268 VIB590268 VRX590268 WBT590268 WLP590268 WVL590268 D655804 IZ655804 SV655804 ACR655804 AMN655804 AWJ655804 BGF655804 BQB655804 BZX655804 CJT655804 CTP655804 DDL655804 DNH655804 DXD655804 EGZ655804 EQV655804 FAR655804 FKN655804 FUJ655804 GEF655804 GOB655804 GXX655804 HHT655804 HRP655804 IBL655804 ILH655804 IVD655804 JEZ655804 JOV655804 JYR655804 KIN655804 KSJ655804 LCF655804 LMB655804 LVX655804 MFT655804 MPP655804 MZL655804 NJH655804 NTD655804 OCZ655804 OMV655804 OWR655804 PGN655804 PQJ655804 QAF655804 QKB655804 QTX655804 RDT655804 RNP655804 RXL655804 SHH655804 SRD655804 TAZ655804 TKV655804 TUR655804 UEN655804 UOJ655804 UYF655804 VIB655804 VRX655804 WBT655804 WLP655804 WVL655804 D721340 IZ721340 SV721340 ACR721340 AMN721340 AWJ721340 BGF721340 BQB721340 BZX721340 CJT721340 CTP721340 DDL721340 DNH721340 DXD721340 EGZ721340 EQV721340 FAR721340 FKN721340 FUJ721340 GEF721340 GOB721340 GXX721340 HHT721340 HRP721340 IBL721340 ILH721340 IVD721340 JEZ721340 JOV721340 JYR721340 KIN721340 KSJ721340 LCF721340 LMB721340 LVX721340 MFT721340 MPP721340 MZL721340 NJH721340 NTD721340 OCZ721340 OMV721340 OWR721340 PGN721340 PQJ721340 QAF721340 QKB721340 QTX721340 RDT721340 RNP721340 RXL721340 SHH721340 SRD721340 TAZ721340 TKV721340 TUR721340 UEN721340 UOJ721340 UYF721340 VIB721340 VRX721340 WBT721340 WLP721340 WVL721340 D786876 IZ786876 SV786876 ACR786876 AMN786876 AWJ786876 BGF786876 BQB786876 BZX786876 CJT786876 CTP786876 DDL786876 DNH786876 DXD786876 EGZ786876 EQV786876 FAR786876 FKN786876 FUJ786876 GEF786876 GOB786876 GXX786876 HHT786876 HRP786876 IBL786876 ILH786876 IVD786876 JEZ786876 JOV786876 JYR786876 KIN786876 KSJ786876 LCF786876 LMB786876 LVX786876 MFT786876 MPP786876 MZL786876 NJH786876 NTD786876 OCZ786876 OMV786876 OWR786876 PGN786876 PQJ786876 QAF786876 QKB786876 QTX786876 RDT786876 RNP786876 RXL786876 SHH786876 SRD786876 TAZ786876 TKV786876 TUR786876 UEN786876 UOJ786876 UYF786876 VIB786876 VRX786876 WBT786876 WLP786876 WVL786876 D852412 IZ852412 SV852412 ACR852412 AMN852412 AWJ852412 BGF852412 BQB852412 BZX852412 CJT852412 CTP852412 DDL852412 DNH852412 DXD852412 EGZ852412 EQV852412 FAR852412 FKN852412 FUJ852412 GEF852412 GOB852412 GXX852412 HHT852412 HRP852412 IBL852412 ILH852412 IVD852412 JEZ852412 JOV852412 JYR852412 KIN852412 KSJ852412 LCF852412 LMB852412 LVX852412 MFT852412 MPP852412 MZL852412 NJH852412 NTD852412 OCZ852412 OMV852412 OWR852412 PGN852412 PQJ852412 QAF852412 QKB852412 QTX852412 RDT852412 RNP852412 RXL852412 SHH852412 SRD852412 TAZ852412 TKV852412 TUR852412 UEN852412 UOJ852412 UYF852412 VIB852412 VRX852412 WBT852412 WLP852412 WVL852412 D917948 IZ917948 SV917948 ACR917948 AMN917948 AWJ917948 BGF917948 BQB917948 BZX917948 CJT917948 CTP917948 DDL917948 DNH917948 DXD917948 EGZ917948 EQV917948 FAR917948 FKN917948 FUJ917948 GEF917948 GOB917948 GXX917948 HHT917948 HRP917948 IBL917948 ILH917948 IVD917948 JEZ917948 JOV917948 JYR917948 KIN917948 KSJ917948 LCF917948 LMB917948 LVX917948 MFT917948 MPP917948 MZL917948 NJH917948 NTD917948 OCZ917948 OMV917948 OWR917948 PGN917948 PQJ917948 QAF917948 QKB917948 QTX917948 RDT917948 RNP917948 RXL917948 SHH917948 SRD917948 TAZ917948 TKV917948 TUR917948 UEN917948 UOJ917948 UYF917948 VIB917948 VRX917948 WBT917948 WLP917948 WVL917948 D983484 IZ983484 SV983484 ACR983484 AMN983484 AWJ983484 BGF983484 BQB983484 BZX983484 CJT983484 CTP983484 DDL983484 DNH983484 DXD983484 EGZ983484 EQV983484 FAR983484 FKN983484 FUJ983484 GEF983484 GOB983484 GXX983484 HHT983484 HRP983484 IBL983484 ILH983484 IVD983484 JEZ983484 JOV983484 JYR983484 KIN983484 KSJ983484 LCF983484 LMB983484 LVX983484 MFT983484 MPP983484 MZL983484 NJH983484 NTD983484 OCZ983484 OMV983484 OWR983484 PGN983484 PQJ983484 QAF983484 QKB983484 QTX983484 RDT983484 RNP983484 RXL983484 SHH983484 SRD983484 TAZ983484 TKV983484 TUR983484 UEN983484 UOJ983484 UYF983484 VIB983484 VRX983484 WBT983484 WLP983484 WVL983484 D361 IZ361 SV361 ACR361 AMN361 AWJ361 BGF361 BQB361 BZX361 CJT361 CTP361 DDL361 DNH361 DXD361 EGZ361 EQV361 FAR361 FKN361 FUJ361 GEF361 GOB361 GXX361 HHT361 HRP361 IBL361 ILH361 IVD361 JEZ361 JOV361 JYR361 KIN361 KSJ361 LCF361 LMB361 LVX361 MFT361 MPP361 MZL361 NJH361 NTD361 OCZ361 OMV361 OWR361 PGN361 PQJ361 QAF361 QKB361 QTX361 RDT361 RNP361 RXL361 SHH361 SRD361 TAZ361 TKV361 TUR361 UEN361 UOJ361 UYF361 VIB361 VRX361 WBT361 WLP361 WVL361 D65897 IZ65897 SV65897 ACR65897 AMN65897 AWJ65897 BGF65897 BQB65897 BZX65897 CJT65897 CTP65897 DDL65897 DNH65897 DXD65897 EGZ65897 EQV65897 FAR65897 FKN65897 FUJ65897 GEF65897 GOB65897 GXX65897 HHT65897 HRP65897 IBL65897 ILH65897 IVD65897 JEZ65897 JOV65897 JYR65897 KIN65897 KSJ65897 LCF65897 LMB65897 LVX65897 MFT65897 MPP65897 MZL65897 NJH65897 NTD65897 OCZ65897 OMV65897 OWR65897 PGN65897 PQJ65897 QAF65897 QKB65897 QTX65897 RDT65897 RNP65897 RXL65897 SHH65897 SRD65897 TAZ65897 TKV65897 TUR65897 UEN65897 UOJ65897 UYF65897 VIB65897 VRX65897 WBT65897 WLP65897 WVL65897 D131433 IZ131433 SV131433 ACR131433 AMN131433 AWJ131433 BGF131433 BQB131433 BZX131433 CJT131433 CTP131433 DDL131433 DNH131433 DXD131433 EGZ131433 EQV131433 FAR131433 FKN131433 FUJ131433 GEF131433 GOB131433 GXX131433 HHT131433 HRP131433 IBL131433 ILH131433 IVD131433 JEZ131433 JOV131433 JYR131433 KIN131433 KSJ131433 LCF131433 LMB131433 LVX131433 MFT131433 MPP131433 MZL131433 NJH131433 NTD131433 OCZ131433 OMV131433 OWR131433 PGN131433 PQJ131433 QAF131433 QKB131433 QTX131433 RDT131433 RNP131433 RXL131433 SHH131433 SRD131433 TAZ131433 TKV131433 TUR131433 UEN131433 UOJ131433 UYF131433 VIB131433 VRX131433 WBT131433 WLP131433 WVL131433 D196969 IZ196969 SV196969 ACR196969 AMN196969 AWJ196969 BGF196969 BQB196969 BZX196969 CJT196969 CTP196969 DDL196969 DNH196969 DXD196969 EGZ196969 EQV196969 FAR196969 FKN196969 FUJ196969 GEF196969 GOB196969 GXX196969 HHT196969 HRP196969 IBL196969 ILH196969 IVD196969 JEZ196969 JOV196969 JYR196969 KIN196969 KSJ196969 LCF196969 LMB196969 LVX196969 MFT196969 MPP196969 MZL196969 NJH196969 NTD196969 OCZ196969 OMV196969 OWR196969 PGN196969 PQJ196969 QAF196969 QKB196969 QTX196969 RDT196969 RNP196969 RXL196969 SHH196969 SRD196969 TAZ196969 TKV196969 TUR196969 UEN196969 UOJ196969 UYF196969 VIB196969 VRX196969 WBT196969 WLP196969 WVL196969 D262505 IZ262505 SV262505 ACR262505 AMN262505 AWJ262505 BGF262505 BQB262505 BZX262505 CJT262505 CTP262505 DDL262505 DNH262505 DXD262505 EGZ262505 EQV262505 FAR262505 FKN262505 FUJ262505 GEF262505 GOB262505 GXX262505 HHT262505 HRP262505 IBL262505 ILH262505 IVD262505 JEZ262505 JOV262505 JYR262505 KIN262505 KSJ262505 LCF262505 LMB262505 LVX262505 MFT262505 MPP262505 MZL262505 NJH262505 NTD262505 OCZ262505 OMV262505 OWR262505 PGN262505 PQJ262505 QAF262505 QKB262505 QTX262505 RDT262505 RNP262505 RXL262505 SHH262505 SRD262505 TAZ262505 TKV262505 TUR262505 UEN262505 UOJ262505 UYF262505 VIB262505 VRX262505 WBT262505 WLP262505 WVL262505 D328041 IZ328041 SV328041 ACR328041 AMN328041 AWJ328041 BGF328041 BQB328041 BZX328041 CJT328041 CTP328041 DDL328041 DNH328041 DXD328041 EGZ328041 EQV328041 FAR328041 FKN328041 FUJ328041 GEF328041 GOB328041 GXX328041 HHT328041 HRP328041 IBL328041 ILH328041 IVD328041 JEZ328041 JOV328041 JYR328041 KIN328041 KSJ328041 LCF328041 LMB328041 LVX328041 MFT328041 MPP328041 MZL328041 NJH328041 NTD328041 OCZ328041 OMV328041 OWR328041 PGN328041 PQJ328041 QAF328041 QKB328041 QTX328041 RDT328041 RNP328041 RXL328041 SHH328041 SRD328041 TAZ328041 TKV328041 TUR328041 UEN328041 UOJ328041 UYF328041 VIB328041 VRX328041 WBT328041 WLP328041 WVL328041 D393577 IZ393577 SV393577 ACR393577 AMN393577 AWJ393577 BGF393577 BQB393577 BZX393577 CJT393577 CTP393577 DDL393577 DNH393577 DXD393577 EGZ393577 EQV393577 FAR393577 FKN393577 FUJ393577 GEF393577 GOB393577 GXX393577 HHT393577 HRP393577 IBL393577 ILH393577 IVD393577 JEZ393577 JOV393577 JYR393577 KIN393577 KSJ393577 LCF393577 LMB393577 LVX393577 MFT393577 MPP393577 MZL393577 NJH393577 NTD393577 OCZ393577 OMV393577 OWR393577 PGN393577 PQJ393577 QAF393577 QKB393577 QTX393577 RDT393577 RNP393577 RXL393577 SHH393577 SRD393577 TAZ393577 TKV393577 TUR393577 UEN393577 UOJ393577 UYF393577 VIB393577 VRX393577 WBT393577 WLP393577 WVL393577 D459113 IZ459113 SV459113 ACR459113 AMN459113 AWJ459113 BGF459113 BQB459113 BZX459113 CJT459113 CTP459113 DDL459113 DNH459113 DXD459113 EGZ459113 EQV459113 FAR459113 FKN459113 FUJ459113 GEF459113 GOB459113 GXX459113 HHT459113 HRP459113 IBL459113 ILH459113 IVD459113 JEZ459113 JOV459113 JYR459113 KIN459113 KSJ459113 LCF459113 LMB459113 LVX459113 MFT459113 MPP459113 MZL459113 NJH459113 NTD459113 OCZ459113 OMV459113 OWR459113 PGN459113 PQJ459113 QAF459113 QKB459113 QTX459113 RDT459113 RNP459113 RXL459113 SHH459113 SRD459113 TAZ459113 TKV459113 TUR459113 UEN459113 UOJ459113 UYF459113 VIB459113 VRX459113 WBT459113 WLP459113 WVL459113 D524649 IZ524649 SV524649 ACR524649 AMN524649 AWJ524649 BGF524649 BQB524649 BZX524649 CJT524649 CTP524649 DDL524649 DNH524649 DXD524649 EGZ524649 EQV524649 FAR524649 FKN524649 FUJ524649 GEF524649 GOB524649 GXX524649 HHT524649 HRP524649 IBL524649 ILH524649 IVD524649 JEZ524649 JOV524649 JYR524649 KIN524649 KSJ524649 LCF524649 LMB524649 LVX524649 MFT524649 MPP524649 MZL524649 NJH524649 NTD524649 OCZ524649 OMV524649 OWR524649 PGN524649 PQJ524649 QAF524649 QKB524649 QTX524649 RDT524649 RNP524649 RXL524649 SHH524649 SRD524649 TAZ524649 TKV524649 TUR524649 UEN524649 UOJ524649 UYF524649 VIB524649 VRX524649 WBT524649 WLP524649 WVL524649 D590185 IZ590185 SV590185 ACR590185 AMN590185 AWJ590185 BGF590185 BQB590185 BZX590185 CJT590185 CTP590185 DDL590185 DNH590185 DXD590185 EGZ590185 EQV590185 FAR590185 FKN590185 FUJ590185 GEF590185 GOB590185 GXX590185 HHT590185 HRP590185 IBL590185 ILH590185 IVD590185 JEZ590185 JOV590185 JYR590185 KIN590185 KSJ590185 LCF590185 LMB590185 LVX590185 MFT590185 MPP590185 MZL590185 NJH590185 NTD590185 OCZ590185 OMV590185 OWR590185 PGN590185 PQJ590185 QAF590185 QKB590185 QTX590185 RDT590185 RNP590185 RXL590185 SHH590185 SRD590185 TAZ590185 TKV590185 TUR590185 UEN590185 UOJ590185 UYF590185 VIB590185 VRX590185 WBT590185 WLP590185 WVL590185 D655721 IZ655721 SV655721 ACR655721 AMN655721 AWJ655721 BGF655721 BQB655721 BZX655721 CJT655721 CTP655721 DDL655721 DNH655721 DXD655721 EGZ655721 EQV655721 FAR655721 FKN655721 FUJ655721 GEF655721 GOB655721 GXX655721 HHT655721 HRP655721 IBL655721 ILH655721 IVD655721 JEZ655721 JOV655721 JYR655721 KIN655721 KSJ655721 LCF655721 LMB655721 LVX655721 MFT655721 MPP655721 MZL655721 NJH655721 NTD655721 OCZ655721 OMV655721 OWR655721 PGN655721 PQJ655721 QAF655721 QKB655721 QTX655721 RDT655721 RNP655721 RXL655721 SHH655721 SRD655721 TAZ655721 TKV655721 TUR655721 UEN655721 UOJ655721 UYF655721 VIB655721 VRX655721 WBT655721 WLP655721 WVL655721 D721257 IZ721257 SV721257 ACR721257 AMN721257 AWJ721257 BGF721257 BQB721257 BZX721257 CJT721257 CTP721257 DDL721257 DNH721257 DXD721257 EGZ721257 EQV721257 FAR721257 FKN721257 FUJ721257 GEF721257 GOB721257 GXX721257 HHT721257 HRP721257 IBL721257 ILH721257 IVD721257 JEZ721257 JOV721257 JYR721257 KIN721257 KSJ721257 LCF721257 LMB721257 LVX721257 MFT721257 MPP721257 MZL721257 NJH721257 NTD721257 OCZ721257 OMV721257 OWR721257 PGN721257 PQJ721257 QAF721257 QKB721257 QTX721257 RDT721257 RNP721257 RXL721257 SHH721257 SRD721257 TAZ721257 TKV721257 TUR721257 UEN721257 UOJ721257 UYF721257 VIB721257 VRX721257 WBT721257 WLP721257 WVL721257 D786793 IZ786793 SV786793 ACR786793 AMN786793 AWJ786793 BGF786793 BQB786793 BZX786793 CJT786793 CTP786793 DDL786793 DNH786793 DXD786793 EGZ786793 EQV786793 FAR786793 FKN786793 FUJ786793 GEF786793 GOB786793 GXX786793 HHT786793 HRP786793 IBL786793 ILH786793 IVD786793 JEZ786793 JOV786793 JYR786793 KIN786793 KSJ786793 LCF786793 LMB786793 LVX786793 MFT786793 MPP786793 MZL786793 NJH786793 NTD786793 OCZ786793 OMV786793 OWR786793 PGN786793 PQJ786793 QAF786793 QKB786793 QTX786793 RDT786793 RNP786793 RXL786793 SHH786793 SRD786793 TAZ786793 TKV786793 TUR786793 UEN786793 UOJ786793 UYF786793 VIB786793 VRX786793 WBT786793 WLP786793 WVL786793 D852329 IZ852329 SV852329 ACR852329 AMN852329 AWJ852329 BGF852329 BQB852329 BZX852329 CJT852329 CTP852329 DDL852329 DNH852329 DXD852329 EGZ852329 EQV852329 FAR852329 FKN852329 FUJ852329 GEF852329 GOB852329 GXX852329 HHT852329 HRP852329 IBL852329 ILH852329 IVD852329 JEZ852329 JOV852329 JYR852329 KIN852329 KSJ852329 LCF852329 LMB852329 LVX852329 MFT852329 MPP852329 MZL852329 NJH852329 NTD852329 OCZ852329 OMV852329 OWR852329 PGN852329 PQJ852329 QAF852329 QKB852329 QTX852329 RDT852329 RNP852329 RXL852329 SHH852329 SRD852329 TAZ852329 TKV852329 TUR852329 UEN852329 UOJ852329 UYF852329 VIB852329 VRX852329 WBT852329 WLP852329 WVL852329 D917865 IZ917865 SV917865 ACR917865 AMN917865 AWJ917865 BGF917865 BQB917865 BZX917865 CJT917865 CTP917865 DDL917865 DNH917865 DXD917865 EGZ917865 EQV917865 FAR917865 FKN917865 FUJ917865 GEF917865 GOB917865 GXX917865 HHT917865 HRP917865 IBL917865 ILH917865 IVD917865 JEZ917865 JOV917865 JYR917865 KIN917865 KSJ917865 LCF917865 LMB917865 LVX917865 MFT917865 MPP917865 MZL917865 NJH917865 NTD917865 OCZ917865 OMV917865 OWR917865 PGN917865 PQJ917865 QAF917865 QKB917865 QTX917865 RDT917865 RNP917865 RXL917865 SHH917865 SRD917865 TAZ917865 TKV917865 TUR917865 UEN917865 UOJ917865 UYF917865 VIB917865 VRX917865 WBT917865 WLP917865 WVL917865 D983401 IZ983401 SV983401 ACR983401 AMN983401 AWJ983401 BGF983401 BQB983401 BZX983401 CJT983401 CTP983401 DDL983401 DNH983401 DXD983401 EGZ983401 EQV983401 FAR983401 FKN983401 FUJ983401 GEF983401 GOB983401 GXX983401 HHT983401 HRP983401 IBL983401 ILH983401 IVD983401 JEZ983401 JOV983401 JYR983401 KIN983401 KSJ983401 LCF983401 LMB983401 LVX983401 MFT983401 MPP983401 MZL983401 NJH983401 NTD983401 OCZ983401 OMV983401 OWR983401 PGN983401 PQJ983401 QAF983401 QKB983401 QTX983401 RDT983401 RNP983401 RXL983401 SHH983401 SRD983401 TAZ983401 TKV983401 TUR983401 UEN983401 UOJ983401 UYF983401 VIB983401 VRX983401 WBT983401 WLP983401 WVL983401 D226 IZ226 SV226 ACR226 AMN226 AWJ226 BGF226 BQB226 BZX226 CJT226 CTP226 DDL226 DNH226 DXD226 EGZ226 EQV226 FAR226 FKN226 FUJ226 GEF226 GOB226 GXX226 HHT226 HRP226 IBL226 ILH226 IVD226 JEZ226 JOV226 JYR226 KIN226 KSJ226 LCF226 LMB226 LVX226 MFT226 MPP226 MZL226 NJH226 NTD226 OCZ226 OMV226 OWR226 PGN226 PQJ226 QAF226 QKB226 QTX226 RDT226 RNP226 RXL226 SHH226 SRD226 TAZ226 TKV226 TUR226 UEN226 UOJ226 UYF226 VIB226 VRX226 WBT226 WLP226 WVL226 D65760 IZ65760 SV65760 ACR65760 AMN65760 AWJ65760 BGF65760 BQB65760 BZX65760 CJT65760 CTP65760 DDL65760 DNH65760 DXD65760 EGZ65760 EQV65760 FAR65760 FKN65760 FUJ65760 GEF65760 GOB65760 GXX65760 HHT65760 HRP65760 IBL65760 ILH65760 IVD65760 JEZ65760 JOV65760 JYR65760 KIN65760 KSJ65760 LCF65760 LMB65760 LVX65760 MFT65760 MPP65760 MZL65760 NJH65760 NTD65760 OCZ65760 OMV65760 OWR65760 PGN65760 PQJ65760 QAF65760 QKB65760 QTX65760 RDT65760 RNP65760 RXL65760 SHH65760 SRD65760 TAZ65760 TKV65760 TUR65760 UEN65760 UOJ65760 UYF65760 VIB65760 VRX65760 WBT65760 WLP65760 WVL65760 D131296 IZ131296 SV131296 ACR131296 AMN131296 AWJ131296 BGF131296 BQB131296 BZX131296 CJT131296 CTP131296 DDL131296 DNH131296 DXD131296 EGZ131296 EQV131296 FAR131296 FKN131296 FUJ131296 GEF131296 GOB131296 GXX131296 HHT131296 HRP131296 IBL131296 ILH131296 IVD131296 JEZ131296 JOV131296 JYR131296 KIN131296 KSJ131296 LCF131296 LMB131296 LVX131296 MFT131296 MPP131296 MZL131296 NJH131296 NTD131296 OCZ131296 OMV131296 OWR131296 PGN131296 PQJ131296 QAF131296 QKB131296 QTX131296 RDT131296 RNP131296 RXL131296 SHH131296 SRD131296 TAZ131296 TKV131296 TUR131296 UEN131296 UOJ131296 UYF131296 VIB131296 VRX131296 WBT131296 WLP131296 WVL131296 D196832 IZ196832 SV196832 ACR196832 AMN196832 AWJ196832 BGF196832 BQB196832 BZX196832 CJT196832 CTP196832 DDL196832 DNH196832 DXD196832 EGZ196832 EQV196832 FAR196832 FKN196832 FUJ196832 GEF196832 GOB196832 GXX196832 HHT196832 HRP196832 IBL196832 ILH196832 IVD196832 JEZ196832 JOV196832 JYR196832 KIN196832 KSJ196832 LCF196832 LMB196832 LVX196832 MFT196832 MPP196832 MZL196832 NJH196832 NTD196832 OCZ196832 OMV196832 OWR196832 PGN196832 PQJ196832 QAF196832 QKB196832 QTX196832 RDT196832 RNP196832 RXL196832 SHH196832 SRD196832 TAZ196832 TKV196832 TUR196832 UEN196832 UOJ196832 UYF196832 VIB196832 VRX196832 WBT196832 WLP196832 WVL196832 D262368 IZ262368 SV262368 ACR262368 AMN262368 AWJ262368 BGF262368 BQB262368 BZX262368 CJT262368 CTP262368 DDL262368 DNH262368 DXD262368 EGZ262368 EQV262368 FAR262368 FKN262368 FUJ262368 GEF262368 GOB262368 GXX262368 HHT262368 HRP262368 IBL262368 ILH262368 IVD262368 JEZ262368 JOV262368 JYR262368 KIN262368 KSJ262368 LCF262368 LMB262368 LVX262368 MFT262368 MPP262368 MZL262368 NJH262368 NTD262368 OCZ262368 OMV262368 OWR262368 PGN262368 PQJ262368 QAF262368 QKB262368 QTX262368 RDT262368 RNP262368 RXL262368 SHH262368 SRD262368 TAZ262368 TKV262368 TUR262368 UEN262368 UOJ262368 UYF262368 VIB262368 VRX262368 WBT262368 WLP262368 WVL262368 D327904 IZ327904 SV327904 ACR327904 AMN327904 AWJ327904 BGF327904 BQB327904 BZX327904 CJT327904 CTP327904 DDL327904 DNH327904 DXD327904 EGZ327904 EQV327904 FAR327904 FKN327904 FUJ327904 GEF327904 GOB327904 GXX327904 HHT327904 HRP327904 IBL327904 ILH327904 IVD327904 JEZ327904 JOV327904 JYR327904 KIN327904 KSJ327904 LCF327904 LMB327904 LVX327904 MFT327904 MPP327904 MZL327904 NJH327904 NTD327904 OCZ327904 OMV327904 OWR327904 PGN327904 PQJ327904 QAF327904 QKB327904 QTX327904 RDT327904 RNP327904 RXL327904 SHH327904 SRD327904 TAZ327904 TKV327904 TUR327904 UEN327904 UOJ327904 UYF327904 VIB327904 VRX327904 WBT327904 WLP327904 WVL327904 D393440 IZ393440 SV393440 ACR393440 AMN393440 AWJ393440 BGF393440 BQB393440 BZX393440 CJT393440 CTP393440 DDL393440 DNH393440 DXD393440 EGZ393440 EQV393440 FAR393440 FKN393440 FUJ393440 GEF393440 GOB393440 GXX393440 HHT393440 HRP393440 IBL393440 ILH393440 IVD393440 JEZ393440 JOV393440 JYR393440 KIN393440 KSJ393440 LCF393440 LMB393440 LVX393440 MFT393440 MPP393440 MZL393440 NJH393440 NTD393440 OCZ393440 OMV393440 OWR393440 PGN393440 PQJ393440 QAF393440 QKB393440 QTX393440 RDT393440 RNP393440 RXL393440 SHH393440 SRD393440 TAZ393440 TKV393440 TUR393440 UEN393440 UOJ393440 UYF393440 VIB393440 VRX393440 WBT393440 WLP393440 WVL393440 D458976 IZ458976 SV458976 ACR458976 AMN458976 AWJ458976 BGF458976 BQB458976 BZX458976 CJT458976 CTP458976 DDL458976 DNH458976 DXD458976 EGZ458976 EQV458976 FAR458976 FKN458976 FUJ458976 GEF458976 GOB458976 GXX458976 HHT458976 HRP458976 IBL458976 ILH458976 IVD458976 JEZ458976 JOV458976 JYR458976 KIN458976 KSJ458976 LCF458976 LMB458976 LVX458976 MFT458976 MPP458976 MZL458976 NJH458976 NTD458976 OCZ458976 OMV458976 OWR458976 PGN458976 PQJ458976 QAF458976 QKB458976 QTX458976 RDT458976 RNP458976 RXL458976 SHH458976 SRD458976 TAZ458976 TKV458976 TUR458976 UEN458976 UOJ458976 UYF458976 VIB458976 VRX458976 WBT458976 WLP458976 WVL458976 D524512 IZ524512 SV524512 ACR524512 AMN524512 AWJ524512 BGF524512 BQB524512 BZX524512 CJT524512 CTP524512 DDL524512 DNH524512 DXD524512 EGZ524512 EQV524512 FAR524512 FKN524512 FUJ524512 GEF524512 GOB524512 GXX524512 HHT524512 HRP524512 IBL524512 ILH524512 IVD524512 JEZ524512 JOV524512 JYR524512 KIN524512 KSJ524512 LCF524512 LMB524512 LVX524512 MFT524512 MPP524512 MZL524512 NJH524512 NTD524512 OCZ524512 OMV524512 OWR524512 PGN524512 PQJ524512 QAF524512 QKB524512 QTX524512 RDT524512 RNP524512 RXL524512 SHH524512 SRD524512 TAZ524512 TKV524512 TUR524512 UEN524512 UOJ524512 UYF524512 VIB524512 VRX524512 WBT524512 WLP524512 WVL524512 D590048 IZ590048 SV590048 ACR590048 AMN590048 AWJ590048 BGF590048 BQB590048 BZX590048 CJT590048 CTP590048 DDL590048 DNH590048 DXD590048 EGZ590048 EQV590048 FAR590048 FKN590048 FUJ590048 GEF590048 GOB590048 GXX590048 HHT590048 HRP590048 IBL590048 ILH590048 IVD590048 JEZ590048 JOV590048 JYR590048 KIN590048 KSJ590048 LCF590048 LMB590048 LVX590048 MFT590048 MPP590048 MZL590048 NJH590048 NTD590048 OCZ590048 OMV590048 OWR590048 PGN590048 PQJ590048 QAF590048 QKB590048 QTX590048 RDT590048 RNP590048 RXL590048 SHH590048 SRD590048 TAZ590048 TKV590048 TUR590048 UEN590048 UOJ590048 UYF590048 VIB590048 VRX590048 WBT590048 WLP590048 WVL590048 D655584 IZ655584 SV655584 ACR655584 AMN655584 AWJ655584 BGF655584 BQB655584 BZX655584 CJT655584 CTP655584 DDL655584 DNH655584 DXD655584 EGZ655584 EQV655584 FAR655584 FKN655584 FUJ655584 GEF655584 GOB655584 GXX655584 HHT655584 HRP655584 IBL655584 ILH655584 IVD655584 JEZ655584 JOV655584 JYR655584 KIN655584 KSJ655584 LCF655584 LMB655584 LVX655584 MFT655584 MPP655584 MZL655584 NJH655584 NTD655584 OCZ655584 OMV655584 OWR655584 PGN655584 PQJ655584 QAF655584 QKB655584 QTX655584 RDT655584 RNP655584 RXL655584 SHH655584 SRD655584 TAZ655584 TKV655584 TUR655584 UEN655584 UOJ655584 UYF655584 VIB655584 VRX655584 WBT655584 WLP655584 WVL655584 D721120 IZ721120 SV721120 ACR721120 AMN721120 AWJ721120 BGF721120 BQB721120 BZX721120 CJT721120 CTP721120 DDL721120 DNH721120 DXD721120 EGZ721120 EQV721120 FAR721120 FKN721120 FUJ721120 GEF721120 GOB721120 GXX721120 HHT721120 HRP721120 IBL721120 ILH721120 IVD721120 JEZ721120 JOV721120 JYR721120 KIN721120 KSJ721120 LCF721120 LMB721120 LVX721120 MFT721120 MPP721120 MZL721120 NJH721120 NTD721120 OCZ721120 OMV721120 OWR721120 PGN721120 PQJ721120 QAF721120 QKB721120 QTX721120 RDT721120 RNP721120 RXL721120 SHH721120 SRD721120 TAZ721120 TKV721120 TUR721120 UEN721120 UOJ721120 UYF721120 VIB721120 VRX721120 WBT721120 WLP721120 WVL721120 D786656 IZ786656 SV786656 ACR786656 AMN786656 AWJ786656 BGF786656 BQB786656 BZX786656 CJT786656 CTP786656 DDL786656 DNH786656 DXD786656 EGZ786656 EQV786656 FAR786656 FKN786656 FUJ786656 GEF786656 GOB786656 GXX786656 HHT786656 HRP786656 IBL786656 ILH786656 IVD786656 JEZ786656 JOV786656 JYR786656 KIN786656 KSJ786656 LCF786656 LMB786656 LVX786656 MFT786656 MPP786656 MZL786656 NJH786656 NTD786656 OCZ786656 OMV786656 OWR786656 PGN786656 PQJ786656 QAF786656 QKB786656 QTX786656 RDT786656 RNP786656 RXL786656 SHH786656 SRD786656 TAZ786656 TKV786656 TUR786656 UEN786656 UOJ786656 UYF786656 VIB786656 VRX786656 WBT786656 WLP786656 WVL786656 D852192 IZ852192 SV852192 ACR852192 AMN852192 AWJ852192 BGF852192 BQB852192 BZX852192 CJT852192 CTP852192 DDL852192 DNH852192 DXD852192 EGZ852192 EQV852192 FAR852192 FKN852192 FUJ852192 GEF852192 GOB852192 GXX852192 HHT852192 HRP852192 IBL852192 ILH852192 IVD852192 JEZ852192 JOV852192 JYR852192 KIN852192 KSJ852192 LCF852192 LMB852192 LVX852192 MFT852192 MPP852192 MZL852192 NJH852192 NTD852192 OCZ852192 OMV852192 OWR852192 PGN852192 PQJ852192 QAF852192 QKB852192 QTX852192 RDT852192 RNP852192 RXL852192 SHH852192 SRD852192 TAZ852192 TKV852192 TUR852192 UEN852192 UOJ852192 UYF852192 VIB852192 VRX852192 WBT852192 WLP852192 WVL852192 D917728 IZ917728 SV917728 ACR917728 AMN917728 AWJ917728 BGF917728 BQB917728 BZX917728 CJT917728 CTP917728 DDL917728 DNH917728 DXD917728 EGZ917728 EQV917728 FAR917728 FKN917728 FUJ917728 GEF917728 GOB917728 GXX917728 HHT917728 HRP917728 IBL917728 ILH917728 IVD917728 JEZ917728 JOV917728 JYR917728 KIN917728 KSJ917728 LCF917728 LMB917728 LVX917728 MFT917728 MPP917728 MZL917728 NJH917728 NTD917728 OCZ917728 OMV917728 OWR917728 PGN917728 PQJ917728 QAF917728 QKB917728 QTX917728 RDT917728 RNP917728 RXL917728 SHH917728 SRD917728 TAZ917728 TKV917728 TUR917728 UEN917728 UOJ917728 UYF917728 VIB917728 VRX917728 WBT917728 WLP917728 WVL917728 D983264 IZ983264 SV983264 ACR983264 AMN983264 AWJ983264 BGF983264 BQB983264 BZX983264 CJT983264 CTP983264 DDL983264 DNH983264 DXD983264 EGZ983264 EQV983264 FAR983264 FKN983264 FUJ983264 GEF983264 GOB983264 GXX983264 HHT983264 HRP983264 IBL983264 ILH983264 IVD983264 JEZ983264 JOV983264 JYR983264 KIN983264 KSJ983264 LCF983264 LMB983264 LVX983264 MFT983264 MPP983264 MZL983264 NJH983264 NTD983264 OCZ983264 OMV983264 OWR983264 PGN983264 PQJ983264 QAF983264 QKB983264 QTX983264 RDT983264 RNP983264 RXL983264 SHH983264 SRD983264 TAZ983264 TKV983264 TUR983264 UEN983264 UOJ983264 UYF983264 VIB983264 VRX983264 WBT983264 WLP983264 WVL983264 D7:D8 IZ132 SV132 ACR132 AMN132 AWJ132 BGF132 BQB132 BZX132 CJT132 CTP132 DDL132 DNH132 DXD132 EGZ132 EQV132 FAR132 FKN132 FUJ132 GEF132 GOB132 GXX132 HHT132 HRP132 IBL132 ILH132 IVD132 JEZ132 JOV132 JYR132 KIN132 KSJ132 LCF132 LMB132 LVX132 MFT132 MPP132 MZL132 NJH132 NTD132 OCZ132 OMV132 OWR132 PGN132 PQJ132 QAF132 QKB132 QTX132 RDT132 RNP132 RXL132 SHH132 SRD132 TAZ132 TKV132 TUR132 UEN132 UOJ132 UYF132 VIB132 VRX132 WBT132 WLP132 WVL132 D65672 IZ65672 SV65672 ACR65672 AMN65672 AWJ65672 BGF65672 BQB65672 BZX65672 CJT65672 CTP65672 DDL65672 DNH65672 DXD65672 EGZ65672 EQV65672 FAR65672 FKN65672 FUJ65672 GEF65672 GOB65672 GXX65672 HHT65672 HRP65672 IBL65672 ILH65672 IVD65672 JEZ65672 JOV65672 JYR65672 KIN65672 KSJ65672 LCF65672 LMB65672 LVX65672 MFT65672 MPP65672 MZL65672 NJH65672 NTD65672 OCZ65672 OMV65672 OWR65672 PGN65672 PQJ65672 QAF65672 QKB65672 QTX65672 RDT65672 RNP65672 RXL65672 SHH65672 SRD65672 TAZ65672 TKV65672 TUR65672 UEN65672 UOJ65672 UYF65672 VIB65672 VRX65672 WBT65672 WLP65672 WVL65672 D131208 IZ131208 SV131208 ACR131208 AMN131208 AWJ131208 BGF131208 BQB131208 BZX131208 CJT131208 CTP131208 DDL131208 DNH131208 DXD131208 EGZ131208 EQV131208 FAR131208 FKN131208 FUJ131208 GEF131208 GOB131208 GXX131208 HHT131208 HRP131208 IBL131208 ILH131208 IVD131208 JEZ131208 JOV131208 JYR131208 KIN131208 KSJ131208 LCF131208 LMB131208 LVX131208 MFT131208 MPP131208 MZL131208 NJH131208 NTD131208 OCZ131208 OMV131208 OWR131208 PGN131208 PQJ131208 QAF131208 QKB131208 QTX131208 RDT131208 RNP131208 RXL131208 SHH131208 SRD131208 TAZ131208 TKV131208 TUR131208 UEN131208 UOJ131208 UYF131208 VIB131208 VRX131208 WBT131208 WLP131208 WVL131208 D196744 IZ196744 SV196744 ACR196744 AMN196744 AWJ196744 BGF196744 BQB196744 BZX196744 CJT196744 CTP196744 DDL196744 DNH196744 DXD196744 EGZ196744 EQV196744 FAR196744 FKN196744 FUJ196744 GEF196744 GOB196744 GXX196744 HHT196744 HRP196744 IBL196744 ILH196744 IVD196744 JEZ196744 JOV196744 JYR196744 KIN196744 KSJ196744 LCF196744 LMB196744 LVX196744 MFT196744 MPP196744 MZL196744 NJH196744 NTD196744 OCZ196744 OMV196744 OWR196744 PGN196744 PQJ196744 QAF196744 QKB196744 QTX196744 RDT196744 RNP196744 RXL196744 SHH196744 SRD196744 TAZ196744 TKV196744 TUR196744 UEN196744 UOJ196744 UYF196744 VIB196744 VRX196744 WBT196744 WLP196744 WVL196744 D262280 IZ262280 SV262280 ACR262280 AMN262280 AWJ262280 BGF262280 BQB262280 BZX262280 CJT262280 CTP262280 DDL262280 DNH262280 DXD262280 EGZ262280 EQV262280 FAR262280 FKN262280 FUJ262280 GEF262280 GOB262280 GXX262280 HHT262280 HRP262280 IBL262280 ILH262280 IVD262280 JEZ262280 JOV262280 JYR262280 KIN262280 KSJ262280 LCF262280 LMB262280 LVX262280 MFT262280 MPP262280 MZL262280 NJH262280 NTD262280 OCZ262280 OMV262280 OWR262280 PGN262280 PQJ262280 QAF262280 QKB262280 QTX262280 RDT262280 RNP262280 RXL262280 SHH262280 SRD262280 TAZ262280 TKV262280 TUR262280 UEN262280 UOJ262280 UYF262280 VIB262280 VRX262280 WBT262280 WLP262280 WVL262280 D327816 IZ327816 SV327816 ACR327816 AMN327816 AWJ327816 BGF327816 BQB327816 BZX327816 CJT327816 CTP327816 DDL327816 DNH327816 DXD327816 EGZ327816 EQV327816 FAR327816 FKN327816 FUJ327816 GEF327816 GOB327816 GXX327816 HHT327816 HRP327816 IBL327816 ILH327816 IVD327816 JEZ327816 JOV327816 JYR327816 KIN327816 KSJ327816 LCF327816 LMB327816 LVX327816 MFT327816 MPP327816 MZL327816 NJH327816 NTD327816 OCZ327816 OMV327816 OWR327816 PGN327816 PQJ327816 QAF327816 QKB327816 QTX327816 RDT327816 RNP327816 RXL327816 SHH327816 SRD327816 TAZ327816 TKV327816 TUR327816 UEN327816 UOJ327816 UYF327816 VIB327816 VRX327816 WBT327816 WLP327816 WVL327816 D393352 IZ393352 SV393352 ACR393352 AMN393352 AWJ393352 BGF393352 BQB393352 BZX393352 CJT393352 CTP393352 DDL393352 DNH393352 DXD393352 EGZ393352 EQV393352 FAR393352 FKN393352 FUJ393352 GEF393352 GOB393352 GXX393352 HHT393352 HRP393352 IBL393352 ILH393352 IVD393352 JEZ393352 JOV393352 JYR393352 KIN393352 KSJ393352 LCF393352 LMB393352 LVX393352 MFT393352 MPP393352 MZL393352 NJH393352 NTD393352 OCZ393352 OMV393352 OWR393352 PGN393352 PQJ393352 QAF393352 QKB393352 QTX393352 RDT393352 RNP393352 RXL393352 SHH393352 SRD393352 TAZ393352 TKV393352 TUR393352 UEN393352 UOJ393352 UYF393352 VIB393352 VRX393352 WBT393352 WLP393352 WVL393352 D458888 IZ458888 SV458888 ACR458888 AMN458888 AWJ458888 BGF458888 BQB458888 BZX458888 CJT458888 CTP458888 DDL458888 DNH458888 DXD458888 EGZ458888 EQV458888 FAR458888 FKN458888 FUJ458888 GEF458888 GOB458888 GXX458888 HHT458888 HRP458888 IBL458888 ILH458888 IVD458888 JEZ458888 JOV458888 JYR458888 KIN458888 KSJ458888 LCF458888 LMB458888 LVX458888 MFT458888 MPP458888 MZL458888 NJH458888 NTD458888 OCZ458888 OMV458888 OWR458888 PGN458888 PQJ458888 QAF458888 QKB458888 QTX458888 RDT458888 RNP458888 RXL458888 SHH458888 SRD458888 TAZ458888 TKV458888 TUR458888 UEN458888 UOJ458888 UYF458888 VIB458888 VRX458888 WBT458888 WLP458888 WVL458888 D524424 IZ524424 SV524424 ACR524424 AMN524424 AWJ524424 BGF524424 BQB524424 BZX524424 CJT524424 CTP524424 DDL524424 DNH524424 DXD524424 EGZ524424 EQV524424 FAR524424 FKN524424 FUJ524424 GEF524424 GOB524424 GXX524424 HHT524424 HRP524424 IBL524424 ILH524424 IVD524424 JEZ524424 JOV524424 JYR524424 KIN524424 KSJ524424 LCF524424 LMB524424 LVX524424 MFT524424 MPP524424 MZL524424 NJH524424 NTD524424 OCZ524424 OMV524424 OWR524424 PGN524424 PQJ524424 QAF524424 QKB524424 QTX524424 RDT524424 RNP524424 RXL524424 SHH524424 SRD524424 TAZ524424 TKV524424 TUR524424 UEN524424 UOJ524424 UYF524424 VIB524424 VRX524424 WBT524424 WLP524424 WVL524424 D589960 IZ589960 SV589960 ACR589960 AMN589960 AWJ589960 BGF589960 BQB589960 BZX589960 CJT589960 CTP589960 DDL589960 DNH589960 DXD589960 EGZ589960 EQV589960 FAR589960 FKN589960 FUJ589960 GEF589960 GOB589960 GXX589960 HHT589960 HRP589960 IBL589960 ILH589960 IVD589960 JEZ589960 JOV589960 JYR589960 KIN589960 KSJ589960 LCF589960 LMB589960 LVX589960 MFT589960 MPP589960 MZL589960 NJH589960 NTD589960 OCZ589960 OMV589960 OWR589960 PGN589960 PQJ589960 QAF589960 QKB589960 QTX589960 RDT589960 RNP589960 RXL589960 SHH589960 SRD589960 TAZ589960 TKV589960 TUR589960 UEN589960 UOJ589960 UYF589960 VIB589960 VRX589960 WBT589960 WLP589960 WVL589960 D655496 IZ655496 SV655496 ACR655496 AMN655496 AWJ655496 BGF655496 BQB655496 BZX655496 CJT655496 CTP655496 DDL655496 DNH655496 DXD655496 EGZ655496 EQV655496 FAR655496 FKN655496 FUJ655496 GEF655496 GOB655496 GXX655496 HHT655496 HRP655496 IBL655496 ILH655496 IVD655496 JEZ655496 JOV655496 JYR655496 KIN655496 KSJ655496 LCF655496 LMB655496 LVX655496 MFT655496 MPP655496 MZL655496 NJH655496 NTD655496 OCZ655496 OMV655496 OWR655496 PGN655496 PQJ655496 QAF655496 QKB655496 QTX655496 RDT655496 RNP655496 RXL655496 SHH655496 SRD655496 TAZ655496 TKV655496 TUR655496 UEN655496 UOJ655496 UYF655496 VIB655496 VRX655496 WBT655496 WLP655496 WVL655496 D721032 IZ721032 SV721032 ACR721032 AMN721032 AWJ721032 BGF721032 BQB721032 BZX721032 CJT721032 CTP721032 DDL721032 DNH721032 DXD721032 EGZ721032 EQV721032 FAR721032 FKN721032 FUJ721032 GEF721032 GOB721032 GXX721032 HHT721032 HRP721032 IBL721032 ILH721032 IVD721032 JEZ721032 JOV721032 JYR721032 KIN721032 KSJ721032 LCF721032 LMB721032 LVX721032 MFT721032 MPP721032 MZL721032 NJH721032 NTD721032 OCZ721032 OMV721032 OWR721032 PGN721032 PQJ721032 QAF721032 QKB721032 QTX721032 RDT721032 RNP721032 RXL721032 SHH721032 SRD721032 TAZ721032 TKV721032 TUR721032 UEN721032 UOJ721032 UYF721032 VIB721032 VRX721032 WBT721032 WLP721032 WVL721032 D786568 IZ786568 SV786568 ACR786568 AMN786568 AWJ786568 BGF786568 BQB786568 BZX786568 CJT786568 CTP786568 DDL786568 DNH786568 DXD786568 EGZ786568 EQV786568 FAR786568 FKN786568 FUJ786568 GEF786568 GOB786568 GXX786568 HHT786568 HRP786568 IBL786568 ILH786568 IVD786568 JEZ786568 JOV786568 JYR786568 KIN786568 KSJ786568 LCF786568 LMB786568 LVX786568 MFT786568 MPP786568 MZL786568 NJH786568 NTD786568 OCZ786568 OMV786568 OWR786568 PGN786568 PQJ786568 QAF786568 QKB786568 QTX786568 RDT786568 RNP786568 RXL786568 SHH786568 SRD786568 TAZ786568 TKV786568 TUR786568 UEN786568 UOJ786568 UYF786568 VIB786568 VRX786568 WBT786568 WLP786568 WVL786568 D852104 IZ852104 SV852104 ACR852104 AMN852104 AWJ852104 BGF852104 BQB852104 BZX852104 CJT852104 CTP852104 DDL852104 DNH852104 DXD852104 EGZ852104 EQV852104 FAR852104 FKN852104 FUJ852104 GEF852104 GOB852104 GXX852104 HHT852104 HRP852104 IBL852104 ILH852104 IVD852104 JEZ852104 JOV852104 JYR852104 KIN852104 KSJ852104 LCF852104 LMB852104 LVX852104 MFT852104 MPP852104 MZL852104 NJH852104 NTD852104 OCZ852104 OMV852104 OWR852104 PGN852104 PQJ852104 QAF852104 QKB852104 QTX852104 RDT852104 RNP852104 RXL852104 SHH852104 SRD852104 TAZ852104 TKV852104 TUR852104 UEN852104 UOJ852104 UYF852104 VIB852104 VRX852104 WBT852104 WLP852104 WVL852104 D917640 IZ917640 SV917640 ACR917640 AMN917640 AWJ917640 BGF917640 BQB917640 BZX917640 CJT917640 CTP917640 DDL917640 DNH917640 DXD917640 EGZ917640 EQV917640 FAR917640 FKN917640 FUJ917640 GEF917640 GOB917640 GXX917640 HHT917640 HRP917640 IBL917640 ILH917640 IVD917640 JEZ917640 JOV917640 JYR917640 KIN917640 KSJ917640 LCF917640 LMB917640 LVX917640 MFT917640 MPP917640 MZL917640 NJH917640 NTD917640 OCZ917640 OMV917640 OWR917640 PGN917640 PQJ917640 QAF917640 QKB917640 QTX917640 RDT917640 RNP917640 RXL917640 SHH917640 SRD917640 TAZ917640 TKV917640 TUR917640 UEN917640 UOJ917640 UYF917640 VIB917640 VRX917640 WBT917640 WLP917640 WVL917640 D983176 IZ983176 SV983176 ACR983176 AMN983176 AWJ983176 BGF983176 BQB983176 BZX983176 CJT983176 CTP983176 DDL983176 DNH983176 DXD983176 EGZ983176 EQV983176 FAR983176 FKN983176 FUJ983176 GEF983176 GOB983176 GXX983176 HHT983176 HRP983176 IBL983176 ILH983176 IVD983176 JEZ983176 JOV983176 JYR983176 KIN983176 KSJ983176 LCF983176 LMB983176 LVX983176 MFT983176 MPP983176 MZL983176 NJH983176 NTD983176 OCZ983176 OMV983176 OWR983176 PGN983176 PQJ983176 QAF983176 QKB983176 QTX983176 RDT983176 RNP983176 RXL983176 SHH983176 SRD983176 TAZ983176 TKV983176 TUR983176 UEN983176 UOJ983176 UYF983176 VIB983176 VRX983176 WBT983176 WLP983176 WVL983176 WVK983095:WVL983095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89 IZ65589 SV65589 ACR65589 AMN65589 AWJ65589 BGF65589 BQB65589 BZX65589 CJT65589 CTP65589 DDL65589 DNH65589 DXD65589 EGZ65589 EQV65589 FAR65589 FKN65589 FUJ65589 GEF65589 GOB65589 GXX65589 HHT65589 HRP65589 IBL65589 ILH65589 IVD65589 JEZ65589 JOV65589 JYR65589 KIN65589 KSJ65589 LCF65589 LMB65589 LVX65589 MFT65589 MPP65589 MZL65589 NJH65589 NTD65589 OCZ65589 OMV65589 OWR65589 PGN65589 PQJ65589 QAF65589 QKB65589 QTX65589 RDT65589 RNP65589 RXL65589 SHH65589 SRD65589 TAZ65589 TKV65589 TUR65589 UEN65589 UOJ65589 UYF65589 VIB65589 VRX65589 WBT65589 WLP65589 WVL65589 D131125 IZ131125 SV131125 ACR131125 AMN131125 AWJ131125 BGF131125 BQB131125 BZX131125 CJT131125 CTP131125 DDL131125 DNH131125 DXD131125 EGZ131125 EQV131125 FAR131125 FKN131125 FUJ131125 GEF131125 GOB131125 GXX131125 HHT131125 HRP131125 IBL131125 ILH131125 IVD131125 JEZ131125 JOV131125 JYR131125 KIN131125 KSJ131125 LCF131125 LMB131125 LVX131125 MFT131125 MPP131125 MZL131125 NJH131125 NTD131125 OCZ131125 OMV131125 OWR131125 PGN131125 PQJ131125 QAF131125 QKB131125 QTX131125 RDT131125 RNP131125 RXL131125 SHH131125 SRD131125 TAZ131125 TKV131125 TUR131125 UEN131125 UOJ131125 UYF131125 VIB131125 VRX131125 WBT131125 WLP131125 WVL131125 D196661 IZ196661 SV196661 ACR196661 AMN196661 AWJ196661 BGF196661 BQB196661 BZX196661 CJT196661 CTP196661 DDL196661 DNH196661 DXD196661 EGZ196661 EQV196661 FAR196661 FKN196661 FUJ196661 GEF196661 GOB196661 GXX196661 HHT196661 HRP196661 IBL196661 ILH196661 IVD196661 JEZ196661 JOV196661 JYR196661 KIN196661 KSJ196661 LCF196661 LMB196661 LVX196661 MFT196661 MPP196661 MZL196661 NJH196661 NTD196661 OCZ196661 OMV196661 OWR196661 PGN196661 PQJ196661 QAF196661 QKB196661 QTX196661 RDT196661 RNP196661 RXL196661 SHH196661 SRD196661 TAZ196661 TKV196661 TUR196661 UEN196661 UOJ196661 UYF196661 VIB196661 VRX196661 WBT196661 WLP196661 WVL196661 D262197 IZ262197 SV262197 ACR262197 AMN262197 AWJ262197 BGF262197 BQB262197 BZX262197 CJT262197 CTP262197 DDL262197 DNH262197 DXD262197 EGZ262197 EQV262197 FAR262197 FKN262197 FUJ262197 GEF262197 GOB262197 GXX262197 HHT262197 HRP262197 IBL262197 ILH262197 IVD262197 JEZ262197 JOV262197 JYR262197 KIN262197 KSJ262197 LCF262197 LMB262197 LVX262197 MFT262197 MPP262197 MZL262197 NJH262197 NTD262197 OCZ262197 OMV262197 OWR262197 PGN262197 PQJ262197 QAF262197 QKB262197 QTX262197 RDT262197 RNP262197 RXL262197 SHH262197 SRD262197 TAZ262197 TKV262197 TUR262197 UEN262197 UOJ262197 UYF262197 VIB262197 VRX262197 WBT262197 WLP262197 WVL262197 D327733 IZ327733 SV327733 ACR327733 AMN327733 AWJ327733 BGF327733 BQB327733 BZX327733 CJT327733 CTP327733 DDL327733 DNH327733 DXD327733 EGZ327733 EQV327733 FAR327733 FKN327733 FUJ327733 GEF327733 GOB327733 GXX327733 HHT327733 HRP327733 IBL327733 ILH327733 IVD327733 JEZ327733 JOV327733 JYR327733 KIN327733 KSJ327733 LCF327733 LMB327733 LVX327733 MFT327733 MPP327733 MZL327733 NJH327733 NTD327733 OCZ327733 OMV327733 OWR327733 PGN327733 PQJ327733 QAF327733 QKB327733 QTX327733 RDT327733 RNP327733 RXL327733 SHH327733 SRD327733 TAZ327733 TKV327733 TUR327733 UEN327733 UOJ327733 UYF327733 VIB327733 VRX327733 WBT327733 WLP327733 WVL327733 D393269 IZ393269 SV393269 ACR393269 AMN393269 AWJ393269 BGF393269 BQB393269 BZX393269 CJT393269 CTP393269 DDL393269 DNH393269 DXD393269 EGZ393269 EQV393269 FAR393269 FKN393269 FUJ393269 GEF393269 GOB393269 GXX393269 HHT393269 HRP393269 IBL393269 ILH393269 IVD393269 JEZ393269 JOV393269 JYR393269 KIN393269 KSJ393269 LCF393269 LMB393269 LVX393269 MFT393269 MPP393269 MZL393269 NJH393269 NTD393269 OCZ393269 OMV393269 OWR393269 PGN393269 PQJ393269 QAF393269 QKB393269 QTX393269 RDT393269 RNP393269 RXL393269 SHH393269 SRD393269 TAZ393269 TKV393269 TUR393269 UEN393269 UOJ393269 UYF393269 VIB393269 VRX393269 WBT393269 WLP393269 WVL393269 D458805 IZ458805 SV458805 ACR458805 AMN458805 AWJ458805 BGF458805 BQB458805 BZX458805 CJT458805 CTP458805 DDL458805 DNH458805 DXD458805 EGZ458805 EQV458805 FAR458805 FKN458805 FUJ458805 GEF458805 GOB458805 GXX458805 HHT458805 HRP458805 IBL458805 ILH458805 IVD458805 JEZ458805 JOV458805 JYR458805 KIN458805 KSJ458805 LCF458805 LMB458805 LVX458805 MFT458805 MPP458805 MZL458805 NJH458805 NTD458805 OCZ458805 OMV458805 OWR458805 PGN458805 PQJ458805 QAF458805 QKB458805 QTX458805 RDT458805 RNP458805 RXL458805 SHH458805 SRD458805 TAZ458805 TKV458805 TUR458805 UEN458805 UOJ458805 UYF458805 VIB458805 VRX458805 WBT458805 WLP458805 WVL458805 D524341 IZ524341 SV524341 ACR524341 AMN524341 AWJ524341 BGF524341 BQB524341 BZX524341 CJT524341 CTP524341 DDL524341 DNH524341 DXD524341 EGZ524341 EQV524341 FAR524341 FKN524341 FUJ524341 GEF524341 GOB524341 GXX524341 HHT524341 HRP524341 IBL524341 ILH524341 IVD524341 JEZ524341 JOV524341 JYR524341 KIN524341 KSJ524341 LCF524341 LMB524341 LVX524341 MFT524341 MPP524341 MZL524341 NJH524341 NTD524341 OCZ524341 OMV524341 OWR524341 PGN524341 PQJ524341 QAF524341 QKB524341 QTX524341 RDT524341 RNP524341 RXL524341 SHH524341 SRD524341 TAZ524341 TKV524341 TUR524341 UEN524341 UOJ524341 UYF524341 VIB524341 VRX524341 WBT524341 WLP524341 WVL524341 D589877 IZ589877 SV589877 ACR589877 AMN589877 AWJ589877 BGF589877 BQB589877 BZX589877 CJT589877 CTP589877 DDL589877 DNH589877 DXD589877 EGZ589877 EQV589877 FAR589877 FKN589877 FUJ589877 GEF589877 GOB589877 GXX589877 HHT589877 HRP589877 IBL589877 ILH589877 IVD589877 JEZ589877 JOV589877 JYR589877 KIN589877 KSJ589877 LCF589877 LMB589877 LVX589877 MFT589877 MPP589877 MZL589877 NJH589877 NTD589877 OCZ589877 OMV589877 OWR589877 PGN589877 PQJ589877 QAF589877 QKB589877 QTX589877 RDT589877 RNP589877 RXL589877 SHH589877 SRD589877 TAZ589877 TKV589877 TUR589877 UEN589877 UOJ589877 UYF589877 VIB589877 VRX589877 WBT589877 WLP589877 WVL589877 D655413 IZ655413 SV655413 ACR655413 AMN655413 AWJ655413 BGF655413 BQB655413 BZX655413 CJT655413 CTP655413 DDL655413 DNH655413 DXD655413 EGZ655413 EQV655413 FAR655413 FKN655413 FUJ655413 GEF655413 GOB655413 GXX655413 HHT655413 HRP655413 IBL655413 ILH655413 IVD655413 JEZ655413 JOV655413 JYR655413 KIN655413 KSJ655413 LCF655413 LMB655413 LVX655413 MFT655413 MPP655413 MZL655413 NJH655413 NTD655413 OCZ655413 OMV655413 OWR655413 PGN655413 PQJ655413 QAF655413 QKB655413 QTX655413 RDT655413 RNP655413 RXL655413 SHH655413 SRD655413 TAZ655413 TKV655413 TUR655413 UEN655413 UOJ655413 UYF655413 VIB655413 VRX655413 WBT655413 WLP655413 WVL655413 D720949 IZ720949 SV720949 ACR720949 AMN720949 AWJ720949 BGF720949 BQB720949 BZX720949 CJT720949 CTP720949 DDL720949 DNH720949 DXD720949 EGZ720949 EQV720949 FAR720949 FKN720949 FUJ720949 GEF720949 GOB720949 GXX720949 HHT720949 HRP720949 IBL720949 ILH720949 IVD720949 JEZ720949 JOV720949 JYR720949 KIN720949 KSJ720949 LCF720949 LMB720949 LVX720949 MFT720949 MPP720949 MZL720949 NJH720949 NTD720949 OCZ720949 OMV720949 OWR720949 PGN720949 PQJ720949 QAF720949 QKB720949 QTX720949 RDT720949 RNP720949 RXL720949 SHH720949 SRD720949 TAZ720949 TKV720949 TUR720949 UEN720949 UOJ720949 UYF720949 VIB720949 VRX720949 WBT720949 WLP720949 WVL720949 D786485 IZ786485 SV786485 ACR786485 AMN786485 AWJ786485 BGF786485 BQB786485 BZX786485 CJT786485 CTP786485 DDL786485 DNH786485 DXD786485 EGZ786485 EQV786485 FAR786485 FKN786485 FUJ786485 GEF786485 GOB786485 GXX786485 HHT786485 HRP786485 IBL786485 ILH786485 IVD786485 JEZ786485 JOV786485 JYR786485 KIN786485 KSJ786485 LCF786485 LMB786485 LVX786485 MFT786485 MPP786485 MZL786485 NJH786485 NTD786485 OCZ786485 OMV786485 OWR786485 PGN786485 PQJ786485 QAF786485 QKB786485 QTX786485 RDT786485 RNP786485 RXL786485 SHH786485 SRD786485 TAZ786485 TKV786485 TUR786485 UEN786485 UOJ786485 UYF786485 VIB786485 VRX786485 WBT786485 WLP786485 WVL786485 D852021 IZ852021 SV852021 ACR852021 AMN852021 AWJ852021 BGF852021 BQB852021 BZX852021 CJT852021 CTP852021 DDL852021 DNH852021 DXD852021 EGZ852021 EQV852021 FAR852021 FKN852021 FUJ852021 GEF852021 GOB852021 GXX852021 HHT852021 HRP852021 IBL852021 ILH852021 IVD852021 JEZ852021 JOV852021 JYR852021 KIN852021 KSJ852021 LCF852021 LMB852021 LVX852021 MFT852021 MPP852021 MZL852021 NJH852021 NTD852021 OCZ852021 OMV852021 OWR852021 PGN852021 PQJ852021 QAF852021 QKB852021 QTX852021 RDT852021 RNP852021 RXL852021 SHH852021 SRD852021 TAZ852021 TKV852021 TUR852021 UEN852021 UOJ852021 UYF852021 VIB852021 VRX852021 WBT852021 WLP852021 WVL852021 D917557 IZ917557 SV917557 ACR917557 AMN917557 AWJ917557 BGF917557 BQB917557 BZX917557 CJT917557 CTP917557 DDL917557 DNH917557 DXD917557 EGZ917557 EQV917557 FAR917557 FKN917557 FUJ917557 GEF917557 GOB917557 GXX917557 HHT917557 HRP917557 IBL917557 ILH917557 IVD917557 JEZ917557 JOV917557 JYR917557 KIN917557 KSJ917557 LCF917557 LMB917557 LVX917557 MFT917557 MPP917557 MZL917557 NJH917557 NTD917557 OCZ917557 OMV917557 OWR917557 PGN917557 PQJ917557 QAF917557 QKB917557 QTX917557 RDT917557 RNP917557 RXL917557 SHH917557 SRD917557 TAZ917557 TKV917557 TUR917557 UEN917557 UOJ917557 UYF917557 VIB917557 VRX917557 WBT917557 WLP917557 WVL917557 D983093 IZ983093 SV983093 ACR983093 AMN983093 AWJ983093 BGF983093 BQB983093 BZX983093 CJT983093 CTP983093 DDL983093 DNH983093 DXD983093 EGZ983093 EQV983093 FAR983093 FKN983093 FUJ983093 GEF983093 GOB983093 GXX983093 HHT983093 HRP983093 IBL983093 ILH983093 IVD983093 JEZ983093 JOV983093 JYR983093 KIN983093 KSJ983093 LCF983093 LMB983093 LVX983093 MFT983093 MPP983093 MZL983093 NJH983093 NTD983093 OCZ983093 OMV983093 OWR983093 PGN983093 PQJ983093 QAF983093 QKB983093 QTX983093 RDT983093 RNP983093 RXL983093 SHH983093 SRD983093 TAZ983093 TKV983093 TUR983093 UEN983093 UOJ983093 UYF983093 VIB983093 VRX983093 WBT983093 WLP983093 WVL983093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91:D65591 IY65591:IZ65591 SU65591:SV65591 ACQ65591:ACR65591 AMM65591:AMN65591 AWI65591:AWJ65591 BGE65591:BGF65591 BQA65591:BQB65591 BZW65591:BZX65591 CJS65591:CJT65591 CTO65591:CTP65591 DDK65591:DDL65591 DNG65591:DNH65591 DXC65591:DXD65591 EGY65591:EGZ65591 EQU65591:EQV65591 FAQ65591:FAR65591 FKM65591:FKN65591 FUI65591:FUJ65591 GEE65591:GEF65591 GOA65591:GOB65591 GXW65591:GXX65591 HHS65591:HHT65591 HRO65591:HRP65591 IBK65591:IBL65591 ILG65591:ILH65591 IVC65591:IVD65591 JEY65591:JEZ65591 JOU65591:JOV65591 JYQ65591:JYR65591 KIM65591:KIN65591 KSI65591:KSJ65591 LCE65591:LCF65591 LMA65591:LMB65591 LVW65591:LVX65591 MFS65591:MFT65591 MPO65591:MPP65591 MZK65591:MZL65591 NJG65591:NJH65591 NTC65591:NTD65591 OCY65591:OCZ65591 OMU65591:OMV65591 OWQ65591:OWR65591 PGM65591:PGN65591 PQI65591:PQJ65591 QAE65591:QAF65591 QKA65591:QKB65591 QTW65591:QTX65591 RDS65591:RDT65591 RNO65591:RNP65591 RXK65591:RXL65591 SHG65591:SHH65591 SRC65591:SRD65591 TAY65591:TAZ65591 TKU65591:TKV65591 TUQ65591:TUR65591 UEM65591:UEN65591 UOI65591:UOJ65591 UYE65591:UYF65591 VIA65591:VIB65591 VRW65591:VRX65591 WBS65591:WBT65591 WLO65591:WLP65591 WVK65591:WVL65591 C131127:D131127 IY131127:IZ131127 SU131127:SV131127 ACQ131127:ACR131127 AMM131127:AMN131127 AWI131127:AWJ131127 BGE131127:BGF131127 BQA131127:BQB131127 BZW131127:BZX131127 CJS131127:CJT131127 CTO131127:CTP131127 DDK131127:DDL131127 DNG131127:DNH131127 DXC131127:DXD131127 EGY131127:EGZ131127 EQU131127:EQV131127 FAQ131127:FAR131127 FKM131127:FKN131127 FUI131127:FUJ131127 GEE131127:GEF131127 GOA131127:GOB131127 GXW131127:GXX131127 HHS131127:HHT131127 HRO131127:HRP131127 IBK131127:IBL131127 ILG131127:ILH131127 IVC131127:IVD131127 JEY131127:JEZ131127 JOU131127:JOV131127 JYQ131127:JYR131127 KIM131127:KIN131127 KSI131127:KSJ131127 LCE131127:LCF131127 LMA131127:LMB131127 LVW131127:LVX131127 MFS131127:MFT131127 MPO131127:MPP131127 MZK131127:MZL131127 NJG131127:NJH131127 NTC131127:NTD131127 OCY131127:OCZ131127 OMU131127:OMV131127 OWQ131127:OWR131127 PGM131127:PGN131127 PQI131127:PQJ131127 QAE131127:QAF131127 QKA131127:QKB131127 QTW131127:QTX131127 RDS131127:RDT131127 RNO131127:RNP131127 RXK131127:RXL131127 SHG131127:SHH131127 SRC131127:SRD131127 TAY131127:TAZ131127 TKU131127:TKV131127 TUQ131127:TUR131127 UEM131127:UEN131127 UOI131127:UOJ131127 UYE131127:UYF131127 VIA131127:VIB131127 VRW131127:VRX131127 WBS131127:WBT131127 WLO131127:WLP131127 WVK131127:WVL131127 C196663:D196663 IY196663:IZ196663 SU196663:SV196663 ACQ196663:ACR196663 AMM196663:AMN196663 AWI196663:AWJ196663 BGE196663:BGF196663 BQA196663:BQB196663 BZW196663:BZX196663 CJS196663:CJT196663 CTO196663:CTP196663 DDK196663:DDL196663 DNG196663:DNH196663 DXC196663:DXD196663 EGY196663:EGZ196663 EQU196663:EQV196663 FAQ196663:FAR196663 FKM196663:FKN196663 FUI196663:FUJ196663 GEE196663:GEF196663 GOA196663:GOB196663 GXW196663:GXX196663 HHS196663:HHT196663 HRO196663:HRP196663 IBK196663:IBL196663 ILG196663:ILH196663 IVC196663:IVD196663 JEY196663:JEZ196663 JOU196663:JOV196663 JYQ196663:JYR196663 KIM196663:KIN196663 KSI196663:KSJ196663 LCE196663:LCF196663 LMA196663:LMB196663 LVW196663:LVX196663 MFS196663:MFT196663 MPO196663:MPP196663 MZK196663:MZL196663 NJG196663:NJH196663 NTC196663:NTD196663 OCY196663:OCZ196663 OMU196663:OMV196663 OWQ196663:OWR196663 PGM196663:PGN196663 PQI196663:PQJ196663 QAE196663:QAF196663 QKA196663:QKB196663 QTW196663:QTX196663 RDS196663:RDT196663 RNO196663:RNP196663 RXK196663:RXL196663 SHG196663:SHH196663 SRC196663:SRD196663 TAY196663:TAZ196663 TKU196663:TKV196663 TUQ196663:TUR196663 UEM196663:UEN196663 UOI196663:UOJ196663 UYE196663:UYF196663 VIA196663:VIB196663 VRW196663:VRX196663 WBS196663:WBT196663 WLO196663:WLP196663 WVK196663:WVL196663 C262199:D262199 IY262199:IZ262199 SU262199:SV262199 ACQ262199:ACR262199 AMM262199:AMN262199 AWI262199:AWJ262199 BGE262199:BGF262199 BQA262199:BQB262199 BZW262199:BZX262199 CJS262199:CJT262199 CTO262199:CTP262199 DDK262199:DDL262199 DNG262199:DNH262199 DXC262199:DXD262199 EGY262199:EGZ262199 EQU262199:EQV262199 FAQ262199:FAR262199 FKM262199:FKN262199 FUI262199:FUJ262199 GEE262199:GEF262199 GOA262199:GOB262199 GXW262199:GXX262199 HHS262199:HHT262199 HRO262199:HRP262199 IBK262199:IBL262199 ILG262199:ILH262199 IVC262199:IVD262199 JEY262199:JEZ262199 JOU262199:JOV262199 JYQ262199:JYR262199 KIM262199:KIN262199 KSI262199:KSJ262199 LCE262199:LCF262199 LMA262199:LMB262199 LVW262199:LVX262199 MFS262199:MFT262199 MPO262199:MPP262199 MZK262199:MZL262199 NJG262199:NJH262199 NTC262199:NTD262199 OCY262199:OCZ262199 OMU262199:OMV262199 OWQ262199:OWR262199 PGM262199:PGN262199 PQI262199:PQJ262199 QAE262199:QAF262199 QKA262199:QKB262199 QTW262199:QTX262199 RDS262199:RDT262199 RNO262199:RNP262199 RXK262199:RXL262199 SHG262199:SHH262199 SRC262199:SRD262199 TAY262199:TAZ262199 TKU262199:TKV262199 TUQ262199:TUR262199 UEM262199:UEN262199 UOI262199:UOJ262199 UYE262199:UYF262199 VIA262199:VIB262199 VRW262199:VRX262199 WBS262199:WBT262199 WLO262199:WLP262199 WVK262199:WVL262199 C327735:D327735 IY327735:IZ327735 SU327735:SV327735 ACQ327735:ACR327735 AMM327735:AMN327735 AWI327735:AWJ327735 BGE327735:BGF327735 BQA327735:BQB327735 BZW327735:BZX327735 CJS327735:CJT327735 CTO327735:CTP327735 DDK327735:DDL327735 DNG327735:DNH327735 DXC327735:DXD327735 EGY327735:EGZ327735 EQU327735:EQV327735 FAQ327735:FAR327735 FKM327735:FKN327735 FUI327735:FUJ327735 GEE327735:GEF327735 GOA327735:GOB327735 GXW327735:GXX327735 HHS327735:HHT327735 HRO327735:HRP327735 IBK327735:IBL327735 ILG327735:ILH327735 IVC327735:IVD327735 JEY327735:JEZ327735 JOU327735:JOV327735 JYQ327735:JYR327735 KIM327735:KIN327735 KSI327735:KSJ327735 LCE327735:LCF327735 LMA327735:LMB327735 LVW327735:LVX327735 MFS327735:MFT327735 MPO327735:MPP327735 MZK327735:MZL327735 NJG327735:NJH327735 NTC327735:NTD327735 OCY327735:OCZ327735 OMU327735:OMV327735 OWQ327735:OWR327735 PGM327735:PGN327735 PQI327735:PQJ327735 QAE327735:QAF327735 QKA327735:QKB327735 QTW327735:QTX327735 RDS327735:RDT327735 RNO327735:RNP327735 RXK327735:RXL327735 SHG327735:SHH327735 SRC327735:SRD327735 TAY327735:TAZ327735 TKU327735:TKV327735 TUQ327735:TUR327735 UEM327735:UEN327735 UOI327735:UOJ327735 UYE327735:UYF327735 VIA327735:VIB327735 VRW327735:VRX327735 WBS327735:WBT327735 WLO327735:WLP327735 WVK327735:WVL327735 C393271:D393271 IY393271:IZ393271 SU393271:SV393271 ACQ393271:ACR393271 AMM393271:AMN393271 AWI393271:AWJ393271 BGE393271:BGF393271 BQA393271:BQB393271 BZW393271:BZX393271 CJS393271:CJT393271 CTO393271:CTP393271 DDK393271:DDL393271 DNG393271:DNH393271 DXC393271:DXD393271 EGY393271:EGZ393271 EQU393271:EQV393271 FAQ393271:FAR393271 FKM393271:FKN393271 FUI393271:FUJ393271 GEE393271:GEF393271 GOA393271:GOB393271 GXW393271:GXX393271 HHS393271:HHT393271 HRO393271:HRP393271 IBK393271:IBL393271 ILG393271:ILH393271 IVC393271:IVD393271 JEY393271:JEZ393271 JOU393271:JOV393271 JYQ393271:JYR393271 KIM393271:KIN393271 KSI393271:KSJ393271 LCE393271:LCF393271 LMA393271:LMB393271 LVW393271:LVX393271 MFS393271:MFT393271 MPO393271:MPP393271 MZK393271:MZL393271 NJG393271:NJH393271 NTC393271:NTD393271 OCY393271:OCZ393271 OMU393271:OMV393271 OWQ393271:OWR393271 PGM393271:PGN393271 PQI393271:PQJ393271 QAE393271:QAF393271 QKA393271:QKB393271 QTW393271:QTX393271 RDS393271:RDT393271 RNO393271:RNP393271 RXK393271:RXL393271 SHG393271:SHH393271 SRC393271:SRD393271 TAY393271:TAZ393271 TKU393271:TKV393271 TUQ393271:TUR393271 UEM393271:UEN393271 UOI393271:UOJ393271 UYE393271:UYF393271 VIA393271:VIB393271 VRW393271:VRX393271 WBS393271:WBT393271 WLO393271:WLP393271 WVK393271:WVL393271 C458807:D458807 IY458807:IZ458807 SU458807:SV458807 ACQ458807:ACR458807 AMM458807:AMN458807 AWI458807:AWJ458807 BGE458807:BGF458807 BQA458807:BQB458807 BZW458807:BZX458807 CJS458807:CJT458807 CTO458807:CTP458807 DDK458807:DDL458807 DNG458807:DNH458807 DXC458807:DXD458807 EGY458807:EGZ458807 EQU458807:EQV458807 FAQ458807:FAR458807 FKM458807:FKN458807 FUI458807:FUJ458807 GEE458807:GEF458807 GOA458807:GOB458807 GXW458807:GXX458807 HHS458807:HHT458807 HRO458807:HRP458807 IBK458807:IBL458807 ILG458807:ILH458807 IVC458807:IVD458807 JEY458807:JEZ458807 JOU458807:JOV458807 JYQ458807:JYR458807 KIM458807:KIN458807 KSI458807:KSJ458807 LCE458807:LCF458807 LMA458807:LMB458807 LVW458807:LVX458807 MFS458807:MFT458807 MPO458807:MPP458807 MZK458807:MZL458807 NJG458807:NJH458807 NTC458807:NTD458807 OCY458807:OCZ458807 OMU458807:OMV458807 OWQ458807:OWR458807 PGM458807:PGN458807 PQI458807:PQJ458807 QAE458807:QAF458807 QKA458807:QKB458807 QTW458807:QTX458807 RDS458807:RDT458807 RNO458807:RNP458807 RXK458807:RXL458807 SHG458807:SHH458807 SRC458807:SRD458807 TAY458807:TAZ458807 TKU458807:TKV458807 TUQ458807:TUR458807 UEM458807:UEN458807 UOI458807:UOJ458807 UYE458807:UYF458807 VIA458807:VIB458807 VRW458807:VRX458807 WBS458807:WBT458807 WLO458807:WLP458807 WVK458807:WVL458807 C524343:D524343 IY524343:IZ524343 SU524343:SV524343 ACQ524343:ACR524343 AMM524343:AMN524343 AWI524343:AWJ524343 BGE524343:BGF524343 BQA524343:BQB524343 BZW524343:BZX524343 CJS524343:CJT524343 CTO524343:CTP524343 DDK524343:DDL524343 DNG524343:DNH524343 DXC524343:DXD524343 EGY524343:EGZ524343 EQU524343:EQV524343 FAQ524343:FAR524343 FKM524343:FKN524343 FUI524343:FUJ524343 GEE524343:GEF524343 GOA524343:GOB524343 GXW524343:GXX524343 HHS524343:HHT524343 HRO524343:HRP524343 IBK524343:IBL524343 ILG524343:ILH524343 IVC524343:IVD524343 JEY524343:JEZ524343 JOU524343:JOV524343 JYQ524343:JYR524343 KIM524343:KIN524343 KSI524343:KSJ524343 LCE524343:LCF524343 LMA524343:LMB524343 LVW524343:LVX524343 MFS524343:MFT524343 MPO524343:MPP524343 MZK524343:MZL524343 NJG524343:NJH524343 NTC524343:NTD524343 OCY524343:OCZ524343 OMU524343:OMV524343 OWQ524343:OWR524343 PGM524343:PGN524343 PQI524343:PQJ524343 QAE524343:QAF524343 QKA524343:QKB524343 QTW524343:QTX524343 RDS524343:RDT524343 RNO524343:RNP524343 RXK524343:RXL524343 SHG524343:SHH524343 SRC524343:SRD524343 TAY524343:TAZ524343 TKU524343:TKV524343 TUQ524343:TUR524343 UEM524343:UEN524343 UOI524343:UOJ524343 UYE524343:UYF524343 VIA524343:VIB524343 VRW524343:VRX524343 WBS524343:WBT524343 WLO524343:WLP524343 WVK524343:WVL524343 C589879:D589879 IY589879:IZ589879 SU589879:SV589879 ACQ589879:ACR589879 AMM589879:AMN589879 AWI589879:AWJ589879 BGE589879:BGF589879 BQA589879:BQB589879 BZW589879:BZX589879 CJS589879:CJT589879 CTO589879:CTP589879 DDK589879:DDL589879 DNG589879:DNH589879 DXC589879:DXD589879 EGY589879:EGZ589879 EQU589879:EQV589879 FAQ589879:FAR589879 FKM589879:FKN589879 FUI589879:FUJ589879 GEE589879:GEF589879 GOA589879:GOB589879 GXW589879:GXX589879 HHS589879:HHT589879 HRO589879:HRP589879 IBK589879:IBL589879 ILG589879:ILH589879 IVC589879:IVD589879 JEY589879:JEZ589879 JOU589879:JOV589879 JYQ589879:JYR589879 KIM589879:KIN589879 KSI589879:KSJ589879 LCE589879:LCF589879 LMA589879:LMB589879 LVW589879:LVX589879 MFS589879:MFT589879 MPO589879:MPP589879 MZK589879:MZL589879 NJG589879:NJH589879 NTC589879:NTD589879 OCY589879:OCZ589879 OMU589879:OMV589879 OWQ589879:OWR589879 PGM589879:PGN589879 PQI589879:PQJ589879 QAE589879:QAF589879 QKA589879:QKB589879 QTW589879:QTX589879 RDS589879:RDT589879 RNO589879:RNP589879 RXK589879:RXL589879 SHG589879:SHH589879 SRC589879:SRD589879 TAY589879:TAZ589879 TKU589879:TKV589879 TUQ589879:TUR589879 UEM589879:UEN589879 UOI589879:UOJ589879 UYE589879:UYF589879 VIA589879:VIB589879 VRW589879:VRX589879 WBS589879:WBT589879 WLO589879:WLP589879 WVK589879:WVL589879 C655415:D655415 IY655415:IZ655415 SU655415:SV655415 ACQ655415:ACR655415 AMM655415:AMN655415 AWI655415:AWJ655415 BGE655415:BGF655415 BQA655415:BQB655415 BZW655415:BZX655415 CJS655415:CJT655415 CTO655415:CTP655415 DDK655415:DDL655415 DNG655415:DNH655415 DXC655415:DXD655415 EGY655415:EGZ655415 EQU655415:EQV655415 FAQ655415:FAR655415 FKM655415:FKN655415 FUI655415:FUJ655415 GEE655415:GEF655415 GOA655415:GOB655415 GXW655415:GXX655415 HHS655415:HHT655415 HRO655415:HRP655415 IBK655415:IBL655415 ILG655415:ILH655415 IVC655415:IVD655415 JEY655415:JEZ655415 JOU655415:JOV655415 JYQ655415:JYR655415 KIM655415:KIN655415 KSI655415:KSJ655415 LCE655415:LCF655415 LMA655415:LMB655415 LVW655415:LVX655415 MFS655415:MFT655415 MPO655415:MPP655415 MZK655415:MZL655415 NJG655415:NJH655415 NTC655415:NTD655415 OCY655415:OCZ655415 OMU655415:OMV655415 OWQ655415:OWR655415 PGM655415:PGN655415 PQI655415:PQJ655415 QAE655415:QAF655415 QKA655415:QKB655415 QTW655415:QTX655415 RDS655415:RDT655415 RNO655415:RNP655415 RXK655415:RXL655415 SHG655415:SHH655415 SRC655415:SRD655415 TAY655415:TAZ655415 TKU655415:TKV655415 TUQ655415:TUR655415 UEM655415:UEN655415 UOI655415:UOJ655415 UYE655415:UYF655415 VIA655415:VIB655415 VRW655415:VRX655415 WBS655415:WBT655415 WLO655415:WLP655415 WVK655415:WVL655415 C720951:D720951 IY720951:IZ720951 SU720951:SV720951 ACQ720951:ACR720951 AMM720951:AMN720951 AWI720951:AWJ720951 BGE720951:BGF720951 BQA720951:BQB720951 BZW720951:BZX720951 CJS720951:CJT720951 CTO720951:CTP720951 DDK720951:DDL720951 DNG720951:DNH720951 DXC720951:DXD720951 EGY720951:EGZ720951 EQU720951:EQV720951 FAQ720951:FAR720951 FKM720951:FKN720951 FUI720951:FUJ720951 GEE720951:GEF720951 GOA720951:GOB720951 GXW720951:GXX720951 HHS720951:HHT720951 HRO720951:HRP720951 IBK720951:IBL720951 ILG720951:ILH720951 IVC720951:IVD720951 JEY720951:JEZ720951 JOU720951:JOV720951 JYQ720951:JYR720951 KIM720951:KIN720951 KSI720951:KSJ720951 LCE720951:LCF720951 LMA720951:LMB720951 LVW720951:LVX720951 MFS720951:MFT720951 MPO720951:MPP720951 MZK720951:MZL720951 NJG720951:NJH720951 NTC720951:NTD720951 OCY720951:OCZ720951 OMU720951:OMV720951 OWQ720951:OWR720951 PGM720951:PGN720951 PQI720951:PQJ720951 QAE720951:QAF720951 QKA720951:QKB720951 QTW720951:QTX720951 RDS720951:RDT720951 RNO720951:RNP720951 RXK720951:RXL720951 SHG720951:SHH720951 SRC720951:SRD720951 TAY720951:TAZ720951 TKU720951:TKV720951 TUQ720951:TUR720951 UEM720951:UEN720951 UOI720951:UOJ720951 UYE720951:UYF720951 VIA720951:VIB720951 VRW720951:VRX720951 WBS720951:WBT720951 WLO720951:WLP720951 WVK720951:WVL720951 C786487:D786487 IY786487:IZ786487 SU786487:SV786487 ACQ786487:ACR786487 AMM786487:AMN786487 AWI786487:AWJ786487 BGE786487:BGF786487 BQA786487:BQB786487 BZW786487:BZX786487 CJS786487:CJT786487 CTO786487:CTP786487 DDK786487:DDL786487 DNG786487:DNH786487 DXC786487:DXD786487 EGY786487:EGZ786487 EQU786487:EQV786487 FAQ786487:FAR786487 FKM786487:FKN786487 FUI786487:FUJ786487 GEE786487:GEF786487 GOA786487:GOB786487 GXW786487:GXX786487 HHS786487:HHT786487 HRO786487:HRP786487 IBK786487:IBL786487 ILG786487:ILH786487 IVC786487:IVD786487 JEY786487:JEZ786487 JOU786487:JOV786487 JYQ786487:JYR786487 KIM786487:KIN786487 KSI786487:KSJ786487 LCE786487:LCF786487 LMA786487:LMB786487 LVW786487:LVX786487 MFS786487:MFT786487 MPO786487:MPP786487 MZK786487:MZL786487 NJG786487:NJH786487 NTC786487:NTD786487 OCY786487:OCZ786487 OMU786487:OMV786487 OWQ786487:OWR786487 PGM786487:PGN786487 PQI786487:PQJ786487 QAE786487:QAF786487 QKA786487:QKB786487 QTW786487:QTX786487 RDS786487:RDT786487 RNO786487:RNP786487 RXK786487:RXL786487 SHG786487:SHH786487 SRC786487:SRD786487 TAY786487:TAZ786487 TKU786487:TKV786487 TUQ786487:TUR786487 UEM786487:UEN786487 UOI786487:UOJ786487 UYE786487:UYF786487 VIA786487:VIB786487 VRW786487:VRX786487 WBS786487:WBT786487 WLO786487:WLP786487 WVK786487:WVL786487 C852023:D852023 IY852023:IZ852023 SU852023:SV852023 ACQ852023:ACR852023 AMM852023:AMN852023 AWI852023:AWJ852023 BGE852023:BGF852023 BQA852023:BQB852023 BZW852023:BZX852023 CJS852023:CJT852023 CTO852023:CTP852023 DDK852023:DDL852023 DNG852023:DNH852023 DXC852023:DXD852023 EGY852023:EGZ852023 EQU852023:EQV852023 FAQ852023:FAR852023 FKM852023:FKN852023 FUI852023:FUJ852023 GEE852023:GEF852023 GOA852023:GOB852023 GXW852023:GXX852023 HHS852023:HHT852023 HRO852023:HRP852023 IBK852023:IBL852023 ILG852023:ILH852023 IVC852023:IVD852023 JEY852023:JEZ852023 JOU852023:JOV852023 JYQ852023:JYR852023 KIM852023:KIN852023 KSI852023:KSJ852023 LCE852023:LCF852023 LMA852023:LMB852023 LVW852023:LVX852023 MFS852023:MFT852023 MPO852023:MPP852023 MZK852023:MZL852023 NJG852023:NJH852023 NTC852023:NTD852023 OCY852023:OCZ852023 OMU852023:OMV852023 OWQ852023:OWR852023 PGM852023:PGN852023 PQI852023:PQJ852023 QAE852023:QAF852023 QKA852023:QKB852023 QTW852023:QTX852023 RDS852023:RDT852023 RNO852023:RNP852023 RXK852023:RXL852023 SHG852023:SHH852023 SRC852023:SRD852023 TAY852023:TAZ852023 TKU852023:TKV852023 TUQ852023:TUR852023 UEM852023:UEN852023 UOI852023:UOJ852023 UYE852023:UYF852023 VIA852023:VIB852023 VRW852023:VRX852023 WBS852023:WBT852023 WLO852023:WLP852023 WVK852023:WVL852023 C917559:D917559 IY917559:IZ917559 SU917559:SV917559 ACQ917559:ACR917559 AMM917559:AMN917559 AWI917559:AWJ917559 BGE917559:BGF917559 BQA917559:BQB917559 BZW917559:BZX917559 CJS917559:CJT917559 CTO917559:CTP917559 DDK917559:DDL917559 DNG917559:DNH917559 DXC917559:DXD917559 EGY917559:EGZ917559 EQU917559:EQV917559 FAQ917559:FAR917559 FKM917559:FKN917559 FUI917559:FUJ917559 GEE917559:GEF917559 GOA917559:GOB917559 GXW917559:GXX917559 HHS917559:HHT917559 HRO917559:HRP917559 IBK917559:IBL917559 ILG917559:ILH917559 IVC917559:IVD917559 JEY917559:JEZ917559 JOU917559:JOV917559 JYQ917559:JYR917559 KIM917559:KIN917559 KSI917559:KSJ917559 LCE917559:LCF917559 LMA917559:LMB917559 LVW917559:LVX917559 MFS917559:MFT917559 MPO917559:MPP917559 MZK917559:MZL917559 NJG917559:NJH917559 NTC917559:NTD917559 OCY917559:OCZ917559 OMU917559:OMV917559 OWQ917559:OWR917559 PGM917559:PGN917559 PQI917559:PQJ917559 QAE917559:QAF917559 QKA917559:QKB917559 QTW917559:QTX917559 RDS917559:RDT917559 RNO917559:RNP917559 RXK917559:RXL917559 SHG917559:SHH917559 SRC917559:SRD917559 TAY917559:TAZ917559 TKU917559:TKV917559 TUQ917559:TUR917559 UEM917559:UEN917559 UOI917559:UOJ917559 UYE917559:UYF917559 VIA917559:VIB917559 VRW917559:VRX917559 WBS917559:WBT917559 WLO917559:WLP917559 WVK917559:WVL917559 C983095:D983095 IY983095:IZ983095 SU983095:SV983095 ACQ983095:ACR983095 AMM983095:AMN983095 AWI983095:AWJ983095 BGE983095:BGF983095 BQA983095:BQB983095 BZW983095:BZX983095 CJS983095:CJT983095 CTO983095:CTP983095 DDK983095:DDL983095 DNG983095:DNH983095 DXC983095:DXD983095 EGY983095:EGZ983095 EQU983095:EQV983095 FAQ983095:FAR983095 FKM983095:FKN983095 FUI983095:FUJ983095 GEE983095:GEF983095 GOA983095:GOB983095 GXW983095:GXX983095 HHS983095:HHT983095 HRO983095:HRP983095 IBK983095:IBL983095 ILG983095:ILH983095 IVC983095:IVD983095 JEY983095:JEZ983095 JOU983095:JOV983095 JYQ983095:JYR983095 KIM983095:KIN983095 KSI983095:KSJ983095 LCE983095:LCF983095 LMA983095:LMB983095 LVW983095:LVX983095 MFS983095:MFT983095 MPO983095:MPP983095 MZK983095:MZL983095 NJG983095:NJH983095 NTC983095:NTD983095 OCY983095:OCZ983095 OMU983095:OMV983095 OWQ983095:OWR983095 PGM983095:PGN983095 PQI983095:PQJ983095 QAE983095:QAF983095 QKA983095:QKB983095 QTW983095:QTX983095 RDS983095:RDT983095 RNO983095:RNP983095 RXK983095:RXL983095 SHG983095:SHH983095 SRC983095:SRD983095 TAY983095:TAZ983095 TKU983095:TKV983095 TUQ983095:TUR983095 UEM983095:UEN983095 UOI983095:UOJ983095 UYE983095:UYF983095 VIA983095:VIB983095 VRW983095:VRX983095 WBS983095:WBT983095 WLO983095:WLP983095 D132" xr:uid="{6D24FBC1-8935-4EC8-A437-474D43E20C83}">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5" manualBreakCount="5">
    <brk id="46" max="21" man="1"/>
    <brk id="90" max="21" man="1"/>
    <brk id="130" max="21" man="1"/>
    <brk id="170" max="21" man="1"/>
    <brk id="224" max="2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4B76-06D2-472E-83B6-A827FA80BDD1}">
  <sheetPr codeName="Sheet10">
    <tabColor rgb="FF00B050"/>
  </sheetPr>
  <dimension ref="A1:AE175"/>
  <sheetViews>
    <sheetView showZeros="0" view="pageBreakPreview" topLeftCell="A76" zoomScale="115" zoomScaleNormal="100" zoomScaleSheetLayoutView="115" workbookViewId="0">
      <selection activeCell="X21" sqref="X2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958</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108</v>
      </c>
      <c r="C7" s="782"/>
      <c r="D7" s="781" t="s">
        <v>109</v>
      </c>
      <c r="E7" s="782"/>
      <c r="F7" s="255"/>
      <c r="H7" s="684" t="s">
        <v>1045</v>
      </c>
      <c r="I7" s="684"/>
      <c r="J7" s="684"/>
      <c r="K7" s="684"/>
      <c r="L7" s="684"/>
      <c r="M7" s="684"/>
      <c r="P7" s="186"/>
      <c r="R7" s="255"/>
      <c r="S7" s="187" t="s">
        <v>387</v>
      </c>
      <c r="T7" s="1216" t="s">
        <v>508</v>
      </c>
      <c r="U7" s="1247"/>
      <c r="V7" s="185"/>
    </row>
    <row r="8" spans="1:24" ht="18" customHeight="1">
      <c r="A8" s="184"/>
      <c r="B8" s="538"/>
      <c r="C8" s="538"/>
      <c r="D8" s="547"/>
      <c r="E8" s="547"/>
      <c r="F8" s="255"/>
      <c r="T8" s="1216" t="s">
        <v>956</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3200</v>
      </c>
      <c r="I10" s="792"/>
      <c r="J10" s="781">
        <v>600</v>
      </c>
      <c r="K10" s="782"/>
      <c r="L10" s="781" t="s">
        <v>6</v>
      </c>
      <c r="M10" s="782"/>
      <c r="N10" s="191" t="s">
        <v>342</v>
      </c>
      <c r="O10" s="125">
        <v>1</v>
      </c>
      <c r="P10" s="27" t="s">
        <v>8</v>
      </c>
      <c r="T10" s="1216"/>
      <c r="U10" s="1247"/>
      <c r="V10" s="185"/>
    </row>
    <row r="11" spans="1:24" ht="18" customHeight="1">
      <c r="A11" s="184"/>
      <c r="B11" s="47" t="s">
        <v>394</v>
      </c>
      <c r="H11" s="781">
        <v>0.5</v>
      </c>
      <c r="I11" s="782"/>
      <c r="T11" s="1248"/>
      <c r="U11" s="1248"/>
      <c r="V11" s="185"/>
    </row>
    <row r="12" spans="1:24" ht="18" customHeight="1">
      <c r="A12" s="184"/>
      <c r="B12" s="47" t="s">
        <v>396</v>
      </c>
      <c r="G12" s="120" t="s">
        <v>497</v>
      </c>
      <c r="H12" s="781">
        <v>5</v>
      </c>
      <c r="I12" s="782"/>
      <c r="J12" s="192" t="s">
        <v>333</v>
      </c>
      <c r="T12" s="295"/>
      <c r="U12" s="18"/>
      <c r="V12" s="185"/>
    </row>
    <row r="13" spans="1:24" ht="18" customHeight="1">
      <c r="A13" s="184"/>
      <c r="B13" s="30" t="s">
        <v>568</v>
      </c>
      <c r="G13" s="120" t="s">
        <v>569</v>
      </c>
      <c r="H13" s="781">
        <v>5</v>
      </c>
      <c r="I13" s="782"/>
      <c r="T13" s="295"/>
      <c r="U13" s="18"/>
      <c r="V13" s="185"/>
      <c r="W13" s="30" t="str">
        <f>J46</f>
        <v>Suitably Dimensioned</v>
      </c>
    </row>
    <row r="14" spans="1:24" ht="18" customHeight="1">
      <c r="A14" s="184"/>
      <c r="B14" s="47" t="s">
        <v>562</v>
      </c>
      <c r="G14" s="120" t="s">
        <v>493</v>
      </c>
      <c r="H14" s="781">
        <v>30</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REC670</v>
      </c>
      <c r="E18" s="227"/>
      <c r="F18" s="227"/>
      <c r="G18" s="227"/>
      <c r="H18" s="138"/>
      <c r="I18" s="260" t="s">
        <v>127</v>
      </c>
      <c r="J18" s="1250">
        <f>'CT-VT Burdens'!Q104</f>
        <v>0.02</v>
      </c>
      <c r="K18" s="1285"/>
      <c r="L18" s="3" t="s">
        <v>157</v>
      </c>
      <c r="N18" s="197" t="s">
        <v>510</v>
      </c>
      <c r="V18" s="185"/>
      <c r="AC18" s="14" t="s">
        <v>570</v>
      </c>
      <c r="AE18" s="14" t="s">
        <v>571</v>
      </c>
    </row>
    <row r="19" spans="1:31" ht="18" customHeight="1">
      <c r="A19" s="184"/>
      <c r="B19" s="96" t="s">
        <v>405</v>
      </c>
      <c r="D19" s="296" t="str">
        <f>T8</f>
        <v>CP-L96A</v>
      </c>
      <c r="I19" s="177" t="s">
        <v>127</v>
      </c>
      <c r="J19" s="1106">
        <v>2</v>
      </c>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5</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5</v>
      </c>
      <c r="Q22" s="684"/>
      <c r="R22" s="27" t="s">
        <v>157</v>
      </c>
      <c r="S22" s="27"/>
      <c r="T22" s="27"/>
      <c r="V22" s="185"/>
    </row>
    <row r="23" spans="1:31" ht="18" customHeight="1">
      <c r="A23" s="184"/>
      <c r="B23" s="1" t="s">
        <v>413</v>
      </c>
      <c r="C23" s="2"/>
      <c r="D23" s="2"/>
      <c r="E23" s="2"/>
      <c r="F23" s="196"/>
      <c r="G23" s="196"/>
      <c r="H23" s="224" t="s">
        <v>512</v>
      </c>
      <c r="I23" s="183" t="s">
        <v>127</v>
      </c>
      <c r="J23" s="722">
        <f>SUM(J18:K22)</f>
        <v>3.0970224399999999</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3200</v>
      </c>
      <c r="Q25" s="1251"/>
      <c r="R25" s="192" t="s">
        <v>8</v>
      </c>
      <c r="V25" s="185"/>
    </row>
    <row r="26" spans="1:31" ht="18" customHeight="1">
      <c r="A26" s="184"/>
      <c r="B26" s="47" t="s">
        <v>547</v>
      </c>
      <c r="C26" s="47"/>
      <c r="D26" s="47"/>
      <c r="E26" s="47"/>
      <c r="H26" s="27"/>
      <c r="I26" s="28"/>
      <c r="J26" s="199"/>
      <c r="L26" s="47"/>
      <c r="N26" s="120" t="s">
        <v>572</v>
      </c>
      <c r="O26" s="28" t="s">
        <v>127</v>
      </c>
      <c r="P26" s="1251">
        <f>H12</f>
        <v>5</v>
      </c>
      <c r="Q26" s="1251"/>
      <c r="R26" s="304" t="s">
        <v>157</v>
      </c>
      <c r="V26" s="185"/>
    </row>
    <row r="27" spans="1:31" ht="18" customHeight="1">
      <c r="A27" s="184"/>
      <c r="B27" s="47" t="s">
        <v>548</v>
      </c>
      <c r="C27" s="47"/>
      <c r="D27" s="47"/>
      <c r="E27" s="47"/>
      <c r="H27" s="27"/>
      <c r="I27" s="28"/>
      <c r="J27" s="199"/>
      <c r="L27" s="47"/>
      <c r="N27" s="120" t="s">
        <v>573</v>
      </c>
      <c r="O27" s="28" t="s">
        <v>127</v>
      </c>
      <c r="P27" s="1072">
        <f>J23</f>
        <v>3.0970224399999999</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296" t="s">
        <v>576</v>
      </c>
      <c r="C30" s="47"/>
      <c r="D30" s="47"/>
      <c r="E30" s="47"/>
      <c r="H30" s="27"/>
      <c r="I30" s="28"/>
      <c r="J30" s="199"/>
      <c r="L30" s="47"/>
      <c r="O30" s="28" t="s">
        <v>127</v>
      </c>
      <c r="P30" s="1072">
        <v>25</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3.0970224399999999</v>
      </c>
      <c r="K35" s="684"/>
      <c r="L35" s="28"/>
      <c r="M35" s="795"/>
      <c r="N35" s="684"/>
      <c r="V35" s="185"/>
    </row>
    <row r="36" spans="1:22" ht="18" customHeight="1">
      <c r="A36" s="184"/>
      <c r="F36" s="244"/>
      <c r="H36" s="120" t="s">
        <v>105</v>
      </c>
      <c r="I36" s="27" t="s">
        <v>127</v>
      </c>
      <c r="J36" s="27" t="s">
        <v>569</v>
      </c>
      <c r="K36" s="27" t="s">
        <v>554</v>
      </c>
      <c r="L36" s="120" t="s">
        <v>491</v>
      </c>
      <c r="M36" s="28" t="s">
        <v>347</v>
      </c>
      <c r="N36" s="120" t="s">
        <v>493</v>
      </c>
      <c r="O36" s="28" t="s">
        <v>539</v>
      </c>
      <c r="P36" s="120" t="s">
        <v>491</v>
      </c>
      <c r="Q36" s="28" t="s">
        <v>347</v>
      </c>
      <c r="R36" s="120" t="s">
        <v>512</v>
      </c>
      <c r="S36" s="296" t="s">
        <v>350</v>
      </c>
      <c r="V36" s="185"/>
    </row>
    <row r="37" spans="1:22" ht="18" customHeight="1">
      <c r="A37" s="184"/>
      <c r="I37" s="27" t="s">
        <v>127</v>
      </c>
      <c r="J37" s="245">
        <f>H13</f>
        <v>5</v>
      </c>
      <c r="K37" s="245" t="s">
        <v>554</v>
      </c>
      <c r="L37" s="301">
        <f>P22</f>
        <v>5</v>
      </c>
      <c r="M37" s="245" t="s">
        <v>347</v>
      </c>
      <c r="N37" s="242">
        <f>H14</f>
        <v>30</v>
      </c>
      <c r="O37" s="245" t="s">
        <v>539</v>
      </c>
      <c r="P37" s="301">
        <f>P22</f>
        <v>5</v>
      </c>
      <c r="Q37" s="245" t="s">
        <v>347</v>
      </c>
      <c r="R37" s="301">
        <f>J23</f>
        <v>3.0970224399999999</v>
      </c>
      <c r="S37" s="296" t="s">
        <v>350</v>
      </c>
      <c r="V37" s="185"/>
    </row>
    <row r="38" spans="1:22" ht="18" customHeight="1">
      <c r="A38" s="184"/>
      <c r="I38" s="27" t="s">
        <v>127</v>
      </c>
      <c r="J38" s="1111">
        <f>J37*((L37+N37)/(P37+R37))</f>
        <v>21.612883167457294</v>
      </c>
      <c r="K38" s="1111"/>
      <c r="L38" s="242"/>
      <c r="M38" s="242"/>
      <c r="N38" s="242"/>
      <c r="O38" s="242"/>
      <c r="P38" s="242"/>
      <c r="Q38" s="242"/>
      <c r="R38" s="242"/>
      <c r="V38" s="185"/>
    </row>
    <row r="39" spans="1:22" ht="18" customHeight="1">
      <c r="A39" s="184"/>
      <c r="I39" s="28"/>
      <c r="J39" s="211"/>
      <c r="K39" s="27"/>
      <c r="V39" s="185"/>
    </row>
    <row r="40" spans="1:22" ht="18" customHeight="1">
      <c r="A40" s="96" t="s">
        <v>584</v>
      </c>
      <c r="I40" s="28"/>
      <c r="J40" s="211"/>
      <c r="K40" s="27"/>
      <c r="V40" s="185"/>
    </row>
    <row r="41" spans="1:22" ht="18" customHeight="1">
      <c r="A41" s="184"/>
      <c r="B41" s="28">
        <v>1</v>
      </c>
      <c r="D41" s="14"/>
      <c r="H41" s="120" t="s">
        <v>492</v>
      </c>
      <c r="I41" s="28" t="s">
        <v>476</v>
      </c>
      <c r="J41" s="47" t="s">
        <v>104</v>
      </c>
      <c r="S41" s="14" t="s">
        <v>585</v>
      </c>
      <c r="V41" s="185"/>
    </row>
    <row r="42" spans="1:22" ht="18" customHeight="1">
      <c r="A42" s="184"/>
      <c r="G42" s="684">
        <f>H14</f>
        <v>30</v>
      </c>
      <c r="H42" s="684"/>
      <c r="I42" s="27" t="str">
        <f>IF(G42&gt;J42,"&gt;","&lt;")</f>
        <v>&gt;</v>
      </c>
      <c r="J42" s="795">
        <f>J35</f>
        <v>3.0970224399999999</v>
      </c>
      <c r="K42" s="684"/>
      <c r="S42" s="186" t="str">
        <f>IF(G42&gt;J42,"Satisfied","Not satisfied")</f>
        <v>Satisfied</v>
      </c>
      <c r="V42" s="185"/>
    </row>
    <row r="43" spans="1:22" ht="18" customHeight="1">
      <c r="A43" s="184"/>
      <c r="D43" s="14"/>
      <c r="H43" s="120"/>
      <c r="I43" s="27"/>
      <c r="R43" s="14"/>
      <c r="V43" s="185"/>
    </row>
    <row r="44" spans="1:22" ht="18" customHeight="1">
      <c r="A44" s="184"/>
      <c r="B44" s="28">
        <v>2</v>
      </c>
      <c r="D44" s="14"/>
      <c r="H44" s="244" t="s">
        <v>586</v>
      </c>
      <c r="I44" s="28" t="s">
        <v>476</v>
      </c>
      <c r="J44" s="14" t="s">
        <v>105</v>
      </c>
      <c r="K44" s="14"/>
      <c r="S44" s="14" t="s">
        <v>587</v>
      </c>
      <c r="V44" s="185"/>
    </row>
    <row r="45" spans="1:22" ht="18" customHeight="1">
      <c r="A45" s="184"/>
      <c r="D45" s="14"/>
      <c r="G45" s="795">
        <f>P30</f>
        <v>25</v>
      </c>
      <c r="H45" s="795"/>
      <c r="I45" s="27" t="str">
        <f>IF(G45&gt;J45,"&gt;","&lt;")</f>
        <v>&gt;</v>
      </c>
      <c r="J45" s="795">
        <f>J38</f>
        <v>21.612883167457294</v>
      </c>
      <c r="K45" s="795"/>
      <c r="R45" s="14"/>
      <c r="S45" s="186" t="str">
        <f>IF(G45&gt;J45,"Satisfied","Not satisfied")</f>
        <v>Satisfied</v>
      </c>
      <c r="V45" s="185"/>
    </row>
    <row r="46" spans="1:22" ht="18" customHeight="1">
      <c r="A46" s="184"/>
      <c r="D46" s="47"/>
      <c r="H46" s="244" t="s">
        <v>478</v>
      </c>
      <c r="J46" s="18" t="str">
        <f>IF(AND(I42="&gt;",I45="&gt;")=TRUE,"Suitably Dimensioned","Not suitable")</f>
        <v>Suitably Dimensioned</v>
      </c>
      <c r="O46" s="27"/>
      <c r="P46" s="211"/>
      <c r="Q46" s="211"/>
      <c r="R46" s="192"/>
      <c r="V46" s="185"/>
    </row>
    <row r="47" spans="1:22" ht="18" customHeight="1">
      <c r="A47" s="194"/>
      <c r="B47" s="195"/>
      <c r="C47" s="195"/>
      <c r="D47" s="195"/>
      <c r="E47" s="195"/>
      <c r="F47" s="195"/>
      <c r="G47" s="195"/>
      <c r="H47" s="195"/>
      <c r="I47" s="195"/>
      <c r="J47" s="195"/>
      <c r="K47" s="195"/>
      <c r="L47" s="195"/>
      <c r="M47" s="195"/>
      <c r="N47" s="195"/>
      <c r="O47" s="195"/>
      <c r="P47" s="195"/>
      <c r="Q47" s="224"/>
      <c r="R47" s="182"/>
      <c r="S47" s="225"/>
      <c r="T47" s="195"/>
      <c r="U47" s="195"/>
      <c r="V47" s="134"/>
    </row>
    <row r="48" spans="1:22" ht="18" customHeight="1">
      <c r="A48" s="226"/>
      <c r="B48" s="227"/>
      <c r="C48" s="227"/>
      <c r="D48" s="227"/>
      <c r="E48" s="227"/>
      <c r="F48" s="227"/>
      <c r="G48" s="227"/>
      <c r="H48" s="227"/>
      <c r="I48" s="227"/>
      <c r="J48" s="227"/>
      <c r="K48" s="227"/>
      <c r="L48" s="227"/>
      <c r="M48" s="227"/>
      <c r="N48" s="227"/>
      <c r="O48" s="227"/>
      <c r="P48" s="227"/>
      <c r="Q48" s="227"/>
      <c r="R48" s="227"/>
      <c r="S48" s="227"/>
      <c r="T48" s="227"/>
      <c r="U48" s="227"/>
      <c r="V48" s="228"/>
    </row>
    <row r="49" spans="1:23" ht="18" customHeight="1">
      <c r="A49" s="184"/>
      <c r="B49" s="835" t="str">
        <f>B7</f>
        <v>T1</v>
      </c>
      <c r="C49" s="836"/>
      <c r="D49" s="1112" t="str">
        <f>D7</f>
        <v>Core3</v>
      </c>
      <c r="E49" s="1113"/>
      <c r="F49" s="255"/>
      <c r="H49" s="684" t="str">
        <f>H7</f>
        <v>(Metering + BCU + PQM)</v>
      </c>
      <c r="I49" s="684"/>
      <c r="J49" s="684"/>
      <c r="K49" s="684"/>
      <c r="L49" s="684"/>
      <c r="M49" s="684"/>
      <c r="P49" s="186"/>
      <c r="R49" s="255"/>
      <c r="S49" s="187" t="s">
        <v>387</v>
      </c>
      <c r="T49" s="1216" t="str">
        <f>T7</f>
        <v>REC670</v>
      </c>
      <c r="U49" s="1247"/>
      <c r="V49" s="185"/>
    </row>
    <row r="50" spans="1:23" ht="18" customHeight="1">
      <c r="A50" s="184"/>
      <c r="B50" s="1118">
        <f>B8</f>
        <v>0</v>
      </c>
      <c r="C50" s="1118"/>
      <c r="D50" s="1114"/>
      <c r="E50" s="1115"/>
      <c r="F50" s="255"/>
      <c r="T50" s="1216" t="str">
        <f>T8</f>
        <v>CP-L96A</v>
      </c>
      <c r="U50" s="1247"/>
      <c r="V50" s="185"/>
    </row>
    <row r="51" spans="1:23" ht="18" customHeight="1">
      <c r="A51" s="184"/>
      <c r="H51" s="708" t="s">
        <v>390</v>
      </c>
      <c r="I51" s="708"/>
      <c r="J51" s="789" t="s">
        <v>391</v>
      </c>
      <c r="K51" s="789"/>
      <c r="L51" s="790" t="s">
        <v>392</v>
      </c>
      <c r="M51" s="790"/>
      <c r="T51" s="1216">
        <f>T9</f>
        <v>0</v>
      </c>
      <c r="U51" s="1247"/>
      <c r="V51" s="185"/>
    </row>
    <row r="52" spans="1:23" ht="18" customHeight="1">
      <c r="A52" s="184"/>
      <c r="B52" s="47" t="s">
        <v>393</v>
      </c>
      <c r="H52" s="835">
        <f>H10</f>
        <v>3200</v>
      </c>
      <c r="I52" s="836"/>
      <c r="J52" s="843">
        <f>J10</f>
        <v>600</v>
      </c>
      <c r="K52" s="844"/>
      <c r="L52" s="835" t="str">
        <f>L10</f>
        <v>-</v>
      </c>
      <c r="M52" s="836"/>
      <c r="N52" s="191" t="s">
        <v>342</v>
      </c>
      <c r="O52" s="488">
        <f>O10</f>
        <v>1</v>
      </c>
      <c r="P52" s="27" t="s">
        <v>8</v>
      </c>
      <c r="T52" s="1216"/>
      <c r="U52" s="1247"/>
      <c r="V52" s="185"/>
    </row>
    <row r="53" spans="1:23" ht="18" customHeight="1">
      <c r="A53" s="184"/>
      <c r="B53" s="47" t="s">
        <v>394</v>
      </c>
      <c r="H53" s="14"/>
      <c r="I53" s="14"/>
      <c r="J53" s="835">
        <f>H11</f>
        <v>0.5</v>
      </c>
      <c r="K53" s="836"/>
      <c r="L53" s="14"/>
      <c r="M53" s="14"/>
      <c r="V53" s="185"/>
    </row>
    <row r="54" spans="1:23" ht="18" customHeight="1">
      <c r="A54" s="184"/>
      <c r="B54" s="47" t="s">
        <v>396</v>
      </c>
      <c r="I54" s="120" t="s">
        <v>497</v>
      </c>
      <c r="J54" s="781">
        <v>1</v>
      </c>
      <c r="K54" s="782"/>
      <c r="L54" s="192" t="s">
        <v>333</v>
      </c>
      <c r="T54" s="295"/>
      <c r="U54" s="18"/>
      <c r="V54" s="185"/>
    </row>
    <row r="55" spans="1:23" ht="18" customHeight="1">
      <c r="A55" s="184"/>
      <c r="B55" s="30" t="s">
        <v>568</v>
      </c>
      <c r="I55" s="120" t="s">
        <v>569</v>
      </c>
      <c r="J55" s="781">
        <v>5</v>
      </c>
      <c r="K55" s="782"/>
      <c r="T55" s="295"/>
      <c r="U55" s="18"/>
      <c r="V55" s="185"/>
      <c r="W55" s="30" t="str">
        <f>J87</f>
        <v>Suitably Dimensioned</v>
      </c>
    </row>
    <row r="56" spans="1:23" ht="18" customHeight="1">
      <c r="A56" s="184"/>
      <c r="B56" s="47" t="s">
        <v>562</v>
      </c>
      <c r="I56" s="120" t="s">
        <v>493</v>
      </c>
      <c r="J56" s="781">
        <v>10</v>
      </c>
      <c r="K56" s="782"/>
      <c r="L56" s="14" t="s">
        <v>157</v>
      </c>
      <c r="T56" s="295"/>
      <c r="U56" s="18"/>
      <c r="V56" s="185"/>
    </row>
    <row r="57" spans="1:23" ht="18" customHeight="1">
      <c r="A57" s="184"/>
      <c r="V57" s="185"/>
    </row>
    <row r="58" spans="1:23" ht="18" customHeight="1">
      <c r="A58" s="193" t="s">
        <v>404</v>
      </c>
      <c r="V58" s="185"/>
    </row>
    <row r="59" spans="1:23" ht="18" customHeight="1">
      <c r="A59" s="184"/>
      <c r="V59" s="185"/>
    </row>
    <row r="60" spans="1:23" ht="18" customHeight="1">
      <c r="A60" s="184"/>
      <c r="B60" s="135" t="s">
        <v>405</v>
      </c>
      <c r="C60" s="273"/>
      <c r="D60" s="139" t="str">
        <f>D18</f>
        <v>REC670</v>
      </c>
      <c r="E60" s="227"/>
      <c r="F60" s="227"/>
      <c r="G60" s="227"/>
      <c r="H60" s="138"/>
      <c r="I60" s="260" t="s">
        <v>127</v>
      </c>
      <c r="J60" s="1213">
        <f t="shared" ref="J60:J65" si="0">J18</f>
        <v>0.02</v>
      </c>
      <c r="K60" s="1252"/>
      <c r="L60" s="3" t="s">
        <v>157</v>
      </c>
      <c r="N60" s="197" t="s">
        <v>510</v>
      </c>
      <c r="V60" s="185"/>
    </row>
    <row r="61" spans="1:23" ht="18" customHeight="1">
      <c r="A61" s="184"/>
      <c r="B61" s="96" t="s">
        <v>405</v>
      </c>
      <c r="D61" s="296" t="str">
        <f>D19</f>
        <v>CP-L96A</v>
      </c>
      <c r="I61" s="177" t="s">
        <v>127</v>
      </c>
      <c r="J61" s="1119">
        <f t="shared" si="0"/>
        <v>2</v>
      </c>
      <c r="K61" s="989"/>
      <c r="L61" s="198" t="s">
        <v>157</v>
      </c>
      <c r="P61" s="244"/>
      <c r="V61" s="185"/>
    </row>
    <row r="62" spans="1:23" ht="18" customHeight="1">
      <c r="A62" s="184"/>
      <c r="B62" s="96" t="s">
        <v>405</v>
      </c>
      <c r="C62" s="14"/>
      <c r="D62" s="47">
        <f>D20</f>
        <v>0</v>
      </c>
      <c r="E62" s="14"/>
      <c r="G62" s="199"/>
      <c r="H62" s="27"/>
      <c r="I62" s="101" t="s">
        <v>127</v>
      </c>
      <c r="J62" s="696">
        <f t="shared" si="0"/>
        <v>0</v>
      </c>
      <c r="K62" s="820"/>
      <c r="L62" s="202" t="s">
        <v>157</v>
      </c>
      <c r="N62" s="120" t="s">
        <v>491</v>
      </c>
      <c r="O62" s="27" t="s">
        <v>127</v>
      </c>
      <c r="P62" s="27" t="s">
        <v>511</v>
      </c>
      <c r="Q62" s="27" t="s">
        <v>315</v>
      </c>
      <c r="R62" s="27" t="s">
        <v>511</v>
      </c>
      <c r="S62" s="27" t="s">
        <v>315</v>
      </c>
      <c r="T62" s="27" t="s">
        <v>420</v>
      </c>
      <c r="V62" s="185"/>
    </row>
    <row r="63" spans="1:23" ht="18" customHeight="1">
      <c r="A63" s="184"/>
      <c r="B63" s="96" t="s">
        <v>405</v>
      </c>
      <c r="C63" s="14"/>
      <c r="D63" s="47">
        <f>T10</f>
        <v>0</v>
      </c>
      <c r="E63" s="14"/>
      <c r="G63" s="199"/>
      <c r="H63" s="27"/>
      <c r="I63" s="101" t="s">
        <v>127</v>
      </c>
      <c r="J63" s="696">
        <f t="shared" si="0"/>
        <v>0</v>
      </c>
      <c r="K63" s="820"/>
      <c r="L63" s="202" t="s">
        <v>157</v>
      </c>
      <c r="O63" s="27" t="s">
        <v>127</v>
      </c>
      <c r="P63" s="27">
        <f>O52</f>
        <v>1</v>
      </c>
      <c r="Q63" s="27" t="s">
        <v>315</v>
      </c>
      <c r="R63" s="27">
        <f>O52</f>
        <v>1</v>
      </c>
      <c r="S63" s="27" t="s">
        <v>315</v>
      </c>
      <c r="T63" s="27">
        <f>J54</f>
        <v>1</v>
      </c>
      <c r="V63" s="185"/>
    </row>
    <row r="64" spans="1:23" ht="18" customHeight="1">
      <c r="A64" s="184"/>
      <c r="B64" s="184" t="s">
        <v>412</v>
      </c>
      <c r="C64" s="14"/>
      <c r="D64" s="47"/>
      <c r="E64" s="14"/>
      <c r="H64" s="27"/>
      <c r="I64" s="101" t="s">
        <v>127</v>
      </c>
      <c r="J64" s="1120">
        <f t="shared" si="0"/>
        <v>1.0770224400000001</v>
      </c>
      <c r="K64" s="987"/>
      <c r="L64" s="297" t="s">
        <v>157</v>
      </c>
      <c r="O64" s="27" t="s">
        <v>127</v>
      </c>
      <c r="P64" s="795">
        <f>P63*R63*T63</f>
        <v>1</v>
      </c>
      <c r="Q64" s="684"/>
      <c r="R64" s="27" t="s">
        <v>157</v>
      </c>
      <c r="S64" s="27"/>
      <c r="T64" s="27"/>
      <c r="V64" s="185"/>
    </row>
    <row r="65" spans="1:22" ht="18" customHeight="1">
      <c r="A65" s="184"/>
      <c r="B65" s="1" t="s">
        <v>413</v>
      </c>
      <c r="C65" s="2"/>
      <c r="D65" s="2"/>
      <c r="E65" s="2"/>
      <c r="F65" s="196"/>
      <c r="G65" s="196"/>
      <c r="H65" s="224" t="s">
        <v>512</v>
      </c>
      <c r="I65" s="183" t="s">
        <v>127</v>
      </c>
      <c r="J65" s="722">
        <f t="shared" si="0"/>
        <v>3.0970224399999999</v>
      </c>
      <c r="K65" s="958"/>
      <c r="L65" s="3" t="s">
        <v>157</v>
      </c>
      <c r="O65" s="27"/>
      <c r="P65" s="211"/>
      <c r="Q65" s="211"/>
      <c r="R65" s="192"/>
      <c r="V65" s="185"/>
    </row>
    <row r="66" spans="1:22" ht="18" customHeight="1">
      <c r="A66" s="184"/>
      <c r="B66" s="47"/>
      <c r="C66" s="47"/>
      <c r="D66" s="47"/>
      <c r="E66" s="47"/>
      <c r="H66" s="27"/>
      <c r="I66" s="28"/>
      <c r="J66" s="218"/>
      <c r="K66" s="27"/>
      <c r="L66" s="47"/>
      <c r="O66" s="27"/>
      <c r="P66" s="211"/>
      <c r="Q66" s="211"/>
      <c r="R66" s="192"/>
      <c r="V66" s="185"/>
    </row>
    <row r="67" spans="1:22" ht="18" customHeight="1">
      <c r="A67" s="184"/>
      <c r="B67" s="47" t="s">
        <v>545</v>
      </c>
      <c r="C67" s="47"/>
      <c r="D67" s="47"/>
      <c r="E67" s="47"/>
      <c r="H67" s="27"/>
      <c r="I67" s="28"/>
      <c r="J67" s="199"/>
      <c r="L67" s="47"/>
      <c r="N67" s="120" t="s">
        <v>423</v>
      </c>
      <c r="O67" s="28" t="s">
        <v>127</v>
      </c>
      <c r="P67" s="1251">
        <f>J52</f>
        <v>600</v>
      </c>
      <c r="Q67" s="1251"/>
      <c r="R67" s="192" t="s">
        <v>8</v>
      </c>
      <c r="V67" s="185"/>
    </row>
    <row r="68" spans="1:22" ht="18" customHeight="1">
      <c r="A68" s="184"/>
      <c r="B68" s="47" t="s">
        <v>547</v>
      </c>
      <c r="C68" s="47"/>
      <c r="D68" s="47"/>
      <c r="E68" s="47"/>
      <c r="H68" s="27"/>
      <c r="I68" s="28"/>
      <c r="J68" s="199"/>
      <c r="L68" s="47"/>
      <c r="N68" s="120" t="s">
        <v>572</v>
      </c>
      <c r="O68" s="28" t="s">
        <v>127</v>
      </c>
      <c r="P68" s="1251">
        <f>J54</f>
        <v>1</v>
      </c>
      <c r="Q68" s="1251"/>
      <c r="R68" s="304" t="s">
        <v>157</v>
      </c>
      <c r="V68" s="185"/>
    </row>
    <row r="69" spans="1:22" ht="18" customHeight="1">
      <c r="A69" s="184"/>
      <c r="B69" s="47" t="s">
        <v>548</v>
      </c>
      <c r="C69" s="47"/>
      <c r="D69" s="47"/>
      <c r="E69" s="47"/>
      <c r="H69" s="27"/>
      <c r="I69" s="28"/>
      <c r="J69" s="199"/>
      <c r="L69" s="47"/>
      <c r="N69" s="120" t="s">
        <v>573</v>
      </c>
      <c r="O69" s="28" t="s">
        <v>127</v>
      </c>
      <c r="P69" s="1072">
        <f>J65</f>
        <v>3.0970224399999999</v>
      </c>
      <c r="Q69" s="1251"/>
      <c r="R69" s="304" t="s">
        <v>157</v>
      </c>
      <c r="V69" s="185"/>
    </row>
    <row r="70" spans="1:22" ht="18" customHeight="1">
      <c r="A70" s="184"/>
      <c r="B70" s="47" t="s">
        <v>549</v>
      </c>
      <c r="C70" s="47"/>
      <c r="D70" s="47"/>
      <c r="E70" s="47"/>
      <c r="H70" s="27"/>
      <c r="I70" s="28"/>
      <c r="J70" s="199"/>
      <c r="L70" s="47"/>
      <c r="N70" s="120" t="s">
        <v>511</v>
      </c>
      <c r="O70" s="28" t="s">
        <v>127</v>
      </c>
      <c r="P70" s="1251">
        <f>O52</f>
        <v>1</v>
      </c>
      <c r="Q70" s="1251"/>
      <c r="R70" s="192" t="s">
        <v>8</v>
      </c>
      <c r="V70" s="185"/>
    </row>
    <row r="71" spans="1:22" ht="18" customHeight="1">
      <c r="A71" s="184"/>
      <c r="B71" s="47" t="s">
        <v>574</v>
      </c>
      <c r="C71" s="47"/>
      <c r="D71" s="47"/>
      <c r="E71" s="47"/>
      <c r="H71" s="27"/>
      <c r="I71" s="28"/>
      <c r="J71" s="199"/>
      <c r="L71" s="47"/>
      <c r="N71" s="120" t="s">
        <v>495</v>
      </c>
      <c r="O71" s="28" t="s">
        <v>127</v>
      </c>
      <c r="P71" s="1251">
        <v>10</v>
      </c>
      <c r="Q71" s="1251"/>
      <c r="R71" s="192"/>
      <c r="V71" s="185"/>
    </row>
    <row r="72" spans="1:22" ht="18" customHeight="1">
      <c r="A72" s="184"/>
      <c r="B72" s="47" t="s">
        <v>577</v>
      </c>
      <c r="C72" s="47"/>
      <c r="D72" s="47"/>
      <c r="E72" s="47"/>
      <c r="H72" s="27"/>
      <c r="I72" s="28"/>
      <c r="J72" s="199"/>
      <c r="L72" s="47"/>
      <c r="O72" s="28" t="s">
        <v>127</v>
      </c>
      <c r="P72" s="1072">
        <v>25</v>
      </c>
      <c r="Q72" s="1072"/>
      <c r="R72" s="192" t="s">
        <v>129</v>
      </c>
      <c r="S72" s="14" t="s">
        <v>170</v>
      </c>
      <c r="V72" s="185"/>
    </row>
    <row r="73" spans="1:22" ht="18" hidden="1" customHeight="1">
      <c r="A73" s="184"/>
      <c r="B73" s="47"/>
      <c r="C73" s="47"/>
      <c r="D73" s="47"/>
      <c r="E73" s="47"/>
      <c r="H73" s="27"/>
      <c r="I73" s="28"/>
      <c r="J73" s="218"/>
      <c r="K73" s="27"/>
      <c r="L73" s="47"/>
      <c r="O73" s="27"/>
      <c r="P73" s="211"/>
      <c r="Q73" s="211"/>
      <c r="R73" s="192"/>
      <c r="V73" s="185"/>
    </row>
    <row r="74" spans="1:22" ht="18" customHeight="1">
      <c r="A74" s="184"/>
      <c r="B74" s="47"/>
      <c r="C74" s="47" t="s">
        <v>579</v>
      </c>
      <c r="D74" s="47"/>
      <c r="E74" s="47"/>
      <c r="H74" s="27"/>
      <c r="I74" s="28"/>
      <c r="J74" s="199"/>
      <c r="L74" s="47"/>
      <c r="O74" s="27"/>
      <c r="P74" s="211"/>
      <c r="Q74" s="305" t="s">
        <v>580</v>
      </c>
      <c r="R74" s="102" t="s">
        <v>127</v>
      </c>
      <c r="S74" s="775">
        <v>25</v>
      </c>
      <c r="T74" s="776"/>
      <c r="V74" s="185" t="s">
        <v>129</v>
      </c>
    </row>
    <row r="75" spans="1:22" ht="18" customHeight="1">
      <c r="A75" s="184"/>
      <c r="B75" s="47"/>
      <c r="C75" s="47" t="s">
        <v>581</v>
      </c>
      <c r="D75" s="47"/>
      <c r="E75" s="47"/>
      <c r="H75" s="27"/>
      <c r="I75" s="28" t="s">
        <v>127</v>
      </c>
      <c r="J75" s="281" t="s">
        <v>582</v>
      </c>
      <c r="L75" s="47"/>
      <c r="O75" s="27"/>
      <c r="P75" s="28" t="s">
        <v>347</v>
      </c>
      <c r="Q75" s="14" t="s">
        <v>583</v>
      </c>
      <c r="R75" s="192"/>
      <c r="V75" s="185"/>
    </row>
    <row r="76" spans="1:22" ht="18" customHeight="1">
      <c r="A76" s="184"/>
      <c r="I76" s="28" t="s">
        <v>127</v>
      </c>
      <c r="J76" s="795">
        <f>J65</f>
        <v>3.0970224399999999</v>
      </c>
      <c r="K76" s="684"/>
      <c r="L76" s="28"/>
      <c r="M76" s="795"/>
      <c r="N76" s="684"/>
      <c r="V76" s="185"/>
    </row>
    <row r="77" spans="1:22" ht="18" customHeight="1">
      <c r="A77" s="184"/>
      <c r="I77" s="28"/>
      <c r="J77" s="204"/>
      <c r="V77" s="185"/>
    </row>
    <row r="78" spans="1:22" ht="18" customHeight="1">
      <c r="A78" s="184"/>
      <c r="F78" s="244"/>
      <c r="H78" s="120" t="s">
        <v>105</v>
      </c>
      <c r="I78" s="27" t="s">
        <v>127</v>
      </c>
      <c r="J78" s="27" t="s">
        <v>569</v>
      </c>
      <c r="K78" s="27" t="s">
        <v>554</v>
      </c>
      <c r="L78" s="120" t="s">
        <v>491</v>
      </c>
      <c r="M78" s="28" t="s">
        <v>347</v>
      </c>
      <c r="N78" s="120" t="s">
        <v>493</v>
      </c>
      <c r="O78" s="28" t="s">
        <v>539</v>
      </c>
      <c r="P78" s="120" t="s">
        <v>491</v>
      </c>
      <c r="Q78" s="28" t="s">
        <v>347</v>
      </c>
      <c r="R78" s="120" t="s">
        <v>512</v>
      </c>
      <c r="S78" s="296" t="s">
        <v>350</v>
      </c>
      <c r="V78" s="185"/>
    </row>
    <row r="79" spans="1:22" ht="18" customHeight="1">
      <c r="A79" s="184"/>
      <c r="I79" s="27" t="s">
        <v>127</v>
      </c>
      <c r="J79" s="245">
        <f>J55</f>
        <v>5</v>
      </c>
      <c r="K79" s="245" t="s">
        <v>554</v>
      </c>
      <c r="L79" s="301">
        <f>P64</f>
        <v>1</v>
      </c>
      <c r="M79" s="245" t="s">
        <v>347</v>
      </c>
      <c r="N79" s="242">
        <f>J56</f>
        <v>10</v>
      </c>
      <c r="O79" s="245" t="s">
        <v>539</v>
      </c>
      <c r="P79" s="301">
        <f>P64</f>
        <v>1</v>
      </c>
      <c r="Q79" s="245" t="s">
        <v>347</v>
      </c>
      <c r="R79" s="301">
        <f>J65</f>
        <v>3.0970224399999999</v>
      </c>
      <c r="S79" s="296" t="s">
        <v>350</v>
      </c>
      <c r="V79" s="185"/>
    </row>
    <row r="80" spans="1:22" ht="18" customHeight="1">
      <c r="A80" s="184"/>
      <c r="I80" s="27" t="s">
        <v>127</v>
      </c>
      <c r="J80" s="1111">
        <f>J79*((L79+N79)/(P79+R79))</f>
        <v>13.424383391954279</v>
      </c>
      <c r="K80" s="1111"/>
      <c r="L80" s="242"/>
      <c r="M80" s="242"/>
      <c r="N80" s="242"/>
      <c r="O80" s="242"/>
      <c r="P80" s="242"/>
      <c r="Q80" s="242"/>
      <c r="R80" s="242"/>
      <c r="V80" s="185"/>
    </row>
    <row r="81" spans="1:22" ht="18" customHeight="1">
      <c r="A81" s="96" t="s">
        <v>584</v>
      </c>
      <c r="I81" s="28"/>
      <c r="J81" s="211"/>
      <c r="K81" s="27"/>
      <c r="V81" s="185"/>
    </row>
    <row r="82" spans="1:22" ht="18" customHeight="1">
      <c r="A82" s="184"/>
      <c r="B82" s="28">
        <v>1</v>
      </c>
      <c r="D82" s="14"/>
      <c r="H82" s="120" t="s">
        <v>492</v>
      </c>
      <c r="I82" s="28" t="s">
        <v>476</v>
      </c>
      <c r="J82" s="47" t="s">
        <v>104</v>
      </c>
      <c r="S82" s="14" t="s">
        <v>585</v>
      </c>
      <c r="V82" s="185"/>
    </row>
    <row r="83" spans="1:22" ht="18" customHeight="1">
      <c r="A83" s="184"/>
      <c r="G83" s="684">
        <f>J56</f>
        <v>10</v>
      </c>
      <c r="H83" s="684"/>
      <c r="I83" s="27" t="str">
        <f>IF(G83&gt;J83,"&gt;","&lt;")</f>
        <v>&gt;</v>
      </c>
      <c r="J83" s="795">
        <f>J76</f>
        <v>3.0970224399999999</v>
      </c>
      <c r="K83" s="684"/>
      <c r="S83" s="186" t="str">
        <f>IF(G83&gt;J83,"Satisfied","Not satisfied")</f>
        <v>Satisfied</v>
      </c>
      <c r="V83" s="185"/>
    </row>
    <row r="84" spans="1:22" ht="18" customHeight="1">
      <c r="A84" s="184"/>
      <c r="D84" s="14"/>
      <c r="H84" s="120"/>
      <c r="I84" s="27"/>
      <c r="R84" s="14"/>
      <c r="V84" s="185"/>
    </row>
    <row r="85" spans="1:22" ht="18" customHeight="1">
      <c r="A85" s="184"/>
      <c r="B85" s="28">
        <v>2</v>
      </c>
      <c r="D85" s="14"/>
      <c r="H85" s="244" t="s">
        <v>586</v>
      </c>
      <c r="I85" s="28" t="s">
        <v>476</v>
      </c>
      <c r="J85" s="14" t="s">
        <v>105</v>
      </c>
      <c r="K85" s="14"/>
      <c r="S85" s="14" t="s">
        <v>587</v>
      </c>
      <c r="V85" s="185"/>
    </row>
    <row r="86" spans="1:22" ht="18" customHeight="1">
      <c r="A86" s="184"/>
      <c r="D86" s="14"/>
      <c r="G86" s="795">
        <f>P72</f>
        <v>25</v>
      </c>
      <c r="H86" s="795"/>
      <c r="I86" s="27" t="str">
        <f>IF(G86&gt;J86,"&gt;","&lt;")</f>
        <v>&gt;</v>
      </c>
      <c r="J86" s="795">
        <f>J80</f>
        <v>13.424383391954279</v>
      </c>
      <c r="K86" s="795"/>
      <c r="R86" s="14"/>
      <c r="S86" s="186" t="str">
        <f>IF(G86&gt;J86,"Satisfied","Not satisfied")</f>
        <v>Satisfied</v>
      </c>
      <c r="V86" s="185"/>
    </row>
    <row r="87" spans="1:22" ht="18" customHeight="1">
      <c r="A87" s="184"/>
      <c r="D87" s="47"/>
      <c r="H87" s="244" t="s">
        <v>478</v>
      </c>
      <c r="J87" s="18" t="str">
        <f>IF(AND(I83="&gt;",I86="&gt;")=TRUE,"Suitably Dimensioned","Not suitable")</f>
        <v>Suitably Dimensioned</v>
      </c>
      <c r="O87" s="27"/>
      <c r="P87" s="211"/>
      <c r="Q87" s="211"/>
      <c r="R87" s="192"/>
      <c r="V87" s="185"/>
    </row>
    <row r="88" spans="1:22" ht="18" customHeight="1">
      <c r="A88" s="290"/>
      <c r="B88" s="196"/>
      <c r="C88" s="196"/>
      <c r="D88" s="2"/>
      <c r="E88" s="196"/>
      <c r="F88" s="196"/>
      <c r="G88" s="196"/>
      <c r="H88" s="306"/>
      <c r="I88" s="196"/>
      <c r="J88" s="195"/>
      <c r="K88" s="196"/>
      <c r="L88" s="196"/>
      <c r="M88" s="196"/>
      <c r="N88" s="196"/>
      <c r="O88" s="307"/>
      <c r="P88" s="308"/>
      <c r="Q88" s="308"/>
      <c r="R88" s="309"/>
      <c r="S88" s="196"/>
      <c r="T88" s="196"/>
      <c r="U88" s="196"/>
      <c r="V88" s="291"/>
    </row>
    <row r="89" spans="1:22" ht="18" hidden="1" customHeight="1">
      <c r="A89" s="184"/>
      <c r="D89" s="47"/>
      <c r="H89" s="244"/>
      <c r="J89" s="14"/>
      <c r="O89" s="27"/>
      <c r="P89" s="211"/>
      <c r="Q89" s="211"/>
      <c r="R89" s="192"/>
      <c r="V89" s="185"/>
    </row>
    <row r="90" spans="1:22" s="14" customFormat="1" ht="18" hidden="1" customHeight="1">
      <c r="A90" s="194"/>
      <c r="B90" s="195"/>
      <c r="C90" s="195"/>
      <c r="D90" s="195"/>
      <c r="E90" s="195"/>
      <c r="F90" s="195"/>
      <c r="G90" s="195"/>
      <c r="H90" s="195"/>
      <c r="I90" s="195"/>
      <c r="J90" s="195"/>
      <c r="K90" s="195"/>
      <c r="L90" s="195"/>
      <c r="M90" s="195"/>
      <c r="N90" s="195"/>
      <c r="O90" s="195"/>
      <c r="P90" s="195"/>
      <c r="Q90" s="224"/>
      <c r="R90" s="182"/>
      <c r="S90" s="225"/>
      <c r="T90" s="195"/>
      <c r="U90" s="195"/>
      <c r="V90" s="134"/>
    </row>
    <row r="91" spans="1:22" ht="18" hidden="1" customHeight="1">
      <c r="A91" s="226"/>
      <c r="B91" s="227"/>
      <c r="C91" s="227"/>
      <c r="D91" s="227"/>
      <c r="E91" s="227"/>
      <c r="F91" s="227"/>
      <c r="G91" s="227"/>
      <c r="H91" s="227"/>
      <c r="I91" s="227"/>
      <c r="J91" s="227"/>
      <c r="K91" s="227"/>
      <c r="L91" s="227"/>
      <c r="M91" s="227"/>
      <c r="N91" s="227"/>
      <c r="O91" s="227"/>
      <c r="P91" s="227"/>
      <c r="Q91" s="227"/>
      <c r="R91" s="227"/>
      <c r="S91" s="227"/>
      <c r="T91" s="227"/>
      <c r="U91" s="227"/>
      <c r="V91" s="228"/>
    </row>
    <row r="92" spans="1:22" ht="18" hidden="1" customHeight="1">
      <c r="A92" s="184"/>
      <c r="B92" s="854" t="str">
        <f>B49</f>
        <v>T1</v>
      </c>
      <c r="C92" s="831"/>
      <c r="D92" s="855" t="str">
        <f>D49</f>
        <v>Core3</v>
      </c>
      <c r="E92" s="856"/>
      <c r="F92" s="255"/>
      <c r="H92" s="684" t="str">
        <f>H49</f>
        <v>(Metering + BCU + PQM)</v>
      </c>
      <c r="I92" s="684"/>
      <c r="J92" s="684"/>
      <c r="K92" s="684"/>
      <c r="L92" s="684"/>
      <c r="M92" s="684"/>
      <c r="P92" s="186"/>
      <c r="V92" s="185"/>
    </row>
    <row r="93" spans="1:22" ht="18" hidden="1" customHeight="1">
      <c r="A93" s="184"/>
      <c r="B93" s="853">
        <f>B50</f>
        <v>0</v>
      </c>
      <c r="C93" s="853"/>
      <c r="D93" s="857"/>
      <c r="E93" s="858"/>
      <c r="F93" s="255"/>
      <c r="V93" s="185"/>
    </row>
    <row r="94" spans="1:22" ht="18" hidden="1" customHeight="1">
      <c r="A94" s="184"/>
      <c r="H94" s="708" t="s">
        <v>390</v>
      </c>
      <c r="I94" s="708"/>
      <c r="J94" s="708" t="s">
        <v>391</v>
      </c>
      <c r="K94" s="708"/>
      <c r="L94" s="789" t="s">
        <v>392</v>
      </c>
      <c r="M94" s="789"/>
      <c r="V94" s="185"/>
    </row>
    <row r="95" spans="1:22" ht="18" hidden="1" customHeight="1">
      <c r="A95" s="184"/>
      <c r="B95" s="47" t="s">
        <v>393</v>
      </c>
      <c r="H95" s="854">
        <f>H52</f>
        <v>3200</v>
      </c>
      <c r="I95" s="831"/>
      <c r="J95" s="854">
        <f>J52</f>
        <v>600</v>
      </c>
      <c r="K95" s="831"/>
      <c r="L95" s="863" t="str">
        <f>L52</f>
        <v>-</v>
      </c>
      <c r="M95" s="864"/>
      <c r="N95" s="191" t="s">
        <v>342</v>
      </c>
      <c r="O95" s="256">
        <f>O52</f>
        <v>1</v>
      </c>
      <c r="P95" s="27" t="s">
        <v>8</v>
      </c>
      <c r="V95" s="185"/>
    </row>
    <row r="96" spans="1:22" ht="18" hidden="1" customHeight="1">
      <c r="A96" s="184"/>
      <c r="B96" s="47" t="s">
        <v>394</v>
      </c>
      <c r="H96" s="14"/>
      <c r="I96" s="14"/>
      <c r="K96" s="14"/>
      <c r="L96" s="854">
        <f>J53</f>
        <v>0.5</v>
      </c>
      <c r="M96" s="831"/>
      <c r="N96" s="14"/>
      <c r="V96" s="185"/>
    </row>
    <row r="97" spans="1:23" ht="18" hidden="1" customHeight="1">
      <c r="A97" s="184"/>
      <c r="B97" s="47" t="s">
        <v>396</v>
      </c>
      <c r="I97" s="120"/>
      <c r="K97" s="120" t="s">
        <v>497</v>
      </c>
      <c r="L97" s="781" t="s">
        <v>6</v>
      </c>
      <c r="M97" s="782"/>
      <c r="N97" s="192" t="s">
        <v>333</v>
      </c>
      <c r="T97" s="295"/>
      <c r="U97" s="18"/>
      <c r="V97" s="185"/>
    </row>
    <row r="98" spans="1:23" ht="18" hidden="1" customHeight="1">
      <c r="A98" s="184"/>
      <c r="B98" s="30" t="s">
        <v>568</v>
      </c>
      <c r="I98" s="120"/>
      <c r="K98" s="120" t="s">
        <v>569</v>
      </c>
      <c r="L98" s="781" t="s">
        <v>6</v>
      </c>
      <c r="M98" s="782"/>
      <c r="T98" s="295"/>
      <c r="U98" s="18"/>
      <c r="V98" s="185"/>
      <c r="W98" s="30" t="e">
        <f>J127</f>
        <v>#VALUE!</v>
      </c>
    </row>
    <row r="99" spans="1:23" ht="18" hidden="1" customHeight="1">
      <c r="A99" s="184"/>
      <c r="B99" s="47" t="s">
        <v>562</v>
      </c>
      <c r="I99" s="120"/>
      <c r="K99" s="120" t="s">
        <v>493</v>
      </c>
      <c r="L99" s="781" t="s">
        <v>6</v>
      </c>
      <c r="M99" s="782"/>
      <c r="N99" s="14" t="s">
        <v>157</v>
      </c>
      <c r="T99" s="295"/>
      <c r="U99" s="18"/>
      <c r="V99" s="185"/>
    </row>
    <row r="100" spans="1:23" ht="18" hidden="1" customHeight="1">
      <c r="A100" s="184"/>
      <c r="V100" s="185"/>
    </row>
    <row r="101" spans="1:23" ht="18" hidden="1" customHeight="1">
      <c r="A101" s="193" t="s">
        <v>404</v>
      </c>
      <c r="V101" s="185"/>
    </row>
    <row r="102" spans="1:23" ht="18" hidden="1" customHeight="1">
      <c r="A102" s="184"/>
      <c r="V102" s="185"/>
    </row>
    <row r="103" spans="1:23" ht="18" hidden="1" customHeight="1">
      <c r="A103" s="184"/>
      <c r="B103" s="135" t="s">
        <v>405</v>
      </c>
      <c r="C103" s="273"/>
      <c r="D103" s="139" t="str">
        <f>D60</f>
        <v>REC670</v>
      </c>
      <c r="E103" s="227"/>
      <c r="F103" s="227"/>
      <c r="G103" s="227"/>
      <c r="H103" s="138"/>
      <c r="I103" s="260" t="s">
        <v>127</v>
      </c>
      <c r="J103" s="722">
        <f t="shared" ref="J103:J108" si="1">J60</f>
        <v>0.02</v>
      </c>
      <c r="K103" s="958"/>
      <c r="L103" s="3" t="s">
        <v>157</v>
      </c>
      <c r="N103" s="197" t="s">
        <v>510</v>
      </c>
      <c r="V103" s="185"/>
    </row>
    <row r="104" spans="1:23" ht="18" hidden="1" customHeight="1">
      <c r="A104" s="184"/>
      <c r="B104" s="96" t="s">
        <v>405</v>
      </c>
      <c r="D104" s="296" t="str">
        <f>D61</f>
        <v>CP-L96A</v>
      </c>
      <c r="I104" s="177" t="s">
        <v>127</v>
      </c>
      <c r="J104" s="1119">
        <f t="shared" si="1"/>
        <v>2</v>
      </c>
      <c r="K104" s="989"/>
      <c r="L104" s="198" t="s">
        <v>157</v>
      </c>
      <c r="P104" s="244"/>
      <c r="V104" s="185"/>
    </row>
    <row r="105" spans="1:23" ht="18" hidden="1" customHeight="1">
      <c r="A105" s="184"/>
      <c r="B105" s="96" t="s">
        <v>405</v>
      </c>
      <c r="C105" s="14"/>
      <c r="D105" s="47">
        <f>D62</f>
        <v>0</v>
      </c>
      <c r="E105" s="14"/>
      <c r="G105" s="199"/>
      <c r="H105" s="27"/>
      <c r="I105" s="101" t="s">
        <v>127</v>
      </c>
      <c r="J105" s="696">
        <f t="shared" si="1"/>
        <v>0</v>
      </c>
      <c r="K105" s="820"/>
      <c r="L105" s="202" t="s">
        <v>157</v>
      </c>
      <c r="N105" s="120" t="s">
        <v>491</v>
      </c>
      <c r="O105" s="27" t="s">
        <v>127</v>
      </c>
      <c r="P105" s="27" t="s">
        <v>511</v>
      </c>
      <c r="Q105" s="27" t="s">
        <v>315</v>
      </c>
      <c r="R105" s="27" t="s">
        <v>511</v>
      </c>
      <c r="S105" s="27" t="s">
        <v>315</v>
      </c>
      <c r="T105" s="27" t="s">
        <v>420</v>
      </c>
      <c r="V105" s="185"/>
    </row>
    <row r="106" spans="1:23" ht="18" hidden="1" customHeight="1">
      <c r="A106" s="184"/>
      <c r="B106" s="96" t="s">
        <v>405</v>
      </c>
      <c r="C106" s="14"/>
      <c r="D106" s="47">
        <f>T10</f>
        <v>0</v>
      </c>
      <c r="E106" s="14"/>
      <c r="G106" s="199"/>
      <c r="H106" s="27"/>
      <c r="I106" s="101" t="s">
        <v>127</v>
      </c>
      <c r="J106" s="696">
        <f t="shared" si="1"/>
        <v>0</v>
      </c>
      <c r="K106" s="820"/>
      <c r="L106" s="202" t="s">
        <v>157</v>
      </c>
      <c r="O106" s="27" t="s">
        <v>127</v>
      </c>
      <c r="P106" s="27">
        <f>O95</f>
        <v>1</v>
      </c>
      <c r="Q106" s="27" t="s">
        <v>315</v>
      </c>
      <c r="R106" s="27">
        <f>O95</f>
        <v>1</v>
      </c>
      <c r="S106" s="27" t="s">
        <v>315</v>
      </c>
      <c r="T106" s="27" t="str">
        <f>L97</f>
        <v>-</v>
      </c>
      <c r="V106" s="185"/>
    </row>
    <row r="107" spans="1:23" ht="18" hidden="1" customHeight="1">
      <c r="A107" s="184"/>
      <c r="B107" s="184" t="s">
        <v>412</v>
      </c>
      <c r="C107" s="14"/>
      <c r="D107" s="47"/>
      <c r="E107" s="14"/>
      <c r="H107" s="27"/>
      <c r="I107" s="101" t="s">
        <v>127</v>
      </c>
      <c r="J107" s="1120">
        <f t="shared" si="1"/>
        <v>1.0770224400000001</v>
      </c>
      <c r="K107" s="987"/>
      <c r="L107" s="297" t="s">
        <v>157</v>
      </c>
      <c r="O107" s="27" t="s">
        <v>127</v>
      </c>
      <c r="P107" s="795" t="e">
        <f>P106*R106*T106</f>
        <v>#VALUE!</v>
      </c>
      <c r="Q107" s="684"/>
      <c r="R107" s="27" t="s">
        <v>157</v>
      </c>
      <c r="S107" s="27"/>
      <c r="T107" s="27"/>
      <c r="V107" s="185"/>
    </row>
    <row r="108" spans="1:23" ht="18" hidden="1" customHeight="1">
      <c r="A108" s="184"/>
      <c r="B108" s="1" t="s">
        <v>413</v>
      </c>
      <c r="C108" s="2"/>
      <c r="D108" s="2"/>
      <c r="E108" s="2"/>
      <c r="F108" s="196"/>
      <c r="G108" s="196"/>
      <c r="H108" s="224" t="s">
        <v>512</v>
      </c>
      <c r="I108" s="183" t="s">
        <v>127</v>
      </c>
      <c r="J108" s="766">
        <f t="shared" si="1"/>
        <v>3.0970224399999999</v>
      </c>
      <c r="K108" s="958"/>
      <c r="L108" s="3" t="s">
        <v>157</v>
      </c>
      <c r="O108" s="27"/>
      <c r="P108" s="211"/>
      <c r="Q108" s="211"/>
      <c r="R108" s="192"/>
      <c r="V108" s="185"/>
    </row>
    <row r="109" spans="1:23" ht="18" hidden="1" customHeight="1">
      <c r="A109" s="184"/>
      <c r="V109" s="185"/>
    </row>
    <row r="110" spans="1:23" ht="18" hidden="1" customHeight="1">
      <c r="A110" s="184"/>
      <c r="B110" s="47"/>
      <c r="C110" s="47" t="s">
        <v>579</v>
      </c>
      <c r="D110" s="47"/>
      <c r="E110" s="47"/>
      <c r="H110" s="27"/>
      <c r="I110" s="28"/>
      <c r="J110" s="199"/>
      <c r="L110" s="47"/>
      <c r="O110" s="27"/>
      <c r="P110" s="211"/>
      <c r="Q110" s="305" t="s">
        <v>580</v>
      </c>
      <c r="R110" s="102" t="s">
        <v>127</v>
      </c>
      <c r="S110" s="775">
        <f>S74</f>
        <v>25</v>
      </c>
      <c r="T110" s="776"/>
      <c r="V110" s="185"/>
    </row>
    <row r="111" spans="1:23" ht="18" hidden="1" customHeight="1">
      <c r="A111" s="184"/>
      <c r="B111" s="47"/>
      <c r="C111" s="47"/>
      <c r="D111" s="47"/>
      <c r="E111" s="47"/>
      <c r="H111" s="27"/>
      <c r="I111" s="28"/>
      <c r="J111" s="199"/>
      <c r="L111" s="47"/>
      <c r="O111" s="27"/>
      <c r="P111" s="211"/>
      <c r="Q111" s="211"/>
      <c r="R111" s="192"/>
      <c r="V111" s="185"/>
    </row>
    <row r="112" spans="1:23" ht="18" hidden="1" customHeight="1">
      <c r="A112" s="184"/>
      <c r="B112" s="47"/>
      <c r="C112" s="47" t="s">
        <v>581</v>
      </c>
      <c r="D112" s="47"/>
      <c r="E112" s="47"/>
      <c r="H112" s="27"/>
      <c r="I112" s="28" t="s">
        <v>127</v>
      </c>
      <c r="J112" s="281" t="s">
        <v>588</v>
      </c>
      <c r="L112" s="47"/>
      <c r="M112" s="28" t="s">
        <v>347</v>
      </c>
      <c r="N112" s="14" t="s">
        <v>589</v>
      </c>
      <c r="O112" s="27"/>
      <c r="P112" s="211"/>
      <c r="Q112" s="211"/>
      <c r="R112" s="192"/>
      <c r="V112" s="185"/>
    </row>
    <row r="113" spans="1:22" ht="18" hidden="1" customHeight="1">
      <c r="A113" s="184"/>
      <c r="I113" s="28" t="s">
        <v>127</v>
      </c>
      <c r="J113" s="795" t="e">
        <f>P107</f>
        <v>#VALUE!</v>
      </c>
      <c r="K113" s="684"/>
      <c r="L113" s="28" t="s">
        <v>347</v>
      </c>
      <c r="M113" s="795">
        <f>J108</f>
        <v>3.0970224399999999</v>
      </c>
      <c r="N113" s="684"/>
      <c r="V113" s="185"/>
    </row>
    <row r="114" spans="1:22" ht="18" hidden="1" customHeight="1">
      <c r="A114" s="184"/>
      <c r="I114" s="28" t="s">
        <v>127</v>
      </c>
      <c r="J114" s="795" t="e">
        <f>J113+M113</f>
        <v>#VALUE!</v>
      </c>
      <c r="K114" s="684"/>
      <c r="V114" s="185"/>
    </row>
    <row r="115" spans="1:22" ht="18" hidden="1" customHeight="1">
      <c r="A115" s="184"/>
      <c r="V115" s="185"/>
    </row>
    <row r="116" spans="1:22" ht="18" hidden="1" customHeight="1">
      <c r="A116" s="184"/>
      <c r="F116" s="244"/>
      <c r="H116" s="120" t="s">
        <v>105</v>
      </c>
      <c r="I116" s="27" t="s">
        <v>127</v>
      </c>
      <c r="J116" s="27" t="s">
        <v>569</v>
      </c>
      <c r="K116" s="27" t="s">
        <v>554</v>
      </c>
      <c r="L116" s="120" t="s">
        <v>491</v>
      </c>
      <c r="M116" s="28" t="s">
        <v>347</v>
      </c>
      <c r="N116" s="120" t="s">
        <v>493</v>
      </c>
      <c r="O116" s="28" t="s">
        <v>539</v>
      </c>
      <c r="P116" s="120" t="s">
        <v>491</v>
      </c>
      <c r="Q116" s="28" t="s">
        <v>347</v>
      </c>
      <c r="R116" s="120" t="s">
        <v>512</v>
      </c>
      <c r="S116" s="296" t="s">
        <v>350</v>
      </c>
      <c r="V116" s="185"/>
    </row>
    <row r="117" spans="1:22" ht="18" hidden="1" customHeight="1">
      <c r="A117" s="184"/>
      <c r="I117" s="27" t="s">
        <v>127</v>
      </c>
      <c r="J117" s="245" t="str">
        <f>L98</f>
        <v>-</v>
      </c>
      <c r="K117" s="245" t="s">
        <v>554</v>
      </c>
      <c r="L117" s="301" t="e">
        <f>P107</f>
        <v>#VALUE!</v>
      </c>
      <c r="M117" s="245" t="s">
        <v>347</v>
      </c>
      <c r="N117" s="242" t="str">
        <f>L99</f>
        <v>-</v>
      </c>
      <c r="O117" s="245" t="s">
        <v>539</v>
      </c>
      <c r="P117" s="301" t="e">
        <f>P107</f>
        <v>#VALUE!</v>
      </c>
      <c r="Q117" s="245" t="s">
        <v>347</v>
      </c>
      <c r="R117" s="301">
        <f>J108</f>
        <v>3.0970224399999999</v>
      </c>
      <c r="S117" s="296" t="s">
        <v>350</v>
      </c>
      <c r="V117" s="185"/>
    </row>
    <row r="118" spans="1:22" ht="18" hidden="1" customHeight="1">
      <c r="A118" s="184"/>
      <c r="I118" s="27" t="s">
        <v>127</v>
      </c>
      <c r="J118" s="1111" t="e">
        <f>J117*((L117+N117)/(P117+R117))</f>
        <v>#VALUE!</v>
      </c>
      <c r="K118" s="1111"/>
      <c r="L118" s="242"/>
      <c r="M118" s="242"/>
      <c r="N118" s="242"/>
      <c r="O118" s="242"/>
      <c r="P118" s="242"/>
      <c r="Q118" s="242"/>
      <c r="R118" s="242"/>
      <c r="V118" s="185"/>
    </row>
    <row r="119" spans="1:22" ht="18" hidden="1" customHeight="1">
      <c r="A119" s="184"/>
      <c r="I119" s="28"/>
      <c r="J119" s="211"/>
      <c r="K119" s="27"/>
      <c r="V119" s="185"/>
    </row>
    <row r="120" spans="1:22" ht="18" hidden="1" customHeight="1">
      <c r="A120" s="96" t="s">
        <v>584</v>
      </c>
      <c r="I120" s="28"/>
      <c r="J120" s="211"/>
      <c r="K120" s="27"/>
      <c r="V120" s="185"/>
    </row>
    <row r="121" spans="1:22" ht="18" hidden="1" customHeight="1">
      <c r="A121" s="184"/>
      <c r="B121" s="28">
        <v>1</v>
      </c>
      <c r="D121" s="14"/>
      <c r="H121" s="120" t="s">
        <v>492</v>
      </c>
      <c r="I121" s="28" t="s">
        <v>476</v>
      </c>
      <c r="J121" s="47" t="s">
        <v>104</v>
      </c>
      <c r="S121" s="14" t="s">
        <v>585</v>
      </c>
      <c r="V121" s="185"/>
    </row>
    <row r="122" spans="1:22" ht="18" hidden="1" customHeight="1">
      <c r="A122" s="184"/>
      <c r="G122" s="684" t="str">
        <f>L99</f>
        <v>-</v>
      </c>
      <c r="H122" s="684"/>
      <c r="I122" s="27" t="e">
        <f>IF(G122&gt;J122,"&gt;","&lt;")</f>
        <v>#VALUE!</v>
      </c>
      <c r="J122" s="795" t="e">
        <f>J114</f>
        <v>#VALUE!</v>
      </c>
      <c r="K122" s="684"/>
      <c r="S122" s="186" t="e">
        <f>IF(G122&gt;J122,"Satisfied","Not satisfied")</f>
        <v>#VALUE!</v>
      </c>
      <c r="V122" s="185"/>
    </row>
    <row r="123" spans="1:22" ht="18" hidden="1" customHeight="1">
      <c r="A123" s="184"/>
      <c r="D123" s="14"/>
      <c r="H123" s="120"/>
      <c r="I123" s="27"/>
      <c r="R123" s="14"/>
      <c r="V123" s="185"/>
    </row>
    <row r="124" spans="1:22" ht="18" hidden="1" customHeight="1">
      <c r="A124" s="184"/>
      <c r="B124" s="28">
        <v>2</v>
      </c>
      <c r="D124" s="14"/>
      <c r="H124" s="244" t="s">
        <v>586</v>
      </c>
      <c r="I124" s="28" t="s">
        <v>476</v>
      </c>
      <c r="J124" s="14" t="s">
        <v>105</v>
      </c>
      <c r="K124" s="14"/>
      <c r="S124" s="14" t="s">
        <v>587</v>
      </c>
      <c r="V124" s="185"/>
    </row>
    <row r="125" spans="1:22" ht="18" hidden="1" customHeight="1">
      <c r="A125" s="184"/>
      <c r="D125" s="14"/>
      <c r="G125" s="795">
        <f>S110</f>
        <v>25</v>
      </c>
      <c r="H125" s="795"/>
      <c r="I125" s="27" t="e">
        <f>IF(G125&gt;J125,"&gt;","&lt;")</f>
        <v>#VALUE!</v>
      </c>
      <c r="J125" s="795" t="e">
        <f>J118</f>
        <v>#VALUE!</v>
      </c>
      <c r="K125" s="795"/>
      <c r="R125" s="14"/>
      <c r="S125" s="186" t="e">
        <f>IF(G125&gt;J125,"Satisfied","Not satisfied")</f>
        <v>#VALUE!</v>
      </c>
      <c r="V125" s="185"/>
    </row>
    <row r="126" spans="1:22" ht="18" hidden="1" customHeight="1">
      <c r="A126" s="184"/>
      <c r="D126" s="47"/>
      <c r="I126" s="27"/>
      <c r="O126" s="27"/>
      <c r="P126" s="211"/>
      <c r="Q126" s="211"/>
      <c r="R126" s="192"/>
      <c r="V126" s="185"/>
    </row>
    <row r="127" spans="1:22" ht="18" hidden="1" customHeight="1">
      <c r="A127" s="184"/>
      <c r="D127" s="47"/>
      <c r="H127" s="244" t="s">
        <v>478</v>
      </c>
      <c r="J127" s="18" t="e">
        <f>IF(AND(I122="&gt;",I125="&gt;")=TRUE,"Suitably Dimentioned","Not suitable")</f>
        <v>#VALUE!</v>
      </c>
      <c r="O127" s="27"/>
      <c r="P127" s="211"/>
      <c r="Q127" s="211"/>
      <c r="R127" s="192"/>
      <c r="V127" s="185"/>
    </row>
    <row r="128" spans="1:22" ht="18" hidden="1" customHeight="1">
      <c r="A128" s="184"/>
      <c r="D128" s="47"/>
      <c r="H128" s="244"/>
      <c r="J128" s="18"/>
      <c r="O128" s="27"/>
      <c r="P128" s="211"/>
      <c r="Q128" s="211"/>
      <c r="R128" s="192"/>
      <c r="V128" s="185"/>
    </row>
    <row r="129" spans="1:22" ht="18" hidden="1" customHeight="1">
      <c r="A129" s="184"/>
      <c r="D129" s="47"/>
      <c r="H129" s="244"/>
      <c r="J129" s="18"/>
      <c r="O129" s="27"/>
      <c r="P129" s="211"/>
      <c r="Q129" s="211"/>
      <c r="R129" s="192"/>
      <c r="V129" s="185"/>
    </row>
    <row r="130" spans="1:22" ht="18" hidden="1" customHeight="1">
      <c r="A130" s="184"/>
      <c r="D130" s="47"/>
      <c r="H130" s="244"/>
      <c r="J130" s="18"/>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B133" s="47"/>
      <c r="C133" s="47"/>
      <c r="D133" s="47"/>
      <c r="E133" s="47"/>
      <c r="H133" s="27"/>
      <c r="I133" s="28"/>
      <c r="J133" s="199"/>
      <c r="L133" s="47"/>
      <c r="O133" s="27"/>
      <c r="P133" s="211"/>
      <c r="Q133" s="211"/>
      <c r="R133" s="192"/>
      <c r="V133" s="185"/>
    </row>
    <row r="134" spans="1:22" s="14" customFormat="1" ht="18" hidden="1" customHeight="1">
      <c r="A134" s="194"/>
      <c r="B134" s="195"/>
      <c r="C134" s="195"/>
      <c r="D134" s="195"/>
      <c r="E134" s="195"/>
      <c r="F134" s="195"/>
      <c r="G134" s="195"/>
      <c r="H134" s="195"/>
      <c r="I134" s="195"/>
      <c r="J134" s="195"/>
      <c r="K134" s="195"/>
      <c r="L134" s="195"/>
      <c r="M134" s="195"/>
      <c r="N134" s="195"/>
      <c r="O134" s="195"/>
      <c r="P134" s="195"/>
      <c r="Q134" s="224"/>
      <c r="R134" s="182"/>
      <c r="S134" s="225"/>
      <c r="T134" s="195"/>
      <c r="U134" s="195"/>
      <c r="V134" s="134" t="s">
        <v>552</v>
      </c>
    </row>
    <row r="135" spans="1:22" ht="18" hidden="1" customHeight="1">
      <c r="A135" s="226"/>
      <c r="B135" s="227"/>
      <c r="C135" s="227"/>
      <c r="D135" s="227"/>
      <c r="E135" s="227"/>
      <c r="F135" s="227"/>
      <c r="G135" s="227"/>
      <c r="H135" s="227"/>
      <c r="I135" s="227"/>
      <c r="J135" s="227"/>
      <c r="K135" s="227"/>
      <c r="L135" s="227"/>
      <c r="M135" s="227"/>
      <c r="N135" s="227"/>
      <c r="O135" s="227"/>
      <c r="P135" s="227"/>
      <c r="Q135" s="227"/>
      <c r="R135" s="227"/>
      <c r="S135" s="227"/>
      <c r="T135" s="227"/>
      <c r="U135" s="227"/>
      <c r="V135" s="228"/>
    </row>
    <row r="136" spans="1:22" ht="18" customHeight="1">
      <c r="A136" s="262" t="s">
        <v>532</v>
      </c>
      <c r="B136" s="14"/>
      <c r="C136" s="14"/>
      <c r="D136" s="120"/>
      <c r="E136" s="120"/>
      <c r="F136" s="18"/>
      <c r="G136" s="18"/>
      <c r="H136" s="14"/>
      <c r="I136" s="14"/>
      <c r="J136" s="14"/>
      <c r="K136" s="14"/>
      <c r="L136" s="14"/>
      <c r="M136" s="14"/>
      <c r="N136" s="14"/>
      <c r="O136" s="14"/>
      <c r="P136" s="28"/>
      <c r="Q136" s="120"/>
      <c r="R136" s="47"/>
      <c r="S136" s="206"/>
      <c r="T136" s="259"/>
      <c r="U136" s="14"/>
      <c r="V136" s="97"/>
    </row>
    <row r="137" spans="1:22" ht="18" customHeight="1">
      <c r="A137" s="955" t="s">
        <v>85</v>
      </c>
      <c r="B137" s="956"/>
      <c r="C137" s="957"/>
      <c r="D137" s="955" t="s">
        <v>86</v>
      </c>
      <c r="E137" s="956"/>
      <c r="F137" s="957"/>
      <c r="G137" s="955" t="s">
        <v>87</v>
      </c>
      <c r="H137" s="957"/>
      <c r="I137" s="955" t="s">
        <v>88</v>
      </c>
      <c r="J137" s="957"/>
      <c r="K137" s="955" t="s">
        <v>502</v>
      </c>
      <c r="L137" s="957"/>
      <c r="M137" s="955" t="s">
        <v>102</v>
      </c>
      <c r="N137" s="957"/>
      <c r="O137" s="955"/>
      <c r="P137" s="957"/>
      <c r="Q137" s="955" t="s">
        <v>505</v>
      </c>
      <c r="R137" s="957"/>
      <c r="S137" s="955" t="s">
        <v>93</v>
      </c>
      <c r="T137" s="956"/>
      <c r="U137" s="956"/>
      <c r="V137" s="957"/>
    </row>
    <row r="138" spans="1:22" ht="18" customHeight="1">
      <c r="A138" s="1125"/>
      <c r="B138" s="983"/>
      <c r="C138" s="1126"/>
      <c r="D138" s="1125"/>
      <c r="E138" s="983"/>
      <c r="F138" s="1126"/>
      <c r="G138" s="1125"/>
      <c r="H138" s="1126"/>
      <c r="I138" s="1125"/>
      <c r="J138" s="1126"/>
      <c r="K138" s="1125"/>
      <c r="L138" s="1126"/>
      <c r="M138" s="1125"/>
      <c r="N138" s="1126"/>
      <c r="O138" s="1125"/>
      <c r="P138" s="1126"/>
      <c r="Q138" s="1125"/>
      <c r="R138" s="1126"/>
      <c r="S138" s="1125"/>
      <c r="T138" s="983"/>
      <c r="U138" s="983"/>
      <c r="V138" s="1126"/>
    </row>
    <row r="139" spans="1:22" ht="18" customHeight="1">
      <c r="A139" s="1125"/>
      <c r="B139" s="983"/>
      <c r="C139" s="1126"/>
      <c r="D139" s="1125"/>
      <c r="E139" s="983"/>
      <c r="F139" s="1126"/>
      <c r="G139" s="1125"/>
      <c r="H139" s="1126"/>
      <c r="I139" s="1125"/>
      <c r="J139" s="1126"/>
      <c r="K139" s="1125"/>
      <c r="L139" s="1126"/>
      <c r="M139" s="1125"/>
      <c r="N139" s="1126"/>
      <c r="O139" s="1125"/>
      <c r="P139" s="1126"/>
      <c r="Q139" s="1125"/>
      <c r="R139" s="1126"/>
      <c r="S139" s="1125"/>
      <c r="T139" s="983"/>
      <c r="U139" s="983"/>
      <c r="V139" s="1126"/>
    </row>
    <row r="140" spans="1:22" ht="18" customHeight="1">
      <c r="A140" s="1047"/>
      <c r="B140" s="1048"/>
      <c r="C140" s="1049"/>
      <c r="D140" s="1047"/>
      <c r="E140" s="1048"/>
      <c r="F140" s="1049"/>
      <c r="G140" s="1047"/>
      <c r="H140" s="1049"/>
      <c r="I140" s="1047"/>
      <c r="J140" s="1049"/>
      <c r="K140" s="1047"/>
      <c r="L140" s="1049"/>
      <c r="M140" s="1047"/>
      <c r="N140" s="1049"/>
      <c r="O140" s="1047"/>
      <c r="P140" s="1049"/>
      <c r="Q140" s="1047"/>
      <c r="R140" s="1049"/>
      <c r="S140" s="1047"/>
      <c r="T140" s="1048"/>
      <c r="U140" s="1048"/>
      <c r="V140" s="1049"/>
    </row>
    <row r="141" spans="1:22" ht="18" customHeight="1">
      <c r="A141" s="765" t="str">
        <f>B92</f>
        <v>T1</v>
      </c>
      <c r="B141" s="765" t="str">
        <f>D92</f>
        <v>Core3</v>
      </c>
      <c r="C141" s="765"/>
      <c r="D141" s="870">
        <f>H95</f>
        <v>3200</v>
      </c>
      <c r="E141" s="870"/>
      <c r="F141" s="871">
        <f>O95</f>
        <v>1</v>
      </c>
      <c r="G141" s="961">
        <f>'CT-VT Burdens'!S21</f>
        <v>120</v>
      </c>
      <c r="H141" s="959">
        <f>'CT-VT Burdens'!S10</f>
        <v>6</v>
      </c>
      <c r="I141" s="874">
        <f>L96</f>
        <v>0.5</v>
      </c>
      <c r="J141" s="874"/>
      <c r="K141" s="869">
        <f>H12</f>
        <v>5</v>
      </c>
      <c r="L141" s="869"/>
      <c r="M141" s="869">
        <f>H14</f>
        <v>30</v>
      </c>
      <c r="N141" s="869"/>
      <c r="O141" s="870" t="s">
        <v>6</v>
      </c>
      <c r="P141" s="870"/>
      <c r="Q141" s="879" t="str">
        <f>CONCATENATE(T7," + "," ",T8," ",T9," ",T10)</f>
        <v xml:space="preserve">REC670 +  CP-L96A  </v>
      </c>
      <c r="R141" s="879"/>
      <c r="S141" s="878" t="str">
        <f>J46</f>
        <v>Suitably Dimensioned</v>
      </c>
      <c r="T141" s="878"/>
      <c r="U141" s="878"/>
      <c r="V141" s="878"/>
    </row>
    <row r="142" spans="1:22" ht="18" customHeight="1">
      <c r="A142" s="765"/>
      <c r="B142" s="765"/>
      <c r="C142" s="765"/>
      <c r="D142" s="870">
        <f>J95</f>
        <v>600</v>
      </c>
      <c r="E142" s="870"/>
      <c r="F142" s="872"/>
      <c r="G142" s="961"/>
      <c r="H142" s="959"/>
      <c r="I142" s="874"/>
      <c r="J142" s="874"/>
      <c r="K142" s="875">
        <f>J54</f>
        <v>1</v>
      </c>
      <c r="L142" s="869"/>
      <c r="M142" s="875">
        <f>J56</f>
        <v>10</v>
      </c>
      <c r="N142" s="869"/>
      <c r="O142" s="870" t="s">
        <v>6</v>
      </c>
      <c r="P142" s="870"/>
      <c r="Q142" s="879"/>
      <c r="R142" s="879"/>
      <c r="S142" s="877" t="str">
        <f>J87</f>
        <v>Suitably Dimensioned</v>
      </c>
      <c r="T142" s="878"/>
      <c r="U142" s="878"/>
      <c r="V142" s="878"/>
    </row>
    <row r="143" spans="1:22" ht="18" customHeight="1">
      <c r="A143" s="765"/>
      <c r="B143" s="765"/>
      <c r="C143" s="765"/>
      <c r="D143" s="870" t="s">
        <v>6</v>
      </c>
      <c r="E143" s="870"/>
      <c r="F143" s="873"/>
      <c r="G143" s="961"/>
      <c r="H143" s="959"/>
      <c r="I143" s="874"/>
      <c r="J143" s="874"/>
      <c r="K143" s="869" t="s">
        <v>6</v>
      </c>
      <c r="L143" s="869"/>
      <c r="M143" s="869" t="s">
        <v>6</v>
      </c>
      <c r="N143" s="869"/>
      <c r="O143" s="870" t="s">
        <v>6</v>
      </c>
      <c r="P143" s="870"/>
      <c r="Q143" s="879"/>
      <c r="R143" s="879"/>
      <c r="S143" s="878" t="s">
        <v>6</v>
      </c>
      <c r="T143" s="878"/>
      <c r="U143" s="878"/>
      <c r="V143" s="878"/>
    </row>
    <row r="144" spans="1:22" ht="18" customHeight="1">
      <c r="A144" s="265"/>
      <c r="B144" s="239"/>
      <c r="C144" s="239"/>
      <c r="D144" s="239"/>
      <c r="E144" s="239"/>
      <c r="F144" s="239"/>
      <c r="G144" s="239"/>
      <c r="H144" s="239"/>
      <c r="I144" s="239"/>
      <c r="J144" s="93"/>
      <c r="K144" s="93"/>
      <c r="L144" s="239"/>
      <c r="M144" s="239"/>
      <c r="N144" s="239"/>
      <c r="O144" s="239"/>
      <c r="P144" s="239"/>
      <c r="Q144" s="239"/>
      <c r="R144" s="239"/>
      <c r="S144" s="239"/>
      <c r="T144" s="239"/>
      <c r="U144" s="103"/>
      <c r="V144" s="310"/>
    </row>
    <row r="145" spans="1:22" ht="18" customHeight="1">
      <c r="A145" s="265"/>
      <c r="B145" s="239"/>
      <c r="C145" s="239"/>
      <c r="D145" s="239"/>
      <c r="E145" s="239"/>
      <c r="F145" s="239"/>
      <c r="G145" s="239"/>
      <c r="H145" s="239"/>
      <c r="I145" s="239"/>
      <c r="J145" s="93"/>
      <c r="K145" s="93"/>
      <c r="L145" s="239"/>
      <c r="M145" s="239"/>
      <c r="N145" s="239"/>
      <c r="O145" s="239"/>
      <c r="P145" s="239"/>
      <c r="Q145" s="239"/>
      <c r="R145" s="239"/>
      <c r="S145" s="239"/>
      <c r="T145" s="239"/>
      <c r="U145" s="103"/>
      <c r="V145" s="310"/>
    </row>
    <row r="146" spans="1:22" ht="18" customHeight="1">
      <c r="A146" s="265"/>
      <c r="B146" s="239"/>
      <c r="C146" s="239"/>
      <c r="D146" s="239"/>
      <c r="E146" s="239"/>
      <c r="F146" s="239"/>
      <c r="G146" s="239"/>
      <c r="H146" s="239"/>
      <c r="I146" s="239"/>
      <c r="J146" s="93"/>
      <c r="K146" s="93"/>
      <c r="L146" s="239"/>
      <c r="M146" s="239"/>
      <c r="N146" s="239"/>
      <c r="O146" s="239"/>
      <c r="P146" s="239"/>
      <c r="Q146" s="239"/>
      <c r="R146" s="239"/>
      <c r="S146" s="239"/>
      <c r="T146" s="239"/>
      <c r="U146" s="103"/>
      <c r="V146" s="310"/>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184"/>
      <c r="V174" s="185"/>
    </row>
    <row r="175" spans="1:22" s="14" customFormat="1" ht="18" customHeight="1">
      <c r="A175" s="194"/>
      <c r="B175" s="195"/>
      <c r="C175" s="195"/>
      <c r="D175" s="195"/>
      <c r="E175" s="195"/>
      <c r="F175" s="195"/>
      <c r="G175" s="195"/>
      <c r="H175" s="195"/>
      <c r="I175" s="195"/>
      <c r="J175" s="195"/>
      <c r="K175" s="195"/>
      <c r="L175" s="195"/>
      <c r="M175" s="195"/>
      <c r="N175" s="195"/>
      <c r="O175" s="195"/>
      <c r="P175" s="195"/>
      <c r="Q175" s="224"/>
      <c r="R175" s="182"/>
      <c r="S175" s="225"/>
      <c r="T175" s="195"/>
      <c r="U175" s="195"/>
      <c r="V175" s="134"/>
    </row>
  </sheetData>
  <mergeCells count="156">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 ref="T10:U10"/>
    <mergeCell ref="H11:I11"/>
    <mergeCell ref="T11:U11"/>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8:K38"/>
    <mergeCell ref="G42:H42"/>
    <mergeCell ref="J42:K42"/>
    <mergeCell ref="G45:H45"/>
    <mergeCell ref="J45:K45"/>
    <mergeCell ref="P27:Q27"/>
    <mergeCell ref="P28:Q28"/>
    <mergeCell ref="P29:Q29"/>
    <mergeCell ref="P30:Q30"/>
    <mergeCell ref="T51:U51"/>
    <mergeCell ref="H52:I52"/>
    <mergeCell ref="J52:K52"/>
    <mergeCell ref="L52:M52"/>
    <mergeCell ref="T52:U52"/>
    <mergeCell ref="B49:C49"/>
    <mergeCell ref="D49:E50"/>
    <mergeCell ref="H49:M49"/>
    <mergeCell ref="T49:U49"/>
    <mergeCell ref="B50:C50"/>
    <mergeCell ref="T50:U50"/>
    <mergeCell ref="J53:K53"/>
    <mergeCell ref="J54:K54"/>
    <mergeCell ref="J55:K55"/>
    <mergeCell ref="J56:K56"/>
    <mergeCell ref="J60:K60"/>
    <mergeCell ref="J61:K61"/>
    <mergeCell ref="H51:I51"/>
    <mergeCell ref="J51:K51"/>
    <mergeCell ref="L51:M51"/>
    <mergeCell ref="P68:Q68"/>
    <mergeCell ref="P69:Q69"/>
    <mergeCell ref="P70:Q70"/>
    <mergeCell ref="P71:Q71"/>
    <mergeCell ref="P72:Q72"/>
    <mergeCell ref="S74:T74"/>
    <mergeCell ref="J62:K62"/>
    <mergeCell ref="J63:K63"/>
    <mergeCell ref="J64:K64"/>
    <mergeCell ref="P64:Q64"/>
    <mergeCell ref="J65:K65"/>
    <mergeCell ref="P67:Q67"/>
    <mergeCell ref="B92:C92"/>
    <mergeCell ref="D92:E93"/>
    <mergeCell ref="H92:M92"/>
    <mergeCell ref="B93:C93"/>
    <mergeCell ref="H94:I94"/>
    <mergeCell ref="J94:K94"/>
    <mergeCell ref="L94:M94"/>
    <mergeCell ref="J76:K76"/>
    <mergeCell ref="M76:N76"/>
    <mergeCell ref="J80:K80"/>
    <mergeCell ref="G83:H83"/>
    <mergeCell ref="J83:K83"/>
    <mergeCell ref="G86:H86"/>
    <mergeCell ref="J86:K86"/>
    <mergeCell ref="L99:M99"/>
    <mergeCell ref="J103:K103"/>
    <mergeCell ref="J104:K104"/>
    <mergeCell ref="J105:K105"/>
    <mergeCell ref="J106:K106"/>
    <mergeCell ref="J107:K107"/>
    <mergeCell ref="H95:I95"/>
    <mergeCell ref="J95:K95"/>
    <mergeCell ref="L95:M95"/>
    <mergeCell ref="L96:M96"/>
    <mergeCell ref="L97:M97"/>
    <mergeCell ref="L98:M98"/>
    <mergeCell ref="A141:A143"/>
    <mergeCell ref="B141:C143"/>
    <mergeCell ref="D141:E141"/>
    <mergeCell ref="F141:F143"/>
    <mergeCell ref="G141:G143"/>
    <mergeCell ref="H141:H143"/>
    <mergeCell ref="J118:K118"/>
    <mergeCell ref="G122:H122"/>
    <mergeCell ref="J122:K122"/>
    <mergeCell ref="G125:H125"/>
    <mergeCell ref="J125:K125"/>
    <mergeCell ref="A137:C140"/>
    <mergeCell ref="D137:F140"/>
    <mergeCell ref="G137:H140"/>
    <mergeCell ref="I137:J140"/>
    <mergeCell ref="K137:L140"/>
    <mergeCell ref="D142:E142"/>
    <mergeCell ref="K142:L142"/>
    <mergeCell ref="D143:E143"/>
    <mergeCell ref="K143:L143"/>
    <mergeCell ref="M143:N143"/>
    <mergeCell ref="O143:P143"/>
    <mergeCell ref="S143:V143"/>
    <mergeCell ref="I141:J143"/>
    <mergeCell ref="K141:L141"/>
    <mergeCell ref="M141:N141"/>
    <mergeCell ref="O141:P141"/>
    <mergeCell ref="Q141:R143"/>
    <mergeCell ref="S141:V141"/>
    <mergeCell ref="M137:N140"/>
    <mergeCell ref="O137:P140"/>
    <mergeCell ref="Q137:R140"/>
    <mergeCell ref="S137:V140"/>
    <mergeCell ref="P107:Q107"/>
    <mergeCell ref="J108:K108"/>
    <mergeCell ref="S110:T110"/>
    <mergeCell ref="M142:N142"/>
    <mergeCell ref="O142:P142"/>
    <mergeCell ref="S142:V142"/>
    <mergeCell ref="J113:K113"/>
    <mergeCell ref="M113:N113"/>
    <mergeCell ref="J114:K114"/>
  </mergeCells>
  <conditionalFormatting sqref="I46:J46 I87:J89 I126:J132">
    <cfRule type="cellIs" dxfId="194" priority="2" stopIfTrue="1" operator="equal">
      <formula>"Not suitable"</formula>
    </cfRule>
  </conditionalFormatting>
  <conditionalFormatting sqref="S42 S45 S83 S86 S122 S125">
    <cfRule type="cellIs" dxfId="193" priority="1" stopIfTrue="1" operator="equal">
      <formula>"Not satisfied"</formula>
    </cfRule>
  </conditionalFormatting>
  <dataValidations count="2">
    <dataValidation type="list" allowBlank="1" showInputMessage="1" showErrorMessage="1" sqref="D92 IZ92 SV92 ACR92 AMN92 AWJ92 BGF92 BQB92 BZX92 CJT92 CTP92 DDL92 DNH92 DXD92 EGZ92 EQV92 FAR92 FKN92 FUJ92 GEF92 GOB92 GXX92 HHT92 HRP92 IBL92 ILH92 IVD92 JEZ92 JOV92 JYR92 KIN92 KSJ92 LCF92 LMB92 LVX92 MFT92 MPP92 MZL92 NJH92 NTD92 OCZ92 OMV92 OWR92 PGN92 PQJ92 QAF92 QKB92 QTX92 RDT92 RNP92 RXL92 SHH92 SRD92 TAZ92 TKV92 TUR92 UEN92 UOJ92 UYF92 VIB92 VRX92 WBT92 WLP92 WVL92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D49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B0289561-EB18-49EF-9BBA-A0B31DEDADDC}">
      <formula1>"Core1,Core2,Core3"</formula1>
    </dataValidation>
    <dataValidation type="list" allowBlank="1" showInputMessage="1" showErrorMessage="1" sqref="WVL983040:WVM983041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6:E65537 IZ65536:JA65537 SV65536:SW65537 ACR65536:ACS65537 AMN65536:AMO65537 AWJ65536:AWK65537 BGF65536:BGG65537 BQB65536:BQC65537 BZX65536:BZY65537 CJT65536:CJU65537 CTP65536:CTQ65537 DDL65536:DDM65537 DNH65536:DNI65537 DXD65536:DXE65537 EGZ65536:EHA65537 EQV65536:EQW65537 FAR65536:FAS65537 FKN65536:FKO65537 FUJ65536:FUK65537 GEF65536:GEG65537 GOB65536:GOC65537 GXX65536:GXY65537 HHT65536:HHU65537 HRP65536:HRQ65537 IBL65536:IBM65537 ILH65536:ILI65537 IVD65536:IVE65537 JEZ65536:JFA65537 JOV65536:JOW65537 JYR65536:JYS65537 KIN65536:KIO65537 KSJ65536:KSK65537 LCF65536:LCG65537 LMB65536:LMC65537 LVX65536:LVY65537 MFT65536:MFU65537 MPP65536:MPQ65537 MZL65536:MZM65537 NJH65536:NJI65537 NTD65536:NTE65537 OCZ65536:ODA65537 OMV65536:OMW65537 OWR65536:OWS65537 PGN65536:PGO65537 PQJ65536:PQK65537 QAF65536:QAG65537 QKB65536:QKC65537 QTX65536:QTY65537 RDT65536:RDU65537 RNP65536:RNQ65537 RXL65536:RXM65537 SHH65536:SHI65537 SRD65536:SRE65537 TAZ65536:TBA65537 TKV65536:TKW65537 TUR65536:TUS65537 UEN65536:UEO65537 UOJ65536:UOK65537 UYF65536:UYG65537 VIB65536:VIC65537 VRX65536:VRY65537 WBT65536:WBU65537 WLP65536:WLQ65537 WVL65536:WVM65537 D131072:E131073 IZ131072:JA131073 SV131072:SW131073 ACR131072:ACS131073 AMN131072:AMO131073 AWJ131072:AWK131073 BGF131072:BGG131073 BQB131072:BQC131073 BZX131072:BZY131073 CJT131072:CJU131073 CTP131072:CTQ131073 DDL131072:DDM131073 DNH131072:DNI131073 DXD131072:DXE131073 EGZ131072:EHA131073 EQV131072:EQW131073 FAR131072:FAS131073 FKN131072:FKO131073 FUJ131072:FUK131073 GEF131072:GEG131073 GOB131072:GOC131073 GXX131072:GXY131073 HHT131072:HHU131073 HRP131072:HRQ131073 IBL131072:IBM131073 ILH131072:ILI131073 IVD131072:IVE131073 JEZ131072:JFA131073 JOV131072:JOW131073 JYR131072:JYS131073 KIN131072:KIO131073 KSJ131072:KSK131073 LCF131072:LCG131073 LMB131072:LMC131073 LVX131072:LVY131073 MFT131072:MFU131073 MPP131072:MPQ131073 MZL131072:MZM131073 NJH131072:NJI131073 NTD131072:NTE131073 OCZ131072:ODA131073 OMV131072:OMW131073 OWR131072:OWS131073 PGN131072:PGO131073 PQJ131072:PQK131073 QAF131072:QAG131073 QKB131072:QKC131073 QTX131072:QTY131073 RDT131072:RDU131073 RNP131072:RNQ131073 RXL131072:RXM131073 SHH131072:SHI131073 SRD131072:SRE131073 TAZ131072:TBA131073 TKV131072:TKW131073 TUR131072:TUS131073 UEN131072:UEO131073 UOJ131072:UOK131073 UYF131072:UYG131073 VIB131072:VIC131073 VRX131072:VRY131073 WBT131072:WBU131073 WLP131072:WLQ131073 WVL131072:WVM131073 D196608:E196609 IZ196608:JA196609 SV196608:SW196609 ACR196608:ACS196609 AMN196608:AMO196609 AWJ196608:AWK196609 BGF196608:BGG196609 BQB196608:BQC196609 BZX196608:BZY196609 CJT196608:CJU196609 CTP196608:CTQ196609 DDL196608:DDM196609 DNH196608:DNI196609 DXD196608:DXE196609 EGZ196608:EHA196609 EQV196608:EQW196609 FAR196608:FAS196609 FKN196608:FKO196609 FUJ196608:FUK196609 GEF196608:GEG196609 GOB196608:GOC196609 GXX196608:GXY196609 HHT196608:HHU196609 HRP196608:HRQ196609 IBL196608:IBM196609 ILH196608:ILI196609 IVD196608:IVE196609 JEZ196608:JFA196609 JOV196608:JOW196609 JYR196608:JYS196609 KIN196608:KIO196609 KSJ196608:KSK196609 LCF196608:LCG196609 LMB196608:LMC196609 LVX196608:LVY196609 MFT196608:MFU196609 MPP196608:MPQ196609 MZL196608:MZM196609 NJH196608:NJI196609 NTD196608:NTE196609 OCZ196608:ODA196609 OMV196608:OMW196609 OWR196608:OWS196609 PGN196608:PGO196609 PQJ196608:PQK196609 QAF196608:QAG196609 QKB196608:QKC196609 QTX196608:QTY196609 RDT196608:RDU196609 RNP196608:RNQ196609 RXL196608:RXM196609 SHH196608:SHI196609 SRD196608:SRE196609 TAZ196608:TBA196609 TKV196608:TKW196609 TUR196608:TUS196609 UEN196608:UEO196609 UOJ196608:UOK196609 UYF196608:UYG196609 VIB196608:VIC196609 VRX196608:VRY196609 WBT196608:WBU196609 WLP196608:WLQ196609 WVL196608:WVM196609 D262144:E262145 IZ262144:JA262145 SV262144:SW262145 ACR262144:ACS262145 AMN262144:AMO262145 AWJ262144:AWK262145 BGF262144:BGG262145 BQB262144:BQC262145 BZX262144:BZY262145 CJT262144:CJU262145 CTP262144:CTQ262145 DDL262144:DDM262145 DNH262144:DNI262145 DXD262144:DXE262145 EGZ262144:EHA262145 EQV262144:EQW262145 FAR262144:FAS262145 FKN262144:FKO262145 FUJ262144:FUK262145 GEF262144:GEG262145 GOB262144:GOC262145 GXX262144:GXY262145 HHT262144:HHU262145 HRP262144:HRQ262145 IBL262144:IBM262145 ILH262144:ILI262145 IVD262144:IVE262145 JEZ262144:JFA262145 JOV262144:JOW262145 JYR262144:JYS262145 KIN262144:KIO262145 KSJ262144:KSK262145 LCF262144:LCG262145 LMB262144:LMC262145 LVX262144:LVY262145 MFT262144:MFU262145 MPP262144:MPQ262145 MZL262144:MZM262145 NJH262144:NJI262145 NTD262144:NTE262145 OCZ262144:ODA262145 OMV262144:OMW262145 OWR262144:OWS262145 PGN262144:PGO262145 PQJ262144:PQK262145 QAF262144:QAG262145 QKB262144:QKC262145 QTX262144:QTY262145 RDT262144:RDU262145 RNP262144:RNQ262145 RXL262144:RXM262145 SHH262144:SHI262145 SRD262144:SRE262145 TAZ262144:TBA262145 TKV262144:TKW262145 TUR262144:TUS262145 UEN262144:UEO262145 UOJ262144:UOK262145 UYF262144:UYG262145 VIB262144:VIC262145 VRX262144:VRY262145 WBT262144:WBU262145 WLP262144:WLQ262145 WVL262144:WVM262145 D327680:E327681 IZ327680:JA327681 SV327680:SW327681 ACR327680:ACS327681 AMN327680:AMO327681 AWJ327680:AWK327681 BGF327680:BGG327681 BQB327680:BQC327681 BZX327680:BZY327681 CJT327680:CJU327681 CTP327680:CTQ327681 DDL327680:DDM327681 DNH327680:DNI327681 DXD327680:DXE327681 EGZ327680:EHA327681 EQV327680:EQW327681 FAR327680:FAS327681 FKN327680:FKO327681 FUJ327680:FUK327681 GEF327680:GEG327681 GOB327680:GOC327681 GXX327680:GXY327681 HHT327680:HHU327681 HRP327680:HRQ327681 IBL327680:IBM327681 ILH327680:ILI327681 IVD327680:IVE327681 JEZ327680:JFA327681 JOV327680:JOW327681 JYR327680:JYS327681 KIN327680:KIO327681 KSJ327680:KSK327681 LCF327680:LCG327681 LMB327680:LMC327681 LVX327680:LVY327681 MFT327680:MFU327681 MPP327680:MPQ327681 MZL327680:MZM327681 NJH327680:NJI327681 NTD327680:NTE327681 OCZ327680:ODA327681 OMV327680:OMW327681 OWR327680:OWS327681 PGN327680:PGO327681 PQJ327680:PQK327681 QAF327680:QAG327681 QKB327680:QKC327681 QTX327680:QTY327681 RDT327680:RDU327681 RNP327680:RNQ327681 RXL327680:RXM327681 SHH327680:SHI327681 SRD327680:SRE327681 TAZ327680:TBA327681 TKV327680:TKW327681 TUR327680:TUS327681 UEN327680:UEO327681 UOJ327680:UOK327681 UYF327680:UYG327681 VIB327680:VIC327681 VRX327680:VRY327681 WBT327680:WBU327681 WLP327680:WLQ327681 WVL327680:WVM327681 D393216:E393217 IZ393216:JA393217 SV393216:SW393217 ACR393216:ACS393217 AMN393216:AMO393217 AWJ393216:AWK393217 BGF393216:BGG393217 BQB393216:BQC393217 BZX393216:BZY393217 CJT393216:CJU393217 CTP393216:CTQ393217 DDL393216:DDM393217 DNH393216:DNI393217 DXD393216:DXE393217 EGZ393216:EHA393217 EQV393216:EQW393217 FAR393216:FAS393217 FKN393216:FKO393217 FUJ393216:FUK393217 GEF393216:GEG393217 GOB393216:GOC393217 GXX393216:GXY393217 HHT393216:HHU393217 HRP393216:HRQ393217 IBL393216:IBM393217 ILH393216:ILI393217 IVD393216:IVE393217 JEZ393216:JFA393217 JOV393216:JOW393217 JYR393216:JYS393217 KIN393216:KIO393217 KSJ393216:KSK393217 LCF393216:LCG393217 LMB393216:LMC393217 LVX393216:LVY393217 MFT393216:MFU393217 MPP393216:MPQ393217 MZL393216:MZM393217 NJH393216:NJI393217 NTD393216:NTE393217 OCZ393216:ODA393217 OMV393216:OMW393217 OWR393216:OWS393217 PGN393216:PGO393217 PQJ393216:PQK393217 QAF393216:QAG393217 QKB393216:QKC393217 QTX393216:QTY393217 RDT393216:RDU393217 RNP393216:RNQ393217 RXL393216:RXM393217 SHH393216:SHI393217 SRD393216:SRE393217 TAZ393216:TBA393217 TKV393216:TKW393217 TUR393216:TUS393217 UEN393216:UEO393217 UOJ393216:UOK393217 UYF393216:UYG393217 VIB393216:VIC393217 VRX393216:VRY393217 WBT393216:WBU393217 WLP393216:WLQ393217 WVL393216:WVM393217 D458752:E458753 IZ458752:JA458753 SV458752:SW458753 ACR458752:ACS458753 AMN458752:AMO458753 AWJ458752:AWK458753 BGF458752:BGG458753 BQB458752:BQC458753 BZX458752:BZY458753 CJT458752:CJU458753 CTP458752:CTQ458753 DDL458752:DDM458753 DNH458752:DNI458753 DXD458752:DXE458753 EGZ458752:EHA458753 EQV458752:EQW458753 FAR458752:FAS458753 FKN458752:FKO458753 FUJ458752:FUK458753 GEF458752:GEG458753 GOB458752:GOC458753 GXX458752:GXY458753 HHT458752:HHU458753 HRP458752:HRQ458753 IBL458752:IBM458753 ILH458752:ILI458753 IVD458752:IVE458753 JEZ458752:JFA458753 JOV458752:JOW458753 JYR458752:JYS458753 KIN458752:KIO458753 KSJ458752:KSK458753 LCF458752:LCG458753 LMB458752:LMC458753 LVX458752:LVY458753 MFT458752:MFU458753 MPP458752:MPQ458753 MZL458752:MZM458753 NJH458752:NJI458753 NTD458752:NTE458753 OCZ458752:ODA458753 OMV458752:OMW458753 OWR458752:OWS458753 PGN458752:PGO458753 PQJ458752:PQK458753 QAF458752:QAG458753 QKB458752:QKC458753 QTX458752:QTY458753 RDT458752:RDU458753 RNP458752:RNQ458753 RXL458752:RXM458753 SHH458752:SHI458753 SRD458752:SRE458753 TAZ458752:TBA458753 TKV458752:TKW458753 TUR458752:TUS458753 UEN458752:UEO458753 UOJ458752:UOK458753 UYF458752:UYG458753 VIB458752:VIC458753 VRX458752:VRY458753 WBT458752:WBU458753 WLP458752:WLQ458753 WVL458752:WVM458753 D524288:E524289 IZ524288:JA524289 SV524288:SW524289 ACR524288:ACS524289 AMN524288:AMO524289 AWJ524288:AWK524289 BGF524288:BGG524289 BQB524288:BQC524289 BZX524288:BZY524289 CJT524288:CJU524289 CTP524288:CTQ524289 DDL524288:DDM524289 DNH524288:DNI524289 DXD524288:DXE524289 EGZ524288:EHA524289 EQV524288:EQW524289 FAR524288:FAS524289 FKN524288:FKO524289 FUJ524288:FUK524289 GEF524288:GEG524289 GOB524288:GOC524289 GXX524288:GXY524289 HHT524288:HHU524289 HRP524288:HRQ524289 IBL524288:IBM524289 ILH524288:ILI524289 IVD524288:IVE524289 JEZ524288:JFA524289 JOV524288:JOW524289 JYR524288:JYS524289 KIN524288:KIO524289 KSJ524288:KSK524289 LCF524288:LCG524289 LMB524288:LMC524289 LVX524288:LVY524289 MFT524288:MFU524289 MPP524288:MPQ524289 MZL524288:MZM524289 NJH524288:NJI524289 NTD524288:NTE524289 OCZ524288:ODA524289 OMV524288:OMW524289 OWR524288:OWS524289 PGN524288:PGO524289 PQJ524288:PQK524289 QAF524288:QAG524289 QKB524288:QKC524289 QTX524288:QTY524289 RDT524288:RDU524289 RNP524288:RNQ524289 RXL524288:RXM524289 SHH524288:SHI524289 SRD524288:SRE524289 TAZ524288:TBA524289 TKV524288:TKW524289 TUR524288:TUS524289 UEN524288:UEO524289 UOJ524288:UOK524289 UYF524288:UYG524289 VIB524288:VIC524289 VRX524288:VRY524289 WBT524288:WBU524289 WLP524288:WLQ524289 WVL524288:WVM524289 D589824:E589825 IZ589824:JA589825 SV589824:SW589825 ACR589824:ACS589825 AMN589824:AMO589825 AWJ589824:AWK589825 BGF589824:BGG589825 BQB589824:BQC589825 BZX589824:BZY589825 CJT589824:CJU589825 CTP589824:CTQ589825 DDL589824:DDM589825 DNH589824:DNI589825 DXD589824:DXE589825 EGZ589824:EHA589825 EQV589824:EQW589825 FAR589824:FAS589825 FKN589824:FKO589825 FUJ589824:FUK589825 GEF589824:GEG589825 GOB589824:GOC589825 GXX589824:GXY589825 HHT589824:HHU589825 HRP589824:HRQ589825 IBL589824:IBM589825 ILH589824:ILI589825 IVD589824:IVE589825 JEZ589824:JFA589825 JOV589824:JOW589825 JYR589824:JYS589825 KIN589824:KIO589825 KSJ589824:KSK589825 LCF589824:LCG589825 LMB589824:LMC589825 LVX589824:LVY589825 MFT589824:MFU589825 MPP589824:MPQ589825 MZL589824:MZM589825 NJH589824:NJI589825 NTD589824:NTE589825 OCZ589824:ODA589825 OMV589824:OMW589825 OWR589824:OWS589825 PGN589824:PGO589825 PQJ589824:PQK589825 QAF589824:QAG589825 QKB589824:QKC589825 QTX589824:QTY589825 RDT589824:RDU589825 RNP589824:RNQ589825 RXL589824:RXM589825 SHH589824:SHI589825 SRD589824:SRE589825 TAZ589824:TBA589825 TKV589824:TKW589825 TUR589824:TUS589825 UEN589824:UEO589825 UOJ589824:UOK589825 UYF589824:UYG589825 VIB589824:VIC589825 VRX589824:VRY589825 WBT589824:WBU589825 WLP589824:WLQ589825 WVL589824:WVM589825 D655360:E655361 IZ655360:JA655361 SV655360:SW655361 ACR655360:ACS655361 AMN655360:AMO655361 AWJ655360:AWK655361 BGF655360:BGG655361 BQB655360:BQC655361 BZX655360:BZY655361 CJT655360:CJU655361 CTP655360:CTQ655361 DDL655360:DDM655361 DNH655360:DNI655361 DXD655360:DXE655361 EGZ655360:EHA655361 EQV655360:EQW655361 FAR655360:FAS655361 FKN655360:FKO655361 FUJ655360:FUK655361 GEF655360:GEG655361 GOB655360:GOC655361 GXX655360:GXY655361 HHT655360:HHU655361 HRP655360:HRQ655361 IBL655360:IBM655361 ILH655360:ILI655361 IVD655360:IVE655361 JEZ655360:JFA655361 JOV655360:JOW655361 JYR655360:JYS655361 KIN655360:KIO655361 KSJ655360:KSK655361 LCF655360:LCG655361 LMB655360:LMC655361 LVX655360:LVY655361 MFT655360:MFU655361 MPP655360:MPQ655361 MZL655360:MZM655361 NJH655360:NJI655361 NTD655360:NTE655361 OCZ655360:ODA655361 OMV655360:OMW655361 OWR655360:OWS655361 PGN655360:PGO655361 PQJ655360:PQK655361 QAF655360:QAG655361 QKB655360:QKC655361 QTX655360:QTY655361 RDT655360:RDU655361 RNP655360:RNQ655361 RXL655360:RXM655361 SHH655360:SHI655361 SRD655360:SRE655361 TAZ655360:TBA655361 TKV655360:TKW655361 TUR655360:TUS655361 UEN655360:UEO655361 UOJ655360:UOK655361 UYF655360:UYG655361 VIB655360:VIC655361 VRX655360:VRY655361 WBT655360:WBU655361 WLP655360:WLQ655361 WVL655360:WVM655361 D720896:E720897 IZ720896:JA720897 SV720896:SW720897 ACR720896:ACS720897 AMN720896:AMO720897 AWJ720896:AWK720897 BGF720896:BGG720897 BQB720896:BQC720897 BZX720896:BZY720897 CJT720896:CJU720897 CTP720896:CTQ720897 DDL720896:DDM720897 DNH720896:DNI720897 DXD720896:DXE720897 EGZ720896:EHA720897 EQV720896:EQW720897 FAR720896:FAS720897 FKN720896:FKO720897 FUJ720896:FUK720897 GEF720896:GEG720897 GOB720896:GOC720897 GXX720896:GXY720897 HHT720896:HHU720897 HRP720896:HRQ720897 IBL720896:IBM720897 ILH720896:ILI720897 IVD720896:IVE720897 JEZ720896:JFA720897 JOV720896:JOW720897 JYR720896:JYS720897 KIN720896:KIO720897 KSJ720896:KSK720897 LCF720896:LCG720897 LMB720896:LMC720897 LVX720896:LVY720897 MFT720896:MFU720897 MPP720896:MPQ720897 MZL720896:MZM720897 NJH720896:NJI720897 NTD720896:NTE720897 OCZ720896:ODA720897 OMV720896:OMW720897 OWR720896:OWS720897 PGN720896:PGO720897 PQJ720896:PQK720897 QAF720896:QAG720897 QKB720896:QKC720897 QTX720896:QTY720897 RDT720896:RDU720897 RNP720896:RNQ720897 RXL720896:RXM720897 SHH720896:SHI720897 SRD720896:SRE720897 TAZ720896:TBA720897 TKV720896:TKW720897 TUR720896:TUS720897 UEN720896:UEO720897 UOJ720896:UOK720897 UYF720896:UYG720897 VIB720896:VIC720897 VRX720896:VRY720897 WBT720896:WBU720897 WLP720896:WLQ720897 WVL720896:WVM720897 D786432:E786433 IZ786432:JA786433 SV786432:SW786433 ACR786432:ACS786433 AMN786432:AMO786433 AWJ786432:AWK786433 BGF786432:BGG786433 BQB786432:BQC786433 BZX786432:BZY786433 CJT786432:CJU786433 CTP786432:CTQ786433 DDL786432:DDM786433 DNH786432:DNI786433 DXD786432:DXE786433 EGZ786432:EHA786433 EQV786432:EQW786433 FAR786432:FAS786433 FKN786432:FKO786433 FUJ786432:FUK786433 GEF786432:GEG786433 GOB786432:GOC786433 GXX786432:GXY786433 HHT786432:HHU786433 HRP786432:HRQ786433 IBL786432:IBM786433 ILH786432:ILI786433 IVD786432:IVE786433 JEZ786432:JFA786433 JOV786432:JOW786433 JYR786432:JYS786433 KIN786432:KIO786433 KSJ786432:KSK786433 LCF786432:LCG786433 LMB786432:LMC786433 LVX786432:LVY786433 MFT786432:MFU786433 MPP786432:MPQ786433 MZL786432:MZM786433 NJH786432:NJI786433 NTD786432:NTE786433 OCZ786432:ODA786433 OMV786432:OMW786433 OWR786432:OWS786433 PGN786432:PGO786433 PQJ786432:PQK786433 QAF786432:QAG786433 QKB786432:QKC786433 QTX786432:QTY786433 RDT786432:RDU786433 RNP786432:RNQ786433 RXL786432:RXM786433 SHH786432:SHI786433 SRD786432:SRE786433 TAZ786432:TBA786433 TKV786432:TKW786433 TUR786432:TUS786433 UEN786432:UEO786433 UOJ786432:UOK786433 UYF786432:UYG786433 VIB786432:VIC786433 VRX786432:VRY786433 WBT786432:WBU786433 WLP786432:WLQ786433 WVL786432:WVM786433 D851968:E851969 IZ851968:JA851969 SV851968:SW851969 ACR851968:ACS851969 AMN851968:AMO851969 AWJ851968:AWK851969 BGF851968:BGG851969 BQB851968:BQC851969 BZX851968:BZY851969 CJT851968:CJU851969 CTP851968:CTQ851969 DDL851968:DDM851969 DNH851968:DNI851969 DXD851968:DXE851969 EGZ851968:EHA851969 EQV851968:EQW851969 FAR851968:FAS851969 FKN851968:FKO851969 FUJ851968:FUK851969 GEF851968:GEG851969 GOB851968:GOC851969 GXX851968:GXY851969 HHT851968:HHU851969 HRP851968:HRQ851969 IBL851968:IBM851969 ILH851968:ILI851969 IVD851968:IVE851969 JEZ851968:JFA851969 JOV851968:JOW851969 JYR851968:JYS851969 KIN851968:KIO851969 KSJ851968:KSK851969 LCF851968:LCG851969 LMB851968:LMC851969 LVX851968:LVY851969 MFT851968:MFU851969 MPP851968:MPQ851969 MZL851968:MZM851969 NJH851968:NJI851969 NTD851968:NTE851969 OCZ851968:ODA851969 OMV851968:OMW851969 OWR851968:OWS851969 PGN851968:PGO851969 PQJ851968:PQK851969 QAF851968:QAG851969 QKB851968:QKC851969 QTX851968:QTY851969 RDT851968:RDU851969 RNP851968:RNQ851969 RXL851968:RXM851969 SHH851968:SHI851969 SRD851968:SRE851969 TAZ851968:TBA851969 TKV851968:TKW851969 TUR851968:TUS851969 UEN851968:UEO851969 UOJ851968:UOK851969 UYF851968:UYG851969 VIB851968:VIC851969 VRX851968:VRY851969 WBT851968:WBU851969 WLP851968:WLQ851969 WVL851968:WVM851969 D917504:E917505 IZ917504:JA917505 SV917504:SW917505 ACR917504:ACS917505 AMN917504:AMO917505 AWJ917504:AWK917505 BGF917504:BGG917505 BQB917504:BQC917505 BZX917504:BZY917505 CJT917504:CJU917505 CTP917504:CTQ917505 DDL917504:DDM917505 DNH917504:DNI917505 DXD917504:DXE917505 EGZ917504:EHA917505 EQV917504:EQW917505 FAR917504:FAS917505 FKN917504:FKO917505 FUJ917504:FUK917505 GEF917504:GEG917505 GOB917504:GOC917505 GXX917504:GXY917505 HHT917504:HHU917505 HRP917504:HRQ917505 IBL917504:IBM917505 ILH917504:ILI917505 IVD917504:IVE917505 JEZ917504:JFA917505 JOV917504:JOW917505 JYR917504:JYS917505 KIN917504:KIO917505 KSJ917504:KSK917505 LCF917504:LCG917505 LMB917504:LMC917505 LVX917504:LVY917505 MFT917504:MFU917505 MPP917504:MPQ917505 MZL917504:MZM917505 NJH917504:NJI917505 NTD917504:NTE917505 OCZ917504:ODA917505 OMV917504:OMW917505 OWR917504:OWS917505 PGN917504:PGO917505 PQJ917504:PQK917505 QAF917504:QAG917505 QKB917504:QKC917505 QTX917504:QTY917505 RDT917504:RDU917505 RNP917504:RNQ917505 RXL917504:RXM917505 SHH917504:SHI917505 SRD917504:SRE917505 TAZ917504:TBA917505 TKV917504:TKW917505 TUR917504:TUS917505 UEN917504:UEO917505 UOJ917504:UOK917505 UYF917504:UYG917505 VIB917504:VIC917505 VRX917504:VRY917505 WBT917504:WBU917505 WLP917504:WLQ917505 WVL917504:WVM917505 D983040:E983041 IZ983040:JA983041 SV983040:SW983041 ACR983040:ACS983041 AMN983040:AMO983041 AWJ983040:AWK983041 BGF983040:BGG983041 BQB983040:BQC983041 BZX983040:BZY983041 CJT983040:CJU983041 CTP983040:CTQ983041 DDL983040:DDM983041 DNH983040:DNI983041 DXD983040:DXE983041 EGZ983040:EHA983041 EQV983040:EQW983041 FAR983040:FAS983041 FKN983040:FKO983041 FUJ983040:FUK983041 GEF983040:GEG983041 GOB983040:GOC983041 GXX983040:GXY983041 HHT983040:HHU983041 HRP983040:HRQ983041 IBL983040:IBM983041 ILH983040:ILI983041 IVD983040:IVE983041 JEZ983040:JFA983041 JOV983040:JOW983041 JYR983040:JYS983041 KIN983040:KIO983041 KSJ983040:KSK983041 LCF983040:LCG983041 LMB983040:LMC983041 LVX983040:LVY983041 MFT983040:MFU983041 MPP983040:MPQ983041 MZL983040:MZM983041 NJH983040:NJI983041 NTD983040:NTE983041 OCZ983040:ODA983041 OMV983040:OMW983041 OWR983040:OWS983041 PGN983040:PGO983041 PQJ983040:PQK983041 QAF983040:QAG983041 QKB983040:QKC983041 QTX983040:QTY983041 RDT983040:RDU983041 RNP983040:RNQ983041 RXL983040:RXM983041 SHH983040:SHI983041 SRD983040:SRE983041 TAZ983040:TBA983041 TKV983040:TKW983041 TUR983040:TUS983041 UEN983040:UEO983041 UOJ983040:UOK983041 UYF983040:UYG983041 VIB983040:VIC983041 VRX983040:VRY983041 WBT983040:WBU983041 WLP983040:WLQ983041 D7:D8 E8" xr:uid="{40A3C9DC-43DC-498B-A578-A994F6F1EAD2}">
      <formula1>"Core1,Core2,Core3,Core4,Core5"</formula1>
    </dataValidation>
  </dataValidations>
  <printOptions horizontalCentered="1" verticalCentered="1"/>
  <pageMargins left="0.5" right="0.5" top="0.5" bottom="0.5" header="0" footer="0"/>
  <pageSetup paperSize="9" scale="90" orientation="portrait" r:id="rId1"/>
  <headerFooter alignWithMargins="0"/>
  <rowBreaks count="2" manualBreakCount="2">
    <brk id="47" max="21" man="1"/>
    <brk id="88"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D11B-EFBC-4FA1-A693-5101846D9F1D}">
  <sheetPr codeName="Sheet11">
    <tabColor rgb="FF00B050"/>
  </sheetPr>
  <dimension ref="A1:Y301"/>
  <sheetViews>
    <sheetView showZeros="0" view="pageBreakPreview" topLeftCell="A71" zoomScaleNormal="100" zoomScaleSheetLayoutView="100" workbookViewId="0">
      <selection activeCell="M83" sqref="M8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958</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108</v>
      </c>
      <c r="C7" s="782"/>
      <c r="D7" s="743" t="s">
        <v>112</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2000</v>
      </c>
      <c r="I10" s="792"/>
      <c r="J10" s="781">
        <v>3200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3.5</v>
      </c>
      <c r="I12" s="782"/>
      <c r="J12" s="192" t="s">
        <v>333</v>
      </c>
      <c r="M12" s="14"/>
      <c r="N12" s="14"/>
      <c r="V12" s="185"/>
    </row>
    <row r="13" spans="1:24" ht="18" customHeight="1">
      <c r="A13" s="184"/>
      <c r="B13" s="47" t="s">
        <v>398</v>
      </c>
      <c r="G13" s="120" t="s">
        <v>498</v>
      </c>
      <c r="H13" s="781">
        <v>500</v>
      </c>
      <c r="I13" s="782"/>
      <c r="J13" s="14" t="s">
        <v>305</v>
      </c>
      <c r="M13" s="14"/>
      <c r="T13" s="295"/>
      <c r="U13" s="18"/>
      <c r="V13" s="185"/>
      <c r="W13" s="30" t="e">
        <f>#REF!</f>
        <v>#REF!</v>
      </c>
    </row>
    <row r="14" spans="1:24" ht="18" customHeight="1">
      <c r="A14" s="184"/>
      <c r="B14" s="14" t="s">
        <v>401</v>
      </c>
      <c r="G14" s="120" t="s">
        <v>402</v>
      </c>
      <c r="H14" s="781">
        <v>20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3.5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3.5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500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3.5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5"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5"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5" ht="18" customHeight="1">
      <c r="A35" s="184"/>
      <c r="C35" s="28"/>
      <c r="D35" s="47" t="s">
        <v>722</v>
      </c>
      <c r="E35" s="28"/>
      <c r="F35" s="28"/>
      <c r="G35" s="28"/>
      <c r="H35" s="14"/>
      <c r="I35" s="14"/>
      <c r="J35" s="28"/>
      <c r="K35" s="28"/>
      <c r="L35" s="28"/>
      <c r="M35" s="28"/>
      <c r="N35" s="47"/>
      <c r="O35" s="28"/>
      <c r="V35" s="185"/>
    </row>
    <row r="36" spans="1:25" ht="18" customHeight="1">
      <c r="A36" s="184"/>
      <c r="D36" s="27"/>
      <c r="E36" s="27"/>
      <c r="F36" s="27"/>
      <c r="G36" s="27"/>
      <c r="I36" s="689" t="s">
        <v>723</v>
      </c>
      <c r="J36" s="689" t="s">
        <v>127</v>
      </c>
      <c r="K36" s="695" t="s">
        <v>714</v>
      </c>
      <c r="L36" s="695"/>
      <c r="M36" s="27"/>
      <c r="N36" s="296"/>
      <c r="O36" s="222"/>
      <c r="V36" s="185"/>
    </row>
    <row r="37" spans="1:25" ht="18" customHeight="1">
      <c r="A37" s="184"/>
      <c r="D37" s="27"/>
      <c r="G37" s="27"/>
      <c r="I37" s="689"/>
      <c r="J37" s="689"/>
      <c r="K37" s="1289" t="s">
        <v>724</v>
      </c>
      <c r="L37" s="1289"/>
      <c r="V37" s="185"/>
    </row>
    <row r="38" spans="1:25" ht="18" customHeight="1">
      <c r="A38" s="184"/>
      <c r="C38" s="18" t="s">
        <v>725</v>
      </c>
      <c r="D38" s="27"/>
      <c r="G38" s="27"/>
      <c r="I38" s="28"/>
      <c r="J38" s="28"/>
      <c r="K38" s="102"/>
      <c r="L38" s="102"/>
      <c r="V38" s="185"/>
    </row>
    <row r="39" spans="1:25" ht="18" customHeight="1">
      <c r="A39" s="184"/>
      <c r="D39" s="372" t="s">
        <v>726</v>
      </c>
      <c r="E39" s="14"/>
      <c r="F39" s="14"/>
      <c r="G39" s="268"/>
      <c r="K39" s="102"/>
      <c r="L39" s="102"/>
      <c r="V39" s="185"/>
    </row>
    <row r="40" spans="1:25" ht="18" customHeight="1">
      <c r="A40" s="184"/>
      <c r="D40" s="7" t="s">
        <v>727</v>
      </c>
      <c r="E40" s="47"/>
      <c r="F40" s="14"/>
      <c r="G40" s="268"/>
      <c r="K40" s="102"/>
      <c r="L40" s="102"/>
      <c r="V40" s="185"/>
    </row>
    <row r="41" spans="1:25" ht="18" customHeight="1">
      <c r="A41" s="184"/>
      <c r="B41" s="14" t="s">
        <v>728</v>
      </c>
      <c r="D41" s="14" t="s">
        <v>729</v>
      </c>
      <c r="G41" s="27"/>
      <c r="I41" s="28"/>
      <c r="J41" s="28"/>
      <c r="K41" s="102"/>
      <c r="L41" s="102"/>
      <c r="V41" s="185"/>
    </row>
    <row r="42" spans="1:25" ht="18" customHeight="1">
      <c r="A42" s="184"/>
      <c r="D42" s="7" t="s">
        <v>730</v>
      </c>
      <c r="G42" s="27"/>
      <c r="I42" s="28"/>
      <c r="J42" s="28"/>
      <c r="K42" s="102"/>
      <c r="L42" s="102"/>
      <c r="V42" s="185"/>
    </row>
    <row r="43" spans="1:25" ht="18" customHeight="1">
      <c r="A43" s="184"/>
      <c r="D43" s="7" t="s">
        <v>731</v>
      </c>
      <c r="G43" s="27"/>
      <c r="I43" s="28"/>
      <c r="J43" s="28"/>
      <c r="K43" s="102"/>
      <c r="L43" s="102"/>
      <c r="V43" s="185"/>
    </row>
    <row r="44" spans="1:25" ht="18" customHeight="1">
      <c r="A44" s="184"/>
      <c r="D44" s="27"/>
      <c r="G44" s="27"/>
      <c r="I44" s="28"/>
      <c r="J44" s="28"/>
      <c r="K44" s="102"/>
      <c r="L44" s="102"/>
      <c r="V44" s="185"/>
    </row>
    <row r="45" spans="1:25"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96"/>
      <c r="B47" s="7" t="s">
        <v>733</v>
      </c>
      <c r="C47" s="7"/>
      <c r="D47" s="14"/>
      <c r="E47" s="7"/>
      <c r="F47" s="7"/>
      <c r="L47" s="27"/>
      <c r="O47" s="27"/>
      <c r="P47" s="27"/>
      <c r="Q47" s="28"/>
      <c r="T47" s="14"/>
      <c r="U47" s="14"/>
      <c r="V47" s="185"/>
    </row>
    <row r="48" spans="1:25" ht="18" customHeight="1">
      <c r="A48" s="96"/>
      <c r="B48" s="14"/>
      <c r="C48" s="7"/>
      <c r="D48" s="7"/>
      <c r="E48" s="14"/>
      <c r="F48" s="7"/>
      <c r="L48" s="27"/>
      <c r="M48" s="14"/>
      <c r="O48" s="14"/>
      <c r="P48" s="14"/>
      <c r="Q48" s="14"/>
      <c r="R48" s="14"/>
      <c r="S48" s="14"/>
      <c r="T48" s="14"/>
      <c r="U48" s="14"/>
      <c r="V48" s="185"/>
    </row>
    <row r="49" spans="1:22" ht="18" customHeight="1">
      <c r="A49" s="96"/>
      <c r="B49" s="14"/>
      <c r="C49" s="120" t="s">
        <v>734</v>
      </c>
      <c r="D49" s="28" t="s">
        <v>127</v>
      </c>
      <c r="E49" s="805">
        <f>S25</f>
        <v>50000</v>
      </c>
      <c r="F49" s="805"/>
      <c r="G49" s="14"/>
      <c r="H49" s="14"/>
      <c r="I49" s="102"/>
      <c r="J49" s="47"/>
      <c r="K49" s="47"/>
      <c r="L49" s="14"/>
      <c r="M49" s="14"/>
      <c r="N49" s="14"/>
      <c r="O49" s="14"/>
      <c r="P49" s="14"/>
      <c r="Q49" s="14"/>
      <c r="R49" s="14"/>
      <c r="S49" s="14"/>
      <c r="T49" s="14"/>
      <c r="U49" s="14"/>
      <c r="V49" s="185"/>
    </row>
    <row r="50" spans="1:22" ht="18" customHeight="1">
      <c r="A50" s="96"/>
      <c r="B50" s="14"/>
      <c r="C50" s="120"/>
      <c r="D50" s="28"/>
      <c r="E50" s="978" t="str">
        <f>"5 x "&amp;S26&amp;""</f>
        <v>5 x 2000</v>
      </c>
      <c r="F50" s="978"/>
      <c r="G50" s="28"/>
      <c r="H50" s="257"/>
      <c r="K50" s="28"/>
      <c r="L50" s="218"/>
      <c r="M50" s="257"/>
      <c r="O50" s="14"/>
      <c r="P50" s="14"/>
      <c r="Q50" s="14"/>
      <c r="R50" s="14"/>
      <c r="S50" s="14"/>
      <c r="T50" s="14"/>
      <c r="U50" s="14"/>
      <c r="V50" s="185"/>
    </row>
    <row r="51" spans="1:22" ht="18" customHeight="1">
      <c r="A51" s="184"/>
      <c r="J51" s="14"/>
      <c r="K51" s="257"/>
      <c r="M51" s="14"/>
      <c r="N51" s="14"/>
      <c r="O51" s="14"/>
      <c r="P51" s="14"/>
      <c r="Q51" s="14"/>
      <c r="R51" s="14"/>
      <c r="S51" s="14"/>
      <c r="T51" s="14"/>
      <c r="U51" s="14"/>
      <c r="V51" s="185"/>
    </row>
    <row r="52" spans="1:22" ht="18" customHeight="1">
      <c r="A52" s="96"/>
      <c r="C52" s="458" t="s">
        <v>734</v>
      </c>
      <c r="D52" s="182" t="s">
        <v>127</v>
      </c>
      <c r="E52" s="1288">
        <f>S25/5/S26</f>
        <v>5</v>
      </c>
      <c r="F52" s="722"/>
      <c r="G52" s="27"/>
      <c r="H52" s="27"/>
      <c r="I52" s="27"/>
      <c r="J52" s="120"/>
      <c r="K52" s="28"/>
      <c r="L52" s="120"/>
      <c r="M52" s="28"/>
      <c r="N52" s="120"/>
      <c r="O52" s="28"/>
      <c r="P52" s="120"/>
      <c r="Q52" s="296"/>
      <c r="V52" s="185"/>
    </row>
    <row r="53" spans="1:22" ht="18" customHeight="1">
      <c r="A53" s="96"/>
      <c r="C53" s="120"/>
      <c r="D53" s="28"/>
      <c r="E53" s="218"/>
      <c r="F53" s="218"/>
      <c r="G53" s="27"/>
      <c r="H53" s="27"/>
      <c r="I53" s="27"/>
      <c r="J53" s="120"/>
      <c r="K53" s="28"/>
      <c r="L53" s="120"/>
      <c r="M53" s="28"/>
      <c r="N53" s="120"/>
      <c r="O53" s="28"/>
      <c r="P53" s="120"/>
      <c r="Q53" s="296"/>
      <c r="V53" s="185"/>
    </row>
    <row r="54" spans="1:22" ht="18" customHeight="1">
      <c r="A54" s="96"/>
      <c r="B54" s="14" t="s">
        <v>735</v>
      </c>
      <c r="C54" s="14"/>
      <c r="D54" s="14"/>
      <c r="E54" s="7"/>
      <c r="F54" s="102"/>
      <c r="G54" s="7"/>
      <c r="H54" s="7"/>
      <c r="I54" s="239"/>
      <c r="J54" s="120"/>
      <c r="K54" s="28"/>
      <c r="L54" s="120"/>
      <c r="M54" s="28"/>
      <c r="N54" s="120"/>
      <c r="O54" s="28"/>
      <c r="P54" s="120"/>
      <c r="Q54" s="296"/>
      <c r="V54" s="185"/>
    </row>
    <row r="55" spans="1:22" ht="18" customHeight="1">
      <c r="A55" s="96"/>
      <c r="C55" s="14"/>
      <c r="D55" s="14"/>
      <c r="E55" s="689" t="s">
        <v>736</v>
      </c>
      <c r="F55" s="689">
        <v>1</v>
      </c>
      <c r="G55" s="689"/>
      <c r="H55" s="689" t="s">
        <v>312</v>
      </c>
      <c r="I55" s="459" t="s">
        <v>312</v>
      </c>
      <c r="J55" s="120"/>
      <c r="K55" s="28"/>
      <c r="L55" s="120"/>
      <c r="M55" s="28"/>
      <c r="N55" s="120"/>
      <c r="O55" s="28"/>
      <c r="P55" s="120"/>
      <c r="Q55" s="296"/>
      <c r="V55" s="185"/>
    </row>
    <row r="56" spans="1:22" ht="18" customHeight="1">
      <c r="A56" s="96"/>
      <c r="C56" s="14"/>
      <c r="D56" s="14"/>
      <c r="E56" s="723"/>
      <c r="F56" s="273"/>
      <c r="G56" s="274" t="s">
        <v>737</v>
      </c>
      <c r="H56" s="689"/>
      <c r="I56" s="14" t="s">
        <v>141</v>
      </c>
      <c r="J56" s="120"/>
      <c r="K56" s="28"/>
      <c r="L56" s="120"/>
      <c r="M56" s="28"/>
      <c r="N56" s="120"/>
      <c r="O56" s="28"/>
      <c r="P56" s="120"/>
      <c r="Q56" s="296"/>
      <c r="V56" s="185"/>
    </row>
    <row r="57" spans="1:22" ht="18" customHeight="1">
      <c r="A57" s="96"/>
      <c r="C57" s="120"/>
      <c r="D57" s="28"/>
      <c r="E57" s="218"/>
      <c r="F57" s="218"/>
      <c r="G57" s="27"/>
      <c r="H57" s="27"/>
      <c r="I57" s="27"/>
      <c r="J57" s="120"/>
      <c r="K57" s="28"/>
      <c r="L57" s="120"/>
      <c r="M57" s="28"/>
      <c r="N57" s="120"/>
      <c r="O57" s="28"/>
      <c r="P57" s="120"/>
      <c r="Q57" s="296"/>
      <c r="V57" s="185"/>
    </row>
    <row r="58" spans="1:22" ht="18" customHeight="1">
      <c r="A58" s="96"/>
      <c r="C58" s="120"/>
      <c r="F58" s="708">
        <v>1</v>
      </c>
      <c r="G58" s="708"/>
      <c r="H58" s="708"/>
      <c r="I58" s="27"/>
      <c r="J58" s="689" t="s">
        <v>315</v>
      </c>
      <c r="K58" s="1286">
        <v>15</v>
      </c>
      <c r="L58" s="120"/>
      <c r="M58" s="28"/>
      <c r="N58" s="120"/>
      <c r="O58" s="28"/>
      <c r="P58" s="120"/>
      <c r="Q58" s="296"/>
      <c r="V58" s="185"/>
    </row>
    <row r="59" spans="1:22" ht="18" customHeight="1">
      <c r="A59" s="96"/>
      <c r="C59" s="120"/>
      <c r="D59" s="120" t="s">
        <v>738</v>
      </c>
      <c r="E59" s="102" t="s">
        <v>127</v>
      </c>
      <c r="F59" s="30" t="s">
        <v>739</v>
      </c>
      <c r="I59" s="27"/>
      <c r="J59" s="684"/>
      <c r="K59" s="1251"/>
      <c r="L59" s="120"/>
      <c r="M59" s="28"/>
      <c r="N59" s="120"/>
      <c r="O59" s="28"/>
      <c r="P59" s="120"/>
      <c r="Q59" s="296"/>
      <c r="V59" s="185"/>
    </row>
    <row r="60" spans="1:22" ht="18" customHeight="1">
      <c r="A60" s="96"/>
      <c r="C60" s="28"/>
      <c r="D60" s="218"/>
      <c r="E60" s="218"/>
      <c r="F60" s="218"/>
      <c r="G60" s="218"/>
      <c r="H60" s="218"/>
      <c r="I60" s="218"/>
      <c r="J60" s="218"/>
      <c r="K60" s="218"/>
      <c r="L60" s="218"/>
      <c r="M60" s="28"/>
      <c r="N60" s="120"/>
      <c r="O60" s="28"/>
      <c r="P60" s="120"/>
      <c r="Q60" s="296"/>
      <c r="V60" s="185"/>
    </row>
    <row r="61" spans="1:22" ht="18" customHeight="1">
      <c r="A61" s="96"/>
      <c r="C61" s="120"/>
      <c r="D61" s="28"/>
      <c r="E61" s="218" t="s">
        <v>127</v>
      </c>
      <c r="F61" s="1287">
        <f>1*K58/(2*3.14*50)</f>
        <v>4.7770700636942678E-2</v>
      </c>
      <c r="G61" s="1287"/>
      <c r="H61" s="28" t="s">
        <v>740</v>
      </c>
      <c r="I61" s="27"/>
      <c r="J61" s="120"/>
      <c r="K61" s="28"/>
      <c r="L61" s="120"/>
      <c r="M61" s="28"/>
      <c r="N61" s="120"/>
      <c r="O61" s="28"/>
      <c r="P61" s="120"/>
      <c r="Q61" s="296"/>
      <c r="V61" s="185"/>
    </row>
    <row r="62" spans="1:22" ht="18" customHeight="1">
      <c r="A62" s="96"/>
      <c r="C62" s="120"/>
      <c r="D62" s="120" t="s">
        <v>738</v>
      </c>
      <c r="E62" s="218" t="s">
        <v>127</v>
      </c>
      <c r="F62" s="1188">
        <f>F61*1000</f>
        <v>47.770700636942678</v>
      </c>
      <c r="G62" s="1188"/>
      <c r="H62" s="28" t="s">
        <v>343</v>
      </c>
      <c r="I62" s="27"/>
      <c r="J62" s="120"/>
      <c r="K62" s="28"/>
      <c r="L62" s="120"/>
      <c r="M62" s="28"/>
      <c r="N62" s="120"/>
      <c r="O62" s="28"/>
      <c r="P62" s="120"/>
      <c r="Q62" s="296"/>
      <c r="V62" s="185"/>
    </row>
    <row r="63" spans="1:22" ht="18" customHeight="1">
      <c r="A63" s="184"/>
      <c r="G63" s="27"/>
      <c r="H63" s="245"/>
      <c r="I63" s="245"/>
      <c r="J63" s="460"/>
      <c r="K63" s="245"/>
      <c r="L63" s="460"/>
      <c r="M63" s="245"/>
      <c r="N63" s="460"/>
      <c r="O63" s="245"/>
      <c r="P63" s="460"/>
      <c r="Q63" s="461"/>
      <c r="V63" s="185"/>
    </row>
    <row r="64" spans="1:22" ht="18" customHeight="1">
      <c r="A64" s="184"/>
      <c r="B64" s="14" t="s">
        <v>741</v>
      </c>
      <c r="E64" s="28" t="s">
        <v>127</v>
      </c>
      <c r="F64" s="27">
        <v>10</v>
      </c>
      <c r="G64" s="27"/>
      <c r="H64" s="245"/>
      <c r="I64" s="245"/>
      <c r="J64" s="460"/>
      <c r="K64" s="245"/>
      <c r="L64" s="460"/>
      <c r="M64" s="245"/>
      <c r="N64" s="460"/>
      <c r="O64" s="245"/>
      <c r="P64" s="460"/>
      <c r="Q64" s="461"/>
      <c r="V64" s="185"/>
    </row>
    <row r="65" spans="1:22" ht="18" customHeight="1">
      <c r="A65" s="184"/>
      <c r="G65" s="27"/>
      <c r="H65" s="245"/>
      <c r="I65" s="245"/>
      <c r="J65" s="460"/>
      <c r="K65" s="245"/>
      <c r="L65" s="460"/>
      <c r="M65" s="245"/>
      <c r="N65" s="460"/>
      <c r="O65" s="245"/>
      <c r="P65" s="460"/>
      <c r="Q65" s="461"/>
      <c r="V65" s="185"/>
    </row>
    <row r="66" spans="1:22" ht="18" customHeight="1">
      <c r="A66" s="184"/>
      <c r="B66" s="7" t="s">
        <v>742</v>
      </c>
      <c r="F66" s="7"/>
      <c r="G66" s="7"/>
      <c r="H66" s="204"/>
      <c r="I66" s="204"/>
      <c r="V66" s="185"/>
    </row>
    <row r="67" spans="1:22" ht="17.399999999999999" customHeight="1">
      <c r="A67" s="184"/>
      <c r="B67" s="7"/>
      <c r="E67" s="30" t="s">
        <v>743</v>
      </c>
      <c r="F67" s="7"/>
      <c r="G67" s="7"/>
      <c r="V67" s="185"/>
    </row>
    <row r="68" spans="1:22" ht="17.399999999999999" customHeight="1">
      <c r="A68" s="184"/>
      <c r="B68" s="7"/>
      <c r="E68" s="14"/>
      <c r="F68" s="7"/>
      <c r="G68" s="7"/>
      <c r="V68" s="185"/>
    </row>
    <row r="69" spans="1:22" ht="17.399999999999999" customHeight="1">
      <c r="A69" s="184"/>
      <c r="B69" s="14" t="s">
        <v>744</v>
      </c>
      <c r="C69" s="14"/>
      <c r="D69" s="14"/>
      <c r="E69" s="14"/>
      <c r="F69" s="14"/>
      <c r="G69" s="120"/>
      <c r="H69" s="120"/>
      <c r="V69" s="185"/>
    </row>
    <row r="70" spans="1:22" ht="17.399999999999999" customHeight="1">
      <c r="A70" s="184"/>
      <c r="B70" s="14"/>
      <c r="C70" s="120" t="s">
        <v>745</v>
      </c>
      <c r="D70" s="28" t="s">
        <v>127</v>
      </c>
      <c r="E70" s="28">
        <v>10</v>
      </c>
      <c r="F70" s="14"/>
      <c r="G70" s="47" t="s">
        <v>746</v>
      </c>
      <c r="H70" s="120"/>
      <c r="V70" s="185"/>
    </row>
    <row r="71" spans="1:22" ht="17.399999999999999" customHeight="1">
      <c r="A71" s="184"/>
      <c r="B71" s="7"/>
      <c r="E71" s="14"/>
      <c r="F71" s="7"/>
      <c r="G71" s="7"/>
      <c r="V71" s="185"/>
    </row>
    <row r="72" spans="1:22" ht="17.399999999999999" customHeight="1">
      <c r="A72" s="184"/>
      <c r="B72" s="47" t="s">
        <v>747</v>
      </c>
      <c r="E72" s="14"/>
      <c r="F72" s="7"/>
      <c r="G72" s="7"/>
      <c r="V72" s="185"/>
    </row>
    <row r="73" spans="1:22" ht="17.399999999999999" customHeight="1">
      <c r="A73" s="184"/>
      <c r="B73" s="47" t="s">
        <v>748</v>
      </c>
      <c r="E73" s="14"/>
      <c r="F73" s="7"/>
      <c r="G73" s="7"/>
      <c r="V73" s="185"/>
    </row>
    <row r="74" spans="1:22" ht="17.399999999999999" customHeight="1" thickBot="1">
      <c r="A74" s="184"/>
      <c r="B74" s="102" t="s">
        <v>127</v>
      </c>
      <c r="C74" s="120">
        <f>E70</f>
        <v>10</v>
      </c>
      <c r="D74" s="28" t="s">
        <v>315</v>
      </c>
      <c r="E74" s="28" t="s">
        <v>419</v>
      </c>
      <c r="F74" s="692">
        <f>S29</f>
        <v>3.5</v>
      </c>
      <c r="G74" s="692"/>
      <c r="H74" s="102" t="s">
        <v>347</v>
      </c>
      <c r="I74" s="218">
        <f>S30</f>
        <v>1.0870224400000001</v>
      </c>
      <c r="J74" s="240" t="s">
        <v>347</v>
      </c>
      <c r="K74" s="281">
        <f>J18</f>
        <v>0.01</v>
      </c>
      <c r="L74" s="14" t="s">
        <v>350</v>
      </c>
      <c r="M74" s="14" t="s">
        <v>315</v>
      </c>
      <c r="N74" s="28">
        <v>1</v>
      </c>
      <c r="V74" s="185"/>
    </row>
    <row r="75" spans="1:22" ht="17.399999999999999" customHeight="1" thickBot="1">
      <c r="A75" s="184"/>
      <c r="B75" s="462" t="s">
        <v>528</v>
      </c>
      <c r="C75" s="463" t="s">
        <v>127</v>
      </c>
      <c r="D75" s="464">
        <f>C74*(F74+I74+K74)*N74</f>
        <v>45.970224399999999</v>
      </c>
      <c r="E75" s="14" t="s">
        <v>305</v>
      </c>
      <c r="F75" s="7"/>
      <c r="G75" s="7"/>
      <c r="V75" s="185"/>
    </row>
    <row r="76" spans="1:22" ht="17.399999999999999" customHeight="1">
      <c r="A76" s="184"/>
      <c r="B76" s="7"/>
      <c r="E76" s="14"/>
      <c r="F76" s="7"/>
      <c r="G76" s="7"/>
      <c r="V76" s="185"/>
    </row>
    <row r="77" spans="1:22" ht="17.399999999999999" customHeight="1">
      <c r="A77" s="184"/>
      <c r="B77" s="47" t="s">
        <v>749</v>
      </c>
      <c r="E77" s="14"/>
      <c r="F77" s="7"/>
      <c r="G77" s="7"/>
      <c r="J77" s="14" t="s">
        <v>750</v>
      </c>
      <c r="L77" s="28" t="s">
        <v>476</v>
      </c>
      <c r="N77" s="14" t="s">
        <v>751</v>
      </c>
      <c r="V77" s="185"/>
    </row>
    <row r="78" spans="1:22" ht="17.399999999999999" customHeight="1">
      <c r="A78" s="184"/>
      <c r="B78" s="7"/>
      <c r="E78" s="14"/>
      <c r="F78" s="7"/>
      <c r="G78" s="7"/>
      <c r="L78" s="28" t="s">
        <v>127</v>
      </c>
      <c r="N78" s="1251">
        <f>0.8*D75</f>
        <v>36.776179519999999</v>
      </c>
      <c r="O78" s="1251"/>
      <c r="V78" s="185"/>
    </row>
    <row r="79" spans="1:22" ht="17.399999999999999" customHeight="1">
      <c r="A79" s="184"/>
      <c r="B79" s="7"/>
      <c r="E79" s="14"/>
      <c r="F79" s="14" t="s">
        <v>752</v>
      </c>
      <c r="G79" s="7"/>
      <c r="L79" s="28" t="s">
        <v>127</v>
      </c>
      <c r="N79" s="1072">
        <f>N78*1.2</f>
        <v>44.131415423999997</v>
      </c>
      <c r="O79" s="1072"/>
      <c r="V79" s="185"/>
    </row>
    <row r="80" spans="1:22" ht="17.399999999999999" customHeight="1">
      <c r="A80" s="184"/>
      <c r="K80" s="199" t="s">
        <v>475</v>
      </c>
      <c r="L80" s="28" t="str">
        <f>IF(I81&gt;M81,"&gt;","&lt;")</f>
        <v>&gt;</v>
      </c>
      <c r="M80" s="257" t="s">
        <v>477</v>
      </c>
      <c r="O80" s="18"/>
      <c r="P80" s="268"/>
      <c r="V80" s="185"/>
    </row>
    <row r="81" spans="1:23" ht="17.399999999999999" customHeight="1">
      <c r="A81" s="184"/>
      <c r="I81" s="795">
        <f>S28</f>
        <v>500</v>
      </c>
      <c r="J81" s="795"/>
      <c r="K81" s="27"/>
      <c r="L81" s="27" t="str">
        <f>IF(I81&gt;=M81,"&gt;","&lt;")</f>
        <v>&gt;</v>
      </c>
      <c r="M81" s="795">
        <f>N79</f>
        <v>44.131415423999997</v>
      </c>
      <c r="N81" s="795"/>
      <c r="P81" s="268"/>
      <c r="V81" s="185"/>
    </row>
    <row r="82" spans="1:23" ht="17.399999999999999" customHeight="1">
      <c r="A82" s="184"/>
      <c r="K82" s="244" t="s">
        <v>478</v>
      </c>
      <c r="M82" s="18" t="str">
        <f>IF(I81&gt;M81,"Suitably Dimensioned","Under Dimensioned")</f>
        <v>Suitably Dimensioned</v>
      </c>
      <c r="V82" s="185"/>
    </row>
    <row r="83" spans="1:23" ht="17.399999999999999" customHeight="1">
      <c r="A83" s="184"/>
      <c r="K83" s="244"/>
      <c r="M83" s="18"/>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B86" s="7"/>
      <c r="E86" s="14"/>
      <c r="F86" s="7"/>
      <c r="G86" s="7"/>
      <c r="V86" s="185"/>
    </row>
    <row r="87" spans="1:23" s="14" customFormat="1" ht="15.6"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row r="88" spans="1:23" ht="18"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customHeight="1">
      <c r="A89" s="184"/>
      <c r="B89" s="835" t="str">
        <f>B7</f>
        <v>T1</v>
      </c>
      <c r="C89" s="836"/>
      <c r="D89" s="1118" t="str">
        <f>D7</f>
        <v>Core5</v>
      </c>
      <c r="E89" s="1290"/>
      <c r="F89" s="455"/>
      <c r="H89" s="684" t="str">
        <f>H7</f>
        <v>(Low Imp. Busbar)</v>
      </c>
      <c r="I89" s="684"/>
      <c r="J89" s="684"/>
      <c r="K89" s="684"/>
      <c r="L89" s="684"/>
      <c r="M89" s="684"/>
      <c r="P89" s="186"/>
      <c r="S89" s="187" t="s">
        <v>387</v>
      </c>
      <c r="T89" s="835" t="str">
        <f>T7</f>
        <v>REB500</v>
      </c>
      <c r="U89" s="836"/>
      <c r="V89" s="185"/>
    </row>
    <row r="90" spans="1:23" ht="18" customHeight="1">
      <c r="A90" s="456"/>
      <c r="F90" s="455"/>
      <c r="T90" s="839">
        <f>T8</f>
        <v>0</v>
      </c>
      <c r="U90" s="840"/>
      <c r="V90" s="185"/>
    </row>
    <row r="91" spans="1:23" ht="18" customHeight="1">
      <c r="A91" s="184"/>
      <c r="H91" s="708" t="s">
        <v>390</v>
      </c>
      <c r="I91" s="708"/>
      <c r="J91" s="789" t="s">
        <v>391</v>
      </c>
      <c r="K91" s="789"/>
      <c r="L91" s="790" t="s">
        <v>392</v>
      </c>
      <c r="M91" s="790"/>
      <c r="T91" s="839">
        <f>T9</f>
        <v>0</v>
      </c>
      <c r="U91" s="840"/>
      <c r="V91" s="185"/>
    </row>
    <row r="92" spans="1:23" ht="18" customHeight="1">
      <c r="A92" s="184"/>
      <c r="B92" s="47" t="s">
        <v>393</v>
      </c>
      <c r="H92" s="835">
        <f>H10</f>
        <v>2000</v>
      </c>
      <c r="I92" s="836"/>
      <c r="J92" s="835">
        <f>J10</f>
        <v>3200</v>
      </c>
      <c r="K92" s="836"/>
      <c r="L92" s="835" t="str">
        <f>L10</f>
        <v>-</v>
      </c>
      <c r="M92" s="836"/>
      <c r="N92" s="191" t="s">
        <v>342</v>
      </c>
      <c r="O92" s="488">
        <f>O10</f>
        <v>1</v>
      </c>
      <c r="P92" s="27" t="s">
        <v>8</v>
      </c>
      <c r="R92" s="255"/>
      <c r="S92" s="255"/>
      <c r="V92" s="185"/>
    </row>
    <row r="93" spans="1:23" ht="18" customHeight="1">
      <c r="A93" s="184"/>
      <c r="B93" s="47" t="s">
        <v>394</v>
      </c>
      <c r="H93" s="14"/>
      <c r="I93" s="14"/>
      <c r="J93" s="835" t="str">
        <f>H11</f>
        <v>PX</v>
      </c>
      <c r="K93" s="836"/>
      <c r="L93" s="14"/>
      <c r="M93" s="14"/>
      <c r="V93" s="185"/>
    </row>
    <row r="94" spans="1:23" ht="18" customHeight="1">
      <c r="A94" s="184"/>
      <c r="B94" s="47" t="s">
        <v>396</v>
      </c>
      <c r="I94" s="120" t="s">
        <v>497</v>
      </c>
      <c r="J94" s="781">
        <v>5</v>
      </c>
      <c r="K94" s="782"/>
      <c r="L94" s="192" t="s">
        <v>333</v>
      </c>
      <c r="V94" s="185"/>
    </row>
    <row r="95" spans="1:23" ht="18" customHeight="1">
      <c r="A95" s="184"/>
      <c r="B95" s="47" t="s">
        <v>398</v>
      </c>
      <c r="I95" s="120" t="s">
        <v>498</v>
      </c>
      <c r="J95" s="781">
        <v>900</v>
      </c>
      <c r="K95" s="782"/>
      <c r="L95" s="14" t="s">
        <v>305</v>
      </c>
      <c r="T95" s="295"/>
      <c r="U95" s="18"/>
      <c r="V95" s="185"/>
      <c r="W95" s="30" t="str">
        <f>M162</f>
        <v>Required Vk</v>
      </c>
    </row>
    <row r="96" spans="1:23" ht="18" customHeight="1">
      <c r="A96" s="184"/>
      <c r="B96" s="14" t="s">
        <v>401</v>
      </c>
      <c r="I96" s="120" t="s">
        <v>402</v>
      </c>
      <c r="J96" s="781">
        <v>10</v>
      </c>
      <c r="K96" s="782"/>
      <c r="L96" s="14" t="s">
        <v>403</v>
      </c>
      <c r="V96" s="185"/>
    </row>
    <row r="97" spans="1:22" ht="18" customHeight="1">
      <c r="A97" s="184"/>
      <c r="V97" s="185"/>
    </row>
    <row r="98" spans="1:22" ht="18" customHeight="1">
      <c r="A98" s="193" t="s">
        <v>404</v>
      </c>
      <c r="V98" s="185"/>
    </row>
    <row r="99" spans="1:22" ht="18" customHeight="1">
      <c r="A99" s="184"/>
      <c r="V99" s="185"/>
    </row>
    <row r="100" spans="1:22" ht="18" customHeight="1">
      <c r="A100" s="184"/>
      <c r="B100" s="135" t="s">
        <v>405</v>
      </c>
      <c r="C100" s="273"/>
      <c r="D100" s="139" t="str">
        <f>T89</f>
        <v>REB500</v>
      </c>
      <c r="E100" s="227"/>
      <c r="F100" s="227"/>
      <c r="G100" s="227"/>
      <c r="H100" s="138"/>
      <c r="I100" s="260" t="s">
        <v>127</v>
      </c>
      <c r="J100" s="722">
        <f>J18</f>
        <v>0.01</v>
      </c>
      <c r="K100" s="958"/>
      <c r="L100" s="3" t="s">
        <v>157</v>
      </c>
      <c r="N100" s="197" t="s">
        <v>510</v>
      </c>
      <c r="V100" s="185"/>
    </row>
    <row r="101" spans="1:22" ht="18" customHeight="1">
      <c r="A101" s="184"/>
      <c r="B101" s="96" t="s">
        <v>405</v>
      </c>
      <c r="C101" s="14"/>
      <c r="D101" s="47">
        <f>T90</f>
        <v>0</v>
      </c>
      <c r="H101" s="28"/>
      <c r="I101" s="101" t="s">
        <v>127</v>
      </c>
      <c r="J101" s="722">
        <f>J19</f>
        <v>0</v>
      </c>
      <c r="K101" s="958"/>
      <c r="L101" s="3" t="s">
        <v>157</v>
      </c>
      <c r="N101" s="120" t="s">
        <v>491</v>
      </c>
      <c r="O101" s="27" t="s">
        <v>127</v>
      </c>
      <c r="P101" s="27" t="s">
        <v>511</v>
      </c>
      <c r="Q101" s="27" t="s">
        <v>315</v>
      </c>
      <c r="R101" s="27" t="s">
        <v>511</v>
      </c>
      <c r="S101" s="27" t="s">
        <v>315</v>
      </c>
      <c r="T101" s="27" t="s">
        <v>420</v>
      </c>
      <c r="V101" s="185"/>
    </row>
    <row r="102" spans="1:22" ht="18" customHeight="1">
      <c r="A102" s="184"/>
      <c r="B102" s="96" t="s">
        <v>405</v>
      </c>
      <c r="C102" s="14"/>
      <c r="D102" s="47">
        <f>T91</f>
        <v>0</v>
      </c>
      <c r="H102" s="28"/>
      <c r="I102" s="101" t="s">
        <v>127</v>
      </c>
      <c r="J102" s="722">
        <f>J20</f>
        <v>0</v>
      </c>
      <c r="K102" s="958"/>
      <c r="L102" s="3" t="s">
        <v>157</v>
      </c>
      <c r="N102" s="27"/>
      <c r="O102" s="27" t="s">
        <v>127</v>
      </c>
      <c r="P102" s="27">
        <f>O92</f>
        <v>1</v>
      </c>
      <c r="Q102" s="27" t="s">
        <v>315</v>
      </c>
      <c r="R102" s="27">
        <f>O92</f>
        <v>1</v>
      </c>
      <c r="S102" s="27" t="s">
        <v>315</v>
      </c>
      <c r="T102" s="27">
        <f>J94</f>
        <v>5</v>
      </c>
      <c r="V102" s="185"/>
    </row>
    <row r="103" spans="1:22" ht="18" customHeight="1">
      <c r="A103" s="184"/>
      <c r="B103" s="452" t="s">
        <v>412</v>
      </c>
      <c r="C103" s="259"/>
      <c r="D103" s="259"/>
      <c r="E103" s="259"/>
      <c r="F103" s="207"/>
      <c r="G103" s="207"/>
      <c r="H103" s="190"/>
      <c r="I103" s="208" t="s">
        <v>127</v>
      </c>
      <c r="J103" s="1120">
        <f>J21</f>
        <v>1.0770224400000001</v>
      </c>
      <c r="K103" s="987"/>
      <c r="L103" s="297" t="s">
        <v>157</v>
      </c>
      <c r="O103" s="27" t="s">
        <v>127</v>
      </c>
      <c r="P103" s="795">
        <f>P102*R102*T102</f>
        <v>5</v>
      </c>
      <c r="Q103" s="684"/>
      <c r="R103" s="27" t="s">
        <v>157</v>
      </c>
      <c r="V103" s="185"/>
    </row>
    <row r="104" spans="1:22" ht="18" customHeight="1">
      <c r="A104" s="184"/>
      <c r="B104" s="1" t="s">
        <v>413</v>
      </c>
      <c r="C104" s="2"/>
      <c r="D104" s="2"/>
      <c r="E104" s="2"/>
      <c r="F104" s="196"/>
      <c r="G104" s="196"/>
      <c r="H104" s="224" t="s">
        <v>512</v>
      </c>
      <c r="I104" s="183" t="s">
        <v>127</v>
      </c>
      <c r="J104" s="722">
        <f>SUM(J100:J103)</f>
        <v>1.0870224400000001</v>
      </c>
      <c r="K104" s="958"/>
      <c r="L104" s="3" t="s">
        <v>157</v>
      </c>
      <c r="V104" s="185"/>
    </row>
    <row r="105" spans="1:22" ht="18" customHeight="1">
      <c r="A105" s="184"/>
      <c r="B105" s="47"/>
      <c r="C105" s="47"/>
      <c r="D105" s="47"/>
      <c r="E105" s="47"/>
      <c r="H105" s="27"/>
      <c r="I105" s="28"/>
      <c r="J105" s="199"/>
      <c r="L105" s="47"/>
      <c r="S105" s="27"/>
      <c r="V105" s="185"/>
    </row>
    <row r="106" spans="1:22" ht="18" customHeight="1">
      <c r="A106" s="258"/>
      <c r="B106" s="117" t="s">
        <v>712</v>
      </c>
      <c r="V106" s="185"/>
    </row>
    <row r="107" spans="1:22" ht="18" customHeight="1">
      <c r="A107" s="231"/>
      <c r="B107" s="5"/>
      <c r="C107" s="47" t="s">
        <v>713</v>
      </c>
      <c r="D107" s="14"/>
      <c r="E107" s="14"/>
      <c r="F107" s="14"/>
      <c r="G107" s="14"/>
      <c r="H107" s="279"/>
      <c r="I107" s="120"/>
      <c r="J107" s="279"/>
      <c r="K107" s="279"/>
      <c r="L107" s="14"/>
      <c r="M107" s="14"/>
      <c r="N107" s="14"/>
      <c r="O107" s="14"/>
      <c r="P107" s="14"/>
      <c r="Q107" s="120" t="s">
        <v>714</v>
      </c>
      <c r="R107" s="102" t="s">
        <v>127</v>
      </c>
      <c r="S107" s="689">
        <v>31500</v>
      </c>
      <c r="T107" s="689"/>
      <c r="U107" s="47" t="s">
        <v>8</v>
      </c>
      <c r="V107" s="97" t="s">
        <v>129</v>
      </c>
    </row>
    <row r="108" spans="1:22" ht="18" customHeight="1">
      <c r="A108" s="184"/>
      <c r="B108" s="5"/>
      <c r="C108" s="47" t="s">
        <v>545</v>
      </c>
      <c r="D108" s="14"/>
      <c r="E108" s="14"/>
      <c r="F108" s="18"/>
      <c r="G108" s="18"/>
      <c r="H108" s="279"/>
      <c r="I108" s="120"/>
      <c r="J108" s="279"/>
      <c r="K108" s="279"/>
      <c r="L108" s="14"/>
      <c r="M108" s="14"/>
      <c r="N108" s="14"/>
      <c r="O108" s="14"/>
      <c r="P108" s="14"/>
      <c r="Q108" s="120" t="s">
        <v>423</v>
      </c>
      <c r="R108" s="102" t="s">
        <v>127</v>
      </c>
      <c r="S108" s="689">
        <f>J92</f>
        <v>3200</v>
      </c>
      <c r="T108" s="689"/>
      <c r="U108" s="14" t="s">
        <v>8</v>
      </c>
      <c r="V108" s="185"/>
    </row>
    <row r="109" spans="1:22" ht="18" customHeight="1">
      <c r="A109" s="184"/>
      <c r="B109" s="5"/>
      <c r="C109" s="47" t="s">
        <v>715</v>
      </c>
      <c r="D109" s="14"/>
      <c r="E109" s="14"/>
      <c r="F109" s="18"/>
      <c r="G109" s="18"/>
      <c r="H109" s="279"/>
      <c r="I109" s="120"/>
      <c r="J109" s="279"/>
      <c r="K109" s="279"/>
      <c r="L109" s="14"/>
      <c r="M109" s="14"/>
      <c r="N109" s="14"/>
      <c r="O109" s="14"/>
      <c r="P109" s="14"/>
      <c r="Q109" s="120" t="s">
        <v>716</v>
      </c>
      <c r="R109" s="102" t="s">
        <v>127</v>
      </c>
      <c r="S109" s="689">
        <v>33</v>
      </c>
      <c r="T109" s="689"/>
      <c r="U109" s="14" t="s">
        <v>163</v>
      </c>
      <c r="V109" s="185"/>
    </row>
    <row r="110" spans="1:22" ht="18" customHeight="1">
      <c r="A110" s="184"/>
      <c r="B110" s="5"/>
      <c r="C110" s="47" t="s">
        <v>546</v>
      </c>
      <c r="D110" s="14"/>
      <c r="E110" s="14"/>
      <c r="F110" s="18"/>
      <c r="G110" s="18"/>
      <c r="H110" s="279"/>
      <c r="I110" s="120"/>
      <c r="J110" s="279"/>
      <c r="K110" s="279"/>
      <c r="L110" s="14"/>
      <c r="M110" s="14"/>
      <c r="N110" s="14"/>
      <c r="O110" s="14"/>
      <c r="P110" s="14"/>
      <c r="Q110" s="120" t="s">
        <v>473</v>
      </c>
      <c r="R110" s="102" t="s">
        <v>127</v>
      </c>
      <c r="S110" s="689">
        <f>J95</f>
        <v>900</v>
      </c>
      <c r="T110" s="689"/>
      <c r="U110" s="14" t="s">
        <v>305</v>
      </c>
      <c r="V110" s="185"/>
    </row>
    <row r="111" spans="1:22" ht="18" customHeight="1">
      <c r="A111" s="184"/>
      <c r="B111" s="5"/>
      <c r="C111" s="47" t="s">
        <v>717</v>
      </c>
      <c r="D111" s="14"/>
      <c r="E111" s="14"/>
      <c r="F111" s="18"/>
      <c r="G111" s="18"/>
      <c r="H111" s="279"/>
      <c r="I111" s="120"/>
      <c r="J111" s="279"/>
      <c r="K111" s="279"/>
      <c r="L111" s="14"/>
      <c r="M111" s="14"/>
      <c r="N111" s="14"/>
      <c r="O111" s="14"/>
      <c r="P111" s="14"/>
      <c r="Q111" s="120" t="s">
        <v>420</v>
      </c>
      <c r="R111" s="102" t="s">
        <v>127</v>
      </c>
      <c r="S111" s="692">
        <f>P103</f>
        <v>5</v>
      </c>
      <c r="T111" s="689"/>
      <c r="U111" s="14" t="s">
        <v>157</v>
      </c>
      <c r="V111" s="185"/>
    </row>
    <row r="112" spans="1:22" ht="18" customHeight="1">
      <c r="A112" s="184"/>
      <c r="B112" s="5"/>
      <c r="C112" s="47" t="s">
        <v>718</v>
      </c>
      <c r="D112" s="14"/>
      <c r="E112" s="14"/>
      <c r="F112" s="18"/>
      <c r="G112" s="18"/>
      <c r="H112" s="279"/>
      <c r="I112" s="120"/>
      <c r="J112" s="279"/>
      <c r="K112" s="279"/>
      <c r="L112" s="14"/>
      <c r="M112" s="14"/>
      <c r="N112" s="14"/>
      <c r="O112" s="14"/>
      <c r="P112" s="14"/>
      <c r="Q112" s="120" t="s">
        <v>522</v>
      </c>
      <c r="R112" s="102" t="s">
        <v>127</v>
      </c>
      <c r="S112" s="692">
        <f>J104</f>
        <v>1.0870224400000001</v>
      </c>
      <c r="T112" s="689"/>
      <c r="U112" s="14" t="s">
        <v>157</v>
      </c>
      <c r="V112" s="185"/>
    </row>
    <row r="113" spans="1:25" ht="18" customHeight="1">
      <c r="A113" s="168"/>
      <c r="B113" s="5"/>
      <c r="C113" s="47" t="s">
        <v>549</v>
      </c>
      <c r="D113" s="14"/>
      <c r="E113" s="14"/>
      <c r="F113" s="14"/>
      <c r="G113" s="14"/>
      <c r="H113" s="279"/>
      <c r="I113" s="120"/>
      <c r="J113" s="279"/>
      <c r="K113" s="279"/>
      <c r="L113" s="14"/>
      <c r="M113" s="14"/>
      <c r="N113" s="14"/>
      <c r="O113" s="14"/>
      <c r="P113" s="14"/>
      <c r="Q113" s="120" t="s">
        <v>714</v>
      </c>
      <c r="R113" s="102" t="s">
        <v>127</v>
      </c>
      <c r="S113" s="689">
        <f>O92</f>
        <v>1</v>
      </c>
      <c r="T113" s="689"/>
      <c r="U113" s="14" t="s">
        <v>8</v>
      </c>
      <c r="V113" s="185"/>
    </row>
    <row r="114" spans="1:25" ht="18" customHeight="1">
      <c r="A114" s="168"/>
      <c r="B114" s="5"/>
      <c r="C114" s="47" t="s">
        <v>719</v>
      </c>
      <c r="D114" s="14"/>
      <c r="E114" s="14"/>
      <c r="F114" s="14"/>
      <c r="G114" s="14"/>
      <c r="H114" s="279"/>
      <c r="I114" s="120"/>
      <c r="J114" s="279"/>
      <c r="K114" s="279"/>
      <c r="L114" s="14"/>
      <c r="M114" s="14"/>
      <c r="N114" s="14"/>
      <c r="O114" s="14"/>
      <c r="P114" s="14"/>
      <c r="Q114" s="120" t="s">
        <v>720</v>
      </c>
      <c r="R114" s="102" t="s">
        <v>127</v>
      </c>
      <c r="S114" s="689">
        <v>50</v>
      </c>
      <c r="T114" s="689"/>
      <c r="U114" s="47"/>
      <c r="V114" s="185"/>
    </row>
    <row r="115" spans="1:25" ht="18" customHeight="1">
      <c r="A115" s="168"/>
      <c r="B115" s="279"/>
      <c r="C115" s="47"/>
      <c r="D115" s="14"/>
      <c r="E115" s="14"/>
      <c r="F115" s="14"/>
      <c r="G115" s="14"/>
      <c r="H115" s="279"/>
      <c r="I115" s="120"/>
      <c r="J115" s="279"/>
      <c r="K115" s="279"/>
      <c r="L115" s="14"/>
      <c r="M115" s="14"/>
      <c r="N115" s="279"/>
      <c r="O115" s="279"/>
      <c r="P115" s="14"/>
      <c r="Q115" s="120"/>
      <c r="R115" s="14"/>
      <c r="S115" s="279"/>
      <c r="T115" s="279"/>
      <c r="U115" s="279"/>
      <c r="V115" s="300"/>
    </row>
    <row r="116" spans="1:25" ht="18" customHeight="1">
      <c r="A116" s="168"/>
      <c r="C116" s="18" t="s">
        <v>721</v>
      </c>
      <c r="D116" s="14"/>
      <c r="E116" s="14"/>
      <c r="F116" s="14"/>
      <c r="G116" s="14"/>
      <c r="H116" s="14"/>
      <c r="I116" s="14"/>
      <c r="J116" s="14"/>
      <c r="K116" s="14"/>
      <c r="L116" s="14"/>
      <c r="M116" s="14"/>
      <c r="N116" s="14"/>
      <c r="O116" s="14"/>
      <c r="P116" s="14"/>
      <c r="Q116" s="14"/>
      <c r="R116" s="14"/>
      <c r="S116" s="14"/>
      <c r="T116" s="14"/>
      <c r="U116" s="14"/>
      <c r="V116" s="185"/>
      <c r="W116" s="279"/>
      <c r="X116" s="279"/>
      <c r="Y116" s="279"/>
    </row>
    <row r="117" spans="1:25" ht="18" customHeight="1">
      <c r="A117" s="168"/>
      <c r="C117" s="28"/>
      <c r="D117" s="47" t="s">
        <v>722</v>
      </c>
      <c r="E117" s="28"/>
      <c r="F117" s="28"/>
      <c r="G117" s="28"/>
      <c r="H117" s="14"/>
      <c r="I117" s="14"/>
      <c r="J117" s="28"/>
      <c r="K117" s="28"/>
      <c r="L117" s="28"/>
      <c r="M117" s="28"/>
      <c r="N117" s="47"/>
      <c r="O117" s="28"/>
      <c r="V117" s="185"/>
      <c r="X117" s="279"/>
      <c r="Y117" s="279"/>
    </row>
    <row r="118" spans="1:25" ht="18" customHeight="1">
      <c r="A118" s="168"/>
      <c r="D118" s="27"/>
      <c r="E118" s="27"/>
      <c r="F118" s="27"/>
      <c r="G118" s="27"/>
      <c r="I118" s="689" t="s">
        <v>723</v>
      </c>
      <c r="J118" s="689" t="s">
        <v>127</v>
      </c>
      <c r="K118" s="695" t="s">
        <v>714</v>
      </c>
      <c r="L118" s="695"/>
      <c r="M118" s="27"/>
      <c r="N118" s="296"/>
      <c r="O118" s="222"/>
      <c r="V118" s="185"/>
      <c r="X118" s="279"/>
      <c r="Y118" s="279"/>
    </row>
    <row r="119" spans="1:25" ht="18" customHeight="1">
      <c r="A119" s="168"/>
      <c r="D119" s="27"/>
      <c r="G119" s="27"/>
      <c r="I119" s="689"/>
      <c r="J119" s="689"/>
      <c r="K119" s="1289" t="s">
        <v>724</v>
      </c>
      <c r="L119" s="1289"/>
      <c r="V119" s="185"/>
    </row>
    <row r="120" spans="1:25" ht="18" customHeight="1">
      <c r="A120" s="184"/>
      <c r="B120" s="18" t="s">
        <v>725</v>
      </c>
      <c r="C120" s="14"/>
      <c r="V120" s="185"/>
    </row>
    <row r="121" spans="1:25" ht="18" customHeight="1">
      <c r="A121" s="184"/>
      <c r="B121" s="28"/>
      <c r="C121" s="372" t="s">
        <v>726</v>
      </c>
      <c r="D121" s="14"/>
      <c r="E121" s="14"/>
      <c r="F121" s="14"/>
      <c r="G121" s="14"/>
      <c r="H121" s="14"/>
      <c r="I121" s="14"/>
      <c r="J121" s="14"/>
      <c r="K121" s="14"/>
      <c r="L121" s="14"/>
      <c r="M121" s="14"/>
      <c r="N121" s="14"/>
      <c r="O121" s="14"/>
      <c r="P121" s="28"/>
      <c r="Q121" s="120"/>
      <c r="R121" s="14"/>
      <c r="S121" s="14"/>
      <c r="T121" s="14"/>
      <c r="U121" s="14"/>
      <c r="V121" s="185"/>
    </row>
    <row r="122" spans="1:25" ht="18" customHeight="1">
      <c r="A122" s="184"/>
      <c r="B122" s="28"/>
      <c r="C122" s="7" t="s">
        <v>727</v>
      </c>
      <c r="D122" s="14"/>
      <c r="E122" s="14"/>
      <c r="F122" s="14"/>
      <c r="G122" s="14"/>
      <c r="H122" s="14"/>
      <c r="K122" s="14"/>
      <c r="L122" s="28"/>
      <c r="M122" s="47"/>
      <c r="N122" s="14"/>
      <c r="O122" s="14"/>
      <c r="P122" s="14"/>
      <c r="Q122" s="14"/>
      <c r="R122" s="14"/>
      <c r="S122" s="14"/>
      <c r="T122" s="14"/>
      <c r="U122" s="14"/>
      <c r="V122" s="185"/>
    </row>
    <row r="123" spans="1:25" ht="18" customHeight="1">
      <c r="A123" s="184"/>
      <c r="B123" s="14" t="s">
        <v>728</v>
      </c>
      <c r="C123" s="7"/>
      <c r="D123" s="14"/>
      <c r="E123" s="14"/>
      <c r="F123" s="268"/>
      <c r="K123" s="28"/>
      <c r="L123" s="28"/>
      <c r="M123" s="281"/>
      <c r="N123" s="28"/>
      <c r="O123" s="47"/>
      <c r="P123" s="14"/>
      <c r="Q123" s="14"/>
      <c r="R123" s="14"/>
      <c r="S123" s="14"/>
      <c r="T123" s="14"/>
      <c r="U123" s="14"/>
      <c r="V123" s="185"/>
    </row>
    <row r="124" spans="1:25" ht="18" customHeight="1">
      <c r="A124" s="184"/>
      <c r="B124" s="14"/>
      <c r="C124" s="14" t="s">
        <v>729</v>
      </c>
      <c r="D124" s="47"/>
      <c r="E124" s="14"/>
      <c r="F124" s="268"/>
      <c r="K124" s="28"/>
      <c r="L124" s="28"/>
      <c r="M124" s="14"/>
      <c r="N124" s="14"/>
      <c r="O124" s="14"/>
      <c r="P124" s="14"/>
      <c r="Q124" s="14"/>
      <c r="R124" s="14"/>
      <c r="S124" s="14"/>
      <c r="T124" s="14"/>
      <c r="U124" s="14"/>
      <c r="V124" s="185"/>
    </row>
    <row r="125" spans="1:25" ht="18" customHeight="1">
      <c r="A125" s="184"/>
      <c r="B125" s="14"/>
      <c r="C125" s="7" t="s">
        <v>730</v>
      </c>
      <c r="D125" s="14"/>
      <c r="E125" s="14"/>
      <c r="F125" s="14"/>
      <c r="G125" s="14"/>
      <c r="H125" s="14"/>
      <c r="K125" s="28"/>
      <c r="L125" s="28"/>
      <c r="M125" s="47"/>
      <c r="N125" s="14"/>
      <c r="O125" s="14"/>
      <c r="P125" s="14"/>
      <c r="Q125" s="14"/>
      <c r="R125" s="14"/>
      <c r="S125" s="14"/>
      <c r="T125" s="14"/>
      <c r="U125" s="14"/>
      <c r="V125" s="185"/>
    </row>
    <row r="126" spans="1:25" ht="18" customHeight="1">
      <c r="A126" s="184"/>
      <c r="B126" s="14"/>
      <c r="C126" s="7" t="s">
        <v>731</v>
      </c>
      <c r="K126" s="28"/>
      <c r="L126" s="28"/>
      <c r="M126" s="28"/>
      <c r="O126" s="14"/>
      <c r="P126" s="28"/>
      <c r="Q126" s="278"/>
      <c r="R126" s="28"/>
      <c r="S126" s="14"/>
      <c r="T126" s="14"/>
      <c r="U126" s="14"/>
      <c r="V126" s="185"/>
    </row>
    <row r="127" spans="1:25" ht="18" customHeight="1">
      <c r="A127" s="452"/>
      <c r="B127" s="207"/>
      <c r="C127" s="207"/>
      <c r="D127" s="207"/>
      <c r="E127" s="207"/>
      <c r="F127" s="207"/>
      <c r="G127" s="207"/>
      <c r="H127" s="207"/>
      <c r="I127" s="207"/>
      <c r="J127" s="207"/>
      <c r="K127" s="259" t="s">
        <v>129</v>
      </c>
      <c r="L127" s="259" t="s">
        <v>732</v>
      </c>
      <c r="M127" s="190"/>
      <c r="N127" s="259"/>
      <c r="O127" s="259"/>
      <c r="P127" s="229"/>
      <c r="Q127" s="473"/>
      <c r="R127" s="229"/>
      <c r="S127" s="259"/>
      <c r="T127" s="259"/>
      <c r="U127" s="259"/>
      <c r="V127" s="453"/>
    </row>
    <row r="128" spans="1:25" s="14" customFormat="1" ht="18" customHeight="1">
      <c r="A128" s="194"/>
      <c r="B128" s="195"/>
      <c r="C128" s="195"/>
      <c r="D128" s="195"/>
      <c r="E128" s="195"/>
      <c r="F128" s="195"/>
      <c r="G128" s="195"/>
      <c r="H128" s="195"/>
      <c r="I128" s="195"/>
      <c r="J128" s="195"/>
      <c r="K128" s="195"/>
      <c r="L128" s="195"/>
      <c r="M128" s="195"/>
      <c r="N128" s="195"/>
      <c r="O128" s="195"/>
      <c r="P128" s="195"/>
      <c r="Q128" s="224"/>
      <c r="R128" s="182"/>
      <c r="S128" s="225"/>
      <c r="T128" s="195"/>
      <c r="U128" s="195"/>
      <c r="V128" s="134"/>
    </row>
    <row r="129" spans="1:22" ht="18" customHeight="1">
      <c r="A129" s="226"/>
      <c r="B129" s="273"/>
      <c r="C129" s="273"/>
      <c r="D129" s="227"/>
      <c r="E129" s="227"/>
      <c r="F129" s="227"/>
      <c r="G129" s="227"/>
      <c r="H129" s="227"/>
      <c r="I129" s="227"/>
      <c r="J129" s="227"/>
      <c r="K129" s="311"/>
      <c r="L129" s="311"/>
      <c r="M129" s="227"/>
      <c r="N129" s="227"/>
      <c r="O129" s="311"/>
      <c r="P129" s="311"/>
      <c r="Q129" s="138"/>
      <c r="R129" s="227"/>
      <c r="S129" s="227"/>
      <c r="T129" s="273"/>
      <c r="U129" s="273"/>
      <c r="V129" s="228"/>
    </row>
    <row r="130" spans="1:22" ht="18" customHeight="1">
      <c r="A130" s="96"/>
      <c r="B130" s="7" t="s">
        <v>733</v>
      </c>
      <c r="C130" s="7"/>
      <c r="D130" s="14"/>
      <c r="E130" s="7"/>
      <c r="F130" s="7"/>
      <c r="L130" s="27"/>
      <c r="O130" s="27"/>
      <c r="P130" s="27"/>
      <c r="Q130" s="28"/>
      <c r="T130" s="14"/>
      <c r="U130" s="14"/>
      <c r="V130" s="185"/>
    </row>
    <row r="131" spans="1:22" ht="18" customHeight="1">
      <c r="A131" s="96"/>
      <c r="B131" s="14"/>
      <c r="C131" s="7"/>
      <c r="D131" s="7"/>
      <c r="E131" s="14"/>
      <c r="F131" s="7"/>
      <c r="L131" s="27"/>
      <c r="M131" s="14"/>
      <c r="O131" s="14"/>
      <c r="P131" s="14"/>
      <c r="Q131" s="14"/>
      <c r="R131" s="14"/>
      <c r="S131" s="14"/>
      <c r="T131" s="14"/>
      <c r="U131" s="14"/>
      <c r="V131" s="185"/>
    </row>
    <row r="132" spans="1:22" ht="18" customHeight="1">
      <c r="A132" s="96"/>
      <c r="B132" s="14"/>
      <c r="C132" s="120" t="s">
        <v>734</v>
      </c>
      <c r="D132" s="28" t="s">
        <v>127</v>
      </c>
      <c r="E132" s="805">
        <f>S107</f>
        <v>31500</v>
      </c>
      <c r="F132" s="805"/>
      <c r="G132" s="14"/>
      <c r="H132" s="14"/>
      <c r="I132" s="102"/>
      <c r="J132" s="47"/>
      <c r="K132" s="47"/>
      <c r="L132" s="14"/>
      <c r="M132" s="14"/>
      <c r="N132" s="14"/>
      <c r="O132" s="14"/>
      <c r="P132" s="14"/>
      <c r="Q132" s="14"/>
      <c r="R132" s="14"/>
      <c r="S132" s="14"/>
      <c r="T132" s="14"/>
      <c r="U132" s="14"/>
      <c r="V132" s="185"/>
    </row>
    <row r="133" spans="1:22" ht="18" customHeight="1">
      <c r="A133" s="96"/>
      <c r="B133" s="14"/>
      <c r="C133" s="120"/>
      <c r="D133" s="28"/>
      <c r="E133" s="978" t="str">
        <f>"5 x "&amp;S108&amp;""</f>
        <v>5 x 3200</v>
      </c>
      <c r="F133" s="978"/>
      <c r="G133" s="28"/>
      <c r="H133" s="257"/>
      <c r="K133" s="28"/>
      <c r="L133" s="218"/>
      <c r="M133" s="257"/>
      <c r="O133" s="14"/>
      <c r="P133" s="14"/>
      <c r="Q133" s="14"/>
      <c r="R133" s="14"/>
      <c r="S133" s="14"/>
      <c r="T133" s="14"/>
      <c r="U133" s="14"/>
      <c r="V133" s="185"/>
    </row>
    <row r="134" spans="1:22" ht="18" customHeight="1">
      <c r="A134" s="96"/>
      <c r="J134" s="14"/>
      <c r="K134" s="257"/>
      <c r="M134" s="14"/>
      <c r="N134" s="14"/>
      <c r="O134" s="14"/>
      <c r="P134" s="14"/>
      <c r="Q134" s="14"/>
      <c r="R134" s="14"/>
      <c r="S134" s="14"/>
      <c r="T134" s="14"/>
      <c r="U134" s="14"/>
      <c r="V134" s="185"/>
    </row>
    <row r="135" spans="1:22" ht="18" customHeight="1">
      <c r="A135" s="96"/>
      <c r="C135" s="458" t="s">
        <v>734</v>
      </c>
      <c r="D135" s="182" t="s">
        <v>127</v>
      </c>
      <c r="E135" s="1288">
        <f>S107/5/S108</f>
        <v>1.96875</v>
      </c>
      <c r="F135" s="722"/>
      <c r="G135" s="27"/>
      <c r="H135" s="27"/>
      <c r="I135" s="27"/>
      <c r="J135" s="120"/>
      <c r="K135" s="28"/>
      <c r="L135" s="120"/>
      <c r="M135" s="28"/>
      <c r="N135" s="120"/>
      <c r="O135" s="28"/>
      <c r="P135" s="120"/>
      <c r="Q135" s="296"/>
      <c r="V135" s="185"/>
    </row>
    <row r="136" spans="1:22" ht="18" customHeight="1">
      <c r="A136" s="96"/>
      <c r="C136" s="120"/>
      <c r="D136" s="28"/>
      <c r="E136" s="218"/>
      <c r="F136" s="218"/>
      <c r="G136" s="27"/>
      <c r="H136" s="27"/>
      <c r="I136" s="27"/>
      <c r="J136" s="120"/>
      <c r="K136" s="28"/>
      <c r="L136" s="120"/>
      <c r="M136" s="28"/>
      <c r="N136" s="120"/>
      <c r="O136" s="28"/>
      <c r="P136" s="120"/>
      <c r="Q136" s="296"/>
      <c r="V136" s="185"/>
    </row>
    <row r="137" spans="1:22" ht="18" customHeight="1">
      <c r="A137" s="96"/>
      <c r="B137" s="14" t="s">
        <v>735</v>
      </c>
      <c r="C137" s="14"/>
      <c r="D137" s="14"/>
      <c r="E137" s="7"/>
      <c r="F137" s="102"/>
      <c r="G137" s="7"/>
      <c r="H137" s="7"/>
      <c r="I137" s="239"/>
      <c r="J137" s="120"/>
      <c r="K137" s="28"/>
      <c r="L137" s="120"/>
      <c r="M137" s="28"/>
      <c r="N137" s="120"/>
      <c r="O137" s="28"/>
      <c r="P137" s="120"/>
      <c r="Q137" s="296"/>
      <c r="V137" s="185"/>
    </row>
    <row r="138" spans="1:22" ht="18" customHeight="1">
      <c r="A138" s="96"/>
      <c r="C138" s="14"/>
      <c r="D138" s="14"/>
      <c r="E138" s="689" t="s">
        <v>736</v>
      </c>
      <c r="F138" s="689">
        <v>1</v>
      </c>
      <c r="G138" s="689"/>
      <c r="H138" s="689" t="s">
        <v>312</v>
      </c>
      <c r="I138" s="459" t="s">
        <v>312</v>
      </c>
      <c r="J138" s="120"/>
      <c r="K138" s="28"/>
      <c r="L138" s="120"/>
      <c r="M138" s="28"/>
      <c r="N138" s="120"/>
      <c r="O138" s="28"/>
      <c r="P138" s="120"/>
      <c r="Q138" s="296"/>
      <c r="V138" s="185"/>
    </row>
    <row r="139" spans="1:22" ht="18" customHeight="1">
      <c r="A139" s="96"/>
      <c r="C139" s="14"/>
      <c r="D139" s="14"/>
      <c r="E139" s="723"/>
      <c r="F139" s="273"/>
      <c r="G139" s="274" t="s">
        <v>737</v>
      </c>
      <c r="H139" s="689"/>
      <c r="I139" s="14" t="s">
        <v>141</v>
      </c>
      <c r="J139" s="120"/>
      <c r="K139" s="28"/>
      <c r="L139" s="120"/>
      <c r="M139" s="28"/>
      <c r="N139" s="120"/>
      <c r="O139" s="28"/>
      <c r="P139" s="120"/>
      <c r="Q139" s="296"/>
      <c r="V139" s="185"/>
    </row>
    <row r="140" spans="1:22" ht="18" customHeight="1">
      <c r="A140" s="96"/>
      <c r="C140" s="120"/>
      <c r="D140" s="28"/>
      <c r="E140" s="218"/>
      <c r="F140" s="218"/>
      <c r="G140" s="27"/>
      <c r="H140" s="27"/>
      <c r="I140" s="27"/>
      <c r="J140" s="120"/>
      <c r="K140" s="28"/>
      <c r="L140" s="120"/>
      <c r="M140" s="28"/>
      <c r="N140" s="120"/>
      <c r="O140" s="28"/>
      <c r="P140" s="120"/>
      <c r="Q140" s="296"/>
      <c r="V140" s="185"/>
    </row>
    <row r="141" spans="1:22" ht="18" customHeight="1">
      <c r="A141" s="96"/>
      <c r="B141" s="30" t="s">
        <v>959</v>
      </c>
      <c r="J141" s="120"/>
      <c r="K141" s="28"/>
      <c r="L141" s="120"/>
      <c r="M141" s="28"/>
      <c r="N141" s="121" t="s">
        <v>127</v>
      </c>
      <c r="O141" s="47">
        <v>15</v>
      </c>
      <c r="P141" s="120"/>
      <c r="Q141" s="296"/>
      <c r="V141" s="185"/>
    </row>
    <row r="142" spans="1:22" ht="18" customHeight="1">
      <c r="A142" s="184"/>
      <c r="C142" s="120"/>
      <c r="D142" s="28"/>
      <c r="E142" s="218"/>
      <c r="F142" s="218"/>
      <c r="G142" s="27"/>
      <c r="H142" s="27"/>
      <c r="I142" s="27"/>
      <c r="J142" s="120"/>
      <c r="K142" s="28"/>
      <c r="L142" s="120"/>
      <c r="M142" s="28"/>
      <c r="N142" s="120"/>
      <c r="O142" s="28"/>
      <c r="P142" s="120"/>
      <c r="Q142" s="296"/>
      <c r="V142" s="185"/>
    </row>
    <row r="143" spans="1:22" ht="18" customHeight="1">
      <c r="A143" s="96"/>
      <c r="C143" s="120"/>
      <c r="F143" s="708">
        <v>1</v>
      </c>
      <c r="G143" s="708"/>
      <c r="H143" s="708"/>
      <c r="I143" s="27"/>
      <c r="J143" s="689" t="s">
        <v>315</v>
      </c>
      <c r="K143" s="1286">
        <f>O141</f>
        <v>15</v>
      </c>
      <c r="L143" s="120"/>
      <c r="M143" s="28"/>
      <c r="N143" s="120"/>
      <c r="O143" s="28"/>
      <c r="P143" s="120"/>
      <c r="Q143" s="296"/>
      <c r="V143" s="185"/>
    </row>
    <row r="144" spans="1:22" ht="18" customHeight="1">
      <c r="A144" s="184"/>
      <c r="C144" s="120"/>
      <c r="D144" s="120" t="s">
        <v>738</v>
      </c>
      <c r="E144" s="102" t="s">
        <v>127</v>
      </c>
      <c r="F144" s="14" t="s">
        <v>739</v>
      </c>
      <c r="I144" s="27"/>
      <c r="J144" s="684"/>
      <c r="K144" s="1251"/>
      <c r="L144" s="120"/>
      <c r="M144" s="28"/>
      <c r="N144" s="120"/>
      <c r="O144" s="28"/>
      <c r="P144" s="120"/>
      <c r="Q144" s="296"/>
      <c r="V144" s="185"/>
    </row>
    <row r="145" spans="1:22" ht="16.2" customHeight="1">
      <c r="A145" s="184"/>
      <c r="C145" s="120"/>
      <c r="D145" s="28"/>
      <c r="E145" s="218" t="s">
        <v>127</v>
      </c>
      <c r="F145" s="1287">
        <f>1*O141/(2*3.14*50)</f>
        <v>4.7770700636942678E-2</v>
      </c>
      <c r="G145" s="1287"/>
      <c r="H145" s="28" t="s">
        <v>740</v>
      </c>
      <c r="I145" s="27"/>
      <c r="J145" s="120"/>
      <c r="K145" s="28"/>
      <c r="L145" s="120"/>
      <c r="M145" s="28"/>
      <c r="N145" s="120"/>
      <c r="O145" s="28"/>
      <c r="P145" s="120"/>
      <c r="Q145" s="296"/>
      <c r="V145" s="185"/>
    </row>
    <row r="146" spans="1:22" ht="18" customHeight="1">
      <c r="A146" s="184"/>
      <c r="C146" s="120"/>
      <c r="D146" s="120" t="s">
        <v>738</v>
      </c>
      <c r="E146" s="218" t="s">
        <v>127</v>
      </c>
      <c r="F146" s="1188">
        <f>F145*1000</f>
        <v>47.770700636942678</v>
      </c>
      <c r="G146" s="1188"/>
      <c r="H146" s="28" t="s">
        <v>343</v>
      </c>
      <c r="I146" s="27"/>
      <c r="J146" s="120"/>
      <c r="K146" s="28"/>
      <c r="L146" s="120"/>
      <c r="M146" s="28"/>
      <c r="N146" s="120"/>
      <c r="O146" s="28"/>
      <c r="P146" s="120"/>
      <c r="Q146" s="296"/>
      <c r="V146" s="185"/>
    </row>
    <row r="147" spans="1:22" ht="18" customHeight="1">
      <c r="A147" s="184"/>
      <c r="B147" s="14" t="s">
        <v>741</v>
      </c>
      <c r="E147" s="28" t="s">
        <v>127</v>
      </c>
      <c r="F147" s="27">
        <v>10</v>
      </c>
      <c r="G147" s="27"/>
      <c r="H147" s="245"/>
      <c r="I147" s="245"/>
      <c r="J147" s="460"/>
      <c r="K147" s="245"/>
      <c r="L147" s="460"/>
      <c r="M147" s="245"/>
      <c r="N147" s="460"/>
      <c r="O147" s="245"/>
      <c r="P147" s="460"/>
      <c r="Q147" s="461"/>
      <c r="V147" s="185"/>
    </row>
    <row r="148" spans="1:22" ht="18" customHeight="1">
      <c r="A148" s="184"/>
      <c r="G148" s="27"/>
      <c r="H148" s="245"/>
      <c r="I148" s="245"/>
      <c r="J148" s="460"/>
      <c r="K148" s="245"/>
      <c r="L148" s="460"/>
      <c r="M148" s="245"/>
      <c r="N148" s="460"/>
      <c r="O148" s="245"/>
      <c r="P148" s="460"/>
      <c r="Q148" s="461"/>
      <c r="V148" s="185"/>
    </row>
    <row r="149" spans="1:22" ht="18" customHeight="1">
      <c r="A149" s="184"/>
      <c r="B149" s="7" t="s">
        <v>742</v>
      </c>
      <c r="F149" s="7"/>
      <c r="G149" s="7"/>
      <c r="H149" s="204"/>
      <c r="I149" s="204"/>
      <c r="V149" s="185"/>
    </row>
    <row r="150" spans="1:22" ht="18" customHeight="1">
      <c r="A150" s="184"/>
      <c r="B150" s="7"/>
      <c r="E150" s="14" t="s">
        <v>754</v>
      </c>
      <c r="F150" s="7"/>
      <c r="G150" s="7"/>
      <c r="V150" s="185"/>
    </row>
    <row r="151" spans="1:22" ht="18" customHeight="1">
      <c r="A151" s="184"/>
      <c r="B151" s="14" t="s">
        <v>744</v>
      </c>
      <c r="C151" s="14"/>
      <c r="D151" s="14"/>
      <c r="E151" s="14"/>
      <c r="F151" s="14"/>
      <c r="G151" s="120"/>
      <c r="H151" s="120"/>
      <c r="V151" s="185"/>
    </row>
    <row r="152" spans="1:22" ht="18" customHeight="1">
      <c r="A152" s="184"/>
      <c r="B152" s="14"/>
      <c r="C152" s="120" t="s">
        <v>745</v>
      </c>
      <c r="D152" s="28" t="s">
        <v>127</v>
      </c>
      <c r="E152" s="1188">
        <f>MAX(E135,F147)</f>
        <v>10</v>
      </c>
      <c r="F152" s="1188"/>
      <c r="G152" s="47" t="s">
        <v>746</v>
      </c>
      <c r="H152" s="120"/>
      <c r="V152" s="185"/>
    </row>
    <row r="153" spans="1:22" ht="18" customHeight="1">
      <c r="A153" s="184"/>
      <c r="B153" s="7"/>
      <c r="E153" s="14"/>
      <c r="F153" s="7"/>
      <c r="G153" s="7"/>
      <c r="V153" s="185"/>
    </row>
    <row r="154" spans="1:22" ht="18" customHeight="1">
      <c r="A154" s="184"/>
      <c r="B154" s="47" t="s">
        <v>747</v>
      </c>
      <c r="E154" s="14"/>
      <c r="F154" s="7"/>
      <c r="G154" s="7"/>
      <c r="V154" s="185"/>
    </row>
    <row r="155" spans="1:22" ht="18" customHeight="1">
      <c r="A155" s="184"/>
      <c r="B155" s="47" t="s">
        <v>748</v>
      </c>
      <c r="E155" s="14"/>
      <c r="F155" s="7"/>
      <c r="G155" s="7"/>
      <c r="V155" s="185"/>
    </row>
    <row r="156" spans="1:22" ht="18" customHeight="1" thickBot="1">
      <c r="A156" s="184"/>
      <c r="B156" s="102" t="s">
        <v>127</v>
      </c>
      <c r="C156" s="120">
        <f>E152</f>
        <v>10</v>
      </c>
      <c r="D156" s="28" t="s">
        <v>315</v>
      </c>
      <c r="E156" s="28" t="s">
        <v>419</v>
      </c>
      <c r="F156" s="692">
        <f>S111</f>
        <v>5</v>
      </c>
      <c r="G156" s="692"/>
      <c r="H156" s="102" t="s">
        <v>347</v>
      </c>
      <c r="I156" s="218">
        <f>S112</f>
        <v>1.0870224400000001</v>
      </c>
      <c r="J156" s="240" t="s">
        <v>347</v>
      </c>
      <c r="K156" s="281">
        <f>J100</f>
        <v>0.01</v>
      </c>
      <c r="L156" s="14" t="s">
        <v>350</v>
      </c>
      <c r="M156" s="14" t="s">
        <v>315</v>
      </c>
      <c r="N156" s="28">
        <v>1</v>
      </c>
      <c r="V156" s="185"/>
    </row>
    <row r="157" spans="1:22" ht="18" customHeight="1" thickBot="1">
      <c r="A157" s="184"/>
      <c r="B157" s="462" t="s">
        <v>528</v>
      </c>
      <c r="C157" s="463" t="s">
        <v>127</v>
      </c>
      <c r="D157" s="464">
        <f>C156*(F156+I156+K156)*N156</f>
        <v>60.970224399999999</v>
      </c>
      <c r="E157" s="14" t="s">
        <v>305</v>
      </c>
      <c r="F157" s="7"/>
      <c r="G157" s="7"/>
      <c r="V157" s="185"/>
    </row>
    <row r="158" spans="1:22" ht="18" customHeight="1">
      <c r="A158" s="184"/>
      <c r="B158" s="7"/>
      <c r="E158" s="14"/>
      <c r="F158" s="7"/>
      <c r="G158" s="7"/>
      <c r="V158" s="185"/>
    </row>
    <row r="159" spans="1:22" ht="18" customHeight="1">
      <c r="A159" s="184"/>
      <c r="B159" s="47" t="s">
        <v>749</v>
      </c>
      <c r="E159" s="14"/>
      <c r="F159" s="7"/>
      <c r="G159" s="7"/>
      <c r="J159" s="14" t="s">
        <v>750</v>
      </c>
      <c r="L159" s="28" t="s">
        <v>476</v>
      </c>
      <c r="N159" s="14" t="s">
        <v>751</v>
      </c>
      <c r="V159" s="185"/>
    </row>
    <row r="160" spans="1:22" ht="18" customHeight="1">
      <c r="A160" s="184"/>
      <c r="B160" s="7"/>
      <c r="E160" s="14"/>
      <c r="F160" s="7"/>
      <c r="G160" s="7"/>
      <c r="L160" s="28" t="s">
        <v>127</v>
      </c>
      <c r="N160" s="1251">
        <f>0.8*D157</f>
        <v>48.776179519999999</v>
      </c>
      <c r="O160" s="1251"/>
      <c r="V160" s="185"/>
    </row>
    <row r="161" spans="1:22" ht="18" customHeight="1">
      <c r="A161" s="184"/>
      <c r="B161" s="7"/>
      <c r="E161" s="14"/>
      <c r="F161" s="14" t="s">
        <v>752</v>
      </c>
      <c r="G161" s="7"/>
      <c r="L161" s="28" t="s">
        <v>127</v>
      </c>
      <c r="N161" s="1072">
        <f>N160*1.2</f>
        <v>58.531415423999995</v>
      </c>
      <c r="O161" s="1072"/>
      <c r="V161" s="185"/>
    </row>
    <row r="162" spans="1:22" ht="18" customHeight="1">
      <c r="A162" s="184"/>
      <c r="B162" s="7"/>
      <c r="E162" s="14"/>
      <c r="F162" s="7"/>
      <c r="G162" s="7"/>
      <c r="K162" s="199" t="s">
        <v>475</v>
      </c>
      <c r="L162" s="28" t="str">
        <f>IF(J163&gt;M163,"&gt;","&lt;")</f>
        <v>&gt;</v>
      </c>
      <c r="M162" s="257" t="s">
        <v>477</v>
      </c>
      <c r="O162" s="18"/>
      <c r="P162" s="268"/>
      <c r="V162" s="185"/>
    </row>
    <row r="163" spans="1:22" ht="18" customHeight="1">
      <c r="A163" s="184"/>
      <c r="D163" s="211"/>
      <c r="E163" s="211"/>
      <c r="F163" s="27"/>
      <c r="G163" s="211"/>
      <c r="J163" s="795">
        <f>S110</f>
        <v>900</v>
      </c>
      <c r="K163" s="795"/>
      <c r="L163" s="27" t="str">
        <f>IF(J163&gt;=M163,"&gt;","&lt;")</f>
        <v>&gt;</v>
      </c>
      <c r="M163" s="795">
        <f>N161</f>
        <v>58.531415423999995</v>
      </c>
      <c r="N163" s="795"/>
      <c r="P163" s="268"/>
      <c r="V163" s="185"/>
    </row>
    <row r="164" spans="1:22" ht="18" customHeight="1">
      <c r="A164" s="184"/>
      <c r="D164" s="211"/>
      <c r="E164" s="211"/>
      <c r="F164" s="27"/>
      <c r="G164" s="211"/>
      <c r="J164" s="211"/>
      <c r="K164" s="211"/>
      <c r="L164" s="27"/>
      <c r="M164" s="211"/>
      <c r="N164" s="211"/>
      <c r="P164" s="268"/>
      <c r="V164" s="185"/>
    </row>
    <row r="165" spans="1:22" ht="18" customHeight="1">
      <c r="A165" s="184"/>
      <c r="K165" s="244" t="s">
        <v>478</v>
      </c>
      <c r="M165" s="18" t="str">
        <f>IF(J163&gt;M163,"Suitably Dimensioned","Under Dimensioned")</f>
        <v>Suitably Dimensioned</v>
      </c>
      <c r="V165" s="185"/>
    </row>
    <row r="166" spans="1:22" ht="18" customHeight="1">
      <c r="A166" s="184"/>
      <c r="K166" s="244"/>
      <c r="M166" s="18"/>
      <c r="V166" s="185"/>
    </row>
    <row r="167" spans="1:22" ht="18" customHeight="1">
      <c r="A167" s="184"/>
      <c r="K167" s="244"/>
      <c r="M167" s="18"/>
      <c r="V167" s="185"/>
    </row>
    <row r="168" spans="1:22" ht="18" customHeight="1">
      <c r="A168" s="184"/>
      <c r="V168" s="185"/>
    </row>
    <row r="169" spans="1:22" ht="18" hidden="1" customHeight="1">
      <c r="A169" s="184"/>
      <c r="V169" s="185"/>
    </row>
    <row r="170" spans="1:22" ht="18" hidden="1" customHeight="1">
      <c r="A170" s="184"/>
      <c r="V170" s="185"/>
    </row>
    <row r="171" spans="1:22" ht="18" hidden="1" customHeight="1">
      <c r="A171" s="452"/>
      <c r="B171" s="207"/>
      <c r="C171" s="207"/>
      <c r="D171" s="207"/>
      <c r="E171" s="207"/>
      <c r="F171" s="207"/>
      <c r="G171" s="207"/>
      <c r="H171" s="207"/>
      <c r="I171" s="207"/>
      <c r="J171" s="207"/>
      <c r="K171" s="207"/>
      <c r="L171" s="207"/>
      <c r="M171" s="207"/>
      <c r="N171" s="207"/>
      <c r="O171" s="207"/>
      <c r="P171" s="207"/>
      <c r="Q171" s="207"/>
      <c r="R171" s="207"/>
      <c r="S171" s="207"/>
      <c r="T171" s="207"/>
      <c r="U171" s="207"/>
      <c r="V171" s="453"/>
    </row>
    <row r="172" spans="1:22" s="14" customFormat="1" ht="18" hidden="1" customHeight="1">
      <c r="A172" s="194"/>
      <c r="B172" s="195"/>
      <c r="C172" s="195"/>
      <c r="D172" s="195"/>
      <c r="E172" s="195"/>
      <c r="F172" s="195"/>
      <c r="G172" s="195"/>
      <c r="H172" s="195"/>
      <c r="I172" s="195"/>
      <c r="J172" s="195"/>
      <c r="K172" s="195"/>
      <c r="L172" s="195"/>
      <c r="M172" s="195"/>
      <c r="N172" s="195"/>
      <c r="O172" s="195"/>
      <c r="P172" s="195"/>
      <c r="Q172" s="224"/>
      <c r="R172" s="182"/>
      <c r="S172" s="225"/>
      <c r="T172" s="195"/>
      <c r="U172" s="195"/>
      <c r="V172" s="134"/>
    </row>
    <row r="173" spans="1:22" ht="18" hidden="1" customHeight="1">
      <c r="A173" s="226"/>
      <c r="B173" s="227"/>
      <c r="C173" s="227"/>
      <c r="D173" s="227"/>
      <c r="E173" s="227"/>
      <c r="F173" s="227"/>
      <c r="G173" s="227"/>
      <c r="H173" s="227"/>
      <c r="I173" s="227"/>
      <c r="J173" s="227"/>
      <c r="K173" s="227"/>
      <c r="L173" s="227"/>
      <c r="M173" s="227"/>
      <c r="N173" s="227"/>
      <c r="O173" s="227"/>
      <c r="P173" s="227"/>
      <c r="Q173" s="227"/>
      <c r="R173" s="227"/>
      <c r="S173" s="227"/>
      <c r="T173" s="227"/>
      <c r="U173" s="227"/>
      <c r="V173" s="228"/>
    </row>
    <row r="174" spans="1:22" ht="18" hidden="1" customHeight="1">
      <c r="A174" s="184"/>
      <c r="B174" s="854" t="str">
        <f>B89</f>
        <v>T1</v>
      </c>
      <c r="C174" s="831"/>
      <c r="D174" s="854" t="str">
        <f>D89</f>
        <v>Core5</v>
      </c>
      <c r="E174" s="831"/>
      <c r="F174" s="455"/>
      <c r="H174" s="684" t="str">
        <f>H89</f>
        <v>(Low Imp. Busbar)</v>
      </c>
      <c r="I174" s="684"/>
      <c r="J174" s="684"/>
      <c r="K174" s="684"/>
      <c r="L174" s="684"/>
      <c r="M174" s="684"/>
      <c r="P174" s="186"/>
      <c r="S174" s="187" t="s">
        <v>387</v>
      </c>
      <c r="T174" s="854" t="str">
        <f>T89</f>
        <v>REB500</v>
      </c>
      <c r="U174" s="831"/>
      <c r="V174" s="185"/>
    </row>
    <row r="175" spans="1:22" ht="18" hidden="1" customHeight="1">
      <c r="A175" s="456"/>
      <c r="F175" s="455"/>
      <c r="T175" s="854">
        <f>T90</f>
        <v>0</v>
      </c>
      <c r="U175" s="831"/>
      <c r="V175" s="185"/>
    </row>
    <row r="176" spans="1:22" ht="18" hidden="1" customHeight="1">
      <c r="A176" s="184"/>
      <c r="H176" s="708" t="s">
        <v>390</v>
      </c>
      <c r="I176" s="708"/>
      <c r="J176" s="708" t="s">
        <v>391</v>
      </c>
      <c r="K176" s="708"/>
      <c r="L176" s="789" t="s">
        <v>392</v>
      </c>
      <c r="M176" s="789"/>
      <c r="T176" s="854">
        <f>T91</f>
        <v>0</v>
      </c>
      <c r="U176" s="831"/>
      <c r="V176" s="185"/>
    </row>
    <row r="177" spans="1:23" ht="18" hidden="1" customHeight="1">
      <c r="A177" s="184"/>
      <c r="B177" s="47" t="s">
        <v>393</v>
      </c>
      <c r="H177" s="854">
        <f>H92</f>
        <v>2000</v>
      </c>
      <c r="I177" s="831"/>
      <c r="J177" s="854">
        <f>J92</f>
        <v>3200</v>
      </c>
      <c r="K177" s="831"/>
      <c r="L177" s="863" t="str">
        <f>L92</f>
        <v>-</v>
      </c>
      <c r="M177" s="864"/>
      <c r="N177" s="191" t="s">
        <v>342</v>
      </c>
      <c r="O177" s="256">
        <f>O92</f>
        <v>1</v>
      </c>
      <c r="P177" s="27" t="s">
        <v>8</v>
      </c>
      <c r="R177" s="255"/>
      <c r="S177" s="255"/>
      <c r="V177" s="185"/>
    </row>
    <row r="178" spans="1:23" ht="18" hidden="1" customHeight="1">
      <c r="A178" s="184"/>
      <c r="B178" s="47" t="s">
        <v>394</v>
      </c>
      <c r="H178" s="14"/>
      <c r="K178" s="14"/>
      <c r="L178" s="854" t="str">
        <f>J93</f>
        <v>PX</v>
      </c>
      <c r="M178" s="831"/>
      <c r="N178" s="14"/>
      <c r="V178" s="185"/>
    </row>
    <row r="179" spans="1:23" ht="18" hidden="1" customHeight="1">
      <c r="A179" s="184"/>
      <c r="B179" s="47" t="s">
        <v>396</v>
      </c>
      <c r="K179" s="120" t="s">
        <v>497</v>
      </c>
      <c r="L179" s="781" t="s">
        <v>6</v>
      </c>
      <c r="M179" s="782"/>
      <c r="N179" s="192" t="s">
        <v>333</v>
      </c>
      <c r="V179" s="185"/>
    </row>
    <row r="180" spans="1:23" ht="18" hidden="1" customHeight="1">
      <c r="A180" s="184"/>
      <c r="B180" s="47" t="s">
        <v>398</v>
      </c>
      <c r="K180" s="120" t="s">
        <v>498</v>
      </c>
      <c r="L180" s="781" t="s">
        <v>6</v>
      </c>
      <c r="M180" s="782"/>
      <c r="N180" s="14" t="s">
        <v>305</v>
      </c>
      <c r="V180" s="185"/>
      <c r="W180" s="30" t="e">
        <f>G240</f>
        <v>#VALUE!</v>
      </c>
    </row>
    <row r="181" spans="1:23" ht="18" hidden="1" customHeight="1">
      <c r="A181" s="184"/>
      <c r="B181" s="14" t="s">
        <v>401</v>
      </c>
      <c r="K181" s="120" t="s">
        <v>402</v>
      </c>
      <c r="L181" s="781" t="s">
        <v>6</v>
      </c>
      <c r="M181" s="782"/>
      <c r="N181" s="14" t="s">
        <v>403</v>
      </c>
      <c r="V181" s="185"/>
    </row>
    <row r="182" spans="1:23" ht="18" hidden="1" customHeight="1">
      <c r="A182" s="184"/>
      <c r="V182" s="185"/>
    </row>
    <row r="183" spans="1:23" ht="18" hidden="1" customHeight="1">
      <c r="A183" s="193" t="s">
        <v>404</v>
      </c>
      <c r="V183" s="185"/>
    </row>
    <row r="184" spans="1:23" ht="18" hidden="1" customHeight="1">
      <c r="A184" s="184"/>
      <c r="V184" s="185"/>
    </row>
    <row r="185" spans="1:23" ht="18" hidden="1" customHeight="1">
      <c r="A185" s="184"/>
      <c r="B185" s="135" t="s">
        <v>405</v>
      </c>
      <c r="C185" s="273"/>
      <c r="D185" s="139" t="str">
        <f>T174</f>
        <v>REB500</v>
      </c>
      <c r="E185" s="227"/>
      <c r="F185" s="227"/>
      <c r="G185" s="227"/>
      <c r="H185" s="138"/>
      <c r="I185" s="260" t="s">
        <v>127</v>
      </c>
      <c r="J185" s="722">
        <f>J100</f>
        <v>0.01</v>
      </c>
      <c r="K185" s="958"/>
      <c r="L185" s="3" t="s">
        <v>157</v>
      </c>
      <c r="N185" s="197" t="s">
        <v>510</v>
      </c>
      <c r="V185" s="185"/>
    </row>
    <row r="186" spans="1:23" ht="18" hidden="1" customHeight="1">
      <c r="A186" s="184"/>
      <c r="B186" s="96" t="s">
        <v>405</v>
      </c>
      <c r="C186" s="14"/>
      <c r="D186" s="47">
        <f>T175</f>
        <v>0</v>
      </c>
      <c r="H186" s="28"/>
      <c r="I186" s="101" t="s">
        <v>127</v>
      </c>
      <c r="J186" s="722">
        <f>J101</f>
        <v>0</v>
      </c>
      <c r="K186" s="958"/>
      <c r="L186" s="3" t="s">
        <v>157</v>
      </c>
      <c r="N186" s="120" t="s">
        <v>491</v>
      </c>
      <c r="O186" s="27" t="s">
        <v>127</v>
      </c>
      <c r="P186" s="27" t="s">
        <v>511</v>
      </c>
      <c r="Q186" s="27" t="s">
        <v>315</v>
      </c>
      <c r="R186" s="27" t="s">
        <v>511</v>
      </c>
      <c r="S186" s="27" t="s">
        <v>315</v>
      </c>
      <c r="T186" s="27" t="s">
        <v>420</v>
      </c>
      <c r="V186" s="185"/>
    </row>
    <row r="187" spans="1:23" ht="18" hidden="1" customHeight="1">
      <c r="A187" s="184"/>
      <c r="B187" s="96" t="s">
        <v>405</v>
      </c>
      <c r="C187" s="14"/>
      <c r="D187" s="47">
        <f>T176</f>
        <v>0</v>
      </c>
      <c r="H187" s="28"/>
      <c r="I187" s="101" t="s">
        <v>127</v>
      </c>
      <c r="J187" s="722">
        <f>J102</f>
        <v>0</v>
      </c>
      <c r="K187" s="958"/>
      <c r="L187" s="3" t="s">
        <v>157</v>
      </c>
      <c r="N187" s="27"/>
      <c r="O187" s="27" t="s">
        <v>127</v>
      </c>
      <c r="P187" s="27">
        <f>O177</f>
        <v>1</v>
      </c>
      <c r="Q187" s="27" t="s">
        <v>315</v>
      </c>
      <c r="R187" s="27">
        <f>O177</f>
        <v>1</v>
      </c>
      <c r="S187" s="27" t="s">
        <v>315</v>
      </c>
      <c r="T187" s="27" t="str">
        <f>L179</f>
        <v>-</v>
      </c>
      <c r="V187" s="185"/>
    </row>
    <row r="188" spans="1:23" ht="18" hidden="1" customHeight="1">
      <c r="A188" s="184"/>
      <c r="B188" s="452" t="s">
        <v>412</v>
      </c>
      <c r="C188" s="259"/>
      <c r="D188" s="259"/>
      <c r="E188" s="259"/>
      <c r="F188" s="207"/>
      <c r="G188" s="207"/>
      <c r="H188" s="190"/>
      <c r="I188" s="208" t="s">
        <v>127</v>
      </c>
      <c r="J188" s="1120">
        <f>J103</f>
        <v>1.0770224400000001</v>
      </c>
      <c r="K188" s="987"/>
      <c r="L188" s="297" t="s">
        <v>157</v>
      </c>
      <c r="O188" s="27" t="s">
        <v>127</v>
      </c>
      <c r="P188" s="795" t="e">
        <f>P187*R187*T187</f>
        <v>#VALUE!</v>
      </c>
      <c r="Q188" s="684"/>
      <c r="R188" s="27" t="s">
        <v>157</v>
      </c>
      <c r="V188" s="185"/>
    </row>
    <row r="189" spans="1:23" ht="18" hidden="1" customHeight="1">
      <c r="A189" s="184"/>
      <c r="B189" s="1" t="s">
        <v>413</v>
      </c>
      <c r="C189" s="2"/>
      <c r="D189" s="2"/>
      <c r="E189" s="2"/>
      <c r="F189" s="196"/>
      <c r="G189" s="196"/>
      <c r="H189" s="224" t="s">
        <v>512</v>
      </c>
      <c r="I189" s="183" t="s">
        <v>127</v>
      </c>
      <c r="J189" s="722">
        <f>SUM(J185:J188)</f>
        <v>1.0870224400000001</v>
      </c>
      <c r="K189" s="958"/>
      <c r="L189" s="3" t="s">
        <v>157</v>
      </c>
      <c r="V189" s="185"/>
    </row>
    <row r="190" spans="1:23" ht="18" hidden="1" customHeight="1">
      <c r="A190" s="184"/>
      <c r="B190" s="47"/>
      <c r="C190" s="47"/>
      <c r="D190" s="47"/>
      <c r="E190" s="47"/>
      <c r="H190" s="27"/>
      <c r="I190" s="28"/>
      <c r="J190" s="199"/>
      <c r="L190" s="47"/>
      <c r="S190" s="27"/>
      <c r="V190" s="185"/>
    </row>
    <row r="191" spans="1:23" ht="18" hidden="1" customHeight="1">
      <c r="A191" s="1206" t="s">
        <v>536</v>
      </c>
      <c r="B191" s="1207"/>
      <c r="C191" s="1207"/>
      <c r="D191" s="1207"/>
      <c r="E191" s="1207"/>
      <c r="F191" s="1207"/>
      <c r="G191" s="1207"/>
      <c r="H191" s="1207"/>
      <c r="I191" s="1207"/>
      <c r="J191" s="1207"/>
      <c r="K191" s="1207"/>
      <c r="L191" s="1207"/>
      <c r="M191" s="1207"/>
      <c r="N191" s="1207"/>
      <c r="O191" s="1207"/>
      <c r="P191" s="1207"/>
      <c r="Q191" s="1207"/>
      <c r="R191" s="1207"/>
      <c r="S191" s="1207"/>
      <c r="T191" s="1207"/>
      <c r="U191" s="1207"/>
      <c r="V191" s="1208"/>
    </row>
    <row r="192" spans="1:23" ht="18" hidden="1" customHeight="1">
      <c r="A192" s="1209"/>
      <c r="B192" s="1207"/>
      <c r="C192" s="1207"/>
      <c r="D192" s="1207"/>
      <c r="E192" s="1207"/>
      <c r="F192" s="1207"/>
      <c r="G192" s="1207"/>
      <c r="H192" s="1207"/>
      <c r="I192" s="1207"/>
      <c r="J192" s="1207"/>
      <c r="K192" s="1207"/>
      <c r="L192" s="1207"/>
      <c r="M192" s="1207"/>
      <c r="N192" s="1207"/>
      <c r="O192" s="1207"/>
      <c r="P192" s="1207"/>
      <c r="Q192" s="1207"/>
      <c r="R192" s="1207"/>
      <c r="S192" s="1207"/>
      <c r="T192" s="1207"/>
      <c r="U192" s="1207"/>
      <c r="V192" s="1208"/>
    </row>
    <row r="193" spans="1:25" ht="18" hidden="1" customHeight="1">
      <c r="A193" s="184"/>
      <c r="Q193" s="211"/>
      <c r="R193" s="192"/>
      <c r="V193" s="185"/>
    </row>
    <row r="194" spans="1:25" ht="18" hidden="1" customHeight="1">
      <c r="A194" s="184"/>
      <c r="C194" s="28" t="s">
        <v>473</v>
      </c>
      <c r="D194" s="28" t="s">
        <v>127</v>
      </c>
      <c r="E194" s="28" t="s">
        <v>537</v>
      </c>
      <c r="F194" s="28" t="s">
        <v>493</v>
      </c>
      <c r="G194" s="28" t="s">
        <v>347</v>
      </c>
      <c r="H194" s="28" t="s">
        <v>491</v>
      </c>
      <c r="I194" s="28" t="s">
        <v>538</v>
      </c>
      <c r="J194" s="28" t="s">
        <v>495</v>
      </c>
      <c r="K194" s="28" t="s">
        <v>539</v>
      </c>
      <c r="L194" s="28" t="s">
        <v>511</v>
      </c>
      <c r="M194" s="28" t="s">
        <v>315</v>
      </c>
      <c r="N194" s="28">
        <v>1.3</v>
      </c>
      <c r="O194" s="47" t="s">
        <v>350</v>
      </c>
      <c r="V194" s="185"/>
    </row>
    <row r="195" spans="1:25" ht="18" hidden="1" customHeight="1">
      <c r="A195" s="184" t="s">
        <v>540</v>
      </c>
      <c r="C195" s="14"/>
      <c r="D195" s="28"/>
      <c r="E195" s="14"/>
      <c r="F195" s="14"/>
      <c r="G195" s="14"/>
      <c r="H195" s="14"/>
      <c r="I195" s="14"/>
      <c r="J195" s="14"/>
      <c r="K195" s="14"/>
      <c r="L195" s="14"/>
      <c r="M195" s="14"/>
      <c r="N195" s="14"/>
      <c r="O195" s="14"/>
      <c r="V195" s="185"/>
    </row>
    <row r="196" spans="1:25" ht="18" hidden="1" customHeight="1">
      <c r="A196" s="184"/>
      <c r="C196" s="28" t="s">
        <v>493</v>
      </c>
      <c r="D196" s="28" t="s">
        <v>127</v>
      </c>
      <c r="E196" s="28" t="s">
        <v>537</v>
      </c>
      <c r="F196" s="28">
        <v>1.3</v>
      </c>
      <c r="G196" s="28" t="s">
        <v>315</v>
      </c>
      <c r="H196" s="689" t="s">
        <v>473</v>
      </c>
      <c r="I196" s="716"/>
      <c r="J196" s="28" t="s">
        <v>315</v>
      </c>
      <c r="K196" s="28" t="s">
        <v>511</v>
      </c>
      <c r="L196" s="28" t="s">
        <v>541</v>
      </c>
      <c r="M196" s="28" t="s">
        <v>495</v>
      </c>
      <c r="N196" s="47" t="s">
        <v>542</v>
      </c>
      <c r="O196" s="28" t="s">
        <v>491</v>
      </c>
      <c r="V196" s="185"/>
    </row>
    <row r="197" spans="1:25" ht="18" hidden="1" customHeight="1">
      <c r="A197" s="184"/>
      <c r="V197" s="185"/>
    </row>
    <row r="198" spans="1:25" ht="18" hidden="1" customHeight="1">
      <c r="A198" s="168"/>
      <c r="B198" s="5"/>
      <c r="C198" s="47" t="s">
        <v>543</v>
      </c>
      <c r="D198" s="14"/>
      <c r="E198" s="14"/>
      <c r="F198" s="14"/>
      <c r="G198" s="14"/>
      <c r="H198" s="279"/>
      <c r="I198" s="120"/>
      <c r="J198" s="279"/>
      <c r="K198" s="279"/>
      <c r="L198" s="14"/>
      <c r="M198" s="14"/>
      <c r="N198" s="14"/>
      <c r="O198" s="14"/>
      <c r="P198" s="14"/>
      <c r="Q198" s="120" t="s">
        <v>544</v>
      </c>
      <c r="R198" s="102" t="s">
        <v>127</v>
      </c>
      <c r="S198" s="689">
        <f>S113</f>
        <v>1</v>
      </c>
      <c r="T198" s="689"/>
      <c r="U198" s="47" t="s">
        <v>8</v>
      </c>
      <c r="V198" s="185"/>
    </row>
    <row r="199" spans="1:25" ht="18" hidden="1" customHeight="1">
      <c r="A199" s="168"/>
      <c r="B199" s="5"/>
      <c r="C199" s="47" t="s">
        <v>545</v>
      </c>
      <c r="D199" s="14"/>
      <c r="E199" s="14"/>
      <c r="F199" s="18"/>
      <c r="G199" s="18"/>
      <c r="H199" s="279"/>
      <c r="I199" s="120"/>
      <c r="J199" s="279"/>
      <c r="K199" s="279"/>
      <c r="L199" s="14"/>
      <c r="M199" s="14"/>
      <c r="N199" s="14"/>
      <c r="O199" s="14"/>
      <c r="P199" s="14"/>
      <c r="Q199" s="120" t="s">
        <v>423</v>
      </c>
      <c r="R199" s="102" t="s">
        <v>127</v>
      </c>
      <c r="S199" s="689" t="str">
        <f>L177</f>
        <v>-</v>
      </c>
      <c r="T199" s="689"/>
      <c r="U199" s="14" t="s">
        <v>8</v>
      </c>
      <c r="V199" s="185"/>
    </row>
    <row r="200" spans="1:25" ht="18" hidden="1" customHeight="1">
      <c r="A200" s="168"/>
      <c r="B200" s="5"/>
      <c r="C200" s="47" t="s">
        <v>546</v>
      </c>
      <c r="D200" s="14"/>
      <c r="E200" s="14"/>
      <c r="F200" s="18"/>
      <c r="G200" s="18"/>
      <c r="H200" s="279"/>
      <c r="I200" s="120"/>
      <c r="J200" s="279"/>
      <c r="K200" s="279"/>
      <c r="L200" s="14"/>
      <c r="M200" s="14"/>
      <c r="N200" s="14"/>
      <c r="O200" s="14"/>
      <c r="P200" s="14"/>
      <c r="Q200" s="120" t="s">
        <v>473</v>
      </c>
      <c r="R200" s="102" t="s">
        <v>127</v>
      </c>
      <c r="S200" s="689" t="str">
        <f>L180</f>
        <v>-</v>
      </c>
      <c r="T200" s="689"/>
      <c r="U200" s="14" t="s">
        <v>305</v>
      </c>
      <c r="V200" s="185"/>
    </row>
    <row r="201" spans="1:25" ht="18" hidden="1" customHeight="1">
      <c r="A201" s="168"/>
      <c r="B201" s="5"/>
      <c r="C201" s="47" t="s">
        <v>547</v>
      </c>
      <c r="D201" s="14"/>
      <c r="E201" s="14"/>
      <c r="F201" s="18"/>
      <c r="G201" s="18"/>
      <c r="H201" s="279"/>
      <c r="I201" s="120"/>
      <c r="J201" s="279"/>
      <c r="K201" s="279"/>
      <c r="L201" s="14"/>
      <c r="M201" s="14"/>
      <c r="N201" s="14"/>
      <c r="O201" s="14"/>
      <c r="P201" s="14"/>
      <c r="Q201" s="120" t="s">
        <v>491</v>
      </c>
      <c r="R201" s="102" t="s">
        <v>127</v>
      </c>
      <c r="S201" s="692" t="e">
        <f>P188</f>
        <v>#VALUE!</v>
      </c>
      <c r="T201" s="689"/>
      <c r="U201" s="14" t="s">
        <v>157</v>
      </c>
      <c r="V201" s="185"/>
      <c r="W201" s="279"/>
      <c r="X201" s="279"/>
      <c r="Y201" s="279"/>
    </row>
    <row r="202" spans="1:25" ht="18" hidden="1" customHeight="1">
      <c r="A202" s="168"/>
      <c r="B202" s="5"/>
      <c r="C202" s="47" t="s">
        <v>548</v>
      </c>
      <c r="D202" s="14"/>
      <c r="E202" s="14"/>
      <c r="F202" s="18"/>
      <c r="G202" s="18"/>
      <c r="H202" s="279"/>
      <c r="I202" s="120"/>
      <c r="J202" s="279"/>
      <c r="K202" s="279"/>
      <c r="L202" s="14"/>
      <c r="M202" s="14"/>
      <c r="N202" s="14"/>
      <c r="O202" s="14"/>
      <c r="P202" s="14"/>
      <c r="Q202" s="120" t="s">
        <v>512</v>
      </c>
      <c r="R202" s="102" t="s">
        <v>127</v>
      </c>
      <c r="S202" s="692">
        <f>J189</f>
        <v>1.0870224400000001</v>
      </c>
      <c r="T202" s="689"/>
      <c r="U202" s="14" t="s">
        <v>157</v>
      </c>
      <c r="V202" s="185"/>
      <c r="X202" s="279"/>
      <c r="Y202" s="279"/>
    </row>
    <row r="203" spans="1:25" ht="18" hidden="1" customHeight="1">
      <c r="A203" s="168"/>
      <c r="B203" s="5"/>
      <c r="C203" s="47" t="s">
        <v>549</v>
      </c>
      <c r="D203" s="14"/>
      <c r="E203" s="14"/>
      <c r="F203" s="14"/>
      <c r="G203" s="14"/>
      <c r="H203" s="279"/>
      <c r="I203" s="120"/>
      <c r="J203" s="279"/>
      <c r="K203" s="279"/>
      <c r="L203" s="14"/>
      <c r="M203" s="14"/>
      <c r="N203" s="14"/>
      <c r="O203" s="14"/>
      <c r="P203" s="14"/>
      <c r="Q203" s="120" t="s">
        <v>511</v>
      </c>
      <c r="R203" s="102" t="s">
        <v>127</v>
      </c>
      <c r="S203" s="689">
        <f>O177</f>
        <v>1</v>
      </c>
      <c r="T203" s="689"/>
      <c r="U203" s="14" t="s">
        <v>8</v>
      </c>
      <c r="V203" s="185"/>
      <c r="X203" s="279"/>
      <c r="Y203" s="279"/>
    </row>
    <row r="204" spans="1:25" ht="18" hidden="1" customHeight="1">
      <c r="A204" s="168"/>
      <c r="B204" s="5"/>
      <c r="C204" s="47" t="s">
        <v>550</v>
      </c>
      <c r="D204" s="14"/>
      <c r="E204" s="14"/>
      <c r="F204" s="14"/>
      <c r="G204" s="14"/>
      <c r="H204" s="279"/>
      <c r="I204" s="120"/>
      <c r="J204" s="279"/>
      <c r="K204" s="279"/>
      <c r="L204" s="14"/>
      <c r="M204" s="14"/>
      <c r="N204" s="14"/>
      <c r="O204" s="14"/>
      <c r="P204" s="14"/>
      <c r="Q204" s="120" t="s">
        <v>495</v>
      </c>
      <c r="R204" s="102" t="s">
        <v>127</v>
      </c>
      <c r="S204" s="689">
        <v>20</v>
      </c>
      <c r="T204" s="689"/>
      <c r="U204" s="47"/>
      <c r="V204" s="185"/>
    </row>
    <row r="205" spans="1:25" ht="18" hidden="1" customHeight="1">
      <c r="A205" s="299"/>
      <c r="B205" s="279"/>
      <c r="C205" s="47" t="s">
        <v>551</v>
      </c>
      <c r="D205" s="14"/>
      <c r="E205" s="14"/>
      <c r="F205" s="14"/>
      <c r="G205" s="14"/>
      <c r="H205" s="279"/>
      <c r="I205" s="120"/>
      <c r="J205" s="279"/>
      <c r="K205" s="279"/>
      <c r="L205" s="14"/>
      <c r="M205" s="14"/>
      <c r="N205" s="279"/>
      <c r="O205" s="279"/>
      <c r="P205" s="14"/>
      <c r="Q205" s="120" t="s">
        <v>493</v>
      </c>
      <c r="R205" s="14"/>
      <c r="S205" s="279"/>
      <c r="T205" s="279"/>
      <c r="U205" s="279"/>
      <c r="V205" s="300"/>
      <c r="W205" s="279"/>
      <c r="X205" s="279"/>
      <c r="Y205" s="279"/>
    </row>
    <row r="206" spans="1:25" ht="18" hidden="1" customHeight="1">
      <c r="A206" s="184"/>
      <c r="C206" s="14"/>
      <c r="D206" s="14"/>
      <c r="E206" s="14"/>
      <c r="F206" s="14"/>
      <c r="G206" s="14"/>
      <c r="H206" s="14"/>
      <c r="I206" s="14"/>
      <c r="J206" s="14"/>
      <c r="K206" s="14"/>
      <c r="L206" s="14"/>
      <c r="M206" s="14"/>
      <c r="N206" s="14"/>
      <c r="O206" s="14"/>
      <c r="P206" s="14"/>
      <c r="Q206" s="14"/>
      <c r="R206" s="14"/>
      <c r="S206" s="14"/>
      <c r="T206" s="14"/>
      <c r="U206" s="14"/>
      <c r="V206" s="185"/>
    </row>
    <row r="207" spans="1:25" ht="18" hidden="1" customHeight="1">
      <c r="A207" s="184"/>
      <c r="C207" s="28" t="s">
        <v>493</v>
      </c>
      <c r="D207" s="28" t="s">
        <v>127</v>
      </c>
      <c r="E207" s="28" t="s">
        <v>537</v>
      </c>
      <c r="F207" s="28">
        <v>1.3</v>
      </c>
      <c r="G207" s="28" t="s">
        <v>315</v>
      </c>
      <c r="H207" s="689" t="s">
        <v>473</v>
      </c>
      <c r="I207" s="716"/>
      <c r="J207" s="28" t="s">
        <v>315</v>
      </c>
      <c r="K207" s="28" t="s">
        <v>511</v>
      </c>
      <c r="L207" s="28" t="s">
        <v>541</v>
      </c>
      <c r="M207" s="28" t="s">
        <v>495</v>
      </c>
      <c r="N207" s="47" t="s">
        <v>542</v>
      </c>
      <c r="O207" s="28" t="s">
        <v>491</v>
      </c>
      <c r="V207" s="185"/>
    </row>
    <row r="208" spans="1:25" ht="18" hidden="1" customHeight="1">
      <c r="A208" s="184"/>
      <c r="D208" s="27" t="s">
        <v>127</v>
      </c>
      <c r="E208" s="27" t="s">
        <v>537</v>
      </c>
      <c r="F208" s="27">
        <v>1.3</v>
      </c>
      <c r="G208" s="27" t="s">
        <v>315</v>
      </c>
      <c r="H208" s="684" t="str">
        <f>S200</f>
        <v>-</v>
      </c>
      <c r="I208" s="723"/>
      <c r="J208" s="27" t="s">
        <v>315</v>
      </c>
      <c r="K208" s="27">
        <f>S203</f>
        <v>1</v>
      </c>
      <c r="L208" s="27" t="s">
        <v>541</v>
      </c>
      <c r="M208" s="27">
        <f>S204</f>
        <v>20</v>
      </c>
      <c r="N208" s="296" t="s">
        <v>542</v>
      </c>
      <c r="O208" s="222" t="e">
        <f>S201</f>
        <v>#VALUE!</v>
      </c>
      <c r="V208" s="185"/>
    </row>
    <row r="209" spans="1:22" ht="18" hidden="1" customHeight="1">
      <c r="A209" s="184"/>
      <c r="D209" s="27" t="s">
        <v>127</v>
      </c>
      <c r="E209" s="684" t="e">
        <f>((F208*H208*K208)/M208)-O208</f>
        <v>#VALUE!</v>
      </c>
      <c r="F209" s="684"/>
      <c r="G209" s="27" t="s">
        <v>157</v>
      </c>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D213" s="27"/>
      <c r="E213" s="27"/>
      <c r="F213" s="27"/>
      <c r="G213" s="27"/>
      <c r="V213" s="185"/>
    </row>
    <row r="214" spans="1:22" ht="18" hidden="1" customHeight="1">
      <c r="A214" s="184"/>
      <c r="D214" s="27"/>
      <c r="E214" s="27"/>
      <c r="F214" s="27"/>
      <c r="G214" s="27"/>
      <c r="V214" s="185"/>
    </row>
    <row r="215" spans="1:22" ht="18" hidden="1" customHeight="1">
      <c r="A215" s="184"/>
      <c r="V215" s="185"/>
    </row>
    <row r="216" spans="1:22" s="14" customFormat="1" ht="18" hidden="1" customHeight="1">
      <c r="A216" s="194"/>
      <c r="B216" s="195"/>
      <c r="C216" s="195"/>
      <c r="D216" s="195"/>
      <c r="E216" s="195"/>
      <c r="F216" s="195"/>
      <c r="G216" s="195"/>
      <c r="H216" s="195"/>
      <c r="I216" s="195"/>
      <c r="J216" s="195"/>
      <c r="K216" s="195"/>
      <c r="L216" s="195"/>
      <c r="M216" s="195"/>
      <c r="N216" s="195"/>
      <c r="O216" s="195"/>
      <c r="P216" s="195"/>
      <c r="Q216" s="224"/>
      <c r="R216" s="182"/>
      <c r="S216" s="225"/>
      <c r="T216" s="195"/>
      <c r="U216" s="195"/>
      <c r="V216" s="134"/>
    </row>
    <row r="217" spans="1:22" ht="18" hidden="1" customHeight="1">
      <c r="A217" s="226"/>
      <c r="B217" s="227"/>
      <c r="C217" s="227"/>
      <c r="D217" s="227"/>
      <c r="E217" s="227"/>
      <c r="F217" s="227"/>
      <c r="G217" s="227"/>
      <c r="H217" s="227"/>
      <c r="I217" s="227"/>
      <c r="J217" s="227"/>
      <c r="K217" s="227"/>
      <c r="L217" s="227"/>
      <c r="M217" s="227"/>
      <c r="N217" s="227"/>
      <c r="O217" s="227"/>
      <c r="P217" s="227"/>
      <c r="Q217" s="227"/>
      <c r="R217" s="227"/>
      <c r="S217" s="227"/>
      <c r="T217" s="227"/>
      <c r="U217" s="227"/>
      <c r="V217" s="228"/>
    </row>
    <row r="218" spans="1:22" ht="18" hidden="1" customHeight="1">
      <c r="A218" s="96" t="s">
        <v>755</v>
      </c>
      <c r="B218" s="14"/>
      <c r="C218" s="14"/>
      <c r="D218" s="14"/>
      <c r="E218" s="14"/>
      <c r="F218" s="14"/>
      <c r="G218" s="14"/>
      <c r="H218" s="14"/>
      <c r="I218" s="14"/>
      <c r="J218" s="14"/>
      <c r="K218" s="14"/>
      <c r="L218" s="14"/>
      <c r="M218" s="14"/>
      <c r="N218" s="14"/>
      <c r="O218" s="14"/>
      <c r="P218" s="28"/>
      <c r="Q218" s="120"/>
      <c r="R218" s="14"/>
      <c r="S218" s="14"/>
      <c r="T218" s="14"/>
      <c r="U218" s="14"/>
      <c r="V218" s="185"/>
    </row>
    <row r="219" spans="1:22" ht="18" hidden="1" customHeight="1">
      <c r="A219" s="96"/>
      <c r="B219" s="14"/>
      <c r="C219" s="14"/>
      <c r="D219" s="14"/>
      <c r="E219" s="14"/>
      <c r="F219" s="14"/>
      <c r="G219" s="14"/>
      <c r="H219" s="14"/>
      <c r="K219" s="14" t="s">
        <v>756</v>
      </c>
      <c r="L219" s="28"/>
      <c r="M219" s="47"/>
      <c r="N219" s="14"/>
      <c r="O219" s="14"/>
      <c r="P219" s="14"/>
      <c r="Q219" s="14"/>
      <c r="R219" s="14"/>
      <c r="S219" s="14"/>
      <c r="T219" s="14"/>
      <c r="U219" s="14"/>
      <c r="V219" s="185"/>
    </row>
    <row r="220" spans="1:22" ht="18" hidden="1" customHeight="1">
      <c r="A220" s="96"/>
      <c r="B220" s="28" t="s">
        <v>745</v>
      </c>
      <c r="C220" s="278" t="s">
        <v>652</v>
      </c>
      <c r="D220" s="14" t="s">
        <v>757</v>
      </c>
      <c r="E220" s="14"/>
      <c r="F220" s="268" t="s">
        <v>758</v>
      </c>
      <c r="K220" s="28" t="s">
        <v>745</v>
      </c>
      <c r="L220" s="28" t="s">
        <v>127</v>
      </c>
      <c r="M220" s="281" t="s">
        <v>759</v>
      </c>
      <c r="N220" s="28"/>
      <c r="O220" s="47"/>
      <c r="P220" s="14"/>
      <c r="Q220" s="14"/>
      <c r="R220" s="14"/>
      <c r="S220" s="14"/>
      <c r="T220" s="14"/>
      <c r="U220" s="14"/>
      <c r="V220" s="185"/>
    </row>
    <row r="221" spans="1:22" ht="18" hidden="1" customHeight="1">
      <c r="A221" s="96"/>
      <c r="B221" s="28" t="s">
        <v>745</v>
      </c>
      <c r="C221" s="278" t="s">
        <v>652</v>
      </c>
      <c r="D221" s="47" t="s">
        <v>760</v>
      </c>
      <c r="E221" s="14"/>
      <c r="F221" s="268" t="s">
        <v>761</v>
      </c>
      <c r="K221" s="28"/>
      <c r="L221" s="28" t="s">
        <v>127</v>
      </c>
      <c r="M221" s="14" t="s">
        <v>762</v>
      </c>
      <c r="N221" s="14"/>
      <c r="O221" s="14"/>
      <c r="P221" s="14"/>
      <c r="Q221" s="14"/>
      <c r="R221" s="14"/>
      <c r="S221" s="14"/>
      <c r="T221" s="14"/>
      <c r="U221" s="14"/>
      <c r="V221" s="185"/>
    </row>
    <row r="222" spans="1:22" ht="18" hidden="1" customHeight="1">
      <c r="A222" s="96"/>
      <c r="B222" s="14"/>
      <c r="C222" s="14"/>
      <c r="D222" s="14"/>
      <c r="E222" s="14"/>
      <c r="F222" s="14"/>
      <c r="G222" s="14"/>
      <c r="H222" s="14"/>
      <c r="K222" s="28" t="s">
        <v>757</v>
      </c>
      <c r="L222" s="28" t="s">
        <v>127</v>
      </c>
      <c r="M222" s="47" t="s">
        <v>763</v>
      </c>
      <c r="N222" s="14"/>
      <c r="O222" s="14"/>
      <c r="P222" s="14"/>
      <c r="Q222" s="14"/>
      <c r="R222" s="14"/>
      <c r="S222" s="14"/>
      <c r="T222" s="14"/>
      <c r="U222" s="14"/>
      <c r="V222" s="185"/>
    </row>
    <row r="223" spans="1:22" ht="18" hidden="1" customHeight="1">
      <c r="A223" s="96"/>
      <c r="B223" s="14"/>
      <c r="C223" s="14"/>
      <c r="K223" s="28" t="s">
        <v>760</v>
      </c>
      <c r="L223" s="28" t="s">
        <v>127</v>
      </c>
      <c r="M223" s="28">
        <v>10</v>
      </c>
      <c r="O223" s="14" t="s">
        <v>764</v>
      </c>
      <c r="P223" s="28" t="s">
        <v>765</v>
      </c>
      <c r="Q223" s="278" t="s">
        <v>766</v>
      </c>
      <c r="R223" s="28">
        <v>120</v>
      </c>
      <c r="S223" s="14" t="s">
        <v>767</v>
      </c>
      <c r="T223" s="14"/>
      <c r="U223" s="14"/>
      <c r="V223" s="185"/>
    </row>
    <row r="224" spans="1:22" ht="18" hidden="1" customHeight="1">
      <c r="A224" s="96"/>
      <c r="B224" s="14"/>
      <c r="C224" s="14"/>
      <c r="L224" s="28" t="s">
        <v>127</v>
      </c>
      <c r="M224" s="27">
        <v>20</v>
      </c>
      <c r="N224" s="14"/>
      <c r="O224" s="14" t="s">
        <v>764</v>
      </c>
      <c r="P224" s="28" t="s">
        <v>765</v>
      </c>
      <c r="Q224" s="278" t="s">
        <v>766</v>
      </c>
      <c r="R224" s="28">
        <v>300</v>
      </c>
      <c r="S224" s="14" t="s">
        <v>767</v>
      </c>
      <c r="T224" s="14"/>
      <c r="U224" s="14"/>
      <c r="V224" s="185"/>
    </row>
    <row r="225" spans="1:22" ht="18" hidden="1" customHeight="1">
      <c r="A225" s="96"/>
      <c r="B225" s="14"/>
      <c r="C225" s="14"/>
      <c r="N225" s="14"/>
      <c r="O225" s="14"/>
      <c r="P225" s="28"/>
      <c r="Q225" s="120"/>
      <c r="R225" s="14"/>
      <c r="S225" s="14"/>
      <c r="T225" s="14"/>
      <c r="U225" s="14"/>
      <c r="V225" s="185"/>
    </row>
    <row r="226" spans="1:22" ht="18" hidden="1" customHeight="1">
      <c r="A226" s="96" t="s">
        <v>768</v>
      </c>
      <c r="B226" s="14"/>
      <c r="C226" s="14"/>
      <c r="K226" s="27" t="s">
        <v>757</v>
      </c>
      <c r="L226" s="27" t="s">
        <v>127</v>
      </c>
      <c r="M226" s="684" t="s">
        <v>425</v>
      </c>
      <c r="N226" s="684"/>
      <c r="O226" s="27" t="s">
        <v>769</v>
      </c>
      <c r="P226" s="27">
        <v>5</v>
      </c>
      <c r="Q226" s="28" t="s">
        <v>315</v>
      </c>
      <c r="R226" s="684" t="s">
        <v>423</v>
      </c>
      <c r="S226" s="684"/>
      <c r="T226" s="14" t="s">
        <v>350</v>
      </c>
      <c r="U226" s="14"/>
      <c r="V226" s="185"/>
    </row>
    <row r="227" spans="1:22" ht="18" hidden="1" customHeight="1">
      <c r="A227" s="96"/>
      <c r="B227" s="14"/>
      <c r="C227" s="14"/>
      <c r="L227" s="27" t="s">
        <v>127</v>
      </c>
      <c r="M227" s="684">
        <f>S198</f>
        <v>1</v>
      </c>
      <c r="N227" s="684"/>
      <c r="O227" s="27" t="s">
        <v>769</v>
      </c>
      <c r="P227" s="27">
        <v>5</v>
      </c>
      <c r="Q227" s="28" t="s">
        <v>315</v>
      </c>
      <c r="R227" s="684" t="str">
        <f>S199</f>
        <v>-</v>
      </c>
      <c r="S227" s="684"/>
      <c r="T227" s="14" t="s">
        <v>350</v>
      </c>
      <c r="U227" s="14"/>
      <c r="V227" s="185"/>
    </row>
    <row r="228" spans="1:22" ht="18" hidden="1" customHeight="1">
      <c r="A228" s="96"/>
      <c r="B228" s="14"/>
      <c r="C228" s="14"/>
      <c r="D228" s="14"/>
      <c r="E228" s="120"/>
      <c r="F228" s="28"/>
      <c r="L228" s="27" t="s">
        <v>127</v>
      </c>
      <c r="M228" s="689" t="e">
        <f>M227/(P227*R227)</f>
        <v>#VALUE!</v>
      </c>
      <c r="N228" s="684"/>
      <c r="O228" s="14"/>
      <c r="P228" s="14"/>
      <c r="Q228" s="14"/>
      <c r="R228" s="14"/>
      <c r="S228" s="14"/>
      <c r="T228" s="14"/>
      <c r="U228" s="14"/>
      <c r="V228" s="185"/>
    </row>
    <row r="229" spans="1:22" ht="18" hidden="1" customHeight="1">
      <c r="A229" s="96"/>
      <c r="B229" s="14"/>
      <c r="C229" s="14"/>
      <c r="D229" s="14"/>
      <c r="E229" s="14"/>
      <c r="F229" s="28"/>
      <c r="G229" s="14"/>
      <c r="H229" s="14"/>
      <c r="I229" s="102"/>
      <c r="J229" s="47"/>
      <c r="K229" s="47"/>
      <c r="L229" s="14"/>
      <c r="M229" s="14"/>
      <c r="N229" s="14"/>
      <c r="O229" s="14"/>
      <c r="P229" s="14"/>
      <c r="Q229" s="14"/>
      <c r="R229" s="14"/>
      <c r="S229" s="14"/>
      <c r="T229" s="14"/>
      <c r="U229" s="14"/>
      <c r="V229" s="185"/>
    </row>
    <row r="230" spans="1:22" ht="18" hidden="1" customHeight="1">
      <c r="A230" s="96" t="s">
        <v>770</v>
      </c>
      <c r="B230" s="14"/>
      <c r="C230" s="14"/>
      <c r="D230" s="14"/>
      <c r="E230" s="257" t="s">
        <v>771</v>
      </c>
      <c r="F230" s="14"/>
      <c r="G230" s="28" t="s">
        <v>127</v>
      </c>
      <c r="H230" s="692">
        <f>'[2]Parameters &amp; Fault Cal.'!Q184</f>
        <v>0</v>
      </c>
      <c r="I230" s="684"/>
      <c r="J230" s="30" t="s">
        <v>531</v>
      </c>
      <c r="K230" s="28" t="s">
        <v>760</v>
      </c>
      <c r="L230" s="218" t="s">
        <v>127</v>
      </c>
      <c r="M230" s="692">
        <f>IF(H230&lt;=120,M223,M224)</f>
        <v>10</v>
      </c>
      <c r="N230" s="684"/>
      <c r="O230" s="14"/>
      <c r="P230" s="14"/>
      <c r="Q230" s="14"/>
      <c r="R230" s="14"/>
      <c r="S230" s="14"/>
      <c r="T230" s="14"/>
      <c r="U230" s="14"/>
      <c r="V230" s="185"/>
    </row>
    <row r="231" spans="1:22" ht="18" hidden="1" customHeight="1">
      <c r="A231" s="184"/>
      <c r="J231" s="14"/>
      <c r="K231" s="257"/>
      <c r="M231" s="14"/>
      <c r="N231" s="14"/>
      <c r="O231" s="14"/>
      <c r="P231" s="14"/>
      <c r="Q231" s="14"/>
      <c r="R231" s="14"/>
      <c r="S231" s="14"/>
      <c r="T231" s="14"/>
      <c r="U231" s="14"/>
      <c r="V231" s="185"/>
    </row>
    <row r="232" spans="1:22" ht="18" hidden="1" customHeight="1">
      <c r="A232" s="96" t="s">
        <v>772</v>
      </c>
      <c r="E232" s="199"/>
      <c r="G232" s="27" t="s">
        <v>127</v>
      </c>
      <c r="H232" s="27" t="s">
        <v>495</v>
      </c>
      <c r="I232" s="27" t="s">
        <v>554</v>
      </c>
      <c r="J232" s="120" t="s">
        <v>491</v>
      </c>
      <c r="K232" s="28" t="s">
        <v>347</v>
      </c>
      <c r="L232" s="120" t="s">
        <v>493</v>
      </c>
      <c r="M232" s="28" t="s">
        <v>539</v>
      </c>
      <c r="N232" s="120" t="s">
        <v>491</v>
      </c>
      <c r="O232" s="28" t="s">
        <v>347</v>
      </c>
      <c r="P232" s="120" t="s">
        <v>512</v>
      </c>
      <c r="Q232" s="296" t="s">
        <v>350</v>
      </c>
      <c r="V232" s="185"/>
    </row>
    <row r="233" spans="1:22" ht="18" hidden="1" customHeight="1">
      <c r="A233" s="184"/>
      <c r="G233" s="27" t="s">
        <v>127</v>
      </c>
      <c r="H233" s="242">
        <f>S204</f>
        <v>20</v>
      </c>
      <c r="I233" s="245" t="s">
        <v>554</v>
      </c>
      <c r="J233" s="301" t="e">
        <f>S201</f>
        <v>#VALUE!</v>
      </c>
      <c r="K233" s="245" t="s">
        <v>347</v>
      </c>
      <c r="L233" s="301" t="e">
        <f>E209</f>
        <v>#VALUE!</v>
      </c>
      <c r="M233" s="245" t="s">
        <v>539</v>
      </c>
      <c r="N233" s="301" t="e">
        <f>S201</f>
        <v>#VALUE!</v>
      </c>
      <c r="O233" s="245" t="s">
        <v>347</v>
      </c>
      <c r="P233" s="301">
        <f>S202</f>
        <v>1.0870224400000001</v>
      </c>
      <c r="Q233" s="461" t="s">
        <v>350</v>
      </c>
      <c r="V233" s="185"/>
    </row>
    <row r="234" spans="1:22" ht="18" hidden="1" customHeight="1">
      <c r="A234" s="184"/>
      <c r="G234" s="27" t="s">
        <v>127</v>
      </c>
      <c r="H234" s="795" t="e">
        <f>H233*((J233+L233)/(N233+P233))</f>
        <v>#VALUE!</v>
      </c>
      <c r="I234" s="795"/>
      <c r="V234" s="185"/>
    </row>
    <row r="235" spans="1:22" ht="18" hidden="1" customHeight="1">
      <c r="A235" s="184"/>
      <c r="V235" s="185"/>
    </row>
    <row r="236" spans="1:22" ht="18" hidden="1" customHeight="1">
      <c r="A236" s="184" t="s">
        <v>773</v>
      </c>
      <c r="E236" s="244"/>
      <c r="F236" s="27"/>
      <c r="G236" s="296"/>
      <c r="V236" s="185"/>
    </row>
    <row r="237" spans="1:22" ht="18" hidden="1" customHeight="1">
      <c r="A237" s="184"/>
      <c r="D237" s="211"/>
      <c r="E237" s="211"/>
      <c r="F237" s="27"/>
      <c r="G237" s="211"/>
      <c r="H237" s="211"/>
      <c r="V237" s="185"/>
    </row>
    <row r="238" spans="1:22" ht="18" hidden="1" customHeight="1">
      <c r="A238" s="184"/>
      <c r="D238" s="795" t="e">
        <f>H234</f>
        <v>#VALUE!</v>
      </c>
      <c r="E238" s="684"/>
      <c r="F238" s="27" t="e">
        <f>IF(D238&gt;=G238,"&gt;","&lt;")</f>
        <v>#VALUE!</v>
      </c>
      <c r="G238" s="795" t="e">
        <f>M228</f>
        <v>#VALUE!</v>
      </c>
      <c r="H238" s="684"/>
      <c r="I238" s="18"/>
      <c r="J238" s="268" t="s">
        <v>758</v>
      </c>
      <c r="V238" s="185"/>
    </row>
    <row r="239" spans="1:22" ht="18" hidden="1" customHeight="1">
      <c r="A239" s="184"/>
      <c r="D239" s="795" t="e">
        <f>H234</f>
        <v>#VALUE!</v>
      </c>
      <c r="E239" s="684"/>
      <c r="F239" s="27" t="e">
        <f>IF(D239&gt;=G239,"&gt;","&lt;")</f>
        <v>#VALUE!</v>
      </c>
      <c r="G239" s="795">
        <f>M230</f>
        <v>10</v>
      </c>
      <c r="H239" s="684"/>
      <c r="J239" s="268" t="s">
        <v>761</v>
      </c>
      <c r="V239" s="185"/>
    </row>
    <row r="240" spans="1:22" ht="18" hidden="1" customHeight="1">
      <c r="A240" s="184"/>
      <c r="E240" s="244" t="s">
        <v>478</v>
      </c>
      <c r="G240" s="18" t="e">
        <f>IF(AND(F238="&gt;",F239="&gt;")=TRUE,"Suitably Dimensioned","Under Dimensioned")</f>
        <v>#VALUE!</v>
      </c>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s="14" customFormat="1" ht="18" customHeight="1">
      <c r="A260" s="194"/>
      <c r="B260" s="195"/>
      <c r="C260" s="195"/>
      <c r="D260" s="195"/>
      <c r="E260" s="195"/>
      <c r="F260" s="195"/>
      <c r="G260" s="195"/>
      <c r="H260" s="195"/>
      <c r="I260" s="195"/>
      <c r="J260" s="195"/>
      <c r="K260" s="195"/>
      <c r="L260" s="195"/>
      <c r="M260" s="195"/>
      <c r="N260" s="195"/>
      <c r="O260" s="195"/>
      <c r="P260" s="195"/>
      <c r="Q260" s="224"/>
      <c r="R260" s="182"/>
      <c r="S260" s="225"/>
      <c r="T260" s="195"/>
      <c r="U260" s="195"/>
      <c r="V260" s="134"/>
    </row>
    <row r="261" spans="1:22" ht="18" customHeight="1">
      <c r="A261" s="226"/>
      <c r="B261" s="227"/>
      <c r="C261" s="227"/>
      <c r="D261" s="227"/>
      <c r="E261" s="227"/>
      <c r="F261" s="227"/>
      <c r="G261" s="227"/>
      <c r="H261" s="227"/>
      <c r="I261" s="227"/>
      <c r="J261" s="227"/>
      <c r="K261" s="227"/>
      <c r="L261" s="227"/>
      <c r="M261" s="227"/>
      <c r="N261" s="227"/>
      <c r="O261" s="227"/>
      <c r="P261" s="227"/>
      <c r="Q261" s="227"/>
      <c r="R261" s="227"/>
      <c r="S261" s="227"/>
      <c r="T261" s="227"/>
      <c r="U261" s="227"/>
      <c r="V261" s="228"/>
    </row>
    <row r="262" spans="1:22" ht="18" customHeight="1">
      <c r="A262" s="452" t="s">
        <v>501</v>
      </c>
      <c r="B262" s="14"/>
      <c r="C262" s="14"/>
      <c r="D262" s="120"/>
      <c r="E262" s="120"/>
      <c r="F262" s="18"/>
      <c r="G262" s="18"/>
      <c r="H262" s="14"/>
      <c r="I262" s="14"/>
      <c r="J262" s="14"/>
      <c r="K262" s="14"/>
      <c r="L262" s="14"/>
      <c r="M262" s="14"/>
      <c r="N262" s="14"/>
      <c r="O262" s="14"/>
      <c r="P262" s="28"/>
      <c r="Q262" s="120"/>
      <c r="R262" s="47"/>
      <c r="S262" s="206"/>
      <c r="T262" s="259"/>
      <c r="U262" s="14"/>
      <c r="V262" s="97"/>
    </row>
    <row r="263" spans="1:22" ht="18" customHeight="1">
      <c r="A263" s="955" t="s">
        <v>85</v>
      </c>
      <c r="B263" s="956"/>
      <c r="C263" s="957"/>
      <c r="D263" s="955" t="s">
        <v>86</v>
      </c>
      <c r="E263" s="956"/>
      <c r="F263" s="957"/>
      <c r="G263" s="955" t="s">
        <v>87</v>
      </c>
      <c r="H263" s="957"/>
      <c r="I263" s="955" t="s">
        <v>88</v>
      </c>
      <c r="J263" s="957"/>
      <c r="K263" s="955" t="s">
        <v>502</v>
      </c>
      <c r="L263" s="957"/>
      <c r="M263" s="955" t="s">
        <v>503</v>
      </c>
      <c r="N263" s="957"/>
      <c r="O263" s="955" t="s">
        <v>504</v>
      </c>
      <c r="P263" s="957"/>
      <c r="Q263" s="955" t="s">
        <v>505</v>
      </c>
      <c r="R263" s="957"/>
      <c r="S263" s="955" t="s">
        <v>93</v>
      </c>
      <c r="T263" s="956"/>
      <c r="U263" s="956"/>
      <c r="V263" s="957"/>
    </row>
    <row r="264" spans="1:22" ht="18" customHeight="1">
      <c r="A264" s="1125"/>
      <c r="B264" s="983"/>
      <c r="C264" s="1126"/>
      <c r="D264" s="1125"/>
      <c r="E264" s="983"/>
      <c r="F264" s="1126"/>
      <c r="G264" s="1125"/>
      <c r="H264" s="1126"/>
      <c r="I264" s="1125"/>
      <c r="J264" s="1126"/>
      <c r="K264" s="1125"/>
      <c r="L264" s="1126"/>
      <c r="M264" s="1125"/>
      <c r="N264" s="1126"/>
      <c r="O264" s="1125"/>
      <c r="P264" s="1126"/>
      <c r="Q264" s="1125"/>
      <c r="R264" s="1126"/>
      <c r="S264" s="1125"/>
      <c r="T264" s="983"/>
      <c r="U264" s="983"/>
      <c r="V264" s="1126"/>
    </row>
    <row r="265" spans="1:22" ht="18" customHeight="1">
      <c r="A265" s="1125"/>
      <c r="B265" s="983"/>
      <c r="C265" s="1126"/>
      <c r="D265" s="1125"/>
      <c r="E265" s="983"/>
      <c r="F265" s="1126"/>
      <c r="G265" s="1125"/>
      <c r="H265" s="1126"/>
      <c r="I265" s="1125"/>
      <c r="J265" s="1126"/>
      <c r="K265" s="1125"/>
      <c r="L265" s="1126"/>
      <c r="M265" s="1125"/>
      <c r="N265" s="1126"/>
      <c r="O265" s="1125"/>
      <c r="P265" s="1126"/>
      <c r="Q265" s="1125"/>
      <c r="R265" s="1126"/>
      <c r="S265" s="1125"/>
      <c r="T265" s="983"/>
      <c r="U265" s="983"/>
      <c r="V265" s="1126"/>
    </row>
    <row r="266" spans="1:22" ht="18" customHeight="1">
      <c r="A266" s="1047"/>
      <c r="B266" s="1048"/>
      <c r="C266" s="1049"/>
      <c r="D266" s="1047"/>
      <c r="E266" s="1048"/>
      <c r="F266" s="1049"/>
      <c r="G266" s="1047"/>
      <c r="H266" s="1049"/>
      <c r="I266" s="1047"/>
      <c r="J266" s="1049"/>
      <c r="K266" s="1047"/>
      <c r="L266" s="1049"/>
      <c r="M266" s="1047"/>
      <c r="N266" s="1049"/>
      <c r="O266" s="1047"/>
      <c r="P266" s="1049"/>
      <c r="Q266" s="1047"/>
      <c r="R266" s="1049"/>
      <c r="S266" s="1047"/>
      <c r="T266" s="1048"/>
      <c r="U266" s="1048"/>
      <c r="V266" s="1049"/>
    </row>
    <row r="267" spans="1:22" ht="18" customHeight="1">
      <c r="A267" s="765" t="str">
        <f>B7</f>
        <v>T1</v>
      </c>
      <c r="B267" s="765" t="str">
        <f>D7</f>
        <v>Core5</v>
      </c>
      <c r="C267" s="765"/>
      <c r="D267" s="870">
        <f>H10</f>
        <v>2000</v>
      </c>
      <c r="E267" s="870"/>
      <c r="F267" s="871">
        <f>O10</f>
        <v>1</v>
      </c>
      <c r="G267" s="870">
        <f>'CT-VT Burdens'!S21</f>
        <v>120</v>
      </c>
      <c r="H267" s="874">
        <f>'CT-VT Burdens'!S10</f>
        <v>6</v>
      </c>
      <c r="I267" s="874" t="str">
        <f>H11</f>
        <v>PX</v>
      </c>
      <c r="J267" s="874" t="e">
        <f>#REF!</f>
        <v>#REF!</v>
      </c>
      <c r="K267" s="869">
        <f>H12</f>
        <v>3.5</v>
      </c>
      <c r="L267" s="869"/>
      <c r="M267" s="869">
        <f>H13</f>
        <v>500</v>
      </c>
      <c r="N267" s="869"/>
      <c r="O267" s="870">
        <f>H14</f>
        <v>20</v>
      </c>
      <c r="P267" s="870"/>
      <c r="Q267" s="879" t="str">
        <f>IF(T8="",T7,IF(T9="",T7&amp;"+"&amp;T8,T7&amp;"+"&amp;T8&amp;"+"&amp;T9))</f>
        <v>REB500</v>
      </c>
      <c r="R267" s="879"/>
      <c r="S267" s="878" t="str">
        <f>M82</f>
        <v>Suitably Dimensioned</v>
      </c>
      <c r="T267" s="878"/>
      <c r="U267" s="878"/>
      <c r="V267" s="878"/>
    </row>
    <row r="268" spans="1:22" ht="18" customHeight="1">
      <c r="A268" s="765"/>
      <c r="B268" s="765"/>
      <c r="C268" s="765"/>
      <c r="D268" s="870">
        <f>J10</f>
        <v>3200</v>
      </c>
      <c r="E268" s="870"/>
      <c r="F268" s="872"/>
      <c r="G268" s="870"/>
      <c r="H268" s="870"/>
      <c r="I268" s="874"/>
      <c r="J268" s="874"/>
      <c r="K268" s="875">
        <f>J94</f>
        <v>5</v>
      </c>
      <c r="L268" s="869"/>
      <c r="M268" s="875">
        <f>J95</f>
        <v>900</v>
      </c>
      <c r="N268" s="869"/>
      <c r="O268" s="876">
        <f>J96</f>
        <v>10</v>
      </c>
      <c r="P268" s="870"/>
      <c r="Q268" s="879"/>
      <c r="R268" s="879"/>
      <c r="S268" s="877" t="str">
        <f>M165</f>
        <v>Suitably Dimensioned</v>
      </c>
      <c r="T268" s="878"/>
      <c r="U268" s="878"/>
      <c r="V268" s="878"/>
    </row>
    <row r="269" spans="1:22" ht="18" customHeight="1">
      <c r="A269" s="765"/>
      <c r="B269" s="765"/>
      <c r="C269" s="765"/>
      <c r="D269" s="870" t="str">
        <f>L10</f>
        <v>-</v>
      </c>
      <c r="E269" s="870"/>
      <c r="F269" s="873"/>
      <c r="G269" s="870"/>
      <c r="H269" s="870"/>
      <c r="I269" s="874"/>
      <c r="J269" s="874"/>
      <c r="K269" s="869" t="str">
        <f>L179</f>
        <v>-</v>
      </c>
      <c r="L269" s="869"/>
      <c r="M269" s="869" t="str">
        <f>L180</f>
        <v>-</v>
      </c>
      <c r="N269" s="869"/>
      <c r="O269" s="870" t="str">
        <f>L181</f>
        <v>-</v>
      </c>
      <c r="P269" s="870"/>
      <c r="Q269" s="879"/>
      <c r="R269" s="879"/>
      <c r="S269" s="878" t="s">
        <v>6</v>
      </c>
      <c r="T269" s="878"/>
      <c r="U269" s="878"/>
      <c r="V269" s="878"/>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s="14" customFormat="1" ht="18" customHeight="1">
      <c r="A301" s="194"/>
      <c r="B301" s="195"/>
      <c r="C301" s="195"/>
      <c r="D301" s="195"/>
      <c r="E301" s="195"/>
      <c r="F301" s="195"/>
      <c r="G301" s="195"/>
      <c r="H301" s="195"/>
      <c r="I301" s="195"/>
      <c r="J301" s="195"/>
      <c r="K301" s="195"/>
      <c r="L301" s="195"/>
      <c r="M301" s="195"/>
      <c r="N301" s="195"/>
      <c r="O301" s="195"/>
      <c r="P301" s="195"/>
      <c r="Q301" s="224"/>
      <c r="R301" s="182"/>
      <c r="S301" s="225"/>
      <c r="T301" s="195"/>
      <c r="U301" s="195"/>
      <c r="V301"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9:C89"/>
    <mergeCell ref="D89:E89"/>
    <mergeCell ref="H89:M89"/>
    <mergeCell ref="F58:H58"/>
    <mergeCell ref="J58:J59"/>
    <mergeCell ref="K58:K59"/>
    <mergeCell ref="F61:G61"/>
    <mergeCell ref="F62:G62"/>
    <mergeCell ref="F74:G74"/>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4:C174"/>
    <mergeCell ref="D174:E174"/>
    <mergeCell ref="H174:M174"/>
    <mergeCell ref="F143:H143"/>
    <mergeCell ref="J143:J144"/>
    <mergeCell ref="K143:K144"/>
    <mergeCell ref="F145:G145"/>
    <mergeCell ref="F146:G146"/>
    <mergeCell ref="E152:F152"/>
    <mergeCell ref="H177:I177"/>
    <mergeCell ref="J177:K177"/>
    <mergeCell ref="L177:M177"/>
    <mergeCell ref="L178:M178"/>
    <mergeCell ref="L179:M179"/>
    <mergeCell ref="L180:M180"/>
    <mergeCell ref="T174:U174"/>
    <mergeCell ref="T175:U175"/>
    <mergeCell ref="H176:I176"/>
    <mergeCell ref="J176:K176"/>
    <mergeCell ref="L176:M176"/>
    <mergeCell ref="T176:U176"/>
    <mergeCell ref="J189:K189"/>
    <mergeCell ref="A191:V192"/>
    <mergeCell ref="H196:I196"/>
    <mergeCell ref="S198:T198"/>
    <mergeCell ref="S199:T199"/>
    <mergeCell ref="S200:T200"/>
    <mergeCell ref="L181:M181"/>
    <mergeCell ref="J185:K185"/>
    <mergeCell ref="J186:K186"/>
    <mergeCell ref="J187:K187"/>
    <mergeCell ref="J188:K188"/>
    <mergeCell ref="P188:Q188"/>
    <mergeCell ref="R226:S226"/>
    <mergeCell ref="M227:N227"/>
    <mergeCell ref="R227:S227"/>
    <mergeCell ref="M228:N228"/>
    <mergeCell ref="S201:T201"/>
    <mergeCell ref="S202:T202"/>
    <mergeCell ref="S203:T203"/>
    <mergeCell ref="S204:T204"/>
    <mergeCell ref="H207:I207"/>
    <mergeCell ref="H208:I208"/>
    <mergeCell ref="H230:I230"/>
    <mergeCell ref="M230:N230"/>
    <mergeCell ref="H234:I234"/>
    <mergeCell ref="D238:E238"/>
    <mergeCell ref="G238:H238"/>
    <mergeCell ref="D239:E239"/>
    <mergeCell ref="G239:H239"/>
    <mergeCell ref="E209:F209"/>
    <mergeCell ref="M226:N226"/>
    <mergeCell ref="A267:A269"/>
    <mergeCell ref="B267:C269"/>
    <mergeCell ref="D267:E267"/>
    <mergeCell ref="F267:F269"/>
    <mergeCell ref="G267:G269"/>
    <mergeCell ref="H267:H269"/>
    <mergeCell ref="I267:J269"/>
    <mergeCell ref="A263:C266"/>
    <mergeCell ref="D263:F266"/>
    <mergeCell ref="G263:H266"/>
    <mergeCell ref="I263:J266"/>
    <mergeCell ref="D269:E269"/>
    <mergeCell ref="Q267:R269"/>
    <mergeCell ref="S267:V267"/>
    <mergeCell ref="D268:E268"/>
    <mergeCell ref="K268:L268"/>
    <mergeCell ref="M268:N268"/>
    <mergeCell ref="O268:P268"/>
    <mergeCell ref="S268:V268"/>
    <mergeCell ref="O263:P266"/>
    <mergeCell ref="Q263:R266"/>
    <mergeCell ref="S263:V266"/>
    <mergeCell ref="K263:L266"/>
    <mergeCell ref="M263:N266"/>
    <mergeCell ref="K269:L269"/>
    <mergeCell ref="M269:N269"/>
    <mergeCell ref="O269:P269"/>
    <mergeCell ref="S269:V269"/>
    <mergeCell ref="K267:L267"/>
    <mergeCell ref="M267:N267"/>
    <mergeCell ref="O267:P267"/>
  </mergeCells>
  <conditionalFormatting sqref="I238 G240">
    <cfRule type="cellIs" dxfId="192" priority="3" stopIfTrue="1" operator="equal">
      <formula>"Under Dimentioned"</formula>
    </cfRule>
  </conditionalFormatting>
  <conditionalFormatting sqref="O80 M82:M85">
    <cfRule type="cellIs" dxfId="191" priority="1" stopIfTrue="1" operator="equal">
      <formula>"Under Dimentioned"</formula>
    </cfRule>
  </conditionalFormatting>
  <conditionalFormatting sqref="O162 M165:M167">
    <cfRule type="cellIs" dxfId="190"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5:E65545 IZ65545:JA65545 SV65545:SW65545 ACR65545:ACS65545 AMN65545:AMO65545 AWJ65545:AWK65545 BGF65545:BGG65545 BQB65545:BQC65545 BZX65545:BZY65545 CJT65545:CJU65545 CTP65545:CTQ65545 DDL65545:DDM65545 DNH65545:DNI65545 DXD65545:DXE65545 EGZ65545:EHA65545 EQV65545:EQW65545 FAR65545:FAS65545 FKN65545:FKO65545 FUJ65545:FUK65545 GEF65545:GEG65545 GOB65545:GOC65545 GXX65545:GXY65545 HHT65545:HHU65545 HRP65545:HRQ65545 IBL65545:IBM65545 ILH65545:ILI65545 IVD65545:IVE65545 JEZ65545:JFA65545 JOV65545:JOW65545 JYR65545:JYS65545 KIN65545:KIO65545 KSJ65545:KSK65545 LCF65545:LCG65545 LMB65545:LMC65545 LVX65545:LVY65545 MFT65545:MFU65545 MPP65545:MPQ65545 MZL65545:MZM65545 NJH65545:NJI65545 NTD65545:NTE65545 OCZ65545:ODA65545 OMV65545:OMW65545 OWR65545:OWS65545 PGN65545:PGO65545 PQJ65545:PQK65545 QAF65545:QAG65545 QKB65545:QKC65545 QTX65545:QTY65545 RDT65545:RDU65545 RNP65545:RNQ65545 RXL65545:RXM65545 SHH65545:SHI65545 SRD65545:SRE65545 TAZ65545:TBA65545 TKV65545:TKW65545 TUR65545:TUS65545 UEN65545:UEO65545 UOJ65545:UOK65545 UYF65545:UYG65545 VIB65545:VIC65545 VRX65545:VRY65545 WBT65545:WBU65545 WLP65545:WLQ65545 WVL65545:WVM65545 D131081:E131081 IZ131081:JA131081 SV131081:SW131081 ACR131081:ACS131081 AMN131081:AMO131081 AWJ131081:AWK131081 BGF131081:BGG131081 BQB131081:BQC131081 BZX131081:BZY131081 CJT131081:CJU131081 CTP131081:CTQ131081 DDL131081:DDM131081 DNH131081:DNI131081 DXD131081:DXE131081 EGZ131081:EHA131081 EQV131081:EQW131081 FAR131081:FAS131081 FKN131081:FKO131081 FUJ131081:FUK131081 GEF131081:GEG131081 GOB131081:GOC131081 GXX131081:GXY131081 HHT131081:HHU131081 HRP131081:HRQ131081 IBL131081:IBM131081 ILH131081:ILI131081 IVD131081:IVE131081 JEZ131081:JFA131081 JOV131081:JOW131081 JYR131081:JYS131081 KIN131081:KIO131081 KSJ131081:KSK131081 LCF131081:LCG131081 LMB131081:LMC131081 LVX131081:LVY131081 MFT131081:MFU131081 MPP131081:MPQ131081 MZL131081:MZM131081 NJH131081:NJI131081 NTD131081:NTE131081 OCZ131081:ODA131081 OMV131081:OMW131081 OWR131081:OWS131081 PGN131081:PGO131081 PQJ131081:PQK131081 QAF131081:QAG131081 QKB131081:QKC131081 QTX131081:QTY131081 RDT131081:RDU131081 RNP131081:RNQ131081 RXL131081:RXM131081 SHH131081:SHI131081 SRD131081:SRE131081 TAZ131081:TBA131081 TKV131081:TKW131081 TUR131081:TUS131081 UEN131081:UEO131081 UOJ131081:UOK131081 UYF131081:UYG131081 VIB131081:VIC131081 VRX131081:VRY131081 WBT131081:WBU131081 WLP131081:WLQ131081 WVL131081:WVM131081 D196617:E196617 IZ196617:JA196617 SV196617:SW196617 ACR196617:ACS196617 AMN196617:AMO196617 AWJ196617:AWK196617 BGF196617:BGG196617 BQB196617:BQC196617 BZX196617:BZY196617 CJT196617:CJU196617 CTP196617:CTQ196617 DDL196617:DDM196617 DNH196617:DNI196617 DXD196617:DXE196617 EGZ196617:EHA196617 EQV196617:EQW196617 FAR196617:FAS196617 FKN196617:FKO196617 FUJ196617:FUK196617 GEF196617:GEG196617 GOB196617:GOC196617 GXX196617:GXY196617 HHT196617:HHU196617 HRP196617:HRQ196617 IBL196617:IBM196617 ILH196617:ILI196617 IVD196617:IVE196617 JEZ196617:JFA196617 JOV196617:JOW196617 JYR196617:JYS196617 KIN196617:KIO196617 KSJ196617:KSK196617 LCF196617:LCG196617 LMB196617:LMC196617 LVX196617:LVY196617 MFT196617:MFU196617 MPP196617:MPQ196617 MZL196617:MZM196617 NJH196617:NJI196617 NTD196617:NTE196617 OCZ196617:ODA196617 OMV196617:OMW196617 OWR196617:OWS196617 PGN196617:PGO196617 PQJ196617:PQK196617 QAF196617:QAG196617 QKB196617:QKC196617 QTX196617:QTY196617 RDT196617:RDU196617 RNP196617:RNQ196617 RXL196617:RXM196617 SHH196617:SHI196617 SRD196617:SRE196617 TAZ196617:TBA196617 TKV196617:TKW196617 TUR196617:TUS196617 UEN196617:UEO196617 UOJ196617:UOK196617 UYF196617:UYG196617 VIB196617:VIC196617 VRX196617:VRY196617 WBT196617:WBU196617 WLP196617:WLQ196617 WVL196617:WVM196617 D262153:E262153 IZ262153:JA262153 SV262153:SW262153 ACR262153:ACS262153 AMN262153:AMO262153 AWJ262153:AWK262153 BGF262153:BGG262153 BQB262153:BQC262153 BZX262153:BZY262153 CJT262153:CJU262153 CTP262153:CTQ262153 DDL262153:DDM262153 DNH262153:DNI262153 DXD262153:DXE262153 EGZ262153:EHA262153 EQV262153:EQW262153 FAR262153:FAS262153 FKN262153:FKO262153 FUJ262153:FUK262153 GEF262153:GEG262153 GOB262153:GOC262153 GXX262153:GXY262153 HHT262153:HHU262153 HRP262153:HRQ262153 IBL262153:IBM262153 ILH262153:ILI262153 IVD262153:IVE262153 JEZ262153:JFA262153 JOV262153:JOW262153 JYR262153:JYS262153 KIN262153:KIO262153 KSJ262153:KSK262153 LCF262153:LCG262153 LMB262153:LMC262153 LVX262153:LVY262153 MFT262153:MFU262153 MPP262153:MPQ262153 MZL262153:MZM262153 NJH262153:NJI262153 NTD262153:NTE262153 OCZ262153:ODA262153 OMV262153:OMW262153 OWR262153:OWS262153 PGN262153:PGO262153 PQJ262153:PQK262153 QAF262153:QAG262153 QKB262153:QKC262153 QTX262153:QTY262153 RDT262153:RDU262153 RNP262153:RNQ262153 RXL262153:RXM262153 SHH262153:SHI262153 SRD262153:SRE262153 TAZ262153:TBA262153 TKV262153:TKW262153 TUR262153:TUS262153 UEN262153:UEO262153 UOJ262153:UOK262153 UYF262153:UYG262153 VIB262153:VIC262153 VRX262153:VRY262153 WBT262153:WBU262153 WLP262153:WLQ262153 WVL262153:WVM262153 D327689:E327689 IZ327689:JA327689 SV327689:SW327689 ACR327689:ACS327689 AMN327689:AMO327689 AWJ327689:AWK327689 BGF327689:BGG327689 BQB327689:BQC327689 BZX327689:BZY327689 CJT327689:CJU327689 CTP327689:CTQ327689 DDL327689:DDM327689 DNH327689:DNI327689 DXD327689:DXE327689 EGZ327689:EHA327689 EQV327689:EQW327689 FAR327689:FAS327689 FKN327689:FKO327689 FUJ327689:FUK327689 GEF327689:GEG327689 GOB327689:GOC327689 GXX327689:GXY327689 HHT327689:HHU327689 HRP327689:HRQ327689 IBL327689:IBM327689 ILH327689:ILI327689 IVD327689:IVE327689 JEZ327689:JFA327689 JOV327689:JOW327689 JYR327689:JYS327689 KIN327689:KIO327689 KSJ327689:KSK327689 LCF327689:LCG327689 LMB327689:LMC327689 LVX327689:LVY327689 MFT327689:MFU327689 MPP327689:MPQ327689 MZL327689:MZM327689 NJH327689:NJI327689 NTD327689:NTE327689 OCZ327689:ODA327689 OMV327689:OMW327689 OWR327689:OWS327689 PGN327689:PGO327689 PQJ327689:PQK327689 QAF327689:QAG327689 QKB327689:QKC327689 QTX327689:QTY327689 RDT327689:RDU327689 RNP327689:RNQ327689 RXL327689:RXM327689 SHH327689:SHI327689 SRD327689:SRE327689 TAZ327689:TBA327689 TKV327689:TKW327689 TUR327689:TUS327689 UEN327689:UEO327689 UOJ327689:UOK327689 UYF327689:UYG327689 VIB327689:VIC327689 VRX327689:VRY327689 WBT327689:WBU327689 WLP327689:WLQ327689 WVL327689:WVM327689 D393225:E393225 IZ393225:JA393225 SV393225:SW393225 ACR393225:ACS393225 AMN393225:AMO393225 AWJ393225:AWK393225 BGF393225:BGG393225 BQB393225:BQC393225 BZX393225:BZY393225 CJT393225:CJU393225 CTP393225:CTQ393225 DDL393225:DDM393225 DNH393225:DNI393225 DXD393225:DXE393225 EGZ393225:EHA393225 EQV393225:EQW393225 FAR393225:FAS393225 FKN393225:FKO393225 FUJ393225:FUK393225 GEF393225:GEG393225 GOB393225:GOC393225 GXX393225:GXY393225 HHT393225:HHU393225 HRP393225:HRQ393225 IBL393225:IBM393225 ILH393225:ILI393225 IVD393225:IVE393225 JEZ393225:JFA393225 JOV393225:JOW393225 JYR393225:JYS393225 KIN393225:KIO393225 KSJ393225:KSK393225 LCF393225:LCG393225 LMB393225:LMC393225 LVX393225:LVY393225 MFT393225:MFU393225 MPP393225:MPQ393225 MZL393225:MZM393225 NJH393225:NJI393225 NTD393225:NTE393225 OCZ393225:ODA393225 OMV393225:OMW393225 OWR393225:OWS393225 PGN393225:PGO393225 PQJ393225:PQK393225 QAF393225:QAG393225 QKB393225:QKC393225 QTX393225:QTY393225 RDT393225:RDU393225 RNP393225:RNQ393225 RXL393225:RXM393225 SHH393225:SHI393225 SRD393225:SRE393225 TAZ393225:TBA393225 TKV393225:TKW393225 TUR393225:TUS393225 UEN393225:UEO393225 UOJ393225:UOK393225 UYF393225:UYG393225 VIB393225:VIC393225 VRX393225:VRY393225 WBT393225:WBU393225 WLP393225:WLQ393225 WVL393225:WVM393225 D458761:E458761 IZ458761:JA458761 SV458761:SW458761 ACR458761:ACS458761 AMN458761:AMO458761 AWJ458761:AWK458761 BGF458761:BGG458761 BQB458761:BQC458761 BZX458761:BZY458761 CJT458761:CJU458761 CTP458761:CTQ458761 DDL458761:DDM458761 DNH458761:DNI458761 DXD458761:DXE458761 EGZ458761:EHA458761 EQV458761:EQW458761 FAR458761:FAS458761 FKN458761:FKO458761 FUJ458761:FUK458761 GEF458761:GEG458761 GOB458761:GOC458761 GXX458761:GXY458761 HHT458761:HHU458761 HRP458761:HRQ458761 IBL458761:IBM458761 ILH458761:ILI458761 IVD458761:IVE458761 JEZ458761:JFA458761 JOV458761:JOW458761 JYR458761:JYS458761 KIN458761:KIO458761 KSJ458761:KSK458761 LCF458761:LCG458761 LMB458761:LMC458761 LVX458761:LVY458761 MFT458761:MFU458761 MPP458761:MPQ458761 MZL458761:MZM458761 NJH458761:NJI458761 NTD458761:NTE458761 OCZ458761:ODA458761 OMV458761:OMW458761 OWR458761:OWS458761 PGN458761:PGO458761 PQJ458761:PQK458761 QAF458761:QAG458761 QKB458761:QKC458761 QTX458761:QTY458761 RDT458761:RDU458761 RNP458761:RNQ458761 RXL458761:RXM458761 SHH458761:SHI458761 SRD458761:SRE458761 TAZ458761:TBA458761 TKV458761:TKW458761 TUR458761:TUS458761 UEN458761:UEO458761 UOJ458761:UOK458761 UYF458761:UYG458761 VIB458761:VIC458761 VRX458761:VRY458761 WBT458761:WBU458761 WLP458761:WLQ458761 WVL458761:WVM458761 D524297:E524297 IZ524297:JA524297 SV524297:SW524297 ACR524297:ACS524297 AMN524297:AMO524297 AWJ524297:AWK524297 BGF524297:BGG524297 BQB524297:BQC524297 BZX524297:BZY524297 CJT524297:CJU524297 CTP524297:CTQ524297 DDL524297:DDM524297 DNH524297:DNI524297 DXD524297:DXE524297 EGZ524297:EHA524297 EQV524297:EQW524297 FAR524297:FAS524297 FKN524297:FKO524297 FUJ524297:FUK524297 GEF524297:GEG524297 GOB524297:GOC524297 GXX524297:GXY524297 HHT524297:HHU524297 HRP524297:HRQ524297 IBL524297:IBM524297 ILH524297:ILI524297 IVD524297:IVE524297 JEZ524297:JFA524297 JOV524297:JOW524297 JYR524297:JYS524297 KIN524297:KIO524297 KSJ524297:KSK524297 LCF524297:LCG524297 LMB524297:LMC524297 LVX524297:LVY524297 MFT524297:MFU524297 MPP524297:MPQ524297 MZL524297:MZM524297 NJH524297:NJI524297 NTD524297:NTE524297 OCZ524297:ODA524297 OMV524297:OMW524297 OWR524297:OWS524297 PGN524297:PGO524297 PQJ524297:PQK524297 QAF524297:QAG524297 QKB524297:QKC524297 QTX524297:QTY524297 RDT524297:RDU524297 RNP524297:RNQ524297 RXL524297:RXM524297 SHH524297:SHI524297 SRD524297:SRE524297 TAZ524297:TBA524297 TKV524297:TKW524297 TUR524297:TUS524297 UEN524297:UEO524297 UOJ524297:UOK524297 UYF524297:UYG524297 VIB524297:VIC524297 VRX524297:VRY524297 WBT524297:WBU524297 WLP524297:WLQ524297 WVL524297:WVM524297 D589833:E589833 IZ589833:JA589833 SV589833:SW589833 ACR589833:ACS589833 AMN589833:AMO589833 AWJ589833:AWK589833 BGF589833:BGG589833 BQB589833:BQC589833 BZX589833:BZY589833 CJT589833:CJU589833 CTP589833:CTQ589833 DDL589833:DDM589833 DNH589833:DNI589833 DXD589833:DXE589833 EGZ589833:EHA589833 EQV589833:EQW589833 FAR589833:FAS589833 FKN589833:FKO589833 FUJ589833:FUK589833 GEF589833:GEG589833 GOB589833:GOC589833 GXX589833:GXY589833 HHT589833:HHU589833 HRP589833:HRQ589833 IBL589833:IBM589833 ILH589833:ILI589833 IVD589833:IVE589833 JEZ589833:JFA589833 JOV589833:JOW589833 JYR589833:JYS589833 KIN589833:KIO589833 KSJ589833:KSK589833 LCF589833:LCG589833 LMB589833:LMC589833 LVX589833:LVY589833 MFT589833:MFU589833 MPP589833:MPQ589833 MZL589833:MZM589833 NJH589833:NJI589833 NTD589833:NTE589833 OCZ589833:ODA589833 OMV589833:OMW589833 OWR589833:OWS589833 PGN589833:PGO589833 PQJ589833:PQK589833 QAF589833:QAG589833 QKB589833:QKC589833 QTX589833:QTY589833 RDT589833:RDU589833 RNP589833:RNQ589833 RXL589833:RXM589833 SHH589833:SHI589833 SRD589833:SRE589833 TAZ589833:TBA589833 TKV589833:TKW589833 TUR589833:TUS589833 UEN589833:UEO589833 UOJ589833:UOK589833 UYF589833:UYG589833 VIB589833:VIC589833 VRX589833:VRY589833 WBT589833:WBU589833 WLP589833:WLQ589833 WVL589833:WVM589833 D655369:E655369 IZ655369:JA655369 SV655369:SW655369 ACR655369:ACS655369 AMN655369:AMO655369 AWJ655369:AWK655369 BGF655369:BGG655369 BQB655369:BQC655369 BZX655369:BZY655369 CJT655369:CJU655369 CTP655369:CTQ655369 DDL655369:DDM655369 DNH655369:DNI655369 DXD655369:DXE655369 EGZ655369:EHA655369 EQV655369:EQW655369 FAR655369:FAS655369 FKN655369:FKO655369 FUJ655369:FUK655369 GEF655369:GEG655369 GOB655369:GOC655369 GXX655369:GXY655369 HHT655369:HHU655369 HRP655369:HRQ655369 IBL655369:IBM655369 ILH655369:ILI655369 IVD655369:IVE655369 JEZ655369:JFA655369 JOV655369:JOW655369 JYR655369:JYS655369 KIN655369:KIO655369 KSJ655369:KSK655369 LCF655369:LCG655369 LMB655369:LMC655369 LVX655369:LVY655369 MFT655369:MFU655369 MPP655369:MPQ655369 MZL655369:MZM655369 NJH655369:NJI655369 NTD655369:NTE655369 OCZ655369:ODA655369 OMV655369:OMW655369 OWR655369:OWS655369 PGN655369:PGO655369 PQJ655369:PQK655369 QAF655369:QAG655369 QKB655369:QKC655369 QTX655369:QTY655369 RDT655369:RDU655369 RNP655369:RNQ655369 RXL655369:RXM655369 SHH655369:SHI655369 SRD655369:SRE655369 TAZ655369:TBA655369 TKV655369:TKW655369 TUR655369:TUS655369 UEN655369:UEO655369 UOJ655369:UOK655369 UYF655369:UYG655369 VIB655369:VIC655369 VRX655369:VRY655369 WBT655369:WBU655369 WLP655369:WLQ655369 WVL655369:WVM655369 D720905:E720905 IZ720905:JA720905 SV720905:SW720905 ACR720905:ACS720905 AMN720905:AMO720905 AWJ720905:AWK720905 BGF720905:BGG720905 BQB720905:BQC720905 BZX720905:BZY720905 CJT720905:CJU720905 CTP720905:CTQ720905 DDL720905:DDM720905 DNH720905:DNI720905 DXD720905:DXE720905 EGZ720905:EHA720905 EQV720905:EQW720905 FAR720905:FAS720905 FKN720905:FKO720905 FUJ720905:FUK720905 GEF720905:GEG720905 GOB720905:GOC720905 GXX720905:GXY720905 HHT720905:HHU720905 HRP720905:HRQ720905 IBL720905:IBM720905 ILH720905:ILI720905 IVD720905:IVE720905 JEZ720905:JFA720905 JOV720905:JOW720905 JYR720905:JYS720905 KIN720905:KIO720905 KSJ720905:KSK720905 LCF720905:LCG720905 LMB720905:LMC720905 LVX720905:LVY720905 MFT720905:MFU720905 MPP720905:MPQ720905 MZL720905:MZM720905 NJH720905:NJI720905 NTD720905:NTE720905 OCZ720905:ODA720905 OMV720905:OMW720905 OWR720905:OWS720905 PGN720905:PGO720905 PQJ720905:PQK720905 QAF720905:QAG720905 QKB720905:QKC720905 QTX720905:QTY720905 RDT720905:RDU720905 RNP720905:RNQ720905 RXL720905:RXM720905 SHH720905:SHI720905 SRD720905:SRE720905 TAZ720905:TBA720905 TKV720905:TKW720905 TUR720905:TUS720905 UEN720905:UEO720905 UOJ720905:UOK720905 UYF720905:UYG720905 VIB720905:VIC720905 VRX720905:VRY720905 WBT720905:WBU720905 WLP720905:WLQ720905 WVL720905:WVM720905 D786441:E786441 IZ786441:JA786441 SV786441:SW786441 ACR786441:ACS786441 AMN786441:AMO786441 AWJ786441:AWK786441 BGF786441:BGG786441 BQB786441:BQC786441 BZX786441:BZY786441 CJT786441:CJU786441 CTP786441:CTQ786441 DDL786441:DDM786441 DNH786441:DNI786441 DXD786441:DXE786441 EGZ786441:EHA786441 EQV786441:EQW786441 FAR786441:FAS786441 FKN786441:FKO786441 FUJ786441:FUK786441 GEF786441:GEG786441 GOB786441:GOC786441 GXX786441:GXY786441 HHT786441:HHU786441 HRP786441:HRQ786441 IBL786441:IBM786441 ILH786441:ILI786441 IVD786441:IVE786441 JEZ786441:JFA786441 JOV786441:JOW786441 JYR786441:JYS786441 KIN786441:KIO786441 KSJ786441:KSK786441 LCF786441:LCG786441 LMB786441:LMC786441 LVX786441:LVY786441 MFT786441:MFU786441 MPP786441:MPQ786441 MZL786441:MZM786441 NJH786441:NJI786441 NTD786441:NTE786441 OCZ786441:ODA786441 OMV786441:OMW786441 OWR786441:OWS786441 PGN786441:PGO786441 PQJ786441:PQK786441 QAF786441:QAG786441 QKB786441:QKC786441 QTX786441:QTY786441 RDT786441:RDU786441 RNP786441:RNQ786441 RXL786441:RXM786441 SHH786441:SHI786441 SRD786441:SRE786441 TAZ786441:TBA786441 TKV786441:TKW786441 TUR786441:TUS786441 UEN786441:UEO786441 UOJ786441:UOK786441 UYF786441:UYG786441 VIB786441:VIC786441 VRX786441:VRY786441 WBT786441:WBU786441 WLP786441:WLQ786441 WVL786441:WVM786441 D851977:E851977 IZ851977:JA851977 SV851977:SW851977 ACR851977:ACS851977 AMN851977:AMO851977 AWJ851977:AWK851977 BGF851977:BGG851977 BQB851977:BQC851977 BZX851977:BZY851977 CJT851977:CJU851977 CTP851977:CTQ851977 DDL851977:DDM851977 DNH851977:DNI851977 DXD851977:DXE851977 EGZ851977:EHA851977 EQV851977:EQW851977 FAR851977:FAS851977 FKN851977:FKO851977 FUJ851977:FUK851977 GEF851977:GEG851977 GOB851977:GOC851977 GXX851977:GXY851977 HHT851977:HHU851977 HRP851977:HRQ851977 IBL851977:IBM851977 ILH851977:ILI851977 IVD851977:IVE851977 JEZ851977:JFA851977 JOV851977:JOW851977 JYR851977:JYS851977 KIN851977:KIO851977 KSJ851977:KSK851977 LCF851977:LCG851977 LMB851977:LMC851977 LVX851977:LVY851977 MFT851977:MFU851977 MPP851977:MPQ851977 MZL851977:MZM851977 NJH851977:NJI851977 NTD851977:NTE851977 OCZ851977:ODA851977 OMV851977:OMW851977 OWR851977:OWS851977 PGN851977:PGO851977 PQJ851977:PQK851977 QAF851977:QAG851977 QKB851977:QKC851977 QTX851977:QTY851977 RDT851977:RDU851977 RNP851977:RNQ851977 RXL851977:RXM851977 SHH851977:SHI851977 SRD851977:SRE851977 TAZ851977:TBA851977 TKV851977:TKW851977 TUR851977:TUS851977 UEN851977:UEO851977 UOJ851977:UOK851977 UYF851977:UYG851977 VIB851977:VIC851977 VRX851977:VRY851977 WBT851977:WBU851977 WLP851977:WLQ851977 WVL851977:WVM851977 D917513:E917513 IZ917513:JA917513 SV917513:SW917513 ACR917513:ACS917513 AMN917513:AMO917513 AWJ917513:AWK917513 BGF917513:BGG917513 BQB917513:BQC917513 BZX917513:BZY917513 CJT917513:CJU917513 CTP917513:CTQ917513 DDL917513:DDM917513 DNH917513:DNI917513 DXD917513:DXE917513 EGZ917513:EHA917513 EQV917513:EQW917513 FAR917513:FAS917513 FKN917513:FKO917513 FUJ917513:FUK917513 GEF917513:GEG917513 GOB917513:GOC917513 GXX917513:GXY917513 HHT917513:HHU917513 HRP917513:HRQ917513 IBL917513:IBM917513 ILH917513:ILI917513 IVD917513:IVE917513 JEZ917513:JFA917513 JOV917513:JOW917513 JYR917513:JYS917513 KIN917513:KIO917513 KSJ917513:KSK917513 LCF917513:LCG917513 LMB917513:LMC917513 LVX917513:LVY917513 MFT917513:MFU917513 MPP917513:MPQ917513 MZL917513:MZM917513 NJH917513:NJI917513 NTD917513:NTE917513 OCZ917513:ODA917513 OMV917513:OMW917513 OWR917513:OWS917513 PGN917513:PGO917513 PQJ917513:PQK917513 QAF917513:QAG917513 QKB917513:QKC917513 QTX917513:QTY917513 RDT917513:RDU917513 RNP917513:RNQ917513 RXL917513:RXM917513 SHH917513:SHI917513 SRD917513:SRE917513 TAZ917513:TBA917513 TKV917513:TKW917513 TUR917513:TUS917513 UEN917513:UEO917513 UOJ917513:UOK917513 UYF917513:UYG917513 VIB917513:VIC917513 VRX917513:VRY917513 WBT917513:WBU917513 WLP917513:WLQ917513 WVL917513:WVM917513 D983049:E983049 IZ983049:JA983049 SV983049:SW983049 ACR983049:ACS983049 AMN983049:AMO983049 AWJ983049:AWK983049 BGF983049:BGG983049 BQB983049:BQC983049 BZX983049:BZY983049 CJT983049:CJU983049 CTP983049:CTQ983049 DDL983049:DDM983049 DNH983049:DNI983049 DXD983049:DXE983049 EGZ983049:EHA983049 EQV983049:EQW983049 FAR983049:FAS983049 FKN983049:FKO983049 FUJ983049:FUK983049 GEF983049:GEG983049 GOB983049:GOC983049 GXX983049:GXY983049 HHT983049:HHU983049 HRP983049:HRQ983049 IBL983049:IBM983049 ILH983049:ILI983049 IVD983049:IVE983049 JEZ983049:JFA983049 JOV983049:JOW983049 JYR983049:JYS983049 KIN983049:KIO983049 KSJ983049:KSK983049 LCF983049:LCG983049 LMB983049:LMC983049 LVX983049:LVY983049 MFT983049:MFU983049 MPP983049:MPQ983049 MZL983049:MZM983049 NJH983049:NJI983049 NTD983049:NTE983049 OCZ983049:ODA983049 OMV983049:OMW983049 OWR983049:OWS983049 PGN983049:PGO983049 PQJ983049:PQK983049 QAF983049:QAG983049 QKB983049:QKC983049 QTX983049:QTY983049 RDT983049:RDU983049 RNP983049:RNQ983049 RXL983049:RXM983049 SHH983049:SHI983049 SRD983049:SRE983049 TAZ983049:TBA983049 TKV983049:TKW983049 TUR983049:TUS983049 UEN983049:UEO983049 UOJ983049:UOK983049 UYF983049:UYG983049 VIB983049:VIC983049 VRX983049:VRY983049 WBT983049:WBU983049 WLP983049:WLQ983049 WVL983049:WVM983049" xr:uid="{519A7A35-7695-4AFE-91A8-1A0EA8E94DDA}">
      <formula1>"Core1,Core2,Core3,Core4,Core5,Core6,Core7"</formula1>
    </dataValidation>
    <dataValidation type="list" allowBlank="1" showInputMessage="1" showErrorMessage="1" sqref="D174 IZ174 SV174 ACR174 AMN174 AWJ174 BGF174 BQB174 BZX174 CJT174 CTP174 DDL174 DNH174 DXD174 EGZ174 EQV174 FAR174 FKN174 FUJ174 GEF174 GOB174 GXX174 HHT174 HRP174 IBL174 ILH174 IVD174 JEZ174 JOV174 JYR174 KIN174 KSJ174 LCF174 LMB174 LVX174 MFT174 MPP174 MZL174 NJH174 NTD174 OCZ174 OMV174 OWR174 PGN174 PQJ174 QAF174 QKB174 QTX174 RDT174 RNP174 RXL174 SHH174 SRD174 TAZ174 TKV174 TUR174 UEN174 UOJ174 UYF174 VIB174 VRX174 WBT174 WLP174 WVL174 D65710 IZ65710 SV65710 ACR65710 AMN65710 AWJ65710 BGF65710 BQB65710 BZX65710 CJT65710 CTP65710 DDL65710 DNH65710 DXD65710 EGZ65710 EQV65710 FAR65710 FKN65710 FUJ65710 GEF65710 GOB65710 GXX65710 HHT65710 HRP65710 IBL65710 ILH65710 IVD65710 JEZ65710 JOV65710 JYR65710 KIN65710 KSJ65710 LCF65710 LMB65710 LVX65710 MFT65710 MPP65710 MZL65710 NJH65710 NTD65710 OCZ65710 OMV65710 OWR65710 PGN65710 PQJ65710 QAF65710 QKB65710 QTX65710 RDT65710 RNP65710 RXL65710 SHH65710 SRD65710 TAZ65710 TKV65710 TUR65710 UEN65710 UOJ65710 UYF65710 VIB65710 VRX65710 WBT65710 WLP65710 WVL65710 D131246 IZ131246 SV131246 ACR131246 AMN131246 AWJ131246 BGF131246 BQB131246 BZX131246 CJT131246 CTP131246 DDL131246 DNH131246 DXD131246 EGZ131246 EQV131246 FAR131246 FKN131246 FUJ131246 GEF131246 GOB131246 GXX131246 HHT131246 HRP131246 IBL131246 ILH131246 IVD131246 JEZ131246 JOV131246 JYR131246 KIN131246 KSJ131246 LCF131246 LMB131246 LVX131246 MFT131246 MPP131246 MZL131246 NJH131246 NTD131246 OCZ131246 OMV131246 OWR131246 PGN131246 PQJ131246 QAF131246 QKB131246 QTX131246 RDT131246 RNP131246 RXL131246 SHH131246 SRD131246 TAZ131246 TKV131246 TUR131246 UEN131246 UOJ131246 UYF131246 VIB131246 VRX131246 WBT131246 WLP131246 WVL131246 D196782 IZ196782 SV196782 ACR196782 AMN196782 AWJ196782 BGF196782 BQB196782 BZX196782 CJT196782 CTP196782 DDL196782 DNH196782 DXD196782 EGZ196782 EQV196782 FAR196782 FKN196782 FUJ196782 GEF196782 GOB196782 GXX196782 HHT196782 HRP196782 IBL196782 ILH196782 IVD196782 JEZ196782 JOV196782 JYR196782 KIN196782 KSJ196782 LCF196782 LMB196782 LVX196782 MFT196782 MPP196782 MZL196782 NJH196782 NTD196782 OCZ196782 OMV196782 OWR196782 PGN196782 PQJ196782 QAF196782 QKB196782 QTX196782 RDT196782 RNP196782 RXL196782 SHH196782 SRD196782 TAZ196782 TKV196782 TUR196782 UEN196782 UOJ196782 UYF196782 VIB196782 VRX196782 WBT196782 WLP196782 WVL196782 D262318 IZ262318 SV262318 ACR262318 AMN262318 AWJ262318 BGF262318 BQB262318 BZX262318 CJT262318 CTP262318 DDL262318 DNH262318 DXD262318 EGZ262318 EQV262318 FAR262318 FKN262318 FUJ262318 GEF262318 GOB262318 GXX262318 HHT262318 HRP262318 IBL262318 ILH262318 IVD262318 JEZ262318 JOV262318 JYR262318 KIN262318 KSJ262318 LCF262318 LMB262318 LVX262318 MFT262318 MPP262318 MZL262318 NJH262318 NTD262318 OCZ262318 OMV262318 OWR262318 PGN262318 PQJ262318 QAF262318 QKB262318 QTX262318 RDT262318 RNP262318 RXL262318 SHH262318 SRD262318 TAZ262318 TKV262318 TUR262318 UEN262318 UOJ262318 UYF262318 VIB262318 VRX262318 WBT262318 WLP262318 WVL262318 D327854 IZ327854 SV327854 ACR327854 AMN327854 AWJ327854 BGF327854 BQB327854 BZX327854 CJT327854 CTP327854 DDL327854 DNH327854 DXD327854 EGZ327854 EQV327854 FAR327854 FKN327854 FUJ327854 GEF327854 GOB327854 GXX327854 HHT327854 HRP327854 IBL327854 ILH327854 IVD327854 JEZ327854 JOV327854 JYR327854 KIN327854 KSJ327854 LCF327854 LMB327854 LVX327854 MFT327854 MPP327854 MZL327854 NJH327854 NTD327854 OCZ327854 OMV327854 OWR327854 PGN327854 PQJ327854 QAF327854 QKB327854 QTX327854 RDT327854 RNP327854 RXL327854 SHH327854 SRD327854 TAZ327854 TKV327854 TUR327854 UEN327854 UOJ327854 UYF327854 VIB327854 VRX327854 WBT327854 WLP327854 WVL327854 D393390 IZ393390 SV393390 ACR393390 AMN393390 AWJ393390 BGF393390 BQB393390 BZX393390 CJT393390 CTP393390 DDL393390 DNH393390 DXD393390 EGZ393390 EQV393390 FAR393390 FKN393390 FUJ393390 GEF393390 GOB393390 GXX393390 HHT393390 HRP393390 IBL393390 ILH393390 IVD393390 JEZ393390 JOV393390 JYR393390 KIN393390 KSJ393390 LCF393390 LMB393390 LVX393390 MFT393390 MPP393390 MZL393390 NJH393390 NTD393390 OCZ393390 OMV393390 OWR393390 PGN393390 PQJ393390 QAF393390 QKB393390 QTX393390 RDT393390 RNP393390 RXL393390 SHH393390 SRD393390 TAZ393390 TKV393390 TUR393390 UEN393390 UOJ393390 UYF393390 VIB393390 VRX393390 WBT393390 WLP393390 WVL393390 D458926 IZ458926 SV458926 ACR458926 AMN458926 AWJ458926 BGF458926 BQB458926 BZX458926 CJT458926 CTP458926 DDL458926 DNH458926 DXD458926 EGZ458926 EQV458926 FAR458926 FKN458926 FUJ458926 GEF458926 GOB458926 GXX458926 HHT458926 HRP458926 IBL458926 ILH458926 IVD458926 JEZ458926 JOV458926 JYR458926 KIN458926 KSJ458926 LCF458926 LMB458926 LVX458926 MFT458926 MPP458926 MZL458926 NJH458926 NTD458926 OCZ458926 OMV458926 OWR458926 PGN458926 PQJ458926 QAF458926 QKB458926 QTX458926 RDT458926 RNP458926 RXL458926 SHH458926 SRD458926 TAZ458926 TKV458926 TUR458926 UEN458926 UOJ458926 UYF458926 VIB458926 VRX458926 WBT458926 WLP458926 WVL458926 D524462 IZ524462 SV524462 ACR524462 AMN524462 AWJ524462 BGF524462 BQB524462 BZX524462 CJT524462 CTP524462 DDL524462 DNH524462 DXD524462 EGZ524462 EQV524462 FAR524462 FKN524462 FUJ524462 GEF524462 GOB524462 GXX524462 HHT524462 HRP524462 IBL524462 ILH524462 IVD524462 JEZ524462 JOV524462 JYR524462 KIN524462 KSJ524462 LCF524462 LMB524462 LVX524462 MFT524462 MPP524462 MZL524462 NJH524462 NTD524462 OCZ524462 OMV524462 OWR524462 PGN524462 PQJ524462 QAF524462 QKB524462 QTX524462 RDT524462 RNP524462 RXL524462 SHH524462 SRD524462 TAZ524462 TKV524462 TUR524462 UEN524462 UOJ524462 UYF524462 VIB524462 VRX524462 WBT524462 WLP524462 WVL524462 D589998 IZ589998 SV589998 ACR589998 AMN589998 AWJ589998 BGF589998 BQB589998 BZX589998 CJT589998 CTP589998 DDL589998 DNH589998 DXD589998 EGZ589998 EQV589998 FAR589998 FKN589998 FUJ589998 GEF589998 GOB589998 GXX589998 HHT589998 HRP589998 IBL589998 ILH589998 IVD589998 JEZ589998 JOV589998 JYR589998 KIN589998 KSJ589998 LCF589998 LMB589998 LVX589998 MFT589998 MPP589998 MZL589998 NJH589998 NTD589998 OCZ589998 OMV589998 OWR589998 PGN589998 PQJ589998 QAF589998 QKB589998 QTX589998 RDT589998 RNP589998 RXL589998 SHH589998 SRD589998 TAZ589998 TKV589998 TUR589998 UEN589998 UOJ589998 UYF589998 VIB589998 VRX589998 WBT589998 WLP589998 WVL589998 D655534 IZ655534 SV655534 ACR655534 AMN655534 AWJ655534 BGF655534 BQB655534 BZX655534 CJT655534 CTP655534 DDL655534 DNH655534 DXD655534 EGZ655534 EQV655534 FAR655534 FKN655534 FUJ655534 GEF655534 GOB655534 GXX655534 HHT655534 HRP655534 IBL655534 ILH655534 IVD655534 JEZ655534 JOV655534 JYR655534 KIN655534 KSJ655534 LCF655534 LMB655534 LVX655534 MFT655534 MPP655534 MZL655534 NJH655534 NTD655534 OCZ655534 OMV655534 OWR655534 PGN655534 PQJ655534 QAF655534 QKB655534 QTX655534 RDT655534 RNP655534 RXL655534 SHH655534 SRD655534 TAZ655534 TKV655534 TUR655534 UEN655534 UOJ655534 UYF655534 VIB655534 VRX655534 WBT655534 WLP655534 WVL655534 D721070 IZ721070 SV721070 ACR721070 AMN721070 AWJ721070 BGF721070 BQB721070 BZX721070 CJT721070 CTP721070 DDL721070 DNH721070 DXD721070 EGZ721070 EQV721070 FAR721070 FKN721070 FUJ721070 GEF721070 GOB721070 GXX721070 HHT721070 HRP721070 IBL721070 ILH721070 IVD721070 JEZ721070 JOV721070 JYR721070 KIN721070 KSJ721070 LCF721070 LMB721070 LVX721070 MFT721070 MPP721070 MZL721070 NJH721070 NTD721070 OCZ721070 OMV721070 OWR721070 PGN721070 PQJ721070 QAF721070 QKB721070 QTX721070 RDT721070 RNP721070 RXL721070 SHH721070 SRD721070 TAZ721070 TKV721070 TUR721070 UEN721070 UOJ721070 UYF721070 VIB721070 VRX721070 WBT721070 WLP721070 WVL721070 D786606 IZ786606 SV786606 ACR786606 AMN786606 AWJ786606 BGF786606 BQB786606 BZX786606 CJT786606 CTP786606 DDL786606 DNH786606 DXD786606 EGZ786606 EQV786606 FAR786606 FKN786606 FUJ786606 GEF786606 GOB786606 GXX786606 HHT786606 HRP786606 IBL786606 ILH786606 IVD786606 JEZ786606 JOV786606 JYR786606 KIN786606 KSJ786606 LCF786606 LMB786606 LVX786606 MFT786606 MPP786606 MZL786606 NJH786606 NTD786606 OCZ786606 OMV786606 OWR786606 PGN786606 PQJ786606 QAF786606 QKB786606 QTX786606 RDT786606 RNP786606 RXL786606 SHH786606 SRD786606 TAZ786606 TKV786606 TUR786606 UEN786606 UOJ786606 UYF786606 VIB786606 VRX786606 WBT786606 WLP786606 WVL786606 D852142 IZ852142 SV852142 ACR852142 AMN852142 AWJ852142 BGF852142 BQB852142 BZX852142 CJT852142 CTP852142 DDL852142 DNH852142 DXD852142 EGZ852142 EQV852142 FAR852142 FKN852142 FUJ852142 GEF852142 GOB852142 GXX852142 HHT852142 HRP852142 IBL852142 ILH852142 IVD852142 JEZ852142 JOV852142 JYR852142 KIN852142 KSJ852142 LCF852142 LMB852142 LVX852142 MFT852142 MPP852142 MZL852142 NJH852142 NTD852142 OCZ852142 OMV852142 OWR852142 PGN852142 PQJ852142 QAF852142 QKB852142 QTX852142 RDT852142 RNP852142 RXL852142 SHH852142 SRD852142 TAZ852142 TKV852142 TUR852142 UEN852142 UOJ852142 UYF852142 VIB852142 VRX852142 WBT852142 WLP852142 WVL852142 D917678 IZ917678 SV917678 ACR917678 AMN917678 AWJ917678 BGF917678 BQB917678 BZX917678 CJT917678 CTP917678 DDL917678 DNH917678 DXD917678 EGZ917678 EQV917678 FAR917678 FKN917678 FUJ917678 GEF917678 GOB917678 GXX917678 HHT917678 HRP917678 IBL917678 ILH917678 IVD917678 JEZ917678 JOV917678 JYR917678 KIN917678 KSJ917678 LCF917678 LMB917678 LVX917678 MFT917678 MPP917678 MZL917678 NJH917678 NTD917678 OCZ917678 OMV917678 OWR917678 PGN917678 PQJ917678 QAF917678 QKB917678 QTX917678 RDT917678 RNP917678 RXL917678 SHH917678 SRD917678 TAZ917678 TKV917678 TUR917678 UEN917678 UOJ917678 UYF917678 VIB917678 VRX917678 WBT917678 WLP917678 WVL917678 D983214 IZ983214 SV983214 ACR983214 AMN983214 AWJ983214 BGF983214 BQB983214 BZX983214 CJT983214 CTP983214 DDL983214 DNH983214 DXD983214 EGZ983214 EQV983214 FAR983214 FKN983214 FUJ983214 GEF983214 GOB983214 GXX983214 HHT983214 HRP983214 IBL983214 ILH983214 IVD983214 JEZ983214 JOV983214 JYR983214 KIN983214 KSJ983214 LCF983214 LMB983214 LVX983214 MFT983214 MPP983214 MZL983214 NJH983214 NTD983214 OCZ983214 OMV983214 OWR983214 PGN983214 PQJ983214 QAF983214 QKB983214 QTX983214 RDT983214 RNP983214 RXL983214 SHH983214 SRD983214 TAZ983214 TKV983214 TUR983214 UEN983214 UOJ983214 UYF983214 VIB983214 VRX983214 WBT983214 WLP983214 WVL983214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8 IZ65628 SV65628 ACR65628 AMN65628 AWJ65628 BGF65628 BQB65628 BZX65628 CJT65628 CTP65628 DDL65628 DNH65628 DXD65628 EGZ65628 EQV65628 FAR65628 FKN65628 FUJ65628 GEF65628 GOB65628 GXX65628 HHT65628 HRP65628 IBL65628 ILH65628 IVD65628 JEZ65628 JOV65628 JYR65628 KIN65628 KSJ65628 LCF65628 LMB65628 LVX65628 MFT65628 MPP65628 MZL65628 NJH65628 NTD65628 OCZ65628 OMV65628 OWR65628 PGN65628 PQJ65628 QAF65628 QKB65628 QTX65628 RDT65628 RNP65628 RXL65628 SHH65628 SRD65628 TAZ65628 TKV65628 TUR65628 UEN65628 UOJ65628 UYF65628 VIB65628 VRX65628 WBT65628 WLP65628 WVL65628 D131164 IZ131164 SV131164 ACR131164 AMN131164 AWJ131164 BGF131164 BQB131164 BZX131164 CJT131164 CTP131164 DDL131164 DNH131164 DXD131164 EGZ131164 EQV131164 FAR131164 FKN131164 FUJ131164 GEF131164 GOB131164 GXX131164 HHT131164 HRP131164 IBL131164 ILH131164 IVD131164 JEZ131164 JOV131164 JYR131164 KIN131164 KSJ131164 LCF131164 LMB131164 LVX131164 MFT131164 MPP131164 MZL131164 NJH131164 NTD131164 OCZ131164 OMV131164 OWR131164 PGN131164 PQJ131164 QAF131164 QKB131164 QTX131164 RDT131164 RNP131164 RXL131164 SHH131164 SRD131164 TAZ131164 TKV131164 TUR131164 UEN131164 UOJ131164 UYF131164 VIB131164 VRX131164 WBT131164 WLP131164 WVL131164 D196700 IZ196700 SV196700 ACR196700 AMN196700 AWJ196700 BGF196700 BQB196700 BZX196700 CJT196700 CTP196700 DDL196700 DNH196700 DXD196700 EGZ196700 EQV196700 FAR196700 FKN196700 FUJ196700 GEF196700 GOB196700 GXX196700 HHT196700 HRP196700 IBL196700 ILH196700 IVD196700 JEZ196700 JOV196700 JYR196700 KIN196700 KSJ196700 LCF196700 LMB196700 LVX196700 MFT196700 MPP196700 MZL196700 NJH196700 NTD196700 OCZ196700 OMV196700 OWR196700 PGN196700 PQJ196700 QAF196700 QKB196700 QTX196700 RDT196700 RNP196700 RXL196700 SHH196700 SRD196700 TAZ196700 TKV196700 TUR196700 UEN196700 UOJ196700 UYF196700 VIB196700 VRX196700 WBT196700 WLP196700 WVL196700 D262236 IZ262236 SV262236 ACR262236 AMN262236 AWJ262236 BGF262236 BQB262236 BZX262236 CJT262236 CTP262236 DDL262236 DNH262236 DXD262236 EGZ262236 EQV262236 FAR262236 FKN262236 FUJ262236 GEF262236 GOB262236 GXX262236 HHT262236 HRP262236 IBL262236 ILH262236 IVD262236 JEZ262236 JOV262236 JYR262236 KIN262236 KSJ262236 LCF262236 LMB262236 LVX262236 MFT262236 MPP262236 MZL262236 NJH262236 NTD262236 OCZ262236 OMV262236 OWR262236 PGN262236 PQJ262236 QAF262236 QKB262236 QTX262236 RDT262236 RNP262236 RXL262236 SHH262236 SRD262236 TAZ262236 TKV262236 TUR262236 UEN262236 UOJ262236 UYF262236 VIB262236 VRX262236 WBT262236 WLP262236 WVL262236 D327772 IZ327772 SV327772 ACR327772 AMN327772 AWJ327772 BGF327772 BQB327772 BZX327772 CJT327772 CTP327772 DDL327772 DNH327772 DXD327772 EGZ327772 EQV327772 FAR327772 FKN327772 FUJ327772 GEF327772 GOB327772 GXX327772 HHT327772 HRP327772 IBL327772 ILH327772 IVD327772 JEZ327772 JOV327772 JYR327772 KIN327772 KSJ327772 LCF327772 LMB327772 LVX327772 MFT327772 MPP327772 MZL327772 NJH327772 NTD327772 OCZ327772 OMV327772 OWR327772 PGN327772 PQJ327772 QAF327772 QKB327772 QTX327772 RDT327772 RNP327772 RXL327772 SHH327772 SRD327772 TAZ327772 TKV327772 TUR327772 UEN327772 UOJ327772 UYF327772 VIB327772 VRX327772 WBT327772 WLP327772 WVL327772 D393308 IZ393308 SV393308 ACR393308 AMN393308 AWJ393308 BGF393308 BQB393308 BZX393308 CJT393308 CTP393308 DDL393308 DNH393308 DXD393308 EGZ393308 EQV393308 FAR393308 FKN393308 FUJ393308 GEF393308 GOB393308 GXX393308 HHT393308 HRP393308 IBL393308 ILH393308 IVD393308 JEZ393308 JOV393308 JYR393308 KIN393308 KSJ393308 LCF393308 LMB393308 LVX393308 MFT393308 MPP393308 MZL393308 NJH393308 NTD393308 OCZ393308 OMV393308 OWR393308 PGN393308 PQJ393308 QAF393308 QKB393308 QTX393308 RDT393308 RNP393308 RXL393308 SHH393308 SRD393308 TAZ393308 TKV393308 TUR393308 UEN393308 UOJ393308 UYF393308 VIB393308 VRX393308 WBT393308 WLP393308 WVL393308 D458844 IZ458844 SV458844 ACR458844 AMN458844 AWJ458844 BGF458844 BQB458844 BZX458844 CJT458844 CTP458844 DDL458844 DNH458844 DXD458844 EGZ458844 EQV458844 FAR458844 FKN458844 FUJ458844 GEF458844 GOB458844 GXX458844 HHT458844 HRP458844 IBL458844 ILH458844 IVD458844 JEZ458844 JOV458844 JYR458844 KIN458844 KSJ458844 LCF458844 LMB458844 LVX458844 MFT458844 MPP458844 MZL458844 NJH458844 NTD458844 OCZ458844 OMV458844 OWR458844 PGN458844 PQJ458844 QAF458844 QKB458844 QTX458844 RDT458844 RNP458844 RXL458844 SHH458844 SRD458844 TAZ458844 TKV458844 TUR458844 UEN458844 UOJ458844 UYF458844 VIB458844 VRX458844 WBT458844 WLP458844 WVL458844 D524380 IZ524380 SV524380 ACR524380 AMN524380 AWJ524380 BGF524380 BQB524380 BZX524380 CJT524380 CTP524380 DDL524380 DNH524380 DXD524380 EGZ524380 EQV524380 FAR524380 FKN524380 FUJ524380 GEF524380 GOB524380 GXX524380 HHT524380 HRP524380 IBL524380 ILH524380 IVD524380 JEZ524380 JOV524380 JYR524380 KIN524380 KSJ524380 LCF524380 LMB524380 LVX524380 MFT524380 MPP524380 MZL524380 NJH524380 NTD524380 OCZ524380 OMV524380 OWR524380 PGN524380 PQJ524380 QAF524380 QKB524380 QTX524380 RDT524380 RNP524380 RXL524380 SHH524380 SRD524380 TAZ524380 TKV524380 TUR524380 UEN524380 UOJ524380 UYF524380 VIB524380 VRX524380 WBT524380 WLP524380 WVL524380 D589916 IZ589916 SV589916 ACR589916 AMN589916 AWJ589916 BGF589916 BQB589916 BZX589916 CJT589916 CTP589916 DDL589916 DNH589916 DXD589916 EGZ589916 EQV589916 FAR589916 FKN589916 FUJ589916 GEF589916 GOB589916 GXX589916 HHT589916 HRP589916 IBL589916 ILH589916 IVD589916 JEZ589916 JOV589916 JYR589916 KIN589916 KSJ589916 LCF589916 LMB589916 LVX589916 MFT589916 MPP589916 MZL589916 NJH589916 NTD589916 OCZ589916 OMV589916 OWR589916 PGN589916 PQJ589916 QAF589916 QKB589916 QTX589916 RDT589916 RNP589916 RXL589916 SHH589916 SRD589916 TAZ589916 TKV589916 TUR589916 UEN589916 UOJ589916 UYF589916 VIB589916 VRX589916 WBT589916 WLP589916 WVL589916 D655452 IZ655452 SV655452 ACR655452 AMN655452 AWJ655452 BGF655452 BQB655452 BZX655452 CJT655452 CTP655452 DDL655452 DNH655452 DXD655452 EGZ655452 EQV655452 FAR655452 FKN655452 FUJ655452 GEF655452 GOB655452 GXX655452 HHT655452 HRP655452 IBL655452 ILH655452 IVD655452 JEZ655452 JOV655452 JYR655452 KIN655452 KSJ655452 LCF655452 LMB655452 LVX655452 MFT655452 MPP655452 MZL655452 NJH655452 NTD655452 OCZ655452 OMV655452 OWR655452 PGN655452 PQJ655452 QAF655452 QKB655452 QTX655452 RDT655452 RNP655452 RXL655452 SHH655452 SRD655452 TAZ655452 TKV655452 TUR655452 UEN655452 UOJ655452 UYF655452 VIB655452 VRX655452 WBT655452 WLP655452 WVL655452 D720988 IZ720988 SV720988 ACR720988 AMN720988 AWJ720988 BGF720988 BQB720988 BZX720988 CJT720988 CTP720988 DDL720988 DNH720988 DXD720988 EGZ720988 EQV720988 FAR720988 FKN720988 FUJ720988 GEF720988 GOB720988 GXX720988 HHT720988 HRP720988 IBL720988 ILH720988 IVD720988 JEZ720988 JOV720988 JYR720988 KIN720988 KSJ720988 LCF720988 LMB720988 LVX720988 MFT720988 MPP720988 MZL720988 NJH720988 NTD720988 OCZ720988 OMV720988 OWR720988 PGN720988 PQJ720988 QAF720988 QKB720988 QTX720988 RDT720988 RNP720988 RXL720988 SHH720988 SRD720988 TAZ720988 TKV720988 TUR720988 UEN720988 UOJ720988 UYF720988 VIB720988 VRX720988 WBT720988 WLP720988 WVL720988 D786524 IZ786524 SV786524 ACR786524 AMN786524 AWJ786524 BGF786524 BQB786524 BZX786524 CJT786524 CTP786524 DDL786524 DNH786524 DXD786524 EGZ786524 EQV786524 FAR786524 FKN786524 FUJ786524 GEF786524 GOB786524 GXX786524 HHT786524 HRP786524 IBL786524 ILH786524 IVD786524 JEZ786524 JOV786524 JYR786524 KIN786524 KSJ786524 LCF786524 LMB786524 LVX786524 MFT786524 MPP786524 MZL786524 NJH786524 NTD786524 OCZ786524 OMV786524 OWR786524 PGN786524 PQJ786524 QAF786524 QKB786524 QTX786524 RDT786524 RNP786524 RXL786524 SHH786524 SRD786524 TAZ786524 TKV786524 TUR786524 UEN786524 UOJ786524 UYF786524 VIB786524 VRX786524 WBT786524 WLP786524 WVL786524 D852060 IZ852060 SV852060 ACR852060 AMN852060 AWJ852060 BGF852060 BQB852060 BZX852060 CJT852060 CTP852060 DDL852060 DNH852060 DXD852060 EGZ852060 EQV852060 FAR852060 FKN852060 FUJ852060 GEF852060 GOB852060 GXX852060 HHT852060 HRP852060 IBL852060 ILH852060 IVD852060 JEZ852060 JOV852060 JYR852060 KIN852060 KSJ852060 LCF852060 LMB852060 LVX852060 MFT852060 MPP852060 MZL852060 NJH852060 NTD852060 OCZ852060 OMV852060 OWR852060 PGN852060 PQJ852060 QAF852060 QKB852060 QTX852060 RDT852060 RNP852060 RXL852060 SHH852060 SRD852060 TAZ852060 TKV852060 TUR852060 UEN852060 UOJ852060 UYF852060 VIB852060 VRX852060 WBT852060 WLP852060 WVL852060 D917596 IZ917596 SV917596 ACR917596 AMN917596 AWJ917596 BGF917596 BQB917596 BZX917596 CJT917596 CTP917596 DDL917596 DNH917596 DXD917596 EGZ917596 EQV917596 FAR917596 FKN917596 FUJ917596 GEF917596 GOB917596 GXX917596 HHT917596 HRP917596 IBL917596 ILH917596 IVD917596 JEZ917596 JOV917596 JYR917596 KIN917596 KSJ917596 LCF917596 LMB917596 LVX917596 MFT917596 MPP917596 MZL917596 NJH917596 NTD917596 OCZ917596 OMV917596 OWR917596 PGN917596 PQJ917596 QAF917596 QKB917596 QTX917596 RDT917596 RNP917596 RXL917596 SHH917596 SRD917596 TAZ917596 TKV917596 TUR917596 UEN917596 UOJ917596 UYF917596 VIB917596 VRX917596 WBT917596 WLP917596 WVL917596 D983132 IZ983132 SV983132 ACR983132 AMN983132 AWJ983132 BGF983132 BQB983132 BZX983132 CJT983132 CTP983132 DDL983132 DNH983132 DXD983132 EGZ983132 EQV983132 FAR983132 FKN983132 FUJ983132 GEF983132 GOB983132 GXX983132 HHT983132 HRP983132 IBL983132 ILH983132 IVD983132 JEZ983132 JOV983132 JYR983132 KIN983132 KSJ983132 LCF983132 LMB983132 LVX983132 MFT983132 MPP983132 MZL983132 NJH983132 NTD983132 OCZ983132 OMV983132 OWR983132 PGN983132 PQJ983132 QAF983132 QKB983132 QTX983132 RDT983132 RNP983132 RXL983132 SHH983132 SRD983132 TAZ983132 TKV983132 TUR983132 UEN983132 UOJ983132 UYF983132 VIB983132 VRX983132 WBT983132 WLP983132 WVL983132" xr:uid="{3CF23419-6E63-404E-AF13-923A8FBBBFD6}">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7" max="21" man="1"/>
    <brk id="128" max="21" man="1"/>
    <brk id="260"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16" zoomScaleNormal="100" zoomScaleSheetLayoutView="100" workbookViewId="0">
      <selection activeCell="L79" sqref="L79"/>
    </sheetView>
  </sheetViews>
  <sheetFormatPr defaultColWidth="4.33203125" defaultRowHeight="18" customHeight="1"/>
  <cols>
    <col min="1"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1292" t="str">
        <f>Title!R3</f>
        <v>-</v>
      </c>
      <c r="S3" s="1293"/>
      <c r="T3" s="1293"/>
      <c r="U3" s="1293"/>
      <c r="V3" s="1294"/>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[4]Title!D5</f>
        <v>Checked By</v>
      </c>
      <c r="E5" s="881"/>
      <c r="F5" s="943"/>
      <c r="G5" s="25" t="str">
        <f>[4]Title!G5</f>
        <v>LN</v>
      </c>
      <c r="H5" s="1229" t="s">
        <v>891</v>
      </c>
      <c r="I5" s="1230"/>
      <c r="J5" s="1230"/>
      <c r="K5" s="1230"/>
      <c r="L5" s="1230"/>
      <c r="M5" s="1230"/>
      <c r="N5" s="1231"/>
      <c r="O5" s="947" t="str">
        <f>Title!O5</f>
        <v>Contractor</v>
      </c>
      <c r="P5" s="948"/>
      <c r="Q5" s="949"/>
      <c r="R5" s="775" t="str">
        <f>Title!R5</f>
        <v>HITACHI</v>
      </c>
      <c r="S5" s="1068"/>
      <c r="T5" s="1068"/>
      <c r="U5" s="1068"/>
      <c r="V5" s="776"/>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75" t="s">
        <v>385</v>
      </c>
      <c r="E7" s="1076"/>
      <c r="F7" s="255"/>
      <c r="H7" s="689"/>
      <c r="I7" s="684"/>
      <c r="J7" s="684"/>
      <c r="K7" s="684"/>
      <c r="L7" s="684"/>
      <c r="M7" s="684"/>
      <c r="P7" s="186"/>
      <c r="S7" s="187" t="s">
        <v>387</v>
      </c>
      <c r="T7" s="1075" t="s">
        <v>893</v>
      </c>
      <c r="U7" s="1076"/>
      <c r="V7" s="185"/>
    </row>
    <row r="8" spans="1:24" ht="18" customHeight="1">
      <c r="A8" s="184"/>
      <c r="B8"/>
      <c r="C8"/>
      <c r="D8"/>
      <c r="E8"/>
      <c r="F8" s="255"/>
      <c r="T8"/>
      <c r="U8"/>
      <c r="V8" s="185"/>
    </row>
    <row r="9" spans="1:24" ht="18" customHeight="1">
      <c r="A9" s="184"/>
      <c r="H9" s="789" t="s">
        <v>390</v>
      </c>
      <c r="I9" s="789"/>
      <c r="J9" s="790" t="s">
        <v>391</v>
      </c>
      <c r="K9" s="790"/>
      <c r="L9" s="790" t="s">
        <v>392</v>
      </c>
      <c r="M9" s="790"/>
      <c r="T9"/>
      <c r="U9"/>
      <c r="V9" s="185"/>
    </row>
    <row r="10" spans="1:24" ht="18" customHeight="1">
      <c r="A10" s="184"/>
      <c r="B10" s="47" t="s">
        <v>393</v>
      </c>
      <c r="H10" s="1090">
        <v>1250</v>
      </c>
      <c r="I10" s="1091"/>
      <c r="J10" s="1075" t="s">
        <v>6</v>
      </c>
      <c r="K10" s="1076"/>
      <c r="L10" s="1075" t="s">
        <v>6</v>
      </c>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v>750</v>
      </c>
      <c r="I13" s="1076"/>
      <c r="J13" s="14" t="s">
        <v>305</v>
      </c>
      <c r="V13" s="185"/>
      <c r="W13" s="30" t="str">
        <f>G56</f>
        <v>Suitably Dimentioned</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2" ht="18" customHeight="1">
      <c r="A17" s="184"/>
      <c r="V17" s="185"/>
    </row>
    <row r="18" spans="1:22" ht="18" customHeight="1">
      <c r="A18" s="184"/>
      <c r="B18" s="135" t="s">
        <v>405</v>
      </c>
      <c r="C18" s="273"/>
      <c r="D18" s="139" t="str">
        <f>T7</f>
        <v>REF650</v>
      </c>
      <c r="E18" s="227"/>
      <c r="F18" s="227"/>
      <c r="G18" s="227"/>
      <c r="H18" s="138"/>
      <c r="I18" s="260" t="s">
        <v>127</v>
      </c>
      <c r="J18" s="1079">
        <f>'CT-VT Burdens'!Q104</f>
        <v>0.02</v>
      </c>
      <c r="K18" s="1080"/>
      <c r="L18" s="3" t="s">
        <v>157</v>
      </c>
      <c r="N18" s="197" t="s">
        <v>510</v>
      </c>
      <c r="V18" s="185"/>
    </row>
    <row r="19" spans="1:22" ht="18" customHeight="1">
      <c r="A19" s="184"/>
      <c r="B19" s="96" t="s">
        <v>405</v>
      </c>
      <c r="D19" s="296">
        <f>T8</f>
        <v>0</v>
      </c>
      <c r="I19" s="177" t="s">
        <v>127</v>
      </c>
      <c r="J19" s="1232"/>
      <c r="K19" s="1233"/>
      <c r="L19" s="198" t="s">
        <v>157</v>
      </c>
      <c r="P19" s="244"/>
      <c r="V19" s="185"/>
    </row>
    <row r="20" spans="1:22" ht="18" customHeight="1">
      <c r="A20" s="184"/>
      <c r="B20" s="96" t="s">
        <v>405</v>
      </c>
      <c r="C20" s="14"/>
      <c r="D20" s="47">
        <f>T9</f>
        <v>0</v>
      </c>
      <c r="E20" s="14"/>
      <c r="G20" s="199"/>
      <c r="H20" s="27"/>
      <c r="I20" s="101" t="s">
        <v>127</v>
      </c>
      <c r="J20" s="1220"/>
      <c r="K20" s="1221"/>
      <c r="L20" s="202" t="s">
        <v>157</v>
      </c>
      <c r="N20" s="28" t="s">
        <v>491</v>
      </c>
      <c r="O20" s="27" t="s">
        <v>127</v>
      </c>
      <c r="P20" s="27" t="s">
        <v>511</v>
      </c>
      <c r="Q20" s="27" t="s">
        <v>315</v>
      </c>
      <c r="R20" s="27" t="s">
        <v>511</v>
      </c>
      <c r="S20" s="27" t="s">
        <v>315</v>
      </c>
      <c r="T20" s="27" t="s">
        <v>420</v>
      </c>
      <c r="V20" s="185"/>
    </row>
    <row r="21" spans="1:22" ht="18" customHeight="1">
      <c r="A21" s="184"/>
      <c r="B21" s="184" t="s">
        <v>412</v>
      </c>
      <c r="C21" s="14"/>
      <c r="D21" s="14"/>
      <c r="E21" s="14"/>
      <c r="H21" s="27"/>
      <c r="I21" s="101" t="s">
        <v>127</v>
      </c>
      <c r="J21" s="1081">
        <f>'CT-VT Burdens'!S69</f>
        <v>2.5889401199999997</v>
      </c>
      <c r="K21" s="1082"/>
      <c r="L21" s="297" t="s">
        <v>157</v>
      </c>
      <c r="O21" s="27" t="s">
        <v>127</v>
      </c>
      <c r="P21" s="27">
        <f>O10</f>
        <v>1</v>
      </c>
      <c r="Q21" s="27" t="s">
        <v>315</v>
      </c>
      <c r="R21" s="27">
        <f>O10</f>
        <v>1</v>
      </c>
      <c r="S21" s="27" t="s">
        <v>315</v>
      </c>
      <c r="T21" s="27">
        <f>H12</f>
        <v>5</v>
      </c>
      <c r="V21" s="185"/>
    </row>
    <row r="22" spans="1:22" ht="18" customHeight="1">
      <c r="A22" s="184"/>
      <c r="B22" s="1" t="s">
        <v>413</v>
      </c>
      <c r="C22" s="2"/>
      <c r="D22" s="2"/>
      <c r="E22" s="2"/>
      <c r="F22" s="196"/>
      <c r="G22" s="196"/>
      <c r="H22" s="224" t="s">
        <v>512</v>
      </c>
      <c r="I22" s="183" t="s">
        <v>127</v>
      </c>
      <c r="J22" s="722">
        <f>SUM(J18:J21)</f>
        <v>2.6089401199999998</v>
      </c>
      <c r="K22" s="958"/>
      <c r="L22" s="3" t="s">
        <v>157</v>
      </c>
      <c r="O22" s="27" t="s">
        <v>127</v>
      </c>
      <c r="P22" s="795">
        <f>P21*R21*T21</f>
        <v>5</v>
      </c>
      <c r="Q22" s="684"/>
      <c r="R22" s="27" t="s">
        <v>157</v>
      </c>
      <c r="S22" s="27"/>
      <c r="T22" s="27"/>
      <c r="V22" s="185"/>
    </row>
    <row r="23" spans="1:22" ht="18" customHeight="1">
      <c r="A23" s="184"/>
      <c r="B23" s="47"/>
      <c r="C23" s="47"/>
      <c r="D23" s="47"/>
      <c r="E23" s="47"/>
      <c r="H23" s="27"/>
      <c r="I23" s="28"/>
      <c r="J23" s="199"/>
      <c r="L23" s="47"/>
      <c r="O23" s="27"/>
      <c r="P23" s="211"/>
      <c r="Q23" s="27"/>
      <c r="R23" s="204"/>
      <c r="S23" s="27"/>
      <c r="V23" s="185"/>
    </row>
    <row r="24" spans="1:22"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row>
    <row r="25" spans="1:22"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2" ht="18" customHeight="1">
      <c r="A26" s="184"/>
      <c r="Q26" s="211"/>
      <c r="R26" s="192"/>
      <c r="V26" s="185"/>
    </row>
    <row r="27" spans="1:22" ht="18" customHeight="1">
      <c r="A27" s="184"/>
      <c r="C27" s="28" t="s">
        <v>473</v>
      </c>
      <c r="D27" s="28" t="s">
        <v>127</v>
      </c>
      <c r="E27" s="28" t="s">
        <v>537</v>
      </c>
      <c r="F27" s="28" t="s">
        <v>493</v>
      </c>
      <c r="G27" s="28" t="s">
        <v>347</v>
      </c>
      <c r="H27" s="28" t="s">
        <v>491</v>
      </c>
      <c r="I27" s="28" t="s">
        <v>538</v>
      </c>
      <c r="J27" s="28" t="s">
        <v>495</v>
      </c>
      <c r="K27" s="28" t="s">
        <v>539</v>
      </c>
      <c r="L27" s="28" t="s">
        <v>511</v>
      </c>
      <c r="M27" s="28" t="s">
        <v>315</v>
      </c>
      <c r="N27" s="28">
        <v>1.3</v>
      </c>
      <c r="O27" s="47" t="s">
        <v>350</v>
      </c>
      <c r="V27" s="185"/>
    </row>
    <row r="28" spans="1:22" ht="18" customHeight="1">
      <c r="A28" s="539" t="s">
        <v>540</v>
      </c>
      <c r="C28" s="28"/>
      <c r="D28" s="28"/>
      <c r="E28" s="14"/>
      <c r="F28" s="14"/>
      <c r="G28" s="14"/>
      <c r="H28" s="14"/>
      <c r="I28" s="14"/>
      <c r="J28" s="14"/>
      <c r="K28" s="14"/>
      <c r="L28" s="14"/>
      <c r="M28" s="14"/>
      <c r="N28" s="14"/>
      <c r="O28" s="14"/>
      <c r="V28" s="185"/>
    </row>
    <row r="29" spans="1:22" ht="18" customHeight="1">
      <c r="A29" s="184"/>
      <c r="C29" s="28" t="s">
        <v>493</v>
      </c>
      <c r="D29" s="28" t="s">
        <v>127</v>
      </c>
      <c r="E29" s="28" t="s">
        <v>537</v>
      </c>
      <c r="F29" s="28">
        <v>1.3</v>
      </c>
      <c r="G29" s="28" t="s">
        <v>315</v>
      </c>
      <c r="H29" s="689" t="s">
        <v>473</v>
      </c>
      <c r="I29" s="716"/>
      <c r="J29" s="28" t="s">
        <v>315</v>
      </c>
      <c r="K29" s="28" t="s">
        <v>511</v>
      </c>
      <c r="L29" s="28" t="s">
        <v>541</v>
      </c>
      <c r="M29" s="28" t="s">
        <v>495</v>
      </c>
      <c r="N29" s="47" t="s">
        <v>542</v>
      </c>
      <c r="O29" s="28" t="s">
        <v>491</v>
      </c>
      <c r="V29" s="185"/>
    </row>
    <row r="30" spans="1:22" ht="18" customHeight="1">
      <c r="A30" s="184"/>
      <c r="V30" s="185"/>
    </row>
    <row r="31" spans="1:22" ht="18" customHeight="1">
      <c r="A31" s="168"/>
      <c r="B31" s="5"/>
      <c r="C31" s="47" t="s">
        <v>543</v>
      </c>
      <c r="D31" s="14"/>
      <c r="E31" s="14"/>
      <c r="F31" s="14"/>
      <c r="G31" s="14"/>
      <c r="H31" s="279"/>
      <c r="I31" s="120"/>
      <c r="J31" s="279"/>
      <c r="K31" s="279"/>
      <c r="L31" s="14"/>
      <c r="M31" s="14"/>
      <c r="N31" s="14"/>
      <c r="O31" s="14"/>
      <c r="P31" s="14"/>
      <c r="Q31" s="120" t="s">
        <v>544</v>
      </c>
      <c r="R31" s="102" t="s">
        <v>127</v>
      </c>
      <c r="S31" s="689">
        <f>'Parameters &amp; Fault Cal. (4)'!Q10 *1000</f>
        <v>50000</v>
      </c>
      <c r="T31" s="689"/>
      <c r="U31" s="47" t="s">
        <v>8</v>
      </c>
      <c r="V31" s="185"/>
    </row>
    <row r="32" spans="1:22" ht="18" customHeight="1">
      <c r="A32" s="168"/>
      <c r="B32" s="5"/>
      <c r="C32" s="47" t="s">
        <v>545</v>
      </c>
      <c r="D32" s="14"/>
      <c r="E32" s="14"/>
      <c r="F32" s="18"/>
      <c r="G32" s="18"/>
      <c r="H32" s="279"/>
      <c r="I32" s="120"/>
      <c r="J32" s="279"/>
      <c r="K32" s="279"/>
      <c r="L32" s="14"/>
      <c r="M32" s="14"/>
      <c r="N32" s="14"/>
      <c r="O32" s="14"/>
      <c r="P32" s="14"/>
      <c r="Q32" s="120" t="s">
        <v>423</v>
      </c>
      <c r="R32" s="102" t="s">
        <v>127</v>
      </c>
      <c r="S32" s="689">
        <f>H10</f>
        <v>1250</v>
      </c>
      <c r="T32" s="689"/>
      <c r="U32" s="14" t="s">
        <v>8</v>
      </c>
      <c r="V32" s="185"/>
    </row>
    <row r="33" spans="1:25" ht="18" customHeight="1">
      <c r="A33" s="168"/>
      <c r="B33" s="5"/>
      <c r="C33" s="47" t="s">
        <v>546</v>
      </c>
      <c r="D33" s="14"/>
      <c r="E33" s="14"/>
      <c r="F33" s="18"/>
      <c r="G33" s="18"/>
      <c r="H33" s="279"/>
      <c r="I33" s="120"/>
      <c r="J33" s="279"/>
      <c r="K33" s="279"/>
      <c r="L33" s="14"/>
      <c r="M33" s="14"/>
      <c r="N33" s="14"/>
      <c r="O33" s="14"/>
      <c r="P33" s="14"/>
      <c r="Q33" s="120" t="s">
        <v>473</v>
      </c>
      <c r="R33" s="102" t="s">
        <v>127</v>
      </c>
      <c r="S33" s="689">
        <f>H13</f>
        <v>750</v>
      </c>
      <c r="T33" s="689"/>
      <c r="U33" s="14" t="s">
        <v>305</v>
      </c>
      <c r="V33" s="185"/>
    </row>
    <row r="34" spans="1:25" ht="18" customHeight="1">
      <c r="A34" s="168"/>
      <c r="B34" s="5"/>
      <c r="C34" s="47" t="s">
        <v>547</v>
      </c>
      <c r="D34" s="14"/>
      <c r="E34" s="14"/>
      <c r="F34" s="18"/>
      <c r="G34" s="18"/>
      <c r="H34" s="279"/>
      <c r="I34" s="120"/>
      <c r="J34" s="279"/>
      <c r="K34" s="279"/>
      <c r="L34" s="14"/>
      <c r="M34" s="14"/>
      <c r="N34" s="14"/>
      <c r="O34" s="14"/>
      <c r="P34" s="14"/>
      <c r="Q34" s="120" t="s">
        <v>491</v>
      </c>
      <c r="R34" s="102" t="s">
        <v>127</v>
      </c>
      <c r="S34" s="692">
        <f>P22</f>
        <v>5</v>
      </c>
      <c r="T34" s="689"/>
      <c r="U34" s="14" t="s">
        <v>157</v>
      </c>
      <c r="V34" s="185"/>
      <c r="W34" s="279"/>
      <c r="X34" s="279"/>
      <c r="Y34" s="279"/>
    </row>
    <row r="35" spans="1:25" ht="18" customHeight="1">
      <c r="A35" s="168"/>
      <c r="B35" s="5"/>
      <c r="C35" s="47" t="s">
        <v>548</v>
      </c>
      <c r="D35" s="14"/>
      <c r="E35" s="14"/>
      <c r="F35" s="18"/>
      <c r="G35" s="18"/>
      <c r="H35" s="279"/>
      <c r="I35" s="120"/>
      <c r="J35" s="279"/>
      <c r="K35" s="279"/>
      <c r="L35" s="14"/>
      <c r="M35" s="14"/>
      <c r="N35" s="14"/>
      <c r="O35" s="14"/>
      <c r="P35" s="14"/>
      <c r="Q35" s="120" t="s">
        <v>512</v>
      </c>
      <c r="R35" s="102" t="s">
        <v>127</v>
      </c>
      <c r="S35" s="692">
        <f>J22</f>
        <v>2.6089401199999998</v>
      </c>
      <c r="T35" s="689"/>
      <c r="U35" s="14" t="s">
        <v>157</v>
      </c>
      <c r="V35" s="185"/>
      <c r="X35" s="279"/>
      <c r="Y35" s="279"/>
    </row>
    <row r="36" spans="1:25" ht="18" customHeight="1">
      <c r="A36" s="168"/>
      <c r="B36" s="5"/>
      <c r="C36" s="47" t="s">
        <v>549</v>
      </c>
      <c r="D36" s="14"/>
      <c r="E36" s="14"/>
      <c r="F36" s="14"/>
      <c r="G36" s="14"/>
      <c r="H36" s="279"/>
      <c r="I36" s="120"/>
      <c r="J36" s="279"/>
      <c r="K36" s="279"/>
      <c r="L36" s="14"/>
      <c r="M36" s="14"/>
      <c r="N36" s="14"/>
      <c r="O36" s="14"/>
      <c r="P36" s="14"/>
      <c r="Q36" s="120" t="s">
        <v>511</v>
      </c>
      <c r="R36" s="102" t="s">
        <v>127</v>
      </c>
      <c r="S36" s="689">
        <f>O10</f>
        <v>1</v>
      </c>
      <c r="T36" s="689"/>
      <c r="U36" s="14" t="s">
        <v>8</v>
      </c>
      <c r="V36" s="185"/>
      <c r="X36" s="279"/>
      <c r="Y36" s="279"/>
    </row>
    <row r="37" spans="1:25" ht="18" customHeight="1">
      <c r="A37" s="168"/>
      <c r="B37" s="5"/>
      <c r="C37" s="47" t="s">
        <v>550</v>
      </c>
      <c r="D37" s="14"/>
      <c r="E37" s="14"/>
      <c r="F37" s="14"/>
      <c r="G37" s="14"/>
      <c r="H37" s="279"/>
      <c r="I37" s="120"/>
      <c r="J37" s="279"/>
      <c r="K37" s="279"/>
      <c r="L37" s="14"/>
      <c r="M37" s="14"/>
      <c r="N37" s="14"/>
      <c r="O37" s="14"/>
      <c r="P37" s="14"/>
      <c r="Q37" s="120" t="s">
        <v>495</v>
      </c>
      <c r="R37" s="102" t="s">
        <v>127</v>
      </c>
      <c r="S37" s="689">
        <v>20</v>
      </c>
      <c r="T37" s="689"/>
      <c r="U37" s="47"/>
      <c r="V37" s="185"/>
    </row>
    <row r="38" spans="1:25" ht="18" customHeight="1">
      <c r="A38" s="299"/>
      <c r="B38" s="279"/>
      <c r="C38" s="47" t="s">
        <v>492</v>
      </c>
      <c r="D38" s="14"/>
      <c r="E38" s="14"/>
      <c r="F38" s="14"/>
      <c r="G38" s="14"/>
      <c r="H38" s="279"/>
      <c r="I38" s="120"/>
      <c r="J38" s="279"/>
      <c r="K38" s="279"/>
      <c r="L38" s="14"/>
      <c r="M38" s="14"/>
      <c r="N38" s="279"/>
      <c r="O38" s="279"/>
      <c r="P38" s="14"/>
      <c r="Q38" s="120" t="s">
        <v>493</v>
      </c>
      <c r="R38" s="27" t="s">
        <v>127</v>
      </c>
      <c r="S38" s="684">
        <f>E42</f>
        <v>43.75</v>
      </c>
      <c r="T38" s="684"/>
      <c r="U38" s="279"/>
      <c r="V38" s="300"/>
      <c r="W38" s="279"/>
      <c r="X38" s="279"/>
      <c r="Y38" s="279"/>
    </row>
    <row r="39" spans="1:25" ht="18" customHeight="1">
      <c r="A39" s="184"/>
      <c r="V39" s="185"/>
    </row>
    <row r="40" spans="1:25" ht="18" customHeight="1">
      <c r="A40" s="184"/>
      <c r="C40" s="28" t="s">
        <v>493</v>
      </c>
      <c r="D40" s="28" t="s">
        <v>127</v>
      </c>
      <c r="E40" s="28" t="s">
        <v>537</v>
      </c>
      <c r="F40" s="221">
        <v>1.3</v>
      </c>
      <c r="G40" s="221" t="s">
        <v>315</v>
      </c>
      <c r="H40" s="805" t="s">
        <v>473</v>
      </c>
      <c r="I40" s="815"/>
      <c r="J40" s="221" t="s">
        <v>315</v>
      </c>
      <c r="K40" s="221" t="s">
        <v>511</v>
      </c>
      <c r="L40" s="221" t="s">
        <v>541</v>
      </c>
      <c r="M40" s="221" t="s">
        <v>495</v>
      </c>
      <c r="N40" s="527" t="s">
        <v>542</v>
      </c>
      <c r="O40" s="221" t="s">
        <v>491</v>
      </c>
      <c r="V40" s="185"/>
    </row>
    <row r="41" spans="1:25" ht="18" customHeight="1">
      <c r="A41" s="184"/>
      <c r="C41" s="120"/>
      <c r="D41" s="27" t="s">
        <v>127</v>
      </c>
      <c r="E41" s="27" t="s">
        <v>537</v>
      </c>
      <c r="F41" s="245">
        <v>1.3</v>
      </c>
      <c r="G41" s="245" t="s">
        <v>315</v>
      </c>
      <c r="H41" s="993">
        <f>S33</f>
        <v>750</v>
      </c>
      <c r="I41" s="1234"/>
      <c r="J41" s="245" t="s">
        <v>315</v>
      </c>
      <c r="K41" s="245">
        <f>S36</f>
        <v>1</v>
      </c>
      <c r="L41" s="245" t="s">
        <v>541</v>
      </c>
      <c r="M41" s="245">
        <f>S37</f>
        <v>20</v>
      </c>
      <c r="N41" s="461" t="s">
        <v>542</v>
      </c>
      <c r="O41" s="502">
        <f>S34</f>
        <v>5</v>
      </c>
      <c r="V41" s="185"/>
    </row>
    <row r="42" spans="1:25" ht="18" customHeight="1">
      <c r="A42" s="184"/>
      <c r="D42" s="27" t="s">
        <v>127</v>
      </c>
      <c r="E42" s="684">
        <f>((F41*H41)/(K41*M41))-O41</f>
        <v>43.75</v>
      </c>
      <c r="F42" s="684"/>
      <c r="G42" s="27" t="s">
        <v>157</v>
      </c>
      <c r="V42" s="185"/>
    </row>
    <row r="43" spans="1:25" ht="18" customHeight="1">
      <c r="A43" s="184"/>
      <c r="D43" s="27"/>
      <c r="E43" s="27"/>
      <c r="F43" s="27"/>
      <c r="G43" s="27"/>
      <c r="V43" s="185"/>
    </row>
    <row r="44" spans="1:25" ht="18" customHeight="1">
      <c r="A44" s="184"/>
      <c r="D44" s="27"/>
      <c r="E44" s="27"/>
      <c r="F44" s="27"/>
      <c r="G44" s="27"/>
      <c r="V44" s="185"/>
    </row>
    <row r="45" spans="1:25" s="196" customFormat="1" ht="18" customHeight="1">
      <c r="A45" s="290"/>
      <c r="D45" s="307"/>
      <c r="E45" s="307"/>
      <c r="F45" s="307"/>
      <c r="G45" s="307"/>
      <c r="V45" s="291"/>
    </row>
    <row r="46" spans="1:25" ht="18" customHeight="1">
      <c r="A46" s="184"/>
      <c r="E46" s="244" t="s">
        <v>111</v>
      </c>
      <c r="F46" s="27" t="s">
        <v>127</v>
      </c>
      <c r="G46" s="689" t="s">
        <v>544</v>
      </c>
      <c r="H46" s="689"/>
      <c r="I46" s="191" t="s">
        <v>342</v>
      </c>
      <c r="J46" s="684" t="s">
        <v>423</v>
      </c>
      <c r="K46" s="684"/>
      <c r="V46" s="185"/>
    </row>
    <row r="47" spans="1:25" ht="18" customHeight="1">
      <c r="A47" s="184"/>
      <c r="F47" s="27" t="s">
        <v>127</v>
      </c>
      <c r="G47" s="684">
        <f>S31</f>
        <v>50000</v>
      </c>
      <c r="H47" s="684"/>
      <c r="I47" s="191" t="s">
        <v>342</v>
      </c>
      <c r="J47" s="684">
        <f>S32</f>
        <v>1250</v>
      </c>
      <c r="K47" s="684"/>
      <c r="V47" s="185"/>
    </row>
    <row r="48" spans="1:25" ht="18" customHeight="1">
      <c r="A48" s="184"/>
      <c r="F48" s="27" t="s">
        <v>127</v>
      </c>
      <c r="G48" s="795">
        <f>G47/J47</f>
        <v>40</v>
      </c>
      <c r="H48" s="795"/>
      <c r="I48" s="27"/>
      <c r="J48" s="27"/>
      <c r="K48" s="27"/>
      <c r="V48" s="185"/>
    </row>
    <row r="49" spans="1:22" ht="18" customHeight="1">
      <c r="A49" s="184"/>
      <c r="V49" s="185"/>
    </row>
    <row r="50" spans="1:22" ht="18" customHeight="1">
      <c r="A50" s="184"/>
      <c r="E50" s="244" t="s">
        <v>553</v>
      </c>
      <c r="F50" s="27" t="s">
        <v>127</v>
      </c>
      <c r="G50" s="245" t="s">
        <v>495</v>
      </c>
      <c r="H50" s="245" t="s">
        <v>554</v>
      </c>
      <c r="I50" s="221" t="s">
        <v>491</v>
      </c>
      <c r="J50" s="221" t="s">
        <v>347</v>
      </c>
      <c r="K50" s="221" t="s">
        <v>493</v>
      </c>
      <c r="L50" s="221" t="s">
        <v>539</v>
      </c>
      <c r="M50" s="221" t="s">
        <v>491</v>
      </c>
      <c r="N50" s="221" t="s">
        <v>347</v>
      </c>
      <c r="O50" s="221" t="s">
        <v>512</v>
      </c>
      <c r="P50" s="27" t="s">
        <v>350</v>
      </c>
      <c r="V50" s="185"/>
    </row>
    <row r="51" spans="1:22" ht="18" customHeight="1">
      <c r="A51" s="184"/>
      <c r="F51" s="27" t="s">
        <v>127</v>
      </c>
      <c r="G51" s="245">
        <f>S37</f>
        <v>20</v>
      </c>
      <c r="H51" s="245" t="s">
        <v>554</v>
      </c>
      <c r="I51" s="301">
        <f>S34</f>
        <v>5</v>
      </c>
      <c r="J51" s="245" t="s">
        <v>347</v>
      </c>
      <c r="K51" s="301">
        <f>E42</f>
        <v>43.75</v>
      </c>
      <c r="L51" s="245" t="s">
        <v>539</v>
      </c>
      <c r="M51" s="301">
        <f>S34</f>
        <v>5</v>
      </c>
      <c r="N51" s="245" t="s">
        <v>347</v>
      </c>
      <c r="O51" s="301">
        <f>S35</f>
        <v>2.6089401199999998</v>
      </c>
      <c r="P51" s="27" t="s">
        <v>350</v>
      </c>
      <c r="V51" s="185"/>
    </row>
    <row r="52" spans="1:22" ht="18" customHeight="1">
      <c r="A52" s="184"/>
      <c r="F52" s="27" t="s">
        <v>127</v>
      </c>
      <c r="G52" s="1111">
        <f>G51*((I51+K51)/(M51+O51))</f>
        <v>128.13874003781751</v>
      </c>
      <c r="H52" s="1111"/>
      <c r="I52" s="242"/>
      <c r="J52" s="242"/>
      <c r="K52" s="242"/>
      <c r="L52" s="242"/>
      <c r="M52" s="242"/>
      <c r="N52" s="242"/>
      <c r="O52" s="242"/>
      <c r="V52" s="185"/>
    </row>
    <row r="53" spans="1:22" ht="18" customHeight="1">
      <c r="A53" s="184"/>
      <c r="V53" s="185"/>
    </row>
    <row r="54" spans="1:22" ht="18" customHeight="1">
      <c r="A54" s="184"/>
      <c r="E54" s="244" t="s">
        <v>555</v>
      </c>
      <c r="F54" s="27" t="str">
        <f>IF(D55&gt;G55,"&gt;","&lt;")</f>
        <v>&gt;</v>
      </c>
      <c r="G54" s="296" t="s">
        <v>111</v>
      </c>
      <c r="V54" s="185"/>
    </row>
    <row r="55" spans="1:22" ht="18" customHeight="1">
      <c r="A55" s="184"/>
      <c r="D55" s="795">
        <f>G52</f>
        <v>128.13874003781751</v>
      </c>
      <c r="E55" s="795"/>
      <c r="F55" s="27" t="str">
        <f>F54</f>
        <v>&gt;</v>
      </c>
      <c r="G55" s="795">
        <f>G48</f>
        <v>40</v>
      </c>
      <c r="H55" s="795"/>
      <c r="V55" s="185"/>
    </row>
    <row r="56" spans="1:22" ht="18" customHeight="1">
      <c r="A56" s="184"/>
      <c r="E56" s="244" t="s">
        <v>478</v>
      </c>
      <c r="G56" s="18" t="str">
        <f>IF(F54="&gt;","Suitably Dimentioned","Under Dimentioned")</f>
        <v>Suitably Dimentioned</v>
      </c>
      <c r="V56" s="185"/>
    </row>
    <row r="57" spans="1:22" ht="18" customHeight="1">
      <c r="A57" s="184"/>
      <c r="V57" s="185"/>
    </row>
    <row r="58" spans="1:22" ht="18" customHeight="1">
      <c r="A58" s="184"/>
      <c r="V58" s="185"/>
    </row>
    <row r="59" spans="1:22" ht="18" customHeight="1">
      <c r="A59" s="184"/>
      <c r="V59" s="185"/>
    </row>
    <row r="60" spans="1:22" ht="18" customHeight="1">
      <c r="A60" s="184"/>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3" ht="18" customHeight="1">
      <c r="A81" s="184"/>
      <c r="V81" s="185"/>
    </row>
    <row r="82" spans="1:23" ht="18" customHeight="1">
      <c r="A82" s="184"/>
      <c r="V82" s="185"/>
    </row>
    <row r="83" spans="1:23" ht="18" customHeight="1">
      <c r="A83" s="184"/>
      <c r="V83" s="185"/>
    </row>
    <row r="84" spans="1:23" ht="18" customHeight="1">
      <c r="A84" s="184"/>
      <c r="V84" s="185"/>
    </row>
    <row r="85" spans="1:23" s="196" customFormat="1" ht="18" customHeight="1">
      <c r="A85" s="290"/>
      <c r="V85" s="291"/>
    </row>
    <row r="86" spans="1:23" s="14" customFormat="1" ht="18" hidden="1" customHeight="1">
      <c r="A86" s="262"/>
      <c r="B86" s="259"/>
      <c r="C86" s="259"/>
      <c r="D86" s="259"/>
      <c r="E86" s="259"/>
      <c r="F86" s="259"/>
      <c r="G86" s="259"/>
      <c r="H86" s="259"/>
      <c r="I86" s="259"/>
      <c r="J86" s="259"/>
      <c r="K86" s="259"/>
      <c r="L86" s="259"/>
      <c r="M86" s="259"/>
      <c r="N86" s="259"/>
      <c r="O86" s="259"/>
      <c r="P86" s="259"/>
      <c r="Q86" s="556"/>
      <c r="R86" s="229"/>
      <c r="S86" s="557"/>
      <c r="T86" s="259"/>
      <c r="U86" s="259"/>
      <c r="V86" s="558"/>
    </row>
    <row r="87" spans="1:23" ht="18" hidden="1" customHeight="1">
      <c r="A87" s="226"/>
      <c r="B87" s="227"/>
      <c r="C87" s="227"/>
      <c r="D87" s="227"/>
      <c r="E87" s="227"/>
      <c r="F87" s="227"/>
      <c r="G87" s="227"/>
      <c r="H87" s="227"/>
      <c r="I87" s="227"/>
      <c r="J87" s="227"/>
      <c r="K87" s="227"/>
      <c r="L87" s="227"/>
      <c r="M87" s="227"/>
      <c r="N87" s="227"/>
      <c r="O87" s="227"/>
      <c r="P87" s="227"/>
      <c r="Q87" s="227"/>
      <c r="R87" s="227"/>
      <c r="S87" s="227"/>
      <c r="T87" s="227"/>
      <c r="U87" s="227"/>
      <c r="V87" s="228"/>
    </row>
    <row r="88" spans="1:23" ht="18" hidden="1" customHeight="1">
      <c r="A88" s="184"/>
      <c r="B88" s="854" t="str">
        <f>B7</f>
        <v>T1</v>
      </c>
      <c r="C88" s="831"/>
      <c r="D88" s="855" t="str">
        <f>D7</f>
        <v>Core1</v>
      </c>
      <c r="E88" s="856"/>
      <c r="F88" s="255"/>
      <c r="H88" s="684">
        <f>H7</f>
        <v>0</v>
      </c>
      <c r="I88" s="684"/>
      <c r="J88" s="684"/>
      <c r="K88" s="684"/>
      <c r="L88" s="684"/>
      <c r="M88" s="684"/>
      <c r="P88" s="186"/>
      <c r="S88" s="187" t="s">
        <v>387</v>
      </c>
      <c r="T88" s="1123" t="str">
        <f>T7</f>
        <v>REF650</v>
      </c>
      <c r="U88" s="1124"/>
      <c r="V88" s="185"/>
    </row>
    <row r="89" spans="1:23" ht="18" hidden="1" customHeight="1">
      <c r="A89" s="184"/>
      <c r="B89" s="853">
        <f>B8</f>
        <v>0</v>
      </c>
      <c r="C89" s="853"/>
      <c r="D89" s="857"/>
      <c r="E89" s="858"/>
      <c r="F89" s="255"/>
      <c r="T89" s="1123">
        <f>T8</f>
        <v>0</v>
      </c>
      <c r="U89" s="1124"/>
      <c r="V89" s="185"/>
    </row>
    <row r="90" spans="1:23" ht="18" hidden="1" customHeight="1">
      <c r="A90" s="184"/>
      <c r="H90" s="708" t="s">
        <v>390</v>
      </c>
      <c r="I90" s="708"/>
      <c r="J90" s="789" t="s">
        <v>391</v>
      </c>
      <c r="K90" s="789"/>
      <c r="L90" s="790" t="s">
        <v>392</v>
      </c>
      <c r="M90" s="790"/>
      <c r="T90" s="1123">
        <f>T9</f>
        <v>0</v>
      </c>
      <c r="U90" s="1124"/>
      <c r="V90" s="185"/>
    </row>
    <row r="91" spans="1:23" ht="18" hidden="1" customHeight="1">
      <c r="A91" s="184"/>
      <c r="B91" s="47" t="s">
        <v>393</v>
      </c>
      <c r="H91" s="854">
        <f>H10</f>
        <v>1250</v>
      </c>
      <c r="I91" s="831"/>
      <c r="J91" s="863" t="str">
        <f>J10</f>
        <v>-</v>
      </c>
      <c r="K91" s="864"/>
      <c r="L91" s="854" t="str">
        <f>L10</f>
        <v>-</v>
      </c>
      <c r="M91" s="831"/>
      <c r="N91" s="191" t="s">
        <v>342</v>
      </c>
      <c r="O91" s="256">
        <f>O10</f>
        <v>1</v>
      </c>
      <c r="P91" s="27" t="s">
        <v>8</v>
      </c>
      <c r="R91" s="255"/>
      <c r="S91" s="255"/>
      <c r="V91" s="185"/>
    </row>
    <row r="92" spans="1:23" ht="18" hidden="1" customHeight="1">
      <c r="A92" s="184"/>
      <c r="B92" s="47" t="s">
        <v>394</v>
      </c>
      <c r="H92" s="14"/>
      <c r="I92" s="14"/>
      <c r="J92" s="854" t="str">
        <f>H11</f>
        <v>PX-B</v>
      </c>
      <c r="K92" s="831"/>
      <c r="L92" s="14"/>
      <c r="M92" s="14"/>
      <c r="V92" s="185"/>
    </row>
    <row r="93" spans="1:23" ht="18" hidden="1" customHeight="1">
      <c r="A93" s="184"/>
      <c r="B93" s="47" t="s">
        <v>396</v>
      </c>
      <c r="I93" s="120" t="s">
        <v>497</v>
      </c>
      <c r="J93" s="1075">
        <v>5</v>
      </c>
      <c r="K93" s="1076"/>
      <c r="L93" s="192" t="s">
        <v>333</v>
      </c>
      <c r="V93" s="185"/>
    </row>
    <row r="94" spans="1:23" ht="18" hidden="1" customHeight="1">
      <c r="A94" s="184"/>
      <c r="B94" s="47" t="s">
        <v>398</v>
      </c>
      <c r="I94" s="120" t="s">
        <v>498</v>
      </c>
      <c r="J94" s="1075">
        <v>500</v>
      </c>
      <c r="K94" s="1076"/>
      <c r="L94" s="14" t="s">
        <v>305</v>
      </c>
      <c r="T94" s="295"/>
      <c r="U94" s="18"/>
      <c r="V94" s="185"/>
      <c r="W94" s="30" t="e">
        <f>G142</f>
        <v>#VALUE!</v>
      </c>
    </row>
    <row r="95" spans="1:23" ht="18" hidden="1" customHeight="1">
      <c r="A95" s="184"/>
      <c r="B95" s="14" t="s">
        <v>401</v>
      </c>
      <c r="I95" s="120" t="s">
        <v>402</v>
      </c>
      <c r="J95" s="1075">
        <v>50</v>
      </c>
      <c r="K95" s="1076"/>
      <c r="L95" s="14" t="s">
        <v>403</v>
      </c>
      <c r="V95" s="185"/>
    </row>
    <row r="96" spans="1:23" ht="18" hidden="1" customHeight="1">
      <c r="A96" s="184"/>
      <c r="V96" s="185"/>
    </row>
    <row r="97" spans="1:22" ht="18" hidden="1" customHeight="1">
      <c r="A97" s="193" t="s">
        <v>404</v>
      </c>
      <c r="V97" s="185"/>
    </row>
    <row r="98" spans="1:22" ht="18" hidden="1" customHeight="1">
      <c r="A98" s="184"/>
      <c r="V98" s="185"/>
    </row>
    <row r="99" spans="1:22" ht="18" hidden="1" customHeight="1">
      <c r="A99" s="184"/>
      <c r="B99" s="135" t="s">
        <v>405</v>
      </c>
      <c r="C99" s="273"/>
      <c r="D99" s="139" t="str">
        <f>T88</f>
        <v>REF650</v>
      </c>
      <c r="E99" s="227"/>
      <c r="F99" s="227"/>
      <c r="G99" s="227"/>
      <c r="H99" s="138"/>
      <c r="I99" s="260" t="s">
        <v>127</v>
      </c>
      <c r="J99" s="722">
        <f>J18</f>
        <v>0.02</v>
      </c>
      <c r="K99" s="958"/>
      <c r="L99" s="3" t="s">
        <v>157</v>
      </c>
      <c r="N99" s="197" t="s">
        <v>510</v>
      </c>
      <c r="V99" s="185"/>
    </row>
    <row r="100" spans="1:22" ht="18" hidden="1" customHeight="1">
      <c r="A100" s="184"/>
      <c r="B100" s="96" t="s">
        <v>405</v>
      </c>
      <c r="D100" s="296">
        <f>T89</f>
        <v>0</v>
      </c>
      <c r="I100" s="177" t="s">
        <v>127</v>
      </c>
      <c r="J100" s="1119">
        <f>J19</f>
        <v>0</v>
      </c>
      <c r="K100" s="989"/>
      <c r="L100" s="198" t="s">
        <v>157</v>
      </c>
      <c r="P100" s="244"/>
      <c r="V100" s="185"/>
    </row>
    <row r="101" spans="1:22" ht="18" hidden="1" customHeight="1">
      <c r="A101" s="184"/>
      <c r="B101" s="96" t="s">
        <v>405</v>
      </c>
      <c r="C101" s="14"/>
      <c r="D101" s="47">
        <f>T90</f>
        <v>0</v>
      </c>
      <c r="E101" s="14"/>
      <c r="G101" s="199"/>
      <c r="H101" s="27"/>
      <c r="I101" s="101" t="s">
        <v>127</v>
      </c>
      <c r="J101" s="696">
        <f>J20</f>
        <v>0</v>
      </c>
      <c r="K101" s="820"/>
      <c r="L101" s="202" t="s">
        <v>157</v>
      </c>
      <c r="N101" s="28" t="s">
        <v>491</v>
      </c>
      <c r="O101" s="27" t="s">
        <v>127</v>
      </c>
      <c r="P101" s="27" t="s">
        <v>511</v>
      </c>
      <c r="Q101" s="27" t="s">
        <v>315</v>
      </c>
      <c r="R101" s="27" t="s">
        <v>511</v>
      </c>
      <c r="S101" s="27" t="s">
        <v>315</v>
      </c>
      <c r="T101" s="27" t="s">
        <v>420</v>
      </c>
      <c r="V101" s="185"/>
    </row>
    <row r="102" spans="1:22" ht="18" hidden="1" customHeight="1">
      <c r="A102" s="184"/>
      <c r="B102" s="184" t="s">
        <v>412</v>
      </c>
      <c r="C102" s="14"/>
      <c r="D102" s="14"/>
      <c r="E102" s="14"/>
      <c r="H102" s="27"/>
      <c r="I102" s="101" t="s">
        <v>127</v>
      </c>
      <c r="J102" s="1120">
        <f>J21</f>
        <v>2.5889401199999997</v>
      </c>
      <c r="K102" s="987"/>
      <c r="L102" s="297" t="s">
        <v>157</v>
      </c>
      <c r="O102" s="27" t="s">
        <v>127</v>
      </c>
      <c r="P102" s="27">
        <f>O91</f>
        <v>1</v>
      </c>
      <c r="Q102" s="27" t="s">
        <v>315</v>
      </c>
      <c r="R102" s="27">
        <f>O91</f>
        <v>1</v>
      </c>
      <c r="S102" s="27" t="s">
        <v>315</v>
      </c>
      <c r="T102" s="27">
        <f>J93</f>
        <v>5</v>
      </c>
      <c r="V102" s="185"/>
    </row>
    <row r="103" spans="1:22" ht="18" hidden="1" customHeight="1">
      <c r="A103" s="184"/>
      <c r="B103" s="1" t="s">
        <v>413</v>
      </c>
      <c r="C103" s="2"/>
      <c r="D103" s="2"/>
      <c r="E103" s="2"/>
      <c r="F103" s="196"/>
      <c r="G103" s="196"/>
      <c r="H103" s="224" t="s">
        <v>512</v>
      </c>
      <c r="I103" s="183" t="s">
        <v>127</v>
      </c>
      <c r="J103" s="722">
        <f>SUM(J99:J102)</f>
        <v>2.6089401199999998</v>
      </c>
      <c r="K103" s="958"/>
      <c r="L103" s="3" t="s">
        <v>157</v>
      </c>
      <c r="O103" s="27" t="s">
        <v>127</v>
      </c>
      <c r="P103" s="795">
        <f>P102*R102*T102</f>
        <v>5</v>
      </c>
      <c r="Q103" s="684"/>
      <c r="R103" s="27" t="s">
        <v>157</v>
      </c>
      <c r="S103" s="27"/>
      <c r="T103" s="27"/>
      <c r="V103" s="185"/>
    </row>
    <row r="104" spans="1:22" ht="18" hidden="1" customHeight="1">
      <c r="A104" s="184"/>
      <c r="B104" s="47"/>
      <c r="C104" s="47"/>
      <c r="D104" s="47"/>
      <c r="E104" s="47"/>
      <c r="H104" s="27"/>
      <c r="I104" s="28"/>
      <c r="J104" s="199"/>
      <c r="L104" s="47"/>
      <c r="O104" s="27"/>
      <c r="P104" s="211"/>
      <c r="Q104" s="27"/>
      <c r="R104" s="204"/>
      <c r="S104" s="27"/>
      <c r="V104" s="185"/>
    </row>
    <row r="105" spans="1:22" ht="18" hidden="1" customHeight="1">
      <c r="A105" s="1206" t="s">
        <v>536</v>
      </c>
      <c r="B105" s="1207"/>
      <c r="C105" s="1207"/>
      <c r="D105" s="1207"/>
      <c r="E105" s="1207"/>
      <c r="F105" s="1207"/>
      <c r="G105" s="1207"/>
      <c r="H105" s="1207"/>
      <c r="I105" s="1207"/>
      <c r="J105" s="1207"/>
      <c r="K105" s="1207"/>
      <c r="L105" s="1207"/>
      <c r="M105" s="1207"/>
      <c r="N105" s="1207"/>
      <c r="O105" s="1207"/>
      <c r="P105" s="1207"/>
      <c r="Q105" s="1207"/>
      <c r="R105" s="1207"/>
      <c r="S105" s="1207"/>
      <c r="T105" s="1207"/>
      <c r="U105" s="1207"/>
      <c r="V105" s="1208"/>
    </row>
    <row r="106" spans="1:22" ht="18" hidden="1" customHeight="1">
      <c r="A106" s="1209"/>
      <c r="B106" s="1207"/>
      <c r="C106" s="1207"/>
      <c r="D106" s="1207"/>
      <c r="E106" s="1207"/>
      <c r="F106" s="1207"/>
      <c r="G106" s="1207"/>
      <c r="H106" s="1207"/>
      <c r="I106" s="1207"/>
      <c r="J106" s="1207"/>
      <c r="K106" s="1207"/>
      <c r="L106" s="1207"/>
      <c r="M106" s="1207"/>
      <c r="N106" s="1207"/>
      <c r="O106" s="1207"/>
      <c r="P106" s="1207"/>
      <c r="Q106" s="1207"/>
      <c r="R106" s="1207"/>
      <c r="S106" s="1207"/>
      <c r="T106" s="1207"/>
      <c r="U106" s="1207"/>
      <c r="V106" s="1208"/>
    </row>
    <row r="107" spans="1:22" ht="18" hidden="1" customHeight="1">
      <c r="A107" s="184"/>
      <c r="Q107" s="211"/>
      <c r="R107" s="192"/>
      <c r="V107" s="185"/>
    </row>
    <row r="108" spans="1:22" ht="18" hidden="1" customHeight="1">
      <c r="A108" s="184"/>
      <c r="C108" s="28" t="s">
        <v>473</v>
      </c>
      <c r="D108" s="28" t="s">
        <v>127</v>
      </c>
      <c r="E108" s="28" t="s">
        <v>537</v>
      </c>
      <c r="F108" s="28" t="s">
        <v>493</v>
      </c>
      <c r="G108" s="28" t="s">
        <v>347</v>
      </c>
      <c r="H108" s="28" t="s">
        <v>491</v>
      </c>
      <c r="I108" s="28" t="s">
        <v>538</v>
      </c>
      <c r="J108" s="28" t="s">
        <v>495</v>
      </c>
      <c r="K108" s="28" t="s">
        <v>539</v>
      </c>
      <c r="L108" s="28" t="s">
        <v>511</v>
      </c>
      <c r="M108" s="28" t="s">
        <v>315</v>
      </c>
      <c r="N108" s="28">
        <v>1.3</v>
      </c>
      <c r="O108" s="47" t="s">
        <v>350</v>
      </c>
      <c r="V108" s="185"/>
    </row>
    <row r="109" spans="1:22" ht="18" hidden="1" customHeight="1">
      <c r="A109" s="539" t="s">
        <v>540</v>
      </c>
      <c r="C109" s="28"/>
      <c r="D109" s="28"/>
      <c r="E109" s="14"/>
      <c r="F109" s="14"/>
      <c r="G109" s="14"/>
      <c r="H109" s="14"/>
      <c r="I109" s="14"/>
      <c r="J109" s="14"/>
      <c r="K109" s="14"/>
      <c r="L109" s="14"/>
      <c r="M109" s="14"/>
      <c r="N109" s="14"/>
      <c r="O109" s="14"/>
      <c r="V109" s="185"/>
    </row>
    <row r="110" spans="1:22" ht="18" hidden="1" customHeight="1">
      <c r="A110" s="184"/>
      <c r="C110" s="28" t="s">
        <v>493</v>
      </c>
      <c r="D110" s="28" t="s">
        <v>127</v>
      </c>
      <c r="E110" s="28" t="s">
        <v>537</v>
      </c>
      <c r="F110" s="28">
        <v>1.3</v>
      </c>
      <c r="G110" s="28" t="s">
        <v>315</v>
      </c>
      <c r="H110" s="689" t="s">
        <v>473</v>
      </c>
      <c r="I110" s="716"/>
      <c r="J110" s="28" t="s">
        <v>315</v>
      </c>
      <c r="K110" s="28" t="s">
        <v>511</v>
      </c>
      <c r="L110" s="28" t="s">
        <v>541</v>
      </c>
      <c r="M110" s="28" t="s">
        <v>495</v>
      </c>
      <c r="N110" s="47" t="s">
        <v>542</v>
      </c>
      <c r="O110" s="120" t="s">
        <v>491</v>
      </c>
      <c r="V110" s="185"/>
    </row>
    <row r="111" spans="1:22" ht="18" hidden="1" customHeight="1">
      <c r="A111" s="184"/>
      <c r="V111" s="185"/>
    </row>
    <row r="112" spans="1:22" ht="18" hidden="1" customHeight="1">
      <c r="A112" s="168"/>
      <c r="B112" s="5"/>
      <c r="C112" s="47" t="s">
        <v>543</v>
      </c>
      <c r="D112" s="14"/>
      <c r="E112" s="14"/>
      <c r="F112" s="14"/>
      <c r="G112" s="14"/>
      <c r="H112" s="279"/>
      <c r="I112" s="120"/>
      <c r="J112" s="279"/>
      <c r="K112" s="279"/>
      <c r="L112" s="14"/>
      <c r="M112" s="14"/>
      <c r="N112" s="14"/>
      <c r="O112" s="14"/>
      <c r="P112" s="14"/>
      <c r="Q112" s="120" t="s">
        <v>544</v>
      </c>
      <c r="R112" s="102" t="s">
        <v>127</v>
      </c>
      <c r="S112" s="689">
        <v>40000</v>
      </c>
      <c r="T112" s="689"/>
      <c r="U112" s="47" t="s">
        <v>8</v>
      </c>
      <c r="V112" s="185"/>
    </row>
    <row r="113" spans="1:25" ht="18" hidden="1" customHeight="1">
      <c r="A113" s="168"/>
      <c r="B113" s="5"/>
      <c r="C113" s="47" t="s">
        <v>545</v>
      </c>
      <c r="D113" s="14"/>
      <c r="E113" s="14"/>
      <c r="F113" s="18"/>
      <c r="G113" s="18"/>
      <c r="H113" s="279"/>
      <c r="I113" s="120"/>
      <c r="J113" s="279"/>
      <c r="K113" s="279"/>
      <c r="L113" s="14"/>
      <c r="M113" s="14"/>
      <c r="N113" s="14"/>
      <c r="O113" s="14"/>
      <c r="P113" s="14"/>
      <c r="Q113" s="120" t="s">
        <v>423</v>
      </c>
      <c r="R113" s="102" t="s">
        <v>127</v>
      </c>
      <c r="S113" s="689" t="str">
        <f>J91</f>
        <v>-</v>
      </c>
      <c r="T113" s="689"/>
      <c r="U113" s="14" t="s">
        <v>8</v>
      </c>
      <c r="V113" s="185"/>
    </row>
    <row r="114" spans="1:25" ht="18" hidden="1" customHeight="1">
      <c r="A114" s="168"/>
      <c r="B114" s="5"/>
      <c r="C114" s="47" t="s">
        <v>546</v>
      </c>
      <c r="D114" s="14"/>
      <c r="E114" s="14"/>
      <c r="F114" s="18"/>
      <c r="G114" s="18"/>
      <c r="H114" s="279"/>
      <c r="I114" s="120"/>
      <c r="J114" s="279"/>
      <c r="K114" s="279"/>
      <c r="L114" s="14"/>
      <c r="M114" s="14"/>
      <c r="N114" s="14"/>
      <c r="O114" s="14"/>
      <c r="P114" s="14"/>
      <c r="Q114" s="120" t="s">
        <v>473</v>
      </c>
      <c r="R114" s="102" t="s">
        <v>127</v>
      </c>
      <c r="S114" s="689">
        <f>J94</f>
        <v>500</v>
      </c>
      <c r="T114" s="689"/>
      <c r="U114" s="14" t="s">
        <v>305</v>
      </c>
      <c r="V114" s="185"/>
    </row>
    <row r="115" spans="1:25" ht="18" hidden="1" customHeight="1">
      <c r="A115" s="168"/>
      <c r="B115" s="5"/>
      <c r="C115" s="47" t="s">
        <v>547</v>
      </c>
      <c r="D115" s="14"/>
      <c r="E115" s="14"/>
      <c r="F115" s="18"/>
      <c r="G115" s="18"/>
      <c r="H115" s="279"/>
      <c r="I115" s="120"/>
      <c r="J115" s="279"/>
      <c r="K115" s="279"/>
      <c r="L115" s="14"/>
      <c r="M115" s="14"/>
      <c r="N115" s="14"/>
      <c r="O115" s="14"/>
      <c r="P115" s="14"/>
      <c r="Q115" s="120" t="s">
        <v>491</v>
      </c>
      <c r="R115" s="102" t="s">
        <v>127</v>
      </c>
      <c r="S115" s="692">
        <f>P103</f>
        <v>5</v>
      </c>
      <c r="T115" s="689"/>
      <c r="U115" s="14" t="s">
        <v>157</v>
      </c>
      <c r="V115" s="185"/>
      <c r="W115" s="279"/>
      <c r="X115" s="279"/>
      <c r="Y115" s="279"/>
    </row>
    <row r="116" spans="1:25" ht="18" hidden="1" customHeight="1">
      <c r="A116" s="168"/>
      <c r="B116" s="5"/>
      <c r="C116" s="47" t="s">
        <v>548</v>
      </c>
      <c r="D116" s="14"/>
      <c r="E116" s="14"/>
      <c r="F116" s="18"/>
      <c r="G116" s="18"/>
      <c r="H116" s="279"/>
      <c r="I116" s="120"/>
      <c r="J116" s="279"/>
      <c r="K116" s="279"/>
      <c r="L116" s="14"/>
      <c r="M116" s="14"/>
      <c r="N116" s="14"/>
      <c r="O116" s="14"/>
      <c r="P116" s="14"/>
      <c r="Q116" s="120" t="s">
        <v>512</v>
      </c>
      <c r="R116" s="102" t="s">
        <v>127</v>
      </c>
      <c r="S116" s="692">
        <f>J103</f>
        <v>2.6089401199999998</v>
      </c>
      <c r="T116" s="689"/>
      <c r="U116" s="14" t="s">
        <v>157</v>
      </c>
      <c r="V116" s="185"/>
      <c r="X116" s="279"/>
      <c r="Y116" s="279"/>
    </row>
    <row r="117" spans="1:25" ht="18" hidden="1" customHeight="1">
      <c r="A117" s="168"/>
      <c r="B117" s="5"/>
      <c r="C117" s="47" t="s">
        <v>549</v>
      </c>
      <c r="D117" s="14"/>
      <c r="E117" s="14"/>
      <c r="F117" s="14"/>
      <c r="G117" s="14"/>
      <c r="H117" s="279"/>
      <c r="I117" s="120"/>
      <c r="J117" s="279"/>
      <c r="K117" s="279"/>
      <c r="L117" s="14"/>
      <c r="M117" s="14"/>
      <c r="N117" s="14"/>
      <c r="O117" s="14"/>
      <c r="P117" s="14"/>
      <c r="Q117" s="120" t="s">
        <v>511</v>
      </c>
      <c r="R117" s="102" t="s">
        <v>127</v>
      </c>
      <c r="S117" s="689">
        <f>O91</f>
        <v>1</v>
      </c>
      <c r="T117" s="689"/>
      <c r="U117" s="14" t="s">
        <v>8</v>
      </c>
      <c r="V117" s="185"/>
      <c r="X117" s="279"/>
      <c r="Y117" s="279"/>
    </row>
    <row r="118" spans="1:25" ht="18" hidden="1" customHeight="1">
      <c r="A118" s="168"/>
      <c r="B118" s="5"/>
      <c r="C118" s="47" t="s">
        <v>550</v>
      </c>
      <c r="D118" s="14"/>
      <c r="E118" s="14"/>
      <c r="F118" s="14"/>
      <c r="G118" s="14"/>
      <c r="H118" s="279"/>
      <c r="I118" s="120"/>
      <c r="J118" s="279"/>
      <c r="K118" s="279"/>
      <c r="L118" s="14"/>
      <c r="M118" s="14"/>
      <c r="N118" s="14"/>
      <c r="O118" s="14"/>
      <c r="P118" s="14"/>
      <c r="Q118" s="120" t="s">
        <v>495</v>
      </c>
      <c r="R118" s="102" t="s">
        <v>127</v>
      </c>
      <c r="S118" s="689">
        <v>20</v>
      </c>
      <c r="T118" s="689"/>
      <c r="U118" s="47"/>
      <c r="V118" s="185"/>
    </row>
    <row r="119" spans="1:25" ht="18" hidden="1" customHeight="1">
      <c r="A119" s="299"/>
      <c r="B119" s="279"/>
      <c r="C119" s="47" t="s">
        <v>492</v>
      </c>
      <c r="D119" s="14"/>
      <c r="E119" s="14"/>
      <c r="F119" s="14"/>
      <c r="G119" s="14"/>
      <c r="H119" s="279"/>
      <c r="I119" s="120"/>
      <c r="J119" s="279"/>
      <c r="K119" s="279"/>
      <c r="L119" s="14"/>
      <c r="M119" s="14"/>
      <c r="N119" s="279"/>
      <c r="O119" s="279"/>
      <c r="P119" s="14"/>
      <c r="Q119" s="120" t="s">
        <v>493</v>
      </c>
      <c r="R119" s="14"/>
      <c r="S119" s="279"/>
      <c r="T119" s="279"/>
      <c r="U119" s="279"/>
      <c r="V119" s="300"/>
      <c r="W119" s="279"/>
      <c r="X119" s="279"/>
      <c r="Y119" s="279"/>
    </row>
    <row r="120" spans="1:25" ht="18" hidden="1" customHeight="1">
      <c r="A120" s="184"/>
      <c r="V120" s="185"/>
    </row>
    <row r="121" spans="1:25" ht="18" hidden="1" customHeight="1">
      <c r="A121" s="184"/>
      <c r="C121" s="28" t="s">
        <v>493</v>
      </c>
      <c r="D121" s="28" t="s">
        <v>127</v>
      </c>
      <c r="E121" s="28" t="s">
        <v>537</v>
      </c>
      <c r="F121" s="221">
        <v>1.3</v>
      </c>
      <c r="G121" s="221" t="s">
        <v>315</v>
      </c>
      <c r="H121" s="805" t="s">
        <v>473</v>
      </c>
      <c r="I121" s="815"/>
      <c r="J121" s="221" t="s">
        <v>315</v>
      </c>
      <c r="K121" s="221" t="s">
        <v>511</v>
      </c>
      <c r="L121" s="221" t="s">
        <v>541</v>
      </c>
      <c r="M121" s="221" t="s">
        <v>495</v>
      </c>
      <c r="N121" s="527" t="s">
        <v>542</v>
      </c>
      <c r="O121" s="221" t="s">
        <v>491</v>
      </c>
      <c r="V121" s="185"/>
    </row>
    <row r="122" spans="1:25" ht="18" hidden="1" customHeight="1">
      <c r="A122" s="184"/>
      <c r="C122" s="120"/>
      <c r="D122" s="27" t="s">
        <v>127</v>
      </c>
      <c r="E122" s="27" t="s">
        <v>537</v>
      </c>
      <c r="F122" s="245">
        <v>1.3</v>
      </c>
      <c r="G122" s="245" t="s">
        <v>315</v>
      </c>
      <c r="H122" s="993">
        <f>S114</f>
        <v>500</v>
      </c>
      <c r="I122" s="1234"/>
      <c r="J122" s="245" t="s">
        <v>315</v>
      </c>
      <c r="K122" s="245">
        <f>S117</f>
        <v>1</v>
      </c>
      <c r="L122" s="245" t="s">
        <v>541</v>
      </c>
      <c r="M122" s="245">
        <f>S118</f>
        <v>20</v>
      </c>
      <c r="N122" s="461" t="s">
        <v>542</v>
      </c>
      <c r="O122" s="502">
        <f>S115</f>
        <v>5</v>
      </c>
      <c r="V122" s="185"/>
    </row>
    <row r="123" spans="1:25" ht="18" hidden="1" customHeight="1">
      <c r="A123" s="184"/>
      <c r="D123" s="27" t="s">
        <v>127</v>
      </c>
      <c r="E123" s="684">
        <f>((F122*H122)/(K122*M122))-O122</f>
        <v>27.5</v>
      </c>
      <c r="F123" s="684"/>
      <c r="G123" s="27" t="s">
        <v>157</v>
      </c>
      <c r="V123" s="185"/>
    </row>
    <row r="124" spans="1:25" ht="18" hidden="1" customHeight="1">
      <c r="A124" s="184"/>
      <c r="D124" s="27"/>
      <c r="E124" s="27"/>
      <c r="F124" s="27"/>
      <c r="G124" s="27"/>
      <c r="V124" s="185"/>
    </row>
    <row r="125" spans="1:25" ht="18" hidden="1" customHeight="1">
      <c r="A125" s="184"/>
      <c r="D125" s="27"/>
      <c r="E125" s="27"/>
      <c r="F125" s="27"/>
      <c r="G125" s="27"/>
      <c r="V125" s="185"/>
    </row>
    <row r="126" spans="1:25" ht="18" hidden="1" customHeight="1">
      <c r="A126" s="184"/>
      <c r="D126" s="27"/>
      <c r="E126" s="27"/>
      <c r="F126" s="27"/>
      <c r="G126" s="27"/>
      <c r="V126" s="185"/>
    </row>
    <row r="127" spans="1:25" ht="18" hidden="1" customHeight="1">
      <c r="A127" s="184"/>
      <c r="D127" s="27"/>
      <c r="E127" s="27"/>
      <c r="F127" s="27"/>
      <c r="G127" s="27"/>
      <c r="V127" s="185"/>
    </row>
    <row r="128" spans="1:25" ht="18" hidden="1" customHeight="1">
      <c r="A128" s="184"/>
      <c r="D128" s="27"/>
      <c r="E128" s="27"/>
      <c r="F128" s="27"/>
      <c r="G128" s="27"/>
      <c r="V128" s="185"/>
    </row>
    <row r="129" spans="1:22" ht="18" hidden="1" customHeight="1">
      <c r="A129" s="184"/>
      <c r="V129" s="185"/>
    </row>
    <row r="130" spans="1:22" s="14" customFormat="1" ht="18" hidden="1" customHeight="1">
      <c r="A130" s="194"/>
      <c r="B130" s="195"/>
      <c r="C130" s="195"/>
      <c r="D130" s="195"/>
      <c r="E130" s="195"/>
      <c r="F130" s="195"/>
      <c r="G130" s="195"/>
      <c r="H130" s="195"/>
      <c r="I130" s="195"/>
      <c r="J130" s="195"/>
      <c r="K130" s="195"/>
      <c r="L130" s="195"/>
      <c r="M130" s="195"/>
      <c r="N130" s="195"/>
      <c r="O130" s="195"/>
      <c r="P130" s="195"/>
      <c r="Q130" s="224"/>
      <c r="R130" s="182"/>
      <c r="S130" s="225"/>
      <c r="T130" s="195"/>
      <c r="U130" s="195"/>
      <c r="V130" s="134" t="s">
        <v>552</v>
      </c>
    </row>
    <row r="131" spans="1:22" ht="18" hidden="1" customHeight="1">
      <c r="A131" s="226"/>
      <c r="B131" s="227"/>
      <c r="C131" s="227"/>
      <c r="D131" s="227"/>
      <c r="E131" s="227"/>
      <c r="F131" s="227"/>
      <c r="G131" s="227"/>
      <c r="H131" s="227"/>
      <c r="I131" s="227"/>
      <c r="J131" s="227"/>
      <c r="K131" s="227"/>
      <c r="L131" s="227"/>
      <c r="M131" s="227"/>
      <c r="N131" s="227"/>
      <c r="O131" s="227"/>
      <c r="P131" s="227"/>
      <c r="Q131" s="227"/>
      <c r="R131" s="227"/>
      <c r="S131" s="227"/>
      <c r="T131" s="227"/>
      <c r="U131" s="227"/>
      <c r="V131" s="228"/>
    </row>
    <row r="132" spans="1:22" ht="18" hidden="1" customHeight="1">
      <c r="A132" s="184"/>
      <c r="E132" s="244" t="s">
        <v>111</v>
      </c>
      <c r="F132" s="27" t="s">
        <v>127</v>
      </c>
      <c r="G132" s="689" t="s">
        <v>544</v>
      </c>
      <c r="H132" s="689"/>
      <c r="I132" s="191" t="s">
        <v>342</v>
      </c>
      <c r="J132" s="684" t="s">
        <v>423</v>
      </c>
      <c r="K132" s="684"/>
      <c r="V132" s="185"/>
    </row>
    <row r="133" spans="1:22" ht="18" hidden="1" customHeight="1">
      <c r="A133" s="184"/>
      <c r="F133" s="27" t="s">
        <v>127</v>
      </c>
      <c r="G133" s="684">
        <f>S112</f>
        <v>40000</v>
      </c>
      <c r="H133" s="684"/>
      <c r="I133" s="191" t="s">
        <v>342</v>
      </c>
      <c r="J133" s="684" t="str">
        <f>S113</f>
        <v>-</v>
      </c>
      <c r="K133" s="684"/>
      <c r="V133" s="185"/>
    </row>
    <row r="134" spans="1:22" ht="18" hidden="1" customHeight="1">
      <c r="A134" s="184"/>
      <c r="F134" s="27" t="s">
        <v>127</v>
      </c>
      <c r="G134" s="795" t="e">
        <f>G133/J133</f>
        <v>#VALUE!</v>
      </c>
      <c r="H134" s="795"/>
      <c r="I134" s="27"/>
      <c r="J134" s="27"/>
      <c r="K134" s="27"/>
      <c r="V134" s="185"/>
    </row>
    <row r="135" spans="1:22" ht="18" hidden="1" customHeight="1">
      <c r="A135" s="184"/>
      <c r="V135" s="185"/>
    </row>
    <row r="136" spans="1:22" ht="18" hidden="1" customHeight="1">
      <c r="A136" s="184"/>
      <c r="E136" s="244" t="s">
        <v>553</v>
      </c>
      <c r="F136" s="27" t="s">
        <v>127</v>
      </c>
      <c r="G136" s="221" t="s">
        <v>495</v>
      </c>
      <c r="H136" s="221" t="s">
        <v>554</v>
      </c>
      <c r="I136" s="221" t="s">
        <v>491</v>
      </c>
      <c r="J136" s="221" t="s">
        <v>347</v>
      </c>
      <c r="K136" s="221" t="s">
        <v>493</v>
      </c>
      <c r="L136" s="221" t="s">
        <v>539</v>
      </c>
      <c r="M136" s="221" t="s">
        <v>491</v>
      </c>
      <c r="N136" s="221" t="s">
        <v>347</v>
      </c>
      <c r="O136" s="221" t="s">
        <v>512</v>
      </c>
      <c r="P136" s="27" t="s">
        <v>350</v>
      </c>
      <c r="V136" s="185"/>
    </row>
    <row r="137" spans="1:22" ht="18" hidden="1" customHeight="1">
      <c r="A137" s="184"/>
      <c r="F137" s="27" t="s">
        <v>127</v>
      </c>
      <c r="G137" s="245">
        <f>S118</f>
        <v>20</v>
      </c>
      <c r="H137" s="245" t="s">
        <v>554</v>
      </c>
      <c r="I137" s="301">
        <f>S115</f>
        <v>5</v>
      </c>
      <c r="J137" s="245" t="s">
        <v>347</v>
      </c>
      <c r="K137" s="301">
        <f>E123</f>
        <v>27.5</v>
      </c>
      <c r="L137" s="245" t="s">
        <v>539</v>
      </c>
      <c r="M137" s="301">
        <f>S115</f>
        <v>5</v>
      </c>
      <c r="N137" s="245" t="s">
        <v>347</v>
      </c>
      <c r="O137" s="301">
        <f>S116</f>
        <v>2.6089401199999998</v>
      </c>
      <c r="P137" s="27" t="s">
        <v>350</v>
      </c>
      <c r="V137" s="185"/>
    </row>
    <row r="138" spans="1:22" ht="18" hidden="1" customHeight="1">
      <c r="A138" s="184"/>
      <c r="F138" s="27" t="s">
        <v>127</v>
      </c>
      <c r="G138" s="1111">
        <f>G137*((I137+K137)/(M137+O137))</f>
        <v>85.425826691878356</v>
      </c>
      <c r="H138" s="1111"/>
      <c r="I138" s="242"/>
      <c r="J138" s="242"/>
      <c r="K138" s="242"/>
      <c r="L138" s="242"/>
      <c r="M138" s="242"/>
      <c r="N138" s="242"/>
      <c r="O138" s="242"/>
      <c r="V138" s="185"/>
    </row>
    <row r="139" spans="1:22" ht="18" hidden="1" customHeight="1">
      <c r="A139" s="184"/>
      <c r="V139" s="185"/>
    </row>
    <row r="140" spans="1:22" ht="18" hidden="1" customHeight="1">
      <c r="A140" s="184"/>
      <c r="E140" s="244" t="s">
        <v>555</v>
      </c>
      <c r="F140" s="27" t="e">
        <f>IF(D141&gt;G141,"&gt;","&lt;")</f>
        <v>#VALUE!</v>
      </c>
      <c r="G140" s="296" t="s">
        <v>111</v>
      </c>
      <c r="V140" s="185"/>
    </row>
    <row r="141" spans="1:22" ht="18" hidden="1" customHeight="1">
      <c r="A141" s="184"/>
      <c r="D141" s="795">
        <f>G138</f>
        <v>85.425826691878356</v>
      </c>
      <c r="E141" s="795"/>
      <c r="F141" s="27" t="e">
        <f>F140</f>
        <v>#VALUE!</v>
      </c>
      <c r="G141" s="795" t="e">
        <f>G134</f>
        <v>#VALUE!</v>
      </c>
      <c r="H141" s="795"/>
      <c r="V141" s="185"/>
    </row>
    <row r="142" spans="1:22" ht="18" hidden="1" customHeight="1">
      <c r="A142" s="184"/>
      <c r="E142" s="244" t="s">
        <v>478</v>
      </c>
      <c r="G142" s="18" t="e">
        <f>IF(F140="&gt;","Suitably Dimentioned","Under Dimentioned")</f>
        <v>#VALUE!</v>
      </c>
      <c r="V142" s="185"/>
    </row>
    <row r="143" spans="1:22" ht="18" hidden="1" customHeight="1">
      <c r="A143" s="184"/>
      <c r="V143" s="185"/>
    </row>
    <row r="144" spans="1:22" ht="18" hidden="1" customHeight="1">
      <c r="A144" s="184"/>
      <c r="V144" s="185"/>
    </row>
    <row r="145" spans="1:22" ht="18" hidden="1" customHeight="1">
      <c r="A145" s="184"/>
      <c r="V145" s="185"/>
    </row>
    <row r="146" spans="1:22" ht="18" hidden="1" customHeight="1">
      <c r="A146" s="184"/>
      <c r="V146" s="185"/>
    </row>
    <row r="147" spans="1:22" ht="18" hidden="1" customHeight="1">
      <c r="A147" s="184"/>
      <c r="V147" s="185"/>
    </row>
    <row r="148" spans="1:22" ht="18" hidden="1" customHeight="1">
      <c r="A148" s="184"/>
      <c r="V148" s="185"/>
    </row>
    <row r="149" spans="1:22" ht="18" hidden="1" customHeight="1">
      <c r="A149" s="184"/>
      <c r="V149" s="185"/>
    </row>
    <row r="150" spans="1:22" ht="18" hidden="1" customHeight="1">
      <c r="A150" s="184"/>
      <c r="V150" s="185"/>
    </row>
    <row r="151" spans="1:22" ht="18" hidden="1" customHeight="1">
      <c r="A151" s="184"/>
      <c r="V151" s="185"/>
    </row>
    <row r="152" spans="1:22" ht="18" hidden="1" customHeight="1">
      <c r="A152" s="184"/>
      <c r="V152" s="185"/>
    </row>
    <row r="153" spans="1:22" ht="18" hidden="1" customHeight="1">
      <c r="A153" s="184"/>
      <c r="V153" s="185"/>
    </row>
    <row r="154" spans="1:22" ht="18" hidden="1" customHeight="1">
      <c r="A154" s="184"/>
      <c r="V154" s="185"/>
    </row>
    <row r="155" spans="1:22" ht="18" hidden="1" customHeight="1">
      <c r="A155" s="184"/>
      <c r="V155" s="185"/>
    </row>
    <row r="156" spans="1:22" ht="18" hidden="1" customHeight="1">
      <c r="A156" s="184"/>
      <c r="V156" s="185"/>
    </row>
    <row r="157" spans="1:22" ht="18" hidden="1" customHeight="1">
      <c r="A157" s="184"/>
      <c r="V157" s="185"/>
    </row>
    <row r="158" spans="1:22" ht="18" hidden="1" customHeight="1">
      <c r="A158" s="184"/>
      <c r="V158" s="185"/>
    </row>
    <row r="159" spans="1:22" ht="18" hidden="1" customHeight="1">
      <c r="A159" s="184"/>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ht="18" hidden="1" customHeight="1">
      <c r="A173" s="184"/>
      <c r="V173" s="185"/>
    </row>
    <row r="174" spans="1:22" s="14" customFormat="1" ht="18" hidden="1" customHeight="1">
      <c r="A174" s="194"/>
      <c r="B174" s="195"/>
      <c r="C174" s="195"/>
      <c r="D174" s="195"/>
      <c r="E174" s="195"/>
      <c r="F174" s="195"/>
      <c r="G174" s="195"/>
      <c r="H174" s="195"/>
      <c r="I174" s="195"/>
      <c r="J174" s="195"/>
      <c r="K174" s="195"/>
      <c r="L174" s="195"/>
      <c r="M174" s="195"/>
      <c r="N174" s="195"/>
      <c r="O174" s="195"/>
      <c r="P174" s="195"/>
      <c r="Q174" s="224"/>
      <c r="R174" s="182"/>
      <c r="S174" s="225"/>
      <c r="T174" s="195"/>
      <c r="U174" s="195"/>
      <c r="V174" s="134" t="s">
        <v>552</v>
      </c>
    </row>
    <row r="175" spans="1:22" ht="18" hidden="1" customHeight="1">
      <c r="A175" s="226"/>
      <c r="B175" s="227"/>
      <c r="C175" s="227"/>
      <c r="D175" s="227"/>
      <c r="E175" s="227"/>
      <c r="F175" s="227"/>
      <c r="G175" s="227"/>
      <c r="H175" s="227"/>
      <c r="I175" s="227"/>
      <c r="J175" s="227"/>
      <c r="K175" s="227"/>
      <c r="L175" s="227"/>
      <c r="M175" s="227"/>
      <c r="N175" s="227"/>
      <c r="O175" s="227"/>
      <c r="P175" s="227"/>
      <c r="Q175" s="227"/>
      <c r="R175" s="227"/>
      <c r="S175" s="227"/>
      <c r="T175" s="227"/>
      <c r="U175" s="227"/>
      <c r="V175" s="228"/>
    </row>
    <row r="176" spans="1:22" ht="18" hidden="1" customHeight="1">
      <c r="A176" s="184"/>
      <c r="B176" s="854" t="str">
        <f>B88</f>
        <v>T1</v>
      </c>
      <c r="C176" s="831"/>
      <c r="D176" s="855" t="str">
        <f>D88</f>
        <v>Core1</v>
      </c>
      <c r="E176" s="856"/>
      <c r="F176" s="255"/>
      <c r="H176" s="684">
        <f>H88</f>
        <v>0</v>
      </c>
      <c r="I176" s="684"/>
      <c r="J176" s="684"/>
      <c r="K176" s="684"/>
      <c r="L176" s="684"/>
      <c r="M176" s="684"/>
      <c r="P176" s="186"/>
      <c r="S176" s="187" t="s">
        <v>387</v>
      </c>
      <c r="T176" s="1123" t="str">
        <f>T88</f>
        <v>REF650</v>
      </c>
      <c r="U176" s="1124"/>
      <c r="V176" s="185"/>
    </row>
    <row r="177" spans="1:23" ht="18" hidden="1" customHeight="1">
      <c r="A177" s="184"/>
      <c r="B177" s="853">
        <f>B89</f>
        <v>0</v>
      </c>
      <c r="C177" s="853"/>
      <c r="D177" s="857"/>
      <c r="E177" s="858"/>
      <c r="F177" s="255"/>
      <c r="T177" s="1123">
        <f>T89</f>
        <v>0</v>
      </c>
      <c r="U177" s="1124"/>
      <c r="V177" s="185"/>
    </row>
    <row r="178" spans="1:23" ht="18" hidden="1" customHeight="1">
      <c r="A178" s="184"/>
      <c r="H178" s="708" t="s">
        <v>390</v>
      </c>
      <c r="I178" s="708"/>
      <c r="J178" s="708" t="s">
        <v>391</v>
      </c>
      <c r="K178" s="708"/>
      <c r="L178" s="789" t="s">
        <v>392</v>
      </c>
      <c r="M178" s="789"/>
      <c r="T178" s="1123">
        <f>T90</f>
        <v>0</v>
      </c>
      <c r="U178" s="1124"/>
      <c r="V178" s="185"/>
    </row>
    <row r="179" spans="1:23" ht="18" hidden="1" customHeight="1">
      <c r="A179" s="184"/>
      <c r="B179" s="47" t="s">
        <v>393</v>
      </c>
      <c r="H179" s="854">
        <f>H91</f>
        <v>1250</v>
      </c>
      <c r="I179" s="831"/>
      <c r="J179" s="854" t="str">
        <f>J91</f>
        <v>-</v>
      </c>
      <c r="K179" s="831"/>
      <c r="L179" s="863" t="str">
        <f>L91</f>
        <v>-</v>
      </c>
      <c r="M179" s="864"/>
      <c r="N179" s="191" t="s">
        <v>342</v>
      </c>
      <c r="O179" s="256">
        <f>O91</f>
        <v>1</v>
      </c>
      <c r="P179" s="27" t="s">
        <v>8</v>
      </c>
      <c r="R179" s="255"/>
      <c r="S179" s="255"/>
      <c r="V179" s="185"/>
    </row>
    <row r="180" spans="1:23" ht="18" hidden="1" customHeight="1">
      <c r="A180" s="184"/>
      <c r="B180" s="47" t="s">
        <v>394</v>
      </c>
      <c r="H180" s="14"/>
      <c r="I180" s="14"/>
      <c r="L180" s="854" t="str">
        <f>J92</f>
        <v>PX-B</v>
      </c>
      <c r="M180" s="831"/>
      <c r="V180" s="185"/>
    </row>
    <row r="181" spans="1:23" ht="18" hidden="1" customHeight="1">
      <c r="A181" s="184"/>
      <c r="B181" s="47" t="s">
        <v>396</v>
      </c>
      <c r="K181" s="120" t="s">
        <v>497</v>
      </c>
      <c r="L181" s="1075">
        <v>3</v>
      </c>
      <c r="M181" s="1076"/>
      <c r="N181" s="192" t="s">
        <v>333</v>
      </c>
      <c r="V181" s="185"/>
    </row>
    <row r="182" spans="1:23" ht="18" hidden="1" customHeight="1">
      <c r="A182" s="184"/>
      <c r="B182" s="47" t="s">
        <v>398</v>
      </c>
      <c r="K182" s="120" t="s">
        <v>498</v>
      </c>
      <c r="L182" s="1075">
        <v>300</v>
      </c>
      <c r="M182" s="1076"/>
      <c r="N182" s="14" t="s">
        <v>305</v>
      </c>
      <c r="T182" s="295"/>
      <c r="U182" s="18"/>
      <c r="V182" s="185"/>
      <c r="W182" s="30" t="e">
        <f>G230</f>
        <v>#VALUE!</v>
      </c>
    </row>
    <row r="183" spans="1:23" ht="18" hidden="1" customHeight="1">
      <c r="A183" s="184"/>
      <c r="B183" s="14" t="s">
        <v>401</v>
      </c>
      <c r="K183" s="120" t="s">
        <v>402</v>
      </c>
      <c r="L183" s="1075">
        <v>75</v>
      </c>
      <c r="M183" s="1076"/>
      <c r="N183" s="14" t="s">
        <v>403</v>
      </c>
      <c r="V183" s="185"/>
    </row>
    <row r="184" spans="1:23" ht="18" hidden="1" customHeight="1">
      <c r="A184" s="184"/>
      <c r="V184" s="185"/>
    </row>
    <row r="185" spans="1:23" ht="18" hidden="1" customHeight="1">
      <c r="A185" s="193" t="s">
        <v>404</v>
      </c>
      <c r="V185" s="185"/>
    </row>
    <row r="186" spans="1:23" ht="18" hidden="1" customHeight="1">
      <c r="A186" s="184"/>
      <c r="V186" s="185"/>
    </row>
    <row r="187" spans="1:23" ht="18" hidden="1" customHeight="1">
      <c r="A187" s="184"/>
      <c r="B187" s="135" t="s">
        <v>405</v>
      </c>
      <c r="C187" s="273"/>
      <c r="D187" s="139" t="str">
        <f>T176</f>
        <v>REF650</v>
      </c>
      <c r="E187" s="227"/>
      <c r="F187" s="227"/>
      <c r="G187" s="227"/>
      <c r="H187" s="138"/>
      <c r="I187" s="260" t="s">
        <v>127</v>
      </c>
      <c r="J187" s="722">
        <f>J99</f>
        <v>0.02</v>
      </c>
      <c r="K187" s="958"/>
      <c r="L187" s="3" t="s">
        <v>157</v>
      </c>
      <c r="N187" s="197" t="s">
        <v>510</v>
      </c>
      <c r="V187" s="185"/>
    </row>
    <row r="188" spans="1:23" ht="18" hidden="1" customHeight="1">
      <c r="A188" s="184"/>
      <c r="B188" s="96" t="s">
        <v>405</v>
      </c>
      <c r="D188" s="296">
        <f>T177</f>
        <v>0</v>
      </c>
      <c r="I188" s="177" t="s">
        <v>127</v>
      </c>
      <c r="J188" s="1119">
        <f>J100</f>
        <v>0</v>
      </c>
      <c r="K188" s="989"/>
      <c r="L188" s="198" t="s">
        <v>157</v>
      </c>
      <c r="P188" s="244"/>
      <c r="V188" s="185"/>
    </row>
    <row r="189" spans="1:23" ht="18" hidden="1" customHeight="1">
      <c r="A189" s="184"/>
      <c r="B189" s="96" t="s">
        <v>405</v>
      </c>
      <c r="C189" s="14"/>
      <c r="D189" s="47">
        <f>T178</f>
        <v>0</v>
      </c>
      <c r="E189" s="14"/>
      <c r="G189" s="199"/>
      <c r="H189" s="27"/>
      <c r="I189" s="101" t="s">
        <v>127</v>
      </c>
      <c r="J189" s="696">
        <f>J101</f>
        <v>0</v>
      </c>
      <c r="K189" s="820"/>
      <c r="L189" s="202" t="s">
        <v>157</v>
      </c>
      <c r="N189" s="28" t="s">
        <v>491</v>
      </c>
      <c r="O189" s="27" t="s">
        <v>127</v>
      </c>
      <c r="P189" s="27" t="s">
        <v>511</v>
      </c>
      <c r="Q189" s="27" t="s">
        <v>315</v>
      </c>
      <c r="R189" s="27" t="s">
        <v>511</v>
      </c>
      <c r="S189" s="27" t="s">
        <v>315</v>
      </c>
      <c r="T189" s="27" t="s">
        <v>420</v>
      </c>
      <c r="V189" s="185"/>
    </row>
    <row r="190" spans="1:23" ht="18" hidden="1" customHeight="1">
      <c r="A190" s="184"/>
      <c r="B190" s="184" t="s">
        <v>412</v>
      </c>
      <c r="C190" s="14"/>
      <c r="D190" s="14"/>
      <c r="E190" s="14"/>
      <c r="H190" s="27"/>
      <c r="I190" s="101" t="s">
        <v>127</v>
      </c>
      <c r="J190" s="1120">
        <f>J102</f>
        <v>2.5889401199999997</v>
      </c>
      <c r="K190" s="987"/>
      <c r="L190" s="297" t="s">
        <v>157</v>
      </c>
      <c r="O190" s="27" t="s">
        <v>127</v>
      </c>
      <c r="P190" s="27">
        <f>O179</f>
        <v>1</v>
      </c>
      <c r="Q190" s="27" t="s">
        <v>315</v>
      </c>
      <c r="R190" s="27">
        <f>O179</f>
        <v>1</v>
      </c>
      <c r="S190" s="27" t="s">
        <v>315</v>
      </c>
      <c r="T190" s="27">
        <f>L181</f>
        <v>3</v>
      </c>
      <c r="V190" s="185"/>
    </row>
    <row r="191" spans="1:23" ht="18" hidden="1" customHeight="1">
      <c r="A191" s="184"/>
      <c r="B191" s="1" t="s">
        <v>413</v>
      </c>
      <c r="C191" s="2"/>
      <c r="D191" s="2"/>
      <c r="E191" s="2"/>
      <c r="F191" s="196"/>
      <c r="G191" s="196"/>
      <c r="H191" s="224" t="s">
        <v>512</v>
      </c>
      <c r="I191" s="183" t="s">
        <v>127</v>
      </c>
      <c r="J191" s="722">
        <f>SUM(J187:J190)</f>
        <v>2.6089401199999998</v>
      </c>
      <c r="K191" s="958"/>
      <c r="L191" s="3" t="s">
        <v>157</v>
      </c>
      <c r="O191" s="27" t="s">
        <v>127</v>
      </c>
      <c r="P191" s="795">
        <f>P190*R190*T190</f>
        <v>3</v>
      </c>
      <c r="Q191" s="684"/>
      <c r="R191" s="27" t="s">
        <v>157</v>
      </c>
      <c r="S191" s="27"/>
      <c r="T191" s="27"/>
      <c r="V191" s="185"/>
    </row>
    <row r="192" spans="1:23" ht="18" hidden="1" customHeight="1">
      <c r="A192" s="184"/>
      <c r="B192" s="47"/>
      <c r="C192" s="47"/>
      <c r="D192" s="47"/>
      <c r="E192" s="47"/>
      <c r="H192" s="27"/>
      <c r="I192" s="28"/>
      <c r="J192" s="199"/>
      <c r="L192" s="47"/>
      <c r="O192" s="27"/>
      <c r="P192" s="211"/>
      <c r="Q192" s="27"/>
      <c r="R192" s="204"/>
      <c r="S192" s="27"/>
      <c r="V192" s="185"/>
    </row>
    <row r="193" spans="1:25" ht="18" hidden="1" customHeight="1">
      <c r="A193" s="1206" t="s">
        <v>536</v>
      </c>
      <c r="B193" s="1207"/>
      <c r="C193" s="1207"/>
      <c r="D193" s="1207"/>
      <c r="E193" s="1207"/>
      <c r="F193" s="1207"/>
      <c r="G193" s="1207"/>
      <c r="H193" s="1207"/>
      <c r="I193" s="1207"/>
      <c r="J193" s="1207"/>
      <c r="K193" s="1207"/>
      <c r="L193" s="1207"/>
      <c r="M193" s="1207"/>
      <c r="N193" s="1207"/>
      <c r="O193" s="1207"/>
      <c r="P193" s="1207"/>
      <c r="Q193" s="1207"/>
      <c r="R193" s="1207"/>
      <c r="S193" s="1207"/>
      <c r="T193" s="1207"/>
      <c r="U193" s="1207"/>
      <c r="V193" s="1208"/>
    </row>
    <row r="194" spans="1:25" ht="18" hidden="1" customHeight="1">
      <c r="A194" s="1209"/>
      <c r="B194" s="1207"/>
      <c r="C194" s="1207"/>
      <c r="D194" s="1207"/>
      <c r="E194" s="1207"/>
      <c r="F194" s="1207"/>
      <c r="G194" s="1207"/>
      <c r="H194" s="1207"/>
      <c r="I194" s="1207"/>
      <c r="J194" s="1207"/>
      <c r="K194" s="1207"/>
      <c r="L194" s="1207"/>
      <c r="M194" s="1207"/>
      <c r="N194" s="1207"/>
      <c r="O194" s="1207"/>
      <c r="P194" s="1207"/>
      <c r="Q194" s="1207"/>
      <c r="R194" s="1207"/>
      <c r="S194" s="1207"/>
      <c r="T194" s="1207"/>
      <c r="U194" s="1207"/>
      <c r="V194" s="1208"/>
    </row>
    <row r="195" spans="1:25" ht="18" hidden="1" customHeight="1">
      <c r="A195" s="184"/>
      <c r="Q195" s="211"/>
      <c r="R195" s="192"/>
      <c r="V195" s="185"/>
    </row>
    <row r="196" spans="1:25" ht="18" hidden="1" customHeight="1">
      <c r="A196" s="184"/>
      <c r="C196" s="28" t="s">
        <v>473</v>
      </c>
      <c r="D196" s="28" t="s">
        <v>127</v>
      </c>
      <c r="E196" s="28" t="s">
        <v>537</v>
      </c>
      <c r="F196" s="28" t="s">
        <v>493</v>
      </c>
      <c r="G196" s="28" t="s">
        <v>347</v>
      </c>
      <c r="H196" s="28" t="s">
        <v>491</v>
      </c>
      <c r="I196" s="28" t="s">
        <v>538</v>
      </c>
      <c r="J196" s="28" t="s">
        <v>495</v>
      </c>
      <c r="K196" s="28" t="s">
        <v>539</v>
      </c>
      <c r="L196" s="28" t="s">
        <v>511</v>
      </c>
      <c r="M196" s="28" t="s">
        <v>315</v>
      </c>
      <c r="N196" s="28">
        <v>1.3</v>
      </c>
      <c r="O196" s="47" t="s">
        <v>350</v>
      </c>
      <c r="V196" s="185"/>
    </row>
    <row r="197" spans="1:25" ht="18" hidden="1" customHeight="1">
      <c r="A197" s="539" t="s">
        <v>540</v>
      </c>
      <c r="C197" s="28"/>
      <c r="D197" s="28"/>
      <c r="E197" s="14"/>
      <c r="F197" s="14"/>
      <c r="G197" s="14"/>
      <c r="H197" s="14"/>
      <c r="I197" s="14"/>
      <c r="J197" s="14"/>
      <c r="K197" s="14"/>
      <c r="L197" s="14"/>
      <c r="M197" s="14"/>
      <c r="N197" s="14"/>
      <c r="O197" s="14"/>
      <c r="V197" s="185"/>
    </row>
    <row r="198" spans="1:25" ht="18" hidden="1" customHeight="1">
      <c r="A198" s="184"/>
      <c r="C198" s="28" t="s">
        <v>493</v>
      </c>
      <c r="D198" s="28" t="s">
        <v>127</v>
      </c>
      <c r="E198" s="28" t="s">
        <v>537</v>
      </c>
      <c r="F198" s="28">
        <v>1.3</v>
      </c>
      <c r="G198" s="28" t="s">
        <v>315</v>
      </c>
      <c r="H198" s="689" t="s">
        <v>473</v>
      </c>
      <c r="I198" s="716"/>
      <c r="J198" s="28" t="s">
        <v>315</v>
      </c>
      <c r="K198" s="28" t="s">
        <v>511</v>
      </c>
      <c r="L198" s="28" t="s">
        <v>541</v>
      </c>
      <c r="M198" s="28" t="s">
        <v>495</v>
      </c>
      <c r="N198" s="47" t="s">
        <v>542</v>
      </c>
      <c r="O198" s="120" t="s">
        <v>491</v>
      </c>
      <c r="V198" s="185"/>
    </row>
    <row r="199" spans="1:25" ht="18" hidden="1" customHeight="1">
      <c r="A199" s="184"/>
      <c r="V199" s="185"/>
    </row>
    <row r="200" spans="1:25" ht="18" hidden="1" customHeight="1">
      <c r="A200" s="168"/>
      <c r="B200" s="5"/>
      <c r="C200" s="47" t="s">
        <v>543</v>
      </c>
      <c r="D200" s="14"/>
      <c r="E200" s="14"/>
      <c r="F200" s="14"/>
      <c r="G200" s="14"/>
      <c r="H200" s="279"/>
      <c r="I200" s="120"/>
      <c r="J200" s="279"/>
      <c r="K200" s="279"/>
      <c r="L200" s="14"/>
      <c r="M200" s="14"/>
      <c r="N200" s="14"/>
      <c r="O200" s="14"/>
      <c r="P200" s="14"/>
      <c r="Q200" s="120" t="s">
        <v>544</v>
      </c>
      <c r="R200" s="102" t="s">
        <v>127</v>
      </c>
      <c r="S200" s="689">
        <v>40000</v>
      </c>
      <c r="T200" s="689"/>
      <c r="U200" s="47" t="s">
        <v>8</v>
      </c>
      <c r="V200" s="185"/>
    </row>
    <row r="201" spans="1:25" ht="18" hidden="1" customHeight="1">
      <c r="A201" s="168"/>
      <c r="B201" s="5"/>
      <c r="C201" s="47" t="s">
        <v>545</v>
      </c>
      <c r="D201" s="14"/>
      <c r="E201" s="14"/>
      <c r="F201" s="18"/>
      <c r="G201" s="18"/>
      <c r="H201" s="279"/>
      <c r="I201" s="120"/>
      <c r="J201" s="279"/>
      <c r="K201" s="279"/>
      <c r="L201" s="14"/>
      <c r="M201" s="14"/>
      <c r="N201" s="14"/>
      <c r="O201" s="14"/>
      <c r="P201" s="14"/>
      <c r="Q201" s="120" t="s">
        <v>423</v>
      </c>
      <c r="R201" s="102" t="s">
        <v>127</v>
      </c>
      <c r="S201" s="689" t="str">
        <f>L179</f>
        <v>-</v>
      </c>
      <c r="T201" s="689"/>
      <c r="U201" s="14" t="s">
        <v>8</v>
      </c>
      <c r="V201" s="185"/>
    </row>
    <row r="202" spans="1:25" ht="18" hidden="1" customHeight="1">
      <c r="A202" s="168"/>
      <c r="B202" s="5"/>
      <c r="C202" s="47" t="s">
        <v>546</v>
      </c>
      <c r="D202" s="14"/>
      <c r="E202" s="14"/>
      <c r="F202" s="18"/>
      <c r="G202" s="18"/>
      <c r="H202" s="279"/>
      <c r="I202" s="120"/>
      <c r="J202" s="279"/>
      <c r="K202" s="279"/>
      <c r="L202" s="14"/>
      <c r="M202" s="14"/>
      <c r="N202" s="14"/>
      <c r="O202" s="14"/>
      <c r="P202" s="14"/>
      <c r="Q202" s="120" t="s">
        <v>473</v>
      </c>
      <c r="R202" s="102" t="s">
        <v>127</v>
      </c>
      <c r="S202" s="689">
        <f>L182</f>
        <v>300</v>
      </c>
      <c r="T202" s="689"/>
      <c r="U202" s="14" t="s">
        <v>305</v>
      </c>
      <c r="V202" s="185"/>
    </row>
    <row r="203" spans="1:25" ht="18" hidden="1" customHeight="1">
      <c r="A203" s="168"/>
      <c r="B203" s="5"/>
      <c r="C203" s="47" t="s">
        <v>547</v>
      </c>
      <c r="D203" s="14"/>
      <c r="E203" s="14"/>
      <c r="F203" s="18"/>
      <c r="G203" s="18"/>
      <c r="H203" s="279"/>
      <c r="I203" s="120"/>
      <c r="J203" s="279"/>
      <c r="K203" s="279"/>
      <c r="L203" s="14"/>
      <c r="M203" s="14"/>
      <c r="N203" s="14"/>
      <c r="O203" s="14"/>
      <c r="P203" s="14"/>
      <c r="Q203" s="120" t="s">
        <v>491</v>
      </c>
      <c r="R203" s="102" t="s">
        <v>127</v>
      </c>
      <c r="S203" s="692">
        <f>P191</f>
        <v>3</v>
      </c>
      <c r="T203" s="689"/>
      <c r="U203" s="14" t="s">
        <v>157</v>
      </c>
      <c r="V203" s="185"/>
      <c r="W203" s="279"/>
      <c r="X203" s="279"/>
      <c r="Y203" s="279"/>
    </row>
    <row r="204" spans="1:25" ht="18" hidden="1" customHeight="1">
      <c r="A204" s="168"/>
      <c r="B204" s="5"/>
      <c r="C204" s="47" t="s">
        <v>548</v>
      </c>
      <c r="D204" s="14"/>
      <c r="E204" s="14"/>
      <c r="F204" s="18"/>
      <c r="G204" s="18"/>
      <c r="H204" s="279"/>
      <c r="I204" s="120"/>
      <c r="J204" s="279"/>
      <c r="K204" s="279"/>
      <c r="L204" s="14"/>
      <c r="M204" s="14"/>
      <c r="N204" s="14"/>
      <c r="O204" s="14"/>
      <c r="P204" s="14"/>
      <c r="Q204" s="120" t="s">
        <v>512</v>
      </c>
      <c r="R204" s="102" t="s">
        <v>127</v>
      </c>
      <c r="S204" s="692">
        <f>J191</f>
        <v>2.6089401199999998</v>
      </c>
      <c r="T204" s="689"/>
      <c r="U204" s="14" t="s">
        <v>157</v>
      </c>
      <c r="V204" s="185"/>
      <c r="X204" s="279"/>
      <c r="Y204" s="279"/>
    </row>
    <row r="205" spans="1:25" ht="18" hidden="1" customHeight="1">
      <c r="A205" s="168"/>
      <c r="B205" s="5"/>
      <c r="C205" s="47" t="s">
        <v>549</v>
      </c>
      <c r="D205" s="14"/>
      <c r="E205" s="14"/>
      <c r="F205" s="14"/>
      <c r="G205" s="14"/>
      <c r="H205" s="279"/>
      <c r="I205" s="120"/>
      <c r="J205" s="279"/>
      <c r="K205" s="279"/>
      <c r="L205" s="14"/>
      <c r="M205" s="14"/>
      <c r="N205" s="14"/>
      <c r="O205" s="14"/>
      <c r="P205" s="14"/>
      <c r="Q205" s="120" t="s">
        <v>511</v>
      </c>
      <c r="R205" s="102" t="s">
        <v>127</v>
      </c>
      <c r="S205" s="689">
        <f>O179</f>
        <v>1</v>
      </c>
      <c r="T205" s="689"/>
      <c r="U205" s="14" t="s">
        <v>8</v>
      </c>
      <c r="V205" s="185"/>
      <c r="X205" s="279"/>
      <c r="Y205" s="279"/>
    </row>
    <row r="206" spans="1:25" ht="18" hidden="1" customHeight="1">
      <c r="A206" s="168"/>
      <c r="B206" s="5"/>
      <c r="C206" s="47" t="s">
        <v>550</v>
      </c>
      <c r="D206" s="14"/>
      <c r="E206" s="14"/>
      <c r="F206" s="14"/>
      <c r="G206" s="14"/>
      <c r="H206" s="279"/>
      <c r="I206" s="120"/>
      <c r="J206" s="279"/>
      <c r="K206" s="279"/>
      <c r="L206" s="14"/>
      <c r="M206" s="14"/>
      <c r="N206" s="14"/>
      <c r="O206" s="14"/>
      <c r="P206" s="14"/>
      <c r="Q206" s="120" t="s">
        <v>495</v>
      </c>
      <c r="R206" s="102" t="s">
        <v>127</v>
      </c>
      <c r="S206" s="689">
        <v>20</v>
      </c>
      <c r="T206" s="689"/>
      <c r="U206" s="47"/>
      <c r="V206" s="185"/>
    </row>
    <row r="207" spans="1:25" ht="18" hidden="1" customHeight="1">
      <c r="A207" s="299"/>
      <c r="B207" s="279"/>
      <c r="C207" s="47" t="s">
        <v>492</v>
      </c>
      <c r="D207" s="14"/>
      <c r="E207" s="14"/>
      <c r="F207" s="14"/>
      <c r="G207" s="14"/>
      <c r="H207" s="279"/>
      <c r="I207" s="120"/>
      <c r="J207" s="279"/>
      <c r="K207" s="279"/>
      <c r="L207" s="14"/>
      <c r="M207" s="14"/>
      <c r="N207" s="279"/>
      <c r="O207" s="279"/>
      <c r="P207" s="14"/>
      <c r="Q207" s="120" t="s">
        <v>493</v>
      </c>
      <c r="R207" s="14"/>
      <c r="S207" s="279"/>
      <c r="T207" s="279"/>
      <c r="U207" s="279"/>
      <c r="V207" s="300"/>
      <c r="W207" s="279"/>
      <c r="X207" s="279"/>
      <c r="Y207" s="279"/>
    </row>
    <row r="208" spans="1:25" ht="18" hidden="1" customHeight="1">
      <c r="A208" s="184"/>
      <c r="V208" s="185"/>
    </row>
    <row r="209" spans="1:22" ht="18" hidden="1" customHeight="1">
      <c r="A209" s="184"/>
      <c r="C209" s="28" t="s">
        <v>493</v>
      </c>
      <c r="D209" s="28" t="s">
        <v>127</v>
      </c>
      <c r="E209" s="28" t="s">
        <v>537</v>
      </c>
      <c r="F209" s="221">
        <v>1.3</v>
      </c>
      <c r="G209" s="221" t="s">
        <v>315</v>
      </c>
      <c r="H209" s="805" t="s">
        <v>473</v>
      </c>
      <c r="I209" s="815"/>
      <c r="J209" s="221" t="s">
        <v>315</v>
      </c>
      <c r="K209" s="221" t="s">
        <v>511</v>
      </c>
      <c r="L209" s="221" t="s">
        <v>541</v>
      </c>
      <c r="M209" s="221" t="s">
        <v>495</v>
      </c>
      <c r="N209" s="527" t="s">
        <v>542</v>
      </c>
      <c r="O209" s="221" t="s">
        <v>491</v>
      </c>
      <c r="V209" s="185"/>
    </row>
    <row r="210" spans="1:22" ht="18" hidden="1" customHeight="1">
      <c r="A210" s="184"/>
      <c r="C210" s="120"/>
      <c r="D210" s="27" t="s">
        <v>127</v>
      </c>
      <c r="E210" s="27" t="s">
        <v>537</v>
      </c>
      <c r="F210" s="245">
        <v>1.3</v>
      </c>
      <c r="G210" s="245" t="s">
        <v>315</v>
      </c>
      <c r="H210" s="993">
        <f>S202</f>
        <v>300</v>
      </c>
      <c r="I210" s="1234"/>
      <c r="J210" s="245" t="s">
        <v>315</v>
      </c>
      <c r="K210" s="245">
        <f>S205</f>
        <v>1</v>
      </c>
      <c r="L210" s="245" t="s">
        <v>541</v>
      </c>
      <c r="M210" s="245">
        <f>S206</f>
        <v>20</v>
      </c>
      <c r="N210" s="461" t="s">
        <v>542</v>
      </c>
      <c r="O210" s="502">
        <f>S203</f>
        <v>3</v>
      </c>
      <c r="V210" s="185"/>
    </row>
    <row r="211" spans="1:22" ht="18" hidden="1" customHeight="1">
      <c r="A211" s="184"/>
      <c r="D211" s="27" t="s">
        <v>127</v>
      </c>
      <c r="E211" s="684">
        <f>((F210*H210)/(K210*M210))-O210</f>
        <v>16.5</v>
      </c>
      <c r="F211" s="684"/>
      <c r="G211" s="27" t="s">
        <v>157</v>
      </c>
      <c r="V211" s="185"/>
    </row>
    <row r="212" spans="1:22" ht="18" hidden="1" customHeight="1">
      <c r="A212" s="184"/>
      <c r="D212" s="27"/>
      <c r="E212" s="27"/>
      <c r="F212" s="27"/>
      <c r="G212" s="27"/>
      <c r="V212" s="185"/>
    </row>
    <row r="213" spans="1:22" ht="18" hidden="1" customHeight="1">
      <c r="A213" s="184"/>
      <c r="D213" s="27"/>
      <c r="E213" s="27"/>
      <c r="F213" s="27"/>
      <c r="G213" s="27"/>
      <c r="V213" s="185"/>
    </row>
    <row r="214" spans="1:22" ht="18" hidden="1" customHeight="1">
      <c r="A214" s="184"/>
      <c r="D214" s="27"/>
      <c r="E214" s="27"/>
      <c r="F214" s="27"/>
      <c r="G214" s="27"/>
      <c r="V214" s="185"/>
    </row>
    <row r="215" spans="1:22" ht="18" hidden="1" customHeight="1">
      <c r="A215" s="184"/>
      <c r="D215" s="27"/>
      <c r="E215" s="27"/>
      <c r="F215" s="27"/>
      <c r="G215" s="27"/>
      <c r="V215" s="185"/>
    </row>
    <row r="216" spans="1:22" ht="18" hidden="1" customHeight="1">
      <c r="A216" s="184"/>
      <c r="D216" s="27"/>
      <c r="E216" s="27"/>
      <c r="F216" s="27"/>
      <c r="G216" s="27"/>
      <c r="V216" s="185"/>
    </row>
    <row r="217" spans="1:22" ht="18" hidden="1" customHeight="1">
      <c r="A217" s="184"/>
      <c r="V217" s="185"/>
    </row>
    <row r="218" spans="1:22" s="14" customFormat="1" ht="18" hidden="1" customHeight="1">
      <c r="A218" s="194"/>
      <c r="B218" s="195"/>
      <c r="C218" s="195"/>
      <c r="D218" s="195"/>
      <c r="E218" s="195"/>
      <c r="F218" s="195"/>
      <c r="G218" s="195"/>
      <c r="H218" s="195"/>
      <c r="I218" s="195"/>
      <c r="J218" s="195"/>
      <c r="K218" s="195"/>
      <c r="L218" s="195"/>
      <c r="M218" s="195"/>
      <c r="N218" s="195"/>
      <c r="O218" s="195"/>
      <c r="P218" s="195"/>
      <c r="Q218" s="224"/>
      <c r="R218" s="182"/>
      <c r="S218" s="225"/>
      <c r="T218" s="195"/>
      <c r="U218" s="195"/>
      <c r="V218" s="134" t="s">
        <v>552</v>
      </c>
    </row>
    <row r="219" spans="1:22" ht="18" hidden="1" customHeight="1">
      <c r="A219" s="226"/>
      <c r="B219" s="227"/>
      <c r="C219" s="227"/>
      <c r="D219" s="227"/>
      <c r="E219" s="227"/>
      <c r="F219" s="227"/>
      <c r="G219" s="227"/>
      <c r="H219" s="227"/>
      <c r="I219" s="227"/>
      <c r="J219" s="227"/>
      <c r="K219" s="227"/>
      <c r="L219" s="227"/>
      <c r="M219" s="227"/>
      <c r="N219" s="227"/>
      <c r="O219" s="227"/>
      <c r="P219" s="227"/>
      <c r="Q219" s="227"/>
      <c r="R219" s="227"/>
      <c r="S219" s="227"/>
      <c r="T219" s="227"/>
      <c r="U219" s="227"/>
      <c r="V219" s="228"/>
    </row>
    <row r="220" spans="1:22" ht="18" hidden="1" customHeight="1">
      <c r="A220" s="184"/>
      <c r="E220" s="244" t="s">
        <v>111</v>
      </c>
      <c r="F220" s="27" t="s">
        <v>127</v>
      </c>
      <c r="G220" s="689" t="s">
        <v>544</v>
      </c>
      <c r="H220" s="689"/>
      <c r="I220" s="191" t="s">
        <v>342</v>
      </c>
      <c r="J220" s="684" t="s">
        <v>423</v>
      </c>
      <c r="K220" s="684"/>
      <c r="V220" s="185"/>
    </row>
    <row r="221" spans="1:22" ht="18" hidden="1" customHeight="1">
      <c r="A221" s="184"/>
      <c r="F221" s="27" t="s">
        <v>127</v>
      </c>
      <c r="G221" s="684">
        <f>S200</f>
        <v>40000</v>
      </c>
      <c r="H221" s="684"/>
      <c r="I221" s="191" t="s">
        <v>342</v>
      </c>
      <c r="J221" s="684" t="str">
        <f>S201</f>
        <v>-</v>
      </c>
      <c r="K221" s="684"/>
      <c r="V221" s="185"/>
    </row>
    <row r="222" spans="1:22" ht="18" hidden="1" customHeight="1">
      <c r="A222" s="184"/>
      <c r="F222" s="27" t="s">
        <v>127</v>
      </c>
      <c r="G222" s="795" t="e">
        <f>G221/J221</f>
        <v>#VALUE!</v>
      </c>
      <c r="H222" s="795"/>
      <c r="I222" s="27"/>
      <c r="J222" s="27"/>
      <c r="K222" s="27"/>
      <c r="V222" s="185"/>
    </row>
    <row r="223" spans="1:22" ht="18" hidden="1" customHeight="1">
      <c r="A223" s="184"/>
      <c r="V223" s="185"/>
    </row>
    <row r="224" spans="1:22" ht="18" hidden="1" customHeight="1">
      <c r="A224" s="184"/>
      <c r="E224" s="244" t="s">
        <v>553</v>
      </c>
      <c r="F224" s="27" t="s">
        <v>127</v>
      </c>
      <c r="G224" s="245" t="s">
        <v>495</v>
      </c>
      <c r="H224" s="245" t="s">
        <v>554</v>
      </c>
      <c r="I224" s="221" t="s">
        <v>491</v>
      </c>
      <c r="J224" s="221" t="s">
        <v>347</v>
      </c>
      <c r="K224" s="221" t="s">
        <v>493</v>
      </c>
      <c r="L224" s="221" t="s">
        <v>539</v>
      </c>
      <c r="M224" s="221" t="s">
        <v>491</v>
      </c>
      <c r="N224" s="221" t="s">
        <v>347</v>
      </c>
      <c r="O224" s="221" t="s">
        <v>512</v>
      </c>
      <c r="P224" s="27" t="s">
        <v>350</v>
      </c>
      <c r="V224" s="185"/>
    </row>
    <row r="225" spans="1:22" ht="18" hidden="1" customHeight="1">
      <c r="A225" s="184"/>
      <c r="F225" s="27" t="s">
        <v>127</v>
      </c>
      <c r="G225" s="245">
        <f>S206</f>
        <v>20</v>
      </c>
      <c r="H225" s="245" t="s">
        <v>554</v>
      </c>
      <c r="I225" s="301">
        <f>S203</f>
        <v>3</v>
      </c>
      <c r="J225" s="245" t="s">
        <v>347</v>
      </c>
      <c r="K225" s="301">
        <f>E211</f>
        <v>16.5</v>
      </c>
      <c r="L225" s="245" t="s">
        <v>539</v>
      </c>
      <c r="M225" s="301">
        <f>S203</f>
        <v>3</v>
      </c>
      <c r="N225" s="245" t="s">
        <v>347</v>
      </c>
      <c r="O225" s="301">
        <f>S204</f>
        <v>2.6089401199999998</v>
      </c>
      <c r="P225" s="27" t="s">
        <v>350</v>
      </c>
      <c r="V225" s="185"/>
    </row>
    <row r="226" spans="1:22" ht="18" hidden="1" customHeight="1">
      <c r="A226" s="184"/>
      <c r="F226" s="27" t="s">
        <v>127</v>
      </c>
      <c r="G226" s="1111">
        <f>G225*((I225+K225)/(M225+O225))</f>
        <v>69.531853016109579</v>
      </c>
      <c r="H226" s="1111"/>
      <c r="I226" s="242"/>
      <c r="J226" s="242"/>
      <c r="K226" s="242"/>
      <c r="L226" s="242"/>
      <c r="M226" s="242"/>
      <c r="N226" s="242"/>
      <c r="O226" s="242"/>
      <c r="V226" s="185"/>
    </row>
    <row r="227" spans="1:22" ht="18" hidden="1" customHeight="1">
      <c r="A227" s="184"/>
      <c r="V227" s="185"/>
    </row>
    <row r="228" spans="1:22" ht="18" hidden="1" customHeight="1">
      <c r="A228" s="184"/>
      <c r="E228" s="244" t="s">
        <v>555</v>
      </c>
      <c r="F228" s="27" t="e">
        <f>IF(D229&gt;G229,"&gt;","&lt;")</f>
        <v>#VALUE!</v>
      </c>
      <c r="G228" s="296" t="s">
        <v>111</v>
      </c>
      <c r="V228" s="185"/>
    </row>
    <row r="229" spans="1:22" ht="18" hidden="1" customHeight="1">
      <c r="A229" s="184"/>
      <c r="D229" s="795">
        <f>G226</f>
        <v>69.531853016109579</v>
      </c>
      <c r="E229" s="795"/>
      <c r="F229" s="27" t="e">
        <f>F228</f>
        <v>#VALUE!</v>
      </c>
      <c r="G229" s="795" t="e">
        <f>G222</f>
        <v>#VALUE!</v>
      </c>
      <c r="H229" s="795"/>
      <c r="V229" s="185"/>
    </row>
    <row r="230" spans="1:22" ht="18" hidden="1" customHeight="1">
      <c r="A230" s="184"/>
      <c r="E230" s="244" t="s">
        <v>478</v>
      </c>
      <c r="G230" s="18" t="e">
        <f>IF(F228="&gt;","Suitably Dimentioned","Under Dimentioned")</f>
        <v>#VALUE!</v>
      </c>
      <c r="V230" s="185"/>
    </row>
    <row r="231" spans="1:22" ht="18" hidden="1" customHeight="1">
      <c r="A231" s="184"/>
      <c r="V231" s="185"/>
    </row>
    <row r="232" spans="1:22" ht="18" hidden="1" customHeight="1">
      <c r="A232" s="184"/>
      <c r="V232" s="185"/>
    </row>
    <row r="233" spans="1:22" ht="18" hidden="1" customHeight="1">
      <c r="A233" s="184"/>
      <c r="V233" s="185"/>
    </row>
    <row r="234" spans="1:22" ht="18" hidden="1" customHeight="1">
      <c r="A234" s="184"/>
      <c r="V234" s="185"/>
    </row>
    <row r="235" spans="1:22" ht="18" hidden="1" customHeight="1">
      <c r="A235" s="184"/>
      <c r="V235" s="185"/>
    </row>
    <row r="236" spans="1:22" ht="18" hidden="1" customHeight="1">
      <c r="A236" s="184"/>
      <c r="V236" s="185"/>
    </row>
    <row r="237" spans="1:22" ht="18" hidden="1" customHeight="1">
      <c r="A237" s="184"/>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s="14" customFormat="1" ht="18" hidden="1" customHeight="1">
      <c r="A262" s="135"/>
      <c r="B262" s="273"/>
      <c r="C262" s="273"/>
      <c r="D262" s="273"/>
      <c r="E262" s="273"/>
      <c r="F262" s="273"/>
      <c r="G262" s="273"/>
      <c r="H262" s="273"/>
      <c r="I262" s="273"/>
      <c r="J262" s="273"/>
      <c r="K262" s="273"/>
      <c r="L262" s="273"/>
      <c r="M262" s="273"/>
      <c r="N262" s="273"/>
      <c r="O262" s="273"/>
      <c r="P262" s="273"/>
      <c r="Q262" s="274"/>
      <c r="R262" s="138"/>
      <c r="S262" s="275"/>
      <c r="T262" s="273"/>
      <c r="U262" s="273"/>
      <c r="V262" s="276" t="s">
        <v>552</v>
      </c>
    </row>
    <row r="263" spans="1:22" ht="18" customHeight="1">
      <c r="A263" s="184"/>
      <c r="V263" s="185"/>
    </row>
    <row r="264" spans="1:22" ht="18" customHeight="1">
      <c r="A264" s="452" t="s">
        <v>501</v>
      </c>
      <c r="B264" s="14"/>
      <c r="C264" s="14"/>
      <c r="D264" s="120"/>
      <c r="E264" s="120"/>
      <c r="F264" s="18"/>
      <c r="G264" s="18"/>
      <c r="H264" s="14"/>
      <c r="I264" s="14"/>
      <c r="J264" s="14"/>
      <c r="K264" s="14"/>
      <c r="L264" s="14"/>
      <c r="M264" s="14"/>
      <c r="N264" s="14"/>
      <c r="O264" s="14"/>
      <c r="P264" s="28"/>
      <c r="Q264" s="120"/>
      <c r="R264" s="47"/>
      <c r="S264" s="206"/>
      <c r="T264" s="259"/>
      <c r="U264" s="14"/>
      <c r="V264" s="97"/>
    </row>
    <row r="265" spans="1:22" ht="56.4" customHeight="1">
      <c r="A265" s="868" t="s">
        <v>85</v>
      </c>
      <c r="B265" s="868"/>
      <c r="C265" s="869"/>
      <c r="D265" s="868" t="s">
        <v>86</v>
      </c>
      <c r="E265" s="868"/>
      <c r="F265" s="868"/>
      <c r="G265" s="868" t="s">
        <v>87</v>
      </c>
      <c r="H265" s="868"/>
      <c r="I265" s="868" t="s">
        <v>88</v>
      </c>
      <c r="J265" s="868"/>
      <c r="K265" s="955" t="s">
        <v>89</v>
      </c>
      <c r="L265" s="957"/>
      <c r="M265" s="955" t="s">
        <v>90</v>
      </c>
      <c r="N265" s="957"/>
      <c r="O265" s="955" t="s">
        <v>91</v>
      </c>
      <c r="P265" s="957"/>
      <c r="Q265" s="955" t="s">
        <v>92</v>
      </c>
      <c r="R265" s="957"/>
      <c r="S265" s="868" t="s">
        <v>93</v>
      </c>
      <c r="T265" s="868"/>
      <c r="U265" s="868"/>
      <c r="V265" s="868"/>
    </row>
    <row r="266" spans="1:22" ht="18" customHeight="1">
      <c r="A266" s="869" t="str">
        <f>B7</f>
        <v>T1</v>
      </c>
      <c r="B266" s="765" t="str">
        <f>D7</f>
        <v>Core1</v>
      </c>
      <c r="C266" s="765"/>
      <c r="D266" s="870">
        <f>H10</f>
        <v>1250</v>
      </c>
      <c r="E266" s="870"/>
      <c r="F266" s="871">
        <f>O10</f>
        <v>1</v>
      </c>
      <c r="G266" s="961">
        <f>'CT-VT Burdens'!S21</f>
        <v>120</v>
      </c>
      <c r="H266" s="874">
        <f>'CT-VT Burdens'!S10</f>
        <v>6</v>
      </c>
      <c r="I266" s="874" t="str">
        <f>H11</f>
        <v>PX-B</v>
      </c>
      <c r="J266" s="874"/>
      <c r="K266" s="869">
        <f>H12</f>
        <v>5</v>
      </c>
      <c r="L266" s="869"/>
      <c r="M266" s="869">
        <f>H13</f>
        <v>750</v>
      </c>
      <c r="N266" s="869"/>
      <c r="O266" s="870">
        <f>H14</f>
        <v>60</v>
      </c>
      <c r="P266" s="870"/>
      <c r="Q266" s="879" t="str">
        <f>T7</f>
        <v>REF650</v>
      </c>
      <c r="R266" s="879"/>
      <c r="S266" s="878" t="str">
        <f>G56</f>
        <v>Suitably Dimentioned</v>
      </c>
      <c r="T266" s="878"/>
      <c r="U266" s="878"/>
      <c r="V266" s="878"/>
    </row>
    <row r="267" spans="1:22" ht="18" customHeight="1">
      <c r="A267" s="869"/>
      <c r="B267" s="765"/>
      <c r="C267" s="765"/>
      <c r="D267" s="870" t="s">
        <v>6</v>
      </c>
      <c r="E267" s="870"/>
      <c r="F267" s="872"/>
      <c r="G267" s="961"/>
      <c r="H267" s="870"/>
      <c r="I267" s="874"/>
      <c r="J267" s="874"/>
      <c r="K267" s="869" t="s">
        <v>6</v>
      </c>
      <c r="L267" s="869"/>
      <c r="M267" s="869" t="s">
        <v>6</v>
      </c>
      <c r="N267" s="869"/>
      <c r="O267" s="870" t="s">
        <v>6</v>
      </c>
      <c r="P267" s="870"/>
      <c r="Q267" s="879"/>
      <c r="R267" s="879"/>
      <c r="S267" s="878" t="s">
        <v>6</v>
      </c>
      <c r="T267" s="878"/>
      <c r="U267" s="878"/>
      <c r="V267" s="878"/>
    </row>
    <row r="268" spans="1:22" ht="18" customHeight="1">
      <c r="A268" s="869"/>
      <c r="B268" s="765"/>
      <c r="C268" s="765"/>
      <c r="D268" s="870" t="s">
        <v>6</v>
      </c>
      <c r="E268" s="870"/>
      <c r="F268" s="873"/>
      <c r="G268" s="961"/>
      <c r="H268" s="870"/>
      <c r="I268" s="874"/>
      <c r="J268" s="874"/>
      <c r="K268" s="869" t="s">
        <v>6</v>
      </c>
      <c r="L268" s="869"/>
      <c r="M268" s="869" t="s">
        <v>6</v>
      </c>
      <c r="N268" s="869"/>
      <c r="O268" s="870" t="s">
        <v>6</v>
      </c>
      <c r="P268" s="870"/>
      <c r="Q268" s="879"/>
      <c r="R268" s="879"/>
      <c r="S268" s="878" t="s">
        <v>6</v>
      </c>
      <c r="T268" s="878"/>
      <c r="U268" s="878"/>
      <c r="V268" s="878"/>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s="14" customFormat="1" ht="18" customHeight="1">
      <c r="A300" s="194"/>
      <c r="B300" s="195"/>
      <c r="C300" s="195"/>
      <c r="D300" s="195"/>
      <c r="E300" s="195"/>
      <c r="F300" s="195"/>
      <c r="G300" s="195"/>
      <c r="H300" s="195"/>
      <c r="I300" s="195"/>
      <c r="J300" s="195"/>
      <c r="K300" s="195"/>
      <c r="L300" s="195"/>
      <c r="M300" s="195"/>
      <c r="N300" s="195"/>
      <c r="O300" s="195"/>
      <c r="P300" s="195"/>
      <c r="Q300" s="224"/>
      <c r="R300" s="182"/>
      <c r="S300" s="225"/>
      <c r="T300" s="195"/>
      <c r="U300" s="195"/>
      <c r="V300" s="134"/>
    </row>
  </sheetData>
  <mergeCells count="175">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 ref="A266:A268"/>
    <mergeCell ref="B266:C268"/>
    <mergeCell ref="D266:E266"/>
    <mergeCell ref="F266:F268"/>
    <mergeCell ref="G266:G268"/>
    <mergeCell ref="H266:H268"/>
    <mergeCell ref="I266:J268"/>
    <mergeCell ref="A265:C265"/>
    <mergeCell ref="D265:F265"/>
    <mergeCell ref="G265:H265"/>
    <mergeCell ref="I265:J265"/>
    <mergeCell ref="D268:E268"/>
    <mergeCell ref="G221:H221"/>
    <mergeCell ref="J221:K221"/>
    <mergeCell ref="G222:H222"/>
    <mergeCell ref="G226:H226"/>
    <mergeCell ref="D229:E229"/>
    <mergeCell ref="G229:H229"/>
    <mergeCell ref="S206:T206"/>
    <mergeCell ref="H209:I209"/>
    <mergeCell ref="H210:I210"/>
    <mergeCell ref="E211:F211"/>
    <mergeCell ref="G220:H220"/>
    <mergeCell ref="J220:K220"/>
    <mergeCell ref="S200:T200"/>
    <mergeCell ref="S201:T201"/>
    <mergeCell ref="S202:T202"/>
    <mergeCell ref="S203:T203"/>
    <mergeCell ref="S204:T204"/>
    <mergeCell ref="S205:T205"/>
    <mergeCell ref="J189:K189"/>
    <mergeCell ref="J190:K190"/>
    <mergeCell ref="J191:K191"/>
    <mergeCell ref="P191:Q191"/>
    <mergeCell ref="A193:V194"/>
    <mergeCell ref="H198:I198"/>
    <mergeCell ref="L180:M180"/>
    <mergeCell ref="L181:M181"/>
    <mergeCell ref="L182:M182"/>
    <mergeCell ref="L183:M183"/>
    <mergeCell ref="J187:K187"/>
    <mergeCell ref="J188:K188"/>
    <mergeCell ref="H178:I178"/>
    <mergeCell ref="J178:K178"/>
    <mergeCell ref="L178:M178"/>
    <mergeCell ref="T178:U178"/>
    <mergeCell ref="H179:I179"/>
    <mergeCell ref="J179:K179"/>
    <mergeCell ref="L179:M179"/>
    <mergeCell ref="B176:C176"/>
    <mergeCell ref="D176:E177"/>
    <mergeCell ref="H176:M176"/>
    <mergeCell ref="T176:U176"/>
    <mergeCell ref="B177:C177"/>
    <mergeCell ref="T177:U177"/>
    <mergeCell ref="G133:H133"/>
    <mergeCell ref="J133:K133"/>
    <mergeCell ref="G134:H134"/>
    <mergeCell ref="G138:H138"/>
    <mergeCell ref="D141:E141"/>
    <mergeCell ref="G141:H141"/>
    <mergeCell ref="S118:T118"/>
    <mergeCell ref="H121:I121"/>
    <mergeCell ref="H122:I122"/>
    <mergeCell ref="E123:F123"/>
    <mergeCell ref="G132:H132"/>
    <mergeCell ref="J132:K132"/>
    <mergeCell ref="S112:T112"/>
    <mergeCell ref="S113:T113"/>
    <mergeCell ref="S114:T114"/>
    <mergeCell ref="S115:T115"/>
    <mergeCell ref="S116:T116"/>
    <mergeCell ref="S117:T117"/>
    <mergeCell ref="J101:K101"/>
    <mergeCell ref="J102:K102"/>
    <mergeCell ref="J103:K103"/>
    <mergeCell ref="P103:Q103"/>
    <mergeCell ref="A105:V106"/>
    <mergeCell ref="H110:I110"/>
    <mergeCell ref="J92:K92"/>
    <mergeCell ref="J93:K93"/>
    <mergeCell ref="J94:K94"/>
    <mergeCell ref="J95:K95"/>
    <mergeCell ref="J99:K99"/>
    <mergeCell ref="J100:K100"/>
    <mergeCell ref="H90:I90"/>
    <mergeCell ref="J90:K90"/>
    <mergeCell ref="L90:M90"/>
    <mergeCell ref="T90:U90"/>
    <mergeCell ref="H91:I91"/>
    <mergeCell ref="J91:K91"/>
    <mergeCell ref="L91:M91"/>
    <mergeCell ref="B88:C88"/>
    <mergeCell ref="D88:E89"/>
    <mergeCell ref="H88:M88"/>
    <mergeCell ref="T88:U88"/>
    <mergeCell ref="B89:C89"/>
    <mergeCell ref="T89:U89"/>
    <mergeCell ref="G47:H47"/>
    <mergeCell ref="J47:K47"/>
    <mergeCell ref="G48:H48"/>
    <mergeCell ref="G52:H52"/>
    <mergeCell ref="D55:E55"/>
    <mergeCell ref="G55:H55"/>
    <mergeCell ref="S37:T37"/>
    <mergeCell ref="H40:I40"/>
    <mergeCell ref="H41:I41"/>
    <mergeCell ref="E42:F42"/>
    <mergeCell ref="G46:H46"/>
    <mergeCell ref="J46:K46"/>
    <mergeCell ref="S38:T38"/>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H9:I9"/>
    <mergeCell ref="J9:K9"/>
    <mergeCell ref="L9:M9"/>
    <mergeCell ref="H10:I10"/>
    <mergeCell ref="J10:K10"/>
    <mergeCell ref="L10:M10"/>
    <mergeCell ref="A5:B5"/>
    <mergeCell ref="D5:F5"/>
    <mergeCell ref="H5:N5"/>
    <mergeCell ref="O5:Q5"/>
    <mergeCell ref="R5:V5"/>
    <mergeCell ref="B7:C7"/>
    <mergeCell ref="D7:E7"/>
    <mergeCell ref="H7:M7"/>
    <mergeCell ref="T7:U7"/>
    <mergeCell ref="A1:G4"/>
    <mergeCell ref="H3:N4"/>
    <mergeCell ref="O3:Q3"/>
    <mergeCell ref="R3:V3"/>
    <mergeCell ref="O4:Q4"/>
    <mergeCell ref="R4:V4"/>
    <mergeCell ref="H1:N1"/>
    <mergeCell ref="O1:Q1"/>
    <mergeCell ref="R1:V1"/>
    <mergeCell ref="H2:N2"/>
    <mergeCell ref="O2:Q2"/>
    <mergeCell ref="R2:V2"/>
  </mergeCells>
  <conditionalFormatting sqref="G56 G142 G230">
    <cfRule type="cellIs" dxfId="189"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codeName="Sheet12">
    <tabColor rgb="FFFFFF00"/>
  </sheetPr>
  <dimension ref="A1:AR87"/>
  <sheetViews>
    <sheetView showZeros="0" view="pageBreakPreview" topLeftCell="A49" zoomScaleNormal="100" zoomScaleSheetLayoutView="100" workbookViewId="0">
      <selection activeCell="Q54" sqref="Q54"/>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[5]Title!O3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[5]Title!O4</f>
        <v>Revision No.</v>
      </c>
      <c r="P4" s="886"/>
      <c r="Q4" s="887"/>
      <c r="R4" s="775" t="str">
        <f>Title!R4</f>
        <v>A</v>
      </c>
      <c r="S4" s="1068"/>
      <c r="T4" s="1068"/>
      <c r="U4" s="1068"/>
      <c r="V4" s="776"/>
      <c r="W4" s="14"/>
      <c r="X4" s="14"/>
    </row>
    <row r="5" spans="1:24" ht="18" customHeight="1">
      <c r="A5" s="880" t="str">
        <f>[5]Title!A5</f>
        <v>Prep. By</v>
      </c>
      <c r="B5" s="943"/>
      <c r="C5" s="25" t="str">
        <f>[5]Title!C5</f>
        <v>AP</v>
      </c>
      <c r="D5" s="880" t="str">
        <f>[5]Title!D5</f>
        <v>Checked By</v>
      </c>
      <c r="E5" s="881"/>
      <c r="F5" s="943"/>
      <c r="G5" s="25" t="str">
        <f>[5]Title!G5</f>
        <v>RB</v>
      </c>
      <c r="H5" s="944" t="s">
        <v>891</v>
      </c>
      <c r="I5" s="945"/>
      <c r="J5" s="945"/>
      <c r="K5" s="945"/>
      <c r="L5" s="945"/>
      <c r="M5" s="945"/>
      <c r="N5" s="946"/>
      <c r="O5" s="947" t="str">
        <f>[5]Title!O5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1092" t="s">
        <v>506</v>
      </c>
      <c r="E7" s="1093"/>
      <c r="F7" s="455"/>
      <c r="H7" s="684"/>
      <c r="I7" s="684"/>
      <c r="J7" s="684"/>
      <c r="K7" s="684"/>
      <c r="L7" s="684"/>
      <c r="M7" s="684"/>
      <c r="P7" s="186"/>
      <c r="S7" s="187" t="s">
        <v>387</v>
      </c>
      <c r="T7" s="1075" t="s">
        <v>920</v>
      </c>
      <c r="U7" s="1076"/>
      <c r="V7" s="185"/>
    </row>
    <row r="8" spans="1:24" ht="18" customHeight="1">
      <c r="A8" s="456"/>
      <c r="F8" s="455"/>
      <c r="T8" s="1075" t="s">
        <v>925</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1250</v>
      </c>
      <c r="I10" s="1091"/>
      <c r="J10" s="1075" t="s">
        <v>6</v>
      </c>
      <c r="K10" s="1076"/>
      <c r="L10" s="1075" t="s">
        <v>6</v>
      </c>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224">
        <v>5</v>
      </c>
      <c r="I12" s="1225"/>
      <c r="J12" s="192" t="s">
        <v>333</v>
      </c>
      <c r="V12" s="185"/>
    </row>
    <row r="13" spans="1:24" ht="18" customHeight="1">
      <c r="A13" s="184"/>
      <c r="B13" s="47" t="s">
        <v>398</v>
      </c>
      <c r="G13" s="120" t="s">
        <v>498</v>
      </c>
      <c r="H13" s="1075">
        <v>750</v>
      </c>
      <c r="I13" s="1076"/>
      <c r="J13" s="14" t="s">
        <v>305</v>
      </c>
      <c r="U13" s="18"/>
      <c r="V13" s="185"/>
      <c r="W13" s="30" t="e">
        <f>#REF!</f>
        <v>#REF!</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MFAC</v>
      </c>
      <c r="E18" s="227"/>
      <c r="F18" s="227"/>
      <c r="G18" s="227"/>
      <c r="H18" s="138"/>
      <c r="I18" s="260" t="s">
        <v>127</v>
      </c>
      <c r="J18" s="1077">
        <f>'CT-VT Burdens'!Q104</f>
        <v>0.02</v>
      </c>
      <c r="K18" s="1078"/>
      <c r="L18" s="3" t="s">
        <v>157</v>
      </c>
      <c r="N18" s="197"/>
      <c r="V18" s="185"/>
    </row>
    <row r="19" spans="1:25" ht="18" customHeight="1">
      <c r="A19" s="184"/>
      <c r="B19" s="96" t="s">
        <v>405</v>
      </c>
      <c r="C19" s="14"/>
      <c r="D19" s="47" t="str">
        <f>T8</f>
        <v>MVTP</v>
      </c>
      <c r="E19" s="14"/>
      <c r="G19" s="199"/>
      <c r="H19" s="27"/>
      <c r="I19" s="101" t="s">
        <v>127</v>
      </c>
      <c r="J19" s="1077">
        <f>'CT-VT Burdens'!Q104</f>
        <v>0.02</v>
      </c>
      <c r="K19" s="1078"/>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Burdens'!S24</f>
        <v>1.0770224400000001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1.1170224400000002</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68"/>
      <c r="B24" s="5"/>
      <c r="C24" s="296" t="s">
        <v>924</v>
      </c>
      <c r="D24" s="14"/>
      <c r="E24" s="14"/>
      <c r="F24" s="14"/>
      <c r="G24" s="14"/>
      <c r="H24" s="279"/>
      <c r="I24" s="120"/>
      <c r="J24" s="279"/>
      <c r="K24" s="279"/>
      <c r="L24" s="14"/>
      <c r="M24" s="14"/>
      <c r="N24" s="14"/>
      <c r="O24" s="14"/>
      <c r="P24" s="14"/>
      <c r="Q24" s="244" t="s">
        <v>921</v>
      </c>
      <c r="R24" s="102" t="s">
        <v>127</v>
      </c>
      <c r="S24" s="1295">
        <f>'Parameters &amp; Fault Cal. (4)'!M71</f>
        <v>42229.804278926844</v>
      </c>
      <c r="T24" s="1238"/>
      <c r="U24" s="47" t="s">
        <v>8</v>
      </c>
      <c r="V24" s="185"/>
    </row>
    <row r="25" spans="1:25" ht="18" customHeight="1">
      <c r="A25" s="168"/>
      <c r="B25" s="5"/>
      <c r="C25" s="47" t="s">
        <v>654</v>
      </c>
      <c r="D25" s="14"/>
      <c r="E25" s="14"/>
      <c r="F25" s="18"/>
      <c r="G25" s="18"/>
      <c r="H25" s="279"/>
      <c r="I25" s="120"/>
      <c r="J25" s="279"/>
      <c r="K25" s="279"/>
      <c r="L25" s="14"/>
      <c r="M25" s="14"/>
      <c r="N25" s="14"/>
      <c r="O25" s="14"/>
      <c r="P25" s="14"/>
      <c r="Q25" s="120" t="s">
        <v>423</v>
      </c>
      <c r="R25" s="102" t="s">
        <v>127</v>
      </c>
      <c r="S25" s="689">
        <f>H10</f>
        <v>1250</v>
      </c>
      <c r="T25" s="689"/>
      <c r="U25" s="14" t="s">
        <v>8</v>
      </c>
      <c r="V25" s="185"/>
    </row>
    <row r="26" spans="1:25" ht="18" customHeight="1">
      <c r="A26" s="168"/>
      <c r="B26" s="5"/>
      <c r="C26" s="47" t="s">
        <v>819</v>
      </c>
      <c r="E26" s="14"/>
      <c r="F26" s="18"/>
      <c r="G26" s="18"/>
      <c r="H26" s="279"/>
      <c r="I26" s="120"/>
      <c r="J26" s="279"/>
      <c r="K26" s="279"/>
      <c r="L26" s="14"/>
      <c r="M26" s="14"/>
      <c r="N26" s="14"/>
      <c r="O26" s="14"/>
      <c r="P26" s="14"/>
      <c r="Q26" s="120" t="s">
        <v>820</v>
      </c>
      <c r="R26" s="28" t="s">
        <v>127</v>
      </c>
      <c r="S26" s="692">
        <f>S24/S25*O10</f>
        <v>33.783843423141477</v>
      </c>
      <c r="T26" s="692"/>
      <c r="U26" s="14" t="s">
        <v>8</v>
      </c>
      <c r="V26" s="185"/>
    </row>
    <row r="27" spans="1:25" ht="18" customHeight="1">
      <c r="A27" s="168"/>
      <c r="B27" s="5"/>
      <c r="C27" s="1050" t="s">
        <v>923</v>
      </c>
      <c r="D27" s="1050"/>
      <c r="E27" s="1050"/>
      <c r="F27" s="1050"/>
      <c r="G27" s="1050"/>
      <c r="H27" s="1050"/>
      <c r="I27" s="1050"/>
      <c r="J27" s="1050"/>
      <c r="K27" s="1050"/>
      <c r="L27" s="1050"/>
      <c r="M27" s="1050"/>
      <c r="N27" s="14"/>
      <c r="O27" s="14"/>
      <c r="P27" s="14"/>
      <c r="Q27" s="244" t="s">
        <v>922</v>
      </c>
      <c r="R27" s="28" t="s">
        <v>127</v>
      </c>
      <c r="S27" s="692">
        <f>J22/O10*O10</f>
        <v>1.1170224400000002</v>
      </c>
      <c r="T27" s="692"/>
      <c r="U27" s="192" t="s">
        <v>333</v>
      </c>
      <c r="V27" s="185"/>
      <c r="X27" s="279"/>
      <c r="Y27" s="279"/>
    </row>
    <row r="28" spans="1:25" ht="18" customHeight="1">
      <c r="A28" s="168"/>
      <c r="B28" s="5"/>
      <c r="C28" s="47" t="s">
        <v>822</v>
      </c>
      <c r="Q28" s="120" t="s">
        <v>823</v>
      </c>
      <c r="R28" s="28" t="s">
        <v>127</v>
      </c>
      <c r="S28" s="1237">
        <f>20*S25</f>
        <v>25000</v>
      </c>
      <c r="T28" s="1238"/>
      <c r="U28" s="14" t="s">
        <v>8</v>
      </c>
      <c r="V28" s="185"/>
      <c r="X28" s="279"/>
      <c r="Y28" s="279"/>
    </row>
    <row r="29" spans="1:25" ht="18" customHeight="1">
      <c r="A29" s="299"/>
      <c r="B29" s="279"/>
      <c r="C29" s="47" t="s">
        <v>824</v>
      </c>
      <c r="Q29" s="244" t="s">
        <v>825</v>
      </c>
      <c r="R29" s="28" t="s">
        <v>127</v>
      </c>
      <c r="S29" s="795">
        <f>S28/S25</f>
        <v>20</v>
      </c>
      <c r="T29" s="795"/>
      <c r="U29" s="14" t="s">
        <v>8</v>
      </c>
      <c r="V29" s="300"/>
      <c r="W29" s="279"/>
      <c r="X29" s="279"/>
      <c r="Y29" s="279"/>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85"/>
    </row>
    <row r="31" spans="1:25" ht="18" customHeight="1">
      <c r="A31" s="193" t="s">
        <v>755</v>
      </c>
      <c r="B31" s="14"/>
      <c r="C31" s="14"/>
      <c r="D31" s="14"/>
      <c r="E31" s="14"/>
      <c r="F31" s="14"/>
      <c r="G31" s="14"/>
      <c r="H31" s="14"/>
      <c r="K31" s="14"/>
      <c r="T31" s="14"/>
      <c r="U31" s="14"/>
      <c r="V31" s="185"/>
    </row>
    <row r="32" spans="1:25" ht="18" customHeight="1">
      <c r="A32" s="96"/>
      <c r="B32" s="14"/>
      <c r="C32" s="14"/>
      <c r="D32" s="14"/>
      <c r="E32" s="14"/>
      <c r="F32" s="14"/>
      <c r="G32" s="14"/>
      <c r="H32" s="14"/>
      <c r="K32" s="14"/>
      <c r="T32" s="14"/>
      <c r="U32" s="14"/>
      <c r="V32" s="185"/>
    </row>
    <row r="33" spans="1:23" ht="18" customHeight="1">
      <c r="A33" s="193" t="s">
        <v>826</v>
      </c>
      <c r="H33" s="28"/>
      <c r="I33" s="28"/>
      <c r="J33" s="28"/>
      <c r="K33" s="28"/>
      <c r="T33" s="14"/>
      <c r="U33" s="14"/>
      <c r="V33" s="185"/>
    </row>
    <row r="34" spans="1:23" ht="18" customHeight="1">
      <c r="A34" s="193"/>
      <c r="H34" s="28"/>
      <c r="I34" s="28"/>
      <c r="J34" s="28"/>
      <c r="K34" s="28"/>
      <c r="T34" s="14"/>
      <c r="U34" s="14"/>
      <c r="V34" s="185"/>
    </row>
    <row r="35" spans="1:23" ht="18" customHeight="1">
      <c r="A35" s="184"/>
      <c r="B35" s="689" t="s">
        <v>473</v>
      </c>
      <c r="C35" s="689"/>
      <c r="D35" s="28" t="s">
        <v>827</v>
      </c>
      <c r="E35" s="28">
        <v>2</v>
      </c>
      <c r="F35" s="27" t="s">
        <v>315</v>
      </c>
      <c r="G35" s="684" t="s">
        <v>921</v>
      </c>
      <c r="H35" s="689"/>
      <c r="I35" s="28" t="s">
        <v>672</v>
      </c>
      <c r="J35" s="689" t="s">
        <v>420</v>
      </c>
      <c r="K35" s="689"/>
      <c r="L35" s="28" t="s">
        <v>347</v>
      </c>
      <c r="M35" s="684" t="s">
        <v>922</v>
      </c>
      <c r="N35" s="689"/>
      <c r="O35" s="14" t="s">
        <v>350</v>
      </c>
      <c r="P35" s="14"/>
      <c r="Q35" s="14"/>
      <c r="R35" s="14"/>
      <c r="T35" s="14"/>
      <c r="U35" s="14"/>
      <c r="V35" s="185"/>
    </row>
    <row r="36" spans="1:23" ht="18" customHeight="1">
      <c r="A36" s="184"/>
      <c r="B36" s="14"/>
      <c r="C36" s="14"/>
      <c r="D36" s="102" t="s">
        <v>127</v>
      </c>
      <c r="E36" s="102">
        <v>2</v>
      </c>
      <c r="F36" s="191" t="s">
        <v>315</v>
      </c>
      <c r="G36" s="692">
        <f>S26</f>
        <v>33.783843423141477</v>
      </c>
      <c r="H36" s="689"/>
      <c r="I36" s="28" t="s">
        <v>672</v>
      </c>
      <c r="J36" s="689">
        <f>H12</f>
        <v>5</v>
      </c>
      <c r="K36" s="689"/>
      <c r="L36" s="28" t="s">
        <v>347</v>
      </c>
      <c r="M36" s="692">
        <f>S27</f>
        <v>1.1170224400000002</v>
      </c>
      <c r="N36" s="689"/>
      <c r="O36" s="14" t="s">
        <v>350</v>
      </c>
      <c r="S36" s="14"/>
      <c r="T36" s="14"/>
      <c r="U36" s="14"/>
      <c r="V36" s="185"/>
    </row>
    <row r="37" spans="1:23" ht="18" customHeight="1">
      <c r="A37" s="184"/>
      <c r="B37" s="14"/>
      <c r="C37" s="14"/>
      <c r="D37" s="102" t="s">
        <v>127</v>
      </c>
      <c r="E37" s="834">
        <f>E36*G36*(J36+M36)</f>
        <v>413.31305665760567</v>
      </c>
      <c r="F37" s="834"/>
      <c r="G37" s="211"/>
      <c r="H37" s="218"/>
      <c r="I37" s="14"/>
      <c r="J37" s="14"/>
      <c r="K37" s="14"/>
      <c r="L37" s="14"/>
      <c r="M37" s="14"/>
      <c r="N37" s="14"/>
      <c r="O37" s="14"/>
      <c r="P37" s="14"/>
      <c r="Q37" s="14"/>
      <c r="R37" s="14"/>
      <c r="V37" s="185"/>
    </row>
    <row r="38" spans="1:23" ht="18" customHeight="1">
      <c r="A38" s="96"/>
      <c r="B38" s="14"/>
      <c r="C38" s="14"/>
      <c r="D38" s="14"/>
      <c r="E38" s="14"/>
      <c r="F38" s="14"/>
      <c r="G38" s="14"/>
      <c r="H38" s="14"/>
      <c r="I38" s="14"/>
      <c r="J38" s="14"/>
      <c r="K38" s="14"/>
      <c r="L38" s="14"/>
      <c r="M38" s="14"/>
      <c r="N38" s="14"/>
      <c r="O38" s="14"/>
      <c r="P38" s="14"/>
      <c r="Q38" s="120"/>
      <c r="R38" s="28"/>
      <c r="S38" s="525"/>
      <c r="T38" s="14"/>
      <c r="U38" s="14"/>
      <c r="V38" s="381"/>
    </row>
    <row r="39" spans="1:23" ht="18" customHeight="1">
      <c r="A39" s="193" t="s">
        <v>829</v>
      </c>
      <c r="B39" s="197"/>
      <c r="C39" s="197"/>
      <c r="D39" s="197"/>
      <c r="E39" s="14"/>
      <c r="F39" s="14"/>
      <c r="G39" s="14"/>
      <c r="H39" s="14"/>
      <c r="I39" s="14"/>
      <c r="J39" s="14"/>
      <c r="K39" s="14"/>
      <c r="L39" s="14"/>
      <c r="M39" s="14"/>
      <c r="N39" s="14"/>
      <c r="O39" s="14"/>
      <c r="P39" s="27"/>
      <c r="Q39" s="28"/>
      <c r="T39" s="14"/>
      <c r="U39" s="14"/>
      <c r="V39" s="185"/>
    </row>
    <row r="40" spans="1:23" ht="18" customHeight="1">
      <c r="A40" s="193"/>
      <c r="B40" s="197"/>
      <c r="C40" s="197"/>
      <c r="D40" s="197"/>
      <c r="E40" s="14"/>
      <c r="F40" s="14"/>
      <c r="G40" s="14"/>
      <c r="H40" s="14"/>
      <c r="I40" s="14"/>
      <c r="J40" s="14"/>
      <c r="K40" s="14"/>
      <c r="L40" s="14"/>
      <c r="M40" s="14"/>
      <c r="N40" s="14"/>
      <c r="O40" s="14"/>
      <c r="P40" s="27"/>
      <c r="Q40" s="28"/>
      <c r="T40" s="14"/>
      <c r="U40" s="14"/>
      <c r="V40" s="185"/>
    </row>
    <row r="41" spans="1:23" ht="18" customHeight="1">
      <c r="A41" s="96"/>
      <c r="B41" s="197"/>
      <c r="C41" s="197"/>
      <c r="D41" s="14"/>
      <c r="E41" s="14"/>
      <c r="F41" s="14"/>
      <c r="G41" s="14"/>
      <c r="H41" s="14"/>
      <c r="I41" s="14"/>
      <c r="J41" s="14"/>
      <c r="K41" s="14"/>
      <c r="L41" s="14"/>
      <c r="M41" s="14"/>
      <c r="N41" s="14"/>
      <c r="O41" s="14"/>
      <c r="P41" s="14"/>
      <c r="Q41" s="14"/>
      <c r="R41" s="14"/>
      <c r="S41" s="14"/>
      <c r="T41" s="14"/>
      <c r="U41" s="14"/>
      <c r="V41" s="185"/>
    </row>
    <row r="42" spans="1:23" s="14" customFormat="1" ht="18" customHeight="1">
      <c r="A42" s="96"/>
      <c r="F42" s="244" t="s">
        <v>475</v>
      </c>
      <c r="G42" s="28" t="str">
        <f>IF(E43&gt;H43, "&gt;","&lt;")</f>
        <v>&gt;</v>
      </c>
      <c r="H42" s="14" t="s">
        <v>477</v>
      </c>
      <c r="V42" s="185"/>
    </row>
    <row r="43" spans="1:23" s="14" customFormat="1" ht="18" customHeight="1">
      <c r="A43" s="96"/>
      <c r="E43" s="834">
        <f>H13</f>
        <v>750</v>
      </c>
      <c r="F43" s="834"/>
      <c r="G43" s="28" t="str">
        <f>G42</f>
        <v>&gt;</v>
      </c>
      <c r="H43" s="692">
        <f>E37</f>
        <v>413.31305665760567</v>
      </c>
      <c r="I43" s="692"/>
      <c r="V43" s="185"/>
    </row>
    <row r="44" spans="1:23" ht="18" customHeight="1">
      <c r="A44" s="184"/>
      <c r="D44" s="211"/>
      <c r="E44" s="218"/>
      <c r="F44" s="199"/>
      <c r="G44" s="211"/>
      <c r="H44" s="281"/>
      <c r="J44" s="28"/>
      <c r="K44" s="18"/>
      <c r="P44" s="14"/>
      <c r="Q44" s="14"/>
      <c r="R44" s="14"/>
      <c r="S44" s="14"/>
      <c r="T44" s="14"/>
      <c r="U44" s="14"/>
      <c r="V44" s="185"/>
    </row>
    <row r="45" spans="1:23" ht="18" customHeight="1">
      <c r="A45" s="184"/>
      <c r="F45" s="244" t="s">
        <v>478</v>
      </c>
      <c r="H45" s="18" t="str">
        <f>IF(G43="&gt;","Suitably Dimentioned","Under Dimentioned")</f>
        <v>Suitably Dimentioned</v>
      </c>
      <c r="V45" s="185"/>
      <c r="W45" s="185"/>
    </row>
    <row r="46" spans="1:23" ht="18" customHeight="1">
      <c r="A46" s="262"/>
      <c r="B46" s="566"/>
      <c r="C46" s="566"/>
      <c r="D46" s="259"/>
      <c r="E46" s="259"/>
      <c r="F46" s="259"/>
      <c r="G46" s="259"/>
      <c r="H46" s="259"/>
      <c r="I46" s="259"/>
      <c r="J46" s="259"/>
      <c r="K46" s="259"/>
      <c r="L46" s="259"/>
      <c r="M46" s="259"/>
      <c r="N46" s="259"/>
      <c r="O46" s="259"/>
      <c r="P46" s="556"/>
      <c r="Q46" s="567"/>
      <c r="R46" s="207"/>
      <c r="S46" s="207"/>
      <c r="T46" s="207"/>
      <c r="U46" s="207"/>
      <c r="V46" s="453"/>
    </row>
    <row r="47" spans="1:23" ht="18" customHeight="1">
      <c r="A47" s="194"/>
      <c r="B47" s="195"/>
      <c r="C47" s="195"/>
      <c r="D47" s="195"/>
      <c r="E47" s="195"/>
      <c r="F47" s="306"/>
      <c r="G47" s="182"/>
      <c r="H47" s="195"/>
      <c r="I47" s="195"/>
      <c r="J47" s="195"/>
      <c r="K47" s="195"/>
      <c r="L47" s="195"/>
      <c r="M47" s="195"/>
      <c r="N47" s="195"/>
      <c r="O47" s="195"/>
      <c r="P47" s="564"/>
      <c r="Q47" s="565"/>
      <c r="R47" s="196"/>
      <c r="S47" s="196"/>
      <c r="T47" s="196"/>
      <c r="U47" s="196"/>
      <c r="V47" s="291"/>
    </row>
    <row r="48" spans="1:23" s="14" customFormat="1" ht="18" customHeight="1">
      <c r="A48" s="135"/>
      <c r="B48" s="273"/>
      <c r="C48" s="273"/>
      <c r="D48" s="273"/>
      <c r="E48" s="273"/>
      <c r="F48" s="273"/>
      <c r="G48" s="273"/>
      <c r="H48" s="273"/>
      <c r="I48" s="273"/>
      <c r="J48" s="273"/>
      <c r="K48" s="273"/>
      <c r="L48" s="273"/>
      <c r="M48" s="273"/>
      <c r="N48" s="273"/>
      <c r="O48" s="273"/>
      <c r="P48" s="273"/>
      <c r="Q48" s="274"/>
      <c r="R48" s="138"/>
      <c r="S48" s="275"/>
      <c r="T48" s="273"/>
      <c r="U48" s="273"/>
      <c r="V48" s="276"/>
    </row>
    <row r="49" spans="1:44" ht="18" customHeight="1">
      <c r="A49" s="452" t="s">
        <v>501</v>
      </c>
      <c r="B49" s="14"/>
      <c r="C49" s="14"/>
      <c r="D49" s="120"/>
      <c r="E49" s="120"/>
      <c r="F49" s="18"/>
      <c r="G49" s="18"/>
      <c r="H49" s="14"/>
      <c r="I49" s="14"/>
      <c r="J49" s="14"/>
      <c r="K49" s="14"/>
      <c r="L49" s="14"/>
      <c r="M49" s="14"/>
      <c r="N49" s="14"/>
      <c r="O49" s="14"/>
      <c r="P49" s="28"/>
      <c r="Q49" s="120"/>
      <c r="R49" s="47"/>
      <c r="S49" s="206"/>
      <c r="T49" s="259"/>
      <c r="U49" s="14"/>
      <c r="V49" s="97"/>
    </row>
    <row r="50" spans="1:44" ht="56.4" customHeight="1">
      <c r="A50" s="868" t="s">
        <v>85</v>
      </c>
      <c r="B50" s="868"/>
      <c r="C50" s="869"/>
      <c r="D50" s="868" t="s">
        <v>86</v>
      </c>
      <c r="E50" s="868"/>
      <c r="F50" s="868"/>
      <c r="G50" s="868" t="s">
        <v>87</v>
      </c>
      <c r="H50" s="868"/>
      <c r="I50" s="868" t="s">
        <v>88</v>
      </c>
      <c r="J50" s="868"/>
      <c r="K50" s="955" t="s">
        <v>89</v>
      </c>
      <c r="L50" s="957"/>
      <c r="M50" s="955" t="s">
        <v>90</v>
      </c>
      <c r="N50" s="957"/>
      <c r="O50" s="955" t="s">
        <v>91</v>
      </c>
      <c r="P50" s="957"/>
      <c r="Q50" s="955" t="s">
        <v>92</v>
      </c>
      <c r="R50" s="957"/>
      <c r="S50" s="868" t="s">
        <v>93</v>
      </c>
      <c r="T50" s="868"/>
      <c r="U50" s="868"/>
      <c r="V50" s="868"/>
    </row>
    <row r="51" spans="1:44" ht="18" customHeight="1">
      <c r="A51" s="869" t="str">
        <f>B7</f>
        <v>T1</v>
      </c>
      <c r="B51" s="765" t="str">
        <f>D7</f>
        <v>Core2</v>
      </c>
      <c r="C51" s="765"/>
      <c r="D51" s="870">
        <f>H10</f>
        <v>1250</v>
      </c>
      <c r="E51" s="870"/>
      <c r="F51" s="871">
        <f>O10</f>
        <v>1</v>
      </c>
      <c r="G51" s="961">
        <f>'CT-VT Burdens'!S21</f>
        <v>120</v>
      </c>
      <c r="H51" s="874">
        <f>'CT-VT Burdens'!S10</f>
        <v>6</v>
      </c>
      <c r="I51" s="874" t="str">
        <f>H11</f>
        <v>PX-B</v>
      </c>
      <c r="J51" s="874"/>
      <c r="K51" s="869">
        <f>H12</f>
        <v>5</v>
      </c>
      <c r="L51" s="869"/>
      <c r="M51" s="869">
        <f>H13</f>
        <v>750</v>
      </c>
      <c r="N51" s="869"/>
      <c r="O51" s="870">
        <f>H14</f>
        <v>60</v>
      </c>
      <c r="P51" s="870"/>
      <c r="Q51" s="879" t="str">
        <f>IF(T8="",T7,IF(T9="",T7&amp;" "&amp;T8,T7&amp;" "&amp;T8&amp;" "&amp;T9))</f>
        <v>MFAC MVTP</v>
      </c>
      <c r="R51" s="879"/>
      <c r="S51" s="878" t="str">
        <f>H45</f>
        <v>Suitably Dimentioned</v>
      </c>
      <c r="T51" s="878"/>
      <c r="U51" s="878"/>
      <c r="V51" s="878"/>
    </row>
    <row r="52" spans="1:44" ht="18" customHeight="1">
      <c r="A52" s="869"/>
      <c r="B52" s="765"/>
      <c r="C52" s="765"/>
      <c r="D52" s="870" t="s">
        <v>6</v>
      </c>
      <c r="E52" s="870"/>
      <c r="F52" s="872"/>
      <c r="G52" s="961"/>
      <c r="H52" s="870"/>
      <c r="I52" s="874"/>
      <c r="J52" s="874"/>
      <c r="K52" s="869" t="s">
        <v>6</v>
      </c>
      <c r="L52" s="869"/>
      <c r="M52" s="869" t="s">
        <v>6</v>
      </c>
      <c r="N52" s="869"/>
      <c r="O52" s="870" t="s">
        <v>6</v>
      </c>
      <c r="P52" s="870"/>
      <c r="Q52" s="879"/>
      <c r="R52" s="879"/>
      <c r="S52" s="878" t="s">
        <v>6</v>
      </c>
      <c r="T52" s="878"/>
      <c r="U52" s="878"/>
      <c r="V52" s="878"/>
    </row>
    <row r="53" spans="1:44" ht="18" customHeight="1">
      <c r="A53" s="869"/>
      <c r="B53" s="765"/>
      <c r="C53" s="765"/>
      <c r="D53" s="870" t="s">
        <v>6</v>
      </c>
      <c r="E53" s="870"/>
      <c r="F53" s="873"/>
      <c r="G53" s="961"/>
      <c r="H53" s="870"/>
      <c r="I53" s="874"/>
      <c r="J53" s="874"/>
      <c r="K53" s="869" t="s">
        <v>6</v>
      </c>
      <c r="L53" s="869"/>
      <c r="M53" s="869" t="s">
        <v>6</v>
      </c>
      <c r="N53" s="869"/>
      <c r="O53" s="870" t="s">
        <v>6</v>
      </c>
      <c r="P53" s="870"/>
      <c r="Q53" s="879"/>
      <c r="R53" s="879"/>
      <c r="S53" s="878" t="s">
        <v>6</v>
      </c>
      <c r="T53" s="878"/>
      <c r="U53" s="878"/>
      <c r="V53" s="878"/>
    </row>
    <row r="54" spans="1:44" ht="18" customHeight="1">
      <c r="A54" s="184"/>
      <c r="V54" s="185"/>
    </row>
    <row r="55" spans="1:44" ht="18" customHeight="1">
      <c r="A55" s="184"/>
      <c r="V55" s="185"/>
    </row>
    <row r="56" spans="1:44" ht="18" customHeight="1">
      <c r="A56" s="184"/>
      <c r="V56" s="185"/>
    </row>
    <row r="57" spans="1:44" ht="18" customHeight="1">
      <c r="A57" s="184"/>
      <c r="V57" s="185"/>
    </row>
    <row r="58" spans="1:44" ht="18" customHeight="1">
      <c r="A58" s="184"/>
      <c r="V58" s="185"/>
      <c r="AR58" s="185"/>
    </row>
    <row r="59" spans="1:44" ht="18" customHeight="1">
      <c r="A59" s="184"/>
      <c r="V59" s="185"/>
      <c r="AR59" s="185"/>
    </row>
    <row r="60" spans="1:44" ht="18" customHeight="1">
      <c r="A60" s="184"/>
      <c r="V60" s="185"/>
      <c r="AR60" s="185"/>
    </row>
    <row r="61" spans="1:44" ht="18" customHeight="1">
      <c r="A61" s="184"/>
      <c r="V61" s="185"/>
      <c r="AR61" s="185"/>
    </row>
    <row r="62" spans="1:44" ht="18" customHeight="1">
      <c r="A62" s="184"/>
      <c r="V62" s="185"/>
      <c r="AR62" s="185"/>
    </row>
    <row r="63" spans="1:44" ht="18" customHeight="1">
      <c r="A63" s="184"/>
      <c r="V63" s="185"/>
      <c r="AR63" s="185"/>
    </row>
    <row r="64" spans="1:44" ht="18" customHeight="1">
      <c r="A64" s="184"/>
      <c r="V64" s="185"/>
      <c r="AR64" s="185"/>
    </row>
    <row r="65" spans="1:44" ht="18" customHeight="1">
      <c r="A65" s="184"/>
      <c r="V65" s="185"/>
      <c r="AR65" s="185"/>
    </row>
    <row r="66" spans="1:44" ht="18" customHeight="1">
      <c r="A66" s="184"/>
      <c r="V66" s="185"/>
    </row>
    <row r="67" spans="1:44" ht="18" customHeight="1">
      <c r="A67" s="184"/>
      <c r="V67" s="185"/>
    </row>
    <row r="68" spans="1:44" ht="18" customHeight="1">
      <c r="A68" s="184"/>
      <c r="V68" s="185"/>
    </row>
    <row r="69" spans="1:44" ht="18" customHeight="1">
      <c r="A69" s="184"/>
      <c r="V69" s="185"/>
    </row>
    <row r="70" spans="1:44" ht="18" customHeight="1">
      <c r="A70" s="184"/>
      <c r="V70" s="185"/>
    </row>
    <row r="71" spans="1:44" ht="18" customHeight="1">
      <c r="A71" s="184"/>
      <c r="V71" s="185"/>
    </row>
    <row r="72" spans="1:44" ht="18" customHeight="1">
      <c r="A72" s="184"/>
      <c r="V72" s="185"/>
    </row>
    <row r="73" spans="1:44" ht="18" customHeight="1">
      <c r="A73" s="184"/>
      <c r="V73" s="185"/>
    </row>
    <row r="74" spans="1:44" ht="18" customHeight="1">
      <c r="A74" s="184"/>
      <c r="V74" s="185"/>
    </row>
    <row r="75" spans="1:44" ht="18" customHeight="1">
      <c r="A75" s="184"/>
      <c r="V75" s="185"/>
    </row>
    <row r="76" spans="1:44" ht="18" customHeight="1">
      <c r="A76" s="184"/>
      <c r="V76" s="185"/>
    </row>
    <row r="77" spans="1:44" ht="18" customHeight="1">
      <c r="A77" s="184"/>
      <c r="V77" s="185"/>
    </row>
    <row r="78" spans="1:44" ht="18" customHeight="1">
      <c r="A78" s="184"/>
      <c r="V78" s="185"/>
    </row>
    <row r="79" spans="1:44" ht="18" customHeight="1">
      <c r="A79" s="184"/>
      <c r="V79" s="185"/>
    </row>
    <row r="80" spans="1:44"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184"/>
      <c r="V86" s="185"/>
    </row>
    <row r="87" spans="1:22" ht="18"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sheetData>
  <mergeCells count="86">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 ref="A51:A53"/>
    <mergeCell ref="B51:C53"/>
    <mergeCell ref="D51:E51"/>
    <mergeCell ref="F51:F53"/>
    <mergeCell ref="G51:G53"/>
    <mergeCell ref="D52:E52"/>
    <mergeCell ref="D53:E53"/>
    <mergeCell ref="A50:C50"/>
    <mergeCell ref="D50:F50"/>
    <mergeCell ref="G50:H50"/>
    <mergeCell ref="I50:J50"/>
    <mergeCell ref="K50:L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Q50:R50"/>
    <mergeCell ref="S50:V50"/>
    <mergeCell ref="O50:P50"/>
    <mergeCell ref="M36:N36"/>
    <mergeCell ref="J19:K19"/>
    <mergeCell ref="J20:K20"/>
    <mergeCell ref="J21:K21"/>
    <mergeCell ref="M50:N50"/>
    <mergeCell ref="H11:I11"/>
    <mergeCell ref="H12:I12"/>
    <mergeCell ref="H13:I13"/>
    <mergeCell ref="H14:I14"/>
    <mergeCell ref="J18:K18"/>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H45">
    <cfRule type="cellIs" dxfId="188"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zoomScaleNormal="100" workbookViewId="0">
      <selection activeCell="T126" sqref="T126"/>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[4]Title!D5</f>
        <v>Checked By</v>
      </c>
      <c r="E5" s="881"/>
      <c r="F5" s="943"/>
      <c r="G5" s="25" t="str">
        <f>[4]Title!G5</f>
        <v>LN</v>
      </c>
      <c r="H5" s="1229" t="s">
        <v>891</v>
      </c>
      <c r="I5" s="1230"/>
      <c r="J5" s="1230"/>
      <c r="K5" s="1230"/>
      <c r="L5" s="1230"/>
      <c r="M5" s="1230"/>
      <c r="N5" s="1231"/>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544" t="s">
        <v>109</v>
      </c>
      <c r="E7" s="546"/>
      <c r="F7" s="255"/>
      <c r="H7" s="549"/>
      <c r="I7" s="549"/>
      <c r="J7" s="549"/>
      <c r="K7" s="549"/>
      <c r="L7" s="549"/>
      <c r="M7" s="549"/>
      <c r="P7" s="186"/>
      <c r="S7" s="187" t="s">
        <v>387</v>
      </c>
      <c r="T7" s="1226" t="s">
        <v>893</v>
      </c>
      <c r="U7" s="1227"/>
      <c r="V7" s="185"/>
    </row>
    <row r="8" spans="1:24" ht="18" customHeight="1">
      <c r="A8" s="184"/>
      <c r="B8" s="455"/>
      <c r="C8" s="538"/>
      <c r="D8" s="538"/>
      <c r="E8" s="538"/>
      <c r="F8" s="255"/>
      <c r="T8" s="1226" t="s">
        <v>508</v>
      </c>
      <c r="U8" s="1227"/>
      <c r="V8" s="185"/>
    </row>
    <row r="9" spans="1:24" ht="18" customHeight="1">
      <c r="A9" s="184"/>
      <c r="H9" s="789" t="s">
        <v>390</v>
      </c>
      <c r="I9" s="789"/>
      <c r="J9" s="790" t="s">
        <v>391</v>
      </c>
      <c r="K9" s="790"/>
      <c r="L9" s="790" t="s">
        <v>392</v>
      </c>
      <c r="M9" s="790"/>
      <c r="T9" s="1226" t="s">
        <v>897</v>
      </c>
      <c r="U9" s="1227"/>
      <c r="V9" s="185"/>
    </row>
    <row r="10" spans="1:24" ht="18" customHeight="1">
      <c r="A10" s="184"/>
      <c r="B10" s="47" t="s">
        <v>393</v>
      </c>
      <c r="H10" s="1090">
        <v>1250</v>
      </c>
      <c r="I10" s="1091"/>
      <c r="J10" s="1075" t="s">
        <v>6</v>
      </c>
      <c r="K10" s="1076"/>
      <c r="L10" s="1075" t="s">
        <v>6</v>
      </c>
      <c r="M10" s="1076"/>
      <c r="N10" s="191" t="s">
        <v>342</v>
      </c>
      <c r="O10" s="501">
        <v>1</v>
      </c>
      <c r="P10" s="27" t="s">
        <v>8</v>
      </c>
      <c r="R10" s="255"/>
      <c r="S10" s="255"/>
      <c r="T10" s="1226" t="s">
        <v>898</v>
      </c>
      <c r="U10" s="1227"/>
      <c r="V10" s="185"/>
    </row>
    <row r="11" spans="1:24" ht="18" customHeight="1">
      <c r="A11" s="184"/>
      <c r="B11" s="47" t="s">
        <v>394</v>
      </c>
      <c r="H11" s="1075" t="s">
        <v>813</v>
      </c>
      <c r="I11" s="1076"/>
      <c r="T11" s="1226" t="s">
        <v>916</v>
      </c>
      <c r="U11" s="1227"/>
      <c r="V11" s="185"/>
    </row>
    <row r="12" spans="1:24" ht="18" customHeight="1">
      <c r="A12" s="184"/>
      <c r="B12" s="47" t="s">
        <v>396</v>
      </c>
      <c r="G12" s="120" t="s">
        <v>497</v>
      </c>
      <c r="H12" s="1075">
        <v>5</v>
      </c>
      <c r="I12" s="1076"/>
      <c r="J12" s="192" t="s">
        <v>333</v>
      </c>
      <c r="T12" s="1226" t="s">
        <v>915</v>
      </c>
      <c r="U12" s="1227"/>
      <c r="V12" s="185"/>
    </row>
    <row r="13" spans="1:24" ht="18" customHeight="1">
      <c r="A13" s="184"/>
      <c r="B13" s="47" t="s">
        <v>398</v>
      </c>
      <c r="G13" s="120" t="s">
        <v>498</v>
      </c>
      <c r="H13" s="1075"/>
      <c r="I13" s="1076"/>
      <c r="J13" s="14" t="s">
        <v>305</v>
      </c>
      <c r="T13" s="295"/>
      <c r="U13" s="18"/>
      <c r="V13" s="185"/>
      <c r="W13" s="30" t="str">
        <f>G60</f>
        <v>Suitably Dimentioned</v>
      </c>
    </row>
    <row r="14" spans="1:24" ht="18" customHeight="1">
      <c r="A14" s="184"/>
      <c r="B14" s="14" t="s">
        <v>401</v>
      </c>
      <c r="G14" s="120" t="s">
        <v>402</v>
      </c>
      <c r="H14" s="1075"/>
      <c r="I14" s="1076"/>
      <c r="J14" s="14" t="s">
        <v>403</v>
      </c>
      <c r="V14" s="185"/>
    </row>
    <row r="15" spans="1:24" ht="18" customHeight="1">
      <c r="A15" s="184"/>
      <c r="V15" s="185"/>
    </row>
    <row r="16" spans="1:24" ht="18" customHeight="1">
      <c r="A16" s="193" t="s">
        <v>404</v>
      </c>
      <c r="V16" s="185"/>
    </row>
    <row r="17" spans="1:23" ht="18" customHeight="1">
      <c r="A17" s="184"/>
      <c r="V17" s="185"/>
    </row>
    <row r="18" spans="1:23" ht="18" customHeight="1">
      <c r="A18" s="184"/>
      <c r="B18" s="135" t="s">
        <v>405</v>
      </c>
      <c r="C18" s="273"/>
      <c r="D18" s="139" t="str">
        <f>T7</f>
        <v>REF650</v>
      </c>
      <c r="E18" s="227"/>
      <c r="F18" s="227"/>
      <c r="G18" s="227"/>
      <c r="H18" s="138"/>
      <c r="I18" s="260" t="s">
        <v>127</v>
      </c>
      <c r="J18" s="1077">
        <f>'CT-VT Burdens'!Q104</f>
        <v>0.02</v>
      </c>
      <c r="K18" s="1078"/>
      <c r="L18" s="3" t="s">
        <v>157</v>
      </c>
      <c r="N18" s="197" t="s">
        <v>510</v>
      </c>
      <c r="V18" s="185"/>
    </row>
    <row r="19" spans="1:23" ht="18" customHeight="1">
      <c r="A19" s="184"/>
      <c r="B19" s="96" t="s">
        <v>405</v>
      </c>
      <c r="D19" s="296" t="str">
        <f>T8</f>
        <v>REC670</v>
      </c>
      <c r="I19" s="177" t="s">
        <v>127</v>
      </c>
      <c r="J19" s="1232">
        <f>'CT-VT Burdens'!Q104</f>
        <v>0.02</v>
      </c>
      <c r="K19" s="1233"/>
      <c r="L19" s="198" t="s">
        <v>157</v>
      </c>
      <c r="P19" s="244"/>
      <c r="V19" s="185"/>
    </row>
    <row r="20" spans="1:23" ht="18" customHeight="1">
      <c r="A20" s="184"/>
      <c r="B20" s="96" t="s">
        <v>405</v>
      </c>
      <c r="C20" s="14"/>
      <c r="D20" s="47" t="str">
        <f>T9</f>
        <v>IDM+18</v>
      </c>
      <c r="E20" s="14"/>
      <c r="G20" s="199"/>
      <c r="H20" s="27"/>
      <c r="I20" s="101" t="s">
        <v>127</v>
      </c>
      <c r="J20" s="1220">
        <f>'CT-VT Burdens'!Q149</f>
        <v>5.8000000000000003E-2</v>
      </c>
      <c r="K20" s="1221"/>
      <c r="L20" s="202" t="s">
        <v>157</v>
      </c>
      <c r="N20" s="120" t="s">
        <v>491</v>
      </c>
      <c r="O20" s="27" t="s">
        <v>127</v>
      </c>
      <c r="P20" s="27" t="s">
        <v>511</v>
      </c>
      <c r="Q20" s="27" t="s">
        <v>315</v>
      </c>
      <c r="R20" s="27" t="s">
        <v>511</v>
      </c>
      <c r="S20" s="27" t="s">
        <v>315</v>
      </c>
      <c r="T20" s="27" t="s">
        <v>420</v>
      </c>
      <c r="V20" s="185"/>
    </row>
    <row r="21" spans="1:23" ht="18" customHeight="1">
      <c r="A21" s="184"/>
      <c r="B21" s="96" t="s">
        <v>405</v>
      </c>
      <c r="C21" s="14"/>
      <c r="D21" s="47" t="str">
        <f t="shared" ref="D21:D22" si="0">T10</f>
        <v>P141</v>
      </c>
      <c r="E21" s="14"/>
      <c r="G21" s="199"/>
      <c r="H21" s="27"/>
      <c r="I21" s="101"/>
      <c r="J21" s="1220">
        <f>'CT-VT Burdens'!Q161</f>
        <v>0.04</v>
      </c>
      <c r="K21" s="1077"/>
      <c r="L21" s="202"/>
      <c r="N21" s="120"/>
      <c r="O21" s="27"/>
      <c r="P21" s="27"/>
      <c r="Q21" s="27"/>
      <c r="R21" s="27"/>
      <c r="S21" s="27"/>
      <c r="T21" s="27"/>
      <c r="V21" s="185"/>
    </row>
    <row r="22" spans="1:23" ht="18" customHeight="1">
      <c r="A22" s="184"/>
      <c r="B22" s="96" t="s">
        <v>405</v>
      </c>
      <c r="C22" s="14"/>
      <c r="D22" s="47" t="str">
        <f t="shared" si="0"/>
        <v>PQ100</v>
      </c>
      <c r="E22" s="14"/>
      <c r="G22" s="199"/>
      <c r="H22" s="27"/>
      <c r="I22" s="101"/>
      <c r="J22" s="1220"/>
      <c r="K22" s="1077"/>
      <c r="L22" s="202"/>
      <c r="N22" s="120"/>
      <c r="O22" s="27"/>
      <c r="P22" s="27"/>
      <c r="Q22" s="27"/>
      <c r="R22" s="27"/>
      <c r="S22" s="27"/>
      <c r="T22" s="27"/>
      <c r="V22" s="185"/>
    </row>
    <row r="23" spans="1:23" ht="18" customHeight="1">
      <c r="A23" s="184"/>
      <c r="B23" s="184" t="s">
        <v>412</v>
      </c>
      <c r="C23" s="14"/>
      <c r="D23" s="14"/>
      <c r="E23" s="14"/>
      <c r="H23" s="27"/>
      <c r="I23" s="101" t="s">
        <v>127</v>
      </c>
      <c r="J23" s="1081">
        <f>'CT-VT Burdens'!S24</f>
        <v>1.0770224400000001</v>
      </c>
      <c r="K23" s="1082"/>
      <c r="L23" s="297" t="s">
        <v>157</v>
      </c>
      <c r="O23" s="27" t="s">
        <v>127</v>
      </c>
      <c r="P23" s="27">
        <f>O10</f>
        <v>1</v>
      </c>
      <c r="Q23" s="27" t="s">
        <v>315</v>
      </c>
      <c r="R23" s="27">
        <f>O10</f>
        <v>1</v>
      </c>
      <c r="S23" s="27" t="s">
        <v>315</v>
      </c>
      <c r="T23" s="27">
        <f>H12</f>
        <v>5</v>
      </c>
      <c r="V23" s="185"/>
    </row>
    <row r="24" spans="1:23" ht="18" customHeight="1">
      <c r="A24" s="184"/>
      <c r="B24" s="1" t="s">
        <v>413</v>
      </c>
      <c r="C24" s="2"/>
      <c r="D24" s="2"/>
      <c r="E24" s="2"/>
      <c r="F24" s="196"/>
      <c r="G24" s="196"/>
      <c r="H24" s="224" t="s">
        <v>512</v>
      </c>
      <c r="I24" s="183" t="s">
        <v>127</v>
      </c>
      <c r="J24" s="722">
        <f>SUM(J18:J23)</f>
        <v>1.2150224400000003</v>
      </c>
      <c r="K24" s="958"/>
      <c r="L24" s="3" t="s">
        <v>157</v>
      </c>
      <c r="O24" s="27" t="s">
        <v>127</v>
      </c>
      <c r="P24" s="795">
        <f>P23*R23*T23</f>
        <v>5</v>
      </c>
      <c r="Q24" s="684"/>
      <c r="R24" s="27" t="s">
        <v>157</v>
      </c>
      <c r="S24" s="27"/>
      <c r="T24" s="27"/>
      <c r="V24" s="185"/>
    </row>
    <row r="25" spans="1:23" ht="18" customHeight="1">
      <c r="A25" s="184"/>
      <c r="B25" s="47"/>
      <c r="C25" s="47"/>
      <c r="D25" s="47"/>
      <c r="E25" s="47"/>
      <c r="H25" s="27"/>
      <c r="I25" s="28"/>
      <c r="J25" s="199"/>
      <c r="L25" s="47"/>
      <c r="O25" s="27"/>
      <c r="P25" s="211"/>
      <c r="Q25" s="27"/>
      <c r="R25" s="204"/>
      <c r="S25" s="27"/>
      <c r="V25" s="185"/>
    </row>
    <row r="26" spans="1:23" ht="18" customHeight="1">
      <c r="A26" s="1206" t="s">
        <v>536</v>
      </c>
      <c r="B26" s="1207"/>
      <c r="C26" s="1207"/>
      <c r="D26" s="1207"/>
      <c r="E26" s="1207"/>
      <c r="F26" s="1207"/>
      <c r="G26" s="1207"/>
      <c r="H26" s="1207"/>
      <c r="I26" s="1207"/>
      <c r="J26" s="1207"/>
      <c r="K26" s="1207"/>
      <c r="L26" s="1207"/>
      <c r="M26" s="1207"/>
      <c r="N26" s="1207"/>
      <c r="O26" s="1207"/>
      <c r="P26" s="1207"/>
      <c r="Q26" s="1207"/>
      <c r="R26" s="1207"/>
      <c r="S26" s="1207"/>
      <c r="T26" s="1207"/>
      <c r="U26" s="1207"/>
      <c r="V26" s="1208"/>
      <c r="W26" s="30" t="s">
        <v>536</v>
      </c>
    </row>
    <row r="27" spans="1:23" ht="18" customHeight="1">
      <c r="A27" s="1209"/>
      <c r="B27" s="1207"/>
      <c r="C27" s="1207"/>
      <c r="D27" s="1207"/>
      <c r="E27" s="1207"/>
      <c r="F27" s="1207"/>
      <c r="G27" s="1207"/>
      <c r="H27" s="1207"/>
      <c r="I27" s="1207"/>
      <c r="J27" s="1207"/>
      <c r="K27" s="1207"/>
      <c r="L27" s="1207"/>
      <c r="M27" s="1207"/>
      <c r="N27" s="1207"/>
      <c r="O27" s="1207"/>
      <c r="P27" s="1207"/>
      <c r="Q27" s="1207"/>
      <c r="R27" s="1207"/>
      <c r="S27" s="1207"/>
      <c r="T27" s="1207"/>
      <c r="U27" s="1207"/>
      <c r="V27" s="1208"/>
    </row>
    <row r="28" spans="1:23" ht="18" customHeight="1">
      <c r="A28" s="184"/>
      <c r="Q28" s="211"/>
      <c r="R28" s="192"/>
      <c r="V28" s="185"/>
    </row>
    <row r="29" spans="1:23" ht="18" customHeight="1">
      <c r="A29" s="184"/>
      <c r="C29" s="28" t="s">
        <v>473</v>
      </c>
      <c r="D29" s="28" t="s">
        <v>127</v>
      </c>
      <c r="E29" s="28" t="s">
        <v>537</v>
      </c>
      <c r="F29" s="120" t="s">
        <v>493</v>
      </c>
      <c r="G29" s="28" t="s">
        <v>347</v>
      </c>
      <c r="H29" s="120" t="s">
        <v>491</v>
      </c>
      <c r="I29" s="28" t="s">
        <v>538</v>
      </c>
      <c r="J29" s="28" t="s">
        <v>495</v>
      </c>
      <c r="K29" s="28" t="s">
        <v>539</v>
      </c>
      <c r="L29" s="28" t="s">
        <v>511</v>
      </c>
      <c r="M29" s="28" t="s">
        <v>315</v>
      </c>
      <c r="N29" s="28">
        <v>1.3</v>
      </c>
      <c r="O29" s="47" t="s">
        <v>350</v>
      </c>
      <c r="V29" s="185"/>
    </row>
    <row r="30" spans="1:23" ht="18" customHeight="1">
      <c r="A30" s="184" t="s">
        <v>540</v>
      </c>
      <c r="C30" s="28"/>
      <c r="D30" s="28"/>
      <c r="E30" s="14"/>
      <c r="F30" s="14"/>
      <c r="G30" s="14"/>
      <c r="H30" s="14"/>
      <c r="I30" s="14"/>
      <c r="J30" s="14"/>
      <c r="K30" s="14"/>
      <c r="L30" s="14"/>
      <c r="M30" s="14"/>
      <c r="N30" s="14"/>
      <c r="O30" s="14"/>
      <c r="V30" s="185"/>
    </row>
    <row r="31" spans="1:23" ht="18" customHeight="1">
      <c r="A31" s="184"/>
      <c r="C31" s="28" t="s">
        <v>493</v>
      </c>
      <c r="D31" s="28" t="s">
        <v>127</v>
      </c>
      <c r="E31" s="28" t="s">
        <v>537</v>
      </c>
      <c r="F31" s="28">
        <v>1.3</v>
      </c>
      <c r="G31" s="28" t="s">
        <v>315</v>
      </c>
      <c r="H31" s="689" t="s">
        <v>473</v>
      </c>
      <c r="I31" s="716"/>
      <c r="J31" s="28" t="s">
        <v>315</v>
      </c>
      <c r="K31" s="28" t="s">
        <v>511</v>
      </c>
      <c r="L31" s="28" t="s">
        <v>541</v>
      </c>
      <c r="M31" s="28" t="s">
        <v>495</v>
      </c>
      <c r="N31" s="47" t="s">
        <v>542</v>
      </c>
      <c r="O31" s="120" t="s">
        <v>491</v>
      </c>
      <c r="V31" s="185"/>
    </row>
    <row r="32" spans="1:23" ht="18" customHeight="1">
      <c r="A32" s="184"/>
      <c r="V32" s="185"/>
    </row>
    <row r="33" spans="1:25" ht="18" customHeight="1">
      <c r="A33" s="168"/>
      <c r="B33" s="5"/>
      <c r="C33" s="47" t="s">
        <v>543</v>
      </c>
      <c r="D33" s="14"/>
      <c r="E33" s="14"/>
      <c r="F33" s="14"/>
      <c r="G33" s="14"/>
      <c r="H33" s="279"/>
      <c r="I33" s="120"/>
      <c r="J33" s="279"/>
      <c r="K33" s="279"/>
      <c r="L33" s="14"/>
      <c r="M33" s="14"/>
      <c r="N33" s="14"/>
      <c r="O33" s="14"/>
      <c r="P33" s="14"/>
      <c r="Q33" s="120" t="s">
        <v>544</v>
      </c>
      <c r="R33" s="102" t="s">
        <v>127</v>
      </c>
      <c r="S33" s="689">
        <f>'Parameters &amp; Fault Cal. (4)'!Q32</f>
        <v>50000</v>
      </c>
      <c r="T33" s="689"/>
      <c r="U33" s="47" t="s">
        <v>8</v>
      </c>
      <c r="V33" s="185"/>
    </row>
    <row r="34" spans="1:25" ht="18" customHeight="1">
      <c r="A34" s="168"/>
      <c r="B34" s="5"/>
      <c r="C34" s="47" t="s">
        <v>545</v>
      </c>
      <c r="D34" s="14"/>
      <c r="E34" s="14"/>
      <c r="F34" s="18"/>
      <c r="G34" s="18"/>
      <c r="H34" s="279"/>
      <c r="I34" s="120"/>
      <c r="J34" s="279"/>
      <c r="K34" s="279"/>
      <c r="L34" s="14"/>
      <c r="M34" s="14"/>
      <c r="N34" s="14"/>
      <c r="O34" s="14"/>
      <c r="P34" s="14"/>
      <c r="Q34" s="120" t="s">
        <v>423</v>
      </c>
      <c r="R34" s="102" t="s">
        <v>127</v>
      </c>
      <c r="S34" s="689">
        <f>H10</f>
        <v>1250</v>
      </c>
      <c r="T34" s="689"/>
      <c r="U34" s="14" t="s">
        <v>8</v>
      </c>
      <c r="V34" s="185"/>
    </row>
    <row r="35" spans="1:25" ht="18" customHeight="1">
      <c r="A35" s="168"/>
      <c r="B35" s="5"/>
      <c r="C35" s="47" t="s">
        <v>546</v>
      </c>
      <c r="D35" s="14"/>
      <c r="E35" s="14"/>
      <c r="F35" s="18"/>
      <c r="G35" s="18"/>
      <c r="H35" s="279"/>
      <c r="I35" s="120"/>
      <c r="J35" s="279"/>
      <c r="K35" s="279"/>
      <c r="L35" s="14"/>
      <c r="M35" s="14"/>
      <c r="N35" s="14"/>
      <c r="O35" s="14"/>
      <c r="P35" s="14"/>
      <c r="Q35" s="120" t="s">
        <v>473</v>
      </c>
      <c r="R35" s="102" t="s">
        <v>127</v>
      </c>
      <c r="S35" s="689">
        <f>H13</f>
        <v>0</v>
      </c>
      <c r="T35" s="689"/>
      <c r="U35" s="14" t="s">
        <v>305</v>
      </c>
      <c r="V35" s="185"/>
    </row>
    <row r="36" spans="1:25" ht="18" customHeight="1">
      <c r="A36" s="168"/>
      <c r="B36" s="5"/>
      <c r="C36" s="47" t="s">
        <v>547</v>
      </c>
      <c r="D36" s="14"/>
      <c r="E36" s="14"/>
      <c r="F36" s="18"/>
      <c r="G36" s="18"/>
      <c r="H36" s="279"/>
      <c r="I36" s="120"/>
      <c r="J36" s="279"/>
      <c r="K36" s="279"/>
      <c r="L36" s="14"/>
      <c r="M36" s="14"/>
      <c r="N36" s="14"/>
      <c r="O36" s="14"/>
      <c r="P36" s="14"/>
      <c r="Q36" s="120" t="s">
        <v>491</v>
      </c>
      <c r="R36" s="102" t="s">
        <v>127</v>
      </c>
      <c r="S36" s="692">
        <f>P24</f>
        <v>5</v>
      </c>
      <c r="T36" s="689"/>
      <c r="U36" s="14" t="s">
        <v>157</v>
      </c>
      <c r="V36" s="185"/>
      <c r="W36" s="279"/>
      <c r="X36" s="279"/>
      <c r="Y36" s="279"/>
    </row>
    <row r="37" spans="1:25" ht="18" customHeight="1">
      <c r="A37" s="168"/>
      <c r="B37" s="5"/>
      <c r="C37" s="47" t="s">
        <v>548</v>
      </c>
      <c r="D37" s="14"/>
      <c r="E37" s="14"/>
      <c r="F37" s="18"/>
      <c r="G37" s="18"/>
      <c r="H37" s="279"/>
      <c r="I37" s="120"/>
      <c r="J37" s="279"/>
      <c r="K37" s="279"/>
      <c r="L37" s="14"/>
      <c r="M37" s="14"/>
      <c r="N37" s="14"/>
      <c r="O37" s="14"/>
      <c r="P37" s="14"/>
      <c r="Q37" s="120" t="s">
        <v>512</v>
      </c>
      <c r="R37" s="102" t="s">
        <v>127</v>
      </c>
      <c r="S37" s="692">
        <f>J24</f>
        <v>1.2150224400000003</v>
      </c>
      <c r="T37" s="689"/>
      <c r="U37" s="14" t="s">
        <v>157</v>
      </c>
      <c r="V37" s="185"/>
      <c r="X37" s="279"/>
      <c r="Y37" s="279"/>
    </row>
    <row r="38" spans="1:25" ht="18" customHeight="1">
      <c r="A38" s="168"/>
      <c r="B38" s="5"/>
      <c r="C38" s="47" t="s">
        <v>549</v>
      </c>
      <c r="D38" s="14"/>
      <c r="E38" s="14"/>
      <c r="F38" s="14"/>
      <c r="G38" s="14"/>
      <c r="H38" s="279"/>
      <c r="I38" s="120"/>
      <c r="J38" s="279"/>
      <c r="K38" s="279"/>
      <c r="L38" s="14"/>
      <c r="M38" s="14"/>
      <c r="N38" s="14"/>
      <c r="O38" s="14"/>
      <c r="P38" s="14"/>
      <c r="Q38" s="120" t="s">
        <v>511</v>
      </c>
      <c r="R38" s="102" t="s">
        <v>127</v>
      </c>
      <c r="S38" s="689">
        <f>O10</f>
        <v>1</v>
      </c>
      <c r="T38" s="689"/>
      <c r="U38" s="14" t="s">
        <v>8</v>
      </c>
      <c r="V38" s="185"/>
      <c r="X38" s="279"/>
      <c r="Y38" s="279"/>
    </row>
    <row r="39" spans="1:25" ht="18" customHeight="1">
      <c r="A39" s="168"/>
      <c r="B39" s="5"/>
      <c r="C39" s="47" t="s">
        <v>550</v>
      </c>
      <c r="D39" s="14"/>
      <c r="E39" s="14"/>
      <c r="F39" s="14"/>
      <c r="G39" s="14"/>
      <c r="H39" s="279"/>
      <c r="I39" s="120"/>
      <c r="J39" s="279"/>
      <c r="K39" s="279"/>
      <c r="L39" s="14"/>
      <c r="M39" s="14"/>
      <c r="N39" s="14"/>
      <c r="O39" s="14"/>
      <c r="P39" s="14"/>
      <c r="Q39" s="120" t="s">
        <v>495</v>
      </c>
      <c r="R39" s="102" t="s">
        <v>127</v>
      </c>
      <c r="S39" s="689">
        <v>20</v>
      </c>
      <c r="T39" s="689"/>
      <c r="U39" s="47"/>
      <c r="V39" s="185"/>
    </row>
    <row r="40" spans="1:25" ht="18" customHeight="1">
      <c r="A40" s="299"/>
      <c r="B40" s="279"/>
      <c r="C40" s="47" t="s">
        <v>492</v>
      </c>
      <c r="D40" s="14"/>
      <c r="E40" s="14"/>
      <c r="F40" s="14"/>
      <c r="G40" s="14"/>
      <c r="H40" s="279"/>
      <c r="I40" s="120"/>
      <c r="J40" s="279"/>
      <c r="K40" s="279"/>
      <c r="L40" s="14"/>
      <c r="M40" s="14"/>
      <c r="N40" s="279"/>
      <c r="O40" s="279"/>
      <c r="P40" s="14"/>
      <c r="Q40" s="120" t="s">
        <v>493</v>
      </c>
      <c r="R40" s="27" t="s">
        <v>127</v>
      </c>
      <c r="S40" s="684">
        <v>30</v>
      </c>
      <c r="T40" s="684"/>
      <c r="U40" s="279"/>
      <c r="V40" s="300"/>
      <c r="W40" s="279"/>
      <c r="X40" s="279"/>
      <c r="Y40" s="279"/>
    </row>
    <row r="41" spans="1:25" ht="18" customHeight="1">
      <c r="A41" s="299"/>
      <c r="B41" s="279"/>
      <c r="C41" s="47"/>
      <c r="D41" s="14"/>
      <c r="E41" s="14"/>
      <c r="F41" s="14"/>
      <c r="G41" s="14"/>
      <c r="H41" s="279"/>
      <c r="I41" s="120"/>
      <c r="J41" s="279"/>
      <c r="K41" s="279"/>
      <c r="L41" s="14"/>
      <c r="M41" s="14"/>
      <c r="N41" s="279"/>
      <c r="O41" s="279"/>
      <c r="P41" s="14"/>
      <c r="Q41" s="120"/>
      <c r="R41" s="27"/>
      <c r="S41" s="27"/>
      <c r="T41" s="27"/>
      <c r="U41" s="279"/>
      <c r="V41" s="300"/>
      <c r="W41" s="279"/>
      <c r="X41" s="279"/>
      <c r="Y41" s="279"/>
    </row>
    <row r="42" spans="1:25" ht="18" customHeight="1">
      <c r="A42" s="299"/>
      <c r="B42" s="279"/>
      <c r="C42" s="47"/>
      <c r="D42" s="14"/>
      <c r="E42" s="14"/>
      <c r="F42" s="14"/>
      <c r="G42" s="14"/>
      <c r="H42" s="279"/>
      <c r="I42" s="120"/>
      <c r="J42" s="279"/>
      <c r="K42" s="279"/>
      <c r="L42" s="14"/>
      <c r="M42" s="14"/>
      <c r="N42" s="279"/>
      <c r="O42" s="279"/>
      <c r="P42" s="14"/>
      <c r="Q42" s="120"/>
      <c r="R42" s="27"/>
      <c r="S42" s="27"/>
      <c r="T42" s="27"/>
      <c r="U42" s="279"/>
      <c r="V42" s="300"/>
      <c r="W42" s="279"/>
      <c r="X42" s="279"/>
      <c r="Y42" s="279"/>
    </row>
    <row r="43" spans="1:25" ht="18" customHeight="1">
      <c r="A43" s="184"/>
      <c r="V43" s="185"/>
    </row>
    <row r="44" spans="1:25" ht="18" hidden="1" customHeight="1">
      <c r="A44" s="184"/>
      <c r="C44" s="120" t="s">
        <v>493</v>
      </c>
      <c r="D44" s="28" t="s">
        <v>127</v>
      </c>
      <c r="E44" s="28" t="s">
        <v>537</v>
      </c>
      <c r="F44" s="221">
        <v>1.3</v>
      </c>
      <c r="G44" s="221" t="s">
        <v>315</v>
      </c>
      <c r="H44" s="805" t="s">
        <v>473</v>
      </c>
      <c r="I44" s="815"/>
      <c r="J44" s="221" t="s">
        <v>315</v>
      </c>
      <c r="K44" s="221" t="s">
        <v>511</v>
      </c>
      <c r="L44" s="221" t="s">
        <v>541</v>
      </c>
      <c r="M44" s="221" t="s">
        <v>495</v>
      </c>
      <c r="N44" s="527" t="s">
        <v>542</v>
      </c>
      <c r="O44" s="542" t="s">
        <v>491</v>
      </c>
      <c r="V44" s="185"/>
    </row>
    <row r="45" spans="1:25" ht="18" hidden="1" customHeight="1">
      <c r="A45" s="184"/>
      <c r="C45" s="120"/>
      <c r="D45" s="27" t="s">
        <v>127</v>
      </c>
      <c r="E45" s="27" t="s">
        <v>537</v>
      </c>
      <c r="F45" s="245">
        <v>1.3</v>
      </c>
      <c r="G45" s="245" t="s">
        <v>315</v>
      </c>
      <c r="H45" s="993">
        <f>S35</f>
        <v>0</v>
      </c>
      <c r="I45" s="1234"/>
      <c r="J45" s="245" t="s">
        <v>315</v>
      </c>
      <c r="K45" s="245">
        <f>S38</f>
        <v>1</v>
      </c>
      <c r="L45" s="245" t="s">
        <v>541</v>
      </c>
      <c r="M45" s="245">
        <f>S39</f>
        <v>20</v>
      </c>
      <c r="N45" s="461" t="s">
        <v>542</v>
      </c>
      <c r="O45" s="502">
        <f>S36</f>
        <v>5</v>
      </c>
      <c r="V45" s="185"/>
    </row>
    <row r="46" spans="1:25" ht="18" hidden="1" customHeight="1">
      <c r="A46" s="184"/>
      <c r="D46" s="27" t="s">
        <v>127</v>
      </c>
      <c r="E46" s="684">
        <f>((F45*H45)/(K45*M45))-O45</f>
        <v>-5</v>
      </c>
      <c r="F46" s="684"/>
      <c r="G46" s="27" t="s">
        <v>157</v>
      </c>
      <c r="V46" s="185"/>
    </row>
    <row r="47" spans="1:25" ht="18" customHeight="1">
      <c r="A47" s="184"/>
      <c r="V47" s="185"/>
    </row>
    <row r="48" spans="1:25" s="14" customFormat="1"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2" ht="18"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2" ht="18" customHeight="1">
      <c r="A50" s="184"/>
      <c r="E50" s="244" t="s">
        <v>111</v>
      </c>
      <c r="F50" s="27" t="s">
        <v>127</v>
      </c>
      <c r="G50" s="689" t="s">
        <v>544</v>
      </c>
      <c r="H50" s="689"/>
      <c r="I50" s="191" t="s">
        <v>342</v>
      </c>
      <c r="J50" s="684" t="s">
        <v>423</v>
      </c>
      <c r="K50" s="684"/>
      <c r="V50" s="185"/>
    </row>
    <row r="51" spans="1:22" ht="18" customHeight="1">
      <c r="A51" s="184"/>
      <c r="F51" s="27" t="s">
        <v>127</v>
      </c>
      <c r="G51" s="684">
        <f>S33</f>
        <v>50000</v>
      </c>
      <c r="H51" s="684"/>
      <c r="I51" s="191" t="s">
        <v>342</v>
      </c>
      <c r="J51" s="684">
        <f>S34</f>
        <v>1250</v>
      </c>
      <c r="K51" s="684"/>
      <c r="V51" s="185"/>
    </row>
    <row r="52" spans="1:22" ht="18" customHeight="1">
      <c r="A52" s="184"/>
      <c r="F52" s="27" t="s">
        <v>127</v>
      </c>
      <c r="G52" s="795">
        <f>G51/J51</f>
        <v>40</v>
      </c>
      <c r="H52" s="795"/>
      <c r="I52" s="27"/>
      <c r="J52" s="27"/>
      <c r="K52" s="27"/>
      <c r="V52" s="185"/>
    </row>
    <row r="53" spans="1:22" ht="18" customHeight="1">
      <c r="A53" s="184"/>
      <c r="V53" s="185"/>
    </row>
    <row r="54" spans="1:22" ht="17.399999999999999" customHeight="1">
      <c r="A54" s="184"/>
      <c r="E54" s="244" t="s">
        <v>553</v>
      </c>
      <c r="F54" s="27" t="s">
        <v>127</v>
      </c>
      <c r="G54" s="221" t="s">
        <v>495</v>
      </c>
      <c r="H54" s="221" t="s">
        <v>554</v>
      </c>
      <c r="I54" s="542" t="s">
        <v>491</v>
      </c>
      <c r="J54" s="221" t="s">
        <v>347</v>
      </c>
      <c r="K54" s="542" t="s">
        <v>493</v>
      </c>
      <c r="L54" s="221" t="s">
        <v>539</v>
      </c>
      <c r="M54" s="542" t="s">
        <v>491</v>
      </c>
      <c r="N54" s="221" t="s">
        <v>347</v>
      </c>
      <c r="O54" s="542" t="s">
        <v>512</v>
      </c>
      <c r="P54" s="28" t="s">
        <v>350</v>
      </c>
      <c r="V54" s="185"/>
    </row>
    <row r="55" spans="1:22" ht="18" customHeight="1">
      <c r="A55" s="184"/>
      <c r="F55" s="27" t="s">
        <v>127</v>
      </c>
      <c r="G55" s="242">
        <f>S39</f>
        <v>20</v>
      </c>
      <c r="H55" s="245" t="s">
        <v>554</v>
      </c>
      <c r="I55" s="301">
        <f>S36</f>
        <v>5</v>
      </c>
      <c r="J55" s="245" t="s">
        <v>347</v>
      </c>
      <c r="K55" s="301">
        <f>S40</f>
        <v>30</v>
      </c>
      <c r="L55" s="245" t="s">
        <v>539</v>
      </c>
      <c r="M55" s="301">
        <f>S36</f>
        <v>5</v>
      </c>
      <c r="N55" s="245" t="s">
        <v>347</v>
      </c>
      <c r="O55" s="301">
        <f>S37</f>
        <v>1.2150224400000003</v>
      </c>
      <c r="P55" s="27" t="s">
        <v>350</v>
      </c>
      <c r="V55" s="185"/>
    </row>
    <row r="56" spans="1:22" ht="18" customHeight="1">
      <c r="A56" s="184"/>
      <c r="F56" s="27" t="s">
        <v>127</v>
      </c>
      <c r="G56" s="1111">
        <f>G55*((I55+K55)/(M55+O55))</f>
        <v>112.63032543451283</v>
      </c>
      <c r="H56" s="1111"/>
      <c r="I56" s="242"/>
      <c r="J56" s="242"/>
      <c r="K56" s="242"/>
      <c r="L56" s="242"/>
      <c r="M56" s="242"/>
      <c r="N56" s="242"/>
      <c r="O56" s="242"/>
      <c r="V56" s="185"/>
    </row>
    <row r="57" spans="1:22" ht="18" customHeight="1">
      <c r="A57" s="184"/>
      <c r="V57" s="185"/>
    </row>
    <row r="58" spans="1:22" ht="18" customHeight="1">
      <c r="A58" s="184"/>
      <c r="E58" s="244" t="s">
        <v>555</v>
      </c>
      <c r="F58" s="27" t="str">
        <f>IF(D59&gt;G59,"&gt;","&lt;")</f>
        <v>&gt;</v>
      </c>
      <c r="G58" s="296" t="s">
        <v>111</v>
      </c>
      <c r="V58" s="185"/>
    </row>
    <row r="59" spans="1:22" ht="18" customHeight="1">
      <c r="A59" s="184"/>
      <c r="D59" s="795">
        <f>G56</f>
        <v>112.63032543451283</v>
      </c>
      <c r="E59" s="795"/>
      <c r="F59" s="27" t="str">
        <f>F58</f>
        <v>&gt;</v>
      </c>
      <c r="G59" s="795">
        <f>G52</f>
        <v>40</v>
      </c>
      <c r="H59" s="795"/>
      <c r="V59" s="185"/>
    </row>
    <row r="60" spans="1:22" ht="18" customHeight="1">
      <c r="A60" s="184"/>
      <c r="E60" s="244" t="s">
        <v>478</v>
      </c>
      <c r="G60" s="18" t="str">
        <f>IF(F58="&gt;","Suitably Dimentioned","Under Dimentioned")</f>
        <v>Suitably Dimentioned</v>
      </c>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184"/>
      <c r="V86" s="185"/>
    </row>
    <row r="87" spans="1:22" ht="18" customHeight="1">
      <c r="A87" s="452"/>
      <c r="B87" s="207"/>
      <c r="C87" s="207"/>
      <c r="D87" s="207"/>
      <c r="E87" s="207"/>
      <c r="F87" s="207"/>
      <c r="G87" s="207"/>
      <c r="H87" s="207"/>
      <c r="I87" s="207"/>
      <c r="J87" s="207"/>
      <c r="K87" s="207"/>
      <c r="L87" s="207"/>
      <c r="M87" s="207"/>
      <c r="N87" s="207"/>
      <c r="O87" s="207"/>
      <c r="P87" s="207"/>
      <c r="Q87" s="207"/>
      <c r="R87" s="207"/>
      <c r="S87" s="207"/>
      <c r="T87" s="207"/>
      <c r="U87" s="207"/>
      <c r="V87" s="453"/>
    </row>
    <row r="88" spans="1:22" ht="18" customHeight="1">
      <c r="A88" s="290"/>
      <c r="B88" s="196"/>
      <c r="C88" s="196"/>
      <c r="D88" s="196"/>
      <c r="E88" s="196"/>
      <c r="F88" s="196"/>
      <c r="G88" s="196"/>
      <c r="H88" s="196"/>
      <c r="I88" s="196"/>
      <c r="J88" s="196"/>
      <c r="K88" s="196"/>
      <c r="L88" s="196"/>
      <c r="M88" s="196"/>
      <c r="N88" s="196"/>
      <c r="O88" s="196"/>
      <c r="P88" s="196"/>
      <c r="Q88" s="196"/>
      <c r="R88" s="196"/>
      <c r="S88" s="196"/>
      <c r="T88" s="196"/>
      <c r="U88" s="196"/>
      <c r="V88" s="291"/>
    </row>
    <row r="89" spans="1:22"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2" ht="18" customHeight="1">
      <c r="A90" s="452" t="s">
        <v>501</v>
      </c>
      <c r="B90" s="14"/>
      <c r="C90" s="14"/>
      <c r="D90" s="120"/>
      <c r="E90" s="120"/>
      <c r="F90" s="18"/>
      <c r="G90" s="18"/>
      <c r="H90" s="14"/>
      <c r="I90" s="14"/>
      <c r="J90" s="14"/>
      <c r="K90" s="14"/>
      <c r="V90" s="185"/>
    </row>
    <row r="91" spans="1:22" ht="18" customHeight="1">
      <c r="A91" s="955" t="s">
        <v>85</v>
      </c>
      <c r="B91" s="956"/>
      <c r="C91" s="957"/>
      <c r="D91" s="955" t="s">
        <v>86</v>
      </c>
      <c r="E91" s="956"/>
      <c r="F91" s="957"/>
      <c r="G91" s="955" t="s">
        <v>87</v>
      </c>
      <c r="H91" s="957"/>
      <c r="I91" s="955" t="s">
        <v>88</v>
      </c>
      <c r="J91" s="957"/>
      <c r="K91" s="955" t="s">
        <v>502</v>
      </c>
      <c r="L91" s="957"/>
      <c r="M91" s="955" t="s">
        <v>503</v>
      </c>
      <c r="N91" s="957"/>
      <c r="O91" s="955" t="s">
        <v>504</v>
      </c>
      <c r="P91" s="957"/>
      <c r="Q91" s="955" t="s">
        <v>505</v>
      </c>
      <c r="R91" s="957"/>
      <c r="S91" s="955" t="s">
        <v>93</v>
      </c>
      <c r="T91" s="956"/>
      <c r="U91" s="956"/>
      <c r="V91" s="957"/>
    </row>
    <row r="92" spans="1:22" ht="18" customHeight="1">
      <c r="A92" s="1125"/>
      <c r="B92" s="983"/>
      <c r="C92" s="1126"/>
      <c r="D92" s="1125"/>
      <c r="E92" s="983"/>
      <c r="F92" s="1126"/>
      <c r="G92" s="1125"/>
      <c r="H92" s="1126"/>
      <c r="I92" s="1125"/>
      <c r="J92" s="1126"/>
      <c r="K92" s="1125"/>
      <c r="L92" s="1126"/>
      <c r="M92" s="1125"/>
      <c r="N92" s="1126"/>
      <c r="O92" s="1125"/>
      <c r="P92" s="1126"/>
      <c r="Q92" s="1125"/>
      <c r="R92" s="1126"/>
      <c r="S92" s="1125"/>
      <c r="T92" s="983"/>
      <c r="U92" s="983"/>
      <c r="V92" s="1126"/>
    </row>
    <row r="93" spans="1:22" ht="18" customHeight="1">
      <c r="A93" s="1125"/>
      <c r="B93" s="983"/>
      <c r="C93" s="1126"/>
      <c r="D93" s="1125"/>
      <c r="E93" s="983"/>
      <c r="F93" s="1126"/>
      <c r="G93" s="1125"/>
      <c r="H93" s="1126"/>
      <c r="I93" s="1125"/>
      <c r="J93" s="1126"/>
      <c r="K93" s="1125"/>
      <c r="L93" s="1126"/>
      <c r="M93" s="1125"/>
      <c r="N93" s="1126"/>
      <c r="O93" s="1125"/>
      <c r="P93" s="1126"/>
      <c r="Q93" s="1125"/>
      <c r="R93" s="1126"/>
      <c r="S93" s="1125"/>
      <c r="T93" s="983"/>
      <c r="U93" s="983"/>
      <c r="V93" s="1126"/>
    </row>
    <row r="94" spans="1:22" ht="18" customHeight="1">
      <c r="A94" s="1047"/>
      <c r="B94" s="1048"/>
      <c r="C94" s="1049"/>
      <c r="D94" s="1047"/>
      <c r="E94" s="1048"/>
      <c r="F94" s="1049"/>
      <c r="G94" s="1047"/>
      <c r="H94" s="1049"/>
      <c r="I94" s="1047"/>
      <c r="J94" s="1049"/>
      <c r="K94" s="1047"/>
      <c r="L94" s="1049"/>
      <c r="M94" s="1047"/>
      <c r="N94" s="1049"/>
      <c r="O94" s="1047"/>
      <c r="P94" s="1049"/>
      <c r="Q94" s="1047"/>
      <c r="R94" s="1049"/>
      <c r="S94" s="1047"/>
      <c r="T94" s="1048"/>
      <c r="U94" s="1048"/>
      <c r="V94" s="1049"/>
    </row>
    <row r="95" spans="1:22" ht="18" customHeight="1">
      <c r="A95" s="765" t="str">
        <f>B7</f>
        <v>T1</v>
      </c>
      <c r="B95" s="765" t="str">
        <f>D7</f>
        <v>Core3</v>
      </c>
      <c r="C95" s="765"/>
      <c r="D95" s="870">
        <f>H10</f>
        <v>1250</v>
      </c>
      <c r="E95" s="870"/>
      <c r="F95" s="871">
        <f>O10</f>
        <v>1</v>
      </c>
      <c r="G95" s="870">
        <f>'CT-VT Burdens'!S21</f>
        <v>120</v>
      </c>
      <c r="H95" s="874">
        <f>'CT-VT Burdens'!S10</f>
        <v>6</v>
      </c>
      <c r="I95" s="874" t="str">
        <f>H11</f>
        <v>5P20</v>
      </c>
      <c r="J95" s="874" t="e">
        <f>#REF!</f>
        <v>#REF!</v>
      </c>
      <c r="K95" s="869">
        <f>H12</f>
        <v>5</v>
      </c>
      <c r="L95" s="869"/>
      <c r="M95" s="875" t="s">
        <v>6</v>
      </c>
      <c r="N95" s="869"/>
      <c r="O95" s="876" t="s">
        <v>6</v>
      </c>
      <c r="P95" s="870"/>
      <c r="Q95" s="879" t="str">
        <f>IF(T8="",T7,IF(T9="",T7&amp;" "&amp;T8,T7&amp;" "&amp;T8&amp;" "&amp;T9))</f>
        <v>REF650 REC670 IDM+18</v>
      </c>
      <c r="R95" s="879"/>
      <c r="S95" s="878" t="str">
        <f>G60</f>
        <v>Suitably Dimentioned</v>
      </c>
      <c r="T95" s="878"/>
      <c r="U95" s="878"/>
      <c r="V95" s="878"/>
    </row>
    <row r="96" spans="1:22" ht="18" customHeight="1">
      <c r="A96" s="765"/>
      <c r="B96" s="765"/>
      <c r="C96" s="765"/>
      <c r="D96" s="876" t="s">
        <v>6</v>
      </c>
      <c r="E96" s="870"/>
      <c r="F96" s="872"/>
      <c r="G96" s="870"/>
      <c r="H96" s="870"/>
      <c r="I96" s="874"/>
      <c r="J96" s="874"/>
      <c r="K96" s="875" t="s">
        <v>6</v>
      </c>
      <c r="L96" s="869"/>
      <c r="M96" s="875" t="s">
        <v>6</v>
      </c>
      <c r="N96" s="869"/>
      <c r="O96" s="876" t="s">
        <v>6</v>
      </c>
      <c r="P96" s="870"/>
      <c r="Q96" s="879"/>
      <c r="R96" s="879"/>
      <c r="S96" s="877" t="s">
        <v>6</v>
      </c>
      <c r="T96" s="878"/>
      <c r="U96" s="878"/>
      <c r="V96" s="878"/>
    </row>
    <row r="97" spans="1:22" ht="18" customHeight="1">
      <c r="A97" s="765"/>
      <c r="B97" s="765"/>
      <c r="C97" s="765"/>
      <c r="D97" s="876" t="s">
        <v>6</v>
      </c>
      <c r="E97" s="870"/>
      <c r="F97" s="873"/>
      <c r="G97" s="870"/>
      <c r="H97" s="870"/>
      <c r="I97" s="874"/>
      <c r="J97" s="874"/>
      <c r="K97" s="875" t="s">
        <v>6</v>
      </c>
      <c r="L97" s="869"/>
      <c r="M97" s="875" t="s">
        <v>6</v>
      </c>
      <c r="N97" s="869"/>
      <c r="O97" s="876" t="s">
        <v>6</v>
      </c>
      <c r="P97" s="870"/>
      <c r="Q97" s="879"/>
      <c r="R97" s="879"/>
      <c r="S97" s="878" t="s">
        <v>6</v>
      </c>
      <c r="T97" s="878"/>
      <c r="U97" s="878"/>
      <c r="V97" s="878"/>
    </row>
    <row r="98" spans="1:22" ht="18" customHeight="1">
      <c r="A98" s="184"/>
      <c r="V98" s="185"/>
    </row>
    <row r="99" spans="1:22" ht="18" customHeight="1">
      <c r="A99" s="184"/>
      <c r="V99" s="185"/>
    </row>
    <row r="100" spans="1:22" ht="18" customHeight="1">
      <c r="A100" s="184"/>
      <c r="V100" s="185"/>
    </row>
    <row r="101" spans="1:22" ht="18" customHeight="1">
      <c r="A101" s="184"/>
      <c r="V101" s="185"/>
    </row>
    <row r="102" spans="1:22" ht="18" customHeight="1">
      <c r="A102" s="184"/>
      <c r="V102" s="185"/>
    </row>
    <row r="103" spans="1:22" ht="18" customHeight="1">
      <c r="A103" s="184"/>
      <c r="V103" s="185"/>
    </row>
    <row r="104" spans="1:22" ht="18" customHeight="1">
      <c r="A104" s="184"/>
      <c r="V104" s="185"/>
    </row>
    <row r="105" spans="1:22" ht="18" customHeight="1">
      <c r="A105" s="184"/>
      <c r="V105" s="185"/>
    </row>
    <row r="106" spans="1:22" ht="18" customHeight="1">
      <c r="A106" s="184"/>
      <c r="V106" s="185"/>
    </row>
    <row r="107" spans="1:22" ht="18" customHeight="1">
      <c r="A107" s="184"/>
      <c r="V107" s="185"/>
    </row>
    <row r="108" spans="1:22" ht="18" customHeight="1">
      <c r="A108" s="184"/>
      <c r="V108" s="185"/>
    </row>
    <row r="109" spans="1:22" ht="18" customHeight="1">
      <c r="A109" s="184"/>
      <c r="V109" s="185"/>
    </row>
    <row r="110" spans="1:22" ht="18" customHeight="1">
      <c r="A110" s="184"/>
      <c r="V110" s="185"/>
    </row>
    <row r="111" spans="1:22" ht="18" customHeight="1">
      <c r="A111" s="184"/>
      <c r="V111" s="185"/>
    </row>
    <row r="112" spans="1:22" ht="18" customHeight="1">
      <c r="A112" s="184"/>
      <c r="V112" s="185"/>
    </row>
    <row r="113" spans="1:22" ht="18" customHeight="1">
      <c r="A113" s="184"/>
      <c r="V113" s="185"/>
    </row>
    <row r="114" spans="1:22" ht="18" customHeight="1">
      <c r="A114" s="184"/>
      <c r="V114" s="185"/>
    </row>
    <row r="115" spans="1:22" ht="18" customHeight="1">
      <c r="A115" s="184"/>
      <c r="V115" s="185"/>
    </row>
    <row r="116" spans="1:22" ht="18" customHeight="1">
      <c r="A116" s="184"/>
      <c r="V116" s="185"/>
    </row>
    <row r="117" spans="1:22" ht="18" customHeight="1">
      <c r="A117" s="184"/>
      <c r="V117" s="185"/>
    </row>
    <row r="118" spans="1:22" ht="18" customHeight="1">
      <c r="A118" s="184"/>
      <c r="V118" s="185"/>
    </row>
    <row r="119" spans="1:22" ht="18" customHeight="1">
      <c r="A119" s="184"/>
      <c r="V119" s="185"/>
    </row>
    <row r="120" spans="1:22" ht="18" customHeight="1">
      <c r="A120" s="184"/>
      <c r="V120" s="185"/>
    </row>
    <row r="121" spans="1:22" ht="18" customHeight="1">
      <c r="A121" s="184"/>
      <c r="V121" s="185"/>
    </row>
    <row r="122" spans="1:22" ht="18" customHeight="1">
      <c r="A122" s="184"/>
      <c r="V122" s="185"/>
    </row>
    <row r="123" spans="1:22" ht="18" customHeight="1">
      <c r="A123" s="184"/>
      <c r="V123" s="185"/>
    </row>
    <row r="124" spans="1:22" ht="18" customHeight="1">
      <c r="A124" s="184"/>
      <c r="V124" s="185"/>
    </row>
    <row r="125" spans="1:22" ht="18" customHeight="1">
      <c r="A125" s="184"/>
      <c r="V125" s="185"/>
    </row>
    <row r="126" spans="1:22" ht="18" customHeight="1">
      <c r="A126" s="184"/>
      <c r="V126" s="185"/>
    </row>
    <row r="127" spans="1:22" ht="18" customHeight="1">
      <c r="A127" s="184"/>
      <c r="V127" s="185"/>
    </row>
    <row r="128" spans="1:22" s="14" customFormat="1" ht="18" customHeight="1">
      <c r="A128" s="194"/>
      <c r="B128" s="195"/>
      <c r="C128" s="195"/>
      <c r="D128" s="195"/>
      <c r="E128" s="195"/>
      <c r="F128" s="195"/>
      <c r="G128" s="195"/>
      <c r="H128" s="195"/>
      <c r="I128" s="195"/>
      <c r="J128" s="195"/>
      <c r="K128" s="195"/>
      <c r="L128" s="195"/>
      <c r="M128" s="195"/>
      <c r="N128" s="195"/>
      <c r="O128" s="195"/>
      <c r="P128" s="195"/>
      <c r="Q128" s="224"/>
      <c r="R128" s="182"/>
      <c r="S128" s="225"/>
      <c r="T128" s="195"/>
      <c r="U128" s="195"/>
      <c r="V128" s="134"/>
    </row>
  </sheetData>
  <mergeCells count="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 ref="O91:P94"/>
    <mergeCell ref="Q91:R94"/>
    <mergeCell ref="D95:E95"/>
    <mergeCell ref="K95:L95"/>
    <mergeCell ref="M95:N95"/>
    <mergeCell ref="O95:P95"/>
    <mergeCell ref="D91:F94"/>
    <mergeCell ref="G91:H94"/>
    <mergeCell ref="I91:J94"/>
    <mergeCell ref="K91:L94"/>
    <mergeCell ref="M91:N94"/>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H44:I44"/>
    <mergeCell ref="H45:I45"/>
    <mergeCell ref="E46:F46"/>
    <mergeCell ref="G50:H50"/>
    <mergeCell ref="J50:K50"/>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10:I10"/>
    <mergeCell ref="J10:K10"/>
    <mergeCell ref="L10:M10"/>
    <mergeCell ref="T12:U12"/>
    <mergeCell ref="B7:C7"/>
    <mergeCell ref="T7:U7"/>
    <mergeCell ref="H11:I11"/>
    <mergeCell ref="T8:U8"/>
    <mergeCell ref="H9:I9"/>
    <mergeCell ref="J9:K9"/>
    <mergeCell ref="L9:M9"/>
    <mergeCell ref="T9:U9"/>
    <mergeCell ref="H12:I12"/>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s>
  <phoneticPr fontId="5" type="noConversion"/>
  <conditionalFormatting sqref="G60">
    <cfRule type="cellIs" dxfId="187"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codeName="Sheet13">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891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108</v>
      </c>
      <c r="C7" s="782"/>
      <c r="D7" s="743" t="s">
        <v>113</v>
      </c>
      <c r="E7" s="1291"/>
      <c r="F7" s="455"/>
      <c r="H7" s="689"/>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2500</v>
      </c>
      <c r="I10" s="792"/>
      <c r="J10" s="781" t="s">
        <v>6</v>
      </c>
      <c r="K10" s="782"/>
      <c r="L10" s="781" t="s">
        <v>6</v>
      </c>
      <c r="M10" s="782"/>
      <c r="N10" s="191" t="s">
        <v>342</v>
      </c>
      <c r="O10" s="125">
        <v>1</v>
      </c>
      <c r="P10" s="27" t="s">
        <v>8</v>
      </c>
      <c r="R10" s="255"/>
      <c r="S10" s="255"/>
      <c r="V10" s="185"/>
    </row>
    <row r="11" spans="1:24" ht="18" customHeight="1">
      <c r="A11" s="184"/>
      <c r="B11" s="47" t="s">
        <v>394</v>
      </c>
      <c r="H11" s="781" t="s">
        <v>814</v>
      </c>
      <c r="I11" s="782"/>
      <c r="V11" s="185"/>
    </row>
    <row r="12" spans="1:24" ht="18" customHeight="1">
      <c r="A12" s="184"/>
      <c r="B12" s="47" t="s">
        <v>396</v>
      </c>
      <c r="G12" s="120" t="s">
        <v>497</v>
      </c>
      <c r="H12" s="781">
        <v>5</v>
      </c>
      <c r="I12" s="782"/>
      <c r="J12" s="192" t="s">
        <v>333</v>
      </c>
      <c r="M12" s="14"/>
      <c r="N12" s="14"/>
      <c r="V12" s="185"/>
    </row>
    <row r="13" spans="1:24" ht="18" customHeight="1">
      <c r="A13" s="184"/>
      <c r="B13" s="47" t="s">
        <v>398</v>
      </c>
      <c r="G13" s="120" t="s">
        <v>498</v>
      </c>
      <c r="H13" s="781">
        <v>750</v>
      </c>
      <c r="I13" s="782"/>
      <c r="J13" s="14" t="s">
        <v>305</v>
      </c>
      <c r="M13" s="14"/>
      <c r="T13" s="295"/>
      <c r="U13" s="18"/>
      <c r="V13" s="185"/>
      <c r="W13" s="30" t="e">
        <f>#REF!</f>
        <v>#REF!</v>
      </c>
    </row>
    <row r="14" spans="1:24" ht="18" customHeight="1">
      <c r="A14" s="184"/>
      <c r="B14" s="14" t="s">
        <v>401</v>
      </c>
      <c r="G14" s="120" t="s">
        <v>402</v>
      </c>
      <c r="H14" s="781">
        <v>60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S23" s="2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2500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750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2500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4</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5</v>
      </c>
      <c r="G75" s="692"/>
      <c r="H75" s="102" t="s">
        <v>347</v>
      </c>
      <c r="I75" s="218">
        <f>S30</f>
        <v>1.0870224400000001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60.970224399999999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48.776179519999999</v>
      </c>
      <c r="O79" s="1251"/>
      <c r="V79" s="185"/>
    </row>
    <row r="80" spans="1:22" ht="17.399999999999999" customHeight="1">
      <c r="A80" s="184"/>
      <c r="B80" s="7"/>
      <c r="E80" s="14"/>
      <c r="F80" s="14" t="s">
        <v>752</v>
      </c>
      <c r="G80" s="7"/>
      <c r="L80" s="28" t="s">
        <v>127</v>
      </c>
      <c r="N80" s="1072">
        <f>N79*1.2</f>
        <v>58.531415423999995</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750</v>
      </c>
      <c r="J82" s="795"/>
      <c r="K82" s="27"/>
      <c r="L82" s="27" t="str">
        <f>IF(I82&gt;=M82,"&gt;","&lt;")</f>
        <v>&gt;</v>
      </c>
      <c r="M82" s="795">
        <f>N80</f>
        <v>58.531415423999995</v>
      </c>
      <c r="N82" s="795"/>
      <c r="P82" s="268"/>
      <c r="V82" s="185"/>
    </row>
    <row r="83" spans="1:23" ht="17.399999999999999" customHeight="1">
      <c r="A83" s="184"/>
      <c r="K83" s="244" t="s">
        <v>478</v>
      </c>
      <c r="M83" s="18" t="str">
        <f>IF(I82&gt;M82,"Suitable Dimensions","Under Dimensioned")</f>
        <v>Suitable Dimensions</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B86" s="7"/>
      <c r="E86" s="14"/>
      <c r="F86" s="7"/>
      <c r="G86" s="7"/>
      <c r="V86" s="185"/>
    </row>
    <row r="87" spans="1:23" s="14" customFormat="1" ht="18"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row r="88" spans="1:23" ht="18" hidden="1"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hidden="1" customHeight="1">
      <c r="A89" s="184"/>
      <c r="B89" s="835" t="str">
        <f>B7</f>
        <v>T1</v>
      </c>
      <c r="C89" s="836"/>
      <c r="D89" s="1118" t="str">
        <f>D7</f>
        <v>Core4</v>
      </c>
      <c r="E89" s="1290"/>
      <c r="F89" s="455"/>
      <c r="H89" s="684">
        <f>H7</f>
        <v>0</v>
      </c>
      <c r="I89" s="684"/>
      <c r="J89" s="684"/>
      <c r="K89" s="684"/>
      <c r="L89" s="684"/>
      <c r="M89" s="684"/>
      <c r="P89" s="186"/>
      <c r="S89" s="187" t="s">
        <v>387</v>
      </c>
      <c r="T89" s="835" t="str">
        <f>T7</f>
        <v>REB500</v>
      </c>
      <c r="U89" s="836"/>
      <c r="V89" s="185"/>
    </row>
    <row r="90" spans="1:23" ht="18" hidden="1" customHeight="1">
      <c r="A90" s="456"/>
      <c r="F90" s="455"/>
      <c r="T90" s="839">
        <f>T8</f>
        <v>0</v>
      </c>
      <c r="U90" s="840"/>
      <c r="V90" s="185"/>
    </row>
    <row r="91" spans="1:23" ht="18" hidden="1" customHeight="1">
      <c r="A91" s="184"/>
      <c r="H91" s="708" t="s">
        <v>390</v>
      </c>
      <c r="I91" s="708"/>
      <c r="J91" s="789" t="s">
        <v>391</v>
      </c>
      <c r="K91" s="789"/>
      <c r="L91" s="790" t="s">
        <v>392</v>
      </c>
      <c r="M91" s="790"/>
      <c r="T91" s="839">
        <f>T9</f>
        <v>0</v>
      </c>
      <c r="U91" s="840"/>
      <c r="V91" s="185"/>
    </row>
    <row r="92" spans="1:23" ht="18" hidden="1" customHeight="1">
      <c r="A92" s="184"/>
      <c r="B92" s="47" t="s">
        <v>393</v>
      </c>
      <c r="H92" s="835">
        <f>H10</f>
        <v>2500</v>
      </c>
      <c r="I92" s="836"/>
      <c r="J92" s="835" t="str">
        <f>J10</f>
        <v>-</v>
      </c>
      <c r="K92" s="836"/>
      <c r="L92" s="835" t="str">
        <f>L10</f>
        <v>-</v>
      </c>
      <c r="M92" s="836"/>
      <c r="N92" s="191" t="s">
        <v>342</v>
      </c>
      <c r="O92" s="488">
        <f>O10</f>
        <v>1</v>
      </c>
      <c r="P92" s="27" t="s">
        <v>8</v>
      </c>
      <c r="R92" s="255"/>
      <c r="S92" s="255"/>
      <c r="V92" s="185"/>
    </row>
    <row r="93" spans="1:23" ht="18" hidden="1" customHeight="1">
      <c r="A93" s="184"/>
      <c r="B93" s="47" t="s">
        <v>394</v>
      </c>
      <c r="H93" s="14"/>
      <c r="I93" s="14"/>
      <c r="J93" s="835" t="str">
        <f>H11</f>
        <v>PX-B</v>
      </c>
      <c r="K93" s="836"/>
      <c r="L93" s="14"/>
      <c r="M93" s="14"/>
      <c r="V93" s="185"/>
    </row>
    <row r="94" spans="1:23" ht="18" hidden="1" customHeight="1">
      <c r="A94" s="184"/>
      <c r="B94" s="47" t="s">
        <v>396</v>
      </c>
      <c r="I94" s="120" t="s">
        <v>497</v>
      </c>
      <c r="J94" s="781">
        <v>9.3000000000000007</v>
      </c>
      <c r="K94" s="782"/>
      <c r="L94" s="192" t="s">
        <v>333</v>
      </c>
      <c r="V94" s="185"/>
    </row>
    <row r="95" spans="1:23" ht="18" hidden="1" customHeight="1">
      <c r="A95" s="184"/>
      <c r="B95" s="47" t="s">
        <v>398</v>
      </c>
      <c r="I95" s="120" t="s">
        <v>498</v>
      </c>
      <c r="J95" s="781">
        <v>500</v>
      </c>
      <c r="K95" s="782"/>
      <c r="L95" s="14" t="s">
        <v>305</v>
      </c>
      <c r="T95" s="295"/>
      <c r="U95" s="18"/>
      <c r="V95" s="185"/>
      <c r="W95" s="30" t="str">
        <f>M162</f>
        <v>Required Vk</v>
      </c>
    </row>
    <row r="96" spans="1:23" ht="18" hidden="1" customHeight="1">
      <c r="A96" s="184"/>
      <c r="B96" s="14" t="s">
        <v>401</v>
      </c>
      <c r="I96" s="120" t="s">
        <v>402</v>
      </c>
      <c r="J96" s="781">
        <v>60</v>
      </c>
      <c r="K96" s="782"/>
      <c r="L96" s="14" t="s">
        <v>403</v>
      </c>
      <c r="V96" s="185"/>
    </row>
    <row r="97" spans="1:22" ht="18" hidden="1" customHeight="1">
      <c r="A97" s="184"/>
      <c r="V97" s="185"/>
    </row>
    <row r="98" spans="1:22" ht="18" hidden="1" customHeight="1">
      <c r="A98" s="193" t="s">
        <v>404</v>
      </c>
      <c r="V98" s="185"/>
    </row>
    <row r="99" spans="1:22" ht="18" hidden="1" customHeight="1">
      <c r="A99" s="184"/>
      <c r="V99" s="185"/>
    </row>
    <row r="100" spans="1:22" ht="18" hidden="1" customHeight="1">
      <c r="A100" s="184"/>
      <c r="B100" s="135" t="s">
        <v>405</v>
      </c>
      <c r="C100" s="273"/>
      <c r="D100" s="139" t="str">
        <f>T89</f>
        <v>REB500</v>
      </c>
      <c r="E100" s="227"/>
      <c r="F100" s="227"/>
      <c r="G100" s="227"/>
      <c r="H100" s="138"/>
      <c r="I100" s="260" t="s">
        <v>127</v>
      </c>
      <c r="J100" s="722">
        <f>J18</f>
        <v>0.01</v>
      </c>
      <c r="K100" s="958"/>
      <c r="L100" s="3" t="s">
        <v>157</v>
      </c>
      <c r="N100" s="197" t="s">
        <v>510</v>
      </c>
      <c r="V100" s="185"/>
    </row>
    <row r="101" spans="1:22" ht="18" hidden="1" customHeight="1">
      <c r="A101" s="184"/>
      <c r="B101" s="96" t="s">
        <v>405</v>
      </c>
      <c r="C101" s="14"/>
      <c r="D101" s="47">
        <f>T90</f>
        <v>0</v>
      </c>
      <c r="H101" s="28"/>
      <c r="I101" s="101" t="s">
        <v>127</v>
      </c>
      <c r="J101" s="722">
        <f>J19</f>
        <v>0</v>
      </c>
      <c r="K101" s="958"/>
      <c r="L101" s="3" t="s">
        <v>157</v>
      </c>
      <c r="N101" s="120" t="s">
        <v>491</v>
      </c>
      <c r="O101" s="27" t="s">
        <v>127</v>
      </c>
      <c r="P101" s="27" t="s">
        <v>511</v>
      </c>
      <c r="Q101" s="27" t="s">
        <v>315</v>
      </c>
      <c r="R101" s="27" t="s">
        <v>511</v>
      </c>
      <c r="S101" s="27" t="s">
        <v>315</v>
      </c>
      <c r="T101" s="27" t="s">
        <v>420</v>
      </c>
      <c r="V101" s="185"/>
    </row>
    <row r="102" spans="1:22" ht="18" hidden="1" customHeight="1">
      <c r="A102" s="184"/>
      <c r="B102" s="96" t="s">
        <v>405</v>
      </c>
      <c r="C102" s="14"/>
      <c r="D102" s="47">
        <f>T91</f>
        <v>0</v>
      </c>
      <c r="H102" s="28"/>
      <c r="I102" s="101" t="s">
        <v>127</v>
      </c>
      <c r="J102" s="722">
        <f>J20</f>
        <v>0</v>
      </c>
      <c r="K102" s="958"/>
      <c r="L102" s="3" t="s">
        <v>157</v>
      </c>
      <c r="N102" s="27"/>
      <c r="O102" s="27" t="s">
        <v>127</v>
      </c>
      <c r="P102" s="27">
        <f>O92</f>
        <v>1</v>
      </c>
      <c r="Q102" s="27" t="s">
        <v>315</v>
      </c>
      <c r="R102" s="27">
        <f>O92</f>
        <v>1</v>
      </c>
      <c r="S102" s="27" t="s">
        <v>315</v>
      </c>
      <c r="T102" s="27">
        <f>J94</f>
        <v>9.3000000000000007</v>
      </c>
      <c r="V102" s="185"/>
    </row>
    <row r="103" spans="1:22" ht="18" hidden="1" customHeight="1">
      <c r="A103" s="184"/>
      <c r="B103" s="452" t="s">
        <v>412</v>
      </c>
      <c r="C103" s="259"/>
      <c r="D103" s="259"/>
      <c r="E103" s="259"/>
      <c r="F103" s="207"/>
      <c r="G103" s="207"/>
      <c r="H103" s="190"/>
      <c r="I103" s="208" t="s">
        <v>127</v>
      </c>
      <c r="J103" s="1120">
        <f>J21</f>
        <v>1.0770224400000001</v>
      </c>
      <c r="K103" s="987"/>
      <c r="L103" s="297" t="s">
        <v>157</v>
      </c>
      <c r="O103" s="27" t="s">
        <v>127</v>
      </c>
      <c r="P103" s="795">
        <f>P102*R102*T102</f>
        <v>9.3000000000000007</v>
      </c>
      <c r="Q103" s="684"/>
      <c r="R103" s="27" t="s">
        <v>157</v>
      </c>
      <c r="V103" s="185"/>
    </row>
    <row r="104" spans="1:22" ht="18" hidden="1" customHeight="1">
      <c r="A104" s="184"/>
      <c r="B104" s="1" t="s">
        <v>413</v>
      </c>
      <c r="C104" s="2"/>
      <c r="D104" s="2"/>
      <c r="E104" s="2"/>
      <c r="F104" s="196"/>
      <c r="G104" s="196"/>
      <c r="H104" s="224" t="s">
        <v>512</v>
      </c>
      <c r="I104" s="183" t="s">
        <v>127</v>
      </c>
      <c r="J104" s="722">
        <f>SUM(J100:J103)</f>
        <v>1.0870224400000001</v>
      </c>
      <c r="K104" s="958"/>
      <c r="L104" s="3" t="s">
        <v>157</v>
      </c>
      <c r="V104" s="185"/>
    </row>
    <row r="105" spans="1:22" ht="18" hidden="1" customHeight="1">
      <c r="A105" s="184"/>
      <c r="B105" s="47"/>
      <c r="C105" s="47"/>
      <c r="D105" s="47"/>
      <c r="E105" s="47"/>
      <c r="H105" s="27"/>
      <c r="I105" s="28"/>
      <c r="J105" s="199"/>
      <c r="L105" s="47"/>
      <c r="S105" s="27"/>
      <c r="V105" s="185"/>
    </row>
    <row r="106" spans="1:22" ht="18" hidden="1" customHeight="1">
      <c r="A106" s="258"/>
      <c r="B106" s="117" t="s">
        <v>712</v>
      </c>
      <c r="V106" s="185"/>
    </row>
    <row r="107" spans="1:22" ht="18" hidden="1" customHeight="1">
      <c r="A107" s="231"/>
      <c r="B107" s="5"/>
      <c r="C107" s="47" t="s">
        <v>713</v>
      </c>
      <c r="D107" s="14"/>
      <c r="E107" s="14"/>
      <c r="F107" s="14"/>
      <c r="G107" s="14"/>
      <c r="H107" s="279"/>
      <c r="I107" s="120"/>
      <c r="J107" s="279"/>
      <c r="K107" s="279"/>
      <c r="L107" s="14"/>
      <c r="M107" s="14"/>
      <c r="N107" s="14"/>
      <c r="O107" s="14"/>
      <c r="P107" s="14"/>
      <c r="Q107" s="120" t="s">
        <v>714</v>
      </c>
      <c r="R107" s="102" t="s">
        <v>127</v>
      </c>
      <c r="S107" s="689">
        <v>31500</v>
      </c>
      <c r="T107" s="689"/>
      <c r="U107" s="47" t="s">
        <v>8</v>
      </c>
      <c r="V107" s="97" t="s">
        <v>129</v>
      </c>
    </row>
    <row r="108" spans="1:22" ht="18" hidden="1" customHeight="1">
      <c r="A108" s="184"/>
      <c r="B108" s="5"/>
      <c r="C108" s="47" t="s">
        <v>545</v>
      </c>
      <c r="D108" s="14"/>
      <c r="E108" s="14"/>
      <c r="F108" s="18"/>
      <c r="G108" s="18"/>
      <c r="H108" s="279"/>
      <c r="I108" s="120"/>
      <c r="J108" s="279"/>
      <c r="K108" s="279"/>
      <c r="L108" s="14"/>
      <c r="M108" s="14"/>
      <c r="N108" s="14"/>
      <c r="O108" s="14"/>
      <c r="P108" s="14"/>
      <c r="Q108" s="120" t="s">
        <v>423</v>
      </c>
      <c r="R108" s="102" t="s">
        <v>127</v>
      </c>
      <c r="S108" s="689" t="str">
        <f>J92</f>
        <v>-</v>
      </c>
      <c r="T108" s="689"/>
      <c r="U108" s="14" t="s">
        <v>8</v>
      </c>
      <c r="V108" s="185"/>
    </row>
    <row r="109" spans="1:22" ht="18" hidden="1" customHeight="1">
      <c r="A109" s="184"/>
      <c r="B109" s="5"/>
      <c r="C109" s="47" t="s">
        <v>715</v>
      </c>
      <c r="D109" s="14"/>
      <c r="E109" s="14"/>
      <c r="F109" s="18"/>
      <c r="G109" s="18"/>
      <c r="H109" s="279"/>
      <c r="I109" s="120"/>
      <c r="J109" s="279"/>
      <c r="K109" s="279"/>
      <c r="L109" s="14"/>
      <c r="M109" s="14"/>
      <c r="N109" s="14"/>
      <c r="O109" s="14"/>
      <c r="P109" s="14"/>
      <c r="Q109" s="120" t="s">
        <v>716</v>
      </c>
      <c r="R109" s="102" t="s">
        <v>127</v>
      </c>
      <c r="S109" s="689">
        <v>33</v>
      </c>
      <c r="T109" s="689"/>
      <c r="U109" s="14" t="s">
        <v>163</v>
      </c>
      <c r="V109" s="185"/>
    </row>
    <row r="110" spans="1:22" ht="18" hidden="1" customHeight="1">
      <c r="A110" s="184"/>
      <c r="B110" s="5"/>
      <c r="C110" s="47" t="s">
        <v>546</v>
      </c>
      <c r="D110" s="14"/>
      <c r="E110" s="14"/>
      <c r="F110" s="18"/>
      <c r="G110" s="18"/>
      <c r="H110" s="279"/>
      <c r="I110" s="120"/>
      <c r="J110" s="279"/>
      <c r="K110" s="279"/>
      <c r="L110" s="14"/>
      <c r="M110" s="14"/>
      <c r="N110" s="14"/>
      <c r="O110" s="14"/>
      <c r="P110" s="14"/>
      <c r="Q110" s="120" t="s">
        <v>473</v>
      </c>
      <c r="R110" s="102" t="s">
        <v>127</v>
      </c>
      <c r="S110" s="689">
        <f>J95</f>
        <v>500</v>
      </c>
      <c r="T110" s="689"/>
      <c r="U110" s="14" t="s">
        <v>305</v>
      </c>
      <c r="V110" s="185"/>
    </row>
    <row r="111" spans="1:22" ht="18" hidden="1" customHeight="1">
      <c r="A111" s="184"/>
      <c r="B111" s="5"/>
      <c r="C111" s="47" t="s">
        <v>717</v>
      </c>
      <c r="D111" s="14"/>
      <c r="E111" s="14"/>
      <c r="F111" s="18"/>
      <c r="G111" s="18"/>
      <c r="H111" s="279"/>
      <c r="I111" s="120"/>
      <c r="J111" s="279"/>
      <c r="K111" s="279"/>
      <c r="L111" s="14"/>
      <c r="M111" s="14"/>
      <c r="N111" s="14"/>
      <c r="O111" s="14"/>
      <c r="P111" s="14"/>
      <c r="Q111" s="120" t="s">
        <v>420</v>
      </c>
      <c r="R111" s="102" t="s">
        <v>127</v>
      </c>
      <c r="S111" s="692">
        <f>P103</f>
        <v>9.3000000000000007</v>
      </c>
      <c r="T111" s="689"/>
      <c r="U111" s="14" t="s">
        <v>157</v>
      </c>
      <c r="V111" s="185"/>
    </row>
    <row r="112" spans="1:22" ht="18" hidden="1" customHeight="1">
      <c r="A112" s="184"/>
      <c r="B112" s="5"/>
      <c r="C112" s="47" t="s">
        <v>718</v>
      </c>
      <c r="D112" s="14"/>
      <c r="E112" s="14"/>
      <c r="F112" s="18"/>
      <c r="G112" s="18"/>
      <c r="H112" s="279"/>
      <c r="I112" s="120"/>
      <c r="J112" s="279"/>
      <c r="K112" s="279"/>
      <c r="L112" s="14"/>
      <c r="M112" s="14"/>
      <c r="N112" s="14"/>
      <c r="O112" s="14"/>
      <c r="P112" s="14"/>
      <c r="Q112" s="120" t="s">
        <v>522</v>
      </c>
      <c r="R112" s="102" t="s">
        <v>127</v>
      </c>
      <c r="S112" s="692">
        <f>J104</f>
        <v>1.0870224400000001</v>
      </c>
      <c r="T112" s="689"/>
      <c r="U112" s="14" t="s">
        <v>157</v>
      </c>
      <c r="V112" s="185"/>
    </row>
    <row r="113" spans="1:25" ht="18" hidden="1" customHeight="1">
      <c r="A113" s="168"/>
      <c r="B113" s="5"/>
      <c r="C113" s="47" t="s">
        <v>549</v>
      </c>
      <c r="D113" s="14"/>
      <c r="E113" s="14"/>
      <c r="F113" s="14"/>
      <c r="G113" s="14"/>
      <c r="H113" s="279"/>
      <c r="I113" s="120"/>
      <c r="J113" s="279"/>
      <c r="K113" s="279"/>
      <c r="L113" s="14"/>
      <c r="M113" s="14"/>
      <c r="N113" s="14"/>
      <c r="O113" s="14"/>
      <c r="P113" s="14"/>
      <c r="Q113" s="120" t="s">
        <v>714</v>
      </c>
      <c r="R113" s="102" t="s">
        <v>127</v>
      </c>
      <c r="S113" s="689">
        <f>O92</f>
        <v>1</v>
      </c>
      <c r="T113" s="689"/>
      <c r="U113" s="14" t="s">
        <v>8</v>
      </c>
      <c r="V113" s="185"/>
    </row>
    <row r="114" spans="1:25" ht="18" hidden="1" customHeight="1">
      <c r="A114" s="168"/>
      <c r="B114" s="5"/>
      <c r="C114" s="47" t="s">
        <v>719</v>
      </c>
      <c r="D114" s="14"/>
      <c r="E114" s="14"/>
      <c r="F114" s="14"/>
      <c r="G114" s="14"/>
      <c r="H114" s="279"/>
      <c r="I114" s="120"/>
      <c r="J114" s="279"/>
      <c r="K114" s="279"/>
      <c r="L114" s="14"/>
      <c r="M114" s="14"/>
      <c r="N114" s="14"/>
      <c r="O114" s="14"/>
      <c r="P114" s="14"/>
      <c r="Q114" s="120" t="s">
        <v>720</v>
      </c>
      <c r="R114" s="102" t="s">
        <v>127</v>
      </c>
      <c r="S114" s="689">
        <v>50</v>
      </c>
      <c r="T114" s="689"/>
      <c r="U114" s="47"/>
      <c r="V114" s="185"/>
    </row>
    <row r="115" spans="1:25" ht="18" hidden="1" customHeight="1">
      <c r="A115" s="168"/>
      <c r="B115" s="279"/>
      <c r="C115" s="47"/>
      <c r="D115" s="14"/>
      <c r="E115" s="14"/>
      <c r="F115" s="14"/>
      <c r="G115" s="14"/>
      <c r="H115" s="279"/>
      <c r="I115" s="120"/>
      <c r="J115" s="279"/>
      <c r="K115" s="279"/>
      <c r="L115" s="14"/>
      <c r="M115" s="14"/>
      <c r="N115" s="279"/>
      <c r="O115" s="279"/>
      <c r="P115" s="14"/>
      <c r="Q115" s="120"/>
      <c r="R115" s="14"/>
      <c r="S115" s="279"/>
      <c r="T115" s="279"/>
      <c r="U115" s="279"/>
      <c r="V115" s="300"/>
    </row>
    <row r="116" spans="1:25" ht="18" hidden="1" customHeight="1">
      <c r="A116" s="168"/>
      <c r="C116" s="18" t="s">
        <v>721</v>
      </c>
      <c r="D116" s="14"/>
      <c r="E116" s="14"/>
      <c r="F116" s="14"/>
      <c r="G116" s="14"/>
      <c r="H116" s="14"/>
      <c r="I116" s="14"/>
      <c r="J116" s="14"/>
      <c r="K116" s="14"/>
      <c r="L116" s="14"/>
      <c r="M116" s="14"/>
      <c r="N116" s="14"/>
      <c r="O116" s="14"/>
      <c r="P116" s="14"/>
      <c r="Q116" s="14"/>
      <c r="R116" s="14"/>
      <c r="S116" s="14"/>
      <c r="T116" s="14"/>
      <c r="U116" s="14"/>
      <c r="V116" s="185"/>
      <c r="W116" s="279"/>
      <c r="X116" s="279"/>
      <c r="Y116" s="279"/>
    </row>
    <row r="117" spans="1:25" ht="18" hidden="1" customHeight="1">
      <c r="A117" s="168"/>
      <c r="C117" s="28"/>
      <c r="D117" s="47" t="s">
        <v>722</v>
      </c>
      <c r="E117" s="28"/>
      <c r="F117" s="28"/>
      <c r="G117" s="28"/>
      <c r="H117" s="14"/>
      <c r="I117" s="14"/>
      <c r="J117" s="28"/>
      <c r="K117" s="28"/>
      <c r="L117" s="28"/>
      <c r="M117" s="28"/>
      <c r="N117" s="47"/>
      <c r="O117" s="28"/>
      <c r="V117" s="185"/>
      <c r="X117" s="279"/>
      <c r="Y117" s="279"/>
    </row>
    <row r="118" spans="1:25" ht="18" hidden="1" customHeight="1">
      <c r="A118" s="168"/>
      <c r="D118" s="27"/>
      <c r="E118" s="27"/>
      <c r="F118" s="27"/>
      <c r="G118" s="27"/>
      <c r="I118" s="689" t="s">
        <v>723</v>
      </c>
      <c r="J118" s="689" t="s">
        <v>127</v>
      </c>
      <c r="K118" s="695" t="s">
        <v>714</v>
      </c>
      <c r="L118" s="695"/>
      <c r="M118" s="27"/>
      <c r="N118" s="296"/>
      <c r="O118" s="222"/>
      <c r="V118" s="185"/>
      <c r="X118" s="279"/>
      <c r="Y118" s="279"/>
    </row>
    <row r="119" spans="1:25" ht="18" hidden="1" customHeight="1">
      <c r="A119" s="168"/>
      <c r="D119" s="27"/>
      <c r="G119" s="27"/>
      <c r="I119" s="689"/>
      <c r="J119" s="689"/>
      <c r="K119" s="1289" t="s">
        <v>724</v>
      </c>
      <c r="L119" s="1289"/>
      <c r="V119" s="185"/>
    </row>
    <row r="120" spans="1:25" ht="18" hidden="1" customHeight="1">
      <c r="A120" s="184"/>
      <c r="B120" s="18" t="s">
        <v>725</v>
      </c>
      <c r="C120" s="14"/>
      <c r="V120" s="185"/>
    </row>
    <row r="121" spans="1:25" ht="18" hidden="1" customHeight="1">
      <c r="A121" s="184"/>
      <c r="B121" s="28"/>
      <c r="C121" s="372" t="s">
        <v>726</v>
      </c>
      <c r="D121" s="14"/>
      <c r="E121" s="14"/>
      <c r="F121" s="14"/>
      <c r="G121" s="14"/>
      <c r="H121" s="14"/>
      <c r="I121" s="14"/>
      <c r="J121" s="14"/>
      <c r="K121" s="14"/>
      <c r="L121" s="14"/>
      <c r="M121" s="14"/>
      <c r="N121" s="14"/>
      <c r="O121" s="14"/>
      <c r="P121" s="28"/>
      <c r="Q121" s="120"/>
      <c r="R121" s="14"/>
      <c r="S121" s="14"/>
      <c r="T121" s="14"/>
      <c r="U121" s="14"/>
      <c r="V121" s="185"/>
    </row>
    <row r="122" spans="1:25" ht="18" hidden="1" customHeight="1">
      <c r="A122" s="184"/>
      <c r="B122" s="28"/>
      <c r="C122" s="7" t="s">
        <v>727</v>
      </c>
      <c r="D122" s="14"/>
      <c r="E122" s="14"/>
      <c r="F122" s="14"/>
      <c r="G122" s="14"/>
      <c r="H122" s="14"/>
      <c r="K122" s="14"/>
      <c r="L122" s="28"/>
      <c r="M122" s="47"/>
      <c r="N122" s="14"/>
      <c r="O122" s="14"/>
      <c r="P122" s="14"/>
      <c r="Q122" s="14"/>
      <c r="R122" s="14"/>
      <c r="S122" s="14"/>
      <c r="T122" s="14"/>
      <c r="U122" s="14"/>
      <c r="V122" s="185"/>
    </row>
    <row r="123" spans="1:25" ht="18" hidden="1" customHeight="1">
      <c r="A123" s="184"/>
      <c r="B123" s="14" t="s">
        <v>728</v>
      </c>
      <c r="C123" s="7"/>
      <c r="D123" s="14"/>
      <c r="E123" s="14"/>
      <c r="F123" s="268"/>
      <c r="K123" s="28"/>
      <c r="L123" s="28"/>
      <c r="M123" s="281"/>
      <c r="N123" s="28"/>
      <c r="O123" s="47"/>
      <c r="P123" s="14"/>
      <c r="Q123" s="14"/>
      <c r="R123" s="14"/>
      <c r="S123" s="14"/>
      <c r="T123" s="14"/>
      <c r="U123" s="14"/>
      <c r="V123" s="185"/>
    </row>
    <row r="124" spans="1:25" ht="18" hidden="1" customHeight="1">
      <c r="A124" s="184"/>
      <c r="B124" s="14"/>
      <c r="C124" s="14" t="s">
        <v>729</v>
      </c>
      <c r="D124" s="47"/>
      <c r="E124" s="14"/>
      <c r="F124" s="268"/>
      <c r="K124" s="28"/>
      <c r="L124" s="28"/>
      <c r="M124" s="14"/>
      <c r="N124" s="14"/>
      <c r="O124" s="14"/>
      <c r="P124" s="14"/>
      <c r="Q124" s="14"/>
      <c r="R124" s="14"/>
      <c r="S124" s="14"/>
      <c r="T124" s="14"/>
      <c r="U124" s="14"/>
      <c r="V124" s="185"/>
    </row>
    <row r="125" spans="1:25" ht="18" hidden="1" customHeight="1">
      <c r="A125" s="184"/>
      <c r="B125" s="14"/>
      <c r="C125" s="7" t="s">
        <v>730</v>
      </c>
      <c r="D125" s="14"/>
      <c r="E125" s="14"/>
      <c r="F125" s="14"/>
      <c r="G125" s="14"/>
      <c r="H125" s="14"/>
      <c r="K125" s="28"/>
      <c r="L125" s="28"/>
      <c r="M125" s="47"/>
      <c r="N125" s="14"/>
      <c r="O125" s="14"/>
      <c r="P125" s="14"/>
      <c r="Q125" s="14"/>
      <c r="R125" s="14"/>
      <c r="S125" s="14"/>
      <c r="T125" s="14"/>
      <c r="U125" s="14"/>
      <c r="V125" s="185"/>
    </row>
    <row r="126" spans="1:25" ht="18" hidden="1" customHeight="1">
      <c r="A126" s="184"/>
      <c r="B126" s="14"/>
      <c r="C126" s="7" t="s">
        <v>731</v>
      </c>
      <c r="K126" s="28"/>
      <c r="L126" s="28"/>
      <c r="M126" s="28"/>
      <c r="O126" s="14"/>
      <c r="P126" s="28"/>
      <c r="Q126" s="278"/>
      <c r="R126" s="28"/>
      <c r="S126" s="14"/>
      <c r="T126" s="14"/>
      <c r="U126" s="14"/>
      <c r="V126" s="185"/>
    </row>
    <row r="127" spans="1:25" ht="18" hidden="1" customHeight="1">
      <c r="A127" s="452"/>
      <c r="B127" s="207"/>
      <c r="C127" s="207"/>
      <c r="D127" s="207"/>
      <c r="E127" s="207"/>
      <c r="F127" s="207"/>
      <c r="G127" s="207"/>
      <c r="H127" s="207"/>
      <c r="I127" s="207"/>
      <c r="J127" s="207"/>
      <c r="K127" s="259" t="s">
        <v>129</v>
      </c>
      <c r="L127" s="259" t="s">
        <v>732</v>
      </c>
      <c r="M127" s="190"/>
      <c r="N127" s="259"/>
      <c r="O127" s="259"/>
      <c r="P127" s="229"/>
      <c r="Q127" s="473"/>
      <c r="R127" s="229"/>
      <c r="S127" s="259"/>
      <c r="T127" s="259"/>
      <c r="U127" s="259"/>
      <c r="V127" s="453"/>
    </row>
    <row r="128" spans="1:25" s="14" customFormat="1" ht="18" hidden="1" customHeight="1">
      <c r="A128" s="194"/>
      <c r="B128" s="195"/>
      <c r="C128" s="195"/>
      <c r="D128" s="195"/>
      <c r="E128" s="195"/>
      <c r="F128" s="195"/>
      <c r="G128" s="195"/>
      <c r="H128" s="195"/>
      <c r="I128" s="195"/>
      <c r="J128" s="195"/>
      <c r="K128" s="195"/>
      <c r="L128" s="195"/>
      <c r="M128" s="195"/>
      <c r="N128" s="195"/>
      <c r="O128" s="195"/>
      <c r="P128" s="195"/>
      <c r="Q128" s="224"/>
      <c r="R128" s="182"/>
      <c r="S128" s="225"/>
      <c r="T128" s="195"/>
      <c r="U128" s="195"/>
      <c r="V128" s="134"/>
    </row>
    <row r="129" spans="1:22" ht="18" hidden="1" customHeight="1">
      <c r="A129" s="226"/>
      <c r="B129" s="273"/>
      <c r="C129" s="273"/>
      <c r="D129" s="227"/>
      <c r="E129" s="227"/>
      <c r="F129" s="227"/>
      <c r="G129" s="227"/>
      <c r="H129" s="227"/>
      <c r="I129" s="227"/>
      <c r="J129" s="227"/>
      <c r="K129" s="311"/>
      <c r="L129" s="311"/>
      <c r="M129" s="227"/>
      <c r="N129" s="227"/>
      <c r="O129" s="311"/>
      <c r="P129" s="311"/>
      <c r="Q129" s="138"/>
      <c r="R129" s="227"/>
      <c r="S129" s="227"/>
      <c r="T129" s="273"/>
      <c r="U129" s="273"/>
      <c r="V129" s="228"/>
    </row>
    <row r="130" spans="1:22" ht="18" hidden="1" customHeight="1">
      <c r="A130" s="96"/>
      <c r="B130" s="7" t="s">
        <v>733</v>
      </c>
      <c r="C130" s="7"/>
      <c r="D130" s="14"/>
      <c r="E130" s="7"/>
      <c r="F130" s="7"/>
      <c r="L130" s="27"/>
      <c r="O130" s="27"/>
      <c r="P130" s="27"/>
      <c r="Q130" s="28"/>
      <c r="T130" s="14"/>
      <c r="U130" s="14"/>
      <c r="V130" s="185"/>
    </row>
    <row r="131" spans="1:22" ht="18" hidden="1" customHeight="1">
      <c r="A131" s="96"/>
      <c r="B131" s="14"/>
      <c r="C131" s="7"/>
      <c r="D131" s="7"/>
      <c r="E131" s="14"/>
      <c r="F131" s="7"/>
      <c r="L131" s="27"/>
      <c r="M131" s="14"/>
      <c r="O131" s="14"/>
      <c r="P131" s="14"/>
      <c r="Q131" s="14"/>
      <c r="R131" s="14"/>
      <c r="S131" s="14"/>
      <c r="T131" s="14"/>
      <c r="U131" s="14"/>
      <c r="V131" s="185"/>
    </row>
    <row r="132" spans="1:22" ht="18" hidden="1" customHeight="1">
      <c r="A132" s="96"/>
      <c r="B132" s="14"/>
      <c r="C132" s="120" t="s">
        <v>734</v>
      </c>
      <c r="D132" s="28" t="s">
        <v>127</v>
      </c>
      <c r="E132" s="805">
        <f>S107</f>
        <v>31500</v>
      </c>
      <c r="F132" s="805"/>
      <c r="G132" s="14"/>
      <c r="H132" s="14"/>
      <c r="I132" s="102"/>
      <c r="J132" s="47"/>
      <c r="K132" s="47"/>
      <c r="L132" s="14"/>
      <c r="M132" s="14"/>
      <c r="N132" s="14"/>
      <c r="O132" s="14"/>
      <c r="P132" s="14"/>
      <c r="Q132" s="14"/>
      <c r="R132" s="14"/>
      <c r="S132" s="14"/>
      <c r="T132" s="14"/>
      <c r="U132" s="14"/>
      <c r="V132" s="185"/>
    </row>
    <row r="133" spans="1:22" ht="18" hidden="1" customHeight="1">
      <c r="A133" s="96"/>
      <c r="B133" s="14"/>
      <c r="C133" s="120"/>
      <c r="D133" s="28"/>
      <c r="E133" s="978" t="str">
        <f>"5 x "&amp;S108&amp;""</f>
        <v>5 x -</v>
      </c>
      <c r="F133" s="978"/>
      <c r="G133" s="28"/>
      <c r="H133" s="257"/>
      <c r="K133" s="28"/>
      <c r="L133" s="218"/>
      <c r="M133" s="257"/>
      <c r="O133" s="14"/>
      <c r="P133" s="14"/>
      <c r="Q133" s="14"/>
      <c r="R133" s="14"/>
      <c r="S133" s="14"/>
      <c r="T133" s="14"/>
      <c r="U133" s="14"/>
      <c r="V133" s="185"/>
    </row>
    <row r="134" spans="1:22" ht="18" hidden="1" customHeight="1">
      <c r="A134" s="96"/>
      <c r="J134" s="14"/>
      <c r="K134" s="257"/>
      <c r="M134" s="14"/>
      <c r="N134" s="14"/>
      <c r="O134" s="14"/>
      <c r="P134" s="14"/>
      <c r="Q134" s="14"/>
      <c r="R134" s="14"/>
      <c r="S134" s="14"/>
      <c r="T134" s="14"/>
      <c r="U134" s="14"/>
      <c r="V134" s="185"/>
    </row>
    <row r="135" spans="1:22" ht="18" hidden="1" customHeight="1">
      <c r="A135" s="96"/>
      <c r="C135" s="458" t="s">
        <v>734</v>
      </c>
      <c r="D135" s="182" t="s">
        <v>127</v>
      </c>
      <c r="E135" s="1288" t="e">
        <f>S107/5/S108</f>
        <v>#VALUE!</v>
      </c>
      <c r="F135" s="722"/>
      <c r="G135" s="27"/>
      <c r="H135" s="27"/>
      <c r="I135" s="27"/>
      <c r="J135" s="120"/>
      <c r="K135" s="28"/>
      <c r="L135" s="120"/>
      <c r="M135" s="28"/>
      <c r="N135" s="120"/>
      <c r="O135" s="28"/>
      <c r="P135" s="120"/>
      <c r="Q135" s="296"/>
      <c r="V135" s="185"/>
    </row>
    <row r="136" spans="1:22" ht="18" hidden="1" customHeight="1">
      <c r="A136" s="96"/>
      <c r="C136" s="120"/>
      <c r="D136" s="28"/>
      <c r="E136" s="218"/>
      <c r="F136" s="218"/>
      <c r="G136" s="27"/>
      <c r="H136" s="27"/>
      <c r="I136" s="27"/>
      <c r="J136" s="120"/>
      <c r="K136" s="28"/>
      <c r="L136" s="120"/>
      <c r="M136" s="28"/>
      <c r="N136" s="120"/>
      <c r="O136" s="28"/>
      <c r="P136" s="120"/>
      <c r="Q136" s="296"/>
      <c r="V136" s="185"/>
    </row>
    <row r="137" spans="1:22" ht="18" hidden="1" customHeight="1">
      <c r="A137" s="96"/>
      <c r="B137" s="14" t="s">
        <v>735</v>
      </c>
      <c r="C137" s="14"/>
      <c r="D137" s="14"/>
      <c r="E137" s="7"/>
      <c r="F137" s="102"/>
      <c r="G137" s="7"/>
      <c r="H137" s="7"/>
      <c r="I137" s="239"/>
      <c r="J137" s="120"/>
      <c r="K137" s="28"/>
      <c r="L137" s="120"/>
      <c r="M137" s="28"/>
      <c r="N137" s="120"/>
      <c r="O137" s="28"/>
      <c r="P137" s="120"/>
      <c r="Q137" s="296"/>
      <c r="V137" s="185"/>
    </row>
    <row r="138" spans="1:22" ht="18" hidden="1" customHeight="1">
      <c r="A138" s="96"/>
      <c r="C138" s="14"/>
      <c r="D138" s="14"/>
      <c r="E138" s="689" t="s">
        <v>736</v>
      </c>
      <c r="F138" s="689">
        <v>1</v>
      </c>
      <c r="G138" s="689"/>
      <c r="H138" s="689" t="s">
        <v>312</v>
      </c>
      <c r="I138" s="459" t="s">
        <v>312</v>
      </c>
      <c r="J138" s="120"/>
      <c r="K138" s="28"/>
      <c r="L138" s="120"/>
      <c r="M138" s="28"/>
      <c r="N138" s="120"/>
      <c r="O138" s="28"/>
      <c r="P138" s="120"/>
      <c r="Q138" s="296"/>
      <c r="V138" s="185"/>
    </row>
    <row r="139" spans="1:22" ht="18" hidden="1" customHeight="1">
      <c r="A139" s="96"/>
      <c r="C139" s="14"/>
      <c r="D139" s="14"/>
      <c r="E139" s="723"/>
      <c r="F139" s="273"/>
      <c r="G139" s="274" t="s">
        <v>737</v>
      </c>
      <c r="H139" s="689"/>
      <c r="I139" s="14" t="s">
        <v>141</v>
      </c>
      <c r="J139" s="120"/>
      <c r="K139" s="28"/>
      <c r="L139" s="120"/>
      <c r="M139" s="28"/>
      <c r="N139" s="120"/>
      <c r="O139" s="28"/>
      <c r="P139" s="120"/>
      <c r="Q139" s="296"/>
      <c r="V139" s="185"/>
    </row>
    <row r="140" spans="1:22" ht="18" hidden="1" customHeight="1">
      <c r="A140" s="96"/>
      <c r="C140" s="120"/>
      <c r="D140" s="28"/>
      <c r="E140" s="218"/>
      <c r="F140" s="218"/>
      <c r="G140" s="27"/>
      <c r="H140" s="27"/>
      <c r="I140" s="27"/>
      <c r="J140" s="120"/>
      <c r="K140" s="28"/>
      <c r="L140" s="120"/>
      <c r="M140" s="28"/>
      <c r="N140" s="120"/>
      <c r="O140" s="28"/>
      <c r="P140" s="120"/>
      <c r="Q140" s="296"/>
      <c r="V140" s="185"/>
    </row>
    <row r="141" spans="1:22" ht="18" hidden="1" customHeight="1">
      <c r="A141" s="96"/>
      <c r="B141" s="14" t="s">
        <v>753</v>
      </c>
      <c r="J141" s="120"/>
      <c r="K141" s="28"/>
      <c r="L141" s="120"/>
      <c r="M141" s="28"/>
      <c r="N141" s="121" t="s">
        <v>127</v>
      </c>
      <c r="O141" s="47" t="e">
        <f>#REF!</f>
        <v>#REF!</v>
      </c>
      <c r="P141" s="120"/>
      <c r="Q141" s="296"/>
      <c r="V141" s="185"/>
    </row>
    <row r="142" spans="1:22" ht="18" hidden="1" customHeight="1">
      <c r="A142" s="184"/>
      <c r="C142" s="120"/>
      <c r="D142" s="28"/>
      <c r="E142" s="218"/>
      <c r="F142" s="218"/>
      <c r="G142" s="27"/>
      <c r="H142" s="27"/>
      <c r="I142" s="27"/>
      <c r="J142" s="120"/>
      <c r="K142" s="28"/>
      <c r="L142" s="120"/>
      <c r="M142" s="28"/>
      <c r="N142" s="120"/>
      <c r="O142" s="28"/>
      <c r="P142" s="120"/>
      <c r="Q142" s="296"/>
      <c r="V142" s="185"/>
    </row>
    <row r="143" spans="1:22" ht="18" hidden="1" customHeight="1">
      <c r="A143" s="96"/>
      <c r="C143" s="120"/>
      <c r="F143" s="708">
        <v>1</v>
      </c>
      <c r="G143" s="708"/>
      <c r="H143" s="708"/>
      <c r="I143" s="27"/>
      <c r="J143" s="689" t="s">
        <v>315</v>
      </c>
      <c r="K143" s="1286" t="e">
        <f>O141</f>
        <v>#REF!</v>
      </c>
      <c r="L143" s="120"/>
      <c r="M143" s="28"/>
      <c r="N143" s="120"/>
      <c r="O143" s="28"/>
      <c r="P143" s="120"/>
      <c r="Q143" s="296"/>
      <c r="V143" s="185"/>
    </row>
    <row r="144" spans="1:22" ht="18" hidden="1" customHeight="1">
      <c r="A144" s="184"/>
      <c r="C144" s="120"/>
      <c r="D144" s="120" t="s">
        <v>738</v>
      </c>
      <c r="E144" s="102" t="s">
        <v>127</v>
      </c>
      <c r="F144" s="14" t="s">
        <v>739</v>
      </c>
      <c r="I144" s="27"/>
      <c r="J144" s="684"/>
      <c r="K144" s="1251"/>
      <c r="L144" s="120"/>
      <c r="M144" s="28"/>
      <c r="N144" s="120"/>
      <c r="O144" s="28"/>
      <c r="P144" s="120"/>
      <c r="Q144" s="296"/>
      <c r="V144" s="185"/>
    </row>
    <row r="145" spans="1:22" ht="18" hidden="1" customHeight="1">
      <c r="A145" s="184"/>
      <c r="C145" s="120"/>
      <c r="D145" s="28"/>
      <c r="E145" s="218" t="s">
        <v>127</v>
      </c>
      <c r="F145" s="1287" t="e">
        <f>1*O141/(2*3.14*50)</f>
        <v>#REF!</v>
      </c>
      <c r="G145" s="1287"/>
      <c r="H145" s="28" t="s">
        <v>740</v>
      </c>
      <c r="I145" s="27"/>
      <c r="J145" s="120"/>
      <c r="K145" s="28"/>
      <c r="L145" s="120"/>
      <c r="M145" s="28"/>
      <c r="N145" s="120"/>
      <c r="O145" s="28"/>
      <c r="P145" s="120"/>
      <c r="Q145" s="296"/>
      <c r="V145" s="185"/>
    </row>
    <row r="146" spans="1:22" ht="18" hidden="1" customHeight="1">
      <c r="A146" s="184"/>
      <c r="C146" s="120"/>
      <c r="D146" s="120" t="s">
        <v>738</v>
      </c>
      <c r="E146" s="218" t="s">
        <v>127</v>
      </c>
      <c r="F146" s="1188" t="e">
        <f>F145*1000</f>
        <v>#REF!</v>
      </c>
      <c r="G146" s="1188"/>
      <c r="H146" s="28" t="s">
        <v>343</v>
      </c>
      <c r="I146" s="27"/>
      <c r="J146" s="120"/>
      <c r="K146" s="28"/>
      <c r="L146" s="120"/>
      <c r="M146" s="28"/>
      <c r="N146" s="120"/>
      <c r="O146" s="28"/>
      <c r="P146" s="120"/>
      <c r="Q146" s="296"/>
      <c r="V146" s="185"/>
    </row>
    <row r="147" spans="1:22" ht="18" hidden="1" customHeight="1">
      <c r="A147" s="184"/>
      <c r="B147" s="14" t="s">
        <v>741</v>
      </c>
      <c r="E147" s="28" t="s">
        <v>127</v>
      </c>
      <c r="F147" s="27">
        <v>10</v>
      </c>
      <c r="G147" s="27"/>
      <c r="H147" s="245"/>
      <c r="I147" s="245"/>
      <c r="J147" s="460"/>
      <c r="K147" s="245"/>
      <c r="L147" s="460"/>
      <c r="M147" s="245"/>
      <c r="N147" s="460"/>
      <c r="O147" s="245"/>
      <c r="P147" s="460"/>
      <c r="Q147" s="461"/>
      <c r="V147" s="185"/>
    </row>
    <row r="148" spans="1:22" ht="18" hidden="1" customHeight="1">
      <c r="A148" s="184"/>
      <c r="G148" s="27"/>
      <c r="H148" s="245"/>
      <c r="I148" s="245"/>
      <c r="J148" s="460"/>
      <c r="K148" s="245"/>
      <c r="L148" s="460"/>
      <c r="M148" s="245"/>
      <c r="N148" s="460"/>
      <c r="O148" s="245"/>
      <c r="P148" s="460"/>
      <c r="Q148" s="461"/>
      <c r="V148" s="185"/>
    </row>
    <row r="149" spans="1:22" ht="18" hidden="1" customHeight="1">
      <c r="A149" s="184"/>
      <c r="B149" s="7" t="s">
        <v>742</v>
      </c>
      <c r="F149" s="7"/>
      <c r="G149" s="7"/>
      <c r="H149" s="204"/>
      <c r="I149" s="204"/>
      <c r="V149" s="185"/>
    </row>
    <row r="150" spans="1:22" ht="18" hidden="1" customHeight="1">
      <c r="A150" s="184"/>
      <c r="B150" s="7"/>
      <c r="E150" s="14" t="s">
        <v>754</v>
      </c>
      <c r="F150" s="7"/>
      <c r="G150" s="7"/>
      <c r="V150" s="185"/>
    </row>
    <row r="151" spans="1:22" ht="18" hidden="1" customHeight="1">
      <c r="A151" s="184"/>
      <c r="B151" s="14" t="s">
        <v>744</v>
      </c>
      <c r="C151" s="14"/>
      <c r="D151" s="14"/>
      <c r="E151" s="14"/>
      <c r="F151" s="14"/>
      <c r="G151" s="120"/>
      <c r="H151" s="120"/>
      <c r="V151" s="185"/>
    </row>
    <row r="152" spans="1:22" ht="18" hidden="1" customHeight="1">
      <c r="A152" s="184"/>
      <c r="B152" s="14"/>
      <c r="C152" s="120" t="s">
        <v>745</v>
      </c>
      <c r="D152" s="28" t="s">
        <v>127</v>
      </c>
      <c r="E152" s="1188" t="e">
        <f>MAX(E135,F147)</f>
        <v>#VALUE!</v>
      </c>
      <c r="F152" s="1188"/>
      <c r="G152" s="47" t="s">
        <v>746</v>
      </c>
      <c r="H152" s="120"/>
      <c r="V152" s="185"/>
    </row>
    <row r="153" spans="1:22" ht="18" hidden="1" customHeight="1">
      <c r="A153" s="184"/>
      <c r="B153" s="7"/>
      <c r="E153" s="14"/>
      <c r="F153" s="7"/>
      <c r="G153" s="7"/>
      <c r="V153" s="185"/>
    </row>
    <row r="154" spans="1:22" ht="18" hidden="1" customHeight="1">
      <c r="A154" s="184"/>
      <c r="B154" s="47" t="s">
        <v>747</v>
      </c>
      <c r="E154" s="14"/>
      <c r="F154" s="7"/>
      <c r="G154" s="7"/>
      <c r="V154" s="185"/>
    </row>
    <row r="155" spans="1:22" ht="18" hidden="1" customHeight="1">
      <c r="A155" s="184"/>
      <c r="B155" s="47" t="s">
        <v>748</v>
      </c>
      <c r="E155" s="14"/>
      <c r="F155" s="7"/>
      <c r="G155" s="7"/>
      <c r="V155" s="185"/>
    </row>
    <row r="156" spans="1:22" ht="18" hidden="1" customHeight="1" thickBot="1">
      <c r="A156" s="184"/>
      <c r="B156" s="102" t="s">
        <v>127</v>
      </c>
      <c r="C156" s="120" t="e">
        <f>E152</f>
        <v>#VALUE!</v>
      </c>
      <c r="D156" s="28" t="s">
        <v>315</v>
      </c>
      <c r="E156" s="28" t="s">
        <v>419</v>
      </c>
      <c r="F156" s="692">
        <f>S111</f>
        <v>9.3000000000000007</v>
      </c>
      <c r="G156" s="692"/>
      <c r="H156" s="102" t="s">
        <v>347</v>
      </c>
      <c r="I156" s="218">
        <f>S112</f>
        <v>1.0870224400000001</v>
      </c>
      <c r="J156" s="240" t="s">
        <v>347</v>
      </c>
      <c r="K156" s="281">
        <f>J100</f>
        <v>0.01</v>
      </c>
      <c r="L156" s="14" t="s">
        <v>350</v>
      </c>
      <c r="M156" s="14" t="s">
        <v>315</v>
      </c>
      <c r="N156" s="28">
        <v>1</v>
      </c>
      <c r="V156" s="185"/>
    </row>
    <row r="157" spans="1:22" ht="18" hidden="1" customHeight="1" thickBot="1">
      <c r="A157" s="184"/>
      <c r="B157" s="462" t="s">
        <v>528</v>
      </c>
      <c r="C157" s="463" t="s">
        <v>127</v>
      </c>
      <c r="D157" s="464" t="e">
        <f>C156*(F156+I156+K156)*N156</f>
        <v>#VALUE!</v>
      </c>
      <c r="E157" s="14" t="s">
        <v>305</v>
      </c>
      <c r="F157" s="7"/>
      <c r="G157" s="7"/>
      <c r="V157" s="185"/>
    </row>
    <row r="158" spans="1:22" ht="18" hidden="1" customHeight="1">
      <c r="A158" s="184"/>
      <c r="B158" s="7"/>
      <c r="E158" s="14"/>
      <c r="F158" s="7"/>
      <c r="G158" s="7"/>
      <c r="V158" s="185"/>
    </row>
    <row r="159" spans="1:22" ht="18" hidden="1" customHeight="1">
      <c r="A159" s="184"/>
      <c r="B159" s="47" t="s">
        <v>749</v>
      </c>
      <c r="E159" s="14"/>
      <c r="F159" s="7"/>
      <c r="G159" s="7"/>
      <c r="J159" s="14" t="s">
        <v>750</v>
      </c>
      <c r="L159" s="28" t="s">
        <v>476</v>
      </c>
      <c r="N159" s="14" t="s">
        <v>751</v>
      </c>
      <c r="V159" s="185"/>
    </row>
    <row r="160" spans="1:22" ht="18" hidden="1" customHeight="1">
      <c r="A160" s="184"/>
      <c r="B160" s="7"/>
      <c r="E160" s="14"/>
      <c r="F160" s="7"/>
      <c r="G160" s="7"/>
      <c r="L160" s="28" t="s">
        <v>127</v>
      </c>
      <c r="N160" s="1251" t="e">
        <f>0.8*D157</f>
        <v>#VALUE!</v>
      </c>
      <c r="O160" s="1251"/>
      <c r="V160" s="185"/>
    </row>
    <row r="161" spans="1:22" ht="18" hidden="1" customHeight="1">
      <c r="A161" s="184"/>
      <c r="B161" s="7"/>
      <c r="E161" s="14"/>
      <c r="F161" s="14" t="s">
        <v>752</v>
      </c>
      <c r="G161" s="7"/>
      <c r="L161" s="28" t="s">
        <v>127</v>
      </c>
      <c r="N161" s="1072" t="e">
        <f>N160*1.2</f>
        <v>#VALUE!</v>
      </c>
      <c r="O161" s="1072"/>
      <c r="V161" s="185"/>
    </row>
    <row r="162" spans="1:22" ht="18" hidden="1" customHeight="1">
      <c r="A162" s="184"/>
      <c r="B162" s="7"/>
      <c r="E162" s="14"/>
      <c r="F162" s="7"/>
      <c r="G162" s="7"/>
      <c r="K162" s="199" t="s">
        <v>475</v>
      </c>
      <c r="L162" s="28" t="e">
        <f>IF(J163&gt;M163,"&gt;","&lt;")</f>
        <v>#VALUE!</v>
      </c>
      <c r="M162" s="257" t="s">
        <v>477</v>
      </c>
      <c r="O162" s="18"/>
      <c r="P162" s="268"/>
      <c r="V162" s="185"/>
    </row>
    <row r="163" spans="1:22" ht="18" hidden="1" customHeight="1">
      <c r="A163" s="184"/>
      <c r="D163" s="211"/>
      <c r="E163" s="211"/>
      <c r="F163" s="27"/>
      <c r="G163" s="211"/>
      <c r="J163" s="795">
        <f>S110</f>
        <v>500</v>
      </c>
      <c r="K163" s="795"/>
      <c r="L163" s="27" t="e">
        <f>IF(J163&gt;=M163,"&gt;","&lt;")</f>
        <v>#VALUE!</v>
      </c>
      <c r="M163" s="795" t="e">
        <f>N161</f>
        <v>#VALUE!</v>
      </c>
      <c r="N163" s="795"/>
      <c r="P163" s="268"/>
      <c r="V163" s="185"/>
    </row>
    <row r="164" spans="1:22" ht="18" hidden="1" customHeight="1">
      <c r="A164" s="184"/>
      <c r="K164" s="244" t="s">
        <v>478</v>
      </c>
      <c r="M164" s="18" t="e">
        <f>IF(J163&gt;M163,"Suitable Dimensions","Under Dimensioned")</f>
        <v>#VALUE!</v>
      </c>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452"/>
      <c r="B168" s="207"/>
      <c r="C168" s="207"/>
      <c r="D168" s="207"/>
      <c r="E168" s="207"/>
      <c r="F168" s="207"/>
      <c r="G168" s="207"/>
      <c r="H168" s="207"/>
      <c r="I168" s="207"/>
      <c r="J168" s="207"/>
      <c r="K168" s="207"/>
      <c r="L168" s="207"/>
      <c r="M168" s="207"/>
      <c r="N168" s="207"/>
      <c r="O168" s="207"/>
      <c r="P168" s="207"/>
      <c r="Q168" s="207"/>
      <c r="R168" s="207"/>
      <c r="S168" s="207"/>
      <c r="T168" s="207"/>
      <c r="U168" s="207"/>
      <c r="V168" s="453"/>
    </row>
    <row r="169" spans="1:22" s="14" customFormat="1" ht="18" hidden="1"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ht="18" hidden="1" customHeight="1">
      <c r="A170" s="226"/>
      <c r="B170" s="227"/>
      <c r="C170" s="227"/>
      <c r="D170" s="227"/>
      <c r="E170" s="227"/>
      <c r="F170" s="227"/>
      <c r="G170" s="227"/>
      <c r="H170" s="227"/>
      <c r="I170" s="227"/>
      <c r="J170" s="227"/>
      <c r="K170" s="227"/>
      <c r="L170" s="227"/>
      <c r="M170" s="227"/>
      <c r="N170" s="227"/>
      <c r="O170" s="227"/>
      <c r="P170" s="227"/>
      <c r="Q170" s="227"/>
      <c r="R170" s="227"/>
      <c r="S170" s="227"/>
      <c r="T170" s="227"/>
      <c r="U170" s="227"/>
      <c r="V170" s="228"/>
    </row>
    <row r="171" spans="1:22" ht="18" hidden="1" customHeight="1">
      <c r="A171" s="184"/>
      <c r="B171" s="854" t="str">
        <f>B89</f>
        <v>T1</v>
      </c>
      <c r="C171" s="831"/>
      <c r="D171" s="854" t="str">
        <f>D89</f>
        <v>Core4</v>
      </c>
      <c r="E171" s="831"/>
      <c r="F171" s="455"/>
      <c r="H171" s="684">
        <f>H89</f>
        <v>0</v>
      </c>
      <c r="I171" s="684"/>
      <c r="J171" s="684"/>
      <c r="K171" s="684"/>
      <c r="L171" s="684"/>
      <c r="M171" s="684"/>
      <c r="P171" s="186"/>
      <c r="S171" s="187" t="s">
        <v>387</v>
      </c>
      <c r="T171" s="854" t="str">
        <f>T89</f>
        <v>REB500</v>
      </c>
      <c r="U171" s="831"/>
      <c r="V171" s="185"/>
    </row>
    <row r="172" spans="1:22" ht="18" hidden="1" customHeight="1">
      <c r="A172" s="456"/>
      <c r="F172" s="455"/>
      <c r="T172" s="854">
        <f>T90</f>
        <v>0</v>
      </c>
      <c r="U172" s="831"/>
      <c r="V172" s="185"/>
    </row>
    <row r="173" spans="1:22" ht="18" hidden="1" customHeight="1">
      <c r="A173" s="184"/>
      <c r="H173" s="708" t="s">
        <v>390</v>
      </c>
      <c r="I173" s="708"/>
      <c r="J173" s="708" t="s">
        <v>391</v>
      </c>
      <c r="K173" s="708"/>
      <c r="L173" s="789" t="s">
        <v>392</v>
      </c>
      <c r="M173" s="789"/>
      <c r="T173" s="854">
        <f>T91</f>
        <v>0</v>
      </c>
      <c r="U173" s="831"/>
      <c r="V173" s="185"/>
    </row>
    <row r="174" spans="1:22" ht="18" hidden="1" customHeight="1">
      <c r="A174" s="184"/>
      <c r="B174" s="47" t="s">
        <v>393</v>
      </c>
      <c r="H174" s="854">
        <f>H92</f>
        <v>2500</v>
      </c>
      <c r="I174" s="831"/>
      <c r="J174" s="854" t="str">
        <f>J92</f>
        <v>-</v>
      </c>
      <c r="K174" s="831"/>
      <c r="L174" s="863" t="str">
        <f>L92</f>
        <v>-</v>
      </c>
      <c r="M174" s="864"/>
      <c r="N174" s="191" t="s">
        <v>342</v>
      </c>
      <c r="O174" s="256">
        <f>O92</f>
        <v>1</v>
      </c>
      <c r="P174" s="27" t="s">
        <v>8</v>
      </c>
      <c r="R174" s="255"/>
      <c r="S174" s="255"/>
      <c r="V174" s="185"/>
    </row>
    <row r="175" spans="1:22" ht="18" hidden="1" customHeight="1">
      <c r="A175" s="184"/>
      <c r="B175" s="47" t="s">
        <v>394</v>
      </c>
      <c r="H175" s="14"/>
      <c r="K175" s="14"/>
      <c r="L175" s="854" t="str">
        <f>J93</f>
        <v>PX-B</v>
      </c>
      <c r="M175" s="831"/>
      <c r="N175" s="14"/>
      <c r="V175" s="185"/>
    </row>
    <row r="176" spans="1:22" ht="18" hidden="1" customHeight="1">
      <c r="A176" s="184"/>
      <c r="B176" s="47" t="s">
        <v>396</v>
      </c>
      <c r="K176" s="120" t="s">
        <v>497</v>
      </c>
      <c r="L176" s="781" t="s">
        <v>6</v>
      </c>
      <c r="M176" s="782"/>
      <c r="N176" s="192" t="s">
        <v>333</v>
      </c>
      <c r="V176" s="185"/>
    </row>
    <row r="177" spans="1:23" ht="18" hidden="1" customHeight="1">
      <c r="A177" s="184"/>
      <c r="B177" s="47" t="s">
        <v>398</v>
      </c>
      <c r="K177" s="120" t="s">
        <v>498</v>
      </c>
      <c r="L177" s="781" t="s">
        <v>6</v>
      </c>
      <c r="M177" s="782"/>
      <c r="N177" s="14" t="s">
        <v>305</v>
      </c>
      <c r="V177" s="185"/>
      <c r="W177" s="30" t="e">
        <f>G237</f>
        <v>#VALUE!</v>
      </c>
    </row>
    <row r="178" spans="1:23" ht="18" hidden="1" customHeight="1">
      <c r="A178" s="184"/>
      <c r="B178" s="14" t="s">
        <v>401</v>
      </c>
      <c r="K178" s="120" t="s">
        <v>402</v>
      </c>
      <c r="L178" s="781" t="s">
        <v>6</v>
      </c>
      <c r="M178" s="782"/>
      <c r="N178" s="14" t="s">
        <v>403</v>
      </c>
      <c r="V178" s="185"/>
    </row>
    <row r="179" spans="1:23" ht="18" hidden="1" customHeight="1">
      <c r="A179" s="184"/>
      <c r="V179" s="185"/>
    </row>
    <row r="180" spans="1:23" ht="18" hidden="1" customHeight="1">
      <c r="A180" s="193" t="s">
        <v>404</v>
      </c>
      <c r="V180" s="185"/>
    </row>
    <row r="181" spans="1:23" ht="18" hidden="1" customHeight="1">
      <c r="A181" s="184"/>
      <c r="V181" s="185"/>
    </row>
    <row r="182" spans="1:23" ht="18" hidden="1" customHeight="1">
      <c r="A182" s="184"/>
      <c r="B182" s="135" t="s">
        <v>405</v>
      </c>
      <c r="C182" s="273"/>
      <c r="D182" s="139" t="str">
        <f>T171</f>
        <v>REB500</v>
      </c>
      <c r="E182" s="227"/>
      <c r="F182" s="227"/>
      <c r="G182" s="227"/>
      <c r="H182" s="138"/>
      <c r="I182" s="260" t="s">
        <v>127</v>
      </c>
      <c r="J182" s="722">
        <f>J100</f>
        <v>0.01</v>
      </c>
      <c r="K182" s="958"/>
      <c r="L182" s="3" t="s">
        <v>157</v>
      </c>
      <c r="N182" s="197" t="s">
        <v>510</v>
      </c>
      <c r="V182" s="185"/>
    </row>
    <row r="183" spans="1:23" ht="18" hidden="1" customHeight="1">
      <c r="A183" s="184"/>
      <c r="B183" s="96" t="s">
        <v>405</v>
      </c>
      <c r="C183" s="14"/>
      <c r="D183" s="47">
        <f>T172</f>
        <v>0</v>
      </c>
      <c r="H183" s="28"/>
      <c r="I183" s="101" t="s">
        <v>127</v>
      </c>
      <c r="J183" s="722">
        <f>J101</f>
        <v>0</v>
      </c>
      <c r="K183" s="958"/>
      <c r="L183" s="3" t="s">
        <v>157</v>
      </c>
      <c r="N183" s="120" t="s">
        <v>491</v>
      </c>
      <c r="O183" s="27" t="s">
        <v>127</v>
      </c>
      <c r="P183" s="27" t="s">
        <v>511</v>
      </c>
      <c r="Q183" s="27" t="s">
        <v>315</v>
      </c>
      <c r="R183" s="27" t="s">
        <v>511</v>
      </c>
      <c r="S183" s="27" t="s">
        <v>315</v>
      </c>
      <c r="T183" s="27" t="s">
        <v>420</v>
      </c>
      <c r="V183" s="185"/>
    </row>
    <row r="184" spans="1:23" ht="18" hidden="1" customHeight="1">
      <c r="A184" s="184"/>
      <c r="B184" s="96" t="s">
        <v>405</v>
      </c>
      <c r="C184" s="14"/>
      <c r="D184" s="47">
        <f>T173</f>
        <v>0</v>
      </c>
      <c r="H184" s="28"/>
      <c r="I184" s="101" t="s">
        <v>127</v>
      </c>
      <c r="J184" s="722">
        <f>J102</f>
        <v>0</v>
      </c>
      <c r="K184" s="958"/>
      <c r="L184" s="3" t="s">
        <v>157</v>
      </c>
      <c r="N184" s="27"/>
      <c r="O184" s="27" t="s">
        <v>127</v>
      </c>
      <c r="P184" s="27">
        <f>O174</f>
        <v>1</v>
      </c>
      <c r="Q184" s="27" t="s">
        <v>315</v>
      </c>
      <c r="R184" s="27">
        <f>O174</f>
        <v>1</v>
      </c>
      <c r="S184" s="27" t="s">
        <v>315</v>
      </c>
      <c r="T184" s="27" t="str">
        <f>L176</f>
        <v>-</v>
      </c>
      <c r="V184" s="185"/>
    </row>
    <row r="185" spans="1:23" ht="18" hidden="1" customHeight="1">
      <c r="A185" s="184"/>
      <c r="B185" s="452" t="s">
        <v>412</v>
      </c>
      <c r="C185" s="259"/>
      <c r="D185" s="259"/>
      <c r="E185" s="259"/>
      <c r="F185" s="207"/>
      <c r="G185" s="207"/>
      <c r="H185" s="190"/>
      <c r="I185" s="208" t="s">
        <v>127</v>
      </c>
      <c r="J185" s="1120">
        <f>J103</f>
        <v>1.0770224400000001</v>
      </c>
      <c r="K185" s="987"/>
      <c r="L185" s="297" t="s">
        <v>157</v>
      </c>
      <c r="O185" s="27" t="s">
        <v>127</v>
      </c>
      <c r="P185" s="795" t="e">
        <f>P184*R184*T184</f>
        <v>#VALUE!</v>
      </c>
      <c r="Q185" s="684"/>
      <c r="R185" s="27" t="s">
        <v>157</v>
      </c>
      <c r="V185" s="185"/>
    </row>
    <row r="186" spans="1:23" ht="18" hidden="1" customHeight="1">
      <c r="A186" s="184"/>
      <c r="B186" s="1" t="s">
        <v>413</v>
      </c>
      <c r="C186" s="2"/>
      <c r="D186" s="2"/>
      <c r="E186" s="2"/>
      <c r="F186" s="196"/>
      <c r="G186" s="196"/>
      <c r="H186" s="224" t="s">
        <v>512</v>
      </c>
      <c r="I186" s="183" t="s">
        <v>127</v>
      </c>
      <c r="J186" s="722">
        <f>SUM(J182:J185)</f>
        <v>1.0870224400000001</v>
      </c>
      <c r="K186" s="958"/>
      <c r="L186" s="3" t="s">
        <v>157</v>
      </c>
      <c r="V186" s="185"/>
    </row>
    <row r="187" spans="1:23" ht="18" hidden="1" customHeight="1">
      <c r="A187" s="184"/>
      <c r="B187" s="47"/>
      <c r="C187" s="47"/>
      <c r="D187" s="47"/>
      <c r="E187" s="47"/>
      <c r="H187" s="27"/>
      <c r="I187" s="28"/>
      <c r="J187" s="199"/>
      <c r="L187" s="47"/>
      <c r="S187" s="27"/>
      <c r="V187" s="185"/>
    </row>
    <row r="188" spans="1:23" ht="18" hidden="1" customHeight="1">
      <c r="A188" s="1206" t="s">
        <v>536</v>
      </c>
      <c r="B188" s="1207"/>
      <c r="C188" s="1207"/>
      <c r="D188" s="1207"/>
      <c r="E188" s="1207"/>
      <c r="F188" s="1207"/>
      <c r="G188" s="1207"/>
      <c r="H188" s="1207"/>
      <c r="I188" s="1207"/>
      <c r="J188" s="1207"/>
      <c r="K188" s="1207"/>
      <c r="L188" s="1207"/>
      <c r="M188" s="1207"/>
      <c r="N188" s="1207"/>
      <c r="O188" s="1207"/>
      <c r="P188" s="1207"/>
      <c r="Q188" s="1207"/>
      <c r="R188" s="1207"/>
      <c r="S188" s="1207"/>
      <c r="T188" s="1207"/>
      <c r="U188" s="1207"/>
      <c r="V188" s="1208"/>
    </row>
    <row r="189" spans="1:23" ht="18" hidden="1" customHeight="1">
      <c r="A189" s="1209"/>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84"/>
      <c r="Q190" s="211"/>
      <c r="R190" s="192"/>
      <c r="V190" s="185"/>
    </row>
    <row r="191" spans="1:23" ht="18" hidden="1" customHeight="1">
      <c r="A191" s="184"/>
      <c r="C191" s="28" t="s">
        <v>473</v>
      </c>
      <c r="D191" s="28" t="s">
        <v>127</v>
      </c>
      <c r="E191" s="28" t="s">
        <v>537</v>
      </c>
      <c r="F191" s="28" t="s">
        <v>493</v>
      </c>
      <c r="G191" s="28" t="s">
        <v>347</v>
      </c>
      <c r="H191" s="28" t="s">
        <v>491</v>
      </c>
      <c r="I191" s="28" t="s">
        <v>538</v>
      </c>
      <c r="J191" s="28" t="s">
        <v>495</v>
      </c>
      <c r="K191" s="28" t="s">
        <v>539</v>
      </c>
      <c r="L191" s="28" t="s">
        <v>511</v>
      </c>
      <c r="M191" s="28" t="s">
        <v>315</v>
      </c>
      <c r="N191" s="28">
        <v>1.3</v>
      </c>
      <c r="O191" s="47" t="s">
        <v>350</v>
      </c>
      <c r="V191" s="185"/>
    </row>
    <row r="192" spans="1:23" ht="18" hidden="1" customHeight="1">
      <c r="A192" s="184" t="s">
        <v>540</v>
      </c>
      <c r="C192" s="14"/>
      <c r="D192" s="28"/>
      <c r="E192" s="14"/>
      <c r="F192" s="14"/>
      <c r="G192" s="14"/>
      <c r="H192" s="14"/>
      <c r="I192" s="14"/>
      <c r="J192" s="14"/>
      <c r="K192" s="14"/>
      <c r="L192" s="14"/>
      <c r="M192" s="14"/>
      <c r="N192" s="14"/>
      <c r="O192" s="14"/>
      <c r="V192" s="185"/>
    </row>
    <row r="193" spans="1:25" ht="18" hidden="1" customHeight="1">
      <c r="A193" s="184"/>
      <c r="C193" s="28" t="s">
        <v>493</v>
      </c>
      <c r="D193" s="28" t="s">
        <v>127</v>
      </c>
      <c r="E193" s="28" t="s">
        <v>537</v>
      </c>
      <c r="F193" s="28">
        <v>1.3</v>
      </c>
      <c r="G193" s="28" t="s">
        <v>315</v>
      </c>
      <c r="H193" s="689" t="s">
        <v>473</v>
      </c>
      <c r="I193" s="716"/>
      <c r="J193" s="28" t="s">
        <v>315</v>
      </c>
      <c r="K193" s="28" t="s">
        <v>511</v>
      </c>
      <c r="L193" s="28" t="s">
        <v>541</v>
      </c>
      <c r="M193" s="28" t="s">
        <v>495</v>
      </c>
      <c r="N193" s="47" t="s">
        <v>542</v>
      </c>
      <c r="O193" s="28" t="s">
        <v>491</v>
      </c>
      <c r="V193" s="185"/>
    </row>
    <row r="194" spans="1:25" ht="18" hidden="1" customHeight="1">
      <c r="A194" s="184"/>
      <c r="V194" s="185"/>
    </row>
    <row r="195" spans="1:25" ht="18" hidden="1" customHeight="1">
      <c r="A195" s="168"/>
      <c r="B195" s="5"/>
      <c r="C195" s="47" t="s">
        <v>543</v>
      </c>
      <c r="D195" s="14"/>
      <c r="E195" s="14"/>
      <c r="F195" s="14"/>
      <c r="G195" s="14"/>
      <c r="H195" s="279"/>
      <c r="I195" s="120"/>
      <c r="J195" s="279"/>
      <c r="K195" s="279"/>
      <c r="L195" s="14"/>
      <c r="M195" s="14"/>
      <c r="N195" s="14"/>
      <c r="O195" s="14"/>
      <c r="P195" s="14"/>
      <c r="Q195" s="120" t="s">
        <v>544</v>
      </c>
      <c r="R195" s="102" t="s">
        <v>127</v>
      </c>
      <c r="S195" s="689">
        <f>S113</f>
        <v>1</v>
      </c>
      <c r="T195" s="689"/>
      <c r="U195" s="47" t="s">
        <v>8</v>
      </c>
      <c r="V195" s="185"/>
    </row>
    <row r="196" spans="1:25" ht="18" hidden="1" customHeight="1">
      <c r="A196" s="168"/>
      <c r="B196" s="5"/>
      <c r="C196" s="47" t="s">
        <v>545</v>
      </c>
      <c r="D196" s="14"/>
      <c r="E196" s="14"/>
      <c r="F196" s="18"/>
      <c r="G196" s="18"/>
      <c r="H196" s="279"/>
      <c r="I196" s="120"/>
      <c r="J196" s="279"/>
      <c r="K196" s="279"/>
      <c r="L196" s="14"/>
      <c r="M196" s="14"/>
      <c r="N196" s="14"/>
      <c r="O196" s="14"/>
      <c r="P196" s="14"/>
      <c r="Q196" s="120" t="s">
        <v>423</v>
      </c>
      <c r="R196" s="102" t="s">
        <v>127</v>
      </c>
      <c r="S196" s="689" t="str">
        <f>L174</f>
        <v>-</v>
      </c>
      <c r="T196" s="689"/>
      <c r="U196" s="14" t="s">
        <v>8</v>
      </c>
      <c r="V196" s="185"/>
    </row>
    <row r="197" spans="1:25" ht="18" hidden="1" customHeight="1">
      <c r="A197" s="168"/>
      <c r="B197" s="5"/>
      <c r="C197" s="47" t="s">
        <v>546</v>
      </c>
      <c r="D197" s="14"/>
      <c r="E197" s="14"/>
      <c r="F197" s="18"/>
      <c r="G197" s="18"/>
      <c r="H197" s="279"/>
      <c r="I197" s="120"/>
      <c r="J197" s="279"/>
      <c r="K197" s="279"/>
      <c r="L197" s="14"/>
      <c r="M197" s="14"/>
      <c r="N197" s="14"/>
      <c r="O197" s="14"/>
      <c r="P197" s="14"/>
      <c r="Q197" s="120" t="s">
        <v>473</v>
      </c>
      <c r="R197" s="102" t="s">
        <v>127</v>
      </c>
      <c r="S197" s="689" t="str">
        <f>L177</f>
        <v>-</v>
      </c>
      <c r="T197" s="689"/>
      <c r="U197" s="14" t="s">
        <v>305</v>
      </c>
      <c r="V197" s="185"/>
    </row>
    <row r="198" spans="1:25" ht="18" hidden="1" customHeight="1">
      <c r="A198" s="168"/>
      <c r="B198" s="5"/>
      <c r="C198" s="47" t="s">
        <v>547</v>
      </c>
      <c r="D198" s="14"/>
      <c r="E198" s="14"/>
      <c r="F198" s="18"/>
      <c r="G198" s="18"/>
      <c r="H198" s="279"/>
      <c r="I198" s="120"/>
      <c r="J198" s="279"/>
      <c r="K198" s="279"/>
      <c r="L198" s="14"/>
      <c r="M198" s="14"/>
      <c r="N198" s="14"/>
      <c r="O198" s="14"/>
      <c r="P198" s="14"/>
      <c r="Q198" s="120" t="s">
        <v>491</v>
      </c>
      <c r="R198" s="102" t="s">
        <v>127</v>
      </c>
      <c r="S198" s="692" t="e">
        <f>P185</f>
        <v>#VALUE!</v>
      </c>
      <c r="T198" s="689"/>
      <c r="U198" s="14" t="s">
        <v>157</v>
      </c>
      <c r="V198" s="185"/>
      <c r="W198" s="279"/>
      <c r="X198" s="279"/>
      <c r="Y198" s="279"/>
    </row>
    <row r="199" spans="1:25" ht="18" hidden="1" customHeight="1">
      <c r="A199" s="168"/>
      <c r="B199" s="5"/>
      <c r="C199" s="47" t="s">
        <v>548</v>
      </c>
      <c r="D199" s="14"/>
      <c r="E199" s="14"/>
      <c r="F199" s="18"/>
      <c r="G199" s="18"/>
      <c r="H199" s="279"/>
      <c r="I199" s="120"/>
      <c r="J199" s="279"/>
      <c r="K199" s="279"/>
      <c r="L199" s="14"/>
      <c r="M199" s="14"/>
      <c r="N199" s="14"/>
      <c r="O199" s="14"/>
      <c r="P199" s="14"/>
      <c r="Q199" s="120" t="s">
        <v>512</v>
      </c>
      <c r="R199" s="102" t="s">
        <v>127</v>
      </c>
      <c r="S199" s="692">
        <f>J186</f>
        <v>1.0870224400000001</v>
      </c>
      <c r="T199" s="689"/>
      <c r="U199" s="14" t="s">
        <v>157</v>
      </c>
      <c r="V199" s="185"/>
      <c r="X199" s="279"/>
      <c r="Y199" s="279"/>
    </row>
    <row r="200" spans="1:25" ht="18" hidden="1" customHeight="1">
      <c r="A200" s="168"/>
      <c r="B200" s="5"/>
      <c r="C200" s="47" t="s">
        <v>549</v>
      </c>
      <c r="D200" s="14"/>
      <c r="E200" s="14"/>
      <c r="F200" s="14"/>
      <c r="G200" s="14"/>
      <c r="H200" s="279"/>
      <c r="I200" s="120"/>
      <c r="J200" s="279"/>
      <c r="K200" s="279"/>
      <c r="L200" s="14"/>
      <c r="M200" s="14"/>
      <c r="N200" s="14"/>
      <c r="O200" s="14"/>
      <c r="P200" s="14"/>
      <c r="Q200" s="120" t="s">
        <v>511</v>
      </c>
      <c r="R200" s="102" t="s">
        <v>127</v>
      </c>
      <c r="S200" s="689">
        <f>O174</f>
        <v>1</v>
      </c>
      <c r="T200" s="689"/>
      <c r="U200" s="14" t="s">
        <v>8</v>
      </c>
      <c r="V200" s="185"/>
      <c r="X200" s="279"/>
      <c r="Y200" s="279"/>
    </row>
    <row r="201" spans="1:25" ht="18" hidden="1" customHeight="1">
      <c r="A201" s="168"/>
      <c r="B201" s="5"/>
      <c r="C201" s="47" t="s">
        <v>550</v>
      </c>
      <c r="D201" s="14"/>
      <c r="E201" s="14"/>
      <c r="F201" s="14"/>
      <c r="G201" s="14"/>
      <c r="H201" s="279"/>
      <c r="I201" s="120"/>
      <c r="J201" s="279"/>
      <c r="K201" s="279"/>
      <c r="L201" s="14"/>
      <c r="M201" s="14"/>
      <c r="N201" s="14"/>
      <c r="O201" s="14"/>
      <c r="P201" s="14"/>
      <c r="Q201" s="120" t="s">
        <v>495</v>
      </c>
      <c r="R201" s="102" t="s">
        <v>127</v>
      </c>
      <c r="S201" s="689">
        <v>20</v>
      </c>
      <c r="T201" s="689"/>
      <c r="U201" s="47"/>
      <c r="V201" s="185"/>
    </row>
    <row r="202" spans="1:25" ht="18" hidden="1" customHeight="1">
      <c r="A202" s="299"/>
      <c r="B202" s="279"/>
      <c r="C202" s="47" t="s">
        <v>551</v>
      </c>
      <c r="D202" s="14"/>
      <c r="E202" s="14"/>
      <c r="F202" s="14"/>
      <c r="G202" s="14"/>
      <c r="H202" s="279"/>
      <c r="I202" s="120"/>
      <c r="J202" s="279"/>
      <c r="K202" s="279"/>
      <c r="L202" s="14"/>
      <c r="M202" s="14"/>
      <c r="N202" s="279"/>
      <c r="O202" s="279"/>
      <c r="P202" s="14"/>
      <c r="Q202" s="120" t="s">
        <v>493</v>
      </c>
      <c r="R202" s="14"/>
      <c r="S202" s="279"/>
      <c r="T202" s="279"/>
      <c r="U202" s="279"/>
      <c r="V202" s="300"/>
      <c r="W202" s="279"/>
      <c r="X202" s="279"/>
      <c r="Y202" s="279"/>
    </row>
    <row r="203" spans="1:25" ht="18" hidden="1" customHeight="1">
      <c r="A203" s="184"/>
      <c r="C203" s="14"/>
      <c r="D203" s="14"/>
      <c r="E203" s="14"/>
      <c r="F203" s="14"/>
      <c r="G203" s="14"/>
      <c r="H203" s="14"/>
      <c r="I203" s="14"/>
      <c r="J203" s="14"/>
      <c r="K203" s="14"/>
      <c r="L203" s="14"/>
      <c r="M203" s="14"/>
      <c r="N203" s="14"/>
      <c r="O203" s="14"/>
      <c r="P203" s="14"/>
      <c r="Q203" s="14"/>
      <c r="R203" s="14"/>
      <c r="S203" s="14"/>
      <c r="T203" s="14"/>
      <c r="U203" s="14"/>
      <c r="V203" s="185"/>
    </row>
    <row r="204" spans="1:25" ht="18" hidden="1" customHeight="1">
      <c r="A204" s="184"/>
      <c r="C204" s="28" t="s">
        <v>493</v>
      </c>
      <c r="D204" s="28" t="s">
        <v>127</v>
      </c>
      <c r="E204" s="28" t="s">
        <v>537</v>
      </c>
      <c r="F204" s="28">
        <v>1.3</v>
      </c>
      <c r="G204" s="28" t="s">
        <v>315</v>
      </c>
      <c r="H204" s="689" t="s">
        <v>473</v>
      </c>
      <c r="I204" s="716"/>
      <c r="J204" s="28" t="s">
        <v>315</v>
      </c>
      <c r="K204" s="28" t="s">
        <v>511</v>
      </c>
      <c r="L204" s="28" t="s">
        <v>541</v>
      </c>
      <c r="M204" s="28" t="s">
        <v>495</v>
      </c>
      <c r="N204" s="47" t="s">
        <v>542</v>
      </c>
      <c r="O204" s="28" t="s">
        <v>491</v>
      </c>
      <c r="V204" s="185"/>
    </row>
    <row r="205" spans="1:25" ht="18" hidden="1" customHeight="1">
      <c r="A205" s="184"/>
      <c r="D205" s="27" t="s">
        <v>127</v>
      </c>
      <c r="E205" s="27" t="s">
        <v>537</v>
      </c>
      <c r="F205" s="27">
        <v>1.3</v>
      </c>
      <c r="G205" s="27" t="s">
        <v>315</v>
      </c>
      <c r="H205" s="684" t="str">
        <f>S197</f>
        <v>-</v>
      </c>
      <c r="I205" s="723"/>
      <c r="J205" s="27" t="s">
        <v>315</v>
      </c>
      <c r="K205" s="27">
        <f>S200</f>
        <v>1</v>
      </c>
      <c r="L205" s="27" t="s">
        <v>541</v>
      </c>
      <c r="M205" s="27">
        <f>S201</f>
        <v>20</v>
      </c>
      <c r="N205" s="296" t="s">
        <v>542</v>
      </c>
      <c r="O205" s="222" t="e">
        <f>S198</f>
        <v>#VALUE!</v>
      </c>
      <c r="V205" s="185"/>
    </row>
    <row r="206" spans="1:25" ht="18" hidden="1" customHeight="1">
      <c r="A206" s="184"/>
      <c r="D206" s="27" t="s">
        <v>127</v>
      </c>
      <c r="E206" s="684" t="e">
        <f>((F205*H205*K205)/M205)-O205</f>
        <v>#VALUE!</v>
      </c>
      <c r="F206" s="684"/>
      <c r="G206" s="27" t="s">
        <v>157</v>
      </c>
      <c r="V206" s="185"/>
    </row>
    <row r="207" spans="1:25" ht="18" hidden="1" customHeight="1">
      <c r="A207" s="184"/>
      <c r="D207" s="27"/>
      <c r="E207" s="27"/>
      <c r="F207" s="27"/>
      <c r="G207" s="27"/>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V212" s="185"/>
    </row>
    <row r="213" spans="1:22" s="14" customFormat="1" ht="18" hidden="1" customHeight="1">
      <c r="A213" s="194"/>
      <c r="B213" s="195"/>
      <c r="C213" s="195"/>
      <c r="D213" s="195"/>
      <c r="E213" s="195"/>
      <c r="F213" s="195"/>
      <c r="G213" s="195"/>
      <c r="H213" s="195"/>
      <c r="I213" s="195"/>
      <c r="J213" s="195"/>
      <c r="K213" s="195"/>
      <c r="L213" s="195"/>
      <c r="M213" s="195"/>
      <c r="N213" s="195"/>
      <c r="O213" s="195"/>
      <c r="P213" s="195"/>
      <c r="Q213" s="224"/>
      <c r="R213" s="182"/>
      <c r="S213" s="225"/>
      <c r="T213" s="195"/>
      <c r="U213" s="195"/>
      <c r="V213" s="134"/>
    </row>
    <row r="214" spans="1:22" ht="18" hidden="1" customHeight="1">
      <c r="A214" s="226"/>
      <c r="B214" s="227"/>
      <c r="C214" s="227"/>
      <c r="D214" s="227"/>
      <c r="E214" s="227"/>
      <c r="F214" s="227"/>
      <c r="G214" s="227"/>
      <c r="H214" s="227"/>
      <c r="I214" s="227"/>
      <c r="J214" s="227"/>
      <c r="K214" s="227"/>
      <c r="L214" s="227"/>
      <c r="M214" s="227"/>
      <c r="N214" s="227"/>
      <c r="O214" s="227"/>
      <c r="P214" s="227"/>
      <c r="Q214" s="227"/>
      <c r="R214" s="227"/>
      <c r="S214" s="227"/>
      <c r="T214" s="227"/>
      <c r="U214" s="227"/>
      <c r="V214" s="228"/>
    </row>
    <row r="215" spans="1:22" ht="18" hidden="1" customHeight="1">
      <c r="A215" s="96" t="s">
        <v>755</v>
      </c>
      <c r="B215" s="14"/>
      <c r="C215" s="14"/>
      <c r="D215" s="14"/>
      <c r="E215" s="14"/>
      <c r="F215" s="14"/>
      <c r="G215" s="14"/>
      <c r="H215" s="14"/>
      <c r="I215" s="14"/>
      <c r="J215" s="14"/>
      <c r="K215" s="14"/>
      <c r="L215" s="14"/>
      <c r="M215" s="14"/>
      <c r="N215" s="14"/>
      <c r="O215" s="14"/>
      <c r="P215" s="28"/>
      <c r="Q215" s="120"/>
      <c r="R215" s="14"/>
      <c r="S215" s="14"/>
      <c r="T215" s="14"/>
      <c r="U215" s="14"/>
      <c r="V215" s="185"/>
    </row>
    <row r="216" spans="1:22" ht="18" hidden="1" customHeight="1">
      <c r="A216" s="96"/>
      <c r="B216" s="14"/>
      <c r="C216" s="14"/>
      <c r="D216" s="14"/>
      <c r="E216" s="14"/>
      <c r="F216" s="14"/>
      <c r="G216" s="14"/>
      <c r="H216" s="14"/>
      <c r="K216" s="14" t="s">
        <v>756</v>
      </c>
      <c r="L216" s="28"/>
      <c r="M216" s="47"/>
      <c r="N216" s="14"/>
      <c r="O216" s="14"/>
      <c r="P216" s="14"/>
      <c r="Q216" s="14"/>
      <c r="R216" s="14"/>
      <c r="S216" s="14"/>
      <c r="T216" s="14"/>
      <c r="U216" s="14"/>
      <c r="V216" s="185"/>
    </row>
    <row r="217" spans="1:22" ht="18" hidden="1" customHeight="1">
      <c r="A217" s="96"/>
      <c r="B217" s="28" t="s">
        <v>745</v>
      </c>
      <c r="C217" s="278" t="s">
        <v>652</v>
      </c>
      <c r="D217" s="14" t="s">
        <v>757</v>
      </c>
      <c r="E217" s="14"/>
      <c r="F217" s="268" t="s">
        <v>758</v>
      </c>
      <c r="K217" s="28" t="s">
        <v>745</v>
      </c>
      <c r="L217" s="28" t="s">
        <v>127</v>
      </c>
      <c r="M217" s="281" t="s">
        <v>759</v>
      </c>
      <c r="N217" s="28"/>
      <c r="O217" s="47"/>
      <c r="P217" s="14"/>
      <c r="Q217" s="14"/>
      <c r="R217" s="14"/>
      <c r="S217" s="14"/>
      <c r="T217" s="14"/>
      <c r="U217" s="14"/>
      <c r="V217" s="185"/>
    </row>
    <row r="218" spans="1:22" ht="18" hidden="1" customHeight="1">
      <c r="A218" s="96"/>
      <c r="B218" s="28" t="s">
        <v>745</v>
      </c>
      <c r="C218" s="278" t="s">
        <v>652</v>
      </c>
      <c r="D218" s="47" t="s">
        <v>760</v>
      </c>
      <c r="E218" s="14"/>
      <c r="F218" s="268" t="s">
        <v>761</v>
      </c>
      <c r="K218" s="28"/>
      <c r="L218" s="28" t="s">
        <v>127</v>
      </c>
      <c r="M218" s="14" t="s">
        <v>762</v>
      </c>
      <c r="N218" s="14"/>
      <c r="O218" s="14"/>
      <c r="P218" s="14"/>
      <c r="Q218" s="14"/>
      <c r="R218" s="14"/>
      <c r="S218" s="14"/>
      <c r="T218" s="14"/>
      <c r="U218" s="14"/>
      <c r="V218" s="185"/>
    </row>
    <row r="219" spans="1:22" ht="18" hidden="1" customHeight="1">
      <c r="A219" s="96"/>
      <c r="B219" s="14"/>
      <c r="C219" s="14"/>
      <c r="D219" s="14"/>
      <c r="E219" s="14"/>
      <c r="F219" s="14"/>
      <c r="G219" s="14"/>
      <c r="H219" s="14"/>
      <c r="K219" s="28" t="s">
        <v>757</v>
      </c>
      <c r="L219" s="28" t="s">
        <v>127</v>
      </c>
      <c r="M219" s="47" t="s">
        <v>763</v>
      </c>
      <c r="N219" s="14"/>
      <c r="O219" s="14"/>
      <c r="P219" s="14"/>
      <c r="Q219" s="14"/>
      <c r="R219" s="14"/>
      <c r="S219" s="14"/>
      <c r="T219" s="14"/>
      <c r="U219" s="14"/>
      <c r="V219" s="185"/>
    </row>
    <row r="220" spans="1:22" ht="18" hidden="1" customHeight="1">
      <c r="A220" s="96"/>
      <c r="B220" s="14"/>
      <c r="C220" s="14"/>
      <c r="K220" s="28" t="s">
        <v>760</v>
      </c>
      <c r="L220" s="28" t="s">
        <v>127</v>
      </c>
      <c r="M220" s="28">
        <v>10</v>
      </c>
      <c r="O220" s="14" t="s">
        <v>764</v>
      </c>
      <c r="P220" s="28" t="s">
        <v>765</v>
      </c>
      <c r="Q220" s="278" t="s">
        <v>766</v>
      </c>
      <c r="R220" s="28">
        <v>120</v>
      </c>
      <c r="S220" s="14" t="s">
        <v>767</v>
      </c>
      <c r="T220" s="14"/>
      <c r="U220" s="14"/>
      <c r="V220" s="185"/>
    </row>
    <row r="221" spans="1:22" ht="18" hidden="1" customHeight="1">
      <c r="A221" s="96"/>
      <c r="B221" s="14"/>
      <c r="C221" s="14"/>
      <c r="L221" s="28" t="s">
        <v>127</v>
      </c>
      <c r="M221" s="27">
        <v>20</v>
      </c>
      <c r="N221" s="14"/>
      <c r="O221" s="14" t="s">
        <v>764</v>
      </c>
      <c r="P221" s="28" t="s">
        <v>765</v>
      </c>
      <c r="Q221" s="278" t="s">
        <v>766</v>
      </c>
      <c r="R221" s="28">
        <v>300</v>
      </c>
      <c r="S221" s="14" t="s">
        <v>767</v>
      </c>
      <c r="T221" s="14"/>
      <c r="U221" s="14"/>
      <c r="V221" s="185"/>
    </row>
    <row r="222" spans="1:22" ht="18" hidden="1" customHeight="1">
      <c r="A222" s="96"/>
      <c r="B222" s="14"/>
      <c r="C222" s="14"/>
      <c r="N222" s="14"/>
      <c r="O222" s="14"/>
      <c r="P222" s="28"/>
      <c r="Q222" s="120"/>
      <c r="R222" s="14"/>
      <c r="S222" s="14"/>
      <c r="T222" s="14"/>
      <c r="U222" s="14"/>
      <c r="V222" s="185"/>
    </row>
    <row r="223" spans="1:22" ht="18" hidden="1" customHeight="1">
      <c r="A223" s="96" t="s">
        <v>768</v>
      </c>
      <c r="B223" s="14"/>
      <c r="C223" s="14"/>
      <c r="K223" s="27" t="s">
        <v>757</v>
      </c>
      <c r="L223" s="27" t="s">
        <v>127</v>
      </c>
      <c r="M223" s="684" t="s">
        <v>425</v>
      </c>
      <c r="N223" s="684"/>
      <c r="O223" s="27" t="s">
        <v>769</v>
      </c>
      <c r="P223" s="27">
        <v>5</v>
      </c>
      <c r="Q223" s="28" t="s">
        <v>315</v>
      </c>
      <c r="R223" s="684" t="s">
        <v>423</v>
      </c>
      <c r="S223" s="684"/>
      <c r="T223" s="14" t="s">
        <v>350</v>
      </c>
      <c r="U223" s="14"/>
      <c r="V223" s="185"/>
    </row>
    <row r="224" spans="1:22" ht="18" hidden="1" customHeight="1">
      <c r="A224" s="96"/>
      <c r="B224" s="14"/>
      <c r="C224" s="14"/>
      <c r="L224" s="27" t="s">
        <v>127</v>
      </c>
      <c r="M224" s="684">
        <f>S195</f>
        <v>1</v>
      </c>
      <c r="N224" s="684"/>
      <c r="O224" s="27" t="s">
        <v>769</v>
      </c>
      <c r="P224" s="27">
        <v>5</v>
      </c>
      <c r="Q224" s="28" t="s">
        <v>315</v>
      </c>
      <c r="R224" s="684" t="str">
        <f>S196</f>
        <v>-</v>
      </c>
      <c r="S224" s="684"/>
      <c r="T224" s="14" t="s">
        <v>350</v>
      </c>
      <c r="U224" s="14"/>
      <c r="V224" s="185"/>
    </row>
    <row r="225" spans="1:22" ht="18" hidden="1" customHeight="1">
      <c r="A225" s="96"/>
      <c r="B225" s="14"/>
      <c r="C225" s="14"/>
      <c r="D225" s="14"/>
      <c r="E225" s="120"/>
      <c r="F225" s="28"/>
      <c r="L225" s="27" t="s">
        <v>127</v>
      </c>
      <c r="M225" s="689" t="e">
        <f>M224/(P224*R224)</f>
        <v>#VALUE!</v>
      </c>
      <c r="N225" s="684"/>
      <c r="O225" s="14"/>
      <c r="P225" s="14"/>
      <c r="Q225" s="14"/>
      <c r="R225" s="14"/>
      <c r="S225" s="14"/>
      <c r="T225" s="14"/>
      <c r="U225" s="14"/>
      <c r="V225" s="185"/>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85"/>
    </row>
    <row r="227" spans="1:22" ht="18" hidden="1" customHeight="1">
      <c r="A227" s="96" t="s">
        <v>770</v>
      </c>
      <c r="B227" s="14"/>
      <c r="C227" s="14"/>
      <c r="D227" s="14"/>
      <c r="E227" s="257" t="s">
        <v>771</v>
      </c>
      <c r="F227" s="14"/>
      <c r="G227" s="28" t="s">
        <v>127</v>
      </c>
      <c r="H227" s="692">
        <f>'[2]Parameters &amp; Fault Cal.'!Q184</f>
        <v>0</v>
      </c>
      <c r="I227" s="684"/>
      <c r="J227" s="30" t="s">
        <v>531</v>
      </c>
      <c r="K227" s="28" t="s">
        <v>760</v>
      </c>
      <c r="L227" s="218" t="s">
        <v>127</v>
      </c>
      <c r="M227" s="692">
        <f>IF(H227&lt;=120,M220,M221)</f>
        <v>10</v>
      </c>
      <c r="N227" s="684"/>
      <c r="O227" s="14"/>
      <c r="P227" s="14"/>
      <c r="Q227" s="14"/>
      <c r="R227" s="14"/>
      <c r="S227" s="14"/>
      <c r="T227" s="14"/>
      <c r="U227" s="14"/>
      <c r="V227" s="185"/>
    </row>
    <row r="228" spans="1:22" ht="18" hidden="1" customHeight="1">
      <c r="A228" s="184"/>
      <c r="J228" s="14"/>
      <c r="K228" s="257"/>
      <c r="M228" s="14"/>
      <c r="N228" s="14"/>
      <c r="O228" s="14"/>
      <c r="P228" s="14"/>
      <c r="Q228" s="14"/>
      <c r="R228" s="14"/>
      <c r="S228" s="14"/>
      <c r="T228" s="14"/>
      <c r="U228" s="14"/>
      <c r="V228" s="185"/>
    </row>
    <row r="229" spans="1:22" ht="18" hidden="1" customHeight="1">
      <c r="A229" s="96" t="s">
        <v>772</v>
      </c>
      <c r="E229" s="199"/>
      <c r="G229" s="27" t="s">
        <v>127</v>
      </c>
      <c r="H229" s="27" t="s">
        <v>495</v>
      </c>
      <c r="I229" s="27" t="s">
        <v>554</v>
      </c>
      <c r="J229" s="120" t="s">
        <v>491</v>
      </c>
      <c r="K229" s="28" t="s">
        <v>347</v>
      </c>
      <c r="L229" s="120" t="s">
        <v>493</v>
      </c>
      <c r="M229" s="28" t="s">
        <v>539</v>
      </c>
      <c r="N229" s="120" t="s">
        <v>491</v>
      </c>
      <c r="O229" s="28" t="s">
        <v>347</v>
      </c>
      <c r="P229" s="120" t="s">
        <v>512</v>
      </c>
      <c r="Q229" s="296" t="s">
        <v>350</v>
      </c>
      <c r="V229" s="185"/>
    </row>
    <row r="230" spans="1:22" ht="18" hidden="1" customHeight="1">
      <c r="A230" s="184"/>
      <c r="G230" s="27" t="s">
        <v>127</v>
      </c>
      <c r="H230" s="242">
        <f>S201</f>
        <v>20</v>
      </c>
      <c r="I230" s="245" t="s">
        <v>554</v>
      </c>
      <c r="J230" s="301" t="e">
        <f>S198</f>
        <v>#VALUE!</v>
      </c>
      <c r="K230" s="245" t="s">
        <v>347</v>
      </c>
      <c r="L230" s="301" t="e">
        <f>E206</f>
        <v>#VALUE!</v>
      </c>
      <c r="M230" s="245" t="s">
        <v>539</v>
      </c>
      <c r="N230" s="301" t="e">
        <f>S198</f>
        <v>#VALUE!</v>
      </c>
      <c r="O230" s="245" t="s">
        <v>347</v>
      </c>
      <c r="P230" s="301">
        <f>S199</f>
        <v>1.0870224400000001</v>
      </c>
      <c r="Q230" s="461" t="s">
        <v>350</v>
      </c>
      <c r="V230" s="185"/>
    </row>
    <row r="231" spans="1:22" ht="18" hidden="1" customHeight="1">
      <c r="A231" s="184"/>
      <c r="G231" s="27" t="s">
        <v>127</v>
      </c>
      <c r="H231" s="795" t="e">
        <f>H230*((J230+L230)/(N230+P230))</f>
        <v>#VALUE!</v>
      </c>
      <c r="I231" s="795"/>
      <c r="V231" s="185"/>
    </row>
    <row r="232" spans="1:22" ht="18" hidden="1" customHeight="1">
      <c r="A232" s="184"/>
      <c r="V232" s="185"/>
    </row>
    <row r="233" spans="1:22" ht="18" hidden="1" customHeight="1">
      <c r="A233" s="184" t="s">
        <v>773</v>
      </c>
      <c r="E233" s="244"/>
      <c r="F233" s="27"/>
      <c r="G233" s="296"/>
      <c r="V233" s="185"/>
    </row>
    <row r="234" spans="1:22" ht="18" hidden="1" customHeight="1">
      <c r="A234" s="184"/>
      <c r="D234" s="211"/>
      <c r="E234" s="211"/>
      <c r="F234" s="27"/>
      <c r="G234" s="211"/>
      <c r="H234" s="211"/>
      <c r="V234" s="185"/>
    </row>
    <row r="235" spans="1:22" ht="18" hidden="1" customHeight="1">
      <c r="A235" s="184"/>
      <c r="D235" s="795" t="e">
        <f>H231</f>
        <v>#VALUE!</v>
      </c>
      <c r="E235" s="684"/>
      <c r="F235" s="27" t="e">
        <f>IF(D235&gt;=G235,"&gt;","&lt;")</f>
        <v>#VALUE!</v>
      </c>
      <c r="G235" s="795" t="e">
        <f>M225</f>
        <v>#VALUE!</v>
      </c>
      <c r="H235" s="684"/>
      <c r="I235" s="18"/>
      <c r="J235" s="268" t="s">
        <v>758</v>
      </c>
      <c r="V235" s="185"/>
    </row>
    <row r="236" spans="1:22" ht="18" hidden="1" customHeight="1">
      <c r="A236" s="184"/>
      <c r="D236" s="795" t="e">
        <f>H231</f>
        <v>#VALUE!</v>
      </c>
      <c r="E236" s="684"/>
      <c r="F236" s="27" t="e">
        <f>IF(D236&gt;=G236,"&gt;","&lt;")</f>
        <v>#VALUE!</v>
      </c>
      <c r="G236" s="795">
        <f>M227</f>
        <v>10</v>
      </c>
      <c r="H236" s="684"/>
      <c r="J236" s="268" t="s">
        <v>761</v>
      </c>
      <c r="V236" s="185"/>
    </row>
    <row r="237" spans="1:22" ht="18" hidden="1" customHeight="1">
      <c r="A237" s="184"/>
      <c r="E237" s="244" t="s">
        <v>478</v>
      </c>
      <c r="G237" s="18" t="e">
        <f>IF(AND(F235="&gt;",F236="&gt;")=TRUE,"Suitably Dimensioned","Under Dimensioned")</f>
        <v>#VALUE!</v>
      </c>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s="14" customFormat="1" ht="18" hidden="1" customHeight="1">
      <c r="A257" s="194"/>
      <c r="B257" s="195"/>
      <c r="C257" s="195"/>
      <c r="D257" s="195"/>
      <c r="E257" s="195"/>
      <c r="F257" s="195"/>
      <c r="G257" s="195"/>
      <c r="H257" s="195"/>
      <c r="I257" s="195"/>
      <c r="J257" s="195"/>
      <c r="K257" s="195"/>
      <c r="L257" s="195"/>
      <c r="M257" s="195"/>
      <c r="N257" s="195"/>
      <c r="O257" s="195"/>
      <c r="P257" s="195"/>
      <c r="Q257" s="224"/>
      <c r="R257" s="182"/>
      <c r="S257" s="225"/>
      <c r="T257" s="195"/>
      <c r="U257" s="195"/>
      <c r="V257" s="134"/>
    </row>
    <row r="258" spans="1:22" ht="18" customHeight="1">
      <c r="A258" s="226"/>
      <c r="B258" s="227"/>
      <c r="C258" s="227"/>
      <c r="D258" s="227"/>
      <c r="E258" s="227"/>
      <c r="F258" s="227"/>
      <c r="G258" s="227"/>
      <c r="H258" s="227"/>
      <c r="I258" s="227"/>
      <c r="J258" s="227"/>
      <c r="K258" s="227"/>
      <c r="L258" s="227"/>
      <c r="M258" s="227"/>
      <c r="N258" s="227"/>
      <c r="O258" s="227"/>
      <c r="P258" s="227"/>
      <c r="Q258" s="227"/>
      <c r="R258" s="227"/>
      <c r="S258" s="227"/>
      <c r="T258" s="227"/>
      <c r="U258" s="227"/>
      <c r="V258" s="228"/>
    </row>
    <row r="259" spans="1:22" ht="18" customHeight="1">
      <c r="A259" s="262" t="s">
        <v>501</v>
      </c>
      <c r="B259" s="14"/>
      <c r="C259" s="14"/>
      <c r="D259" s="120"/>
      <c r="E259" s="120"/>
      <c r="F259" s="18"/>
      <c r="G259" s="18"/>
      <c r="H259" s="14"/>
      <c r="I259" s="14"/>
      <c r="J259" s="14"/>
      <c r="K259" s="14"/>
      <c r="L259" s="14"/>
      <c r="M259" s="14"/>
      <c r="N259" s="14"/>
      <c r="O259" s="14"/>
      <c r="P259" s="28"/>
      <c r="Q259" s="120"/>
      <c r="R259" s="47"/>
      <c r="S259" s="206"/>
      <c r="T259" s="259"/>
      <c r="U259" s="14"/>
      <c r="V259" s="97"/>
    </row>
    <row r="260" spans="1:22" ht="18" customHeight="1">
      <c r="A260" s="955" t="s">
        <v>85</v>
      </c>
      <c r="B260" s="956"/>
      <c r="C260" s="957"/>
      <c r="D260" s="955" t="s">
        <v>86</v>
      </c>
      <c r="E260" s="956"/>
      <c r="F260" s="957"/>
      <c r="G260" s="955" t="s">
        <v>87</v>
      </c>
      <c r="H260" s="957"/>
      <c r="I260" s="955" t="s">
        <v>88</v>
      </c>
      <c r="J260" s="957"/>
      <c r="K260" s="955" t="s">
        <v>502</v>
      </c>
      <c r="L260" s="957"/>
      <c r="M260" s="955" t="s">
        <v>503</v>
      </c>
      <c r="N260" s="957"/>
      <c r="O260" s="955" t="s">
        <v>504</v>
      </c>
      <c r="P260" s="957"/>
      <c r="Q260" s="955" t="s">
        <v>505</v>
      </c>
      <c r="R260" s="957"/>
      <c r="S260" s="955" t="s">
        <v>93</v>
      </c>
      <c r="T260" s="956"/>
      <c r="U260" s="956"/>
      <c r="V260" s="957"/>
    </row>
    <row r="261" spans="1:22" ht="18" customHeight="1">
      <c r="A261" s="1125"/>
      <c r="B261" s="983"/>
      <c r="C261" s="1126"/>
      <c r="D261" s="1125"/>
      <c r="E261" s="983"/>
      <c r="F261" s="1126"/>
      <c r="G261" s="1125"/>
      <c r="H261" s="1126"/>
      <c r="I261" s="1125"/>
      <c r="J261" s="1126"/>
      <c r="K261" s="1125"/>
      <c r="L261" s="1126"/>
      <c r="M261" s="1125"/>
      <c r="N261" s="1126"/>
      <c r="O261" s="1125"/>
      <c r="P261" s="1126"/>
      <c r="Q261" s="1125"/>
      <c r="R261" s="1126"/>
      <c r="S261" s="1125"/>
      <c r="T261" s="983"/>
      <c r="U261" s="983"/>
      <c r="V261" s="1126"/>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047"/>
      <c r="B263" s="1048"/>
      <c r="C263" s="1049"/>
      <c r="D263" s="1047"/>
      <c r="E263" s="1048"/>
      <c r="F263" s="1049"/>
      <c r="G263" s="1047"/>
      <c r="H263" s="1049"/>
      <c r="I263" s="1047"/>
      <c r="J263" s="1049"/>
      <c r="K263" s="1047"/>
      <c r="L263" s="1049"/>
      <c r="M263" s="1047"/>
      <c r="N263" s="1049"/>
      <c r="O263" s="1047"/>
      <c r="P263" s="1049"/>
      <c r="Q263" s="1047"/>
      <c r="R263" s="1049"/>
      <c r="S263" s="1047"/>
      <c r="T263" s="1048"/>
      <c r="U263" s="1048"/>
      <c r="V263" s="1049"/>
    </row>
    <row r="264" spans="1:22" ht="18" customHeight="1">
      <c r="A264" s="765" t="str">
        <f>B7</f>
        <v>T1</v>
      </c>
      <c r="B264" s="765" t="str">
        <f>D7</f>
        <v>Core4</v>
      </c>
      <c r="C264" s="765"/>
      <c r="D264" s="870">
        <f>H10</f>
        <v>2500</v>
      </c>
      <c r="E264" s="870"/>
      <c r="F264" s="871">
        <f>O10</f>
        <v>1</v>
      </c>
      <c r="G264" s="870">
        <f>'CT-VT Burdens'!S21</f>
        <v>120</v>
      </c>
      <c r="H264" s="874">
        <f>'CT-VT Burdens'!S10</f>
        <v>6</v>
      </c>
      <c r="I264" s="874" t="str">
        <f>H11</f>
        <v>PX-B</v>
      </c>
      <c r="J264" s="874" t="e">
        <f>#REF!</f>
        <v>#REF!</v>
      </c>
      <c r="K264" s="869">
        <f>H12</f>
        <v>5</v>
      </c>
      <c r="L264" s="869"/>
      <c r="M264" s="869">
        <f>H13</f>
        <v>750</v>
      </c>
      <c r="N264" s="869"/>
      <c r="O264" s="870">
        <f>H14</f>
        <v>60</v>
      </c>
      <c r="P264" s="870"/>
      <c r="Q264" s="879" t="str">
        <f>IF(T8="",T7,IF(T9="",T7&amp;"+"&amp;T8,T7&amp;"+"&amp;T8&amp;"+"&amp;T9))</f>
        <v>REB500</v>
      </c>
      <c r="R264" s="879"/>
      <c r="S264" s="878" t="str">
        <f>M83</f>
        <v>Suitable Dimensions</v>
      </c>
      <c r="T264" s="878"/>
      <c r="U264" s="878"/>
      <c r="V264" s="878"/>
    </row>
    <row r="265" spans="1:22" ht="18" customHeight="1">
      <c r="A265" s="765"/>
      <c r="B265" s="765"/>
      <c r="C265" s="765"/>
      <c r="D265" s="870" t="str">
        <f>J10</f>
        <v>-</v>
      </c>
      <c r="E265" s="870"/>
      <c r="F265" s="872"/>
      <c r="G265" s="870"/>
      <c r="H265" s="870"/>
      <c r="I265" s="874"/>
      <c r="J265" s="874"/>
      <c r="K265" s="875" t="s">
        <v>6</v>
      </c>
      <c r="L265" s="869"/>
      <c r="M265" s="875" t="s">
        <v>6</v>
      </c>
      <c r="N265" s="869"/>
      <c r="O265" s="876" t="s">
        <v>6</v>
      </c>
      <c r="P265" s="870"/>
      <c r="Q265" s="879"/>
      <c r="R265" s="879"/>
      <c r="S265" s="877" t="s">
        <v>6</v>
      </c>
      <c r="T265" s="878"/>
      <c r="U265" s="878"/>
      <c r="V265" s="878"/>
    </row>
    <row r="266" spans="1:22" ht="18" customHeight="1">
      <c r="A266" s="765"/>
      <c r="B266" s="765"/>
      <c r="C266" s="765"/>
      <c r="D266" s="870" t="str">
        <f>L10</f>
        <v>-</v>
      </c>
      <c r="E266" s="870"/>
      <c r="F266" s="873"/>
      <c r="G266" s="870"/>
      <c r="H266" s="870"/>
      <c r="I266" s="874"/>
      <c r="J266" s="874"/>
      <c r="K266" s="869" t="str">
        <f>L176</f>
        <v>-</v>
      </c>
      <c r="L266" s="869"/>
      <c r="M266" s="869" t="str">
        <f>L177</f>
        <v>-</v>
      </c>
      <c r="N266" s="869"/>
      <c r="O266" s="870" t="str">
        <f>L178</f>
        <v>-</v>
      </c>
      <c r="P266" s="870"/>
      <c r="Q266" s="879"/>
      <c r="R266" s="879"/>
      <c r="S266" s="878" t="s">
        <v>6</v>
      </c>
      <c r="T266" s="878"/>
      <c r="U266" s="878"/>
      <c r="V266" s="878"/>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s="14" customFormat="1" ht="18" customHeight="1">
      <c r="A298" s="194"/>
      <c r="B298" s="195"/>
      <c r="C298" s="195"/>
      <c r="D298" s="195"/>
      <c r="E298" s="195"/>
      <c r="F298" s="195"/>
      <c r="G298" s="195"/>
      <c r="H298" s="195"/>
      <c r="I298" s="195"/>
      <c r="J298" s="195"/>
      <c r="K298" s="195"/>
      <c r="L298" s="195"/>
      <c r="M298" s="195"/>
      <c r="N298" s="195"/>
      <c r="O298" s="195"/>
      <c r="P298" s="195"/>
      <c r="Q298" s="224"/>
      <c r="R298" s="182"/>
      <c r="S298" s="225"/>
      <c r="T298" s="195"/>
      <c r="U298" s="195"/>
      <c r="V298"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186" priority="3" stopIfTrue="1" operator="equal">
      <formula>"Under Dimentioned"</formula>
    </cfRule>
  </conditionalFormatting>
  <conditionalFormatting sqref="O81 M83:M85">
    <cfRule type="cellIs" dxfId="185" priority="1" stopIfTrue="1" operator="equal">
      <formula>"Under Dimentioned"</formula>
    </cfRule>
  </conditionalFormatting>
  <conditionalFormatting sqref="O162 M164">
    <cfRule type="cellIs" dxfId="184"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codeName="Sheet14">
    <tabColor rgb="FFFFFF00"/>
  </sheetPr>
  <dimension ref="A1:AR301"/>
  <sheetViews>
    <sheetView showZeros="0" view="pageBreakPreview" zoomScaleNormal="100" zoomScaleSheetLayoutView="100" workbookViewId="0">
      <selection activeCell="T56" sqref="T56"/>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[5]Title!O3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[5]Title!O4</f>
        <v>Revision No.</v>
      </c>
      <c r="P4" s="886"/>
      <c r="Q4" s="887"/>
      <c r="R4" s="775" t="str">
        <f>Title!R4</f>
        <v>A</v>
      </c>
      <c r="S4" s="1068"/>
      <c r="T4" s="1068"/>
      <c r="U4" s="1068"/>
      <c r="V4" s="776"/>
      <c r="W4" s="14"/>
      <c r="X4" s="14"/>
    </row>
    <row r="5" spans="1:24" ht="18" customHeight="1">
      <c r="A5" s="880" t="str">
        <f>[5]Title!A5</f>
        <v>Prep. By</v>
      </c>
      <c r="B5" s="943"/>
      <c r="C5" s="25" t="str">
        <f>[5]Title!C5</f>
        <v>AP</v>
      </c>
      <c r="D5" s="880" t="str">
        <f>[5]Title!D5</f>
        <v>Checked By</v>
      </c>
      <c r="E5" s="881"/>
      <c r="F5" s="943"/>
      <c r="G5" s="25" t="str">
        <f>[5]Title!G5</f>
        <v>RB</v>
      </c>
      <c r="H5" s="944" t="s">
        <v>891</v>
      </c>
      <c r="I5" s="945"/>
      <c r="J5" s="945"/>
      <c r="K5" s="945"/>
      <c r="L5" s="945"/>
      <c r="M5" s="945"/>
      <c r="N5" s="946"/>
      <c r="O5" s="947" t="str">
        <f>[5]Title!O5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1092" t="s">
        <v>112</v>
      </c>
      <c r="E7" s="1093"/>
      <c r="F7" s="455"/>
      <c r="H7" s="684"/>
      <c r="I7" s="684"/>
      <c r="J7" s="684"/>
      <c r="K7" s="684"/>
      <c r="L7" s="684"/>
      <c r="M7" s="684"/>
      <c r="P7" s="186"/>
      <c r="S7" s="187" t="s">
        <v>387</v>
      </c>
      <c r="T7" s="1075" t="s">
        <v>882</v>
      </c>
      <c r="U7" s="1076"/>
      <c r="V7" s="185"/>
    </row>
    <row r="8" spans="1:24" ht="18" customHeight="1">
      <c r="A8" s="456"/>
      <c r="F8" s="455"/>
      <c r="T8" s="1075"/>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224">
        <v>5</v>
      </c>
      <c r="I12" s="1225"/>
      <c r="J12" s="192" t="s">
        <v>333</v>
      </c>
      <c r="V12" s="185"/>
    </row>
    <row r="13" spans="1:24" ht="18" customHeight="1">
      <c r="A13" s="184"/>
      <c r="B13" s="47" t="s">
        <v>398</v>
      </c>
      <c r="G13" s="120" t="s">
        <v>498</v>
      </c>
      <c r="H13" s="1075">
        <v>750</v>
      </c>
      <c r="I13" s="1076"/>
      <c r="J13" s="14" t="s">
        <v>305</v>
      </c>
      <c r="U13" s="18"/>
      <c r="V13" s="185"/>
      <c r="W13" s="30" t="str">
        <f>H58</f>
        <v>Suitably Dimentioned</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P743</v>
      </c>
      <c r="E18" s="227"/>
      <c r="F18" s="227"/>
      <c r="G18" s="227"/>
      <c r="H18" s="138"/>
      <c r="I18" s="260" t="s">
        <v>127</v>
      </c>
      <c r="J18" s="1077">
        <f>'CT-VT Burdens'!Q159</f>
        <v>0.1</v>
      </c>
      <c r="K18" s="1078"/>
      <c r="L18" s="3" t="s">
        <v>157</v>
      </c>
      <c r="N18" s="197"/>
      <c r="V18" s="185"/>
    </row>
    <row r="19" spans="1:25" ht="18" customHeight="1">
      <c r="A19" s="184"/>
      <c r="B19" s="96" t="s">
        <v>405</v>
      </c>
      <c r="C19" s="14"/>
      <c r="D19" s="47">
        <f>T8</f>
        <v>0</v>
      </c>
      <c r="E19" s="14"/>
      <c r="G19" s="199"/>
      <c r="H19" s="27"/>
      <c r="I19" s="101" t="s">
        <v>127</v>
      </c>
      <c r="J19" s="1220"/>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Burdens'!S24</f>
        <v>1.0770224400000001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1.1770224400000002</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68"/>
      <c r="B24" s="5"/>
      <c r="C24" s="47" t="s">
        <v>817</v>
      </c>
      <c r="D24" s="14"/>
      <c r="E24" s="14"/>
      <c r="F24" s="14"/>
      <c r="G24" s="14"/>
      <c r="H24" s="279"/>
      <c r="I24" s="120"/>
      <c r="J24" s="279"/>
      <c r="K24" s="279"/>
      <c r="L24" s="14"/>
      <c r="M24" s="14"/>
      <c r="N24" s="14"/>
      <c r="O24" s="14"/>
      <c r="P24" s="14"/>
      <c r="Q24" s="120" t="s">
        <v>818</v>
      </c>
      <c r="R24" s="102" t="s">
        <v>127</v>
      </c>
      <c r="S24" s="1237">
        <f>'Parameters &amp; Fault Cal. (4)'!Q10 *1000</f>
        <v>50000</v>
      </c>
      <c r="T24" s="1238"/>
      <c r="U24" s="47" t="s">
        <v>8</v>
      </c>
      <c r="V24" s="185"/>
    </row>
    <row r="25" spans="1:25" ht="18" customHeight="1">
      <c r="A25" s="168"/>
      <c r="B25" s="5"/>
      <c r="C25" s="47" t="s">
        <v>654</v>
      </c>
      <c r="D25" s="14"/>
      <c r="E25" s="14"/>
      <c r="F25" s="18"/>
      <c r="G25" s="18"/>
      <c r="H25" s="279"/>
      <c r="I25" s="120"/>
      <c r="J25" s="279"/>
      <c r="K25" s="279"/>
      <c r="L25" s="14"/>
      <c r="M25" s="14"/>
      <c r="N25" s="14"/>
      <c r="O25" s="14"/>
      <c r="P25" s="14"/>
      <c r="Q25" s="120" t="s">
        <v>423</v>
      </c>
      <c r="R25" s="102" t="s">
        <v>127</v>
      </c>
      <c r="S25" s="689">
        <f>H10</f>
        <v>2500</v>
      </c>
      <c r="T25" s="689"/>
      <c r="U25" s="14" t="s">
        <v>8</v>
      </c>
      <c r="V25" s="185"/>
    </row>
    <row r="26" spans="1:25" ht="18" customHeight="1">
      <c r="A26" s="168"/>
      <c r="B26" s="5"/>
      <c r="C26" s="47" t="s">
        <v>819</v>
      </c>
      <c r="E26" s="14"/>
      <c r="F26" s="18"/>
      <c r="G26" s="18"/>
      <c r="H26" s="279"/>
      <c r="I26" s="120"/>
      <c r="J26" s="279"/>
      <c r="K26" s="279"/>
      <c r="L26" s="14"/>
      <c r="M26" s="14"/>
      <c r="N26" s="14"/>
      <c r="O26" s="14"/>
      <c r="P26" s="14"/>
      <c r="Q26" s="120" t="s">
        <v>820</v>
      </c>
      <c r="R26" s="28" t="s">
        <v>127</v>
      </c>
      <c r="S26" s="692">
        <f>S24/S25*O10</f>
        <v>20</v>
      </c>
      <c r="T26" s="692"/>
      <c r="U26" s="14" t="s">
        <v>8</v>
      </c>
      <c r="V26" s="185"/>
    </row>
    <row r="27" spans="1:25" ht="18" customHeight="1">
      <c r="A27" s="168"/>
      <c r="B27" s="5"/>
      <c r="C27" s="47" t="s">
        <v>821</v>
      </c>
      <c r="D27" s="14"/>
      <c r="E27" s="14"/>
      <c r="F27" s="18"/>
      <c r="G27" s="18"/>
      <c r="H27" s="279"/>
      <c r="I27" s="120"/>
      <c r="J27" s="279"/>
      <c r="K27" s="279"/>
      <c r="L27" s="14"/>
      <c r="M27" s="14"/>
      <c r="N27" s="14"/>
      <c r="O27" s="14"/>
      <c r="P27" s="14"/>
      <c r="Q27" s="120" t="s">
        <v>689</v>
      </c>
      <c r="R27" s="28" t="s">
        <v>127</v>
      </c>
      <c r="S27" s="692">
        <f>J22/O10*O10</f>
        <v>1.1770224400000002</v>
      </c>
      <c r="T27" s="692"/>
      <c r="U27" s="192" t="s">
        <v>333</v>
      </c>
      <c r="V27" s="185"/>
      <c r="X27" s="279"/>
      <c r="Y27" s="279"/>
    </row>
    <row r="28" spans="1:25" ht="18" customHeight="1">
      <c r="A28" s="168"/>
      <c r="B28" s="5"/>
      <c r="C28" s="47" t="s">
        <v>822</v>
      </c>
      <c r="Q28" s="120" t="s">
        <v>823</v>
      </c>
      <c r="R28" s="28" t="s">
        <v>127</v>
      </c>
      <c r="S28" s="1237">
        <f>20*S25</f>
        <v>50000</v>
      </c>
      <c r="T28" s="1238"/>
      <c r="U28" s="14" t="s">
        <v>8</v>
      </c>
      <c r="V28" s="185"/>
      <c r="X28" s="279"/>
      <c r="Y28" s="279"/>
    </row>
    <row r="29" spans="1:25" ht="18" customHeight="1">
      <c r="A29" s="299"/>
      <c r="B29" s="279"/>
      <c r="C29" s="47" t="s">
        <v>824</v>
      </c>
      <c r="Q29" s="244" t="s">
        <v>825</v>
      </c>
      <c r="R29" s="28" t="s">
        <v>127</v>
      </c>
      <c r="S29" s="795">
        <f>S28/S25</f>
        <v>20</v>
      </c>
      <c r="T29" s="795"/>
      <c r="U29" s="14" t="s">
        <v>8</v>
      </c>
      <c r="V29" s="300"/>
      <c r="W29" s="279"/>
      <c r="X29" s="279"/>
      <c r="Y29" s="279"/>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85"/>
    </row>
    <row r="31" spans="1:25" ht="18" customHeight="1">
      <c r="A31" s="193" t="s">
        <v>755</v>
      </c>
      <c r="B31" s="14"/>
      <c r="C31" s="14"/>
      <c r="D31" s="14"/>
      <c r="E31" s="14"/>
      <c r="F31" s="14"/>
      <c r="G31" s="14"/>
      <c r="H31" s="14"/>
      <c r="K31" s="14"/>
      <c r="T31" s="14"/>
      <c r="U31" s="14"/>
      <c r="V31" s="185"/>
    </row>
    <row r="32" spans="1:25" ht="18" customHeight="1">
      <c r="A32" s="96"/>
      <c r="B32" s="14"/>
      <c r="C32" s="14"/>
      <c r="D32" s="14"/>
      <c r="E32" s="14"/>
      <c r="F32" s="14"/>
      <c r="G32" s="14"/>
      <c r="H32" s="14"/>
      <c r="K32" s="14"/>
      <c r="T32" s="14"/>
      <c r="U32" s="14"/>
      <c r="V32" s="185"/>
    </row>
    <row r="33" spans="1:22" ht="18" customHeight="1">
      <c r="A33" s="193" t="s">
        <v>826</v>
      </c>
      <c r="H33" s="28"/>
      <c r="I33" s="28"/>
      <c r="J33" s="28"/>
      <c r="K33" s="28"/>
      <c r="T33" s="14"/>
      <c r="U33" s="14"/>
      <c r="V33" s="185"/>
    </row>
    <row r="34" spans="1:22" ht="18" customHeight="1">
      <c r="A34" s="193"/>
      <c r="H34" s="28"/>
      <c r="I34" s="28"/>
      <c r="J34" s="28"/>
      <c r="K34" s="28"/>
      <c r="T34" s="14"/>
      <c r="U34" s="14"/>
      <c r="V34" s="185"/>
    </row>
    <row r="35" spans="1:22" ht="18" customHeight="1">
      <c r="A35" s="184"/>
      <c r="B35" s="689" t="s">
        <v>473</v>
      </c>
      <c r="C35" s="689"/>
      <c r="D35" s="28" t="s">
        <v>827</v>
      </c>
      <c r="E35" s="28">
        <v>0.5</v>
      </c>
      <c r="F35" s="28" t="s">
        <v>315</v>
      </c>
      <c r="G35" s="689" t="s">
        <v>820</v>
      </c>
      <c r="H35" s="689"/>
      <c r="I35" s="28" t="s">
        <v>672</v>
      </c>
      <c r="J35" s="689" t="s">
        <v>420</v>
      </c>
      <c r="K35" s="689"/>
      <c r="L35" s="28" t="s">
        <v>347</v>
      </c>
      <c r="M35" s="689" t="s">
        <v>689</v>
      </c>
      <c r="N35" s="689"/>
      <c r="O35" s="14" t="s">
        <v>350</v>
      </c>
      <c r="P35" s="14"/>
      <c r="Q35" s="14"/>
      <c r="R35" s="14"/>
      <c r="T35" s="14"/>
      <c r="U35" s="14"/>
      <c r="V35" s="185"/>
    </row>
    <row r="36" spans="1:22" ht="18" customHeight="1">
      <c r="A36" s="184"/>
      <c r="B36" s="14"/>
      <c r="C36" s="14"/>
      <c r="D36" s="102" t="s">
        <v>127</v>
      </c>
      <c r="E36" s="28">
        <v>0.5</v>
      </c>
      <c r="F36" s="28" t="s">
        <v>315</v>
      </c>
      <c r="G36" s="692">
        <f>S26</f>
        <v>20</v>
      </c>
      <c r="H36" s="689"/>
      <c r="I36" s="28" t="s">
        <v>672</v>
      </c>
      <c r="J36" s="689">
        <f>H12</f>
        <v>5</v>
      </c>
      <c r="K36" s="689"/>
      <c r="L36" s="28" t="s">
        <v>347</v>
      </c>
      <c r="M36" s="692">
        <f>S27</f>
        <v>1.1770224400000002</v>
      </c>
      <c r="N36" s="689"/>
      <c r="O36" s="14" t="s">
        <v>350</v>
      </c>
      <c r="S36" s="14"/>
      <c r="T36" s="14"/>
      <c r="U36" s="14"/>
      <c r="V36" s="185"/>
    </row>
    <row r="37" spans="1:22" ht="18" customHeight="1">
      <c r="A37" s="184"/>
      <c r="B37" s="14"/>
      <c r="C37" s="14"/>
      <c r="D37" s="102" t="s">
        <v>127</v>
      </c>
      <c r="E37" s="692">
        <f>E36*G36*(J36+M36)</f>
        <v>61.770224400000004</v>
      </c>
      <c r="F37" s="692"/>
      <c r="G37" s="211"/>
      <c r="H37" s="218"/>
      <c r="I37" s="14"/>
      <c r="J37" s="14"/>
      <c r="K37" s="14"/>
      <c r="L37" s="14"/>
      <c r="M37" s="14"/>
      <c r="N37" s="14"/>
      <c r="O37" s="14"/>
      <c r="P37" s="14"/>
      <c r="Q37" s="14"/>
      <c r="R37" s="14"/>
      <c r="V37" s="185"/>
    </row>
    <row r="38" spans="1:22" ht="18" customHeight="1">
      <c r="A38" s="184"/>
      <c r="B38" s="14"/>
      <c r="C38" s="14"/>
      <c r="D38" s="28"/>
      <c r="E38" s="218"/>
      <c r="F38" s="218"/>
      <c r="G38" s="211"/>
      <c r="H38" s="218"/>
      <c r="I38" s="14"/>
      <c r="J38" s="14"/>
      <c r="K38" s="14"/>
      <c r="L38" s="14"/>
      <c r="M38" s="14"/>
      <c r="N38" s="14"/>
      <c r="O38" s="14"/>
      <c r="P38" s="14"/>
      <c r="Q38" s="14"/>
      <c r="R38" s="14"/>
      <c r="V38" s="185"/>
    </row>
    <row r="39" spans="1:22" ht="18" customHeight="1">
      <c r="A39" s="193" t="s">
        <v>828</v>
      </c>
      <c r="B39" s="14"/>
      <c r="C39" s="14"/>
      <c r="D39" s="28"/>
      <c r="E39" s="218"/>
      <c r="F39" s="218"/>
      <c r="G39" s="211"/>
      <c r="H39" s="218"/>
      <c r="I39" s="14"/>
      <c r="J39" s="14"/>
      <c r="K39" s="14"/>
      <c r="L39" s="14"/>
      <c r="M39" s="14"/>
      <c r="N39" s="14"/>
      <c r="O39" s="14"/>
      <c r="P39" s="14"/>
      <c r="Q39" s="14"/>
      <c r="R39" s="14"/>
      <c r="V39" s="185"/>
    </row>
    <row r="40" spans="1:22" ht="18" customHeight="1">
      <c r="A40" s="184"/>
      <c r="B40" s="14"/>
      <c r="C40" s="14"/>
      <c r="D40" s="28"/>
      <c r="E40" s="218"/>
      <c r="F40" s="218"/>
      <c r="G40" s="211"/>
      <c r="H40" s="218"/>
      <c r="I40" s="14"/>
      <c r="J40" s="14"/>
      <c r="K40" s="14"/>
      <c r="L40" s="14"/>
      <c r="M40" s="14"/>
      <c r="N40" s="14"/>
      <c r="O40" s="14"/>
      <c r="P40" s="14"/>
      <c r="Q40" s="14"/>
      <c r="R40" s="14"/>
      <c r="V40" s="185"/>
    </row>
    <row r="41" spans="1:22" ht="18" customHeight="1">
      <c r="A41" s="184"/>
      <c r="B41" s="689" t="s">
        <v>473</v>
      </c>
      <c r="C41" s="689"/>
      <c r="D41" s="28" t="s">
        <v>827</v>
      </c>
      <c r="E41" s="689" t="s">
        <v>825</v>
      </c>
      <c r="F41" s="689"/>
      <c r="G41" s="28" t="s">
        <v>672</v>
      </c>
      <c r="H41" s="689" t="s">
        <v>420</v>
      </c>
      <c r="I41" s="689"/>
      <c r="J41" s="28" t="s">
        <v>347</v>
      </c>
      <c r="K41" s="689" t="s">
        <v>689</v>
      </c>
      <c r="L41" s="689"/>
      <c r="M41" s="14" t="s">
        <v>350</v>
      </c>
      <c r="P41" s="14"/>
      <c r="Q41" s="14"/>
      <c r="R41" s="14"/>
      <c r="V41" s="185"/>
    </row>
    <row r="42" spans="1:22" ht="18" customHeight="1">
      <c r="A42" s="184"/>
      <c r="B42" s="14"/>
      <c r="C42" s="14"/>
      <c r="D42" s="102" t="s">
        <v>127</v>
      </c>
      <c r="E42" s="692">
        <f>S29</f>
        <v>20</v>
      </c>
      <c r="F42" s="689"/>
      <c r="G42" s="28" t="s">
        <v>672</v>
      </c>
      <c r="H42" s="689">
        <f>H12</f>
        <v>5</v>
      </c>
      <c r="I42" s="689"/>
      <c r="J42" s="28" t="s">
        <v>347</v>
      </c>
      <c r="K42" s="692">
        <f>S27</f>
        <v>1.1770224400000002</v>
      </c>
      <c r="L42" s="689"/>
      <c r="M42" s="14" t="s">
        <v>350</v>
      </c>
      <c r="N42" s="14"/>
      <c r="O42" s="14"/>
      <c r="P42" s="14"/>
      <c r="Q42" s="14"/>
      <c r="R42" s="14"/>
      <c r="V42" s="185"/>
    </row>
    <row r="43" spans="1:22" ht="18" customHeight="1">
      <c r="A43" s="184"/>
      <c r="B43" s="14"/>
      <c r="C43" s="14"/>
      <c r="D43" s="102" t="s">
        <v>127</v>
      </c>
      <c r="E43" s="692">
        <f>E42*(H42+K42)</f>
        <v>123.54044880000001</v>
      </c>
      <c r="F43" s="692"/>
      <c r="G43" s="211"/>
      <c r="H43" s="218"/>
      <c r="I43" s="14"/>
      <c r="J43" s="14"/>
      <c r="K43" s="14"/>
      <c r="L43" s="14"/>
      <c r="M43" s="14"/>
      <c r="N43" s="14"/>
      <c r="O43" s="14"/>
      <c r="P43" s="14"/>
      <c r="Q43" s="14"/>
      <c r="R43" s="14"/>
      <c r="V43" s="185"/>
    </row>
    <row r="44" spans="1:22" ht="18" customHeight="1">
      <c r="A44" s="184"/>
      <c r="B44" s="14"/>
      <c r="C44" s="14"/>
      <c r="D44" s="102"/>
      <c r="E44" s="218"/>
      <c r="F44" s="218"/>
      <c r="G44" s="211"/>
      <c r="H44" s="218"/>
      <c r="I44" s="14"/>
      <c r="J44" s="14"/>
      <c r="K44" s="14"/>
      <c r="L44" s="14"/>
      <c r="M44" s="14"/>
      <c r="N44" s="14"/>
      <c r="O44" s="14"/>
      <c r="P44" s="14"/>
      <c r="Q44" s="14"/>
      <c r="R44" s="1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829</v>
      </c>
      <c r="B47" s="197"/>
      <c r="C47" s="197"/>
      <c r="D47" s="197"/>
      <c r="E47" s="14"/>
      <c r="F47" s="14"/>
      <c r="G47" s="14"/>
      <c r="H47" s="14"/>
      <c r="I47" s="14"/>
      <c r="J47" s="14"/>
      <c r="K47" s="14"/>
      <c r="L47" s="14"/>
      <c r="M47" s="14"/>
      <c r="N47" s="14"/>
      <c r="O47" s="14"/>
      <c r="P47" s="27"/>
      <c r="Q47" s="28"/>
      <c r="T47" s="14"/>
      <c r="U47" s="14"/>
      <c r="V47" s="185"/>
    </row>
    <row r="48" spans="1:22" ht="18" customHeight="1">
      <c r="A48" s="193"/>
      <c r="B48" s="197"/>
      <c r="C48" s="197"/>
      <c r="D48" s="197"/>
      <c r="E48" s="14"/>
      <c r="F48" s="14"/>
      <c r="G48" s="14"/>
      <c r="H48" s="14"/>
      <c r="I48" s="14"/>
      <c r="J48" s="14"/>
      <c r="K48" s="14"/>
      <c r="L48" s="14"/>
      <c r="M48" s="14"/>
      <c r="N48" s="14"/>
      <c r="O48" s="14"/>
      <c r="P48" s="27"/>
      <c r="Q48" s="28"/>
      <c r="T48" s="14"/>
      <c r="U48" s="14"/>
      <c r="V48" s="185"/>
    </row>
    <row r="49" spans="1:22" ht="18" customHeight="1">
      <c r="A49" s="96"/>
      <c r="B49" s="197" t="s">
        <v>826</v>
      </c>
      <c r="C49" s="197"/>
      <c r="D49" s="14"/>
      <c r="E49" s="14"/>
      <c r="F49" s="14"/>
      <c r="G49" s="14"/>
      <c r="H49" s="14"/>
      <c r="I49" s="14"/>
      <c r="J49" s="14"/>
      <c r="K49" s="14"/>
      <c r="L49" s="14"/>
      <c r="M49" s="14"/>
      <c r="N49" s="14"/>
      <c r="O49" s="14"/>
      <c r="P49" s="14"/>
      <c r="Q49" s="14"/>
      <c r="R49" s="14"/>
      <c r="S49" s="14"/>
      <c r="T49" s="14"/>
      <c r="U49" s="14"/>
      <c r="V49" s="185"/>
    </row>
    <row r="50" spans="1:22" ht="18" customHeight="1">
      <c r="A50" s="96"/>
      <c r="B50" s="14"/>
      <c r="C50" s="14"/>
      <c r="D50" s="14"/>
      <c r="E50" s="14"/>
      <c r="F50" s="244" t="s">
        <v>475</v>
      </c>
      <c r="G50" s="28" t="str">
        <f>IF(E51&gt;H51, "&gt;","&lt;")</f>
        <v>&gt;</v>
      </c>
      <c r="H50" s="14" t="s">
        <v>477</v>
      </c>
      <c r="I50" s="14"/>
      <c r="J50" s="14"/>
      <c r="K50" s="14"/>
      <c r="L50" s="14" t="s">
        <v>830</v>
      </c>
      <c r="M50" s="14"/>
      <c r="N50" s="14"/>
      <c r="O50" s="14"/>
      <c r="P50" s="14"/>
      <c r="Q50" s="14"/>
      <c r="R50" s="14"/>
      <c r="S50" s="14"/>
      <c r="T50" s="14"/>
      <c r="U50" s="14"/>
      <c r="V50" s="185"/>
    </row>
    <row r="51" spans="1:22" ht="18" customHeight="1">
      <c r="A51" s="96"/>
      <c r="B51" s="14"/>
      <c r="C51" s="14"/>
      <c r="D51" s="14"/>
      <c r="E51" s="834">
        <f>H13</f>
        <v>750</v>
      </c>
      <c r="F51" s="834"/>
      <c r="G51" s="28" t="str">
        <f>G50</f>
        <v>&gt;</v>
      </c>
      <c r="H51" s="692">
        <f>E37</f>
        <v>61.770224400000004</v>
      </c>
      <c r="I51" s="692"/>
      <c r="J51" s="14"/>
      <c r="K51" s="14"/>
      <c r="L51" s="14"/>
      <c r="M51" s="14"/>
      <c r="N51" s="14"/>
      <c r="O51" s="14"/>
      <c r="P51" s="14"/>
      <c r="Q51" s="14"/>
      <c r="R51" s="14"/>
      <c r="S51" s="14"/>
      <c r="T51" s="14"/>
      <c r="U51" s="14"/>
      <c r="V51" s="185"/>
    </row>
    <row r="52" spans="1:22" ht="18" customHeight="1">
      <c r="A52" s="184"/>
      <c r="D52" s="211"/>
      <c r="E52" s="218"/>
      <c r="F52" s="199" t="s">
        <v>831</v>
      </c>
      <c r="G52" s="211"/>
      <c r="H52" s="281" t="s">
        <v>832</v>
      </c>
      <c r="J52" s="28" t="s">
        <v>833</v>
      </c>
      <c r="K52" s="18" t="str">
        <f>IF(G51="&gt;", "Satisfied", "Not Satisfied")</f>
        <v>Satisfied</v>
      </c>
      <c r="P52" s="14"/>
      <c r="Q52" s="14"/>
      <c r="R52" s="14"/>
      <c r="S52" s="14"/>
      <c r="T52" s="14"/>
      <c r="U52" s="14"/>
      <c r="V52" s="185"/>
    </row>
    <row r="53" spans="1:22" ht="18" customHeight="1">
      <c r="A53" s="96"/>
      <c r="B53" s="197" t="s">
        <v>828</v>
      </c>
      <c r="C53" s="197"/>
      <c r="D53" s="14"/>
      <c r="E53" s="14"/>
      <c r="F53" s="14"/>
      <c r="G53" s="14"/>
      <c r="H53" s="14"/>
      <c r="I53" s="14"/>
      <c r="J53" s="14"/>
      <c r="K53" s="14"/>
      <c r="L53" s="14"/>
      <c r="M53" s="14"/>
      <c r="N53" s="14"/>
      <c r="O53" s="14"/>
      <c r="P53" s="120"/>
      <c r="Q53" s="296"/>
      <c r="V53" s="185"/>
    </row>
    <row r="54" spans="1:22" ht="18" customHeight="1">
      <c r="A54" s="96"/>
      <c r="B54" s="14"/>
      <c r="C54" s="14"/>
      <c r="D54" s="14"/>
      <c r="E54" s="14"/>
      <c r="F54" s="244" t="s">
        <v>475</v>
      </c>
      <c r="G54" s="28" t="str">
        <f>IF(E55&gt;H55, "&gt;","&lt;")</f>
        <v>&gt;</v>
      </c>
      <c r="H54" s="14" t="s">
        <v>477</v>
      </c>
      <c r="I54" s="14"/>
      <c r="J54" s="14"/>
      <c r="K54" s="14"/>
      <c r="L54" s="14" t="s">
        <v>834</v>
      </c>
      <c r="M54" s="14"/>
      <c r="N54" s="14"/>
      <c r="O54" s="14"/>
      <c r="P54" s="301"/>
      <c r="Q54" s="461"/>
      <c r="V54" s="185"/>
    </row>
    <row r="55" spans="1:22" ht="18" customHeight="1">
      <c r="A55" s="96"/>
      <c r="B55" s="14"/>
      <c r="C55" s="14"/>
      <c r="D55" s="14"/>
      <c r="E55" s="834">
        <f>H13</f>
        <v>750</v>
      </c>
      <c r="F55" s="834"/>
      <c r="G55" s="28" t="str">
        <f>G54</f>
        <v>&gt;</v>
      </c>
      <c r="H55" s="692">
        <f>E43</f>
        <v>123.54044880000001</v>
      </c>
      <c r="I55" s="692"/>
      <c r="J55" s="14"/>
      <c r="K55" s="14"/>
      <c r="L55" s="14"/>
      <c r="M55" s="14"/>
      <c r="N55" s="14"/>
      <c r="O55" s="14"/>
      <c r="V55" s="185"/>
    </row>
    <row r="56" spans="1:22" ht="18" customHeight="1">
      <c r="A56" s="184"/>
      <c r="D56" s="211"/>
      <c r="E56" s="14"/>
      <c r="F56" s="199" t="s">
        <v>831</v>
      </c>
      <c r="G56" s="211"/>
      <c r="H56" s="281" t="s">
        <v>828</v>
      </c>
      <c r="J56" s="28" t="s">
        <v>833</v>
      </c>
      <c r="K56" s="18" t="str">
        <f>IF(G55="&gt;", "Satisfied", "Not Satisfied")</f>
        <v>Satisfied</v>
      </c>
      <c r="P56" s="232"/>
      <c r="Q56" s="232"/>
      <c r="R56" s="232"/>
      <c r="S56" s="232"/>
      <c r="T56" s="232"/>
      <c r="U56" s="232"/>
      <c r="V56" s="233"/>
    </row>
    <row r="57" spans="1:22" ht="18" customHeight="1">
      <c r="A57" s="184"/>
      <c r="H57" s="28"/>
      <c r="I57" s="28"/>
      <c r="J57" s="28"/>
      <c r="K57" s="28"/>
      <c r="L57" s="28"/>
      <c r="M57" s="28"/>
      <c r="N57" s="28"/>
      <c r="O57" s="28"/>
      <c r="P57" s="232"/>
      <c r="Q57" s="232"/>
      <c r="R57" s="232"/>
      <c r="S57" s="232"/>
      <c r="T57" s="232"/>
      <c r="U57" s="232"/>
      <c r="V57" s="233"/>
    </row>
    <row r="58" spans="1:22" ht="18" customHeight="1">
      <c r="A58" s="96"/>
      <c r="B58" s="14"/>
      <c r="C58" s="14"/>
      <c r="D58" s="14"/>
      <c r="E58" s="14"/>
      <c r="F58" s="244" t="s">
        <v>478</v>
      </c>
      <c r="G58" s="14"/>
      <c r="H58" s="18" t="str">
        <f>IF(AND(E51&gt;H51,E55&gt;H55),"Suitably Dimentioned","Under Dimentioned")</f>
        <v>Suitably Dimentioned</v>
      </c>
      <c r="I58" s="18"/>
      <c r="J58" s="18"/>
      <c r="K58" s="18"/>
      <c r="L58" s="18"/>
      <c r="M58" s="18"/>
      <c r="N58" s="14"/>
      <c r="O58" s="14"/>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96"/>
      <c r="Q63" s="120"/>
      <c r="R63" s="28"/>
      <c r="S63" s="525"/>
      <c r="V63" s="381"/>
    </row>
    <row r="64" spans="1:22" s="14" customFormat="1" ht="18" customHeight="1">
      <c r="A64" s="96"/>
      <c r="Q64" s="120"/>
      <c r="R64" s="28"/>
      <c r="S64" s="525"/>
      <c r="V64" s="381"/>
    </row>
    <row r="65" spans="1:22" s="14" customFormat="1" ht="18" customHeight="1">
      <c r="A65" s="96"/>
      <c r="Q65" s="120"/>
      <c r="R65" s="28"/>
      <c r="S65" s="525"/>
      <c r="V65" s="381"/>
    </row>
    <row r="66" spans="1:22" s="14" customFormat="1" ht="18" customHeight="1">
      <c r="A66" s="96"/>
      <c r="Q66" s="120"/>
      <c r="R66" s="28"/>
      <c r="S66" s="525"/>
      <c r="V66" s="381"/>
    </row>
    <row r="67" spans="1:22" s="14" customFormat="1" ht="18" customHeight="1">
      <c r="A67" s="96"/>
      <c r="Q67" s="120"/>
      <c r="R67" s="28"/>
      <c r="S67" s="525"/>
      <c r="V67" s="381"/>
    </row>
    <row r="68" spans="1:22" s="14" customFormat="1" ht="18" customHeight="1">
      <c r="A68" s="96"/>
      <c r="Q68" s="120"/>
      <c r="R68" s="28"/>
      <c r="S68" s="525"/>
      <c r="V68" s="381"/>
    </row>
    <row r="69" spans="1:22" s="14" customFormat="1" ht="18" customHeight="1">
      <c r="A69" s="96"/>
      <c r="Q69" s="120"/>
      <c r="R69" s="28"/>
      <c r="S69" s="525"/>
      <c r="V69" s="381"/>
    </row>
    <row r="70" spans="1:22" s="14" customFormat="1" ht="18" customHeight="1">
      <c r="A70" s="96"/>
      <c r="Q70" s="120"/>
      <c r="R70" s="28"/>
      <c r="S70" s="525"/>
      <c r="V70" s="381"/>
    </row>
    <row r="71" spans="1:22" s="14" customFormat="1" ht="18" customHeight="1">
      <c r="A71" s="96"/>
      <c r="Q71" s="120"/>
      <c r="R71" s="28"/>
      <c r="S71" s="525"/>
      <c r="V71" s="381"/>
    </row>
    <row r="72" spans="1:22" s="14" customFormat="1" ht="18" customHeight="1">
      <c r="A72" s="96"/>
      <c r="Q72" s="120"/>
      <c r="R72" s="28"/>
      <c r="S72" s="525"/>
      <c r="V72" s="381"/>
    </row>
    <row r="73" spans="1:22" s="14" customFormat="1" ht="18" customHeight="1">
      <c r="A73" s="96"/>
      <c r="Q73" s="120"/>
      <c r="R73" s="28"/>
      <c r="S73" s="525"/>
      <c r="V73" s="381"/>
    </row>
    <row r="74" spans="1:22" s="14" customFormat="1" ht="18" customHeight="1">
      <c r="A74" s="96"/>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hidden="1"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hidden="1" customHeight="1">
      <c r="A87" s="184"/>
      <c r="B87" s="854" t="str">
        <f>B7</f>
        <v>T1</v>
      </c>
      <c r="C87" s="831"/>
      <c r="D87" s="854" t="str">
        <f>D7</f>
        <v>Core5</v>
      </c>
      <c r="E87" s="831"/>
      <c r="F87" s="455"/>
      <c r="H87" s="684" t="s">
        <v>711</v>
      </c>
      <c r="I87" s="684"/>
      <c r="J87" s="684"/>
      <c r="K87" s="684"/>
      <c r="L87" s="684"/>
      <c r="M87" s="684"/>
      <c r="P87" s="186"/>
      <c r="S87" s="187" t="s">
        <v>387</v>
      </c>
      <c r="T87" s="854" t="str">
        <f>T7</f>
        <v>P743</v>
      </c>
      <c r="U87" s="831"/>
      <c r="V87" s="185"/>
    </row>
    <row r="88" spans="1:23" ht="18" hidden="1" customHeight="1">
      <c r="A88" s="456"/>
      <c r="F88" s="455"/>
      <c r="T88" s="854">
        <f>T8</f>
        <v>0</v>
      </c>
      <c r="U88" s="831"/>
      <c r="V88" s="185"/>
    </row>
    <row r="89" spans="1:23" ht="18" hidden="1" customHeight="1">
      <c r="A89" s="184"/>
      <c r="H89" s="708" t="s">
        <v>390</v>
      </c>
      <c r="I89" s="708"/>
      <c r="J89" s="789" t="s">
        <v>391</v>
      </c>
      <c r="K89" s="789"/>
      <c r="L89" s="790" t="s">
        <v>392</v>
      </c>
      <c r="M89" s="790"/>
      <c r="T89" s="854">
        <f>T9</f>
        <v>0</v>
      </c>
      <c r="U89" s="831"/>
      <c r="V89" s="185"/>
    </row>
    <row r="90" spans="1:23" ht="18" hidden="1" customHeight="1">
      <c r="A90" s="184"/>
      <c r="B90" s="47" t="s">
        <v>393</v>
      </c>
      <c r="H90" s="854">
        <f>H10</f>
        <v>2500</v>
      </c>
      <c r="I90" s="831"/>
      <c r="J90" s="863" t="str">
        <f>J10</f>
        <v>-</v>
      </c>
      <c r="K90" s="864"/>
      <c r="L90" s="854" t="str">
        <f>L10</f>
        <v>-</v>
      </c>
      <c r="M90" s="831"/>
      <c r="N90" s="191" t="s">
        <v>342</v>
      </c>
      <c r="O90" s="256">
        <f>O10</f>
        <v>1</v>
      </c>
      <c r="P90" s="27" t="s">
        <v>8</v>
      </c>
      <c r="R90" s="255"/>
      <c r="S90" s="255"/>
      <c r="V90" s="185"/>
    </row>
    <row r="91" spans="1:23" ht="18" hidden="1" customHeight="1">
      <c r="A91" s="184"/>
      <c r="B91" s="47" t="s">
        <v>394</v>
      </c>
      <c r="J91" s="854" t="str">
        <f>H11</f>
        <v>PX-B</v>
      </c>
      <c r="K91" s="831"/>
      <c r="V91" s="185"/>
    </row>
    <row r="92" spans="1:23" ht="18" hidden="1" customHeight="1">
      <c r="A92" s="184"/>
      <c r="B92" s="47" t="s">
        <v>396</v>
      </c>
      <c r="I92" s="120" t="s">
        <v>497</v>
      </c>
      <c r="J92" s="1224"/>
      <c r="K92" s="1225"/>
      <c r="L92" s="192" t="s">
        <v>333</v>
      </c>
      <c r="V92" s="185"/>
    </row>
    <row r="93" spans="1:23" ht="18" hidden="1" customHeight="1">
      <c r="A93" s="184"/>
      <c r="B93" s="47" t="s">
        <v>398</v>
      </c>
      <c r="I93" s="120" t="s">
        <v>498</v>
      </c>
      <c r="J93" s="1075"/>
      <c r="K93" s="1076"/>
      <c r="L93" s="14" t="s">
        <v>305</v>
      </c>
      <c r="U93" s="18"/>
      <c r="V93" s="185"/>
      <c r="W93" s="30" t="str">
        <f>H142</f>
        <v>Under Dimentioned</v>
      </c>
    </row>
    <row r="94" spans="1:23" ht="18" hidden="1" customHeight="1">
      <c r="A94" s="184"/>
      <c r="B94" s="14" t="s">
        <v>401</v>
      </c>
      <c r="I94" s="120" t="s">
        <v>402</v>
      </c>
      <c r="J94" s="1075"/>
      <c r="K94" s="1076"/>
      <c r="L94" s="14" t="s">
        <v>403</v>
      </c>
      <c r="V94" s="185"/>
    </row>
    <row r="95" spans="1:23" ht="18" hidden="1" customHeight="1">
      <c r="A95" s="184"/>
      <c r="V95" s="185"/>
    </row>
    <row r="96" spans="1:23" ht="18" hidden="1" customHeight="1">
      <c r="A96" s="193" t="s">
        <v>404</v>
      </c>
      <c r="V96" s="185"/>
    </row>
    <row r="97" spans="1:22" ht="18" hidden="1" customHeight="1">
      <c r="A97" s="184"/>
      <c r="V97" s="185"/>
    </row>
    <row r="98" spans="1:22" ht="18" hidden="1" customHeight="1">
      <c r="A98" s="184"/>
      <c r="B98" s="135" t="s">
        <v>405</v>
      </c>
      <c r="C98" s="273"/>
      <c r="D98" s="139" t="str">
        <f>T87</f>
        <v>P743</v>
      </c>
      <c r="E98" s="227"/>
      <c r="F98" s="227"/>
      <c r="G98" s="227"/>
      <c r="H98" s="138"/>
      <c r="I98" s="260" t="s">
        <v>127</v>
      </c>
      <c r="J98" s="696">
        <f>J18</f>
        <v>0.1</v>
      </c>
      <c r="K98" s="722"/>
      <c r="L98" s="3" t="s">
        <v>157</v>
      </c>
      <c r="N98" s="197"/>
      <c r="V98" s="185"/>
    </row>
    <row r="99" spans="1:22" ht="18" hidden="1" customHeight="1">
      <c r="A99" s="184"/>
      <c r="B99" s="96" t="s">
        <v>405</v>
      </c>
      <c r="C99" s="14"/>
      <c r="D99" s="47">
        <f>T88</f>
        <v>0</v>
      </c>
      <c r="E99" s="14"/>
      <c r="G99" s="199"/>
      <c r="H99" s="27"/>
      <c r="I99" s="101" t="s">
        <v>127</v>
      </c>
      <c r="J99" s="696">
        <f>J19</f>
        <v>0</v>
      </c>
      <c r="K99" s="722"/>
      <c r="L99" s="202" t="s">
        <v>157</v>
      </c>
      <c r="N99" s="28"/>
      <c r="O99" s="27"/>
      <c r="P99" s="28"/>
      <c r="Q99" s="102"/>
      <c r="R99" s="28"/>
      <c r="S99" s="27"/>
      <c r="T99" s="28"/>
      <c r="V99" s="185"/>
    </row>
    <row r="100" spans="1:22" ht="18" hidden="1"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hidden="1" customHeight="1">
      <c r="A101" s="184"/>
      <c r="B101" s="184" t="s">
        <v>412</v>
      </c>
      <c r="C101" s="14"/>
      <c r="D101" s="14"/>
      <c r="E101" s="14"/>
      <c r="H101" s="27"/>
      <c r="I101" s="101" t="s">
        <v>127</v>
      </c>
      <c r="J101" s="696">
        <f>J21</f>
        <v>1.0770224400000001</v>
      </c>
      <c r="K101" s="722"/>
      <c r="L101" s="297" t="s">
        <v>157</v>
      </c>
      <c r="N101" s="27"/>
      <c r="O101" s="27"/>
      <c r="P101" s="204"/>
      <c r="R101" s="192"/>
      <c r="S101" s="27"/>
      <c r="T101" s="27"/>
      <c r="V101" s="185"/>
    </row>
    <row r="102" spans="1:22" ht="18" hidden="1" customHeight="1">
      <c r="A102" s="184"/>
      <c r="B102" s="1" t="s">
        <v>413</v>
      </c>
      <c r="C102" s="2"/>
      <c r="D102" s="2"/>
      <c r="E102" s="2"/>
      <c r="F102" s="196"/>
      <c r="G102" s="196"/>
      <c r="H102" s="224" t="s">
        <v>512</v>
      </c>
      <c r="I102" s="183" t="s">
        <v>127</v>
      </c>
      <c r="J102" s="722">
        <f>SUM(J98:J101)</f>
        <v>1.1770224400000002</v>
      </c>
      <c r="K102" s="958"/>
      <c r="L102" s="3" t="s">
        <v>157</v>
      </c>
      <c r="V102" s="185"/>
    </row>
    <row r="103" spans="1:22" ht="18" hidden="1" customHeight="1">
      <c r="A103" s="184"/>
      <c r="B103" s="47"/>
      <c r="C103" s="47"/>
      <c r="D103" s="47"/>
      <c r="E103" s="47"/>
      <c r="H103" s="27"/>
      <c r="I103" s="28"/>
      <c r="J103" s="199"/>
      <c r="L103" s="47"/>
      <c r="O103" s="27"/>
      <c r="P103" s="211"/>
      <c r="Q103" s="27"/>
      <c r="R103" s="204"/>
      <c r="S103" s="27"/>
      <c r="V103" s="185"/>
    </row>
    <row r="104" spans="1:22" ht="18" hidden="1" customHeight="1">
      <c r="A104" s="168"/>
      <c r="B104" s="5"/>
      <c r="C104" s="47" t="s">
        <v>817</v>
      </c>
      <c r="D104" s="14"/>
      <c r="E104" s="14"/>
      <c r="F104" s="14"/>
      <c r="G104" s="14"/>
      <c r="H104" s="279"/>
      <c r="I104" s="120"/>
      <c r="J104" s="279"/>
      <c r="K104" s="279"/>
      <c r="L104" s="14"/>
      <c r="M104" s="14"/>
      <c r="N104" s="14"/>
      <c r="O104" s="14"/>
      <c r="P104" s="14"/>
      <c r="Q104" s="120" t="s">
        <v>818</v>
      </c>
      <c r="R104" s="102" t="s">
        <v>127</v>
      </c>
      <c r="S104" s="854">
        <f>S24</f>
        <v>50000</v>
      </c>
      <c r="T104" s="831"/>
      <c r="U104" s="47" t="s">
        <v>8</v>
      </c>
      <c r="V104" s="185"/>
    </row>
    <row r="105" spans="1:22" ht="18" hidden="1" customHeight="1">
      <c r="A105" s="168"/>
      <c r="B105" s="5"/>
      <c r="C105" s="47" t="s">
        <v>654</v>
      </c>
      <c r="D105" s="14"/>
      <c r="E105" s="14"/>
      <c r="F105" s="18"/>
      <c r="G105" s="18"/>
      <c r="H105" s="279"/>
      <c r="I105" s="120"/>
      <c r="J105" s="279"/>
      <c r="K105" s="279"/>
      <c r="L105" s="14"/>
      <c r="M105" s="14"/>
      <c r="N105" s="14"/>
      <c r="O105" s="14"/>
      <c r="P105" s="14"/>
      <c r="Q105" s="120" t="s">
        <v>423</v>
      </c>
      <c r="R105" s="102" t="s">
        <v>127</v>
      </c>
      <c r="S105" s="689">
        <f>H90</f>
        <v>2500</v>
      </c>
      <c r="T105" s="689"/>
      <c r="U105" s="14" t="s">
        <v>8</v>
      </c>
      <c r="V105" s="185"/>
    </row>
    <row r="106" spans="1:22" ht="18" hidden="1" customHeight="1">
      <c r="A106" s="168"/>
      <c r="B106" s="5"/>
      <c r="C106" s="47" t="s">
        <v>819</v>
      </c>
      <c r="E106" s="14"/>
      <c r="F106" s="18"/>
      <c r="G106" s="18"/>
      <c r="H106" s="279"/>
      <c r="I106" s="120"/>
      <c r="J106" s="279"/>
      <c r="K106" s="279"/>
      <c r="L106" s="14"/>
      <c r="M106" s="14"/>
      <c r="N106" s="14"/>
      <c r="O106" s="14"/>
      <c r="P106" s="14"/>
      <c r="Q106" s="120" t="s">
        <v>820</v>
      </c>
      <c r="R106" s="28" t="s">
        <v>127</v>
      </c>
      <c r="S106" s="692">
        <f>S104/S105*O90</f>
        <v>20</v>
      </c>
      <c r="T106" s="692"/>
      <c r="U106" s="14" t="s">
        <v>8</v>
      </c>
      <c r="V106" s="185"/>
    </row>
    <row r="107" spans="1:22" ht="18" hidden="1" customHeight="1">
      <c r="A107" s="168"/>
      <c r="B107" s="5"/>
      <c r="C107" s="47" t="s">
        <v>821</v>
      </c>
      <c r="D107" s="14"/>
      <c r="E107" s="14"/>
      <c r="F107" s="18"/>
      <c r="G107" s="18"/>
      <c r="H107" s="279"/>
      <c r="I107" s="120"/>
      <c r="J107" s="279"/>
      <c r="K107" s="279"/>
      <c r="L107" s="14"/>
      <c r="M107" s="14"/>
      <c r="N107" s="14"/>
      <c r="O107" s="14"/>
      <c r="P107" s="14"/>
      <c r="Q107" s="120" t="s">
        <v>689</v>
      </c>
      <c r="R107" s="28" t="s">
        <v>127</v>
      </c>
      <c r="S107" s="692">
        <f>J102/O90*O90</f>
        <v>1.1770224400000002</v>
      </c>
      <c r="T107" s="692"/>
      <c r="U107" s="192" t="s">
        <v>333</v>
      </c>
      <c r="V107" s="185"/>
    </row>
    <row r="108" spans="1:22" ht="18" hidden="1" customHeight="1">
      <c r="A108" s="168"/>
      <c r="B108" s="5"/>
      <c r="C108" s="47" t="s">
        <v>822</v>
      </c>
      <c r="Q108" s="120" t="s">
        <v>823</v>
      </c>
      <c r="R108" s="28" t="s">
        <v>127</v>
      </c>
      <c r="S108" s="854">
        <f>S28</f>
        <v>50000</v>
      </c>
      <c r="T108" s="831"/>
      <c r="U108" s="14" t="s">
        <v>8</v>
      </c>
      <c r="V108" s="185"/>
    </row>
    <row r="109" spans="1:22" ht="18" hidden="1" customHeight="1">
      <c r="A109" s="299"/>
      <c r="B109" s="279"/>
      <c r="C109" s="47" t="s">
        <v>824</v>
      </c>
      <c r="Q109" s="244" t="s">
        <v>825</v>
      </c>
      <c r="R109" s="28" t="s">
        <v>127</v>
      </c>
      <c r="S109" s="795">
        <f>S108/S105</f>
        <v>20</v>
      </c>
      <c r="T109" s="795"/>
      <c r="U109" s="14" t="s">
        <v>8</v>
      </c>
      <c r="V109" s="300"/>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85"/>
    </row>
    <row r="111" spans="1:22" ht="18" hidden="1" customHeight="1">
      <c r="A111" s="193" t="s">
        <v>755</v>
      </c>
      <c r="B111" s="14"/>
      <c r="C111" s="14"/>
      <c r="D111" s="14"/>
      <c r="E111" s="14"/>
      <c r="F111" s="14"/>
      <c r="G111" s="14"/>
      <c r="H111" s="14"/>
      <c r="K111" s="14"/>
      <c r="T111" s="14"/>
      <c r="U111" s="14"/>
      <c r="V111" s="185"/>
    </row>
    <row r="112" spans="1:22" ht="18" hidden="1" customHeight="1">
      <c r="A112" s="96"/>
      <c r="B112" s="14"/>
      <c r="C112" s="14"/>
      <c r="D112" s="14"/>
      <c r="E112" s="14"/>
      <c r="F112" s="14"/>
      <c r="G112" s="14"/>
      <c r="H112" s="14"/>
      <c r="K112" s="14"/>
      <c r="T112" s="14"/>
      <c r="U112" s="14"/>
      <c r="V112" s="185"/>
    </row>
    <row r="113" spans="1:22" ht="18" hidden="1" customHeight="1">
      <c r="A113" s="193" t="s">
        <v>826</v>
      </c>
      <c r="H113" s="28"/>
      <c r="I113" s="28"/>
      <c r="J113" s="28"/>
      <c r="K113" s="28"/>
      <c r="T113" s="14"/>
      <c r="U113" s="14"/>
      <c r="V113" s="185"/>
    </row>
    <row r="114" spans="1:22" ht="18" hidden="1" customHeight="1">
      <c r="A114" s="193"/>
      <c r="H114" s="28"/>
      <c r="I114" s="28"/>
      <c r="J114" s="28"/>
      <c r="K114" s="28"/>
      <c r="T114" s="14"/>
      <c r="U114" s="14"/>
      <c r="V114" s="185"/>
    </row>
    <row r="115" spans="1:22" ht="18" hidden="1" customHeight="1">
      <c r="A115" s="184"/>
      <c r="B115" s="689" t="s">
        <v>473</v>
      </c>
      <c r="C115" s="689"/>
      <c r="D115" s="28" t="s">
        <v>827</v>
      </c>
      <c r="E115" s="28">
        <v>0.5</v>
      </c>
      <c r="F115" s="28" t="s">
        <v>315</v>
      </c>
      <c r="G115" s="689" t="s">
        <v>820</v>
      </c>
      <c r="H115" s="689"/>
      <c r="I115" s="28" t="s">
        <v>672</v>
      </c>
      <c r="J115" s="689" t="s">
        <v>420</v>
      </c>
      <c r="K115" s="689"/>
      <c r="L115" s="28" t="s">
        <v>347</v>
      </c>
      <c r="M115" s="689" t="s">
        <v>689</v>
      </c>
      <c r="N115" s="689"/>
      <c r="O115" s="14" t="s">
        <v>350</v>
      </c>
      <c r="P115" s="14"/>
      <c r="Q115" s="14"/>
      <c r="R115" s="14"/>
      <c r="T115" s="14"/>
      <c r="U115" s="14"/>
      <c r="V115" s="185"/>
    </row>
    <row r="116" spans="1:22" ht="18" hidden="1" customHeight="1">
      <c r="A116" s="184"/>
      <c r="B116" s="14"/>
      <c r="C116" s="14"/>
      <c r="D116" s="102" t="s">
        <v>127</v>
      </c>
      <c r="E116" s="28">
        <v>0.5</v>
      </c>
      <c r="F116" s="28" t="s">
        <v>315</v>
      </c>
      <c r="G116" s="692">
        <f>S106</f>
        <v>20</v>
      </c>
      <c r="H116" s="689"/>
      <c r="I116" s="28" t="s">
        <v>672</v>
      </c>
      <c r="J116" s="689">
        <f>J92</f>
        <v>0</v>
      </c>
      <c r="K116" s="689"/>
      <c r="L116" s="28" t="s">
        <v>347</v>
      </c>
      <c r="M116" s="692">
        <f>S107</f>
        <v>1.1770224400000002</v>
      </c>
      <c r="N116" s="689"/>
      <c r="O116" s="14" t="s">
        <v>350</v>
      </c>
      <c r="S116" s="14"/>
      <c r="T116" s="14"/>
      <c r="U116" s="14"/>
      <c r="V116" s="185"/>
    </row>
    <row r="117" spans="1:22" ht="18" hidden="1" customHeight="1">
      <c r="A117" s="184"/>
      <c r="B117" s="14"/>
      <c r="C117" s="14"/>
      <c r="D117" s="102" t="s">
        <v>127</v>
      </c>
      <c r="E117" s="692">
        <f>E116*G116*(J116+M116)</f>
        <v>11.770224400000002</v>
      </c>
      <c r="F117" s="692"/>
      <c r="G117" s="211"/>
      <c r="H117" s="218"/>
      <c r="I117" s="14"/>
      <c r="J117" s="14"/>
      <c r="K117" s="14"/>
      <c r="L117" s="14"/>
      <c r="M117" s="14"/>
      <c r="N117" s="14"/>
      <c r="O117" s="14"/>
      <c r="P117" s="14"/>
      <c r="Q117" s="14"/>
      <c r="R117" s="14"/>
      <c r="V117" s="185"/>
    </row>
    <row r="118" spans="1:22" ht="18" hidden="1" customHeight="1">
      <c r="A118" s="184"/>
      <c r="B118" s="14"/>
      <c r="C118" s="14"/>
      <c r="D118" s="28"/>
      <c r="E118" s="218"/>
      <c r="F118" s="218"/>
      <c r="G118" s="211"/>
      <c r="H118" s="218"/>
      <c r="I118" s="14"/>
      <c r="J118" s="14"/>
      <c r="K118" s="14"/>
      <c r="L118" s="14"/>
      <c r="M118" s="14"/>
      <c r="N118" s="14"/>
      <c r="O118" s="14"/>
      <c r="P118" s="14"/>
      <c r="Q118" s="14"/>
      <c r="R118" s="14"/>
      <c r="V118" s="185"/>
    </row>
    <row r="119" spans="1:22" ht="18" hidden="1" customHeight="1">
      <c r="A119" s="193" t="s">
        <v>828</v>
      </c>
      <c r="B119" s="14"/>
      <c r="C119" s="14"/>
      <c r="D119" s="28"/>
      <c r="E119" s="218"/>
      <c r="F119" s="218"/>
      <c r="G119" s="211"/>
      <c r="H119" s="218"/>
      <c r="I119" s="14"/>
      <c r="J119" s="14"/>
      <c r="K119" s="14"/>
      <c r="L119" s="14"/>
      <c r="M119" s="14"/>
      <c r="N119" s="14"/>
      <c r="O119" s="14"/>
      <c r="P119" s="14"/>
      <c r="Q119" s="14"/>
      <c r="R119" s="14"/>
      <c r="V119" s="185"/>
    </row>
    <row r="120" spans="1:22" ht="18" hidden="1" customHeight="1">
      <c r="A120" s="184"/>
      <c r="B120" s="14"/>
      <c r="C120" s="14"/>
      <c r="D120" s="28"/>
      <c r="E120" s="218"/>
      <c r="F120" s="218"/>
      <c r="G120" s="211"/>
      <c r="H120" s="218"/>
      <c r="I120" s="14"/>
      <c r="J120" s="14"/>
      <c r="K120" s="14"/>
      <c r="L120" s="14"/>
      <c r="M120" s="14"/>
      <c r="N120" s="14"/>
      <c r="O120" s="14"/>
      <c r="P120" s="14"/>
      <c r="Q120" s="14"/>
      <c r="R120" s="14"/>
      <c r="V120" s="185"/>
    </row>
    <row r="121" spans="1:22" ht="18" hidden="1" customHeight="1">
      <c r="A121" s="184"/>
      <c r="B121" s="689" t="s">
        <v>473</v>
      </c>
      <c r="C121" s="689"/>
      <c r="D121" s="28" t="s">
        <v>827</v>
      </c>
      <c r="E121" s="689" t="s">
        <v>825</v>
      </c>
      <c r="F121" s="689"/>
      <c r="G121" s="28" t="s">
        <v>672</v>
      </c>
      <c r="H121" s="689" t="s">
        <v>420</v>
      </c>
      <c r="I121" s="689"/>
      <c r="J121" s="28" t="s">
        <v>347</v>
      </c>
      <c r="K121" s="689" t="s">
        <v>689</v>
      </c>
      <c r="L121" s="689"/>
      <c r="M121" s="14" t="s">
        <v>350</v>
      </c>
      <c r="P121" s="14"/>
      <c r="Q121" s="14"/>
      <c r="R121" s="14"/>
      <c r="V121" s="185"/>
    </row>
    <row r="122" spans="1:22" ht="18" hidden="1" customHeight="1">
      <c r="A122" s="184"/>
      <c r="B122" s="14"/>
      <c r="C122" s="14"/>
      <c r="D122" s="102" t="s">
        <v>127</v>
      </c>
      <c r="E122" s="692">
        <f>S109</f>
        <v>20</v>
      </c>
      <c r="F122" s="689"/>
      <c r="G122" s="28" t="s">
        <v>672</v>
      </c>
      <c r="H122" s="689">
        <f>J92</f>
        <v>0</v>
      </c>
      <c r="I122" s="689"/>
      <c r="J122" s="28" t="s">
        <v>347</v>
      </c>
      <c r="K122" s="692">
        <f>S107</f>
        <v>1.1770224400000002</v>
      </c>
      <c r="L122" s="689"/>
      <c r="M122" s="14" t="s">
        <v>350</v>
      </c>
      <c r="N122" s="14"/>
      <c r="O122" s="14"/>
      <c r="P122" s="14"/>
      <c r="Q122" s="14"/>
      <c r="R122" s="14"/>
      <c r="V122" s="185"/>
    </row>
    <row r="123" spans="1:22" ht="18" hidden="1" customHeight="1">
      <c r="A123" s="184"/>
      <c r="B123" s="14"/>
      <c r="C123" s="14"/>
      <c r="D123" s="102" t="s">
        <v>127</v>
      </c>
      <c r="E123" s="692">
        <f>E122*(H122+K122)</f>
        <v>23.540448800000004</v>
      </c>
      <c r="F123" s="692"/>
      <c r="G123" s="211"/>
      <c r="H123" s="218"/>
      <c r="I123" s="14"/>
      <c r="J123" s="14"/>
      <c r="K123" s="14"/>
      <c r="L123" s="14"/>
      <c r="M123" s="14"/>
      <c r="N123" s="14"/>
      <c r="O123" s="14"/>
      <c r="P123" s="14"/>
      <c r="Q123" s="14"/>
      <c r="R123" s="14"/>
      <c r="V123" s="185"/>
    </row>
    <row r="124" spans="1:22" ht="18" hidden="1" customHeight="1">
      <c r="A124" s="184"/>
      <c r="B124" s="14"/>
      <c r="C124" s="14"/>
      <c r="D124" s="102"/>
      <c r="E124" s="218"/>
      <c r="F124" s="218"/>
      <c r="G124" s="211"/>
      <c r="H124" s="218"/>
      <c r="I124" s="14"/>
      <c r="J124" s="14"/>
      <c r="K124" s="14"/>
      <c r="L124" s="14"/>
      <c r="M124" s="14"/>
      <c r="N124" s="14"/>
      <c r="O124" s="14"/>
      <c r="P124" s="14"/>
      <c r="Q124" s="14"/>
      <c r="R124" s="14"/>
      <c r="V124" s="185"/>
    </row>
    <row r="125" spans="1:22" ht="18" hidden="1" customHeight="1">
      <c r="A125" s="184"/>
      <c r="B125" s="14"/>
      <c r="C125" s="14"/>
      <c r="D125" s="102"/>
      <c r="E125" s="218"/>
      <c r="F125" s="218"/>
      <c r="G125" s="211"/>
      <c r="H125" s="218"/>
      <c r="I125" s="14"/>
      <c r="J125" s="14"/>
      <c r="K125" s="14"/>
      <c r="L125" s="14"/>
      <c r="M125" s="14"/>
      <c r="N125" s="14"/>
      <c r="O125" s="14"/>
      <c r="P125" s="14"/>
      <c r="Q125" s="14"/>
      <c r="R125" s="14"/>
      <c r="V125" s="185"/>
    </row>
    <row r="126" spans="1:22" ht="18" hidden="1" customHeight="1">
      <c r="A126" s="184"/>
      <c r="B126" s="14"/>
      <c r="C126" s="14"/>
      <c r="D126" s="102"/>
      <c r="E126" s="218"/>
      <c r="F126" s="218"/>
      <c r="G126" s="211"/>
      <c r="H126" s="218"/>
      <c r="I126" s="14"/>
      <c r="J126" s="14"/>
      <c r="K126" s="14"/>
      <c r="L126" s="14"/>
      <c r="M126" s="14"/>
      <c r="N126" s="14"/>
      <c r="O126" s="14"/>
      <c r="P126" s="14"/>
      <c r="Q126" s="14"/>
      <c r="R126" s="14"/>
      <c r="V126" s="185"/>
    </row>
    <row r="127" spans="1:22" ht="18" hidden="1" customHeight="1">
      <c r="A127" s="184"/>
      <c r="G127" s="211"/>
      <c r="H127" s="218"/>
      <c r="J127" s="28"/>
      <c r="K127" s="28"/>
      <c r="L127" s="28"/>
      <c r="M127" s="28"/>
      <c r="N127" s="28"/>
      <c r="O127" s="28"/>
      <c r="P127" s="28"/>
      <c r="Q127" s="28"/>
      <c r="R127" s="28"/>
      <c r="V127" s="185"/>
    </row>
    <row r="128" spans="1:22" ht="18" hidden="1" customHeight="1">
      <c r="A128" s="184"/>
      <c r="V128" s="185"/>
    </row>
    <row r="129" spans="1:22" ht="18" hidden="1"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hidden="1" customHeight="1">
      <c r="A130" s="135"/>
      <c r="B130" s="273"/>
      <c r="C130" s="273"/>
      <c r="D130" s="273"/>
      <c r="E130" s="273"/>
      <c r="F130" s="273"/>
      <c r="G130" s="273"/>
      <c r="H130" s="273"/>
      <c r="I130" s="273"/>
      <c r="J130" s="273"/>
      <c r="K130" s="273"/>
      <c r="L130" s="273"/>
      <c r="M130" s="273"/>
      <c r="N130" s="273"/>
      <c r="O130" s="273"/>
      <c r="P130" s="273"/>
      <c r="Q130" s="274"/>
      <c r="R130" s="138"/>
      <c r="S130" s="275"/>
      <c r="T130" s="273"/>
      <c r="U130" s="273"/>
      <c r="V130" s="276"/>
    </row>
    <row r="131" spans="1:22" ht="18" hidden="1" customHeight="1">
      <c r="A131" s="193" t="s">
        <v>829</v>
      </c>
      <c r="B131" s="197"/>
      <c r="C131" s="197"/>
      <c r="D131" s="197"/>
      <c r="E131" s="14"/>
      <c r="F131" s="14"/>
      <c r="G131" s="14"/>
      <c r="H131" s="14"/>
      <c r="I131" s="14"/>
      <c r="J131" s="14"/>
      <c r="K131" s="14"/>
      <c r="L131" s="14"/>
      <c r="M131" s="14"/>
      <c r="N131" s="14"/>
      <c r="O131" s="14"/>
      <c r="P131" s="27"/>
      <c r="Q131" s="28"/>
      <c r="T131" s="14"/>
      <c r="U131" s="14"/>
      <c r="V131" s="185"/>
    </row>
    <row r="132" spans="1:22" ht="18" hidden="1" customHeight="1">
      <c r="A132" s="193"/>
      <c r="B132" s="197"/>
      <c r="C132" s="197"/>
      <c r="D132" s="197"/>
      <c r="E132" s="14"/>
      <c r="F132" s="14"/>
      <c r="G132" s="14"/>
      <c r="H132" s="14"/>
      <c r="I132" s="14"/>
      <c r="J132" s="14"/>
      <c r="K132" s="14"/>
      <c r="L132" s="14"/>
      <c r="M132" s="14"/>
      <c r="N132" s="14"/>
      <c r="O132" s="14"/>
      <c r="P132" s="27"/>
      <c r="Q132" s="28"/>
      <c r="T132" s="14"/>
      <c r="U132" s="14"/>
      <c r="V132" s="185"/>
    </row>
    <row r="133" spans="1:22" ht="18" hidden="1" customHeight="1">
      <c r="A133" s="96"/>
      <c r="B133" s="197" t="s">
        <v>826</v>
      </c>
      <c r="C133" s="197"/>
      <c r="D133" s="14"/>
      <c r="E133" s="14"/>
      <c r="F133" s="14"/>
      <c r="G133" s="14"/>
      <c r="H133" s="14"/>
      <c r="I133" s="14"/>
      <c r="J133" s="14"/>
      <c r="K133" s="14"/>
      <c r="L133" s="14"/>
      <c r="M133" s="14"/>
      <c r="N133" s="14"/>
      <c r="O133" s="14"/>
      <c r="P133" s="14"/>
      <c r="Q133" s="14"/>
      <c r="R133" s="14"/>
      <c r="S133" s="14"/>
      <c r="T133" s="14"/>
      <c r="U133" s="14"/>
      <c r="V133" s="185"/>
    </row>
    <row r="134" spans="1:22" ht="18" hidden="1" customHeight="1">
      <c r="A134" s="96"/>
      <c r="B134" s="14"/>
      <c r="C134" s="14"/>
      <c r="D134" s="14"/>
      <c r="E134" s="14"/>
      <c r="F134" s="244" t="s">
        <v>475</v>
      </c>
      <c r="G134" s="28" t="str">
        <f>IF(E135&gt;H135, "&gt;","&lt;")</f>
        <v>&lt;</v>
      </c>
      <c r="H134" s="14" t="s">
        <v>477</v>
      </c>
      <c r="I134" s="14"/>
      <c r="J134" s="14"/>
      <c r="K134" s="14"/>
      <c r="L134" s="14" t="s">
        <v>830</v>
      </c>
      <c r="M134" s="14"/>
      <c r="N134" s="14"/>
      <c r="O134" s="14"/>
      <c r="P134" s="14"/>
      <c r="Q134" s="14"/>
      <c r="R134" s="14"/>
      <c r="S134" s="14"/>
      <c r="T134" s="14"/>
      <c r="U134" s="14"/>
      <c r="V134" s="185"/>
    </row>
    <row r="135" spans="1:22" ht="18" hidden="1" customHeight="1">
      <c r="A135" s="96"/>
      <c r="B135" s="14"/>
      <c r="C135" s="14"/>
      <c r="D135" s="14"/>
      <c r="E135" s="834">
        <f>J93</f>
        <v>0</v>
      </c>
      <c r="F135" s="834"/>
      <c r="G135" s="28" t="str">
        <f>G134</f>
        <v>&lt;</v>
      </c>
      <c r="H135" s="692">
        <f>E117</f>
        <v>11.770224400000002</v>
      </c>
      <c r="I135" s="692"/>
      <c r="J135" s="14"/>
      <c r="K135" s="14"/>
      <c r="L135" s="14"/>
      <c r="M135" s="14"/>
      <c r="N135" s="14"/>
      <c r="O135" s="14"/>
      <c r="P135" s="14"/>
      <c r="Q135" s="14"/>
      <c r="R135" s="14"/>
      <c r="S135" s="14"/>
      <c r="T135" s="14"/>
      <c r="U135" s="14"/>
      <c r="V135" s="185"/>
    </row>
    <row r="136" spans="1:22" ht="18" hidden="1" customHeight="1">
      <c r="A136" s="184"/>
      <c r="D136" s="211"/>
      <c r="E136" s="218"/>
      <c r="F136" s="199" t="s">
        <v>831</v>
      </c>
      <c r="G136" s="211"/>
      <c r="H136" s="281" t="s">
        <v>832</v>
      </c>
      <c r="J136" s="28" t="s">
        <v>833</v>
      </c>
      <c r="K136" s="18" t="str">
        <f>IF(G135="&gt;", "Satisfied", "Not Satisfied")</f>
        <v>Not Satisfied</v>
      </c>
      <c r="P136" s="14"/>
      <c r="Q136" s="14"/>
      <c r="R136" s="14"/>
      <c r="S136" s="14"/>
      <c r="T136" s="14"/>
      <c r="U136" s="14"/>
      <c r="V136" s="185"/>
    </row>
    <row r="137" spans="1:22" ht="18" hidden="1" customHeight="1">
      <c r="A137" s="96"/>
      <c r="B137" s="197" t="s">
        <v>828</v>
      </c>
      <c r="C137" s="197"/>
      <c r="D137" s="14"/>
      <c r="E137" s="14"/>
      <c r="F137" s="14"/>
      <c r="G137" s="14"/>
      <c r="H137" s="14"/>
      <c r="I137" s="14"/>
      <c r="J137" s="14"/>
      <c r="K137" s="14"/>
      <c r="L137" s="14"/>
      <c r="M137" s="14"/>
      <c r="N137" s="14"/>
      <c r="O137" s="14"/>
      <c r="P137" s="120"/>
      <c r="Q137" s="296"/>
      <c r="V137" s="185"/>
    </row>
    <row r="138" spans="1:22" ht="18" hidden="1" customHeight="1">
      <c r="A138" s="96"/>
      <c r="B138" s="14"/>
      <c r="C138" s="14"/>
      <c r="D138" s="14"/>
      <c r="E138" s="14"/>
      <c r="F138" s="244" t="s">
        <v>475</v>
      </c>
      <c r="G138" s="28" t="str">
        <f>IF(E139&gt;H139, "&gt;","&lt;")</f>
        <v>&lt;</v>
      </c>
      <c r="H138" s="14" t="s">
        <v>477</v>
      </c>
      <c r="I138" s="14"/>
      <c r="J138" s="14"/>
      <c r="K138" s="14"/>
      <c r="L138" s="14" t="s">
        <v>834</v>
      </c>
      <c r="M138" s="14"/>
      <c r="N138" s="14"/>
      <c r="O138" s="14"/>
      <c r="P138" s="301"/>
      <c r="Q138" s="461"/>
      <c r="V138" s="185"/>
    </row>
    <row r="139" spans="1:22" ht="18" hidden="1" customHeight="1">
      <c r="A139" s="96"/>
      <c r="B139" s="14"/>
      <c r="C139" s="14"/>
      <c r="D139" s="14"/>
      <c r="E139" s="834">
        <f>J93</f>
        <v>0</v>
      </c>
      <c r="F139" s="834"/>
      <c r="G139" s="28" t="str">
        <f>G138</f>
        <v>&lt;</v>
      </c>
      <c r="H139" s="692">
        <f>E123</f>
        <v>23.540448800000004</v>
      </c>
      <c r="I139" s="692"/>
      <c r="J139" s="14"/>
      <c r="K139" s="14"/>
      <c r="L139" s="14"/>
      <c r="M139" s="14"/>
      <c r="N139" s="14"/>
      <c r="O139" s="14"/>
      <c r="V139" s="185"/>
    </row>
    <row r="140" spans="1:22" ht="18" hidden="1" customHeight="1">
      <c r="A140" s="184"/>
      <c r="D140" s="211"/>
      <c r="E140" s="14"/>
      <c r="F140" s="199" t="s">
        <v>831</v>
      </c>
      <c r="G140" s="211"/>
      <c r="H140" s="281" t="s">
        <v>828</v>
      </c>
      <c r="J140" s="28" t="s">
        <v>833</v>
      </c>
      <c r="K140" s="18" t="str">
        <f>IF(G139="&gt;", "Satisfied", "Not Satisfied")</f>
        <v>Not Satisfied</v>
      </c>
      <c r="P140" s="232"/>
      <c r="Q140" s="232"/>
      <c r="R140" s="232"/>
      <c r="S140" s="232"/>
      <c r="T140" s="232"/>
      <c r="U140" s="232"/>
      <c r="V140" s="233"/>
    </row>
    <row r="141" spans="1:22" ht="18" hidden="1" customHeight="1">
      <c r="A141" s="184"/>
      <c r="H141" s="28"/>
      <c r="I141" s="28"/>
      <c r="J141" s="28"/>
      <c r="K141" s="28"/>
      <c r="L141" s="28"/>
      <c r="M141" s="28"/>
      <c r="N141" s="28"/>
      <c r="O141" s="28"/>
      <c r="P141" s="232"/>
      <c r="Q141" s="232"/>
      <c r="R141" s="232"/>
      <c r="S141" s="232"/>
      <c r="T141" s="232"/>
      <c r="U141" s="232"/>
      <c r="V141" s="233"/>
    </row>
    <row r="142" spans="1:22" ht="18" hidden="1" customHeight="1">
      <c r="A142" s="96"/>
      <c r="B142" s="14"/>
      <c r="C142" s="14"/>
      <c r="D142" s="14"/>
      <c r="E142" s="14"/>
      <c r="F142" s="244" t="s">
        <v>478</v>
      </c>
      <c r="G142" s="14"/>
      <c r="H142" s="18" t="str">
        <f>IF(AND(E135&gt;H135,E139&gt;H139),"Suitably Dimentioned","Under Dimentioned")</f>
        <v>Under Dimentioned</v>
      </c>
      <c r="I142" s="18"/>
      <c r="J142" s="18"/>
      <c r="K142" s="18"/>
      <c r="L142" s="18"/>
      <c r="M142" s="18"/>
      <c r="N142" s="14"/>
      <c r="O142" s="14"/>
      <c r="V142" s="185"/>
    </row>
    <row r="143" spans="1:22" ht="18" hidden="1" customHeight="1">
      <c r="A143" s="184"/>
      <c r="B143" s="27"/>
      <c r="C143" s="27"/>
      <c r="D143" s="27"/>
      <c r="E143" s="28"/>
      <c r="F143" s="27"/>
      <c r="G143" s="28"/>
      <c r="H143" s="27"/>
      <c r="I143" s="28"/>
      <c r="J143" s="27"/>
      <c r="K143" s="27"/>
      <c r="L143" s="27"/>
      <c r="M143" s="27"/>
      <c r="V143" s="185"/>
    </row>
    <row r="144" spans="1:22" ht="18" hidden="1" customHeight="1">
      <c r="A144" s="184"/>
      <c r="C144" s="27"/>
      <c r="D144" s="245"/>
      <c r="E144" s="221"/>
      <c r="F144" s="245"/>
      <c r="G144" s="222"/>
      <c r="H144" s="245"/>
      <c r="I144" s="245"/>
      <c r="J144" s="245"/>
      <c r="K144" s="245"/>
      <c r="L144" s="245"/>
      <c r="M144" s="27"/>
      <c r="V144" s="185"/>
    </row>
    <row r="145" spans="1:22" ht="18" hidden="1" customHeight="1">
      <c r="A145" s="184"/>
      <c r="C145" s="27"/>
      <c r="D145" s="204"/>
      <c r="E145" s="204"/>
      <c r="G145" s="18"/>
      <c r="V145" s="185"/>
    </row>
    <row r="146" spans="1:22" ht="18" hidden="1" customHeight="1">
      <c r="A146" s="96"/>
      <c r="B146" s="14"/>
      <c r="C146" s="14"/>
      <c r="D146" s="14"/>
      <c r="E146" s="14"/>
      <c r="F146" s="14"/>
      <c r="G146" s="14"/>
      <c r="H146" s="14"/>
      <c r="I146" s="14"/>
      <c r="J146" s="14"/>
      <c r="K146" s="14"/>
      <c r="L146" s="14"/>
      <c r="M146" s="14"/>
      <c r="N146" s="14"/>
      <c r="O146" s="14"/>
      <c r="P146" s="14"/>
      <c r="Q146" s="120"/>
      <c r="R146" s="28"/>
      <c r="S146" s="525"/>
      <c r="T146" s="14"/>
      <c r="U146" s="14"/>
      <c r="V146" s="381"/>
    </row>
    <row r="147" spans="1:22" ht="18" hidden="1" customHeight="1">
      <c r="A147" s="96"/>
      <c r="B147" s="14"/>
      <c r="C147" s="14"/>
      <c r="D147" s="14"/>
      <c r="E147" s="14"/>
      <c r="F147" s="14"/>
      <c r="G147" s="14"/>
      <c r="H147" s="14"/>
      <c r="I147" s="14"/>
      <c r="J147" s="14"/>
      <c r="K147" s="14"/>
      <c r="L147" s="14"/>
      <c r="M147" s="14"/>
      <c r="N147" s="14"/>
      <c r="O147" s="14"/>
      <c r="P147" s="14"/>
      <c r="Q147" s="120"/>
      <c r="R147" s="28"/>
      <c r="S147" s="525"/>
      <c r="T147" s="14"/>
      <c r="U147" s="14"/>
      <c r="V147" s="381"/>
    </row>
    <row r="148" spans="1:22" ht="18" hidden="1" customHeight="1">
      <c r="A148" s="96"/>
      <c r="B148" s="14"/>
      <c r="C148" s="14"/>
      <c r="D148" s="14"/>
      <c r="E148" s="14"/>
      <c r="F148" s="14"/>
      <c r="G148" s="14"/>
      <c r="H148" s="14"/>
      <c r="I148" s="14"/>
      <c r="J148" s="14"/>
      <c r="K148" s="14"/>
      <c r="L148" s="14"/>
      <c r="M148" s="14"/>
      <c r="N148" s="14"/>
      <c r="O148" s="14"/>
      <c r="P148" s="14"/>
      <c r="Q148" s="120"/>
      <c r="R148" s="28"/>
      <c r="S148" s="525"/>
      <c r="T148" s="14"/>
      <c r="U148" s="14"/>
      <c r="V148" s="381"/>
    </row>
    <row r="149" spans="1:22" ht="18" hidden="1" customHeight="1">
      <c r="A149" s="96"/>
      <c r="B149" s="14"/>
      <c r="C149" s="14"/>
      <c r="D149" s="14"/>
      <c r="E149" s="14"/>
      <c r="F149" s="14"/>
      <c r="G149" s="14"/>
      <c r="H149" s="14"/>
      <c r="I149" s="14"/>
      <c r="J149" s="14"/>
      <c r="K149" s="14"/>
      <c r="L149" s="14"/>
      <c r="M149" s="14"/>
      <c r="N149" s="14"/>
      <c r="O149" s="14"/>
      <c r="P149" s="14"/>
      <c r="Q149" s="120"/>
      <c r="R149" s="28"/>
      <c r="S149" s="525"/>
      <c r="T149" s="14"/>
      <c r="U149" s="14"/>
      <c r="V149" s="381"/>
    </row>
    <row r="150" spans="1:22" ht="18" hidden="1" customHeight="1">
      <c r="A150" s="96"/>
      <c r="B150" s="14"/>
      <c r="C150" s="14"/>
      <c r="D150" s="14"/>
      <c r="E150" s="14"/>
      <c r="F150" s="14"/>
      <c r="G150" s="14"/>
      <c r="H150" s="14"/>
      <c r="I150" s="14"/>
      <c r="J150" s="14"/>
      <c r="K150" s="14"/>
      <c r="L150" s="14"/>
      <c r="M150" s="14"/>
      <c r="N150" s="14"/>
      <c r="O150" s="14"/>
      <c r="P150" s="14"/>
      <c r="Q150" s="120"/>
      <c r="R150" s="28"/>
      <c r="S150" s="525"/>
      <c r="T150" s="14"/>
      <c r="U150" s="14"/>
      <c r="V150" s="381"/>
    </row>
    <row r="151" spans="1:22" ht="18" hidden="1" customHeight="1">
      <c r="A151" s="96"/>
      <c r="B151" s="14"/>
      <c r="C151" s="14"/>
      <c r="D151" s="14"/>
      <c r="E151" s="14"/>
      <c r="F151" s="14"/>
      <c r="G151" s="14"/>
      <c r="H151" s="14"/>
      <c r="I151" s="14"/>
      <c r="J151" s="14"/>
      <c r="K151" s="14"/>
      <c r="L151" s="14"/>
      <c r="M151" s="14"/>
      <c r="N151" s="14"/>
      <c r="O151" s="14"/>
      <c r="P151" s="14"/>
      <c r="Q151" s="120"/>
      <c r="R151" s="28"/>
      <c r="S151" s="525"/>
      <c r="T151" s="14"/>
      <c r="U151" s="14"/>
      <c r="V151" s="381"/>
    </row>
    <row r="152" spans="1:22" ht="18" hidden="1" customHeight="1">
      <c r="A152" s="96"/>
      <c r="B152" s="14"/>
      <c r="C152" s="14"/>
      <c r="D152" s="14"/>
      <c r="E152" s="14"/>
      <c r="F152" s="14"/>
      <c r="G152" s="14"/>
      <c r="H152" s="14"/>
      <c r="I152" s="14"/>
      <c r="J152" s="14"/>
      <c r="K152" s="14"/>
      <c r="L152" s="14"/>
      <c r="M152" s="14"/>
      <c r="N152" s="14"/>
      <c r="O152" s="14"/>
      <c r="P152" s="14"/>
      <c r="Q152" s="120"/>
      <c r="R152" s="28"/>
      <c r="S152" s="525"/>
      <c r="T152" s="14"/>
      <c r="U152" s="14"/>
      <c r="V152" s="381"/>
    </row>
    <row r="153" spans="1:22" ht="18" hidden="1" customHeight="1">
      <c r="A153" s="96"/>
      <c r="B153" s="14"/>
      <c r="C153" s="14"/>
      <c r="D153" s="14"/>
      <c r="E153" s="14"/>
      <c r="F153" s="14"/>
      <c r="G153" s="14"/>
      <c r="H153" s="14"/>
      <c r="I153" s="14"/>
      <c r="J153" s="14"/>
      <c r="K153" s="14"/>
      <c r="L153" s="14"/>
      <c r="M153" s="14"/>
      <c r="N153" s="14"/>
      <c r="O153" s="14"/>
      <c r="P153" s="14"/>
      <c r="Q153" s="120"/>
      <c r="R153" s="28"/>
      <c r="S153" s="525"/>
      <c r="T153" s="14"/>
      <c r="U153" s="14"/>
      <c r="V153" s="381"/>
    </row>
    <row r="154" spans="1:22" ht="18" hidden="1" customHeight="1">
      <c r="A154" s="96"/>
      <c r="B154" s="14"/>
      <c r="C154" s="14"/>
      <c r="D154" s="14"/>
      <c r="E154" s="14"/>
      <c r="F154" s="14"/>
      <c r="G154" s="14"/>
      <c r="H154" s="14"/>
      <c r="I154" s="14"/>
      <c r="J154" s="14"/>
      <c r="K154" s="14"/>
      <c r="L154" s="14"/>
      <c r="M154" s="14"/>
      <c r="N154" s="14"/>
      <c r="O154" s="14"/>
      <c r="P154" s="14"/>
      <c r="Q154" s="120"/>
      <c r="R154" s="28"/>
      <c r="S154" s="525"/>
      <c r="T154" s="14"/>
      <c r="U154" s="14"/>
      <c r="V154" s="381"/>
    </row>
    <row r="155" spans="1:22" ht="18" hidden="1"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hidden="1"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hidden="1"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hidden="1"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hidden="1"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hidden="1"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2" ht="18" hidden="1"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2" ht="18" hidden="1"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2" ht="18" hidden="1"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2" ht="18" hidden="1"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2" ht="18" hidden="1" customHeight="1">
      <c r="A165" s="96"/>
      <c r="B165" s="14"/>
      <c r="C165" s="14"/>
      <c r="D165" s="14"/>
      <c r="E165" s="14"/>
      <c r="F165" s="14"/>
      <c r="G165" s="14"/>
      <c r="H165" s="14"/>
      <c r="I165" s="14"/>
      <c r="J165" s="14"/>
      <c r="K165" s="14"/>
      <c r="L165" s="14"/>
      <c r="M165" s="14"/>
      <c r="N165" s="14"/>
      <c r="O165" s="14"/>
      <c r="P165" s="14"/>
      <c r="Q165" s="120"/>
      <c r="R165" s="28"/>
      <c r="S165" s="525"/>
      <c r="T165" s="14"/>
      <c r="U165" s="14"/>
      <c r="V165" s="381"/>
    </row>
    <row r="166" spans="1:22" ht="18" hidden="1" customHeight="1">
      <c r="A166" s="96"/>
      <c r="B166" s="14"/>
      <c r="C166" s="14"/>
      <c r="D166" s="14"/>
      <c r="E166" s="14"/>
      <c r="F166" s="14"/>
      <c r="G166" s="14"/>
      <c r="H166" s="14"/>
      <c r="I166" s="14"/>
      <c r="J166" s="14"/>
      <c r="K166" s="14"/>
      <c r="L166" s="14"/>
      <c r="M166" s="14"/>
      <c r="N166" s="14"/>
      <c r="O166" s="14"/>
      <c r="P166" s="14"/>
      <c r="Q166" s="120"/>
      <c r="R166" s="28"/>
      <c r="S166" s="525"/>
      <c r="T166" s="14"/>
      <c r="U166" s="14"/>
      <c r="V166" s="381"/>
    </row>
    <row r="167" spans="1:22" ht="18" hidden="1" customHeight="1">
      <c r="A167" s="96"/>
      <c r="B167" s="14"/>
      <c r="C167" s="14"/>
      <c r="D167" s="14"/>
      <c r="E167" s="14"/>
      <c r="F167" s="14"/>
      <c r="G167" s="14"/>
      <c r="H167" s="14"/>
      <c r="I167" s="14"/>
      <c r="J167" s="14"/>
      <c r="K167" s="14"/>
      <c r="L167" s="14"/>
      <c r="M167" s="14"/>
      <c r="N167" s="14"/>
      <c r="O167" s="14"/>
      <c r="P167" s="14"/>
      <c r="Q167" s="120"/>
      <c r="R167" s="28"/>
      <c r="S167" s="525"/>
      <c r="T167" s="14"/>
      <c r="U167" s="14"/>
      <c r="V167" s="381"/>
    </row>
    <row r="168" spans="1:22" ht="18" hidden="1" customHeight="1">
      <c r="A168" s="96"/>
      <c r="B168" s="14"/>
      <c r="C168" s="14"/>
      <c r="D168" s="14"/>
      <c r="E168" s="14"/>
      <c r="F168" s="14"/>
      <c r="G168" s="14"/>
      <c r="H168" s="14"/>
      <c r="I168" s="14"/>
      <c r="J168" s="14"/>
      <c r="K168" s="14"/>
      <c r="L168" s="14"/>
      <c r="M168" s="14"/>
      <c r="N168" s="14"/>
      <c r="O168" s="14"/>
      <c r="P168" s="14"/>
      <c r="Q168" s="120"/>
      <c r="R168" s="28"/>
      <c r="S168" s="525"/>
      <c r="T168" s="14"/>
      <c r="U168" s="14"/>
      <c r="V168" s="381"/>
    </row>
    <row r="169" spans="1:22" ht="18" hidden="1" customHeight="1">
      <c r="A169" s="96"/>
      <c r="B169" s="14"/>
      <c r="C169" s="14"/>
      <c r="D169" s="14"/>
      <c r="E169" s="14"/>
      <c r="F169" s="14"/>
      <c r="G169" s="14"/>
      <c r="H169" s="14"/>
      <c r="I169" s="14"/>
      <c r="J169" s="14"/>
      <c r="K169" s="14"/>
      <c r="L169" s="14"/>
      <c r="M169" s="14"/>
      <c r="N169" s="14"/>
      <c r="O169" s="14"/>
      <c r="P169" s="14"/>
      <c r="Q169" s="120"/>
      <c r="R169" s="28"/>
      <c r="S169" s="525"/>
      <c r="T169" s="14"/>
      <c r="U169" s="14"/>
      <c r="V169" s="381"/>
    </row>
    <row r="170" spans="1:22" ht="18" hidden="1" customHeight="1">
      <c r="A170" s="96"/>
      <c r="B170" s="14"/>
      <c r="C170" s="14"/>
      <c r="D170" s="14"/>
      <c r="E170" s="14"/>
      <c r="F170" s="14"/>
      <c r="G170" s="14"/>
      <c r="H170" s="14"/>
      <c r="I170" s="14"/>
      <c r="J170" s="14"/>
      <c r="K170" s="14"/>
      <c r="L170" s="14"/>
      <c r="M170" s="14"/>
      <c r="N170" s="14"/>
      <c r="O170" s="14"/>
      <c r="P170" s="14"/>
      <c r="Q170" s="120"/>
      <c r="R170" s="28"/>
      <c r="S170" s="525"/>
      <c r="T170" s="14"/>
      <c r="U170" s="14"/>
      <c r="V170" s="381"/>
    </row>
    <row r="171" spans="1:22" ht="18" hidden="1" customHeight="1">
      <c r="A171" s="96"/>
      <c r="B171" s="14"/>
      <c r="C171" s="14"/>
      <c r="D171" s="14"/>
      <c r="E171" s="14"/>
      <c r="F171" s="14"/>
      <c r="G171" s="14"/>
      <c r="H171" s="14"/>
      <c r="I171" s="14"/>
      <c r="J171" s="14"/>
      <c r="K171" s="14"/>
      <c r="L171" s="14"/>
      <c r="M171" s="14"/>
      <c r="N171" s="14"/>
      <c r="O171" s="14"/>
      <c r="P171" s="14"/>
      <c r="Q171" s="120"/>
      <c r="R171" s="28"/>
      <c r="S171" s="525"/>
      <c r="T171" s="14"/>
      <c r="U171" s="14"/>
      <c r="V171" s="381"/>
    </row>
    <row r="172" spans="1:22" ht="18" hidden="1" customHeight="1">
      <c r="A172" s="96"/>
      <c r="B172" s="14"/>
      <c r="C172" s="14"/>
      <c r="D172" s="14"/>
      <c r="E172" s="14"/>
      <c r="F172" s="14"/>
      <c r="G172" s="14"/>
      <c r="H172" s="14"/>
      <c r="I172" s="14"/>
      <c r="J172" s="14"/>
      <c r="K172" s="14"/>
      <c r="L172" s="14"/>
      <c r="M172" s="14"/>
      <c r="N172" s="14"/>
      <c r="O172" s="14"/>
      <c r="P172" s="14"/>
      <c r="Q172" s="120"/>
      <c r="R172" s="28"/>
      <c r="S172" s="525"/>
      <c r="T172" s="14"/>
      <c r="U172" s="14"/>
      <c r="V172" s="381"/>
    </row>
    <row r="173" spans="1:22" ht="18" hidden="1" customHeight="1">
      <c r="A173" s="194"/>
      <c r="B173" s="195"/>
      <c r="C173" s="195"/>
      <c r="D173" s="195"/>
      <c r="E173" s="195"/>
      <c r="F173" s="195"/>
      <c r="G173" s="195"/>
      <c r="H173" s="195"/>
      <c r="I173" s="195"/>
      <c r="J173" s="195"/>
      <c r="K173" s="195"/>
      <c r="L173" s="195"/>
      <c r="M173" s="195"/>
      <c r="N173" s="195"/>
      <c r="O173" s="195"/>
      <c r="P173" s="195"/>
      <c r="Q173" s="224"/>
      <c r="R173" s="182"/>
      <c r="S173" s="225"/>
      <c r="T173" s="195"/>
      <c r="U173" s="195"/>
      <c r="V173" s="134" t="s">
        <v>552</v>
      </c>
    </row>
    <row r="174" spans="1:22" ht="18" hidden="1" customHeight="1">
      <c r="A174" s="226"/>
      <c r="B174" s="227"/>
      <c r="C174" s="227"/>
      <c r="D174" s="227"/>
      <c r="E174" s="227"/>
      <c r="F174" s="227"/>
      <c r="G174" s="227"/>
      <c r="H174" s="227"/>
      <c r="I174" s="227"/>
      <c r="J174" s="227"/>
      <c r="K174" s="227"/>
      <c r="L174" s="227"/>
      <c r="M174" s="227"/>
      <c r="N174" s="227"/>
      <c r="O174" s="227"/>
      <c r="P174" s="227"/>
      <c r="Q174" s="227"/>
      <c r="R174" s="227"/>
      <c r="S174" s="227"/>
      <c r="T174" s="227"/>
      <c r="U174" s="227"/>
      <c r="V174" s="228"/>
    </row>
    <row r="175" spans="1:22" ht="18" hidden="1" customHeight="1">
      <c r="A175" s="184"/>
      <c r="B175" s="854" t="str">
        <f>B87</f>
        <v>T1</v>
      </c>
      <c r="C175" s="831"/>
      <c r="D175" s="854" t="str">
        <f>D87</f>
        <v>Core5</v>
      </c>
      <c r="E175" s="831"/>
      <c r="F175" s="455"/>
      <c r="H175" s="684" t="s">
        <v>711</v>
      </c>
      <c r="I175" s="684"/>
      <c r="J175" s="684"/>
      <c r="K175" s="684"/>
      <c r="L175" s="684"/>
      <c r="M175" s="684"/>
      <c r="P175" s="186"/>
      <c r="S175" s="187" t="s">
        <v>387</v>
      </c>
      <c r="T175" s="854" t="str">
        <f>T87</f>
        <v>P743</v>
      </c>
      <c r="U175" s="831"/>
      <c r="V175" s="185"/>
    </row>
    <row r="176" spans="1:22" ht="18" hidden="1" customHeight="1">
      <c r="A176" s="456"/>
      <c r="F176" s="455"/>
      <c r="T176" s="854">
        <f>T88</f>
        <v>0</v>
      </c>
      <c r="U176" s="831"/>
      <c r="V176" s="185"/>
    </row>
    <row r="177" spans="1:23" ht="18" hidden="1" customHeight="1">
      <c r="A177" s="184"/>
      <c r="H177" s="708" t="s">
        <v>390</v>
      </c>
      <c r="I177" s="708"/>
      <c r="J177" s="708" t="s">
        <v>391</v>
      </c>
      <c r="K177" s="708"/>
      <c r="L177" s="789" t="s">
        <v>392</v>
      </c>
      <c r="M177" s="789"/>
      <c r="T177" s="854">
        <f>T89</f>
        <v>0</v>
      </c>
      <c r="U177" s="831"/>
      <c r="V177" s="185"/>
    </row>
    <row r="178" spans="1:23" ht="18" hidden="1" customHeight="1">
      <c r="A178" s="184"/>
      <c r="B178" s="47" t="s">
        <v>393</v>
      </c>
      <c r="H178" s="854">
        <f>H90</f>
        <v>2500</v>
      </c>
      <c r="I178" s="831"/>
      <c r="J178" s="854" t="str">
        <f>J90</f>
        <v>-</v>
      </c>
      <c r="K178" s="831"/>
      <c r="L178" s="863" t="str">
        <f>L90</f>
        <v>-</v>
      </c>
      <c r="M178" s="864"/>
      <c r="N178" s="191" t="s">
        <v>342</v>
      </c>
      <c r="O178" s="256">
        <f>O90</f>
        <v>1</v>
      </c>
      <c r="P178" s="27" t="s">
        <v>8</v>
      </c>
      <c r="R178" s="255"/>
      <c r="S178" s="255"/>
      <c r="V178" s="185"/>
    </row>
    <row r="179" spans="1:23" ht="18" hidden="1" customHeight="1">
      <c r="A179" s="184"/>
      <c r="B179" s="47" t="s">
        <v>394</v>
      </c>
      <c r="L179" s="854" t="str">
        <f>J91</f>
        <v>PX-B</v>
      </c>
      <c r="M179" s="831"/>
      <c r="V179" s="185"/>
    </row>
    <row r="180" spans="1:23" ht="18" hidden="1" customHeight="1">
      <c r="A180" s="184"/>
      <c r="B180" s="47" t="s">
        <v>396</v>
      </c>
      <c r="K180" s="120" t="s">
        <v>497</v>
      </c>
      <c r="L180" s="1224"/>
      <c r="M180" s="1225"/>
      <c r="N180" s="192" t="s">
        <v>333</v>
      </c>
      <c r="V180" s="185"/>
    </row>
    <row r="181" spans="1:23" ht="18" hidden="1" customHeight="1">
      <c r="A181" s="184"/>
      <c r="B181" s="47" t="s">
        <v>398</v>
      </c>
      <c r="K181" s="120" t="s">
        <v>498</v>
      </c>
      <c r="L181" s="1075"/>
      <c r="M181" s="1076"/>
      <c r="N181" s="14" t="s">
        <v>305</v>
      </c>
      <c r="U181" s="18"/>
      <c r="V181" s="185"/>
      <c r="W181" s="30" t="e">
        <f>H230</f>
        <v>#VALUE!</v>
      </c>
    </row>
    <row r="182" spans="1:23" ht="18" hidden="1" customHeight="1">
      <c r="A182" s="184"/>
      <c r="B182" s="14" t="s">
        <v>401</v>
      </c>
      <c r="K182" s="120" t="s">
        <v>402</v>
      </c>
      <c r="L182" s="1075"/>
      <c r="M182" s="1076"/>
      <c r="N182" s="14" t="s">
        <v>403</v>
      </c>
      <c r="V182" s="185"/>
    </row>
    <row r="183" spans="1:23" ht="18" hidden="1" customHeight="1">
      <c r="A183" s="184"/>
      <c r="V183" s="185"/>
    </row>
    <row r="184" spans="1:23" ht="18" hidden="1" customHeight="1">
      <c r="A184" s="193" t="s">
        <v>404</v>
      </c>
      <c r="V184" s="185"/>
    </row>
    <row r="185" spans="1:23" ht="18" hidden="1" customHeight="1">
      <c r="A185" s="184"/>
      <c r="V185" s="185"/>
    </row>
    <row r="186" spans="1:23" ht="18" hidden="1" customHeight="1">
      <c r="A186" s="184"/>
      <c r="B186" s="135" t="s">
        <v>405</v>
      </c>
      <c r="C186" s="273"/>
      <c r="D186" s="139" t="str">
        <f>T175</f>
        <v>P743</v>
      </c>
      <c r="E186" s="227"/>
      <c r="F186" s="227"/>
      <c r="G186" s="227"/>
      <c r="H186" s="138"/>
      <c r="I186" s="260" t="s">
        <v>127</v>
      </c>
      <c r="J186" s="696">
        <f>J98</f>
        <v>0.1</v>
      </c>
      <c r="K186" s="722"/>
      <c r="L186" s="3" t="s">
        <v>157</v>
      </c>
      <c r="N186" s="197"/>
      <c r="V186" s="185"/>
    </row>
    <row r="187" spans="1:23" ht="18" hidden="1" customHeight="1">
      <c r="A187" s="184"/>
      <c r="B187" s="96" t="s">
        <v>405</v>
      </c>
      <c r="C187" s="14"/>
      <c r="D187" s="47">
        <f>T176</f>
        <v>0</v>
      </c>
      <c r="E187" s="14"/>
      <c r="G187" s="199"/>
      <c r="H187" s="27"/>
      <c r="I187" s="101" t="s">
        <v>127</v>
      </c>
      <c r="J187" s="696">
        <f>J99</f>
        <v>0</v>
      </c>
      <c r="K187" s="722"/>
      <c r="L187" s="202" t="s">
        <v>157</v>
      </c>
      <c r="N187" s="28"/>
      <c r="O187" s="27"/>
      <c r="P187" s="28"/>
      <c r="Q187" s="102"/>
      <c r="R187" s="28"/>
      <c r="S187" s="27"/>
      <c r="T187" s="28"/>
      <c r="V187" s="185"/>
    </row>
    <row r="188" spans="1:23" ht="18" hidden="1" customHeight="1">
      <c r="A188" s="184"/>
      <c r="B188" s="96" t="s">
        <v>405</v>
      </c>
      <c r="C188" s="14"/>
      <c r="D188" s="47">
        <f>T177</f>
        <v>0</v>
      </c>
      <c r="E188" s="14"/>
      <c r="G188" s="199"/>
      <c r="H188" s="27"/>
      <c r="I188" s="101" t="s">
        <v>127</v>
      </c>
      <c r="J188" s="696">
        <f>J100</f>
        <v>0</v>
      </c>
      <c r="K188" s="722"/>
      <c r="L188" s="202" t="s">
        <v>157</v>
      </c>
      <c r="N188" s="27"/>
      <c r="O188" s="27"/>
      <c r="P188" s="27"/>
      <c r="Q188" s="102"/>
      <c r="R188" s="27"/>
      <c r="S188" s="27"/>
      <c r="T188" s="27"/>
      <c r="V188" s="185"/>
    </row>
    <row r="189" spans="1:23" ht="18" hidden="1" customHeight="1">
      <c r="A189" s="184"/>
      <c r="B189" s="184" t="s">
        <v>412</v>
      </c>
      <c r="C189" s="14"/>
      <c r="D189" s="14"/>
      <c r="E189" s="14"/>
      <c r="H189" s="27"/>
      <c r="I189" s="101" t="s">
        <v>127</v>
      </c>
      <c r="J189" s="696">
        <f>J101</f>
        <v>1.0770224400000001</v>
      </c>
      <c r="K189" s="722"/>
      <c r="L189" s="297" t="s">
        <v>157</v>
      </c>
      <c r="N189" s="27"/>
      <c r="O189" s="27"/>
      <c r="P189" s="204"/>
      <c r="R189" s="192"/>
      <c r="S189" s="27"/>
      <c r="T189" s="27"/>
      <c r="V189" s="185"/>
    </row>
    <row r="190" spans="1:23" ht="18" hidden="1" customHeight="1">
      <c r="A190" s="184"/>
      <c r="B190" s="1" t="s">
        <v>413</v>
      </c>
      <c r="C190" s="2"/>
      <c r="D190" s="2"/>
      <c r="E190" s="2"/>
      <c r="F190" s="196"/>
      <c r="G190" s="196"/>
      <c r="H190" s="224" t="s">
        <v>512</v>
      </c>
      <c r="I190" s="183" t="s">
        <v>127</v>
      </c>
      <c r="J190" s="722">
        <f>SUM(J186:J189)</f>
        <v>1.1770224400000002</v>
      </c>
      <c r="K190" s="958"/>
      <c r="L190" s="3" t="s">
        <v>157</v>
      </c>
      <c r="V190" s="185"/>
    </row>
    <row r="191" spans="1:23" ht="18" hidden="1" customHeight="1">
      <c r="A191" s="184"/>
      <c r="B191" s="47"/>
      <c r="C191" s="47"/>
      <c r="D191" s="47"/>
      <c r="E191" s="47"/>
      <c r="H191" s="27"/>
      <c r="I191" s="28"/>
      <c r="J191" s="199"/>
      <c r="L191" s="47"/>
      <c r="O191" s="27"/>
      <c r="P191" s="211"/>
      <c r="Q191" s="27"/>
      <c r="R191" s="204"/>
      <c r="S191" s="27"/>
      <c r="V191" s="185"/>
    </row>
    <row r="192" spans="1:23" ht="18" hidden="1" customHeight="1">
      <c r="A192" s="168"/>
      <c r="B192" s="5"/>
      <c r="C192" s="47" t="s">
        <v>817</v>
      </c>
      <c r="D192" s="14"/>
      <c r="E192" s="14"/>
      <c r="F192" s="14"/>
      <c r="G192" s="14"/>
      <c r="H192" s="279"/>
      <c r="I192" s="120"/>
      <c r="J192" s="279"/>
      <c r="K192" s="279"/>
      <c r="L192" s="14"/>
      <c r="M192" s="14"/>
      <c r="N192" s="14"/>
      <c r="O192" s="14"/>
      <c r="P192" s="14"/>
      <c r="Q192" s="120" t="s">
        <v>818</v>
      </c>
      <c r="R192" s="102" t="s">
        <v>127</v>
      </c>
      <c r="S192" s="854">
        <f>S104</f>
        <v>50000</v>
      </c>
      <c r="T192" s="831"/>
      <c r="U192" s="47" t="s">
        <v>8</v>
      </c>
      <c r="V192" s="185"/>
    </row>
    <row r="193" spans="1:22" ht="18" hidden="1" customHeight="1">
      <c r="A193" s="168"/>
      <c r="B193" s="5"/>
      <c r="C193" s="47" t="s">
        <v>654</v>
      </c>
      <c r="D193" s="14"/>
      <c r="E193" s="14"/>
      <c r="F193" s="18"/>
      <c r="G193" s="18"/>
      <c r="H193" s="279"/>
      <c r="I193" s="120"/>
      <c r="J193" s="279"/>
      <c r="K193" s="279"/>
      <c r="L193" s="14"/>
      <c r="M193" s="14"/>
      <c r="N193" s="14"/>
      <c r="O193" s="14"/>
      <c r="P193" s="14"/>
      <c r="Q193" s="120" t="s">
        <v>423</v>
      </c>
      <c r="R193" s="102" t="s">
        <v>127</v>
      </c>
      <c r="S193" s="689" t="str">
        <f>L178</f>
        <v>-</v>
      </c>
      <c r="T193" s="689"/>
      <c r="U193" s="14" t="s">
        <v>8</v>
      </c>
      <c r="V193" s="185"/>
    </row>
    <row r="194" spans="1:22" ht="18" hidden="1" customHeight="1">
      <c r="A194" s="168"/>
      <c r="B194" s="5"/>
      <c r="C194" s="47" t="s">
        <v>819</v>
      </c>
      <c r="E194" s="14"/>
      <c r="F194" s="18"/>
      <c r="G194" s="18"/>
      <c r="H194" s="279"/>
      <c r="I194" s="120"/>
      <c r="J194" s="279"/>
      <c r="K194" s="279"/>
      <c r="L194" s="14"/>
      <c r="M194" s="14"/>
      <c r="N194" s="14"/>
      <c r="O194" s="14"/>
      <c r="P194" s="14"/>
      <c r="Q194" s="120" t="s">
        <v>820</v>
      </c>
      <c r="R194" s="28" t="s">
        <v>127</v>
      </c>
      <c r="S194" s="692" t="e">
        <f>S192/S193*O178</f>
        <v>#VALUE!</v>
      </c>
      <c r="T194" s="692"/>
      <c r="U194" s="14" t="s">
        <v>8</v>
      </c>
      <c r="V194" s="185"/>
    </row>
    <row r="195" spans="1:22" ht="18" hidden="1" customHeight="1">
      <c r="A195" s="168"/>
      <c r="B195" s="5"/>
      <c r="C195" s="47" t="s">
        <v>821</v>
      </c>
      <c r="D195" s="14"/>
      <c r="E195" s="14"/>
      <c r="F195" s="18"/>
      <c r="G195" s="18"/>
      <c r="H195" s="279"/>
      <c r="I195" s="120"/>
      <c r="J195" s="279"/>
      <c r="K195" s="279"/>
      <c r="L195" s="14"/>
      <c r="M195" s="14"/>
      <c r="N195" s="14"/>
      <c r="O195" s="14"/>
      <c r="P195" s="14"/>
      <c r="Q195" s="120" t="s">
        <v>689</v>
      </c>
      <c r="R195" s="28" t="s">
        <v>127</v>
      </c>
      <c r="S195" s="692">
        <f>J190/O178*O178</f>
        <v>1.1770224400000002</v>
      </c>
      <c r="T195" s="692"/>
      <c r="U195" s="192" t="s">
        <v>333</v>
      </c>
      <c r="V195" s="185"/>
    </row>
    <row r="196" spans="1:22" ht="18" hidden="1" customHeight="1">
      <c r="A196" s="168"/>
      <c r="B196" s="5"/>
      <c r="C196" s="47" t="s">
        <v>822</v>
      </c>
      <c r="Q196" s="120" t="s">
        <v>823</v>
      </c>
      <c r="R196" s="28" t="s">
        <v>127</v>
      </c>
      <c r="S196" s="854">
        <f>S108</f>
        <v>50000</v>
      </c>
      <c r="T196" s="831"/>
      <c r="U196" s="14" t="s">
        <v>8</v>
      </c>
      <c r="V196" s="185"/>
    </row>
    <row r="197" spans="1:22" ht="18" hidden="1" customHeight="1">
      <c r="A197" s="299"/>
      <c r="B197" s="279"/>
      <c r="C197" s="47" t="s">
        <v>824</v>
      </c>
      <c r="Q197" s="244" t="s">
        <v>825</v>
      </c>
      <c r="R197" s="28" t="s">
        <v>127</v>
      </c>
      <c r="S197" s="795" t="e">
        <f>S196/S193</f>
        <v>#VALUE!</v>
      </c>
      <c r="T197" s="795"/>
      <c r="U197" s="14" t="s">
        <v>8</v>
      </c>
      <c r="V197" s="300"/>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85"/>
    </row>
    <row r="199" spans="1:22" ht="18" hidden="1" customHeight="1">
      <c r="A199" s="193" t="s">
        <v>755</v>
      </c>
      <c r="B199" s="14"/>
      <c r="C199" s="14"/>
      <c r="D199" s="14"/>
      <c r="E199" s="14"/>
      <c r="F199" s="14"/>
      <c r="G199" s="14"/>
      <c r="H199" s="14"/>
      <c r="K199" s="14"/>
      <c r="T199" s="14"/>
      <c r="U199" s="14"/>
      <c r="V199" s="185"/>
    </row>
    <row r="200" spans="1:22" ht="18" hidden="1" customHeight="1">
      <c r="A200" s="96"/>
      <c r="B200" s="14"/>
      <c r="C200" s="14"/>
      <c r="D200" s="14"/>
      <c r="E200" s="14"/>
      <c r="F200" s="14"/>
      <c r="G200" s="14"/>
      <c r="H200" s="14"/>
      <c r="K200" s="14"/>
      <c r="T200" s="14"/>
      <c r="U200" s="14"/>
      <c r="V200" s="185"/>
    </row>
    <row r="201" spans="1:22" ht="18" hidden="1" customHeight="1">
      <c r="A201" s="193" t="s">
        <v>826</v>
      </c>
      <c r="H201" s="28"/>
      <c r="I201" s="28"/>
      <c r="J201" s="28"/>
      <c r="K201" s="28"/>
      <c r="T201" s="14"/>
      <c r="U201" s="14"/>
      <c r="V201" s="185"/>
    </row>
    <row r="202" spans="1:22" ht="18" hidden="1" customHeight="1">
      <c r="A202" s="193"/>
      <c r="H202" s="28"/>
      <c r="I202" s="28"/>
      <c r="J202" s="28"/>
      <c r="K202" s="28"/>
      <c r="T202" s="14"/>
      <c r="U202" s="14"/>
      <c r="V202" s="185"/>
    </row>
    <row r="203" spans="1:22" ht="18" hidden="1" customHeight="1">
      <c r="A203" s="184"/>
      <c r="B203" s="689" t="s">
        <v>473</v>
      </c>
      <c r="C203" s="689"/>
      <c r="D203" s="28" t="s">
        <v>827</v>
      </c>
      <c r="E203" s="28">
        <v>0.5</v>
      </c>
      <c r="F203" s="28" t="s">
        <v>315</v>
      </c>
      <c r="G203" s="689" t="s">
        <v>820</v>
      </c>
      <c r="H203" s="689"/>
      <c r="I203" s="28" t="s">
        <v>672</v>
      </c>
      <c r="J203" s="689" t="s">
        <v>420</v>
      </c>
      <c r="K203" s="689"/>
      <c r="L203" s="28" t="s">
        <v>347</v>
      </c>
      <c r="M203" s="689" t="s">
        <v>689</v>
      </c>
      <c r="N203" s="689"/>
      <c r="O203" s="14" t="s">
        <v>350</v>
      </c>
      <c r="P203" s="14"/>
      <c r="Q203" s="14"/>
      <c r="R203" s="14"/>
      <c r="T203" s="14"/>
      <c r="U203" s="14"/>
      <c r="V203" s="185"/>
    </row>
    <row r="204" spans="1:22" ht="18" hidden="1" customHeight="1">
      <c r="A204" s="184"/>
      <c r="B204" s="14"/>
      <c r="C204" s="14"/>
      <c r="D204" s="102" t="s">
        <v>127</v>
      </c>
      <c r="E204" s="28">
        <v>0.5</v>
      </c>
      <c r="F204" s="28" t="s">
        <v>315</v>
      </c>
      <c r="G204" s="692" t="e">
        <f>S194</f>
        <v>#VALUE!</v>
      </c>
      <c r="H204" s="689"/>
      <c r="I204" s="28" t="s">
        <v>672</v>
      </c>
      <c r="J204" s="689">
        <f>L180</f>
        <v>0</v>
      </c>
      <c r="K204" s="689"/>
      <c r="L204" s="28" t="s">
        <v>347</v>
      </c>
      <c r="M204" s="692">
        <f>S195</f>
        <v>1.1770224400000002</v>
      </c>
      <c r="N204" s="689"/>
      <c r="O204" s="14" t="s">
        <v>350</v>
      </c>
      <c r="S204" s="14"/>
      <c r="T204" s="14"/>
      <c r="U204" s="14"/>
      <c r="V204" s="185"/>
    </row>
    <row r="205" spans="1:22" ht="18" hidden="1" customHeight="1">
      <c r="A205" s="184"/>
      <c r="B205" s="14"/>
      <c r="C205" s="14"/>
      <c r="D205" s="102" t="s">
        <v>127</v>
      </c>
      <c r="E205" s="692" t="e">
        <f>E204*G204*(J204+M204)</f>
        <v>#VALUE!</v>
      </c>
      <c r="F205" s="692"/>
      <c r="G205" s="211"/>
      <c r="H205" s="218"/>
      <c r="I205" s="14"/>
      <c r="J205" s="14"/>
      <c r="K205" s="14"/>
      <c r="L205" s="14"/>
      <c r="M205" s="14"/>
      <c r="N205" s="14"/>
      <c r="O205" s="14"/>
      <c r="P205" s="14"/>
      <c r="Q205" s="14"/>
      <c r="R205" s="14"/>
      <c r="V205" s="185"/>
    </row>
    <row r="206" spans="1:22" ht="18" hidden="1" customHeight="1">
      <c r="A206" s="184"/>
      <c r="B206" s="14"/>
      <c r="C206" s="14"/>
      <c r="D206" s="28"/>
      <c r="E206" s="218"/>
      <c r="F206" s="218"/>
      <c r="G206" s="211"/>
      <c r="H206" s="218"/>
      <c r="I206" s="14"/>
      <c r="J206" s="14"/>
      <c r="K206" s="14"/>
      <c r="L206" s="14"/>
      <c r="M206" s="14"/>
      <c r="N206" s="14"/>
      <c r="O206" s="14"/>
      <c r="P206" s="14"/>
      <c r="Q206" s="14"/>
      <c r="R206" s="14"/>
      <c r="V206" s="185"/>
    </row>
    <row r="207" spans="1:22" ht="18" hidden="1" customHeight="1">
      <c r="A207" s="193" t="s">
        <v>828</v>
      </c>
      <c r="B207" s="14"/>
      <c r="C207" s="14"/>
      <c r="D207" s="28"/>
      <c r="E207" s="218"/>
      <c r="F207" s="218"/>
      <c r="G207" s="211"/>
      <c r="H207" s="218"/>
      <c r="I207" s="14"/>
      <c r="J207" s="14"/>
      <c r="K207" s="14"/>
      <c r="L207" s="14"/>
      <c r="M207" s="14"/>
      <c r="N207" s="14"/>
      <c r="O207" s="14"/>
      <c r="P207" s="14"/>
      <c r="Q207" s="14"/>
      <c r="R207" s="14"/>
      <c r="V207" s="185"/>
    </row>
    <row r="208" spans="1:22" ht="18" hidden="1" customHeight="1">
      <c r="A208" s="184"/>
      <c r="B208" s="14"/>
      <c r="C208" s="14"/>
      <c r="D208" s="28"/>
      <c r="E208" s="218"/>
      <c r="F208" s="218"/>
      <c r="G208" s="211"/>
      <c r="H208" s="218"/>
      <c r="I208" s="14"/>
      <c r="J208" s="14"/>
      <c r="K208" s="14"/>
      <c r="L208" s="14"/>
      <c r="M208" s="14"/>
      <c r="N208" s="14"/>
      <c r="O208" s="14"/>
      <c r="P208" s="14"/>
      <c r="Q208" s="14"/>
      <c r="R208" s="14"/>
      <c r="V208" s="185"/>
    </row>
    <row r="209" spans="1:22" ht="18" hidden="1" customHeight="1">
      <c r="A209" s="184"/>
      <c r="B209" s="689" t="s">
        <v>473</v>
      </c>
      <c r="C209" s="689"/>
      <c r="D209" s="28" t="s">
        <v>827</v>
      </c>
      <c r="E209" s="689" t="s">
        <v>825</v>
      </c>
      <c r="F209" s="689"/>
      <c r="G209" s="28" t="s">
        <v>672</v>
      </c>
      <c r="H209" s="689" t="s">
        <v>420</v>
      </c>
      <c r="I209" s="689"/>
      <c r="J209" s="28" t="s">
        <v>347</v>
      </c>
      <c r="K209" s="689" t="s">
        <v>689</v>
      </c>
      <c r="L209" s="689"/>
      <c r="M209" s="14" t="s">
        <v>350</v>
      </c>
      <c r="P209" s="14"/>
      <c r="Q209" s="14"/>
      <c r="R209" s="14"/>
      <c r="V209" s="185"/>
    </row>
    <row r="210" spans="1:22" ht="18" hidden="1" customHeight="1">
      <c r="A210" s="184"/>
      <c r="B210" s="14"/>
      <c r="C210" s="14"/>
      <c r="D210" s="102" t="s">
        <v>127</v>
      </c>
      <c r="E210" s="692" t="e">
        <f>S197</f>
        <v>#VALUE!</v>
      </c>
      <c r="F210" s="689"/>
      <c r="G210" s="28" t="s">
        <v>672</v>
      </c>
      <c r="H210" s="689">
        <f>L180</f>
        <v>0</v>
      </c>
      <c r="I210" s="689"/>
      <c r="J210" s="28" t="s">
        <v>347</v>
      </c>
      <c r="K210" s="692">
        <f>S195</f>
        <v>1.1770224400000002</v>
      </c>
      <c r="L210" s="689"/>
      <c r="M210" s="14" t="s">
        <v>350</v>
      </c>
      <c r="N210" s="14"/>
      <c r="O210" s="14"/>
      <c r="P210" s="14"/>
      <c r="Q210" s="14"/>
      <c r="R210" s="14"/>
      <c r="V210" s="185"/>
    </row>
    <row r="211" spans="1:22" ht="18" hidden="1" customHeight="1">
      <c r="A211" s="184"/>
      <c r="B211" s="14"/>
      <c r="C211" s="14"/>
      <c r="D211" s="102" t="s">
        <v>127</v>
      </c>
      <c r="E211" s="692" t="e">
        <f>E210*(H210+K210)</f>
        <v>#VALUE!</v>
      </c>
      <c r="F211" s="692"/>
      <c r="G211" s="211"/>
      <c r="H211" s="218"/>
      <c r="I211" s="14"/>
      <c r="J211" s="14"/>
      <c r="K211" s="14"/>
      <c r="L211" s="14"/>
      <c r="M211" s="14"/>
      <c r="N211" s="14"/>
      <c r="O211" s="14"/>
      <c r="P211" s="14"/>
      <c r="Q211" s="14"/>
      <c r="R211" s="14"/>
      <c r="V211" s="185"/>
    </row>
    <row r="212" spans="1:22" ht="18" hidden="1" customHeight="1">
      <c r="A212" s="184"/>
      <c r="B212" s="14"/>
      <c r="C212" s="14"/>
      <c r="D212" s="102"/>
      <c r="E212" s="218"/>
      <c r="F212" s="218"/>
      <c r="G212" s="211"/>
      <c r="H212" s="218"/>
      <c r="I212" s="14"/>
      <c r="J212" s="14"/>
      <c r="K212" s="14"/>
      <c r="L212" s="14"/>
      <c r="M212" s="14"/>
      <c r="N212" s="14"/>
      <c r="O212" s="14"/>
      <c r="P212" s="14"/>
      <c r="Q212" s="14"/>
      <c r="R212" s="14"/>
      <c r="V212" s="185"/>
    </row>
    <row r="213" spans="1:22" ht="18" hidden="1" customHeight="1">
      <c r="A213" s="184"/>
      <c r="B213" s="14"/>
      <c r="C213" s="14"/>
      <c r="D213" s="102"/>
      <c r="E213" s="218"/>
      <c r="F213" s="218"/>
      <c r="G213" s="211"/>
      <c r="H213" s="218"/>
      <c r="I213" s="14"/>
      <c r="J213" s="14"/>
      <c r="K213" s="14"/>
      <c r="L213" s="14"/>
      <c r="M213" s="14"/>
      <c r="N213" s="14"/>
      <c r="O213" s="14"/>
      <c r="P213" s="14"/>
      <c r="Q213" s="14"/>
      <c r="R213" s="14"/>
      <c r="V213" s="185"/>
    </row>
    <row r="214" spans="1:22" ht="18" hidden="1" customHeight="1">
      <c r="A214" s="184"/>
      <c r="B214" s="14"/>
      <c r="C214" s="14"/>
      <c r="D214" s="102"/>
      <c r="E214" s="218"/>
      <c r="F214" s="218"/>
      <c r="G214" s="211"/>
      <c r="H214" s="218"/>
      <c r="I214" s="14"/>
      <c r="J214" s="14"/>
      <c r="K214" s="14"/>
      <c r="L214" s="14"/>
      <c r="M214" s="14"/>
      <c r="N214" s="14"/>
      <c r="O214" s="14"/>
      <c r="P214" s="14"/>
      <c r="Q214" s="14"/>
      <c r="R214" s="14"/>
      <c r="V214" s="185"/>
    </row>
    <row r="215" spans="1:22" ht="18" hidden="1" customHeight="1">
      <c r="A215" s="184"/>
      <c r="G215" s="211"/>
      <c r="H215" s="218"/>
      <c r="J215" s="28"/>
      <c r="K215" s="28"/>
      <c r="L215" s="28"/>
      <c r="M215" s="28"/>
      <c r="N215" s="28"/>
      <c r="O215" s="28"/>
      <c r="P215" s="28"/>
      <c r="Q215" s="28"/>
      <c r="R215" s="28"/>
      <c r="V215" s="185"/>
    </row>
    <row r="216" spans="1:22" ht="18" hidden="1" customHeight="1">
      <c r="A216" s="184"/>
      <c r="V216" s="185"/>
    </row>
    <row r="217" spans="1:22" ht="18" hidden="1" customHeight="1">
      <c r="A217" s="194"/>
      <c r="B217" s="195"/>
      <c r="C217" s="195"/>
      <c r="D217" s="195"/>
      <c r="E217" s="195"/>
      <c r="F217" s="195"/>
      <c r="G217" s="195"/>
      <c r="H217" s="195"/>
      <c r="I217" s="195"/>
      <c r="J217" s="195"/>
      <c r="K217" s="195"/>
      <c r="L217" s="195"/>
      <c r="M217" s="195"/>
      <c r="N217" s="195"/>
      <c r="O217" s="195"/>
      <c r="P217" s="195"/>
      <c r="Q217" s="224"/>
      <c r="R217" s="182"/>
      <c r="S217" s="225"/>
      <c r="T217" s="195"/>
      <c r="U217" s="195"/>
      <c r="V217" s="134" t="s">
        <v>552</v>
      </c>
    </row>
    <row r="218" spans="1:22" ht="18" hidden="1" customHeight="1">
      <c r="A218" s="135"/>
      <c r="B218" s="273"/>
      <c r="C218" s="273"/>
      <c r="D218" s="273"/>
      <c r="E218" s="273"/>
      <c r="F218" s="273"/>
      <c r="G218" s="273"/>
      <c r="H218" s="273"/>
      <c r="I218" s="273"/>
      <c r="J218" s="273"/>
      <c r="K218" s="273"/>
      <c r="L218" s="273"/>
      <c r="M218" s="273"/>
      <c r="N218" s="273"/>
      <c r="O218" s="273"/>
      <c r="P218" s="273"/>
      <c r="Q218" s="274"/>
      <c r="R218" s="138"/>
      <c r="S218" s="275"/>
      <c r="T218" s="273"/>
      <c r="U218" s="273"/>
      <c r="V218" s="276"/>
    </row>
    <row r="219" spans="1:22" ht="18" hidden="1" customHeight="1">
      <c r="A219" s="193" t="s">
        <v>829</v>
      </c>
      <c r="B219" s="197"/>
      <c r="C219" s="197"/>
      <c r="D219" s="197"/>
      <c r="E219" s="14"/>
      <c r="F219" s="14"/>
      <c r="G219" s="14"/>
      <c r="H219" s="14"/>
      <c r="I219" s="14"/>
      <c r="J219" s="14"/>
      <c r="K219" s="14"/>
      <c r="L219" s="14"/>
      <c r="M219" s="14"/>
      <c r="N219" s="14"/>
      <c r="O219" s="14"/>
      <c r="P219" s="27"/>
      <c r="Q219" s="28"/>
      <c r="T219" s="14"/>
      <c r="U219" s="14"/>
      <c r="V219" s="185"/>
    </row>
    <row r="220" spans="1:22" ht="18" hidden="1" customHeight="1">
      <c r="A220" s="193"/>
      <c r="B220" s="197"/>
      <c r="C220" s="197"/>
      <c r="D220" s="197"/>
      <c r="E220" s="14"/>
      <c r="F220" s="14"/>
      <c r="G220" s="14"/>
      <c r="H220" s="14"/>
      <c r="I220" s="14"/>
      <c r="J220" s="14"/>
      <c r="K220" s="14"/>
      <c r="L220" s="14"/>
      <c r="M220" s="14"/>
      <c r="N220" s="14"/>
      <c r="O220" s="14"/>
      <c r="P220" s="27"/>
      <c r="Q220" s="28"/>
      <c r="T220" s="14"/>
      <c r="U220" s="14"/>
      <c r="V220" s="185"/>
    </row>
    <row r="221" spans="1:22" ht="18" hidden="1" customHeight="1">
      <c r="A221" s="96"/>
      <c r="B221" s="197" t="s">
        <v>826</v>
      </c>
      <c r="C221" s="197"/>
      <c r="D221" s="14"/>
      <c r="E221" s="14"/>
      <c r="F221" s="14"/>
      <c r="G221" s="14"/>
      <c r="H221" s="14"/>
      <c r="I221" s="14"/>
      <c r="J221" s="14"/>
      <c r="K221" s="14"/>
      <c r="L221" s="14"/>
      <c r="M221" s="14"/>
      <c r="N221" s="14"/>
      <c r="O221" s="14"/>
      <c r="P221" s="14"/>
      <c r="Q221" s="14"/>
      <c r="R221" s="14"/>
      <c r="S221" s="14"/>
      <c r="T221" s="14"/>
      <c r="U221" s="14"/>
      <c r="V221" s="185"/>
    </row>
    <row r="222" spans="1:22" ht="18" hidden="1" customHeight="1">
      <c r="A222" s="96"/>
      <c r="B222" s="14"/>
      <c r="C222" s="14"/>
      <c r="D222" s="14"/>
      <c r="E222" s="14"/>
      <c r="F222" s="244" t="s">
        <v>475</v>
      </c>
      <c r="G222" s="28" t="e">
        <f>IF(E223&gt;H223, "&gt;","&lt;")</f>
        <v>#VALUE!</v>
      </c>
      <c r="H222" s="14" t="s">
        <v>477</v>
      </c>
      <c r="I222" s="14"/>
      <c r="J222" s="14"/>
      <c r="K222" s="14"/>
      <c r="L222" s="14" t="s">
        <v>830</v>
      </c>
      <c r="M222" s="14"/>
      <c r="N222" s="14"/>
      <c r="O222" s="14"/>
      <c r="P222" s="14"/>
      <c r="Q222" s="14"/>
      <c r="R222" s="14"/>
      <c r="S222" s="14"/>
      <c r="T222" s="14"/>
      <c r="U222" s="14"/>
      <c r="V222" s="185"/>
    </row>
    <row r="223" spans="1:22" ht="18" hidden="1" customHeight="1">
      <c r="A223" s="96"/>
      <c r="B223" s="14"/>
      <c r="C223" s="14"/>
      <c r="D223" s="14"/>
      <c r="E223" s="834">
        <f>L181</f>
        <v>0</v>
      </c>
      <c r="F223" s="834"/>
      <c r="G223" s="28" t="e">
        <f>G222</f>
        <v>#VALUE!</v>
      </c>
      <c r="H223" s="692" t="e">
        <f>E205</f>
        <v>#VALUE!</v>
      </c>
      <c r="I223" s="692"/>
      <c r="J223" s="14"/>
      <c r="K223" s="14"/>
      <c r="L223" s="14"/>
      <c r="M223" s="14"/>
      <c r="N223" s="14"/>
      <c r="O223" s="14"/>
      <c r="P223" s="14"/>
      <c r="Q223" s="14"/>
      <c r="R223" s="14"/>
      <c r="S223" s="14"/>
      <c r="T223" s="14"/>
      <c r="U223" s="14"/>
      <c r="V223" s="185"/>
    </row>
    <row r="224" spans="1:22" ht="18" hidden="1" customHeight="1">
      <c r="A224" s="184"/>
      <c r="D224" s="211"/>
      <c r="E224" s="218"/>
      <c r="F224" s="199" t="s">
        <v>831</v>
      </c>
      <c r="G224" s="211"/>
      <c r="H224" s="281" t="s">
        <v>832</v>
      </c>
      <c r="J224" s="28" t="s">
        <v>833</v>
      </c>
      <c r="K224" s="18" t="e">
        <f>IF(G223="&gt;", "Satisfied", "Not Satisfied")</f>
        <v>#VALUE!</v>
      </c>
      <c r="P224" s="14"/>
      <c r="Q224" s="14"/>
      <c r="R224" s="14"/>
      <c r="S224" s="14"/>
      <c r="T224" s="14"/>
      <c r="U224" s="14"/>
      <c r="V224" s="185"/>
    </row>
    <row r="225" spans="1:22" ht="18" hidden="1" customHeight="1">
      <c r="A225" s="96"/>
      <c r="B225" s="197" t="s">
        <v>828</v>
      </c>
      <c r="C225" s="197"/>
      <c r="D225" s="14"/>
      <c r="E225" s="14"/>
      <c r="F225" s="14"/>
      <c r="G225" s="14"/>
      <c r="H225" s="14"/>
      <c r="I225" s="14"/>
      <c r="J225" s="14"/>
      <c r="K225" s="14"/>
      <c r="L225" s="14"/>
      <c r="M225" s="14"/>
      <c r="N225" s="14"/>
      <c r="O225" s="14"/>
      <c r="P225" s="120"/>
      <c r="Q225" s="296"/>
      <c r="V225" s="185"/>
    </row>
    <row r="226" spans="1:22" ht="18" hidden="1" customHeight="1">
      <c r="A226" s="96"/>
      <c r="B226" s="14"/>
      <c r="C226" s="14"/>
      <c r="D226" s="14"/>
      <c r="E226" s="14"/>
      <c r="F226" s="244" t="s">
        <v>475</v>
      </c>
      <c r="G226" s="28" t="e">
        <f>IF(E227&gt;H227, "&gt;","&lt;")</f>
        <v>#VALUE!</v>
      </c>
      <c r="H226" s="14" t="s">
        <v>477</v>
      </c>
      <c r="I226" s="14"/>
      <c r="J226" s="14"/>
      <c r="K226" s="14"/>
      <c r="L226" s="14" t="s">
        <v>834</v>
      </c>
      <c r="M226" s="14"/>
      <c r="N226" s="14"/>
      <c r="O226" s="14"/>
      <c r="P226" s="301"/>
      <c r="Q226" s="461"/>
      <c r="V226" s="185"/>
    </row>
    <row r="227" spans="1:22" ht="18" hidden="1" customHeight="1">
      <c r="A227" s="96"/>
      <c r="B227" s="14"/>
      <c r="C227" s="14"/>
      <c r="D227" s="14"/>
      <c r="E227" s="834">
        <f>L181</f>
        <v>0</v>
      </c>
      <c r="F227" s="834"/>
      <c r="G227" s="28" t="e">
        <f>G226</f>
        <v>#VALUE!</v>
      </c>
      <c r="H227" s="692" t="e">
        <f>E211</f>
        <v>#VALUE!</v>
      </c>
      <c r="I227" s="692"/>
      <c r="J227" s="14"/>
      <c r="K227" s="14"/>
      <c r="L227" s="14"/>
      <c r="M227" s="14"/>
      <c r="N227" s="14"/>
      <c r="O227" s="14"/>
      <c r="V227" s="185"/>
    </row>
    <row r="228" spans="1:22" ht="18" hidden="1" customHeight="1">
      <c r="A228" s="184"/>
      <c r="D228" s="211"/>
      <c r="E228" s="14"/>
      <c r="F228" s="199" t="s">
        <v>831</v>
      </c>
      <c r="G228" s="211"/>
      <c r="H228" s="281" t="s">
        <v>828</v>
      </c>
      <c r="J228" s="28" t="s">
        <v>833</v>
      </c>
      <c r="K228" s="18" t="e">
        <f>IF(G227="&gt;", "Satisfied", "Not Satisfied")</f>
        <v>#VALUE!</v>
      </c>
      <c r="P228" s="232"/>
      <c r="Q228" s="232"/>
      <c r="R228" s="232"/>
      <c r="S228" s="232"/>
      <c r="T228" s="232"/>
      <c r="U228" s="232"/>
      <c r="V228" s="233"/>
    </row>
    <row r="229" spans="1:22" ht="18" hidden="1" customHeight="1">
      <c r="A229" s="184"/>
      <c r="H229" s="28"/>
      <c r="I229" s="28"/>
      <c r="J229" s="28"/>
      <c r="K229" s="28"/>
      <c r="L229" s="28"/>
      <c r="M229" s="28"/>
      <c r="N229" s="28"/>
      <c r="O229" s="28"/>
      <c r="P229" s="232"/>
      <c r="Q229" s="232"/>
      <c r="R229" s="232"/>
      <c r="S229" s="232"/>
      <c r="T229" s="232"/>
      <c r="U229" s="232"/>
      <c r="V229" s="233"/>
    </row>
    <row r="230" spans="1:22" ht="18" hidden="1" customHeight="1">
      <c r="A230" s="96"/>
      <c r="B230" s="14"/>
      <c r="C230" s="14"/>
      <c r="D230" s="14"/>
      <c r="E230" s="14"/>
      <c r="F230" s="244" t="s">
        <v>478</v>
      </c>
      <c r="G230" s="14"/>
      <c r="H230" s="18" t="e">
        <f>IF(AND(E223&gt;H223,E227&gt;H227),"Suitably Dimentioned","Under Dimentioned")</f>
        <v>#VALUE!</v>
      </c>
      <c r="I230" s="18"/>
      <c r="J230" s="18"/>
      <c r="K230" s="18"/>
      <c r="L230" s="18"/>
      <c r="M230" s="18"/>
      <c r="N230" s="14"/>
      <c r="O230" s="14"/>
      <c r="V230" s="185"/>
    </row>
    <row r="231" spans="1:22" ht="18" hidden="1" customHeight="1">
      <c r="A231" s="184"/>
      <c r="B231" s="27"/>
      <c r="C231" s="27"/>
      <c r="D231" s="27"/>
      <c r="E231" s="28"/>
      <c r="F231" s="27"/>
      <c r="G231" s="28"/>
      <c r="H231" s="27"/>
      <c r="I231" s="28"/>
      <c r="J231" s="27"/>
      <c r="K231" s="27"/>
      <c r="L231" s="27"/>
      <c r="M231" s="27"/>
      <c r="V231" s="185"/>
    </row>
    <row r="232" spans="1:22" ht="18" hidden="1" customHeight="1">
      <c r="A232" s="184"/>
      <c r="C232" s="27"/>
      <c r="D232" s="245"/>
      <c r="E232" s="221"/>
      <c r="F232" s="245"/>
      <c r="G232" s="222"/>
      <c r="H232" s="245"/>
      <c r="I232" s="245"/>
      <c r="J232" s="245"/>
      <c r="K232" s="245"/>
      <c r="L232" s="245"/>
      <c r="M232" s="27"/>
      <c r="V232" s="185"/>
    </row>
    <row r="233" spans="1:22" ht="18" hidden="1" customHeight="1">
      <c r="A233" s="184"/>
      <c r="C233" s="27"/>
      <c r="D233" s="204"/>
      <c r="E233" s="204"/>
      <c r="G233" s="18"/>
      <c r="V233" s="185"/>
    </row>
    <row r="234" spans="1:22" ht="18" hidden="1" customHeight="1">
      <c r="A234" s="96"/>
      <c r="B234" s="14"/>
      <c r="C234" s="14"/>
      <c r="D234" s="14"/>
      <c r="E234" s="14"/>
      <c r="F234" s="14"/>
      <c r="G234" s="14"/>
      <c r="H234" s="14"/>
      <c r="I234" s="14"/>
      <c r="J234" s="14"/>
      <c r="K234" s="14"/>
      <c r="L234" s="14"/>
      <c r="M234" s="14"/>
      <c r="N234" s="14"/>
      <c r="O234" s="14"/>
      <c r="P234" s="14"/>
      <c r="Q234" s="120"/>
      <c r="R234" s="28"/>
      <c r="S234" s="525"/>
      <c r="T234" s="14"/>
      <c r="U234" s="14"/>
      <c r="V234" s="381"/>
    </row>
    <row r="235" spans="1:22" ht="18" hidden="1" customHeight="1">
      <c r="A235" s="96"/>
      <c r="B235" s="14"/>
      <c r="C235" s="14"/>
      <c r="D235" s="14"/>
      <c r="E235" s="14"/>
      <c r="F235" s="14"/>
      <c r="G235" s="14"/>
      <c r="H235" s="14"/>
      <c r="I235" s="14"/>
      <c r="J235" s="14"/>
      <c r="K235" s="14"/>
      <c r="L235" s="14"/>
      <c r="M235" s="14"/>
      <c r="N235" s="14"/>
      <c r="O235" s="14"/>
      <c r="P235" s="14"/>
      <c r="Q235" s="120"/>
      <c r="R235" s="28"/>
      <c r="S235" s="525"/>
      <c r="T235" s="14"/>
      <c r="U235" s="14"/>
      <c r="V235" s="381"/>
    </row>
    <row r="236" spans="1:22" ht="18" hidden="1" customHeight="1">
      <c r="A236" s="96"/>
      <c r="B236" s="14"/>
      <c r="C236" s="14"/>
      <c r="D236" s="14"/>
      <c r="E236" s="14"/>
      <c r="F236" s="14"/>
      <c r="G236" s="14"/>
      <c r="H236" s="14"/>
      <c r="I236" s="14"/>
      <c r="J236" s="14"/>
      <c r="K236" s="14"/>
      <c r="L236" s="14"/>
      <c r="M236" s="14"/>
      <c r="N236" s="14"/>
      <c r="O236" s="14"/>
      <c r="P236" s="14"/>
      <c r="Q236" s="120"/>
      <c r="R236" s="28"/>
      <c r="S236" s="525"/>
      <c r="T236" s="14"/>
      <c r="U236" s="14"/>
      <c r="V236" s="381"/>
    </row>
    <row r="237" spans="1:22" ht="18" hidden="1" customHeight="1">
      <c r="A237" s="96"/>
      <c r="B237" s="14"/>
      <c r="C237" s="14"/>
      <c r="D237" s="14"/>
      <c r="E237" s="14"/>
      <c r="F237" s="14"/>
      <c r="G237" s="14"/>
      <c r="H237" s="14"/>
      <c r="I237" s="14"/>
      <c r="J237" s="14"/>
      <c r="K237" s="14"/>
      <c r="L237" s="14"/>
      <c r="M237" s="14"/>
      <c r="N237" s="14"/>
      <c r="O237" s="14"/>
      <c r="P237" s="14"/>
      <c r="Q237" s="120"/>
      <c r="R237" s="28"/>
      <c r="S237" s="525"/>
      <c r="T237" s="14"/>
      <c r="U237" s="14"/>
      <c r="V237" s="381"/>
    </row>
    <row r="238" spans="1:22" ht="18" hidden="1" customHeight="1">
      <c r="A238" s="96"/>
      <c r="B238" s="14"/>
      <c r="C238" s="14"/>
      <c r="D238" s="14"/>
      <c r="E238" s="14"/>
      <c r="F238" s="14"/>
      <c r="G238" s="14"/>
      <c r="H238" s="14"/>
      <c r="I238" s="14"/>
      <c r="J238" s="14"/>
      <c r="K238" s="14"/>
      <c r="L238" s="14"/>
      <c r="M238" s="14"/>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96"/>
      <c r="B253" s="14"/>
      <c r="C253" s="14"/>
      <c r="D253" s="14"/>
      <c r="E253" s="14"/>
      <c r="F253" s="14"/>
      <c r="G253" s="14"/>
      <c r="H253" s="14"/>
      <c r="I253" s="14"/>
      <c r="J253" s="14"/>
      <c r="K253" s="14"/>
      <c r="L253" s="14"/>
      <c r="M253" s="14"/>
      <c r="N253" s="14"/>
      <c r="O253" s="14"/>
      <c r="P253" s="14"/>
      <c r="Q253" s="120"/>
      <c r="R253" s="28"/>
      <c r="S253" s="525"/>
      <c r="T253" s="14"/>
      <c r="U253" s="14"/>
      <c r="V253" s="381"/>
    </row>
    <row r="254" spans="1:22" ht="18" hidden="1" customHeight="1">
      <c r="A254" s="96"/>
      <c r="B254" s="14"/>
      <c r="C254" s="14"/>
      <c r="D254" s="14"/>
      <c r="E254" s="14"/>
      <c r="F254" s="14"/>
      <c r="G254" s="14"/>
      <c r="H254" s="14"/>
      <c r="I254" s="14"/>
      <c r="J254" s="14"/>
      <c r="K254" s="14"/>
      <c r="L254" s="14"/>
      <c r="M254" s="14"/>
      <c r="N254" s="14"/>
      <c r="O254" s="14"/>
      <c r="P254" s="14"/>
      <c r="Q254" s="120"/>
      <c r="R254" s="28"/>
      <c r="S254" s="525"/>
      <c r="T254" s="14"/>
      <c r="U254" s="14"/>
      <c r="V254" s="381"/>
    </row>
    <row r="255" spans="1:22" ht="18" hidden="1" customHeight="1">
      <c r="A255" s="96"/>
      <c r="B255" s="14"/>
      <c r="C255" s="14"/>
      <c r="D255" s="14"/>
      <c r="E255" s="14"/>
      <c r="F255" s="14"/>
      <c r="G255" s="14"/>
      <c r="H255" s="14"/>
      <c r="I255" s="14"/>
      <c r="J255" s="14"/>
      <c r="K255" s="14"/>
      <c r="L255" s="14"/>
      <c r="M255" s="14"/>
      <c r="N255" s="14"/>
      <c r="O255" s="14"/>
      <c r="P255" s="14"/>
      <c r="Q255" s="120"/>
      <c r="R255" s="28"/>
      <c r="S255" s="525"/>
      <c r="T255" s="14"/>
      <c r="U255" s="14"/>
      <c r="V255" s="381"/>
    </row>
    <row r="256" spans="1:22" ht="18" hidden="1" customHeight="1">
      <c r="A256" s="96"/>
      <c r="B256" s="14"/>
      <c r="C256" s="14"/>
      <c r="D256" s="14"/>
      <c r="E256" s="14"/>
      <c r="F256" s="14"/>
      <c r="G256" s="14"/>
      <c r="H256" s="14"/>
      <c r="I256" s="14"/>
      <c r="J256" s="14"/>
      <c r="K256" s="14"/>
      <c r="L256" s="14"/>
      <c r="M256" s="14"/>
      <c r="N256" s="14"/>
      <c r="O256" s="14"/>
      <c r="P256" s="14"/>
      <c r="Q256" s="120"/>
      <c r="R256" s="28"/>
      <c r="S256" s="525"/>
      <c r="T256" s="14"/>
      <c r="U256" s="14"/>
      <c r="V256" s="381"/>
    </row>
    <row r="257" spans="1:44" ht="18" hidden="1" customHeight="1">
      <c r="A257" s="96"/>
      <c r="B257" s="14"/>
      <c r="C257" s="14"/>
      <c r="D257" s="14"/>
      <c r="E257" s="14"/>
      <c r="F257" s="14"/>
      <c r="G257" s="14"/>
      <c r="H257" s="14"/>
      <c r="I257" s="14"/>
      <c r="J257" s="14"/>
      <c r="K257" s="14"/>
      <c r="L257" s="14"/>
      <c r="M257" s="14"/>
      <c r="N257" s="14"/>
      <c r="O257" s="14"/>
      <c r="P257" s="14"/>
      <c r="Q257" s="120"/>
      <c r="R257" s="28"/>
      <c r="S257" s="525"/>
      <c r="T257" s="14"/>
      <c r="U257" s="14"/>
      <c r="V257" s="381"/>
    </row>
    <row r="258" spans="1:44" ht="18" hidden="1" customHeight="1">
      <c r="A258" s="96"/>
      <c r="B258" s="14"/>
      <c r="C258" s="14"/>
      <c r="D258" s="14"/>
      <c r="E258" s="14"/>
      <c r="F258" s="14"/>
      <c r="G258" s="14"/>
      <c r="H258" s="14"/>
      <c r="I258" s="14"/>
      <c r="J258" s="14"/>
      <c r="K258" s="14"/>
      <c r="L258" s="14"/>
      <c r="M258" s="14"/>
      <c r="N258" s="14"/>
      <c r="O258" s="14"/>
      <c r="P258" s="14"/>
      <c r="Q258" s="120"/>
      <c r="R258" s="28"/>
      <c r="S258" s="525"/>
      <c r="T258" s="14"/>
      <c r="U258" s="14"/>
      <c r="V258" s="381"/>
    </row>
    <row r="259" spans="1:44" ht="18" hidden="1" customHeight="1">
      <c r="A259" s="96"/>
      <c r="B259" s="14"/>
      <c r="C259" s="14"/>
      <c r="D259" s="14"/>
      <c r="E259" s="14"/>
      <c r="F259" s="14"/>
      <c r="G259" s="14"/>
      <c r="H259" s="14"/>
      <c r="I259" s="14"/>
      <c r="J259" s="14"/>
      <c r="K259" s="14"/>
      <c r="L259" s="14"/>
      <c r="M259" s="14"/>
      <c r="N259" s="14"/>
      <c r="O259" s="14"/>
      <c r="P259" s="14"/>
      <c r="Q259" s="120"/>
      <c r="R259" s="28"/>
      <c r="S259" s="525"/>
      <c r="T259" s="14"/>
      <c r="U259" s="14"/>
      <c r="V259" s="381"/>
    </row>
    <row r="260" spans="1:44" ht="18" hidden="1" customHeight="1">
      <c r="A260" s="96"/>
      <c r="B260" s="14"/>
      <c r="C260" s="14"/>
      <c r="D260" s="14"/>
      <c r="E260" s="14"/>
      <c r="F260" s="14"/>
      <c r="G260" s="14"/>
      <c r="H260" s="14"/>
      <c r="I260" s="14"/>
      <c r="J260" s="14"/>
      <c r="K260" s="14"/>
      <c r="L260" s="14"/>
      <c r="M260" s="14"/>
      <c r="N260" s="14"/>
      <c r="O260" s="14"/>
      <c r="P260" s="14"/>
      <c r="Q260" s="120"/>
      <c r="R260" s="28"/>
      <c r="S260" s="525"/>
      <c r="T260" s="14"/>
      <c r="U260" s="14"/>
      <c r="V260" s="381"/>
    </row>
    <row r="261" spans="1:44" ht="18" hidden="1" customHeight="1">
      <c r="A261" s="194"/>
      <c r="B261" s="195"/>
      <c r="C261" s="195"/>
      <c r="D261" s="195"/>
      <c r="E261" s="195"/>
      <c r="F261" s="195"/>
      <c r="G261" s="195"/>
      <c r="H261" s="195"/>
      <c r="I261" s="195"/>
      <c r="J261" s="195"/>
      <c r="K261" s="195"/>
      <c r="L261" s="195"/>
      <c r="M261" s="195"/>
      <c r="N261" s="195"/>
      <c r="O261" s="195"/>
      <c r="P261" s="195"/>
      <c r="Q261" s="224"/>
      <c r="R261" s="182"/>
      <c r="S261" s="225"/>
      <c r="T261" s="195"/>
      <c r="U261" s="195"/>
      <c r="V261" s="134" t="s">
        <v>552</v>
      </c>
    </row>
    <row r="262" spans="1:44" ht="18" customHeight="1">
      <c r="A262" s="226"/>
      <c r="B262" s="227"/>
      <c r="C262" s="227"/>
      <c r="D262" s="227"/>
      <c r="E262" s="227"/>
      <c r="F262" s="227"/>
      <c r="G262" s="227"/>
      <c r="H262" s="227"/>
      <c r="I262" s="227"/>
      <c r="J262" s="227"/>
      <c r="K262" s="227"/>
      <c r="L262" s="227"/>
      <c r="M262" s="227"/>
      <c r="N262" s="227"/>
      <c r="O262" s="227"/>
      <c r="P262" s="227"/>
      <c r="Q262" s="227"/>
      <c r="R262" s="227"/>
      <c r="S262" s="227"/>
      <c r="T262" s="227"/>
      <c r="U262" s="227"/>
      <c r="V262" s="228"/>
    </row>
    <row r="263" spans="1:44" ht="18" customHeight="1">
      <c r="A263" s="262" t="s">
        <v>501</v>
      </c>
      <c r="B263" s="14"/>
      <c r="C263" s="14"/>
      <c r="D263" s="120"/>
      <c r="E263" s="120"/>
      <c r="F263" s="18"/>
      <c r="G263" s="18"/>
      <c r="H263" s="14"/>
      <c r="I263" s="14"/>
      <c r="J263" s="14"/>
      <c r="V263" s="185"/>
    </row>
    <row r="264" spans="1:44" ht="18" customHeight="1">
      <c r="A264" s="955" t="s">
        <v>85</v>
      </c>
      <c r="B264" s="956"/>
      <c r="C264" s="957"/>
      <c r="D264" s="955" t="s">
        <v>86</v>
      </c>
      <c r="E264" s="956"/>
      <c r="F264" s="957"/>
      <c r="G264" s="955" t="s">
        <v>87</v>
      </c>
      <c r="H264" s="957"/>
      <c r="I264" s="955" t="s">
        <v>88</v>
      </c>
      <c r="J264" s="957"/>
      <c r="K264" s="955" t="s">
        <v>502</v>
      </c>
      <c r="L264" s="957"/>
      <c r="M264" s="955" t="s">
        <v>503</v>
      </c>
      <c r="N264" s="957"/>
      <c r="O264" s="955" t="s">
        <v>504</v>
      </c>
      <c r="P264" s="957"/>
      <c r="Q264" s="955" t="s">
        <v>505</v>
      </c>
      <c r="R264" s="957"/>
      <c r="S264" s="955" t="s">
        <v>93</v>
      </c>
      <c r="T264" s="956"/>
      <c r="U264" s="956"/>
      <c r="V264" s="957"/>
    </row>
    <row r="265" spans="1:44" ht="18" customHeight="1">
      <c r="A265" s="1125"/>
      <c r="B265" s="983"/>
      <c r="C265" s="1126"/>
      <c r="D265" s="1125"/>
      <c r="E265" s="983"/>
      <c r="F265" s="1126"/>
      <c r="G265" s="1125"/>
      <c r="H265" s="1126"/>
      <c r="I265" s="1125"/>
      <c r="J265" s="1126"/>
      <c r="K265" s="1125"/>
      <c r="L265" s="1126"/>
      <c r="M265" s="1125"/>
      <c r="N265" s="1126"/>
      <c r="O265" s="1125"/>
      <c r="P265" s="1126"/>
      <c r="Q265" s="1125"/>
      <c r="R265" s="1126"/>
      <c r="S265" s="1125"/>
      <c r="T265" s="983"/>
      <c r="U265" s="983"/>
      <c r="V265" s="1126"/>
    </row>
    <row r="266" spans="1:44" ht="18" customHeight="1">
      <c r="A266" s="1125"/>
      <c r="B266" s="983"/>
      <c r="C266" s="1126"/>
      <c r="D266" s="1125"/>
      <c r="E266" s="983"/>
      <c r="F266" s="1126"/>
      <c r="G266" s="1125"/>
      <c r="H266" s="1126"/>
      <c r="I266" s="1125"/>
      <c r="J266" s="1126"/>
      <c r="K266" s="1125"/>
      <c r="L266" s="1126"/>
      <c r="M266" s="1125"/>
      <c r="N266" s="1126"/>
      <c r="O266" s="1125"/>
      <c r="P266" s="1126"/>
      <c r="Q266" s="1125"/>
      <c r="R266" s="1126"/>
      <c r="S266" s="1125"/>
      <c r="T266" s="983"/>
      <c r="U266" s="983"/>
      <c r="V266" s="1126"/>
    </row>
    <row r="267" spans="1:44" ht="18" customHeight="1">
      <c r="A267" s="1047"/>
      <c r="B267" s="1048"/>
      <c r="C267" s="1049"/>
      <c r="D267" s="1047"/>
      <c r="E267" s="1048"/>
      <c r="F267" s="1049"/>
      <c r="G267" s="1047"/>
      <c r="H267" s="1049"/>
      <c r="I267" s="1047"/>
      <c r="J267" s="1049"/>
      <c r="K267" s="1047"/>
      <c r="L267" s="1049"/>
      <c r="M267" s="1047"/>
      <c r="N267" s="1049"/>
      <c r="O267" s="1047"/>
      <c r="P267" s="1049"/>
      <c r="Q267" s="1047"/>
      <c r="R267" s="1049"/>
      <c r="S267" s="1047"/>
      <c r="T267" s="1048"/>
      <c r="U267" s="1048"/>
      <c r="V267" s="1049"/>
    </row>
    <row r="268" spans="1:44" ht="18" customHeight="1">
      <c r="A268" s="994" t="str">
        <f>B7</f>
        <v>T1</v>
      </c>
      <c r="B268" s="976" t="str">
        <f>D7</f>
        <v>Core5</v>
      </c>
      <c r="C268" s="856"/>
      <c r="D268" s="971">
        <f>H10</f>
        <v>2500</v>
      </c>
      <c r="E268" s="973"/>
      <c r="F268" s="871">
        <f>O10</f>
        <v>1</v>
      </c>
      <c r="G268" s="871">
        <f>'CT-VT Burdens'!S21</f>
        <v>120</v>
      </c>
      <c r="H268" s="1036">
        <f>'CT-VT Burdens'!S10</f>
        <v>6</v>
      </c>
      <c r="I268" s="965" t="str">
        <f>H11</f>
        <v>PX-B</v>
      </c>
      <c r="J268" s="1025"/>
      <c r="K268" s="1030">
        <f>H12</f>
        <v>5</v>
      </c>
      <c r="L268" s="1031"/>
      <c r="M268" s="1030">
        <f>H13</f>
        <v>750</v>
      </c>
      <c r="N268" s="1031"/>
      <c r="O268" s="971">
        <f>H14</f>
        <v>60</v>
      </c>
      <c r="P268" s="973"/>
      <c r="Q268" s="1013" t="str">
        <f>T7</f>
        <v>P743</v>
      </c>
      <c r="R268" s="1014"/>
      <c r="S268" s="1296" t="str">
        <f>H58</f>
        <v>Suitably Dimentioned</v>
      </c>
      <c r="T268" s="1297"/>
      <c r="U268" s="1297"/>
      <c r="V268" s="1298"/>
    </row>
    <row r="269" spans="1:44" ht="18" customHeight="1">
      <c r="A269" s="1033"/>
      <c r="B269" s="837"/>
      <c r="C269" s="977"/>
      <c r="D269" s="990" t="s">
        <v>6</v>
      </c>
      <c r="E269" s="992"/>
      <c r="F269" s="872"/>
      <c r="G269" s="872"/>
      <c r="H269" s="1127"/>
      <c r="I269" s="1026"/>
      <c r="J269" s="1027"/>
      <c r="K269" s="1040" t="s">
        <v>6</v>
      </c>
      <c r="L269" s="1041"/>
      <c r="M269" s="1040" t="s">
        <v>6</v>
      </c>
      <c r="N269" s="1041"/>
      <c r="O269" s="990" t="s">
        <v>6</v>
      </c>
      <c r="P269" s="992"/>
      <c r="Q269" s="1015"/>
      <c r="R269" s="1016"/>
      <c r="S269" s="1299" t="s">
        <v>6</v>
      </c>
      <c r="T269" s="1300"/>
      <c r="U269" s="1300"/>
      <c r="V269" s="1301"/>
    </row>
    <row r="270" spans="1:44" ht="18" customHeight="1">
      <c r="A270" s="1034"/>
      <c r="B270" s="857"/>
      <c r="C270" s="858"/>
      <c r="D270" s="990" t="s">
        <v>6</v>
      </c>
      <c r="E270" s="992"/>
      <c r="F270" s="873"/>
      <c r="G270" s="873"/>
      <c r="H270" s="1128"/>
      <c r="I270" s="1028"/>
      <c r="J270" s="1029"/>
      <c r="K270" s="1040" t="s">
        <v>6</v>
      </c>
      <c r="L270" s="1041"/>
      <c r="M270" s="1040" t="s">
        <v>6</v>
      </c>
      <c r="N270" s="1041"/>
      <c r="O270" s="990" t="s">
        <v>6</v>
      </c>
      <c r="P270" s="992"/>
      <c r="Q270" s="1017"/>
      <c r="R270" s="1018"/>
      <c r="S270" s="1296" t="s">
        <v>6</v>
      </c>
      <c r="T270" s="1297"/>
      <c r="U270" s="1297"/>
      <c r="V270" s="1298"/>
      <c r="W270" s="184"/>
      <c r="AR270" s="185"/>
    </row>
    <row r="271" spans="1:44" ht="18" customHeight="1">
      <c r="A271" s="184"/>
      <c r="V271" s="185"/>
      <c r="W271" s="184"/>
      <c r="AR271" s="185"/>
    </row>
    <row r="272" spans="1:44" ht="18" customHeight="1">
      <c r="A272" s="184"/>
      <c r="V272" s="185"/>
      <c r="W272" s="184"/>
      <c r="AR272" s="185"/>
    </row>
    <row r="273" spans="1:44" ht="18" customHeight="1">
      <c r="A273" s="184"/>
      <c r="V273" s="185"/>
      <c r="W273" s="184"/>
      <c r="AR273" s="185"/>
    </row>
    <row r="274" spans="1:44" ht="18" customHeight="1">
      <c r="A274" s="184"/>
      <c r="V274" s="185"/>
      <c r="W274" s="184"/>
      <c r="AR274" s="185"/>
    </row>
    <row r="275" spans="1:44" ht="18" customHeight="1">
      <c r="A275" s="184"/>
      <c r="V275" s="185"/>
      <c r="W275" s="184"/>
      <c r="AR275" s="185"/>
    </row>
    <row r="276" spans="1:44" ht="18" customHeight="1">
      <c r="A276" s="184"/>
      <c r="V276" s="185"/>
      <c r="W276" s="184"/>
      <c r="AR276" s="185"/>
    </row>
    <row r="277" spans="1:44" ht="18" customHeight="1">
      <c r="A277" s="184"/>
      <c r="V277" s="185"/>
    </row>
    <row r="278" spans="1:44" ht="18" customHeight="1">
      <c r="A278" s="184"/>
      <c r="V278" s="185"/>
    </row>
    <row r="279" spans="1:44" ht="18" customHeight="1">
      <c r="A279" s="184"/>
      <c r="V279" s="185"/>
    </row>
    <row r="280" spans="1:44" ht="18" customHeight="1">
      <c r="A280" s="184"/>
      <c r="V280" s="185"/>
    </row>
    <row r="281" spans="1:44" ht="18" customHeight="1">
      <c r="A281" s="184"/>
      <c r="V281" s="185"/>
    </row>
    <row r="282" spans="1:44" ht="18" customHeight="1">
      <c r="A282" s="184"/>
      <c r="V282" s="185"/>
    </row>
    <row r="283" spans="1:44" ht="18" customHeight="1">
      <c r="A283" s="184"/>
      <c r="V283" s="185"/>
    </row>
    <row r="284" spans="1:44" ht="18" customHeight="1">
      <c r="A284" s="184"/>
      <c r="V284" s="185"/>
    </row>
    <row r="285" spans="1:44" ht="18" customHeight="1">
      <c r="A285" s="184"/>
      <c r="V285" s="185"/>
    </row>
    <row r="286" spans="1:44" ht="18" customHeight="1">
      <c r="A286" s="184"/>
      <c r="V286" s="185"/>
    </row>
    <row r="287" spans="1:44" ht="18" customHeight="1">
      <c r="A287" s="184"/>
      <c r="V287" s="185"/>
    </row>
    <row r="288" spans="1:44"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94"/>
      <c r="B301" s="195"/>
      <c r="C301" s="195"/>
      <c r="D301" s="195"/>
      <c r="E301" s="195"/>
      <c r="F301" s="195"/>
      <c r="G301" s="195"/>
      <c r="H301" s="195"/>
      <c r="I301" s="195"/>
      <c r="J301" s="195"/>
      <c r="K301" s="195"/>
      <c r="L301" s="195"/>
      <c r="M301" s="195"/>
      <c r="N301" s="195"/>
      <c r="O301" s="195"/>
      <c r="P301" s="195"/>
      <c r="Q301" s="224"/>
      <c r="R301" s="182"/>
      <c r="S301" s="225"/>
      <c r="T301" s="195"/>
      <c r="U301" s="195"/>
      <c r="V301" s="134"/>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H178:I178"/>
    <mergeCell ref="J178:K178"/>
    <mergeCell ref="L178:M178"/>
    <mergeCell ref="L179:M179"/>
    <mergeCell ref="L180:M180"/>
    <mergeCell ref="L181:M181"/>
    <mergeCell ref="T175:U175"/>
    <mergeCell ref="T176:U176"/>
    <mergeCell ref="H177:I177"/>
    <mergeCell ref="J177:K177"/>
    <mergeCell ref="L177:M177"/>
    <mergeCell ref="T177:U177"/>
    <mergeCell ref="S192:T192"/>
    <mergeCell ref="S193:T193"/>
    <mergeCell ref="S194:T194"/>
    <mergeCell ref="S195:T195"/>
    <mergeCell ref="S196:T196"/>
    <mergeCell ref="S197:T197"/>
    <mergeCell ref="L182:M182"/>
    <mergeCell ref="J186:K186"/>
    <mergeCell ref="J187:K187"/>
    <mergeCell ref="J188:K188"/>
    <mergeCell ref="J189:K189"/>
    <mergeCell ref="J190:K190"/>
    <mergeCell ref="K209:L209"/>
    <mergeCell ref="E210:F210"/>
    <mergeCell ref="H210:I210"/>
    <mergeCell ref="K210:L210"/>
    <mergeCell ref="B203:C203"/>
    <mergeCell ref="G203:H203"/>
    <mergeCell ref="J203:K203"/>
    <mergeCell ref="M203:N203"/>
    <mergeCell ref="G204:H204"/>
    <mergeCell ref="J204:K204"/>
    <mergeCell ref="M204:N204"/>
    <mergeCell ref="E211:F211"/>
    <mergeCell ref="E223:F223"/>
    <mergeCell ref="H223:I223"/>
    <mergeCell ref="E227:F227"/>
    <mergeCell ref="H227:I227"/>
    <mergeCell ref="E205:F205"/>
    <mergeCell ref="B209:C209"/>
    <mergeCell ref="E209:F209"/>
    <mergeCell ref="H209:I209"/>
    <mergeCell ref="A268:A270"/>
    <mergeCell ref="B268:C270"/>
    <mergeCell ref="D268:E268"/>
    <mergeCell ref="F268:F270"/>
    <mergeCell ref="G268:G270"/>
    <mergeCell ref="H268:H270"/>
    <mergeCell ref="I268:J270"/>
    <mergeCell ref="A264:C267"/>
    <mergeCell ref="D264:F267"/>
    <mergeCell ref="G264:H267"/>
    <mergeCell ref="I264:J267"/>
    <mergeCell ref="D270:E270"/>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s>
  <conditionalFormatting sqref="G61 G145 G233">
    <cfRule type="cellIs" dxfId="183" priority="2" stopIfTrue="1" operator="equal">
      <formula>"Under Dimentioned"</formula>
    </cfRule>
  </conditionalFormatting>
  <conditionalFormatting sqref="H58 H142 H230">
    <cfRule type="cellIs" dxfId="182"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720A-1BA2-4FFE-9532-5F9B72963893}">
  <sheetPr>
    <tabColor indexed="62"/>
  </sheetPr>
  <dimension ref="A1:Y293"/>
  <sheetViews>
    <sheetView showZeros="0" view="pageBreakPreview" topLeftCell="A7" zoomScale="145" zoomScaleNormal="100" zoomScaleSheetLayoutView="145" workbookViewId="0">
      <selection activeCell="J21" sqref="J21:K21"/>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108</v>
      </c>
      <c r="C7" s="1076"/>
      <c r="D7" s="1092" t="s">
        <v>113</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2000</v>
      </c>
      <c r="I10" s="1091"/>
      <c r="J10" s="1075">
        <v>3200</v>
      </c>
      <c r="K10" s="1076"/>
      <c r="L10" s="1075"/>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224">
        <v>3.5</v>
      </c>
      <c r="I12" s="1225"/>
      <c r="J12" s="192" t="s">
        <v>333</v>
      </c>
      <c r="V12" s="185"/>
    </row>
    <row r="13" spans="1:24" ht="18" customHeight="1">
      <c r="A13" s="184"/>
      <c r="B13" s="47" t="s">
        <v>398</v>
      </c>
      <c r="G13" s="120" t="s">
        <v>498</v>
      </c>
      <c r="H13" s="1075">
        <v>500</v>
      </c>
      <c r="I13" s="1076"/>
      <c r="J13" s="14" t="s">
        <v>305</v>
      </c>
      <c r="U13" s="18"/>
      <c r="V13" s="185"/>
      <c r="W13" s="30" t="str">
        <f>H74</f>
        <v>Suitably Dimentioned</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Burdens'!S30</f>
        <v>1.1667743100000001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1.36677431</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1.36677431</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1.36677431</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3.5</v>
      </c>
      <c r="M39" s="689"/>
      <c r="N39" s="689" t="s">
        <v>347</v>
      </c>
      <c r="O39" s="692">
        <f>S29</f>
        <v>1.36677431</v>
      </c>
      <c r="P39" s="689"/>
      <c r="Q39" s="689" t="s">
        <v>674</v>
      </c>
      <c r="R39" s="689">
        <f>S27</f>
        <v>1</v>
      </c>
      <c r="S39" s="14"/>
      <c r="T39" s="14"/>
      <c r="U39" s="14"/>
      <c r="V39" s="185"/>
    </row>
    <row r="40" spans="1:22" ht="18" customHeight="1">
      <c r="A40" s="184"/>
      <c r="B40" s="14"/>
      <c r="C40" s="14"/>
      <c r="D40" s="689"/>
      <c r="E40" s="689"/>
      <c r="F40" s="689"/>
      <c r="G40" s="211">
        <v>1.3</v>
      </c>
      <c r="H40" s="218" t="s">
        <v>315</v>
      </c>
      <c r="I40" s="689">
        <f>S26</f>
        <v>2000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46.79590682692308</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3.5</v>
      </c>
      <c r="I51" s="689"/>
      <c r="J51" s="689" t="s">
        <v>347</v>
      </c>
      <c r="K51" s="692">
        <f>S29</f>
        <v>1.36677431</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374.36725461538464</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500</v>
      </c>
      <c r="F67" s="692"/>
      <c r="G67" s="28" t="str">
        <f>G66</f>
        <v>&gt;</v>
      </c>
      <c r="H67" s="692">
        <f>E42</f>
        <v>46.79590682692308</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500</v>
      </c>
      <c r="F71" s="692"/>
      <c r="G71" s="28" t="str">
        <f>G70</f>
        <v>&gt;</v>
      </c>
      <c r="H71" s="692">
        <f>E54</f>
        <v>374.36725461538464</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Dimentioned",IF(AND(G66="&gt;",G70="&gt;"),"Over Dimentioned",IF(G66="&lt;","Under Dimentioned","")))</f>
        <v>Suitably Dimentioned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T1</v>
      </c>
      <c r="C87" s="831"/>
      <c r="D87" s="854" t="str">
        <f>D7</f>
        <v>Core4</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2000</v>
      </c>
      <c r="I90" s="831"/>
      <c r="J90" s="863">
        <f>J10</f>
        <v>3200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Dimentioned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1.1667743100000001</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1.36677431</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3200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1.36677431</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1.36677431</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1.36677431</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3200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38.261864843750004</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1.36677431</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489.75187</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38.261864843750004</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489.75187</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Dimentioned",IF(AND(G146="&gt;",G150="&gt;"),"Over Dimentioned",IF(G146="&lt;","Under Dimentioned","")))</f>
        <v>Suitably Dimentioned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T1</v>
      </c>
      <c r="C167" s="831"/>
      <c r="D167" s="854" t="str">
        <f>D87</f>
        <v>Core4</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2000</v>
      </c>
      <c r="I170" s="831"/>
      <c r="J170" s="854">
        <f>J90</f>
        <v>3200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1.1667743100000001</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1.36677431</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1.36677431</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1.36677431</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1.36677431</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1.36677431</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105.13648538461538</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105.13648538461538</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T1</v>
      </c>
      <c r="B261" s="765" t="str">
        <f>D7</f>
        <v>Core4</v>
      </c>
      <c r="C261" s="765"/>
      <c r="D261" s="870">
        <f>H10</f>
        <v>2000</v>
      </c>
      <c r="E261" s="870"/>
      <c r="F261" s="871">
        <f>O10</f>
        <v>1</v>
      </c>
      <c r="G261" s="961">
        <f>'CT-VT Burdens'!S21</f>
        <v>120</v>
      </c>
      <c r="H261" s="959">
        <f>'CT-VT Burdens'!S10</f>
        <v>6</v>
      </c>
      <c r="I261" s="874" t="str">
        <f>H11</f>
        <v>PX</v>
      </c>
      <c r="J261" s="874"/>
      <c r="K261" s="869">
        <f>H12</f>
        <v>3.5</v>
      </c>
      <c r="L261" s="869"/>
      <c r="M261" s="869">
        <f>H13</f>
        <v>500</v>
      </c>
      <c r="N261" s="869"/>
      <c r="O261" s="870">
        <f>H14</f>
        <v>20</v>
      </c>
      <c r="P261" s="870"/>
      <c r="Q261" s="879" t="str">
        <f>CONCATENATE(T7," ",T8," ",T9," ",T10)</f>
        <v xml:space="preserve">7SS522 6MU85  </v>
      </c>
      <c r="R261" s="879"/>
      <c r="S261" s="878" t="str">
        <f>H74</f>
        <v>Suitably Dimentioned</v>
      </c>
      <c r="T261" s="878"/>
      <c r="U261" s="878"/>
      <c r="V261" s="878"/>
    </row>
    <row r="262" spans="1:22" ht="18" customHeight="1">
      <c r="A262" s="765"/>
      <c r="B262" s="765"/>
      <c r="C262" s="765"/>
      <c r="D262" s="870">
        <f>J10</f>
        <v>3200</v>
      </c>
      <c r="E262" s="870"/>
      <c r="F262" s="872"/>
      <c r="G262" s="961"/>
      <c r="H262" s="959"/>
      <c r="I262" s="874"/>
      <c r="J262" s="874"/>
      <c r="K262" s="875">
        <f>J92</f>
        <v>5</v>
      </c>
      <c r="L262" s="869"/>
      <c r="M262" s="875">
        <f>J93</f>
        <v>900</v>
      </c>
      <c r="N262" s="869"/>
      <c r="O262" s="870">
        <f>J94</f>
        <v>10</v>
      </c>
      <c r="P262" s="870"/>
      <c r="Q262" s="879"/>
      <c r="R262" s="879"/>
      <c r="S262" s="877" t="str">
        <f>H154</f>
        <v>Suitably Dimentioned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O257:P260"/>
    <mergeCell ref="Q257:R260"/>
    <mergeCell ref="S257:V260"/>
    <mergeCell ref="A261:A263"/>
    <mergeCell ref="B261:C263"/>
    <mergeCell ref="D261:E261"/>
    <mergeCell ref="F261:F263"/>
    <mergeCell ref="G261:G263"/>
    <mergeCell ref="D263:E263"/>
    <mergeCell ref="K263:L263"/>
    <mergeCell ref="M263:N263"/>
    <mergeCell ref="O263:P263"/>
    <mergeCell ref="S263:V263"/>
    <mergeCell ref="S261:V261"/>
    <mergeCell ref="D262:E262"/>
    <mergeCell ref="K262:L262"/>
    <mergeCell ref="M262:N262"/>
    <mergeCell ref="O262:P262"/>
    <mergeCell ref="S262:V262"/>
    <mergeCell ref="H261:H263"/>
    <mergeCell ref="I261:J263"/>
    <mergeCell ref="K261:L261"/>
    <mergeCell ref="M261:N261"/>
    <mergeCell ref="O261:P261"/>
    <mergeCell ref="K215:L216"/>
    <mergeCell ref="M215:M216"/>
    <mergeCell ref="N215:N216"/>
    <mergeCell ref="E216:F216"/>
    <mergeCell ref="E218:F218"/>
    <mergeCell ref="E231:F231"/>
    <mergeCell ref="H231:I231"/>
    <mergeCell ref="K257:L260"/>
    <mergeCell ref="M257:N260"/>
    <mergeCell ref="D215:D216"/>
    <mergeCell ref="E215:F215"/>
    <mergeCell ref="G215:G216"/>
    <mergeCell ref="H215:I216"/>
    <mergeCell ref="J215:J216"/>
    <mergeCell ref="E235:F235"/>
    <mergeCell ref="H235:I235"/>
    <mergeCell ref="A257:C260"/>
    <mergeCell ref="D257:F260"/>
    <mergeCell ref="G257:H260"/>
    <mergeCell ref="I257:J260"/>
    <mergeCell ref="E202:F202"/>
    <mergeCell ref="B212:C213"/>
    <mergeCell ref="D212:D213"/>
    <mergeCell ref="E212:F212"/>
    <mergeCell ref="G212:G213"/>
    <mergeCell ref="H212:I213"/>
    <mergeCell ref="L199:M200"/>
    <mergeCell ref="N199:N200"/>
    <mergeCell ref="O199:P200"/>
    <mergeCell ref="J212:J213"/>
    <mergeCell ref="K212:L213"/>
    <mergeCell ref="M212:M213"/>
    <mergeCell ref="N212:N213"/>
    <mergeCell ref="E213:F213"/>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9:T109"/>
    <mergeCell ref="S110:T110"/>
    <mergeCell ref="B116:C117"/>
    <mergeCell ref="D116:D117"/>
    <mergeCell ref="E116:E117"/>
    <mergeCell ref="F116:F117"/>
    <mergeCell ref="G116:J116"/>
    <mergeCell ref="K116:K117"/>
    <mergeCell ref="L116:M117"/>
    <mergeCell ref="S106:T106"/>
    <mergeCell ref="S107:T107"/>
    <mergeCell ref="J91:K91"/>
    <mergeCell ref="J92:K92"/>
    <mergeCell ref="J93:K93"/>
    <mergeCell ref="J94:K94"/>
    <mergeCell ref="J98:K98"/>
    <mergeCell ref="J99:K99"/>
    <mergeCell ref="S108:T108"/>
    <mergeCell ref="H90:I90"/>
    <mergeCell ref="J90:K90"/>
    <mergeCell ref="L90:M90"/>
    <mergeCell ref="E71:F71"/>
    <mergeCell ref="H71:I71"/>
    <mergeCell ref="J100:K100"/>
    <mergeCell ref="J101:K101"/>
    <mergeCell ref="J102:K102"/>
    <mergeCell ref="S105:T105"/>
    <mergeCell ref="T87:U87"/>
    <mergeCell ref="N51:N52"/>
    <mergeCell ref="E52:F52"/>
    <mergeCell ref="E54:F54"/>
    <mergeCell ref="E67:F67"/>
    <mergeCell ref="H67:I67"/>
    <mergeCell ref="T88:U88"/>
    <mergeCell ref="H89:I89"/>
    <mergeCell ref="J89:K89"/>
    <mergeCell ref="L89:M89"/>
    <mergeCell ref="T89:U89"/>
    <mergeCell ref="D51:D52"/>
    <mergeCell ref="E51:F51"/>
    <mergeCell ref="G51:G52"/>
    <mergeCell ref="H51:I52"/>
    <mergeCell ref="J51:J52"/>
    <mergeCell ref="K51:L52"/>
    <mergeCell ref="B87:C87"/>
    <mergeCell ref="D87:E87"/>
    <mergeCell ref="H87:M87"/>
    <mergeCell ref="M51:M52"/>
    <mergeCell ref="B48:C49"/>
    <mergeCell ref="D48:D49"/>
    <mergeCell ref="E48:F48"/>
    <mergeCell ref="G48:G49"/>
    <mergeCell ref="H48:I49"/>
    <mergeCell ref="J48:J49"/>
    <mergeCell ref="N39:N40"/>
    <mergeCell ref="O39:P40"/>
    <mergeCell ref="Q39:Q40"/>
    <mergeCell ref="K48:L49"/>
    <mergeCell ref="M48:M49"/>
    <mergeCell ref="N48:N49"/>
    <mergeCell ref="E49:F49"/>
    <mergeCell ref="R39:R40"/>
    <mergeCell ref="I40:J40"/>
    <mergeCell ref="E42:F42"/>
    <mergeCell ref="D39:D40"/>
    <mergeCell ref="E39:E40"/>
    <mergeCell ref="F39:F40"/>
    <mergeCell ref="G39:J39"/>
    <mergeCell ref="K39:K40"/>
    <mergeCell ref="L39:M40"/>
    <mergeCell ref="L36:M37"/>
    <mergeCell ref="N36:N37"/>
    <mergeCell ref="O36:P37"/>
    <mergeCell ref="Q36:Q37"/>
    <mergeCell ref="R36:R37"/>
    <mergeCell ref="I37:J37"/>
    <mergeCell ref="B36:C37"/>
    <mergeCell ref="D36:D37"/>
    <mergeCell ref="E36:E37"/>
    <mergeCell ref="F36:F37"/>
    <mergeCell ref="G36:J36"/>
    <mergeCell ref="K36:K37"/>
    <mergeCell ref="S25:T25"/>
    <mergeCell ref="S26:T26"/>
    <mergeCell ref="S27:T27"/>
    <mergeCell ref="S28:T28"/>
    <mergeCell ref="S29:T29"/>
    <mergeCell ref="S30:T30"/>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1 G207 G225">
    <cfRule type="cellIs" dxfId="181" priority="8" stopIfTrue="1" operator="equal">
      <formula>"Under Dimentioned"</formula>
    </cfRule>
  </conditionalFormatting>
  <conditionalFormatting sqref="H74">
    <cfRule type="cellIs" dxfId="180" priority="5" stopIfTrue="1" operator="equal">
      <formula>"Under Dimentioned"</formula>
    </cfRule>
    <cfRule type="cellIs" dxfId="179" priority="6" stopIfTrue="1" operator="equal">
      <formula>"Over Dimentioned"</formula>
    </cfRule>
  </conditionalFormatting>
  <conditionalFormatting sqref="H154 H238">
    <cfRule type="containsText" dxfId="178" priority="7" operator="containsText" text="Under Dimentioned">
      <formula>NOT(ISERROR(SEARCH("Under Dimentioned",H154)))</formula>
    </cfRule>
  </conditionalFormatting>
  <conditionalFormatting sqref="H154">
    <cfRule type="cellIs" dxfId="177" priority="3" stopIfTrue="1" operator="equal">
      <formula>"Under Dimentioned"</formula>
    </cfRule>
    <cfRule type="cellIs" dxfId="176" priority="4" stopIfTrue="1" operator="equal">
      <formula>"Over Dimentioned"</formula>
    </cfRule>
  </conditionalFormatting>
  <conditionalFormatting sqref="H238">
    <cfRule type="cellIs" dxfId="175" priority="1" stopIfTrue="1" operator="equal">
      <formula>"Under Dimentioned"</formula>
    </cfRule>
    <cfRule type="cellIs" dxfId="174" priority="2" stopIfTrue="1" operator="equal">
      <formula>"Over Dimentioned"</formula>
    </cfRule>
  </conditionalFormatting>
  <dataValidations count="2">
    <dataValidation type="list" allowBlank="1" showInputMessage="1" showErrorMessage="1" sqref="D87 D167" xr:uid="{61D27B60-FBDE-4E33-8A43-ACB4026F2E11}">
      <formula1>"Core1,Core2,Core3"</formula1>
    </dataValidation>
    <dataValidation type="list" allowBlank="1" showInputMessage="1" showErrorMessage="1" sqref="D7:E7" xr:uid="{7956D522-DF64-46E4-99C0-158390E28DF5}">
      <formula1>"Core1,Core2,Core3,Core4"</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5A3C-7567-4CA6-BC74-6A2173A9B476}">
  <sheetPr>
    <tabColor rgb="FF00B050"/>
  </sheetPr>
  <dimension ref="A1:AC735"/>
  <sheetViews>
    <sheetView showZeros="0" view="pageBreakPreview" zoomScaleNormal="100" zoomScaleSheetLayoutView="100" workbookViewId="0">
      <selection activeCell="Q698" sqref="Q698:R701"/>
    </sheetView>
  </sheetViews>
  <sheetFormatPr defaultColWidth="4.33203125" defaultRowHeight="18" customHeight="1"/>
  <cols>
    <col min="1" max="11" width="4.33203125" style="30"/>
    <col min="12" max="13" width="4.5546875" style="30" customWidth="1"/>
    <col min="14" max="14" width="4.33203125" style="30" customWidth="1"/>
    <col min="15" max="16384" width="4.33203125" style="30"/>
  </cols>
  <sheetData>
    <row r="1" spans="1:29" ht="18" customHeight="1">
      <c r="A1" s="920" t="s">
        <v>0</v>
      </c>
      <c r="B1" s="921"/>
      <c r="C1" s="921"/>
      <c r="D1" s="921"/>
      <c r="E1" s="921"/>
      <c r="F1" s="921"/>
      <c r="G1" s="922"/>
      <c r="H1" s="906" t="str">
        <f>[3]Title!H1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[3]Title!H2</f>
        <v>CALCULATION</v>
      </c>
      <c r="I2" s="934"/>
      <c r="J2" s="934"/>
      <c r="K2" s="934"/>
      <c r="L2" s="934"/>
      <c r="M2" s="934"/>
      <c r="N2" s="935"/>
      <c r="O2" s="885" t="str">
        <f>Title!O2</f>
        <v>Date</v>
      </c>
      <c r="P2" s="886"/>
      <c r="Q2" s="887"/>
      <c r="R2" s="936">
        <f>Title!R2</f>
        <v>46134</v>
      </c>
      <c r="S2" s="932"/>
      <c r="T2" s="932"/>
      <c r="U2" s="932"/>
      <c r="V2" s="933"/>
      <c r="W2" s="14"/>
      <c r="X2" s="14"/>
    </row>
    <row r="3" spans="1:29"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[3]Title!A5</f>
        <v>Prep. By</v>
      </c>
      <c r="B5" s="943"/>
      <c r="C5" s="25" t="str">
        <f>[3]Title!C5</f>
        <v>PK</v>
      </c>
      <c r="D5" s="880" t="str">
        <f>[3]Title!D5</f>
        <v>Checked By</v>
      </c>
      <c r="E5" s="881"/>
      <c r="F5" s="943"/>
      <c r="G5" s="25" t="str">
        <f>[3]Title!G5</f>
        <v>RN</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960</v>
      </c>
      <c r="C7" s="782"/>
      <c r="D7" s="781" t="s">
        <v>385</v>
      </c>
      <c r="E7" s="782"/>
      <c r="F7" s="186"/>
      <c r="H7" s="689" t="s">
        <v>594</v>
      </c>
      <c r="I7" s="689"/>
      <c r="J7" s="689"/>
      <c r="K7" s="689"/>
      <c r="L7" s="689"/>
      <c r="M7" s="689"/>
      <c r="N7" s="689"/>
      <c r="P7" s="186"/>
      <c r="S7" s="187" t="s">
        <v>387</v>
      </c>
      <c r="T7" s="1161" t="s">
        <v>205</v>
      </c>
      <c r="U7" s="1162"/>
      <c r="V7" s="185"/>
    </row>
    <row r="8" spans="1:29" ht="18" customHeight="1">
      <c r="A8" s="184"/>
      <c r="F8" s="255"/>
      <c r="T8" s="1161"/>
      <c r="U8" s="1162"/>
      <c r="V8" s="185"/>
    </row>
    <row r="9" spans="1:29" ht="18" customHeight="1">
      <c r="A9" s="1191"/>
      <c r="B9" s="1192"/>
      <c r="C9" s="1192"/>
      <c r="D9" s="684"/>
      <c r="H9" s="789" t="s">
        <v>390</v>
      </c>
      <c r="I9" s="789"/>
      <c r="J9" s="708" t="s">
        <v>391</v>
      </c>
      <c r="K9" s="708"/>
      <c r="L9" s="708" t="s">
        <v>392</v>
      </c>
      <c r="M9" s="708"/>
      <c r="V9" s="185"/>
    </row>
    <row r="10" spans="1:29" ht="18" customHeight="1">
      <c r="A10" s="184"/>
      <c r="B10" s="47" t="s">
        <v>393</v>
      </c>
      <c r="H10" s="791">
        <v>600</v>
      </c>
      <c r="I10" s="792"/>
      <c r="J10" s="781">
        <v>1000</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1.5</v>
      </c>
      <c r="I12" s="782"/>
      <c r="J12" s="192" t="s">
        <v>333</v>
      </c>
      <c r="V12" s="185"/>
    </row>
    <row r="13" spans="1:29" ht="18" customHeight="1">
      <c r="A13" s="184"/>
      <c r="B13" s="47" t="s">
        <v>398</v>
      </c>
      <c r="G13" s="120" t="s">
        <v>498</v>
      </c>
      <c r="H13" s="781">
        <v>400</v>
      </c>
      <c r="I13" s="782"/>
      <c r="J13" s="14" t="s">
        <v>305</v>
      </c>
      <c r="V13" s="185"/>
      <c r="W13" s="30" t="s">
        <v>400</v>
      </c>
      <c r="AB13" s="785">
        <f>D57</f>
        <v>92.23</v>
      </c>
      <c r="AC13" s="786"/>
    </row>
    <row r="14" spans="1:29" ht="18" customHeight="1">
      <c r="A14" s="184"/>
      <c r="B14" s="14" t="s">
        <v>401</v>
      </c>
      <c r="G14" s="120" t="s">
        <v>402</v>
      </c>
      <c r="H14" s="781">
        <v>20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7UT85</v>
      </c>
      <c r="E18" s="196"/>
      <c r="F18" s="196"/>
      <c r="G18" s="196"/>
      <c r="H18" s="182" t="s">
        <v>406</v>
      </c>
      <c r="I18" s="183" t="s">
        <v>127</v>
      </c>
      <c r="J18" s="1193">
        <f>'CT-VT Burdens'!Q119</f>
        <v>0.1</v>
      </c>
      <c r="K18" s="1105"/>
      <c r="L18" s="3" t="s">
        <v>157</v>
      </c>
      <c r="V18" s="185"/>
    </row>
    <row r="19" spans="1:22" ht="18" customHeight="1">
      <c r="A19" s="184"/>
      <c r="B19" s="184" t="s">
        <v>405</v>
      </c>
      <c r="D19" s="30">
        <f>T8</f>
        <v>0</v>
      </c>
      <c r="H19" s="27"/>
      <c r="I19" s="177" t="s">
        <v>127</v>
      </c>
      <c r="J19" s="1194"/>
      <c r="K19" s="1107"/>
      <c r="L19" s="198" t="s">
        <v>157</v>
      </c>
      <c r="V19" s="185"/>
    </row>
    <row r="20" spans="1:22" ht="18" customHeight="1">
      <c r="A20" s="184"/>
      <c r="B20" s="184" t="s">
        <v>405</v>
      </c>
      <c r="D20" s="30">
        <f>T9</f>
        <v>0</v>
      </c>
      <c r="E20" s="14"/>
      <c r="G20" s="199"/>
      <c r="H20" s="27"/>
      <c r="I20" s="177" t="s">
        <v>127</v>
      </c>
      <c r="J20" s="1108"/>
      <c r="K20" s="788"/>
      <c r="L20" s="202" t="s">
        <v>157</v>
      </c>
      <c r="V20" s="185"/>
    </row>
    <row r="21" spans="1:22" ht="18" customHeight="1">
      <c r="A21" s="184"/>
      <c r="B21" s="184" t="s">
        <v>412</v>
      </c>
      <c r="H21" s="27" t="s">
        <v>599</v>
      </c>
      <c r="I21" s="177" t="s">
        <v>127</v>
      </c>
      <c r="J21" s="793">
        <f>'CT-VT Burdens'!S30</f>
        <v>1.1667743100000001</v>
      </c>
      <c r="K21" s="1156"/>
      <c r="L21" s="203" t="s">
        <v>157</v>
      </c>
      <c r="V21" s="185"/>
    </row>
    <row r="22" spans="1:22" ht="18" customHeight="1">
      <c r="A22" s="184"/>
      <c r="B22" s="205" t="s">
        <v>413</v>
      </c>
      <c r="C22" s="206"/>
      <c r="D22" s="206"/>
      <c r="E22" s="206"/>
      <c r="F22" s="207"/>
      <c r="G22" s="207"/>
      <c r="H22" s="190" t="s">
        <v>409</v>
      </c>
      <c r="I22" s="208" t="s">
        <v>127</v>
      </c>
      <c r="J22" s="766">
        <f>J19+J21</f>
        <v>1.1667743100000001</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S53</f>
        <v>1</v>
      </c>
      <c r="G26" s="27" t="s">
        <v>315</v>
      </c>
      <c r="H26" s="27">
        <f>S53</f>
        <v>1</v>
      </c>
      <c r="I26" s="30" t="s">
        <v>350</v>
      </c>
      <c r="J26" s="199"/>
      <c r="L26" s="47"/>
      <c r="N26" s="27" t="s">
        <v>127</v>
      </c>
      <c r="O26" s="204">
        <f>J22</f>
        <v>1.1667743100000001</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1.1667743100000001</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t="s">
        <v>668</v>
      </c>
      <c r="C29" s="47"/>
      <c r="D29" s="47"/>
      <c r="E29" s="47"/>
      <c r="H29" s="27"/>
      <c r="I29" s="28"/>
      <c r="J29" s="199"/>
      <c r="L29" s="28" t="s">
        <v>127</v>
      </c>
      <c r="M29" s="795">
        <f>D27</f>
        <v>0.1</v>
      </c>
      <c r="N29" s="795"/>
      <c r="O29" s="27" t="s">
        <v>347</v>
      </c>
      <c r="P29" s="795">
        <f>O27</f>
        <v>1.1667743100000001</v>
      </c>
      <c r="Q29" s="795"/>
      <c r="R29" s="211" t="s">
        <v>127</v>
      </c>
      <c r="S29" s="795">
        <f>M29+P29</f>
        <v>1.2667743100000002</v>
      </c>
      <c r="T29" s="795"/>
      <c r="U29" s="192" t="s">
        <v>333</v>
      </c>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2" s="14" customFormat="1" ht="18" customHeight="1">
      <c r="A33" s="96"/>
      <c r="B33" s="47" t="s">
        <v>605</v>
      </c>
      <c r="C33" s="5"/>
      <c r="D33" s="5"/>
      <c r="E33" s="5"/>
      <c r="M33" s="120" t="s">
        <v>606</v>
      </c>
      <c r="N33" s="103" t="s">
        <v>607</v>
      </c>
      <c r="O33" s="1154">
        <v>132</v>
      </c>
      <c r="P33" s="831"/>
      <c r="Q33" s="14" t="s">
        <v>163</v>
      </c>
      <c r="S33" s="214"/>
      <c r="T33" s="18"/>
      <c r="U33" s="18"/>
      <c r="V33" s="97"/>
    </row>
    <row r="34" spans="1:22" s="14" customFormat="1" ht="18" customHeight="1">
      <c r="A34" s="216"/>
      <c r="B34" s="212"/>
      <c r="C34" s="212"/>
      <c r="D34" s="212"/>
      <c r="E34" s="212"/>
      <c r="T34" s="18"/>
      <c r="U34" s="18"/>
      <c r="V34" s="97"/>
    </row>
    <row r="35" spans="1:22"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2"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132</v>
      </c>
      <c r="R36" s="47" t="s">
        <v>350</v>
      </c>
      <c r="T36" s="18"/>
      <c r="U36" s="18"/>
      <c r="V36" s="97"/>
    </row>
    <row r="37" spans="1:22" s="14" customFormat="1" ht="18" customHeight="1">
      <c r="A37" s="216"/>
      <c r="B37" s="212"/>
      <c r="C37" s="212"/>
      <c r="D37" s="212"/>
      <c r="E37" s="212"/>
      <c r="F37" s="212"/>
      <c r="G37" s="212"/>
      <c r="I37" s="28" t="s">
        <v>127</v>
      </c>
      <c r="J37" s="692">
        <f>(O31*1000)/(SQRT(3)*O33)</f>
        <v>437.38656756789834</v>
      </c>
      <c r="K37" s="692"/>
      <c r="L37" s="14" t="s">
        <v>8</v>
      </c>
      <c r="M37" s="120"/>
      <c r="N37" s="120"/>
      <c r="O37" s="120"/>
      <c r="T37" s="18"/>
      <c r="U37" s="18"/>
      <c r="V37" s="97"/>
    </row>
    <row r="38" spans="1:22" s="14" customFormat="1" ht="18" customHeight="1">
      <c r="A38" s="147" t="s">
        <v>669</v>
      </c>
      <c r="B38" s="5"/>
      <c r="C38" s="5"/>
      <c r="D38" s="5"/>
      <c r="E38" s="5"/>
      <c r="F38" s="212"/>
      <c r="G38" s="212"/>
      <c r="H38" s="5"/>
      <c r="I38" s="5"/>
      <c r="J38" s="5"/>
      <c r="K38" s="5"/>
      <c r="L38" s="103"/>
      <c r="M38" s="103"/>
      <c r="N38" s="103"/>
      <c r="O38" s="103"/>
      <c r="P38" s="212"/>
      <c r="Q38" s="213"/>
      <c r="U38" s="18"/>
      <c r="V38" s="97"/>
    </row>
    <row r="39" spans="1:22" s="14" customFormat="1" ht="18" customHeight="1">
      <c r="A39" s="147"/>
      <c r="B39" s="5"/>
      <c r="C39" s="5"/>
      <c r="D39" s="5"/>
      <c r="E39" s="5"/>
      <c r="F39" s="212"/>
      <c r="G39" s="212"/>
      <c r="H39" s="5"/>
      <c r="I39" s="5"/>
      <c r="J39" s="5"/>
      <c r="K39" s="5"/>
      <c r="L39" s="103"/>
      <c r="M39" s="103"/>
      <c r="N39" s="103"/>
      <c r="O39" s="103"/>
      <c r="P39" s="212"/>
      <c r="Q39" s="213"/>
      <c r="S39" s="214"/>
      <c r="T39" s="18"/>
      <c r="U39" s="18"/>
      <c r="V39" s="97"/>
    </row>
    <row r="40" spans="1:22" ht="18" customHeight="1">
      <c r="A40" s="184" t="s">
        <v>670</v>
      </c>
      <c r="B40" s="14"/>
      <c r="C40" s="14"/>
      <c r="D40" s="14"/>
      <c r="E40" s="14"/>
      <c r="M40" s="120"/>
      <c r="N40" s="27" t="s">
        <v>127</v>
      </c>
      <c r="O40" s="689">
        <v>50000</v>
      </c>
      <c r="P40" s="716"/>
      <c r="Q40" s="461" t="s">
        <v>8</v>
      </c>
      <c r="R40" s="221"/>
      <c r="S40" s="214"/>
      <c r="V40" s="185"/>
    </row>
    <row r="41" spans="1:22" ht="18" customHeight="1">
      <c r="A41" s="184"/>
      <c r="B41" s="14"/>
      <c r="C41" s="14"/>
      <c r="D41" s="14"/>
      <c r="E41" s="14"/>
      <c r="M41" s="120"/>
      <c r="N41" s="27"/>
      <c r="O41" s="28"/>
      <c r="P41" s="14"/>
      <c r="Q41" s="461"/>
      <c r="R41" s="221"/>
      <c r="S41" s="214"/>
      <c r="V41" s="185"/>
    </row>
    <row r="42" spans="1:22" ht="18" customHeight="1">
      <c r="A42" s="184"/>
      <c r="B42" s="689" t="s">
        <v>473</v>
      </c>
      <c r="C42" s="1150" t="s">
        <v>652</v>
      </c>
      <c r="D42" s="279"/>
      <c r="E42" s="279"/>
      <c r="F42" s="279"/>
      <c r="G42" s="802">
        <v>0.4</v>
      </c>
      <c r="H42" s="1153" t="s">
        <v>315</v>
      </c>
      <c r="I42" s="790" t="s">
        <v>671</v>
      </c>
      <c r="J42" s="1147"/>
      <c r="K42" s="1147"/>
      <c r="L42" s="1147"/>
      <c r="M42" s="1147"/>
      <c r="N42" s="689" t="s">
        <v>672</v>
      </c>
      <c r="O42" s="708" t="s">
        <v>420</v>
      </c>
      <c r="P42" s="689" t="s">
        <v>347</v>
      </c>
      <c r="Q42" s="790" t="s">
        <v>673</v>
      </c>
      <c r="R42" s="708" t="s">
        <v>674</v>
      </c>
      <c r="S42" s="790" t="s">
        <v>482</v>
      </c>
      <c r="T42" s="14"/>
      <c r="U42" s="729" t="s">
        <v>653</v>
      </c>
      <c r="V42" s="185"/>
    </row>
    <row r="43" spans="1:22" ht="18" customHeight="1">
      <c r="A43" s="96"/>
      <c r="B43" s="689"/>
      <c r="C43" s="689"/>
      <c r="D43" s="279"/>
      <c r="E43" s="279"/>
      <c r="F43" s="279"/>
      <c r="G43" s="802"/>
      <c r="H43" s="689"/>
      <c r="I43" s="1190" t="s">
        <v>483</v>
      </c>
      <c r="J43" s="1189"/>
      <c r="K43" s="1189"/>
      <c r="L43" s="1189"/>
      <c r="M43" s="1189"/>
      <c r="N43" s="689"/>
      <c r="O43" s="689"/>
      <c r="P43" s="689"/>
      <c r="Q43" s="689"/>
      <c r="R43" s="689"/>
      <c r="S43" s="689"/>
      <c r="T43" s="14"/>
      <c r="U43" s="689"/>
      <c r="V43" s="185"/>
    </row>
    <row r="44" spans="1:22" ht="18" customHeight="1">
      <c r="A44" s="96"/>
      <c r="B44" s="5"/>
      <c r="C44" s="5"/>
      <c r="D44" s="5"/>
      <c r="E44" s="5"/>
      <c r="M44" s="120"/>
      <c r="N44" s="28"/>
      <c r="O44" s="689"/>
      <c r="P44" s="716"/>
      <c r="Q44" s="241"/>
      <c r="R44" s="14"/>
      <c r="S44" s="21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84"/>
      <c r="B47" s="47" t="s">
        <v>675</v>
      </c>
      <c r="C47" s="14"/>
      <c r="D47" s="14"/>
      <c r="E47" s="14"/>
      <c r="F47" s="18"/>
      <c r="G47" s="18"/>
      <c r="H47" s="14"/>
      <c r="I47" s="120"/>
      <c r="J47" s="14"/>
      <c r="K47" s="14"/>
      <c r="M47" s="14"/>
      <c r="N47" s="14"/>
      <c r="P47" s="30" t="s">
        <v>483</v>
      </c>
      <c r="R47" s="234" t="s">
        <v>127</v>
      </c>
      <c r="S47" s="684">
        <f>H10</f>
        <v>600</v>
      </c>
      <c r="T47" s="684"/>
      <c r="U47" s="30" t="s">
        <v>8</v>
      </c>
      <c r="V47" s="185"/>
    </row>
    <row r="48" spans="1:22" ht="18" customHeight="1">
      <c r="A48" s="184"/>
      <c r="B48" s="47" t="s">
        <v>655</v>
      </c>
      <c r="C48" s="14"/>
      <c r="D48" s="14"/>
      <c r="E48" s="14"/>
      <c r="F48" s="18"/>
      <c r="G48" s="18"/>
      <c r="H48" s="14"/>
      <c r="I48" s="120"/>
      <c r="J48" s="14"/>
      <c r="K48" s="14"/>
      <c r="M48" s="14"/>
      <c r="N48" s="14"/>
      <c r="P48" s="14" t="s">
        <v>420</v>
      </c>
      <c r="R48" s="234" t="s">
        <v>127</v>
      </c>
      <c r="S48" s="684">
        <f>H12</f>
        <v>1.5</v>
      </c>
      <c r="T48" s="684"/>
      <c r="U48" s="192" t="s">
        <v>333</v>
      </c>
      <c r="V48" s="185"/>
    </row>
    <row r="49" spans="1:22" ht="18" customHeight="1">
      <c r="A49" s="184"/>
      <c r="B49" s="47" t="s">
        <v>676</v>
      </c>
      <c r="C49" s="14"/>
      <c r="D49" s="14"/>
      <c r="E49" s="14"/>
      <c r="F49" s="18"/>
      <c r="G49" s="18"/>
      <c r="H49" s="14"/>
      <c r="I49" s="120"/>
      <c r="J49" s="14"/>
      <c r="K49" s="14"/>
      <c r="M49" s="14"/>
      <c r="N49" s="14"/>
      <c r="P49" s="30" t="s">
        <v>673</v>
      </c>
      <c r="R49" s="234" t="s">
        <v>127</v>
      </c>
      <c r="S49" s="795">
        <f>S29</f>
        <v>1.2667743100000002</v>
      </c>
      <c r="T49" s="795"/>
      <c r="U49" s="192" t="s">
        <v>333</v>
      </c>
      <c r="V49" s="185"/>
    </row>
    <row r="50" spans="1:22" ht="18" customHeight="1">
      <c r="A50" s="184"/>
      <c r="B50" s="296" t="s">
        <v>677</v>
      </c>
      <c r="C50" s="14"/>
      <c r="D50" s="14"/>
      <c r="E50" s="14"/>
      <c r="F50" s="14"/>
      <c r="G50" s="14"/>
      <c r="H50" s="14"/>
      <c r="I50" s="120"/>
      <c r="J50" s="14"/>
      <c r="K50" s="14"/>
      <c r="M50" s="14"/>
      <c r="N50" s="14"/>
      <c r="P50" s="14" t="s">
        <v>411</v>
      </c>
      <c r="R50" s="234" t="s">
        <v>127</v>
      </c>
      <c r="S50" s="684">
        <f>O10</f>
        <v>1</v>
      </c>
      <c r="T50" s="684"/>
      <c r="U50" s="30" t="s">
        <v>8</v>
      </c>
      <c r="V50" s="185"/>
    </row>
    <row r="51" spans="1:22" ht="18" customHeight="1">
      <c r="A51" s="184"/>
      <c r="B51" s="47" t="s">
        <v>678</v>
      </c>
      <c r="C51" s="14"/>
      <c r="D51" s="14"/>
      <c r="E51" s="14"/>
      <c r="F51" s="14"/>
      <c r="G51" s="14"/>
      <c r="H51" s="14"/>
      <c r="I51" s="120"/>
      <c r="J51" s="14"/>
      <c r="K51" s="14"/>
      <c r="M51" s="14"/>
      <c r="N51" s="14"/>
      <c r="P51" s="244" t="s">
        <v>671</v>
      </c>
      <c r="R51" s="234" t="s">
        <v>127</v>
      </c>
      <c r="S51" s="684">
        <f>O40</f>
        <v>50000</v>
      </c>
      <c r="T51" s="684"/>
      <c r="U51" s="30" t="s">
        <v>8</v>
      </c>
      <c r="V51" s="185"/>
    </row>
    <row r="52" spans="1:22" ht="18" customHeight="1">
      <c r="A52" s="184"/>
      <c r="B52" s="296" t="s">
        <v>679</v>
      </c>
      <c r="C52" s="14"/>
      <c r="D52" s="14"/>
      <c r="E52" s="14"/>
      <c r="F52" s="14"/>
      <c r="G52" s="14"/>
      <c r="H52" s="14"/>
      <c r="I52" s="120"/>
      <c r="J52" s="14"/>
      <c r="K52" s="14"/>
      <c r="M52" s="14"/>
      <c r="N52" s="14"/>
      <c r="P52" s="120" t="s">
        <v>680</v>
      </c>
      <c r="R52" s="234" t="s">
        <v>127</v>
      </c>
      <c r="S52" s="795">
        <f>J37</f>
        <v>437.38656756789834</v>
      </c>
      <c r="T52" s="684"/>
      <c r="U52" s="30" t="s">
        <v>8</v>
      </c>
      <c r="V52" s="185"/>
    </row>
    <row r="53" spans="1:22" ht="18" customHeight="1">
      <c r="A53" s="184"/>
      <c r="B53" s="47" t="s">
        <v>659</v>
      </c>
      <c r="C53" s="14"/>
      <c r="D53" s="14"/>
      <c r="E53" s="14"/>
      <c r="F53" s="14"/>
      <c r="G53" s="14"/>
      <c r="H53" s="14"/>
      <c r="I53" s="120"/>
      <c r="J53" s="14"/>
      <c r="K53" s="14"/>
      <c r="M53" s="14"/>
      <c r="N53" s="14"/>
      <c r="P53" s="120" t="s">
        <v>660</v>
      </c>
      <c r="R53" s="234" t="s">
        <v>127</v>
      </c>
      <c r="S53" s="684">
        <f>'[3]CT-VT Burdens'!S18</f>
        <v>1</v>
      </c>
      <c r="T53" s="684"/>
      <c r="U53" s="30" t="s">
        <v>8</v>
      </c>
      <c r="V53" s="185"/>
    </row>
    <row r="54" spans="1:22" ht="18" customHeight="1">
      <c r="A54" s="96"/>
      <c r="B54" s="14"/>
      <c r="C54" s="14"/>
      <c r="D54" s="235"/>
      <c r="E54" s="14"/>
      <c r="F54" s="28"/>
      <c r="G54" s="249"/>
      <c r="H54" s="28"/>
      <c r="I54" s="251"/>
      <c r="J54" s="14"/>
      <c r="K54" s="280"/>
      <c r="M54" s="47"/>
      <c r="N54" s="268"/>
      <c r="P54" s="281"/>
      <c r="R54" s="234"/>
      <c r="S54" s="1148"/>
      <c r="T54" s="723"/>
      <c r="V54" s="185"/>
    </row>
    <row r="55" spans="1:22" s="279" customFormat="1" ht="18" customHeight="1">
      <c r="A55" s="277"/>
      <c r="B55" s="689" t="s">
        <v>473</v>
      </c>
      <c r="C55" s="1150" t="s">
        <v>652</v>
      </c>
      <c r="G55" s="802">
        <f>G42</f>
        <v>0.4</v>
      </c>
      <c r="H55" s="1151" t="s">
        <v>315</v>
      </c>
      <c r="I55" s="829">
        <f>O40</f>
        <v>50000</v>
      </c>
      <c r="J55" s="1152"/>
      <c r="K55" s="1152"/>
      <c r="L55" s="1152"/>
      <c r="M55" s="1152"/>
      <c r="N55" s="689" t="s">
        <v>672</v>
      </c>
      <c r="O55" s="708">
        <f>S48</f>
        <v>1.5</v>
      </c>
      <c r="P55" s="689" t="s">
        <v>347</v>
      </c>
      <c r="Q55" s="829">
        <f>S49</f>
        <v>1.2667743100000002</v>
      </c>
      <c r="R55" s="708" t="s">
        <v>674</v>
      </c>
      <c r="S55" s="708">
        <f>S50</f>
        <v>1</v>
      </c>
      <c r="T55" s="14"/>
      <c r="U55" s="729" t="s">
        <v>653</v>
      </c>
      <c r="V55" s="185"/>
    </row>
    <row r="56" spans="1:22" s="279" customFormat="1" ht="18" customHeight="1">
      <c r="A56" s="277"/>
      <c r="B56" s="689"/>
      <c r="C56" s="689"/>
      <c r="G56" s="802"/>
      <c r="H56" s="684"/>
      <c r="I56" s="1189">
        <f>H10</f>
        <v>600</v>
      </c>
      <c r="J56" s="1189"/>
      <c r="K56" s="1189"/>
      <c r="L56" s="1189"/>
      <c r="M56" s="1189"/>
      <c r="N56" s="689"/>
      <c r="O56" s="689"/>
      <c r="P56" s="689"/>
      <c r="Q56" s="689"/>
      <c r="R56" s="689"/>
      <c r="S56" s="689"/>
      <c r="T56" s="14"/>
      <c r="U56" s="689"/>
      <c r="V56" s="185"/>
    </row>
    <row r="57" spans="1:22" ht="18" customHeight="1">
      <c r="A57" s="96"/>
      <c r="B57" s="14"/>
      <c r="C57" s="27" t="s">
        <v>127</v>
      </c>
      <c r="D57" s="812">
        <f>ROUNDUP(G55*(I55/(I56)*(O55+Q55)*S55),2)</f>
        <v>92.23</v>
      </c>
      <c r="E57" s="813"/>
      <c r="F57" s="30" t="s">
        <v>305</v>
      </c>
      <c r="G57" s="14"/>
      <c r="H57" s="14"/>
      <c r="I57" s="14"/>
      <c r="J57" s="14"/>
      <c r="K57" s="14"/>
      <c r="L57" s="14"/>
      <c r="M57" s="14"/>
      <c r="N57" s="14"/>
      <c r="R57" s="234"/>
      <c r="S57" s="204"/>
      <c r="V57" s="185"/>
    </row>
    <row r="58" spans="1:22" ht="18" customHeight="1">
      <c r="A58" s="96"/>
      <c r="B58" s="14"/>
      <c r="G58" s="14"/>
      <c r="H58" s="14"/>
      <c r="I58" s="14"/>
      <c r="J58" s="14"/>
      <c r="K58" s="14"/>
      <c r="L58" s="14"/>
      <c r="M58" s="14"/>
      <c r="N58" s="14"/>
      <c r="R58" s="234"/>
      <c r="S58" s="204"/>
      <c r="V58" s="185"/>
    </row>
    <row r="59" spans="1:22" ht="18" hidden="1" customHeight="1">
      <c r="A59" s="96"/>
      <c r="B59" s="14"/>
      <c r="G59" s="27"/>
      <c r="M59" s="14"/>
      <c r="N59" s="14"/>
      <c r="R59" s="234"/>
      <c r="S59" s="204"/>
      <c r="V59" s="185"/>
    </row>
    <row r="60" spans="1:22" ht="18" hidden="1" customHeight="1">
      <c r="A60" s="96"/>
      <c r="B60" s="14"/>
      <c r="G60" s="27"/>
      <c r="H60" s="204"/>
      <c r="M60" s="14"/>
      <c r="N60" s="14"/>
      <c r="R60" s="234"/>
      <c r="S60" s="204"/>
      <c r="V60" s="185"/>
    </row>
    <row r="61" spans="1:22" ht="18" hidden="1" customHeight="1">
      <c r="A61" s="96"/>
      <c r="B61" s="14"/>
      <c r="F61" s="244"/>
      <c r="H61" s="18"/>
      <c r="M61" s="14"/>
      <c r="N61" s="14"/>
      <c r="R61" s="234"/>
      <c r="S61" s="204"/>
      <c r="V61" s="185"/>
    </row>
    <row r="62" spans="1:22" ht="18" hidden="1" customHeight="1">
      <c r="A62" s="96"/>
      <c r="B62" s="14"/>
      <c r="G62" s="14"/>
      <c r="H62" s="14"/>
      <c r="I62" s="14"/>
      <c r="J62" s="14"/>
      <c r="K62" s="14"/>
      <c r="L62" s="14"/>
      <c r="M62" s="14"/>
      <c r="N62" s="14"/>
      <c r="R62" s="234"/>
      <c r="S62" s="204"/>
      <c r="V62" s="185"/>
    </row>
    <row r="63" spans="1:22" ht="18" customHeight="1">
      <c r="A63" s="184" t="s">
        <v>612</v>
      </c>
      <c r="B63" s="14"/>
      <c r="C63" s="14"/>
      <c r="D63" s="14"/>
      <c r="E63" s="14"/>
      <c r="M63" s="120" t="s">
        <v>613</v>
      </c>
      <c r="N63" s="28" t="s">
        <v>127</v>
      </c>
      <c r="O63" s="689" t="s">
        <v>609</v>
      </c>
      <c r="P63" s="716"/>
      <c r="Q63" s="245" t="s">
        <v>681</v>
      </c>
      <c r="R63" s="805" t="str">
        <f>B32</f>
        <v>Percentage Impedance</v>
      </c>
      <c r="S63" s="805"/>
      <c r="T63" s="805"/>
      <c r="U63" s="805"/>
      <c r="V63" s="968"/>
    </row>
    <row r="64" spans="1:22" ht="18" customHeight="1">
      <c r="A64" s="96"/>
      <c r="B64" s="5"/>
      <c r="C64" s="5"/>
      <c r="D64" s="5"/>
      <c r="E64" s="5"/>
      <c r="M64" s="250"/>
      <c r="N64" s="28" t="s">
        <v>127</v>
      </c>
      <c r="O64" s="692">
        <f>J37</f>
        <v>437.38656756789834</v>
      </c>
      <c r="P64" s="716"/>
      <c r="Q64" s="245" t="s">
        <v>342</v>
      </c>
      <c r="R64" s="221">
        <f>O32%</f>
        <v>0.25</v>
      </c>
      <c r="S64" s="214"/>
      <c r="V64" s="185"/>
    </row>
    <row r="65" spans="1:22" ht="18" customHeight="1">
      <c r="A65" s="96"/>
      <c r="B65" s="5"/>
      <c r="C65" s="5"/>
      <c r="D65" s="5"/>
      <c r="E65" s="5"/>
      <c r="M65" s="120" t="s">
        <v>613</v>
      </c>
      <c r="N65" s="28" t="s">
        <v>127</v>
      </c>
      <c r="O65" s="689">
        <f>O64/R64</f>
        <v>1749.5462702715934</v>
      </c>
      <c r="P65" s="716"/>
      <c r="Q65" s="241" t="s">
        <v>8</v>
      </c>
      <c r="R65" s="14"/>
      <c r="S65" s="214"/>
      <c r="V65" s="185"/>
    </row>
    <row r="66" spans="1:22" ht="18" customHeight="1">
      <c r="A66" s="96"/>
      <c r="B66" s="5"/>
      <c r="C66" s="5"/>
      <c r="D66" s="5"/>
      <c r="E66" s="5"/>
      <c r="M66" s="120"/>
      <c r="N66" s="28"/>
      <c r="O66" s="28"/>
      <c r="P66" s="14"/>
      <c r="Q66" s="241"/>
      <c r="R66" s="14"/>
      <c r="S66" s="214"/>
      <c r="V66" s="185"/>
    </row>
    <row r="67" spans="1:22" s="279" customFormat="1" ht="18" customHeight="1">
      <c r="A67" s="277"/>
      <c r="B67" s="689" t="s">
        <v>473</v>
      </c>
      <c r="C67" s="1150" t="s">
        <v>652</v>
      </c>
      <c r="G67" s="802">
        <v>1.6</v>
      </c>
      <c r="H67" s="1153" t="s">
        <v>315</v>
      </c>
      <c r="I67" s="790" t="s">
        <v>682</v>
      </c>
      <c r="J67" s="1147"/>
      <c r="K67" s="1147"/>
      <c r="L67" s="1147"/>
      <c r="M67" s="1147"/>
      <c r="N67" s="689" t="s">
        <v>672</v>
      </c>
      <c r="O67" s="708" t="s">
        <v>420</v>
      </c>
      <c r="P67" s="689" t="s">
        <v>347</v>
      </c>
      <c r="Q67" s="790" t="s">
        <v>673</v>
      </c>
      <c r="R67" s="708" t="s">
        <v>674</v>
      </c>
      <c r="S67" s="790" t="s">
        <v>482</v>
      </c>
      <c r="T67" s="14"/>
      <c r="U67" s="726" t="s">
        <v>683</v>
      </c>
      <c r="V67" s="185"/>
    </row>
    <row r="68" spans="1:22" s="279" customFormat="1" ht="18" customHeight="1">
      <c r="A68" s="277"/>
      <c r="B68" s="689"/>
      <c r="C68" s="689"/>
      <c r="G68" s="802"/>
      <c r="H68" s="689"/>
      <c r="I68" s="1190" t="s">
        <v>483</v>
      </c>
      <c r="J68" s="1189"/>
      <c r="K68" s="1189"/>
      <c r="L68" s="1189"/>
      <c r="M68" s="1189"/>
      <c r="N68" s="689"/>
      <c r="O68" s="689"/>
      <c r="P68" s="689"/>
      <c r="Q68" s="689"/>
      <c r="R68" s="689"/>
      <c r="S68" s="689"/>
      <c r="T68" s="14"/>
      <c r="U68" s="689"/>
      <c r="V68" s="185"/>
    </row>
    <row r="69" spans="1:22" ht="18" customHeight="1">
      <c r="A69" s="184"/>
      <c r="V69" s="185"/>
    </row>
    <row r="70" spans="1:22" ht="18" customHeight="1">
      <c r="A70" s="184"/>
      <c r="B70" s="47" t="s">
        <v>675</v>
      </c>
      <c r="C70" s="14"/>
      <c r="D70" s="14"/>
      <c r="E70" s="14"/>
      <c r="F70" s="18"/>
      <c r="G70" s="18"/>
      <c r="H70" s="14"/>
      <c r="I70" s="120"/>
      <c r="J70" s="14"/>
      <c r="K70" s="14"/>
      <c r="M70" s="14"/>
      <c r="N70" s="14"/>
      <c r="P70" s="30" t="s">
        <v>483</v>
      </c>
      <c r="R70" s="234" t="s">
        <v>127</v>
      </c>
      <c r="S70" s="684">
        <f>H10</f>
        <v>600</v>
      </c>
      <c r="T70" s="684"/>
      <c r="U70" s="30" t="s">
        <v>8</v>
      </c>
      <c r="V70" s="185"/>
    </row>
    <row r="71" spans="1:22" ht="18" customHeight="1">
      <c r="A71" s="184"/>
      <c r="B71" s="47" t="s">
        <v>655</v>
      </c>
      <c r="C71" s="14"/>
      <c r="D71" s="14"/>
      <c r="E71" s="14"/>
      <c r="F71" s="18"/>
      <c r="G71" s="18"/>
      <c r="H71" s="14"/>
      <c r="I71" s="120"/>
      <c r="J71" s="14"/>
      <c r="K71" s="14"/>
      <c r="M71" s="14"/>
      <c r="N71" s="14"/>
      <c r="P71" s="14" t="s">
        <v>420</v>
      </c>
      <c r="R71" s="234" t="s">
        <v>127</v>
      </c>
      <c r="S71" s="684">
        <f>H12</f>
        <v>1.5</v>
      </c>
      <c r="T71" s="684"/>
      <c r="U71" s="192" t="s">
        <v>333</v>
      </c>
      <c r="V71" s="185"/>
    </row>
    <row r="72" spans="1:22" ht="18" customHeight="1">
      <c r="A72" s="184"/>
      <c r="B72" s="47" t="s">
        <v>676</v>
      </c>
      <c r="C72" s="14"/>
      <c r="D72" s="14"/>
      <c r="E72" s="14"/>
      <c r="F72" s="18"/>
      <c r="G72" s="18"/>
      <c r="H72" s="14"/>
      <c r="I72" s="120"/>
      <c r="J72" s="14"/>
      <c r="K72" s="14"/>
      <c r="M72" s="14"/>
      <c r="N72" s="14"/>
      <c r="P72" s="30" t="s">
        <v>673</v>
      </c>
      <c r="R72" s="234" t="s">
        <v>127</v>
      </c>
      <c r="S72" s="795">
        <f>S29</f>
        <v>1.2667743100000002</v>
      </c>
      <c r="T72" s="795"/>
      <c r="U72" s="192" t="s">
        <v>333</v>
      </c>
      <c r="V72" s="185"/>
    </row>
    <row r="73" spans="1:22" ht="18" customHeight="1">
      <c r="A73" s="184"/>
      <c r="B73" s="296" t="s">
        <v>677</v>
      </c>
      <c r="C73" s="14"/>
      <c r="D73" s="14"/>
      <c r="E73" s="14"/>
      <c r="F73" s="14"/>
      <c r="G73" s="14"/>
      <c r="H73" s="14"/>
      <c r="I73" s="120"/>
      <c r="J73" s="14"/>
      <c r="K73" s="14"/>
      <c r="M73" s="14"/>
      <c r="N73" s="14"/>
      <c r="P73" s="14" t="s">
        <v>411</v>
      </c>
      <c r="R73" s="234" t="s">
        <v>127</v>
      </c>
      <c r="S73" s="684">
        <f>O10</f>
        <v>1</v>
      </c>
      <c r="T73" s="684"/>
      <c r="U73" s="30" t="s">
        <v>8</v>
      </c>
      <c r="V73" s="185"/>
    </row>
    <row r="74" spans="1:22" ht="18" customHeight="1">
      <c r="A74" s="184"/>
      <c r="B74" s="47" t="s">
        <v>678</v>
      </c>
      <c r="C74" s="14"/>
      <c r="D74" s="14"/>
      <c r="E74" s="14"/>
      <c r="F74" s="14"/>
      <c r="G74" s="14"/>
      <c r="H74" s="14"/>
      <c r="I74" s="120"/>
      <c r="J74" s="14"/>
      <c r="K74" s="14"/>
      <c r="M74" s="14"/>
      <c r="N74" s="14"/>
      <c r="P74" s="244" t="s">
        <v>682</v>
      </c>
      <c r="R74" s="234" t="s">
        <v>127</v>
      </c>
      <c r="S74" s="684">
        <f>O65</f>
        <v>1749.5462702715934</v>
      </c>
      <c r="T74" s="684"/>
      <c r="U74" s="30" t="s">
        <v>8</v>
      </c>
      <c r="V74" s="185"/>
    </row>
    <row r="75" spans="1:22" ht="18" customHeight="1">
      <c r="A75" s="184"/>
      <c r="B75" s="296" t="s">
        <v>679</v>
      </c>
      <c r="C75" s="14"/>
      <c r="D75" s="14"/>
      <c r="E75" s="14"/>
      <c r="F75" s="14"/>
      <c r="G75" s="14"/>
      <c r="H75" s="14"/>
      <c r="I75" s="120"/>
      <c r="J75" s="14"/>
      <c r="K75" s="14"/>
      <c r="M75" s="14"/>
      <c r="N75" s="14"/>
      <c r="P75" s="120" t="s">
        <v>680</v>
      </c>
      <c r="R75" s="234" t="s">
        <v>127</v>
      </c>
      <c r="S75" s="795">
        <f>J37</f>
        <v>437.38656756789834</v>
      </c>
      <c r="T75" s="684"/>
      <c r="U75" s="30" t="s">
        <v>8</v>
      </c>
      <c r="V75" s="185"/>
    </row>
    <row r="76" spans="1:22" ht="18" customHeight="1">
      <c r="A76" s="184"/>
      <c r="B76" s="47" t="s">
        <v>659</v>
      </c>
      <c r="C76" s="14"/>
      <c r="D76" s="14"/>
      <c r="E76" s="14"/>
      <c r="F76" s="14"/>
      <c r="G76" s="14"/>
      <c r="H76" s="14"/>
      <c r="I76" s="120"/>
      <c r="J76" s="14"/>
      <c r="K76" s="14"/>
      <c r="M76" s="14"/>
      <c r="N76" s="14"/>
      <c r="P76" s="120" t="s">
        <v>660</v>
      </c>
      <c r="R76" s="234" t="s">
        <v>127</v>
      </c>
      <c r="S76" s="684">
        <f>O10</f>
        <v>1</v>
      </c>
      <c r="T76" s="684"/>
      <c r="U76" s="30" t="s">
        <v>8</v>
      </c>
      <c r="V76" s="185"/>
    </row>
    <row r="77" spans="1:22" ht="18" customHeight="1">
      <c r="A77" s="96"/>
      <c r="B77" s="14"/>
      <c r="C77" s="14"/>
      <c r="D77" s="235"/>
      <c r="E77" s="14"/>
      <c r="F77" s="28"/>
      <c r="G77" s="249"/>
      <c r="H77" s="28"/>
      <c r="I77" s="251"/>
      <c r="J77" s="14"/>
      <c r="K77" s="280"/>
      <c r="M77" s="47"/>
      <c r="N77" s="268"/>
      <c r="P77" s="281"/>
      <c r="R77" s="234"/>
      <c r="S77" s="1148"/>
      <c r="T77" s="723"/>
      <c r="V77" s="185"/>
    </row>
    <row r="78" spans="1:22" s="279" customFormat="1" ht="18" customHeight="1">
      <c r="A78" s="277"/>
      <c r="B78" s="689" t="s">
        <v>473</v>
      </c>
      <c r="C78" s="1150" t="s">
        <v>652</v>
      </c>
      <c r="G78" s="802">
        <f>G67</f>
        <v>1.6</v>
      </c>
      <c r="H78" s="1151" t="s">
        <v>315</v>
      </c>
      <c r="I78" s="829">
        <f>O65</f>
        <v>1749.5462702715934</v>
      </c>
      <c r="J78" s="1152"/>
      <c r="K78" s="1152"/>
      <c r="L78" s="1152"/>
      <c r="M78" s="1152"/>
      <c r="N78" s="689" t="s">
        <v>672</v>
      </c>
      <c r="O78" s="708">
        <f>S71</f>
        <v>1.5</v>
      </c>
      <c r="P78" s="689" t="s">
        <v>347</v>
      </c>
      <c r="Q78" s="829">
        <f>S72</f>
        <v>1.2667743100000002</v>
      </c>
      <c r="R78" s="708" t="s">
        <v>674</v>
      </c>
      <c r="S78" s="708">
        <f>S73</f>
        <v>1</v>
      </c>
      <c r="T78" s="14"/>
      <c r="U78" s="726" t="s">
        <v>683</v>
      </c>
      <c r="V78" s="185"/>
    </row>
    <row r="79" spans="1:22" s="279" customFormat="1" ht="18" customHeight="1">
      <c r="A79" s="277"/>
      <c r="B79" s="689"/>
      <c r="C79" s="689"/>
      <c r="G79" s="802"/>
      <c r="H79" s="684"/>
      <c r="I79" s="1189">
        <f>H10</f>
        <v>600</v>
      </c>
      <c r="J79" s="1189"/>
      <c r="K79" s="1189"/>
      <c r="L79" s="1189"/>
      <c r="M79" s="1189"/>
      <c r="N79" s="689"/>
      <c r="O79" s="689"/>
      <c r="P79" s="689"/>
      <c r="Q79" s="689"/>
      <c r="R79" s="689"/>
      <c r="S79" s="689"/>
      <c r="T79" s="14"/>
      <c r="U79" s="689"/>
      <c r="V79" s="185"/>
    </row>
    <row r="80" spans="1:22" ht="18" customHeight="1">
      <c r="A80" s="96"/>
      <c r="B80" s="14"/>
      <c r="C80" s="27" t="s">
        <v>127</v>
      </c>
      <c r="D80" s="812">
        <f>ROUNDUP(G78*(I78/(I79)*(O78+Q78)*S78),2)</f>
        <v>12.91</v>
      </c>
      <c r="E80" s="813"/>
      <c r="F80" s="30" t="s">
        <v>305</v>
      </c>
      <c r="G80" s="14"/>
      <c r="H80" s="14"/>
      <c r="I80" s="14"/>
      <c r="J80" s="14"/>
      <c r="K80" s="14"/>
      <c r="L80" s="14"/>
      <c r="M80" s="14"/>
      <c r="N80" s="14"/>
      <c r="R80" s="234"/>
      <c r="S80" s="204"/>
      <c r="V80" s="185"/>
    </row>
    <row r="81" spans="1:27" ht="18" customHeight="1">
      <c r="A81" s="184" t="s">
        <v>684</v>
      </c>
      <c r="B81" s="14"/>
      <c r="G81" s="14"/>
      <c r="H81" s="14"/>
      <c r="I81" s="14"/>
      <c r="J81" s="14"/>
      <c r="K81" s="14"/>
      <c r="L81" s="14"/>
      <c r="M81" s="14"/>
      <c r="N81" s="14"/>
      <c r="R81" s="234"/>
      <c r="S81" s="204"/>
      <c r="U81" s="726" t="s">
        <v>685</v>
      </c>
      <c r="V81" s="185"/>
    </row>
    <row r="82" spans="1:27" ht="18" customHeight="1">
      <c r="A82" s="184"/>
      <c r="E82" s="30" t="s">
        <v>473</v>
      </c>
      <c r="F82" s="278" t="s">
        <v>652</v>
      </c>
      <c r="G82" s="28">
        <v>20</v>
      </c>
      <c r="H82" s="27" t="s">
        <v>315</v>
      </c>
      <c r="I82" s="27" t="s">
        <v>482</v>
      </c>
      <c r="J82" s="27" t="s">
        <v>372</v>
      </c>
      <c r="K82" s="27" t="s">
        <v>420</v>
      </c>
      <c r="L82" s="27" t="s">
        <v>347</v>
      </c>
      <c r="M82" s="27" t="s">
        <v>673</v>
      </c>
      <c r="N82" s="27" t="s">
        <v>350</v>
      </c>
      <c r="R82" s="234"/>
      <c r="S82" s="204"/>
      <c r="U82" s="689"/>
      <c r="V82" s="185"/>
    </row>
    <row r="83" spans="1:27" ht="18" customHeight="1">
      <c r="A83" s="184"/>
      <c r="B83" s="47" t="s">
        <v>655</v>
      </c>
      <c r="C83" s="14"/>
      <c r="D83" s="14"/>
      <c r="E83" s="14"/>
      <c r="F83" s="18"/>
      <c r="G83" s="18"/>
      <c r="H83" s="14"/>
      <c r="I83" s="120"/>
      <c r="J83" s="14"/>
      <c r="K83" s="14"/>
      <c r="M83" s="14"/>
      <c r="N83" s="14"/>
      <c r="P83" s="14" t="s">
        <v>420</v>
      </c>
      <c r="R83" s="234" t="s">
        <v>127</v>
      </c>
      <c r="S83" s="684">
        <f>H12</f>
        <v>1.5</v>
      </c>
      <c r="T83" s="684"/>
      <c r="U83" s="192" t="s">
        <v>333</v>
      </c>
      <c r="V83" s="185"/>
    </row>
    <row r="84" spans="1:27" ht="18" customHeight="1">
      <c r="A84" s="184"/>
      <c r="B84" s="47" t="s">
        <v>676</v>
      </c>
      <c r="C84" s="14"/>
      <c r="D84" s="14"/>
      <c r="E84" s="14"/>
      <c r="F84" s="18"/>
      <c r="G84" s="18"/>
      <c r="H84" s="14"/>
      <c r="I84" s="120"/>
      <c r="J84" s="14"/>
      <c r="K84" s="14"/>
      <c r="M84" s="14"/>
      <c r="N84" s="14"/>
      <c r="P84" s="30" t="s">
        <v>673</v>
      </c>
      <c r="R84" s="234" t="s">
        <v>127</v>
      </c>
      <c r="S84" s="795">
        <f>S29</f>
        <v>1.2667743100000002</v>
      </c>
      <c r="T84" s="795"/>
      <c r="U84" s="192" t="s">
        <v>333</v>
      </c>
      <c r="V84" s="185"/>
    </row>
    <row r="85" spans="1:27" ht="18" customHeight="1">
      <c r="A85" s="184"/>
      <c r="B85" s="296" t="s">
        <v>677</v>
      </c>
      <c r="C85" s="14"/>
      <c r="D85" s="14"/>
      <c r="E85" s="14"/>
      <c r="F85" s="14"/>
      <c r="G85" s="14"/>
      <c r="H85" s="14"/>
      <c r="I85" s="120"/>
      <c r="J85" s="14"/>
      <c r="K85" s="14"/>
      <c r="M85" s="14"/>
      <c r="N85" s="14"/>
      <c r="P85" s="30" t="s">
        <v>482</v>
      </c>
      <c r="R85" s="234" t="s">
        <v>127</v>
      </c>
      <c r="S85" s="684">
        <v>1</v>
      </c>
      <c r="T85" s="684"/>
      <c r="U85" s="30" t="s">
        <v>8</v>
      </c>
      <c r="V85" s="185"/>
    </row>
    <row r="86" spans="1:27" ht="18" customHeight="1">
      <c r="A86" s="184"/>
      <c r="B86" s="296"/>
      <c r="C86" s="14"/>
      <c r="D86" s="14"/>
      <c r="E86" s="14"/>
      <c r="F86" s="14"/>
      <c r="G86" s="14"/>
      <c r="H86" s="14"/>
      <c r="I86" s="120"/>
      <c r="J86" s="14"/>
      <c r="K86" s="14"/>
      <c r="M86" s="14"/>
      <c r="N86" s="14"/>
      <c r="R86" s="234"/>
      <c r="S86" s="27"/>
      <c r="T86" s="27"/>
      <c r="V86" s="185"/>
    </row>
    <row r="87" spans="1:27" ht="18" customHeight="1">
      <c r="A87" s="193"/>
      <c r="B87" s="14"/>
      <c r="E87" s="30" t="s">
        <v>473</v>
      </c>
      <c r="F87" s="278" t="s">
        <v>652</v>
      </c>
      <c r="G87" s="28">
        <f>G82</f>
        <v>20</v>
      </c>
      <c r="H87" s="28" t="str">
        <f>H82</f>
        <v>x</v>
      </c>
      <c r="I87" s="28">
        <f>S85</f>
        <v>1</v>
      </c>
      <c r="J87" s="27" t="s">
        <v>372</v>
      </c>
      <c r="K87" s="28">
        <f>S83</f>
        <v>1.5</v>
      </c>
      <c r="L87" s="27" t="s">
        <v>347</v>
      </c>
      <c r="M87" s="218">
        <f>S84</f>
        <v>1.2667743100000002</v>
      </c>
      <c r="N87" s="28" t="str">
        <f>N82</f>
        <v>)</v>
      </c>
      <c r="R87" s="234"/>
      <c r="S87" s="204"/>
      <c r="V87" s="185"/>
    </row>
    <row r="88" spans="1:27" ht="18" customHeight="1">
      <c r="A88" s="193"/>
      <c r="B88" s="14"/>
      <c r="C88" s="278"/>
      <c r="F88" s="30" t="s">
        <v>127</v>
      </c>
      <c r="G88" s="1188">
        <f>ROUNDUP(G87*I87*(K87+M87),2)</f>
        <v>55.339999999999996</v>
      </c>
      <c r="H88" s="1188"/>
      <c r="I88" s="28"/>
      <c r="J88" s="27"/>
      <c r="K88" s="28"/>
      <c r="L88" s="27"/>
      <c r="M88" s="218"/>
      <c r="N88" s="28"/>
      <c r="R88" s="234"/>
      <c r="S88" s="204"/>
      <c r="V88" s="185"/>
    </row>
    <row r="89" spans="1:27" ht="18" customHeight="1">
      <c r="A89" s="508"/>
      <c r="B89" s="195"/>
      <c r="C89" s="623"/>
      <c r="D89" s="196"/>
      <c r="E89" s="196"/>
      <c r="F89" s="196"/>
      <c r="G89" s="624"/>
      <c r="H89" s="624"/>
      <c r="I89" s="182"/>
      <c r="J89" s="307"/>
      <c r="K89" s="182"/>
      <c r="L89" s="307"/>
      <c r="M89" s="509"/>
      <c r="N89" s="182"/>
      <c r="O89" s="196"/>
      <c r="P89" s="196"/>
      <c r="Q89" s="196"/>
      <c r="R89" s="591"/>
      <c r="S89" s="518"/>
      <c r="T89" s="196"/>
      <c r="U89" s="196"/>
      <c r="V89" s="291"/>
    </row>
    <row r="90" spans="1:27" ht="18" customHeight="1">
      <c r="A90" s="383"/>
      <c r="B90" s="273"/>
      <c r="C90" s="625"/>
      <c r="D90" s="227"/>
      <c r="E90" s="227"/>
      <c r="F90" s="227"/>
      <c r="G90" s="138"/>
      <c r="H90" s="138"/>
      <c r="I90" s="138"/>
      <c r="J90" s="311"/>
      <c r="K90" s="138"/>
      <c r="L90" s="311"/>
      <c r="M90" s="626"/>
      <c r="N90" s="138"/>
      <c r="O90" s="227"/>
      <c r="P90" s="227"/>
      <c r="Q90" s="227"/>
      <c r="R90" s="605"/>
      <c r="S90" s="627"/>
      <c r="T90" s="227"/>
      <c r="U90" s="227"/>
      <c r="V90" s="228"/>
    </row>
    <row r="91" spans="1:27" ht="18" customHeight="1">
      <c r="A91" s="96"/>
      <c r="B91" s="14"/>
      <c r="D91" s="30" t="s">
        <v>527</v>
      </c>
      <c r="E91" s="14"/>
      <c r="F91" s="279"/>
      <c r="G91" s="14"/>
      <c r="H91" s="14"/>
      <c r="I91" s="279"/>
      <c r="J91" s="14"/>
      <c r="K91" s="14"/>
      <c r="L91" s="30" t="s">
        <v>473</v>
      </c>
      <c r="M91" s="505" t="s">
        <v>529</v>
      </c>
      <c r="N91" s="30" t="str">
        <f>CONCATENATE(Y91,X91,D57,Z91,D80,Z91,G88,AA91)</f>
        <v>max(92.23,12.91,55.34)</v>
      </c>
      <c r="R91" s="234"/>
      <c r="S91" s="204"/>
      <c r="V91" s="185"/>
      <c r="X91" s="30" t="s">
        <v>419</v>
      </c>
      <c r="Y91" s="30" t="s">
        <v>530</v>
      </c>
      <c r="Z91" s="30" t="s">
        <v>531</v>
      </c>
      <c r="AA91" s="30" t="s">
        <v>350</v>
      </c>
    </row>
    <row r="92" spans="1:27" ht="18" customHeight="1">
      <c r="A92" s="96"/>
      <c r="B92" s="14"/>
      <c r="D92" s="14"/>
      <c r="E92" s="14"/>
      <c r="F92" s="279"/>
      <c r="G92" s="14"/>
      <c r="H92" s="14"/>
      <c r="I92" s="279"/>
      <c r="J92" s="14"/>
      <c r="K92" s="14"/>
      <c r="L92" s="30" t="s">
        <v>473</v>
      </c>
      <c r="M92" s="505" t="s">
        <v>529</v>
      </c>
      <c r="N92" s="1072">
        <f>MAX(D80,D57,G88)</f>
        <v>92.23</v>
      </c>
      <c r="O92" s="1072"/>
      <c r="R92" s="234"/>
      <c r="S92" s="204"/>
      <c r="V92" s="185"/>
    </row>
    <row r="93" spans="1:27" ht="18" customHeight="1">
      <c r="A93" s="96"/>
      <c r="B93" s="14"/>
      <c r="G93" s="14"/>
      <c r="H93" s="14"/>
      <c r="I93" s="14"/>
      <c r="J93" s="14"/>
      <c r="K93" s="1185">
        <f>H13</f>
        <v>400</v>
      </c>
      <c r="L93" s="1185"/>
      <c r="M93" s="505" t="s">
        <v>529</v>
      </c>
      <c r="N93" s="1072">
        <f>N92</f>
        <v>92.23</v>
      </c>
      <c r="O93" s="1072"/>
      <c r="R93" s="234"/>
      <c r="S93" s="204"/>
      <c r="V93" s="185"/>
    </row>
    <row r="94" spans="1:27" ht="18" customHeight="1">
      <c r="A94" s="96"/>
      <c r="B94" s="14"/>
      <c r="F94" s="14"/>
      <c r="G94" s="14"/>
      <c r="H94" s="14"/>
      <c r="I94" s="14"/>
      <c r="J94" s="14"/>
      <c r="K94" s="14"/>
      <c r="L94" s="14"/>
      <c r="M94" s="14"/>
      <c r="N94" s="14"/>
      <c r="O94" s="154"/>
      <c r="P94" s="14"/>
      <c r="R94" s="234"/>
      <c r="S94" s="204"/>
      <c r="V94" s="185"/>
    </row>
    <row r="95" spans="1:27" ht="18" customHeight="1">
      <c r="A95" s="96"/>
      <c r="B95" s="14"/>
      <c r="D95"/>
      <c r="E95"/>
      <c r="F95" s="244" t="s">
        <v>478</v>
      </c>
      <c r="G95"/>
      <c r="H95" s="18" t="str">
        <f>IF(K93&gt;N93,"Suitably Dimensioned","Under Dimensioned")</f>
        <v>Suitably Dimensioned</v>
      </c>
      <c r="I95"/>
      <c r="J95"/>
      <c r="K95"/>
      <c r="L95"/>
      <c r="N95" s="14"/>
      <c r="R95" s="234"/>
      <c r="S95" s="204"/>
      <c r="V95" s="185"/>
    </row>
    <row r="96" spans="1:27" ht="18" customHeight="1">
      <c r="A96" s="96"/>
      <c r="B96" s="14"/>
      <c r="D96"/>
      <c r="E96"/>
      <c r="F96" s="244"/>
      <c r="G96"/>
      <c r="H96" s="18"/>
      <c r="I96"/>
      <c r="J96"/>
      <c r="K96"/>
      <c r="L96"/>
      <c r="N96" s="14"/>
      <c r="R96" s="234"/>
      <c r="S96" s="204"/>
      <c r="V96" s="185"/>
    </row>
    <row r="97" spans="1:22" ht="18" customHeight="1">
      <c r="A97" s="96"/>
      <c r="B97" s="14"/>
      <c r="D97"/>
      <c r="E97"/>
      <c r="F97" s="244"/>
      <c r="G97"/>
      <c r="H97" s="18"/>
      <c r="I97"/>
      <c r="J97"/>
      <c r="K97"/>
      <c r="L97"/>
      <c r="N97" s="14"/>
      <c r="R97" s="234"/>
      <c r="S97" s="204"/>
      <c r="V97" s="185"/>
    </row>
    <row r="98" spans="1:22" ht="18" customHeight="1">
      <c r="A98" s="96"/>
      <c r="B98" s="14"/>
      <c r="D98"/>
      <c r="E98"/>
      <c r="F98" s="244"/>
      <c r="G98"/>
      <c r="H98" s="18"/>
      <c r="I98"/>
      <c r="J98"/>
      <c r="K98"/>
      <c r="L98"/>
      <c r="N98" s="14"/>
      <c r="R98" s="234"/>
      <c r="S98" s="204"/>
      <c r="V98" s="185"/>
    </row>
    <row r="99" spans="1:22" ht="18" customHeight="1">
      <c r="A99" s="96"/>
      <c r="B99" s="14"/>
      <c r="D99"/>
      <c r="E99"/>
      <c r="F99" s="244"/>
      <c r="G99"/>
      <c r="H99" s="18"/>
      <c r="I99"/>
      <c r="J99"/>
      <c r="K99"/>
      <c r="L99"/>
      <c r="N99" s="14"/>
      <c r="R99" s="234"/>
      <c r="S99" s="204"/>
      <c r="V99" s="185"/>
    </row>
    <row r="100" spans="1:22" ht="18" customHeight="1">
      <c r="A100" s="96"/>
      <c r="B100" s="14"/>
      <c r="D100"/>
      <c r="E100"/>
      <c r="F100" s="244"/>
      <c r="G100"/>
      <c r="H100" s="18"/>
      <c r="I100"/>
      <c r="J100"/>
      <c r="K100"/>
      <c r="L100"/>
      <c r="N100" s="14"/>
      <c r="R100" s="234"/>
      <c r="S100" s="204"/>
      <c r="V100" s="185"/>
    </row>
    <row r="101" spans="1:22" ht="18" customHeight="1">
      <c r="A101" s="96"/>
      <c r="B101" s="14"/>
      <c r="D101"/>
      <c r="E101"/>
      <c r="F101" s="244"/>
      <c r="G101"/>
      <c r="H101" s="18"/>
      <c r="I101"/>
      <c r="J101"/>
      <c r="K101"/>
      <c r="L101"/>
      <c r="N101" s="14"/>
      <c r="R101" s="234"/>
      <c r="S101" s="204"/>
      <c r="V101" s="185"/>
    </row>
    <row r="102" spans="1:22" ht="18" customHeight="1">
      <c r="A102" s="96"/>
      <c r="B102" s="14"/>
      <c r="D102"/>
      <c r="E102"/>
      <c r="F102" s="244"/>
      <c r="G102"/>
      <c r="H102" s="18"/>
      <c r="I102"/>
      <c r="J102"/>
      <c r="K102"/>
      <c r="L102"/>
      <c r="N102" s="14"/>
      <c r="R102" s="234"/>
      <c r="S102" s="204"/>
      <c r="V102" s="185"/>
    </row>
    <row r="103" spans="1:22" ht="18" customHeight="1">
      <c r="A103" s="96"/>
      <c r="B103" s="14"/>
      <c r="D103"/>
      <c r="E103"/>
      <c r="F103" s="244"/>
      <c r="G103"/>
      <c r="H103" s="18"/>
      <c r="I103"/>
      <c r="J103"/>
      <c r="K103"/>
      <c r="L103"/>
      <c r="N103" s="14"/>
      <c r="R103" s="234"/>
      <c r="S103" s="204"/>
      <c r="V103" s="185"/>
    </row>
    <row r="104" spans="1:22" ht="18" customHeight="1">
      <c r="A104" s="96"/>
      <c r="B104" s="14"/>
      <c r="D104"/>
      <c r="E104"/>
      <c r="F104" s="244"/>
      <c r="G104"/>
      <c r="H104" s="18"/>
      <c r="I104"/>
      <c r="J104"/>
      <c r="K104"/>
      <c r="L104"/>
      <c r="N104" s="14"/>
      <c r="R104" s="234"/>
      <c r="S104" s="204"/>
      <c r="V104" s="185"/>
    </row>
    <row r="105" spans="1:22" ht="18" customHeight="1">
      <c r="A105" s="96"/>
      <c r="B105" s="14"/>
      <c r="D105"/>
      <c r="E105"/>
      <c r="F105" s="244"/>
      <c r="G105"/>
      <c r="H105" s="18"/>
      <c r="I105"/>
      <c r="J105"/>
      <c r="K105"/>
      <c r="L105"/>
      <c r="N105" s="14"/>
      <c r="R105" s="234"/>
      <c r="S105" s="204"/>
      <c r="V105" s="185"/>
    </row>
    <row r="106" spans="1:22" ht="18" customHeight="1">
      <c r="A106" s="96"/>
      <c r="B106" s="14"/>
      <c r="D106"/>
      <c r="E106"/>
      <c r="F106" s="244"/>
      <c r="G106"/>
      <c r="H106" s="18"/>
      <c r="I106"/>
      <c r="J106"/>
      <c r="K106"/>
      <c r="L106"/>
      <c r="N106" s="14"/>
      <c r="R106" s="234"/>
      <c r="S106" s="204"/>
      <c r="V106" s="185"/>
    </row>
    <row r="107" spans="1:22" ht="18" customHeight="1">
      <c r="A107" s="96"/>
      <c r="B107" s="14"/>
      <c r="D107"/>
      <c r="E107"/>
      <c r="F107" s="244"/>
      <c r="G107"/>
      <c r="H107" s="18"/>
      <c r="I107"/>
      <c r="J107"/>
      <c r="K107"/>
      <c r="L107"/>
      <c r="N107" s="14"/>
      <c r="R107" s="234"/>
      <c r="S107" s="204"/>
      <c r="V107" s="185"/>
    </row>
    <row r="108" spans="1:22" ht="18" customHeight="1">
      <c r="A108" s="96"/>
      <c r="B108" s="14"/>
      <c r="D108"/>
      <c r="E108"/>
      <c r="F108" s="244"/>
      <c r="G108"/>
      <c r="H108" s="18"/>
      <c r="I108"/>
      <c r="J108"/>
      <c r="K108"/>
      <c r="L108"/>
      <c r="N108" s="14"/>
      <c r="R108" s="234"/>
      <c r="S108" s="204"/>
      <c r="V108" s="185"/>
    </row>
    <row r="109" spans="1:22" ht="18" customHeight="1">
      <c r="A109" s="96"/>
      <c r="B109" s="14"/>
      <c r="D109"/>
      <c r="E109"/>
      <c r="F109" s="244"/>
      <c r="G109"/>
      <c r="H109" s="18"/>
      <c r="I109"/>
      <c r="J109"/>
      <c r="K109"/>
      <c r="L109"/>
      <c r="N109" s="14"/>
      <c r="R109" s="234"/>
      <c r="S109" s="204"/>
      <c r="V109" s="185"/>
    </row>
    <row r="110" spans="1:22" ht="18" customHeight="1">
      <c r="A110" s="96"/>
      <c r="B110" s="14"/>
      <c r="D110"/>
      <c r="E110"/>
      <c r="F110" s="244"/>
      <c r="G110"/>
      <c r="H110" s="18"/>
      <c r="I110"/>
      <c r="J110"/>
      <c r="K110"/>
      <c r="L110"/>
      <c r="N110" s="14"/>
      <c r="R110" s="234"/>
      <c r="S110" s="204"/>
      <c r="V110" s="185"/>
    </row>
    <row r="111" spans="1:22" ht="18" customHeight="1">
      <c r="A111" s="96"/>
      <c r="B111" s="14"/>
      <c r="D111"/>
      <c r="E111"/>
      <c r="F111" s="244"/>
      <c r="G111"/>
      <c r="H111" s="18"/>
      <c r="I111"/>
      <c r="J111"/>
      <c r="K111"/>
      <c r="L111"/>
      <c r="N111" s="14"/>
      <c r="R111" s="234"/>
      <c r="S111" s="204"/>
      <c r="V111" s="185"/>
    </row>
    <row r="112" spans="1:22" ht="18" customHeight="1">
      <c r="A112" s="96"/>
      <c r="B112" s="14"/>
      <c r="D112"/>
      <c r="E112"/>
      <c r="F112" s="244"/>
      <c r="G112"/>
      <c r="H112" s="18"/>
      <c r="I112"/>
      <c r="J112"/>
      <c r="K112"/>
      <c r="L112"/>
      <c r="N112" s="14"/>
      <c r="R112" s="234"/>
      <c r="S112" s="204"/>
      <c r="V112" s="185"/>
    </row>
    <row r="113" spans="1:22" ht="18" customHeight="1">
      <c r="A113" s="96"/>
      <c r="B113" s="14"/>
      <c r="D113"/>
      <c r="E113"/>
      <c r="F113" s="244"/>
      <c r="G113"/>
      <c r="H113" s="18"/>
      <c r="I113"/>
      <c r="J113"/>
      <c r="K113"/>
      <c r="L113"/>
      <c r="N113" s="14"/>
      <c r="R113" s="234"/>
      <c r="S113" s="204"/>
      <c r="V113" s="185"/>
    </row>
    <row r="114" spans="1:22" ht="18" customHeight="1">
      <c r="A114" s="96"/>
      <c r="B114" s="14"/>
      <c r="D114"/>
      <c r="E114"/>
      <c r="F114" s="244"/>
      <c r="G114"/>
      <c r="H114" s="18"/>
      <c r="I114"/>
      <c r="J114"/>
      <c r="K114"/>
      <c r="L114"/>
      <c r="N114" s="14"/>
      <c r="R114" s="234"/>
      <c r="S114" s="204"/>
      <c r="V114" s="185"/>
    </row>
    <row r="115" spans="1:22" ht="18" customHeight="1">
      <c r="A115" s="96"/>
      <c r="B115" s="14"/>
      <c r="D115"/>
      <c r="E115"/>
      <c r="F115" s="244"/>
      <c r="G115"/>
      <c r="H115" s="18"/>
      <c r="I115"/>
      <c r="J115"/>
      <c r="K115"/>
      <c r="L115"/>
      <c r="N115" s="14"/>
      <c r="R115" s="234"/>
      <c r="S115" s="204"/>
      <c r="V115" s="185"/>
    </row>
    <row r="116" spans="1:22" ht="18" customHeight="1">
      <c r="A116" s="96"/>
      <c r="B116" s="14"/>
      <c r="D116"/>
      <c r="E116"/>
      <c r="F116" s="244"/>
      <c r="G116"/>
      <c r="H116" s="18"/>
      <c r="I116"/>
      <c r="J116"/>
      <c r="K116"/>
      <c r="L116"/>
      <c r="N116" s="14"/>
      <c r="R116" s="234"/>
      <c r="S116" s="204"/>
      <c r="V116" s="185"/>
    </row>
    <row r="117" spans="1:22" ht="18" customHeight="1">
      <c r="A117" s="96"/>
      <c r="B117" s="14"/>
      <c r="D117"/>
      <c r="E117"/>
      <c r="F117" s="244"/>
      <c r="G117"/>
      <c r="H117" s="18"/>
      <c r="I117"/>
      <c r="J117"/>
      <c r="K117"/>
      <c r="L117"/>
      <c r="N117" s="14"/>
      <c r="R117" s="234"/>
      <c r="S117" s="204"/>
      <c r="V117" s="185"/>
    </row>
    <row r="118" spans="1:22" ht="18" customHeight="1">
      <c r="A118" s="96"/>
      <c r="B118" s="14"/>
      <c r="D118"/>
      <c r="E118"/>
      <c r="F118" s="244"/>
      <c r="G118"/>
      <c r="H118" s="18"/>
      <c r="I118"/>
      <c r="J118"/>
      <c r="K118"/>
      <c r="L118"/>
      <c r="N118" s="14"/>
      <c r="R118" s="234"/>
      <c r="S118" s="204"/>
      <c r="V118" s="185"/>
    </row>
    <row r="119" spans="1:22" ht="18" customHeight="1">
      <c r="A119" s="96"/>
      <c r="B119" s="14"/>
      <c r="D119"/>
      <c r="E119"/>
      <c r="F119" s="244"/>
      <c r="G119"/>
      <c r="H119" s="18"/>
      <c r="I119"/>
      <c r="J119"/>
      <c r="K119"/>
      <c r="L119"/>
      <c r="N119" s="14"/>
      <c r="R119" s="234"/>
      <c r="S119" s="204"/>
      <c r="V119" s="185"/>
    </row>
    <row r="120" spans="1:22" ht="18" customHeight="1">
      <c r="A120" s="96"/>
      <c r="B120" s="14"/>
      <c r="D120"/>
      <c r="E120"/>
      <c r="F120" s="244"/>
      <c r="G120"/>
      <c r="H120" s="18"/>
      <c r="I120"/>
      <c r="J120"/>
      <c r="K120"/>
      <c r="L120"/>
      <c r="N120" s="14"/>
      <c r="R120" s="234"/>
      <c r="S120" s="204"/>
      <c r="V120" s="185"/>
    </row>
    <row r="121" spans="1:22" ht="18" customHeight="1">
      <c r="A121" s="96"/>
      <c r="B121" s="14"/>
      <c r="D121"/>
      <c r="E121"/>
      <c r="F121" s="244"/>
      <c r="G121"/>
      <c r="H121" s="18"/>
      <c r="I121"/>
      <c r="J121"/>
      <c r="K121"/>
      <c r="L121"/>
      <c r="N121" s="14"/>
      <c r="R121" s="234"/>
      <c r="S121" s="204"/>
      <c r="V121" s="185"/>
    </row>
    <row r="122" spans="1:22" ht="18" customHeight="1">
      <c r="A122" s="96"/>
      <c r="B122" s="14"/>
      <c r="D122"/>
      <c r="E122"/>
      <c r="F122" s="244"/>
      <c r="G122"/>
      <c r="H122" s="18"/>
      <c r="I122"/>
      <c r="J122"/>
      <c r="K122"/>
      <c r="L122"/>
      <c r="N122" s="14"/>
      <c r="R122" s="234"/>
      <c r="S122" s="204"/>
      <c r="V122" s="185"/>
    </row>
    <row r="123" spans="1:22" ht="18" customHeight="1">
      <c r="A123" s="96"/>
      <c r="B123" s="14"/>
      <c r="D123"/>
      <c r="E123"/>
      <c r="F123" s="244"/>
      <c r="G123"/>
      <c r="H123" s="18"/>
      <c r="I123"/>
      <c r="J123"/>
      <c r="K123"/>
      <c r="L123"/>
      <c r="N123" s="14"/>
      <c r="R123" s="234"/>
      <c r="S123" s="204"/>
      <c r="V123" s="185"/>
    </row>
    <row r="124" spans="1:22" ht="18" customHeight="1">
      <c r="A124" s="96"/>
      <c r="B124" s="14"/>
      <c r="D124"/>
      <c r="E124"/>
      <c r="F124" s="244"/>
      <c r="G124"/>
      <c r="H124" s="18"/>
      <c r="I124"/>
      <c r="J124"/>
      <c r="K124"/>
      <c r="L124"/>
      <c r="N124" s="14"/>
      <c r="R124" s="234"/>
      <c r="S124" s="204"/>
      <c r="V124" s="185"/>
    </row>
    <row r="125" spans="1:22" ht="18" customHeight="1">
      <c r="A125" s="96"/>
      <c r="B125" s="14"/>
      <c r="D125"/>
      <c r="E125"/>
      <c r="F125" s="244"/>
      <c r="G125"/>
      <c r="H125" s="18"/>
      <c r="I125"/>
      <c r="J125"/>
      <c r="K125"/>
      <c r="L125"/>
      <c r="N125" s="14"/>
      <c r="R125" s="234"/>
      <c r="S125" s="204"/>
      <c r="V125" s="185"/>
    </row>
    <row r="126" spans="1:22" ht="18" customHeight="1">
      <c r="A126" s="96"/>
      <c r="B126" s="14"/>
      <c r="D126"/>
      <c r="E126"/>
      <c r="F126" s="244"/>
      <c r="G126"/>
      <c r="H126" s="18"/>
      <c r="I126"/>
      <c r="J126"/>
      <c r="K126"/>
      <c r="L126"/>
      <c r="N126" s="14"/>
      <c r="R126" s="234"/>
      <c r="S126" s="204"/>
      <c r="V126" s="185"/>
    </row>
    <row r="127" spans="1:22" ht="18" customHeight="1">
      <c r="A127" s="96"/>
      <c r="B127" s="14"/>
      <c r="D127"/>
      <c r="E127"/>
      <c r="F127" s="244"/>
      <c r="G127"/>
      <c r="H127" s="18"/>
      <c r="I127"/>
      <c r="J127"/>
      <c r="K127"/>
      <c r="L127"/>
      <c r="N127" s="14"/>
      <c r="R127" s="234"/>
      <c r="S127" s="204"/>
      <c r="V127" s="185"/>
    </row>
    <row r="128" spans="1:22" ht="18" customHeight="1">
      <c r="A128" s="96"/>
      <c r="B128" s="14"/>
      <c r="D128"/>
      <c r="E128"/>
      <c r="F128" s="244"/>
      <c r="G128"/>
      <c r="H128" s="18"/>
      <c r="I128"/>
      <c r="J128"/>
      <c r="K128"/>
      <c r="L128"/>
      <c r="N128" s="14"/>
      <c r="R128" s="234"/>
      <c r="S128" s="204"/>
      <c r="V128" s="185"/>
    </row>
    <row r="129" spans="1:29" ht="18" customHeight="1">
      <c r="A129" s="194"/>
      <c r="B129" s="195"/>
      <c r="C129" s="196"/>
      <c r="D129" s="423"/>
      <c r="E129" s="423"/>
      <c r="F129" s="306"/>
      <c r="G129" s="423"/>
      <c r="H129" s="510"/>
      <c r="I129" s="423"/>
      <c r="J129" s="423"/>
      <c r="K129" s="423"/>
      <c r="L129" s="423"/>
      <c r="M129" s="196"/>
      <c r="N129" s="195"/>
      <c r="O129" s="196"/>
      <c r="P129" s="196"/>
      <c r="Q129" s="196"/>
      <c r="R129" s="591"/>
      <c r="S129" s="518"/>
      <c r="T129" s="196"/>
      <c r="U129" s="196"/>
      <c r="V129" s="291"/>
    </row>
    <row r="130" spans="1:29" ht="18" customHeight="1">
      <c r="A130" s="226"/>
      <c r="B130" s="196"/>
      <c r="C130" s="227"/>
      <c r="D130" s="196"/>
      <c r="E130" s="227"/>
      <c r="F130" s="227"/>
      <c r="G130" s="227"/>
      <c r="H130" s="227"/>
      <c r="I130" s="227"/>
      <c r="J130" s="227"/>
      <c r="K130" s="227"/>
      <c r="L130" s="227"/>
      <c r="M130" s="227"/>
      <c r="N130" s="227"/>
      <c r="O130" s="227"/>
      <c r="P130" s="227"/>
      <c r="Q130" s="227"/>
      <c r="R130" s="227"/>
      <c r="S130" s="227"/>
      <c r="T130" s="227"/>
      <c r="U130" s="227"/>
      <c r="V130" s="228"/>
    </row>
    <row r="131" spans="1:29" ht="18" customHeight="1">
      <c r="A131" s="184"/>
      <c r="B131" s="854" t="str">
        <f>B7</f>
        <v>T3</v>
      </c>
      <c r="C131" s="831"/>
      <c r="D131" s="587" t="s">
        <v>506</v>
      </c>
      <c r="E131" s="555"/>
      <c r="F131" s="186"/>
      <c r="H131" s="684" t="str">
        <f>H7</f>
        <v>(Transformer Differential)</v>
      </c>
      <c r="I131" s="684"/>
      <c r="J131" s="684"/>
      <c r="K131" s="684"/>
      <c r="L131" s="684"/>
      <c r="M131" s="684"/>
      <c r="P131" s="186"/>
      <c r="S131" s="187" t="s">
        <v>387</v>
      </c>
      <c r="T131" s="1154" t="str">
        <f>T7</f>
        <v>7UT85</v>
      </c>
      <c r="U131" s="1155"/>
      <c r="V131" s="185"/>
    </row>
    <row r="132" spans="1:29" ht="18" customHeight="1">
      <c r="A132" s="184"/>
      <c r="B132" s="30">
        <f>B8</f>
        <v>0</v>
      </c>
      <c r="F132" s="287"/>
      <c r="T132" s="1302">
        <f>T8</f>
        <v>0</v>
      </c>
      <c r="U132" s="1302"/>
      <c r="V132" s="185"/>
    </row>
    <row r="133" spans="1:29" ht="18" customHeight="1">
      <c r="A133" s="184"/>
      <c r="H133" s="708" t="s">
        <v>390</v>
      </c>
      <c r="I133" s="708"/>
      <c r="J133" s="789" t="s">
        <v>391</v>
      </c>
      <c r="K133" s="789"/>
      <c r="L133" s="708" t="s">
        <v>392</v>
      </c>
      <c r="M133" s="708"/>
      <c r="T133" s="30">
        <f>T9</f>
        <v>0</v>
      </c>
      <c r="V133" s="185"/>
    </row>
    <row r="134" spans="1:29" ht="18" customHeight="1">
      <c r="A134" s="184"/>
      <c r="B134" s="47" t="s">
        <v>393</v>
      </c>
      <c r="H134" s="854">
        <f>H10</f>
        <v>600</v>
      </c>
      <c r="I134" s="831"/>
      <c r="J134" s="863">
        <f>J10</f>
        <v>1000</v>
      </c>
      <c r="K134" s="864"/>
      <c r="L134" s="854" t="str">
        <f>L10</f>
        <v>-</v>
      </c>
      <c r="M134" s="831"/>
      <c r="N134" s="102" t="s">
        <v>342</v>
      </c>
      <c r="O134" s="256">
        <f>O10</f>
        <v>1</v>
      </c>
      <c r="P134" s="27" t="s">
        <v>8</v>
      </c>
      <c r="V134" s="185"/>
    </row>
    <row r="135" spans="1:29" ht="18" customHeight="1">
      <c r="A135" s="184"/>
      <c r="B135" s="47" t="s">
        <v>394</v>
      </c>
      <c r="H135" s="14"/>
      <c r="I135" s="14"/>
      <c r="J135" s="854" t="str">
        <f>H11</f>
        <v>PX</v>
      </c>
      <c r="K135" s="776"/>
      <c r="L135" s="14"/>
      <c r="M135" s="14"/>
      <c r="V135" s="185"/>
    </row>
    <row r="136" spans="1:29" ht="18" customHeight="1">
      <c r="A136" s="184"/>
      <c r="B136" s="47" t="s">
        <v>396</v>
      </c>
      <c r="I136" s="120" t="s">
        <v>497</v>
      </c>
      <c r="J136" s="781">
        <v>2.7</v>
      </c>
      <c r="K136" s="782"/>
      <c r="L136" s="192" t="s">
        <v>333</v>
      </c>
      <c r="V136" s="185"/>
    </row>
    <row r="137" spans="1:29" ht="18" customHeight="1">
      <c r="A137" s="184"/>
      <c r="B137" s="47" t="s">
        <v>398</v>
      </c>
      <c r="I137" s="120" t="s">
        <v>498</v>
      </c>
      <c r="J137" s="781">
        <v>900</v>
      </c>
      <c r="K137" s="782"/>
      <c r="L137" s="14" t="s">
        <v>305</v>
      </c>
      <c r="V137" s="185"/>
      <c r="W137" s="30" t="s">
        <v>400</v>
      </c>
      <c r="AB137" s="785">
        <f>D248</f>
        <v>0</v>
      </c>
      <c r="AC137" s="786"/>
    </row>
    <row r="138" spans="1:29" ht="18" customHeight="1">
      <c r="A138" s="184"/>
      <c r="B138" s="14" t="s">
        <v>401</v>
      </c>
      <c r="I138" s="120" t="s">
        <v>402</v>
      </c>
      <c r="J138" s="781">
        <v>10</v>
      </c>
      <c r="K138" s="782"/>
      <c r="L138" s="30" t="s">
        <v>403</v>
      </c>
      <c r="V138" s="185"/>
    </row>
    <row r="139" spans="1:29" ht="18" customHeight="1">
      <c r="A139" s="96"/>
      <c r="V139" s="185"/>
    </row>
    <row r="140" spans="1:29" ht="18" customHeight="1">
      <c r="A140" s="193" t="s">
        <v>404</v>
      </c>
      <c r="V140" s="185"/>
    </row>
    <row r="141" spans="1:29" ht="18" customHeight="1">
      <c r="A141" s="184"/>
      <c r="V141" s="185"/>
    </row>
    <row r="142" spans="1:29" ht="18" customHeight="1">
      <c r="A142" s="184"/>
      <c r="B142" s="194" t="s">
        <v>405</v>
      </c>
      <c r="C142" s="195"/>
      <c r="D142" s="195" t="str">
        <f>T131</f>
        <v>7UT85</v>
      </c>
      <c r="E142" s="196"/>
      <c r="F142" s="196"/>
      <c r="G142" s="196"/>
      <c r="H142" s="182" t="s">
        <v>406</v>
      </c>
      <c r="I142" s="183" t="s">
        <v>127</v>
      </c>
      <c r="J142" s="766">
        <f>J18</f>
        <v>0.1</v>
      </c>
      <c r="K142" s="958"/>
      <c r="L142" s="3" t="s">
        <v>157</v>
      </c>
      <c r="V142" s="185"/>
    </row>
    <row r="143" spans="1:29" ht="18" customHeight="1">
      <c r="A143" s="184"/>
      <c r="B143" s="184" t="s">
        <v>405</v>
      </c>
      <c r="D143" s="30">
        <f>T132</f>
        <v>0</v>
      </c>
      <c r="H143" s="27"/>
      <c r="I143" s="177" t="s">
        <v>127</v>
      </c>
      <c r="J143" s="861">
        <f>J19</f>
        <v>0</v>
      </c>
      <c r="K143" s="989"/>
      <c r="L143" s="198" t="s">
        <v>157</v>
      </c>
      <c r="V143" s="185"/>
    </row>
    <row r="144" spans="1:29" ht="18" customHeight="1">
      <c r="A144" s="184"/>
      <c r="B144" s="184" t="s">
        <v>405</v>
      </c>
      <c r="D144" s="30">
        <f>T133</f>
        <v>0</v>
      </c>
      <c r="E144" s="14"/>
      <c r="G144" s="199"/>
      <c r="H144" s="27"/>
      <c r="I144" s="177" t="s">
        <v>127</v>
      </c>
      <c r="J144" s="696">
        <f>J20</f>
        <v>0</v>
      </c>
      <c r="K144" s="820"/>
      <c r="L144" s="202" t="s">
        <v>157</v>
      </c>
      <c r="V144" s="185"/>
    </row>
    <row r="145" spans="1:22" ht="18" customHeight="1">
      <c r="A145" s="184"/>
      <c r="B145" s="184" t="s">
        <v>412</v>
      </c>
      <c r="H145" s="27" t="s">
        <v>599</v>
      </c>
      <c r="I145" s="177" t="s">
        <v>127</v>
      </c>
      <c r="J145" s="861">
        <f>J21</f>
        <v>1.1667743100000001</v>
      </c>
      <c r="K145" s="989"/>
      <c r="L145" s="203" t="s">
        <v>157</v>
      </c>
      <c r="V145" s="185"/>
    </row>
    <row r="146" spans="1:22" ht="18" customHeight="1">
      <c r="A146" s="184"/>
      <c r="B146" s="205" t="s">
        <v>413</v>
      </c>
      <c r="C146" s="206"/>
      <c r="D146" s="206"/>
      <c r="E146" s="206"/>
      <c r="F146" s="207"/>
      <c r="G146" s="207"/>
      <c r="H146" s="190" t="s">
        <v>409</v>
      </c>
      <c r="I146" s="208" t="s">
        <v>127</v>
      </c>
      <c r="J146" s="766">
        <f>J143+J145</f>
        <v>1.1667743100000001</v>
      </c>
      <c r="K146" s="958"/>
      <c r="L146" s="210" t="s">
        <v>157</v>
      </c>
      <c r="V146" s="185"/>
    </row>
    <row r="147" spans="1:22" ht="18" customHeight="1">
      <c r="A147" s="184"/>
      <c r="B147" s="47"/>
      <c r="C147" s="47"/>
      <c r="D147" s="47"/>
      <c r="E147" s="47"/>
      <c r="H147" s="27"/>
      <c r="I147" s="28"/>
      <c r="J147" s="199"/>
      <c r="L147" s="47"/>
      <c r="O147" s="27"/>
      <c r="P147" s="211"/>
      <c r="Q147" s="211"/>
      <c r="R147" s="192"/>
      <c r="V147" s="185"/>
    </row>
    <row r="148" spans="1:22" ht="18" customHeight="1">
      <c r="A148" s="184"/>
      <c r="B148" s="197" t="s">
        <v>648</v>
      </c>
      <c r="L148" s="47"/>
      <c r="M148" s="197" t="s">
        <v>407</v>
      </c>
      <c r="V148" s="185"/>
    </row>
    <row r="149" spans="1:22" ht="18" customHeight="1">
      <c r="A149" s="184"/>
      <c r="B149" s="27" t="s">
        <v>649</v>
      </c>
      <c r="C149" s="27" t="s">
        <v>127</v>
      </c>
      <c r="D149" s="30" t="s">
        <v>406</v>
      </c>
      <c r="E149" s="271" t="s">
        <v>410</v>
      </c>
      <c r="F149" s="27" t="s">
        <v>146</v>
      </c>
      <c r="G149" s="28" t="s">
        <v>315</v>
      </c>
      <c r="H149" s="218" t="s">
        <v>146</v>
      </c>
      <c r="I149" s="30" t="s">
        <v>350</v>
      </c>
      <c r="J149" s="199"/>
      <c r="L149" s="47"/>
      <c r="M149" s="30" t="s">
        <v>408</v>
      </c>
      <c r="N149" s="27" t="s">
        <v>127</v>
      </c>
      <c r="O149" s="30" t="s">
        <v>409</v>
      </c>
      <c r="P149" s="191" t="s">
        <v>410</v>
      </c>
      <c r="Q149" s="244" t="s">
        <v>411</v>
      </c>
      <c r="R149" s="27" t="s">
        <v>315</v>
      </c>
      <c r="S149" s="30" t="s">
        <v>411</v>
      </c>
      <c r="T149" s="30" t="s">
        <v>350</v>
      </c>
      <c r="V149" s="185"/>
    </row>
    <row r="150" spans="1:22" ht="18" customHeight="1">
      <c r="A150" s="184"/>
      <c r="B150" s="47"/>
      <c r="C150" s="27" t="s">
        <v>127</v>
      </c>
      <c r="D150" s="204">
        <f>J142</f>
        <v>0.1</v>
      </c>
      <c r="E150" s="191" t="s">
        <v>410</v>
      </c>
      <c r="F150" s="27">
        <f>F26</f>
        <v>1</v>
      </c>
      <c r="G150" s="27" t="s">
        <v>315</v>
      </c>
      <c r="H150" s="27">
        <f>H26</f>
        <v>1</v>
      </c>
      <c r="I150" s="30" t="s">
        <v>350</v>
      </c>
      <c r="J150" s="199"/>
      <c r="L150" s="47"/>
      <c r="N150" s="27" t="s">
        <v>127</v>
      </c>
      <c r="O150" s="204">
        <f>J146</f>
        <v>1.1667743100000001</v>
      </c>
      <c r="P150" s="191" t="s">
        <v>410</v>
      </c>
      <c r="Q150" s="27">
        <f>O134</f>
        <v>1</v>
      </c>
      <c r="R150" s="27" t="s">
        <v>315</v>
      </c>
      <c r="S150" s="27">
        <f>O134</f>
        <v>1</v>
      </c>
      <c r="T150" s="30" t="s">
        <v>350</v>
      </c>
      <c r="V150" s="185"/>
    </row>
    <row r="151" spans="1:22" ht="18" customHeight="1">
      <c r="A151" s="184"/>
      <c r="B151" s="47"/>
      <c r="C151" s="27" t="s">
        <v>127</v>
      </c>
      <c r="D151" s="795">
        <f>D150/(F150*H150)</f>
        <v>0.1</v>
      </c>
      <c r="E151" s="795"/>
      <c r="F151" s="192" t="s">
        <v>333</v>
      </c>
      <c r="J151" s="199"/>
      <c r="L151" s="47"/>
      <c r="N151" s="27" t="s">
        <v>127</v>
      </c>
      <c r="O151" s="795">
        <f>O150/(Q150*S150)</f>
        <v>1.1667743100000001</v>
      </c>
      <c r="P151" s="795"/>
      <c r="Q151" s="192" t="s">
        <v>333</v>
      </c>
      <c r="V151" s="185"/>
    </row>
    <row r="152" spans="1:22" ht="18" customHeight="1">
      <c r="A152" s="184"/>
      <c r="B152" s="47"/>
      <c r="C152" s="47"/>
      <c r="D152" s="47"/>
      <c r="E152" s="47"/>
      <c r="H152" s="27"/>
      <c r="I152" s="28"/>
      <c r="J152" s="199"/>
      <c r="L152" s="47"/>
      <c r="O152" s="27"/>
      <c r="P152" s="211"/>
      <c r="Q152" s="211"/>
      <c r="R152" s="192"/>
      <c r="V152" s="185"/>
    </row>
    <row r="153" spans="1:22" ht="18" customHeight="1">
      <c r="A153" s="184"/>
      <c r="B153" s="47" t="s">
        <v>668</v>
      </c>
      <c r="C153" s="47"/>
      <c r="D153" s="47"/>
      <c r="E153" s="47"/>
      <c r="H153" s="27"/>
      <c r="I153" s="28"/>
      <c r="J153" s="199"/>
      <c r="L153" s="28" t="s">
        <v>127</v>
      </c>
      <c r="M153" s="795">
        <f>D151</f>
        <v>0.1</v>
      </c>
      <c r="N153" s="795"/>
      <c r="O153" s="27" t="s">
        <v>347</v>
      </c>
      <c r="P153" s="795">
        <f>O151</f>
        <v>1.1667743100000001</v>
      </c>
      <c r="Q153" s="795"/>
      <c r="R153" s="211" t="s">
        <v>127</v>
      </c>
      <c r="S153" s="795">
        <f>M153+P153</f>
        <v>1.2667743100000002</v>
      </c>
      <c r="T153" s="795"/>
      <c r="U153" s="192" t="s">
        <v>333</v>
      </c>
      <c r="V153" s="185"/>
    </row>
    <row r="154" spans="1:22" s="14" customFormat="1" ht="18" customHeight="1">
      <c r="A154" s="193" t="s">
        <v>600</v>
      </c>
      <c r="B154" s="5"/>
      <c r="C154" s="5"/>
      <c r="D154" s="5"/>
      <c r="E154" s="5"/>
      <c r="F154" s="5"/>
      <c r="G154" s="5"/>
      <c r="H154" s="212"/>
      <c r="I154" s="212"/>
      <c r="J154" s="5"/>
      <c r="K154" s="5"/>
      <c r="L154" s="5"/>
      <c r="M154" s="5"/>
      <c r="N154" s="5"/>
      <c r="O154" s="5"/>
      <c r="P154" s="103"/>
      <c r="Q154" s="212"/>
      <c r="R154" s="213"/>
      <c r="S154" s="214"/>
      <c r="T154" s="18"/>
      <c r="U154" s="18"/>
      <c r="V154" s="97"/>
    </row>
    <row r="155" spans="1:22" s="14" customFormat="1" ht="18" customHeight="1">
      <c r="A155" s="96"/>
      <c r="B155" s="47" t="s">
        <v>601</v>
      </c>
      <c r="C155" s="5"/>
      <c r="D155" s="5"/>
      <c r="E155" s="5"/>
      <c r="I155" s="215"/>
      <c r="M155" s="5"/>
      <c r="N155" s="103" t="s">
        <v>127</v>
      </c>
      <c r="O155" s="1154">
        <f>O31</f>
        <v>100</v>
      </c>
      <c r="P155" s="831"/>
      <c r="Q155" s="14" t="s">
        <v>602</v>
      </c>
      <c r="S155" s="214"/>
      <c r="T155" s="18"/>
      <c r="U155" s="18"/>
      <c r="V155" s="97"/>
    </row>
    <row r="156" spans="1:22" s="14" customFormat="1" ht="18" customHeight="1">
      <c r="A156" s="96"/>
      <c r="B156" s="47" t="s">
        <v>603</v>
      </c>
      <c r="C156" s="5"/>
      <c r="D156" s="5"/>
      <c r="E156" s="5"/>
      <c r="I156" s="215"/>
      <c r="M156" s="5"/>
      <c r="N156" s="103" t="s">
        <v>127</v>
      </c>
      <c r="O156" s="1154">
        <f>O32</f>
        <v>25</v>
      </c>
      <c r="P156" s="831"/>
      <c r="Q156" s="14" t="s">
        <v>604</v>
      </c>
      <c r="S156" s="214"/>
      <c r="T156" s="18"/>
      <c r="U156" s="18"/>
      <c r="V156" s="97"/>
    </row>
    <row r="157" spans="1:22" s="14" customFormat="1" ht="18" customHeight="1">
      <c r="A157" s="96"/>
      <c r="B157" s="47" t="s">
        <v>605</v>
      </c>
      <c r="C157" s="5"/>
      <c r="D157" s="5"/>
      <c r="E157" s="5"/>
      <c r="M157" s="120" t="s">
        <v>606</v>
      </c>
      <c r="N157" s="103" t="s">
        <v>607</v>
      </c>
      <c r="O157" s="1154">
        <f>O33</f>
        <v>132</v>
      </c>
      <c r="P157" s="831"/>
      <c r="Q157" s="14" t="s">
        <v>163</v>
      </c>
      <c r="S157" s="214"/>
      <c r="T157" s="18"/>
      <c r="U157" s="18"/>
      <c r="V157" s="97"/>
    </row>
    <row r="158" spans="1:22" s="14" customFormat="1" ht="18" customHeight="1">
      <c r="A158" s="216"/>
      <c r="B158" s="212"/>
      <c r="C158" s="212"/>
      <c r="D158" s="212"/>
      <c r="E158" s="212"/>
      <c r="T158" s="18"/>
      <c r="U158" s="18"/>
      <c r="V158" s="97"/>
    </row>
    <row r="159" spans="1:22" s="14" customFormat="1" ht="18" customHeight="1">
      <c r="A159" s="272" t="s">
        <v>608</v>
      </c>
      <c r="B159" s="213"/>
      <c r="C159" s="213"/>
      <c r="D159" s="213"/>
      <c r="E159" s="213"/>
      <c r="H159" s="120" t="s">
        <v>609</v>
      </c>
      <c r="I159" s="28" t="s">
        <v>127</v>
      </c>
      <c r="J159" s="689" t="s">
        <v>610</v>
      </c>
      <c r="K159" s="689"/>
      <c r="L159" s="28" t="s">
        <v>315</v>
      </c>
      <c r="M159" s="217">
        <v>1000</v>
      </c>
      <c r="N159" s="102" t="s">
        <v>342</v>
      </c>
      <c r="O159" s="28" t="s">
        <v>611</v>
      </c>
      <c r="P159" s="28" t="s">
        <v>315</v>
      </c>
      <c r="Q159" s="28" t="s">
        <v>606</v>
      </c>
      <c r="R159" s="47" t="s">
        <v>350</v>
      </c>
      <c r="T159" s="18"/>
      <c r="U159" s="18"/>
      <c r="V159" s="97"/>
    </row>
    <row r="160" spans="1:22" s="14" customFormat="1" ht="18" customHeight="1">
      <c r="A160" s="216"/>
      <c r="B160" s="213"/>
      <c r="C160" s="213"/>
      <c r="D160" s="213"/>
      <c r="E160" s="213"/>
      <c r="F160" s="212"/>
      <c r="G160" s="212"/>
      <c r="H160" s="28"/>
      <c r="I160" s="28" t="s">
        <v>127</v>
      </c>
      <c r="J160" s="689">
        <f>O155</f>
        <v>100</v>
      </c>
      <c r="K160" s="689"/>
      <c r="L160" s="28" t="s">
        <v>315</v>
      </c>
      <c r="M160" s="217">
        <v>1000</v>
      </c>
      <c r="N160" s="102" t="s">
        <v>342</v>
      </c>
      <c r="O160" s="28" t="s">
        <v>611</v>
      </c>
      <c r="P160" s="28" t="s">
        <v>315</v>
      </c>
      <c r="Q160" s="28">
        <f>O157</f>
        <v>132</v>
      </c>
      <c r="R160" s="47" t="s">
        <v>350</v>
      </c>
      <c r="T160" s="18"/>
      <c r="U160" s="18"/>
      <c r="V160" s="97"/>
    </row>
    <row r="161" spans="1:22" s="14" customFormat="1" ht="18" customHeight="1">
      <c r="A161" s="216"/>
      <c r="B161" s="212"/>
      <c r="C161" s="212"/>
      <c r="D161" s="212"/>
      <c r="E161" s="212"/>
      <c r="F161" s="212"/>
      <c r="G161" s="212"/>
      <c r="I161" s="28" t="s">
        <v>127</v>
      </c>
      <c r="J161" s="692">
        <f>(O155*1000)/(SQRT(3)*O157)</f>
        <v>437.38656756789834</v>
      </c>
      <c r="K161" s="692"/>
      <c r="L161" s="14" t="s">
        <v>8</v>
      </c>
      <c r="M161" s="120"/>
      <c r="N161" s="120"/>
      <c r="O161" s="120"/>
      <c r="T161" s="18"/>
      <c r="U161" s="18"/>
      <c r="V161" s="97"/>
    </row>
    <row r="162" spans="1:22" s="14" customFormat="1" ht="18" customHeight="1">
      <c r="A162" s="216"/>
      <c r="B162" s="212"/>
      <c r="C162" s="212"/>
      <c r="D162" s="212"/>
      <c r="E162" s="212"/>
      <c r="G162" s="212"/>
      <c r="H162" s="28"/>
      <c r="I162" s="103"/>
      <c r="J162" s="28"/>
      <c r="M162" s="212"/>
      <c r="N162" s="219"/>
      <c r="O162" s="212"/>
      <c r="T162" s="18"/>
      <c r="U162" s="18"/>
      <c r="V162" s="97"/>
    </row>
    <row r="163" spans="1:22" s="14" customFormat="1" ht="18" hidden="1" customHeight="1">
      <c r="A163" s="147" t="s">
        <v>629</v>
      </c>
      <c r="B163" s="5"/>
      <c r="C163" s="5"/>
      <c r="D163" s="5"/>
      <c r="E163" s="5"/>
      <c r="F163" s="212"/>
      <c r="G163" s="212"/>
      <c r="H163" s="5"/>
      <c r="I163" s="5"/>
      <c r="J163" s="5"/>
      <c r="K163" s="5"/>
      <c r="L163" s="103"/>
      <c r="M163" s="103"/>
      <c r="N163" s="103"/>
      <c r="O163" s="103"/>
      <c r="P163" s="212"/>
      <c r="Q163" s="213"/>
      <c r="S163" s="220"/>
      <c r="T163" s="18"/>
      <c r="U163" s="18"/>
      <c r="V163" s="97"/>
    </row>
    <row r="164" spans="1:22" s="14" customFormat="1" ht="18" customHeight="1">
      <c r="A164" s="147" t="s">
        <v>669</v>
      </c>
      <c r="B164" s="5"/>
      <c r="C164" s="5"/>
      <c r="D164" s="5"/>
      <c r="E164" s="5"/>
      <c r="F164" s="212"/>
      <c r="G164" s="212"/>
      <c r="H164" s="5"/>
      <c r="I164" s="5"/>
      <c r="J164" s="5"/>
      <c r="K164" s="5"/>
      <c r="L164" s="103"/>
      <c r="M164" s="103"/>
      <c r="N164" s="103"/>
      <c r="O164" s="103"/>
      <c r="P164" s="212"/>
      <c r="Q164" s="213"/>
      <c r="U164" s="18"/>
      <c r="V164" s="97"/>
    </row>
    <row r="165" spans="1:22" ht="18" customHeight="1">
      <c r="A165" s="184" t="s">
        <v>670</v>
      </c>
      <c r="B165" s="14"/>
      <c r="C165" s="14"/>
      <c r="D165" s="14"/>
      <c r="E165" s="14"/>
      <c r="M165" s="120"/>
      <c r="N165" s="27" t="s">
        <v>127</v>
      </c>
      <c r="O165" s="689">
        <v>50000</v>
      </c>
      <c r="P165" s="716"/>
      <c r="Q165" s="461" t="s">
        <v>8</v>
      </c>
      <c r="R165" s="221"/>
      <c r="S165" s="214"/>
      <c r="V165" s="185"/>
    </row>
    <row r="166" spans="1:22" ht="18" customHeight="1">
      <c r="A166" s="184"/>
      <c r="B166" s="14"/>
      <c r="C166" s="14"/>
      <c r="D166" s="14"/>
      <c r="E166" s="14"/>
      <c r="M166" s="120"/>
      <c r="N166" s="27"/>
      <c r="O166" s="28"/>
      <c r="P166" s="14"/>
      <c r="Q166" s="461"/>
      <c r="R166" s="221"/>
      <c r="S166" s="214"/>
      <c r="V166" s="185"/>
    </row>
    <row r="167" spans="1:22" ht="18" customHeight="1">
      <c r="A167" s="184"/>
      <c r="B167" s="689" t="s">
        <v>473</v>
      </c>
      <c r="C167" s="1150" t="s">
        <v>652</v>
      </c>
      <c r="D167" s="279"/>
      <c r="E167" s="279"/>
      <c r="F167" s="279"/>
      <c r="G167" s="802">
        <v>0.4</v>
      </c>
      <c r="H167" s="1153" t="s">
        <v>315</v>
      </c>
      <c r="I167" s="790" t="s">
        <v>671</v>
      </c>
      <c r="J167" s="1147"/>
      <c r="K167" s="1147"/>
      <c r="L167" s="1147"/>
      <c r="M167" s="1147"/>
      <c r="N167" s="689" t="s">
        <v>672</v>
      </c>
      <c r="O167" s="708" t="s">
        <v>420</v>
      </c>
      <c r="P167" s="689" t="s">
        <v>347</v>
      </c>
      <c r="Q167" s="790" t="s">
        <v>673</v>
      </c>
      <c r="R167" s="708" t="s">
        <v>674</v>
      </c>
      <c r="S167" s="790" t="s">
        <v>482</v>
      </c>
      <c r="T167" s="14"/>
      <c r="U167" s="729" t="s">
        <v>653</v>
      </c>
      <c r="V167" s="185"/>
    </row>
    <row r="168" spans="1:22" ht="18" customHeight="1">
      <c r="A168" s="96"/>
      <c r="B168" s="689"/>
      <c r="C168" s="689"/>
      <c r="D168" s="279"/>
      <c r="E168" s="279"/>
      <c r="F168" s="279"/>
      <c r="G168" s="802"/>
      <c r="H168" s="689"/>
      <c r="I168" s="1190" t="s">
        <v>483</v>
      </c>
      <c r="J168" s="1189"/>
      <c r="K168" s="1189"/>
      <c r="L168" s="1189"/>
      <c r="M168" s="1189"/>
      <c r="N168" s="689"/>
      <c r="O168" s="689"/>
      <c r="P168" s="689"/>
      <c r="Q168" s="689"/>
      <c r="R168" s="689"/>
      <c r="S168" s="689"/>
      <c r="T168" s="14"/>
      <c r="U168" s="689"/>
      <c r="V168" s="185"/>
    </row>
    <row r="169" spans="1:22" ht="18" customHeight="1">
      <c r="A169" s="96"/>
      <c r="B169" s="5"/>
      <c r="C169" s="5"/>
      <c r="D169" s="5"/>
      <c r="E169" s="5"/>
      <c r="M169" s="120"/>
      <c r="N169" s="28"/>
      <c r="O169" s="689"/>
      <c r="P169" s="716"/>
      <c r="Q169" s="241"/>
      <c r="R169" s="14"/>
      <c r="S169" s="214"/>
      <c r="V169" s="185"/>
    </row>
    <row r="170" spans="1:22" s="14" customFormat="1" ht="18"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customHeight="1">
      <c r="A171" s="184"/>
      <c r="B171" s="47" t="s">
        <v>675</v>
      </c>
      <c r="C171" s="14"/>
      <c r="D171" s="14"/>
      <c r="E171" s="14"/>
      <c r="F171" s="18"/>
      <c r="G171" s="18"/>
      <c r="H171" s="14"/>
      <c r="I171" s="120"/>
      <c r="J171" s="14"/>
      <c r="K171" s="14"/>
      <c r="M171" s="14"/>
      <c r="N171" s="14"/>
      <c r="P171" s="30" t="s">
        <v>483</v>
      </c>
      <c r="R171" s="234" t="s">
        <v>127</v>
      </c>
      <c r="S171" s="684">
        <f>J134</f>
        <v>1000</v>
      </c>
      <c r="T171" s="684"/>
      <c r="U171" s="30" t="s">
        <v>8</v>
      </c>
      <c r="V171" s="185"/>
    </row>
    <row r="172" spans="1:22" ht="18" customHeight="1">
      <c r="A172" s="184"/>
      <c r="B172" s="47" t="s">
        <v>655</v>
      </c>
      <c r="C172" s="14"/>
      <c r="D172" s="14"/>
      <c r="E172" s="14"/>
      <c r="F172" s="18"/>
      <c r="G172" s="18"/>
      <c r="H172" s="14"/>
      <c r="I172" s="120"/>
      <c r="J172" s="14"/>
      <c r="K172" s="14"/>
      <c r="M172" s="14"/>
      <c r="N172" s="14"/>
      <c r="P172" s="14" t="s">
        <v>420</v>
      </c>
      <c r="R172" s="234" t="s">
        <v>127</v>
      </c>
      <c r="S172" s="684">
        <f>J136</f>
        <v>2.7</v>
      </c>
      <c r="T172" s="684"/>
      <c r="U172" s="192" t="s">
        <v>333</v>
      </c>
      <c r="V172" s="185"/>
    </row>
    <row r="173" spans="1:22" ht="18" customHeight="1">
      <c r="A173" s="184"/>
      <c r="B173" s="47" t="s">
        <v>676</v>
      </c>
      <c r="C173" s="14"/>
      <c r="D173" s="14"/>
      <c r="E173" s="14"/>
      <c r="F173" s="18"/>
      <c r="G173" s="18"/>
      <c r="H173" s="14"/>
      <c r="I173" s="120"/>
      <c r="J173" s="14"/>
      <c r="K173" s="14"/>
      <c r="M173" s="14"/>
      <c r="N173" s="14"/>
      <c r="P173" s="30" t="s">
        <v>673</v>
      </c>
      <c r="R173" s="234" t="s">
        <v>127</v>
      </c>
      <c r="S173" s="795">
        <f>S153</f>
        <v>1.2667743100000002</v>
      </c>
      <c r="T173" s="795"/>
      <c r="U173" s="192" t="s">
        <v>333</v>
      </c>
      <c r="V173" s="185"/>
    </row>
    <row r="174" spans="1:22" ht="18" customHeight="1">
      <c r="A174" s="184"/>
      <c r="B174" s="296" t="s">
        <v>677</v>
      </c>
      <c r="C174" s="14"/>
      <c r="D174" s="14"/>
      <c r="E174" s="14"/>
      <c r="F174" s="14"/>
      <c r="G174" s="14"/>
      <c r="H174" s="14"/>
      <c r="I174" s="120"/>
      <c r="J174" s="14"/>
      <c r="K174" s="14"/>
      <c r="M174" s="14"/>
      <c r="N174" s="14"/>
      <c r="P174" s="14" t="s">
        <v>411</v>
      </c>
      <c r="R174" s="234" t="s">
        <v>127</v>
      </c>
      <c r="S174" s="684">
        <f>O134</f>
        <v>1</v>
      </c>
      <c r="T174" s="684"/>
      <c r="U174" s="30" t="s">
        <v>8</v>
      </c>
      <c r="V174" s="185"/>
    </row>
    <row r="175" spans="1:22" ht="18" customHeight="1">
      <c r="A175" s="184"/>
      <c r="B175" s="47" t="s">
        <v>678</v>
      </c>
      <c r="C175" s="14"/>
      <c r="D175" s="14"/>
      <c r="E175" s="14"/>
      <c r="F175" s="14"/>
      <c r="G175" s="14"/>
      <c r="H175" s="14"/>
      <c r="I175" s="120"/>
      <c r="J175" s="14"/>
      <c r="K175" s="14"/>
      <c r="M175" s="14"/>
      <c r="N175" s="14"/>
      <c r="P175" s="244" t="s">
        <v>671</v>
      </c>
      <c r="R175" s="234" t="s">
        <v>127</v>
      </c>
      <c r="S175" s="684">
        <f>O165</f>
        <v>50000</v>
      </c>
      <c r="T175" s="684"/>
      <c r="U175" s="30" t="s">
        <v>8</v>
      </c>
      <c r="V175" s="185"/>
    </row>
    <row r="176" spans="1:22" ht="18" customHeight="1">
      <c r="A176" s="184"/>
      <c r="B176" s="296" t="s">
        <v>679</v>
      </c>
      <c r="C176" s="14"/>
      <c r="D176" s="14"/>
      <c r="E176" s="14"/>
      <c r="F176" s="14"/>
      <c r="G176" s="14"/>
      <c r="H176" s="14"/>
      <c r="I176" s="120"/>
      <c r="J176" s="14"/>
      <c r="K176" s="14"/>
      <c r="M176" s="14"/>
      <c r="N176" s="14"/>
      <c r="P176" s="120" t="s">
        <v>680</v>
      </c>
      <c r="R176" s="234" t="s">
        <v>127</v>
      </c>
      <c r="S176" s="795">
        <f>J161</f>
        <v>437.38656756789834</v>
      </c>
      <c r="T176" s="684"/>
      <c r="U176" s="30" t="s">
        <v>8</v>
      </c>
      <c r="V176" s="185"/>
    </row>
    <row r="177" spans="1:22" ht="18" customHeight="1">
      <c r="A177" s="184"/>
      <c r="B177" s="47" t="s">
        <v>659</v>
      </c>
      <c r="C177" s="14"/>
      <c r="D177" s="14"/>
      <c r="E177" s="14"/>
      <c r="F177" s="14"/>
      <c r="G177" s="14"/>
      <c r="H177" s="14"/>
      <c r="I177" s="120"/>
      <c r="J177" s="14"/>
      <c r="K177" s="14"/>
      <c r="M177" s="14"/>
      <c r="N177" s="14"/>
      <c r="P177" s="120" t="s">
        <v>660</v>
      </c>
      <c r="R177" s="234" t="s">
        <v>127</v>
      </c>
      <c r="S177" s="684">
        <f>O134</f>
        <v>1</v>
      </c>
      <c r="T177" s="684"/>
      <c r="U177" s="30" t="s">
        <v>8</v>
      </c>
      <c r="V177" s="185"/>
    </row>
    <row r="178" spans="1:22" ht="18" customHeight="1">
      <c r="A178" s="96"/>
      <c r="B178" s="14"/>
      <c r="C178" s="14"/>
      <c r="D178" s="235"/>
      <c r="E178" s="14"/>
      <c r="F178" s="28"/>
      <c r="G178" s="249"/>
      <c r="H178" s="28"/>
      <c r="I178" s="251"/>
      <c r="J178" s="14"/>
      <c r="K178" s="280"/>
      <c r="M178" s="47"/>
      <c r="N178" s="268"/>
      <c r="P178" s="281"/>
      <c r="R178" s="234"/>
      <c r="S178" s="1148"/>
      <c r="T178" s="723"/>
      <c r="V178" s="185"/>
    </row>
    <row r="179" spans="1:22" s="279" customFormat="1" ht="18" customHeight="1">
      <c r="A179" s="277"/>
      <c r="B179" s="689" t="s">
        <v>473</v>
      </c>
      <c r="C179" s="1150" t="s">
        <v>652</v>
      </c>
      <c r="G179" s="802">
        <f>G167</f>
        <v>0.4</v>
      </c>
      <c r="H179" s="1151" t="s">
        <v>315</v>
      </c>
      <c r="I179" s="829">
        <f>O165</f>
        <v>50000</v>
      </c>
      <c r="J179" s="1152"/>
      <c r="K179" s="1152"/>
      <c r="L179" s="1152"/>
      <c r="M179" s="1152"/>
      <c r="N179" s="689" t="s">
        <v>672</v>
      </c>
      <c r="O179" s="708">
        <f>S172</f>
        <v>2.7</v>
      </c>
      <c r="P179" s="689" t="s">
        <v>347</v>
      </c>
      <c r="Q179" s="829">
        <f>S173</f>
        <v>1.2667743100000002</v>
      </c>
      <c r="R179" s="708" t="s">
        <v>674</v>
      </c>
      <c r="S179" s="708">
        <f>S174</f>
        <v>1</v>
      </c>
      <c r="T179" s="14"/>
      <c r="U179" s="729" t="s">
        <v>653</v>
      </c>
      <c r="V179" s="185"/>
    </row>
    <row r="180" spans="1:22" s="279" customFormat="1" ht="18" customHeight="1">
      <c r="A180" s="277"/>
      <c r="B180" s="689"/>
      <c r="C180" s="689"/>
      <c r="G180" s="802"/>
      <c r="H180" s="684"/>
      <c r="I180" s="1189">
        <f>J134</f>
        <v>1000</v>
      </c>
      <c r="J180" s="1189"/>
      <c r="K180" s="1189"/>
      <c r="L180" s="1189"/>
      <c r="M180" s="1189"/>
      <c r="N180" s="689"/>
      <c r="O180" s="689"/>
      <c r="P180" s="689"/>
      <c r="Q180" s="689"/>
      <c r="R180" s="689"/>
      <c r="S180" s="689"/>
      <c r="T180" s="14"/>
      <c r="U180" s="689"/>
      <c r="V180" s="185"/>
    </row>
    <row r="181" spans="1:22" ht="18" customHeight="1">
      <c r="A181" s="96"/>
      <c r="B181" s="14"/>
      <c r="C181" s="27" t="s">
        <v>127</v>
      </c>
      <c r="D181" s="812">
        <f>ROUNDUP(G179*(I179/(I180)*(O179+Q179)*S179),2)</f>
        <v>79.34</v>
      </c>
      <c r="E181" s="813"/>
      <c r="F181" s="30" t="s">
        <v>305</v>
      </c>
      <c r="G181" s="14"/>
      <c r="H181" s="14"/>
      <c r="I181" s="14"/>
      <c r="J181" s="14"/>
      <c r="K181" s="14"/>
      <c r="L181" s="14"/>
      <c r="M181" s="14"/>
      <c r="N181" s="14"/>
      <c r="R181" s="234"/>
      <c r="S181" s="204"/>
      <c r="V181" s="185"/>
    </row>
    <row r="182" spans="1:22" ht="18" customHeight="1">
      <c r="A182" s="96"/>
      <c r="B182" s="14"/>
      <c r="G182" s="14"/>
      <c r="H182" s="14"/>
      <c r="I182" s="14"/>
      <c r="J182" s="14"/>
      <c r="K182" s="14"/>
      <c r="L182" s="14"/>
      <c r="M182" s="14"/>
      <c r="N182" s="14"/>
      <c r="R182" s="234"/>
      <c r="S182" s="204"/>
      <c r="V182" s="185"/>
    </row>
    <row r="183" spans="1:22" ht="18" hidden="1" customHeight="1">
      <c r="A183" s="96"/>
      <c r="B183" s="14"/>
      <c r="G183" s="27"/>
      <c r="M183" s="14"/>
      <c r="N183" s="14"/>
      <c r="R183" s="234"/>
      <c r="S183" s="204"/>
      <c r="V183" s="185"/>
    </row>
    <row r="184" spans="1:22" ht="18" hidden="1" customHeight="1">
      <c r="A184" s="96"/>
      <c r="B184" s="14"/>
      <c r="G184" s="27"/>
      <c r="H184" s="204"/>
      <c r="M184" s="14"/>
      <c r="N184" s="14"/>
      <c r="R184" s="234"/>
      <c r="S184" s="204"/>
      <c r="V184" s="185"/>
    </row>
    <row r="185" spans="1:22" ht="18" hidden="1" customHeight="1">
      <c r="A185" s="96"/>
      <c r="B185" s="14"/>
      <c r="F185" s="244"/>
      <c r="H185" s="18"/>
      <c r="M185" s="14"/>
      <c r="N185" s="14"/>
      <c r="R185" s="234"/>
      <c r="S185" s="204"/>
      <c r="V185" s="185"/>
    </row>
    <row r="186" spans="1:22" ht="18" hidden="1" customHeight="1">
      <c r="A186" s="96"/>
      <c r="B186" s="14"/>
      <c r="G186" s="14"/>
      <c r="H186" s="14"/>
      <c r="I186" s="14"/>
      <c r="J186" s="14"/>
      <c r="K186" s="14"/>
      <c r="L186" s="14"/>
      <c r="M186" s="14"/>
      <c r="N186" s="14"/>
      <c r="R186" s="234"/>
      <c r="S186" s="204"/>
      <c r="V186" s="185"/>
    </row>
    <row r="187" spans="1:22" ht="18" customHeight="1">
      <c r="A187" s="184" t="s">
        <v>612</v>
      </c>
      <c r="B187" s="14"/>
      <c r="C187" s="14"/>
      <c r="D187" s="14"/>
      <c r="E187" s="14"/>
      <c r="M187" s="120" t="s">
        <v>613</v>
      </c>
      <c r="N187" s="28" t="s">
        <v>127</v>
      </c>
      <c r="O187" s="689" t="s">
        <v>609</v>
      </c>
      <c r="P187" s="716"/>
      <c r="Q187" s="245" t="s">
        <v>681</v>
      </c>
      <c r="R187" s="805" t="str">
        <f>B156</f>
        <v>Percentage Impedance</v>
      </c>
      <c r="S187" s="805"/>
      <c r="T187" s="805"/>
      <c r="U187" s="805"/>
      <c r="V187" s="968"/>
    </row>
    <row r="188" spans="1:22" ht="18" customHeight="1">
      <c r="A188" s="96"/>
      <c r="B188" s="5"/>
      <c r="C188" s="5"/>
      <c r="D188" s="5"/>
      <c r="E188" s="5"/>
      <c r="M188" s="250"/>
      <c r="N188" s="28" t="s">
        <v>127</v>
      </c>
      <c r="O188" s="692">
        <f>J161</f>
        <v>437.38656756789834</v>
      </c>
      <c r="P188" s="716"/>
      <c r="Q188" s="245" t="s">
        <v>342</v>
      </c>
      <c r="R188" s="221">
        <f>O156%</f>
        <v>0.25</v>
      </c>
      <c r="S188" s="214"/>
      <c r="V188" s="185"/>
    </row>
    <row r="189" spans="1:22" ht="18" customHeight="1">
      <c r="A189" s="96"/>
      <c r="B189" s="5"/>
      <c r="C189" s="5"/>
      <c r="D189" s="5"/>
      <c r="E189" s="5"/>
      <c r="M189" s="120" t="s">
        <v>613</v>
      </c>
      <c r="N189" s="28" t="s">
        <v>127</v>
      </c>
      <c r="O189" s="689">
        <f>O188/R188</f>
        <v>1749.5462702715934</v>
      </c>
      <c r="P189" s="716"/>
      <c r="Q189" s="241" t="s">
        <v>8</v>
      </c>
      <c r="R189" s="14"/>
      <c r="S189" s="214"/>
      <c r="V189" s="185"/>
    </row>
    <row r="190" spans="1:22" ht="18" customHeight="1">
      <c r="A190" s="96"/>
      <c r="B190" s="5"/>
      <c r="C190" s="5"/>
      <c r="D190" s="5"/>
      <c r="E190" s="5"/>
      <c r="M190" s="120"/>
      <c r="N190" s="28"/>
      <c r="O190" s="28"/>
      <c r="P190" s="14"/>
      <c r="Q190" s="241"/>
      <c r="R190" s="14"/>
      <c r="S190" s="214"/>
      <c r="V190" s="185"/>
    </row>
    <row r="191" spans="1:22" s="279" customFormat="1" ht="18" customHeight="1">
      <c r="A191" s="277"/>
      <c r="B191" s="689" t="s">
        <v>473</v>
      </c>
      <c r="C191" s="1150" t="s">
        <v>652</v>
      </c>
      <c r="G191" s="802">
        <v>1.6</v>
      </c>
      <c r="H191" s="1153" t="s">
        <v>315</v>
      </c>
      <c r="I191" s="790" t="s">
        <v>682</v>
      </c>
      <c r="J191" s="1147"/>
      <c r="K191" s="1147"/>
      <c r="L191" s="1147"/>
      <c r="M191" s="1147"/>
      <c r="N191" s="689" t="s">
        <v>672</v>
      </c>
      <c r="O191" s="708" t="s">
        <v>420</v>
      </c>
      <c r="P191" s="689" t="s">
        <v>347</v>
      </c>
      <c r="Q191" s="790" t="s">
        <v>673</v>
      </c>
      <c r="R191" s="708" t="s">
        <v>674</v>
      </c>
      <c r="S191" s="790" t="s">
        <v>482</v>
      </c>
      <c r="T191" s="14"/>
      <c r="U191" s="726" t="s">
        <v>683</v>
      </c>
      <c r="V191" s="185"/>
    </row>
    <row r="192" spans="1:22" s="279" customFormat="1" ht="18" customHeight="1">
      <c r="A192" s="277"/>
      <c r="B192" s="689"/>
      <c r="C192" s="689"/>
      <c r="G192" s="802"/>
      <c r="H192" s="689"/>
      <c r="I192" s="1190" t="s">
        <v>483</v>
      </c>
      <c r="J192" s="1189"/>
      <c r="K192" s="1189"/>
      <c r="L192" s="1189"/>
      <c r="M192" s="1189"/>
      <c r="N192" s="689"/>
      <c r="O192" s="689"/>
      <c r="P192" s="689"/>
      <c r="Q192" s="689"/>
      <c r="R192" s="689"/>
      <c r="S192" s="689"/>
      <c r="T192" s="14"/>
      <c r="U192" s="689"/>
      <c r="V192" s="185"/>
    </row>
    <row r="193" spans="1:22" ht="18" customHeight="1">
      <c r="A193" s="184"/>
      <c r="V193" s="185"/>
    </row>
    <row r="194" spans="1:22" ht="18" customHeight="1">
      <c r="A194" s="184"/>
      <c r="B194" s="47" t="s">
        <v>675</v>
      </c>
      <c r="C194" s="14"/>
      <c r="D194" s="14"/>
      <c r="E194" s="14"/>
      <c r="F194" s="18"/>
      <c r="G194" s="18"/>
      <c r="H194" s="14"/>
      <c r="I194" s="120"/>
      <c r="J194" s="14"/>
      <c r="K194" s="14"/>
      <c r="M194" s="14"/>
      <c r="N194" s="14"/>
      <c r="P194" s="30" t="s">
        <v>483</v>
      </c>
      <c r="R194" s="234" t="s">
        <v>127</v>
      </c>
      <c r="S194" s="684">
        <f>J134</f>
        <v>1000</v>
      </c>
      <c r="T194" s="684"/>
      <c r="U194" s="30" t="s">
        <v>8</v>
      </c>
      <c r="V194" s="185"/>
    </row>
    <row r="195" spans="1:22" ht="18" customHeight="1">
      <c r="A195" s="184"/>
      <c r="B195" s="47" t="s">
        <v>655</v>
      </c>
      <c r="C195" s="14"/>
      <c r="D195" s="14"/>
      <c r="E195" s="14"/>
      <c r="F195" s="18"/>
      <c r="G195" s="18"/>
      <c r="H195" s="14"/>
      <c r="I195" s="120"/>
      <c r="J195" s="14"/>
      <c r="K195" s="14"/>
      <c r="M195" s="14"/>
      <c r="N195" s="14"/>
      <c r="P195" s="14" t="s">
        <v>420</v>
      </c>
      <c r="R195" s="234" t="s">
        <v>127</v>
      </c>
      <c r="S195" s="684">
        <f>J136</f>
        <v>2.7</v>
      </c>
      <c r="T195" s="684"/>
      <c r="U195" s="192" t="s">
        <v>333</v>
      </c>
      <c r="V195" s="185"/>
    </row>
    <row r="196" spans="1:22" ht="18" customHeight="1">
      <c r="A196" s="184"/>
      <c r="B196" s="47" t="s">
        <v>676</v>
      </c>
      <c r="C196" s="14"/>
      <c r="D196" s="14"/>
      <c r="E196" s="14"/>
      <c r="F196" s="18"/>
      <c r="G196" s="18"/>
      <c r="H196" s="14"/>
      <c r="I196" s="120"/>
      <c r="J196" s="14"/>
      <c r="K196" s="14"/>
      <c r="M196" s="14"/>
      <c r="N196" s="14"/>
      <c r="P196" s="30" t="s">
        <v>673</v>
      </c>
      <c r="R196" s="234" t="s">
        <v>127</v>
      </c>
      <c r="S196" s="795">
        <f>S153</f>
        <v>1.2667743100000002</v>
      </c>
      <c r="T196" s="795"/>
      <c r="U196" s="192" t="s">
        <v>333</v>
      </c>
      <c r="V196" s="185"/>
    </row>
    <row r="197" spans="1:22" ht="18" customHeight="1">
      <c r="A197" s="184"/>
      <c r="B197" s="296" t="s">
        <v>677</v>
      </c>
      <c r="C197" s="14"/>
      <c r="D197" s="14"/>
      <c r="E197" s="14"/>
      <c r="F197" s="14"/>
      <c r="G197" s="14"/>
      <c r="H197" s="14"/>
      <c r="I197" s="120"/>
      <c r="J197" s="14"/>
      <c r="K197" s="14"/>
      <c r="M197" s="14"/>
      <c r="N197" s="14"/>
      <c r="P197" s="14" t="s">
        <v>411</v>
      </c>
      <c r="R197" s="234" t="s">
        <v>127</v>
      </c>
      <c r="S197" s="684">
        <f>O134</f>
        <v>1</v>
      </c>
      <c r="T197" s="684"/>
      <c r="U197" s="30" t="s">
        <v>8</v>
      </c>
      <c r="V197" s="185"/>
    </row>
    <row r="198" spans="1:22" ht="18" customHeight="1">
      <c r="A198" s="184"/>
      <c r="B198" s="47" t="s">
        <v>678</v>
      </c>
      <c r="C198" s="14"/>
      <c r="D198" s="14"/>
      <c r="E198" s="14"/>
      <c r="F198" s="14"/>
      <c r="G198" s="14"/>
      <c r="H198" s="14"/>
      <c r="I198" s="120"/>
      <c r="J198" s="14"/>
      <c r="K198" s="14"/>
      <c r="M198" s="14"/>
      <c r="N198" s="14"/>
      <c r="P198" s="244" t="s">
        <v>682</v>
      </c>
      <c r="R198" s="234" t="s">
        <v>127</v>
      </c>
      <c r="S198" s="684">
        <f>O189</f>
        <v>1749.5462702715934</v>
      </c>
      <c r="T198" s="684"/>
      <c r="U198" s="30" t="s">
        <v>8</v>
      </c>
      <c r="V198" s="185"/>
    </row>
    <row r="199" spans="1:22" ht="18" customHeight="1">
      <c r="A199" s="184"/>
      <c r="B199" s="296" t="s">
        <v>679</v>
      </c>
      <c r="C199" s="14"/>
      <c r="D199" s="14"/>
      <c r="E199" s="14"/>
      <c r="F199" s="14"/>
      <c r="G199" s="14"/>
      <c r="H199" s="14"/>
      <c r="I199" s="120"/>
      <c r="J199" s="14"/>
      <c r="K199" s="14"/>
      <c r="M199" s="14"/>
      <c r="N199" s="14"/>
      <c r="P199" s="120" t="s">
        <v>680</v>
      </c>
      <c r="R199" s="234" t="s">
        <v>127</v>
      </c>
      <c r="S199" s="795">
        <f>J161</f>
        <v>437.38656756789834</v>
      </c>
      <c r="T199" s="684"/>
      <c r="U199" s="30" t="s">
        <v>8</v>
      </c>
      <c r="V199" s="185"/>
    </row>
    <row r="200" spans="1:22" ht="18" customHeight="1">
      <c r="A200" s="184"/>
      <c r="B200" s="47" t="s">
        <v>659</v>
      </c>
      <c r="C200" s="14"/>
      <c r="D200" s="14"/>
      <c r="E200" s="14"/>
      <c r="F200" s="14"/>
      <c r="G200" s="14"/>
      <c r="H200" s="14"/>
      <c r="I200" s="120"/>
      <c r="J200" s="14"/>
      <c r="K200" s="14"/>
      <c r="M200" s="14"/>
      <c r="N200" s="14"/>
      <c r="P200" s="120" t="s">
        <v>660</v>
      </c>
      <c r="R200" s="234" t="s">
        <v>127</v>
      </c>
      <c r="S200" s="684">
        <f>S197</f>
        <v>1</v>
      </c>
      <c r="T200" s="684"/>
      <c r="U200" s="30" t="s">
        <v>8</v>
      </c>
      <c r="V200" s="185"/>
    </row>
    <row r="201" spans="1:22" ht="18" customHeight="1">
      <c r="A201" s="96"/>
      <c r="B201" s="14"/>
      <c r="C201" s="14"/>
      <c r="D201" s="235"/>
      <c r="E201" s="14"/>
      <c r="F201" s="28"/>
      <c r="G201" s="249"/>
      <c r="H201" s="28"/>
      <c r="I201" s="251"/>
      <c r="J201" s="14"/>
      <c r="K201" s="280"/>
      <c r="M201" s="47"/>
      <c r="N201" s="268"/>
      <c r="P201" s="281"/>
      <c r="R201" s="234"/>
      <c r="S201" s="1148"/>
      <c r="T201" s="723"/>
      <c r="V201" s="185"/>
    </row>
    <row r="202" spans="1:22" s="279" customFormat="1" ht="18" customHeight="1">
      <c r="A202" s="277"/>
      <c r="B202" s="689" t="s">
        <v>473</v>
      </c>
      <c r="C202" s="1150" t="s">
        <v>652</v>
      </c>
      <c r="G202" s="802">
        <f>G191</f>
        <v>1.6</v>
      </c>
      <c r="H202" s="1151" t="s">
        <v>315</v>
      </c>
      <c r="I202" s="829">
        <f>O189</f>
        <v>1749.5462702715934</v>
      </c>
      <c r="J202" s="1152"/>
      <c r="K202" s="1152"/>
      <c r="L202" s="1152"/>
      <c r="M202" s="1152"/>
      <c r="N202" s="689" t="s">
        <v>672</v>
      </c>
      <c r="O202" s="708">
        <f>S195</f>
        <v>2.7</v>
      </c>
      <c r="P202" s="689" t="s">
        <v>347</v>
      </c>
      <c r="Q202" s="829">
        <f>S196</f>
        <v>1.2667743100000002</v>
      </c>
      <c r="R202" s="708" t="s">
        <v>674</v>
      </c>
      <c r="S202" s="708">
        <f>S197</f>
        <v>1</v>
      </c>
      <c r="T202" s="14"/>
      <c r="U202" s="726" t="s">
        <v>683</v>
      </c>
      <c r="V202" s="185"/>
    </row>
    <row r="203" spans="1:22" s="279" customFormat="1" ht="18" customHeight="1">
      <c r="A203" s="277"/>
      <c r="B203" s="689"/>
      <c r="C203" s="689"/>
      <c r="G203" s="802"/>
      <c r="H203" s="684"/>
      <c r="I203" s="1189">
        <f>S194</f>
        <v>1000</v>
      </c>
      <c r="J203" s="1189"/>
      <c r="K203" s="1189"/>
      <c r="L203" s="1189"/>
      <c r="M203" s="1189"/>
      <c r="N203" s="689"/>
      <c r="O203" s="689"/>
      <c r="P203" s="689"/>
      <c r="Q203" s="689"/>
      <c r="R203" s="689"/>
      <c r="S203" s="689"/>
      <c r="T203" s="14"/>
      <c r="U203" s="689"/>
      <c r="V203" s="185"/>
    </row>
    <row r="204" spans="1:22" ht="18" customHeight="1">
      <c r="A204" s="96"/>
      <c r="B204" s="14"/>
      <c r="C204" s="27" t="s">
        <v>127</v>
      </c>
      <c r="D204" s="812">
        <f>ROUNDUP(G202*(I202/(I203)*(O202+Q202)*S202),2)</f>
        <v>11.11</v>
      </c>
      <c r="E204" s="813"/>
      <c r="F204" s="30" t="s">
        <v>305</v>
      </c>
      <c r="G204" s="14"/>
      <c r="H204" s="14"/>
      <c r="I204" s="14"/>
      <c r="J204" s="14"/>
      <c r="K204" s="14"/>
      <c r="L204" s="14"/>
      <c r="M204" s="14"/>
      <c r="N204" s="14"/>
      <c r="R204" s="234"/>
      <c r="S204" s="204"/>
      <c r="V204" s="185"/>
    </row>
    <row r="205" spans="1:22" ht="18" customHeight="1">
      <c r="A205" s="96"/>
      <c r="B205" s="14"/>
      <c r="G205" s="14"/>
      <c r="H205" s="14"/>
      <c r="I205" s="14"/>
      <c r="J205" s="14"/>
      <c r="K205" s="14"/>
      <c r="L205" s="14"/>
      <c r="M205" s="14"/>
      <c r="N205" s="14"/>
      <c r="R205" s="234"/>
      <c r="S205" s="204"/>
      <c r="V205" s="185"/>
    </row>
    <row r="206" spans="1:22" ht="18" customHeight="1">
      <c r="A206" s="184" t="s">
        <v>684</v>
      </c>
      <c r="B206" s="14"/>
      <c r="G206" s="14"/>
      <c r="H206" s="14"/>
      <c r="I206" s="14"/>
      <c r="J206" s="14"/>
      <c r="K206" s="14"/>
      <c r="L206" s="14"/>
      <c r="M206" s="14"/>
      <c r="N206" s="14"/>
      <c r="R206" s="234"/>
      <c r="S206" s="204"/>
      <c r="U206" s="726" t="s">
        <v>685</v>
      </c>
      <c r="V206" s="185"/>
    </row>
    <row r="207" spans="1:22" ht="18" customHeight="1">
      <c r="A207" s="184"/>
      <c r="E207" s="30" t="s">
        <v>473</v>
      </c>
      <c r="F207" s="278" t="s">
        <v>652</v>
      </c>
      <c r="G207" s="28">
        <v>20</v>
      </c>
      <c r="H207" s="27" t="s">
        <v>315</v>
      </c>
      <c r="I207" s="27" t="s">
        <v>482</v>
      </c>
      <c r="J207" s="27" t="s">
        <v>372</v>
      </c>
      <c r="K207" s="27" t="s">
        <v>420</v>
      </c>
      <c r="L207" s="27" t="s">
        <v>347</v>
      </c>
      <c r="M207" s="27" t="s">
        <v>673</v>
      </c>
      <c r="N207" s="27" t="s">
        <v>350</v>
      </c>
      <c r="R207" s="234"/>
      <c r="S207" s="204"/>
      <c r="U207" s="689"/>
      <c r="V207" s="185"/>
    </row>
    <row r="208" spans="1:22" ht="18" customHeight="1">
      <c r="A208" s="184"/>
      <c r="B208" s="47" t="s">
        <v>655</v>
      </c>
      <c r="C208" s="14"/>
      <c r="D208" s="14"/>
      <c r="E208" s="14"/>
      <c r="F208" s="18"/>
      <c r="G208" s="18"/>
      <c r="H208" s="14"/>
      <c r="I208" s="120"/>
      <c r="J208" s="14"/>
      <c r="K208" s="14"/>
      <c r="M208" s="14"/>
      <c r="N208" s="14"/>
      <c r="P208" s="14" t="s">
        <v>420</v>
      </c>
      <c r="R208" s="234" t="s">
        <v>127</v>
      </c>
      <c r="S208" s="684">
        <f>J136</f>
        <v>2.7</v>
      </c>
      <c r="T208" s="684"/>
      <c r="U208" s="192" t="s">
        <v>333</v>
      </c>
      <c r="V208" s="185"/>
    </row>
    <row r="209" spans="1:27" ht="18" customHeight="1">
      <c r="A209" s="184"/>
      <c r="B209" s="47" t="s">
        <v>676</v>
      </c>
      <c r="C209" s="14"/>
      <c r="D209" s="14"/>
      <c r="E209" s="14"/>
      <c r="F209" s="18"/>
      <c r="G209" s="18"/>
      <c r="H209" s="14"/>
      <c r="I209" s="120"/>
      <c r="J209" s="14"/>
      <c r="K209" s="14"/>
      <c r="M209" s="14"/>
      <c r="N209" s="14"/>
      <c r="P209" s="30" t="s">
        <v>673</v>
      </c>
      <c r="R209" s="234" t="s">
        <v>127</v>
      </c>
      <c r="S209" s="795">
        <f>S153</f>
        <v>1.2667743100000002</v>
      </c>
      <c r="T209" s="795"/>
      <c r="U209" s="192" t="s">
        <v>333</v>
      </c>
      <c r="V209" s="185"/>
    </row>
    <row r="210" spans="1:27" ht="18" customHeight="1">
      <c r="A210" s="184"/>
      <c r="B210" s="296" t="s">
        <v>677</v>
      </c>
      <c r="C210" s="14"/>
      <c r="D210" s="14"/>
      <c r="E210" s="14"/>
      <c r="F210" s="14"/>
      <c r="G210" s="14"/>
      <c r="H210" s="14"/>
      <c r="I210" s="120"/>
      <c r="J210" s="14"/>
      <c r="K210" s="14"/>
      <c r="M210" s="14"/>
      <c r="N210" s="14"/>
      <c r="P210" s="30" t="s">
        <v>482</v>
      </c>
      <c r="R210" s="234" t="s">
        <v>127</v>
      </c>
      <c r="S210" s="684">
        <v>1</v>
      </c>
      <c r="T210" s="684"/>
      <c r="U210" s="30" t="s">
        <v>8</v>
      </c>
      <c r="V210" s="185"/>
    </row>
    <row r="211" spans="1:27" ht="18" customHeight="1">
      <c r="A211" s="184"/>
      <c r="B211" s="296"/>
      <c r="C211" s="14"/>
      <c r="D211" s="14"/>
      <c r="E211" s="14"/>
      <c r="F211" s="14"/>
      <c r="G211" s="14"/>
      <c r="H211" s="14"/>
      <c r="I211" s="120"/>
      <c r="J211" s="14"/>
      <c r="K211" s="14"/>
      <c r="M211" s="14"/>
      <c r="N211" s="14"/>
      <c r="R211" s="234"/>
      <c r="S211" s="27"/>
      <c r="T211" s="27"/>
      <c r="V211" s="185"/>
    </row>
    <row r="212" spans="1:27" ht="18" customHeight="1">
      <c r="A212" s="193"/>
      <c r="B212" s="14"/>
      <c r="E212" s="30" t="s">
        <v>473</v>
      </c>
      <c r="F212" s="278" t="s">
        <v>652</v>
      </c>
      <c r="G212" s="28">
        <f>G207</f>
        <v>20</v>
      </c>
      <c r="H212" s="28" t="str">
        <f>H207</f>
        <v>x</v>
      </c>
      <c r="I212" s="28">
        <f>S210</f>
        <v>1</v>
      </c>
      <c r="J212" s="27" t="s">
        <v>372</v>
      </c>
      <c r="K212" s="28">
        <f>S208</f>
        <v>2.7</v>
      </c>
      <c r="L212" s="27" t="s">
        <v>347</v>
      </c>
      <c r="M212" s="218">
        <f>S209</f>
        <v>1.2667743100000002</v>
      </c>
      <c r="N212" s="28" t="str">
        <f>N207</f>
        <v>)</v>
      </c>
      <c r="R212" s="234"/>
      <c r="S212" s="204"/>
      <c r="V212" s="185"/>
    </row>
    <row r="213" spans="1:27" ht="18" customHeight="1">
      <c r="A213" s="193"/>
      <c r="B213" s="14"/>
      <c r="C213" s="278"/>
      <c r="F213" s="30" t="s">
        <v>127</v>
      </c>
      <c r="G213" s="1188">
        <f>ROUNDUP(G212*I212*(K212+M212),2)</f>
        <v>79.34</v>
      </c>
      <c r="H213" s="1188"/>
      <c r="I213" s="28"/>
      <c r="J213" s="27"/>
      <c r="K213" s="28"/>
      <c r="L213" s="27"/>
      <c r="M213" s="218"/>
      <c r="N213" s="28"/>
      <c r="R213" s="234"/>
      <c r="S213" s="204"/>
      <c r="V213" s="185"/>
    </row>
    <row r="214" spans="1:27" ht="18" customHeight="1">
      <c r="A214" s="508"/>
      <c r="B214" s="195"/>
      <c r="C214" s="623"/>
      <c r="D214" s="196"/>
      <c r="E214" s="196"/>
      <c r="F214" s="196"/>
      <c r="G214" s="624"/>
      <c r="H214" s="624"/>
      <c r="I214" s="182"/>
      <c r="J214" s="307"/>
      <c r="K214" s="182"/>
      <c r="L214" s="307"/>
      <c r="M214" s="509"/>
      <c r="N214" s="182"/>
      <c r="O214" s="196"/>
      <c r="P214" s="196"/>
      <c r="Q214" s="196"/>
      <c r="R214" s="591"/>
      <c r="S214" s="518"/>
      <c r="T214" s="196"/>
      <c r="U214" s="196"/>
      <c r="V214" s="291"/>
    </row>
    <row r="215" spans="1:27" ht="18" customHeight="1">
      <c r="A215" s="383"/>
      <c r="B215" s="273"/>
      <c r="C215" s="625"/>
      <c r="D215" s="227"/>
      <c r="E215" s="227"/>
      <c r="F215" s="227"/>
      <c r="G215" s="138"/>
      <c r="H215" s="138"/>
      <c r="I215" s="138"/>
      <c r="J215" s="311"/>
      <c r="K215" s="138"/>
      <c r="L215" s="311"/>
      <c r="M215" s="626"/>
      <c r="N215" s="138"/>
      <c r="O215" s="227"/>
      <c r="P215" s="227"/>
      <c r="Q215" s="227"/>
      <c r="R215" s="605"/>
      <c r="S215" s="627"/>
      <c r="T215" s="227"/>
      <c r="U215" s="227"/>
      <c r="V215" s="228"/>
    </row>
    <row r="216" spans="1:27" ht="18" customHeight="1">
      <c r="A216" s="96"/>
      <c r="B216" s="14"/>
      <c r="D216" s="30" t="s">
        <v>527</v>
      </c>
      <c r="E216" s="14"/>
      <c r="F216" s="279"/>
      <c r="G216" s="14"/>
      <c r="H216" s="14"/>
      <c r="I216" s="279"/>
      <c r="J216" s="14"/>
      <c r="K216" s="14"/>
      <c r="L216" s="30" t="s">
        <v>473</v>
      </c>
      <c r="M216" s="505" t="s">
        <v>529</v>
      </c>
      <c r="N216" s="30" t="str">
        <f>CONCATENATE(Y216,X216,D181,Z216,D204,Z216,G213,AA216)</f>
        <v>max(79.34,11.11,79.34)</v>
      </c>
      <c r="R216" s="234"/>
      <c r="S216" s="204"/>
      <c r="V216" s="185"/>
      <c r="X216" s="30" t="s">
        <v>419</v>
      </c>
      <c r="Y216" s="30" t="s">
        <v>530</v>
      </c>
      <c r="Z216" s="30" t="s">
        <v>531</v>
      </c>
      <c r="AA216" s="30" t="s">
        <v>350</v>
      </c>
    </row>
    <row r="217" spans="1:27" ht="18" customHeight="1">
      <c r="A217" s="96"/>
      <c r="B217" s="14"/>
      <c r="D217" s="14"/>
      <c r="E217" s="14"/>
      <c r="F217" s="279"/>
      <c r="G217" s="14"/>
      <c r="H217" s="14"/>
      <c r="I217" s="279"/>
      <c r="J217" s="14"/>
      <c r="K217" s="14"/>
      <c r="L217" s="30" t="s">
        <v>473</v>
      </c>
      <c r="M217" s="505" t="s">
        <v>529</v>
      </c>
      <c r="N217" s="1072">
        <f>MAX(D204,D181,G213)</f>
        <v>79.34</v>
      </c>
      <c r="O217" s="1072"/>
      <c r="R217" s="234"/>
      <c r="S217" s="204"/>
      <c r="V217" s="185"/>
    </row>
    <row r="218" spans="1:27" ht="18" customHeight="1">
      <c r="A218" s="96"/>
      <c r="B218" s="14"/>
      <c r="G218" s="14"/>
      <c r="H218" s="14"/>
      <c r="I218" s="14"/>
      <c r="J218" s="14"/>
      <c r="K218" s="1185">
        <f>J137</f>
        <v>900</v>
      </c>
      <c r="L218" s="1185"/>
      <c r="M218" s="505" t="s">
        <v>529</v>
      </c>
      <c r="N218" s="1072">
        <f>N217</f>
        <v>79.34</v>
      </c>
      <c r="O218" s="1072"/>
      <c r="R218" s="234"/>
      <c r="S218" s="204"/>
      <c r="V218" s="185"/>
    </row>
    <row r="219" spans="1:27" ht="18" customHeight="1">
      <c r="A219" s="96"/>
      <c r="B219" s="14"/>
      <c r="F219" s="14"/>
      <c r="G219" s="14"/>
      <c r="H219" s="14"/>
      <c r="I219" s="14"/>
      <c r="J219" s="14"/>
      <c r="K219" s="14"/>
      <c r="L219" s="14"/>
      <c r="M219" s="14"/>
      <c r="N219" s="14"/>
      <c r="O219" s="154"/>
      <c r="P219" s="14"/>
      <c r="R219" s="234"/>
      <c r="S219" s="204"/>
      <c r="V219" s="185"/>
    </row>
    <row r="220" spans="1:27" ht="18" customHeight="1">
      <c r="A220" s="96"/>
      <c r="B220" s="14"/>
      <c r="D220"/>
      <c r="E220"/>
      <c r="F220" s="244" t="s">
        <v>478</v>
      </c>
      <c r="G220"/>
      <c r="H220" s="18" t="str">
        <f>IF(K218&gt;N218,"Suitably Dimensioned","Under Dimensioned")</f>
        <v>Suitably Dimensioned</v>
      </c>
      <c r="I220"/>
      <c r="J220"/>
      <c r="K220"/>
      <c r="L220"/>
      <c r="N220" s="14"/>
      <c r="R220" s="234"/>
      <c r="S220" s="204"/>
      <c r="V220" s="185"/>
    </row>
    <row r="221" spans="1:27" ht="18" customHeight="1">
      <c r="A221" s="96"/>
      <c r="B221" s="14"/>
      <c r="C221" s="14"/>
      <c r="D221" s="14"/>
      <c r="E221" s="14"/>
      <c r="M221" s="120"/>
      <c r="N221" s="28"/>
      <c r="O221" s="689"/>
      <c r="P221" s="716"/>
      <c r="Q221" s="245"/>
      <c r="R221" s="1186"/>
      <c r="S221" s="1186"/>
      <c r="T221" s="1186"/>
      <c r="U221" s="1186"/>
      <c r="V221" s="1187"/>
    </row>
    <row r="222" spans="1:27" ht="18" customHeight="1">
      <c r="A222" s="96"/>
      <c r="B222" s="5"/>
      <c r="C222" s="5"/>
      <c r="D222" s="5"/>
      <c r="E222" s="5"/>
      <c r="M222" s="250"/>
      <c r="N222" s="28"/>
      <c r="O222" s="689"/>
      <c r="P222" s="716"/>
      <c r="Q222" s="245"/>
      <c r="R222" s="221"/>
      <c r="S222" s="186"/>
      <c r="V222" s="185"/>
    </row>
    <row r="223" spans="1:27" ht="18" customHeight="1">
      <c r="A223" s="96"/>
      <c r="B223" s="5"/>
      <c r="C223" s="5"/>
      <c r="D223" s="5"/>
      <c r="E223" s="5"/>
      <c r="M223" s="120"/>
      <c r="N223" s="28"/>
      <c r="O223" s="689"/>
      <c r="P223" s="716"/>
      <c r="Q223" s="241"/>
      <c r="R223" s="14"/>
      <c r="S223" s="186"/>
      <c r="V223" s="185"/>
    </row>
    <row r="224" spans="1:27" ht="18" customHeight="1">
      <c r="A224" s="96"/>
      <c r="B224" s="5"/>
      <c r="C224" s="5"/>
      <c r="D224" s="5"/>
      <c r="E224" s="5"/>
      <c r="M224" s="120"/>
      <c r="N224" s="28"/>
      <c r="O224" s="28"/>
      <c r="P224" s="14"/>
      <c r="Q224" s="241"/>
      <c r="R224" s="14"/>
      <c r="S224" s="186"/>
      <c r="V224" s="185"/>
    </row>
    <row r="225" spans="1:22" ht="18" customHeight="1">
      <c r="A225" s="96"/>
      <c r="B225" s="5"/>
      <c r="C225" s="5"/>
      <c r="D225" s="5"/>
      <c r="E225" s="5"/>
      <c r="M225" s="120"/>
      <c r="N225" s="28"/>
      <c r="O225" s="28"/>
      <c r="P225" s="14"/>
      <c r="Q225" s="241"/>
      <c r="R225" s="14"/>
      <c r="S225" s="186"/>
      <c r="V225" s="185"/>
    </row>
    <row r="226" spans="1:22" ht="18" customHeight="1">
      <c r="A226" s="96"/>
      <c r="B226" s="5"/>
      <c r="C226" s="5"/>
      <c r="D226" s="5"/>
      <c r="E226" s="5"/>
      <c r="M226" s="120"/>
      <c r="N226" s="28"/>
      <c r="O226" s="28"/>
      <c r="P226" s="14"/>
      <c r="Q226" s="241"/>
      <c r="R226" s="14"/>
      <c r="S226" s="186"/>
      <c r="V226" s="185"/>
    </row>
    <row r="227" spans="1:22" ht="18" customHeight="1">
      <c r="A227" s="96"/>
      <c r="B227" s="5"/>
      <c r="C227" s="5"/>
      <c r="D227" s="5"/>
      <c r="E227" s="5"/>
      <c r="M227" s="120"/>
      <c r="N227" s="28"/>
      <c r="O227" s="28"/>
      <c r="P227" s="14"/>
      <c r="Q227" s="241"/>
      <c r="R227" s="14"/>
      <c r="S227" s="186"/>
      <c r="V227" s="185"/>
    </row>
    <row r="228" spans="1:22" ht="18" customHeight="1">
      <c r="A228" s="96"/>
      <c r="B228" s="5"/>
      <c r="C228" s="5"/>
      <c r="D228" s="5"/>
      <c r="E228" s="5"/>
      <c r="M228" s="120"/>
      <c r="N228" s="28"/>
      <c r="O228" s="28"/>
      <c r="P228" s="14"/>
      <c r="Q228" s="241"/>
      <c r="R228" s="14"/>
      <c r="S228" s="186"/>
      <c r="V228" s="185"/>
    </row>
    <row r="229" spans="1:22" s="14" customFormat="1" ht="18" hidden="1" customHeight="1">
      <c r="A229" s="194"/>
      <c r="B229" s="195"/>
      <c r="C229" s="195"/>
      <c r="D229" s="195"/>
      <c r="E229" s="195"/>
      <c r="F229" s="195"/>
      <c r="G229" s="195"/>
      <c r="H229" s="195"/>
      <c r="I229" s="195"/>
      <c r="J229" s="195"/>
      <c r="K229" s="195"/>
      <c r="L229" s="195"/>
      <c r="M229" s="195"/>
      <c r="N229" s="195"/>
      <c r="O229" s="195"/>
      <c r="P229" s="195"/>
      <c r="Q229" s="224"/>
      <c r="R229" s="182"/>
      <c r="S229" s="225"/>
      <c r="T229" s="195"/>
      <c r="U229" s="195"/>
      <c r="V229" s="134" t="s">
        <v>552</v>
      </c>
    </row>
    <row r="230" spans="1:22" s="14" customFormat="1" ht="18" hidden="1" customHeight="1">
      <c r="A230" s="135"/>
      <c r="B230" s="273"/>
      <c r="C230" s="273"/>
      <c r="D230" s="273"/>
      <c r="E230" s="273"/>
      <c r="F230" s="273"/>
      <c r="G230" s="273"/>
      <c r="H230" s="273"/>
      <c r="I230" s="273"/>
      <c r="J230" s="273"/>
      <c r="K230" s="273"/>
      <c r="L230" s="273"/>
      <c r="M230" s="273"/>
      <c r="N230" s="273"/>
      <c r="O230" s="273"/>
      <c r="P230" s="273"/>
      <c r="Q230" s="274"/>
      <c r="R230" s="138"/>
      <c r="S230" s="275"/>
      <c r="T230" s="273"/>
      <c r="U230" s="273"/>
      <c r="V230" s="276"/>
    </row>
    <row r="231" spans="1:22" ht="18" hidden="1" customHeight="1">
      <c r="A231" s="96" t="s">
        <v>686</v>
      </c>
      <c r="V231" s="185"/>
    </row>
    <row r="232" spans="1:22" ht="18" hidden="1" customHeight="1">
      <c r="A232" s="184"/>
      <c r="V232" s="185"/>
    </row>
    <row r="233" spans="1:22" s="279" customFormat="1" ht="18" hidden="1" customHeight="1">
      <c r="A233" s="277"/>
      <c r="B233" s="689" t="s">
        <v>473</v>
      </c>
      <c r="C233" s="1150" t="s">
        <v>652</v>
      </c>
      <c r="G233" s="802" t="s">
        <v>687</v>
      </c>
      <c r="H233" s="1153" t="s">
        <v>315</v>
      </c>
      <c r="I233" s="708" t="s">
        <v>688</v>
      </c>
      <c r="J233" s="1147"/>
      <c r="K233" s="1147"/>
      <c r="L233" s="1147"/>
      <c r="M233" s="1147"/>
      <c r="N233" s="689" t="s">
        <v>672</v>
      </c>
      <c r="O233" s="708" t="s">
        <v>420</v>
      </c>
      <c r="P233" s="689" t="s">
        <v>347</v>
      </c>
      <c r="Q233" s="708" t="s">
        <v>689</v>
      </c>
      <c r="R233" s="708" t="s">
        <v>674</v>
      </c>
      <c r="S233" s="708" t="s">
        <v>411</v>
      </c>
      <c r="T233" s="14"/>
      <c r="U233" s="729" t="s">
        <v>653</v>
      </c>
      <c r="V233" s="185"/>
    </row>
    <row r="234" spans="1:22" s="279" customFormat="1" ht="18" hidden="1" customHeight="1">
      <c r="A234" s="277"/>
      <c r="B234" s="689"/>
      <c r="C234" s="689"/>
      <c r="G234" s="802"/>
      <c r="H234" s="689"/>
      <c r="I234" s="689">
        <v>1.3</v>
      </c>
      <c r="J234" s="689"/>
      <c r="K234" s="28" t="s">
        <v>315</v>
      </c>
      <c r="L234" s="689" t="s">
        <v>423</v>
      </c>
      <c r="M234" s="689"/>
      <c r="N234" s="689"/>
      <c r="O234" s="689"/>
      <c r="P234" s="689"/>
      <c r="Q234" s="689"/>
      <c r="R234" s="689"/>
      <c r="S234" s="689"/>
      <c r="T234" s="14"/>
      <c r="U234" s="689"/>
      <c r="V234" s="185"/>
    </row>
    <row r="235" spans="1:22" ht="18" hidden="1" customHeight="1">
      <c r="A235" s="184"/>
      <c r="V235" s="185"/>
    </row>
    <row r="236" spans="1:22" ht="18" hidden="1" customHeight="1">
      <c r="A236" s="184"/>
      <c r="B236" s="47" t="s">
        <v>654</v>
      </c>
      <c r="C236" s="14"/>
      <c r="D236" s="14"/>
      <c r="E236" s="14"/>
      <c r="F236" s="18"/>
      <c r="G236" s="18"/>
      <c r="H236" s="14"/>
      <c r="I236" s="120"/>
      <c r="J236" s="14"/>
      <c r="K236" s="14"/>
      <c r="M236" s="14"/>
      <c r="N236" s="14"/>
      <c r="P236" s="14" t="s">
        <v>423</v>
      </c>
      <c r="R236" s="234" t="s">
        <v>127</v>
      </c>
      <c r="S236" s="684">
        <f>J134</f>
        <v>1000</v>
      </c>
      <c r="T236" s="684"/>
      <c r="U236" s="30" t="s">
        <v>8</v>
      </c>
      <c r="V236" s="185"/>
    </row>
    <row r="237" spans="1:22" ht="18" hidden="1" customHeight="1">
      <c r="A237" s="184"/>
      <c r="B237" s="47" t="s">
        <v>655</v>
      </c>
      <c r="C237" s="14"/>
      <c r="D237" s="14"/>
      <c r="E237" s="14"/>
      <c r="F237" s="18"/>
      <c r="G237" s="18"/>
      <c r="H237" s="14"/>
      <c r="I237" s="120"/>
      <c r="J237" s="14"/>
      <c r="K237" s="14"/>
      <c r="M237" s="14"/>
      <c r="N237" s="14"/>
      <c r="P237" s="14" t="s">
        <v>420</v>
      </c>
      <c r="R237" s="234" t="s">
        <v>127</v>
      </c>
      <c r="S237" s="684">
        <f>J136</f>
        <v>2.7</v>
      </c>
      <c r="T237" s="684"/>
      <c r="U237" s="192" t="s">
        <v>333</v>
      </c>
      <c r="V237" s="185"/>
    </row>
    <row r="238" spans="1:22" ht="18" hidden="1" customHeight="1">
      <c r="A238" s="184"/>
      <c r="B238" s="47" t="s">
        <v>676</v>
      </c>
      <c r="C238" s="14"/>
      <c r="D238" s="14"/>
      <c r="E238" s="14"/>
      <c r="F238" s="18"/>
      <c r="G238" s="18"/>
      <c r="H238" s="14"/>
      <c r="I238" s="120"/>
      <c r="J238" s="14"/>
      <c r="K238" s="14"/>
      <c r="M238" s="14"/>
      <c r="N238" s="14"/>
      <c r="P238" s="14" t="s">
        <v>690</v>
      </c>
      <c r="R238" s="234" t="s">
        <v>127</v>
      </c>
      <c r="S238" s="795">
        <f>S153</f>
        <v>1.2667743100000002</v>
      </c>
      <c r="T238" s="795"/>
      <c r="U238" s="192" t="s">
        <v>333</v>
      </c>
      <c r="V238" s="185"/>
    </row>
    <row r="239" spans="1:22" ht="18" hidden="1" customHeight="1">
      <c r="A239" s="184"/>
      <c r="B239" s="47" t="s">
        <v>691</v>
      </c>
      <c r="C239" s="14"/>
      <c r="D239" s="14"/>
      <c r="E239" s="14"/>
      <c r="F239" s="14"/>
      <c r="G239" s="14"/>
      <c r="H239" s="14"/>
      <c r="I239" s="120"/>
      <c r="J239" s="14"/>
      <c r="K239" s="14"/>
      <c r="M239" s="14"/>
      <c r="N239" s="14"/>
      <c r="P239" s="14" t="s">
        <v>411</v>
      </c>
      <c r="R239" s="234" t="s">
        <v>127</v>
      </c>
      <c r="S239" s="684">
        <f>O134</f>
        <v>1</v>
      </c>
      <c r="T239" s="684"/>
      <c r="U239" s="30" t="s">
        <v>8</v>
      </c>
      <c r="V239" s="185"/>
    </row>
    <row r="240" spans="1:22" ht="18" hidden="1" customHeight="1">
      <c r="A240" s="184"/>
      <c r="B240" s="47" t="s">
        <v>678</v>
      </c>
      <c r="C240" s="14"/>
      <c r="D240" s="14"/>
      <c r="E240" s="14"/>
      <c r="F240" s="14"/>
      <c r="G240" s="14"/>
      <c r="H240" s="14"/>
      <c r="I240" s="120"/>
      <c r="J240" s="14"/>
      <c r="K240" s="14"/>
      <c r="M240" s="14"/>
      <c r="N240" s="14"/>
      <c r="P240" s="120" t="s">
        <v>688</v>
      </c>
      <c r="R240" s="234" t="s">
        <v>127</v>
      </c>
      <c r="S240" s="684">
        <f>O223</f>
        <v>0</v>
      </c>
      <c r="T240" s="684"/>
      <c r="U240" s="30" t="s">
        <v>8</v>
      </c>
      <c r="V240" s="185"/>
    </row>
    <row r="241" spans="1:22" ht="18" hidden="1" customHeight="1">
      <c r="A241" s="184"/>
      <c r="B241" s="47" t="s">
        <v>692</v>
      </c>
      <c r="C241" s="14"/>
      <c r="D241" s="14"/>
      <c r="E241" s="14"/>
      <c r="F241" s="14"/>
      <c r="G241" s="14"/>
      <c r="H241" s="14"/>
      <c r="I241" s="120"/>
      <c r="J241" s="14"/>
      <c r="K241" s="14"/>
      <c r="M241" s="14"/>
      <c r="N241" s="14"/>
      <c r="P241" s="120" t="s">
        <v>680</v>
      </c>
      <c r="R241" s="234" t="s">
        <v>127</v>
      </c>
      <c r="S241" s="795">
        <f>J161</f>
        <v>437.38656756789834</v>
      </c>
      <c r="T241" s="684"/>
      <c r="U241" s="30" t="s">
        <v>8</v>
      </c>
      <c r="V241" s="185"/>
    </row>
    <row r="242" spans="1:22" ht="18" hidden="1" customHeight="1">
      <c r="A242" s="184"/>
      <c r="B242" s="47" t="s">
        <v>659</v>
      </c>
      <c r="C242" s="14"/>
      <c r="D242" s="14"/>
      <c r="E242" s="14"/>
      <c r="F242" s="14"/>
      <c r="G242" s="14"/>
      <c r="H242" s="14"/>
      <c r="I242" s="120"/>
      <c r="J242" s="14"/>
      <c r="K242" s="14"/>
      <c r="M242" s="14"/>
      <c r="N242" s="14"/>
      <c r="P242" s="120" t="s">
        <v>660</v>
      </c>
      <c r="R242" s="234" t="s">
        <v>127</v>
      </c>
      <c r="S242" s="684">
        <f>S53</f>
        <v>1</v>
      </c>
      <c r="T242" s="684"/>
      <c r="U242" s="30" t="s">
        <v>8</v>
      </c>
      <c r="V242" s="185"/>
    </row>
    <row r="243" spans="1:22" ht="18" hidden="1" customHeight="1">
      <c r="A243" s="96"/>
      <c r="B243" s="14"/>
      <c r="C243" s="14"/>
      <c r="D243" s="235"/>
      <c r="E243" s="14"/>
      <c r="F243" s="28"/>
      <c r="G243" s="249"/>
      <c r="H243" s="28"/>
      <c r="I243" s="251"/>
      <c r="J243" s="14"/>
      <c r="K243" s="280"/>
      <c r="M243" s="47"/>
      <c r="N243" s="268"/>
      <c r="P243" s="281"/>
      <c r="R243" s="234"/>
      <c r="S243" s="1148"/>
      <c r="T243" s="723"/>
      <c r="V243" s="185"/>
    </row>
    <row r="244" spans="1:22" ht="18" hidden="1" customHeight="1">
      <c r="A244" s="272" t="s">
        <v>693</v>
      </c>
      <c r="B244" s="14"/>
      <c r="C244" s="14"/>
      <c r="D244" s="14"/>
      <c r="E244" s="14"/>
      <c r="F244" s="14"/>
      <c r="G244" s="14"/>
      <c r="H244" s="28">
        <v>3</v>
      </c>
      <c r="I244" s="47" t="s">
        <v>694</v>
      </c>
      <c r="J244" s="14"/>
      <c r="K244" s="14"/>
      <c r="M244" s="14" t="s">
        <v>337</v>
      </c>
      <c r="N244" s="14"/>
      <c r="P244" s="120"/>
      <c r="R244" s="234"/>
      <c r="S244" s="1149"/>
      <c r="T244" s="723"/>
      <c r="V244" s="185"/>
    </row>
    <row r="245" spans="1:22" ht="18" hidden="1" customHeight="1">
      <c r="A245" s="272"/>
      <c r="B245" s="14"/>
      <c r="C245" s="14"/>
      <c r="D245" s="14"/>
      <c r="E245" s="14"/>
      <c r="F245" s="14"/>
      <c r="G245" s="14"/>
      <c r="H245" s="28"/>
      <c r="I245" s="47"/>
      <c r="J245" s="14"/>
      <c r="K245" s="14"/>
      <c r="M245" s="14"/>
      <c r="N245" s="14"/>
      <c r="P245" s="120"/>
      <c r="R245" s="234"/>
      <c r="S245" s="282"/>
      <c r="V245" s="185"/>
    </row>
    <row r="246" spans="1:22" s="279" customFormat="1" ht="18" hidden="1" customHeight="1">
      <c r="A246" s="277"/>
      <c r="B246" s="689" t="s">
        <v>473</v>
      </c>
      <c r="C246" s="1150" t="s">
        <v>652</v>
      </c>
      <c r="G246" s="802">
        <f>H244</f>
        <v>3</v>
      </c>
      <c r="H246" s="1151" t="s">
        <v>315</v>
      </c>
      <c r="I246" s="829">
        <f>S240</f>
        <v>0</v>
      </c>
      <c r="J246" s="1152"/>
      <c r="K246" s="1152"/>
      <c r="L246" s="1152"/>
      <c r="M246" s="1152"/>
      <c r="N246" s="689" t="s">
        <v>672</v>
      </c>
      <c r="O246" s="708">
        <f>S237</f>
        <v>2.7</v>
      </c>
      <c r="P246" s="689" t="s">
        <v>347</v>
      </c>
      <c r="Q246" s="829">
        <f>S238</f>
        <v>1.2667743100000002</v>
      </c>
      <c r="R246" s="708" t="s">
        <v>674</v>
      </c>
      <c r="S246" s="708">
        <f>S239</f>
        <v>1</v>
      </c>
      <c r="T246" s="14"/>
      <c r="U246" s="729" t="s">
        <v>653</v>
      </c>
      <c r="V246" s="185"/>
    </row>
    <row r="247" spans="1:22" s="279" customFormat="1" ht="18" hidden="1" customHeight="1">
      <c r="A247" s="277"/>
      <c r="B247" s="689"/>
      <c r="C247" s="689"/>
      <c r="G247" s="802"/>
      <c r="H247" s="684"/>
      <c r="I247" s="689">
        <v>1.3</v>
      </c>
      <c r="J247" s="684"/>
      <c r="K247" s="28" t="s">
        <v>315</v>
      </c>
      <c r="L247" s="689">
        <f>S236</f>
        <v>1000</v>
      </c>
      <c r="M247" s="684"/>
      <c r="N247" s="689"/>
      <c r="O247" s="689"/>
      <c r="P247" s="689"/>
      <c r="Q247" s="689"/>
      <c r="R247" s="689"/>
      <c r="S247" s="689"/>
      <c r="T247" s="14"/>
      <c r="U247" s="689"/>
      <c r="V247" s="185"/>
    </row>
    <row r="248" spans="1:22" ht="18" hidden="1" customHeight="1">
      <c r="A248" s="96"/>
      <c r="B248" s="14"/>
      <c r="C248" s="27" t="s">
        <v>127</v>
      </c>
      <c r="D248" s="812">
        <f>G246*(I246/(I247*L247)*(O246+Q246)*S246)</f>
        <v>0</v>
      </c>
      <c r="E248" s="813"/>
      <c r="F248" s="30" t="s">
        <v>305</v>
      </c>
      <c r="G248" s="14"/>
      <c r="H248" s="14"/>
      <c r="I248" s="14"/>
      <c r="J248" s="14"/>
      <c r="K248" s="14"/>
      <c r="L248" s="14"/>
      <c r="M248" s="14"/>
      <c r="N248" s="14"/>
      <c r="R248" s="234"/>
      <c r="S248" s="204"/>
      <c r="V248" s="185"/>
    </row>
    <row r="249" spans="1:22" ht="18" hidden="1" customHeight="1">
      <c r="A249" s="96"/>
      <c r="B249" s="14"/>
      <c r="G249" s="14"/>
      <c r="H249" s="14"/>
      <c r="I249" s="14"/>
      <c r="J249" s="14"/>
      <c r="K249" s="14"/>
      <c r="L249" s="14"/>
      <c r="M249" s="14"/>
      <c r="N249" s="14"/>
      <c r="R249" s="234"/>
      <c r="S249" s="204"/>
      <c r="V249" s="185"/>
    </row>
    <row r="250" spans="1:22" ht="18" hidden="1" customHeight="1">
      <c r="A250" s="96"/>
      <c r="B250" s="14"/>
      <c r="D250" s="30" t="s">
        <v>475</v>
      </c>
      <c r="G250" s="27" t="str">
        <f>IF(E251&gt;H251,"&gt;","&lt;")</f>
        <v>&gt;</v>
      </c>
      <c r="H250" s="30" t="s">
        <v>477</v>
      </c>
      <c r="M250" s="14"/>
      <c r="N250" s="14"/>
      <c r="R250" s="234"/>
      <c r="S250" s="204"/>
      <c r="V250" s="185"/>
    </row>
    <row r="251" spans="1:22" ht="18" hidden="1" customHeight="1">
      <c r="A251" s="96"/>
      <c r="B251" s="14"/>
      <c r="E251" s="684">
        <f>J137</f>
        <v>900</v>
      </c>
      <c r="F251" s="684"/>
      <c r="G251" s="27" t="str">
        <f>G250</f>
        <v>&gt;</v>
      </c>
      <c r="H251" s="795">
        <f>D248</f>
        <v>0</v>
      </c>
      <c r="I251" s="684"/>
      <c r="M251" s="14"/>
      <c r="N251" s="14"/>
      <c r="R251" s="234"/>
      <c r="S251" s="204"/>
      <c r="V251" s="185"/>
    </row>
    <row r="252" spans="1:22" ht="18" hidden="1" customHeight="1">
      <c r="A252" s="96"/>
      <c r="B252" s="14"/>
      <c r="F252" s="244" t="s">
        <v>478</v>
      </c>
      <c r="H252" s="18" t="str">
        <f>IF(G250="&gt;","Suitably Dimentioned","Under Dimentioned")</f>
        <v>Suitably Dimentioned</v>
      </c>
      <c r="M252" s="14"/>
      <c r="N252" s="14"/>
      <c r="R252" s="234"/>
      <c r="S252" s="204"/>
      <c r="V252" s="185"/>
    </row>
    <row r="253" spans="1:22" ht="18" hidden="1" customHeight="1">
      <c r="A253" s="96"/>
      <c r="B253" s="14"/>
      <c r="G253" s="14"/>
      <c r="H253" s="14"/>
      <c r="I253" s="14"/>
      <c r="J253" s="14"/>
      <c r="K253" s="14"/>
      <c r="L253" s="14"/>
      <c r="M253" s="14"/>
      <c r="N253" s="14"/>
      <c r="R253" s="234"/>
      <c r="S253" s="204"/>
      <c r="V253" s="185"/>
    </row>
    <row r="254" spans="1:22" ht="18" hidden="1" customHeight="1">
      <c r="A254" s="193" t="s">
        <v>695</v>
      </c>
      <c r="B254" s="14"/>
      <c r="G254" s="14"/>
      <c r="H254" s="14"/>
      <c r="I254" s="14"/>
      <c r="J254" s="14"/>
      <c r="K254" s="14"/>
      <c r="L254" s="14"/>
      <c r="M254" s="14"/>
      <c r="N254" s="14"/>
      <c r="R254" s="234"/>
      <c r="S254" s="204"/>
      <c r="V254" s="185"/>
    </row>
    <row r="255" spans="1:22" ht="18" hidden="1" customHeight="1">
      <c r="A255" s="96"/>
      <c r="B255" s="14"/>
      <c r="D255" s="802" t="s">
        <v>696</v>
      </c>
      <c r="E255" s="716"/>
      <c r="F255" s="689" t="s">
        <v>127</v>
      </c>
      <c r="G255" s="708" t="s">
        <v>423</v>
      </c>
      <c r="H255" s="1147"/>
      <c r="I255" s="689" t="s">
        <v>315</v>
      </c>
      <c r="J255" s="708" t="s">
        <v>697</v>
      </c>
      <c r="K255" s="1147"/>
      <c r="L255" s="14"/>
      <c r="M255" s="14"/>
      <c r="N255" s="14"/>
      <c r="R255" s="234"/>
      <c r="S255" s="204"/>
      <c r="V255" s="185"/>
    </row>
    <row r="256" spans="1:22" ht="18" hidden="1" customHeight="1">
      <c r="A256" s="96"/>
      <c r="B256" s="14"/>
      <c r="D256" s="716"/>
      <c r="E256" s="716"/>
      <c r="F256" s="689"/>
      <c r="G256" s="689" t="s">
        <v>680</v>
      </c>
      <c r="H256" s="716"/>
      <c r="I256" s="689"/>
      <c r="J256" s="689" t="s">
        <v>411</v>
      </c>
      <c r="K256" s="716"/>
      <c r="L256" s="14"/>
      <c r="M256" s="14"/>
      <c r="N256" s="14"/>
      <c r="R256" s="234"/>
      <c r="S256" s="204"/>
      <c r="V256" s="185"/>
    </row>
    <row r="257" spans="1:22" ht="18" hidden="1" customHeight="1">
      <c r="A257" s="96"/>
      <c r="B257" s="14"/>
      <c r="G257" s="14"/>
      <c r="H257" s="14"/>
      <c r="I257" s="14"/>
      <c r="J257" s="14"/>
      <c r="K257" s="14"/>
      <c r="L257" s="14"/>
      <c r="M257" s="14"/>
      <c r="N257" s="14"/>
      <c r="R257" s="234"/>
      <c r="S257" s="204"/>
      <c r="V257" s="185"/>
    </row>
    <row r="258" spans="1:22" ht="18" hidden="1" customHeight="1">
      <c r="A258" s="96"/>
      <c r="B258" s="14"/>
      <c r="F258" s="689" t="s">
        <v>127</v>
      </c>
      <c r="G258" s="708">
        <f>S236</f>
        <v>1000</v>
      </c>
      <c r="H258" s="1147"/>
      <c r="I258" s="689" t="s">
        <v>315</v>
      </c>
      <c r="J258" s="708">
        <f>S242</f>
        <v>1</v>
      </c>
      <c r="K258" s="1147"/>
      <c r="L258" s="14"/>
      <c r="M258" s="14"/>
      <c r="N258" s="14"/>
      <c r="R258" s="234"/>
      <c r="S258" s="204"/>
      <c r="V258" s="185"/>
    </row>
    <row r="259" spans="1:22" ht="18" hidden="1" customHeight="1">
      <c r="A259" s="96"/>
      <c r="B259" s="14"/>
      <c r="F259" s="689"/>
      <c r="G259" s="692">
        <f>J161</f>
        <v>437.38656756789834</v>
      </c>
      <c r="H259" s="716"/>
      <c r="I259" s="689"/>
      <c r="J259" s="689">
        <f>S239</f>
        <v>1</v>
      </c>
      <c r="K259" s="716"/>
      <c r="L259" s="14"/>
      <c r="M259" s="14"/>
      <c r="N259" s="14"/>
      <c r="R259" s="234"/>
      <c r="S259" s="204"/>
      <c r="V259" s="185"/>
    </row>
    <row r="260" spans="1:22" ht="18" hidden="1" customHeight="1">
      <c r="A260" s="96"/>
      <c r="B260" s="14"/>
      <c r="G260" s="14"/>
      <c r="H260" s="14"/>
      <c r="I260" s="14"/>
      <c r="J260" s="14"/>
      <c r="K260" s="14"/>
      <c r="L260" s="14"/>
      <c r="M260" s="14"/>
      <c r="N260" s="14"/>
      <c r="R260" s="234"/>
      <c r="S260" s="204"/>
      <c r="V260" s="185"/>
    </row>
    <row r="261" spans="1:22" ht="18" hidden="1" customHeight="1">
      <c r="A261" s="96"/>
      <c r="B261" s="14"/>
      <c r="F261" s="27" t="s">
        <v>127</v>
      </c>
      <c r="G261" s="716">
        <f>(G258/G259)*(J258/J259)</f>
        <v>2.2863070659909179</v>
      </c>
      <c r="H261" s="716"/>
      <c r="I261" s="14"/>
      <c r="J261" s="14"/>
      <c r="K261" s="14"/>
      <c r="L261" s="14"/>
      <c r="M261" s="14"/>
      <c r="N261" s="14"/>
      <c r="R261" s="234"/>
      <c r="S261" s="204"/>
      <c r="V261" s="185"/>
    </row>
    <row r="262" spans="1:22" ht="18" hidden="1" customHeight="1">
      <c r="A262" s="96"/>
      <c r="B262" s="14"/>
      <c r="G262" s="14"/>
      <c r="H262" s="14"/>
      <c r="I262" s="14"/>
      <c r="J262" s="14"/>
      <c r="K262" s="14"/>
      <c r="L262" s="14"/>
      <c r="M262" s="14"/>
      <c r="N262" s="14"/>
      <c r="R262" s="234"/>
      <c r="S262" s="204"/>
      <c r="V262" s="185"/>
    </row>
    <row r="263" spans="1:22" ht="18" hidden="1" customHeight="1">
      <c r="A263" s="96"/>
      <c r="B263" s="14"/>
      <c r="D263" s="283" t="s">
        <v>698</v>
      </c>
      <c r="E263" s="284" t="s">
        <v>699</v>
      </c>
      <c r="F263" s="689" t="s">
        <v>696</v>
      </c>
      <c r="G263" s="716"/>
      <c r="H263" s="716"/>
      <c r="I263" s="284" t="s">
        <v>699</v>
      </c>
      <c r="J263" s="28">
        <v>4</v>
      </c>
      <c r="L263" s="279"/>
      <c r="M263" s="120" t="s">
        <v>700</v>
      </c>
      <c r="N263" s="47" t="s">
        <v>701</v>
      </c>
      <c r="O263" s="279"/>
      <c r="P263" s="236"/>
      <c r="Q263" s="236"/>
      <c r="R263" s="234"/>
      <c r="S263" s="204"/>
      <c r="V263" s="185"/>
    </row>
    <row r="264" spans="1:22" ht="18" hidden="1" customHeight="1">
      <c r="A264" s="96"/>
      <c r="B264" s="14"/>
      <c r="D264" s="218">
        <v>0.25</v>
      </c>
      <c r="E264" s="284" t="str">
        <f>IF(D264&lt;=G261,"≤","&gt;")</f>
        <v>≤</v>
      </c>
      <c r="F264" s="688">
        <f>G261</f>
        <v>2.2863070659909179</v>
      </c>
      <c r="G264" s="1145"/>
      <c r="H264" s="688"/>
      <c r="I264" s="284" t="str">
        <f>IF(G261&lt;=J263,"≤","&gt;")</f>
        <v>≤</v>
      </c>
      <c r="J264" s="28">
        <f>J263</f>
        <v>4</v>
      </c>
      <c r="L264" s="279"/>
      <c r="M264" s="120"/>
      <c r="N264" s="213"/>
      <c r="O264" s="279"/>
      <c r="P264" s="236"/>
      <c r="Q264" s="236"/>
      <c r="R264" s="234"/>
      <c r="S264" s="204"/>
      <c r="V264" s="185"/>
    </row>
    <row r="265" spans="1:22" ht="18" hidden="1" customHeight="1">
      <c r="A265" s="96"/>
      <c r="B265" s="14"/>
      <c r="G265" s="14"/>
      <c r="H265" s="14"/>
      <c r="I265" s="14"/>
      <c r="J265" s="14"/>
      <c r="K265" s="14"/>
      <c r="L265" s="14"/>
      <c r="M265" s="14"/>
      <c r="N265" s="14"/>
      <c r="R265" s="234"/>
      <c r="S265" s="204"/>
      <c r="V265" s="185"/>
    </row>
    <row r="266" spans="1:22" ht="18" hidden="1" customHeight="1">
      <c r="A266" s="96"/>
      <c r="B266" s="14" t="s">
        <v>702</v>
      </c>
      <c r="G266" s="14"/>
      <c r="H266" s="18" t="str">
        <f>IF(AND(E264="≤",I264="≤")=TRUE,"OK","Not OK")</f>
        <v>OK</v>
      </c>
      <c r="I266" s="14"/>
      <c r="J266" s="14"/>
      <c r="K266" s="14"/>
      <c r="L266" s="14"/>
      <c r="M266" s="14"/>
      <c r="N266" s="14"/>
      <c r="R266" s="234"/>
      <c r="S266" s="204"/>
      <c r="V266" s="185"/>
    </row>
    <row r="267" spans="1:22" ht="18" hidden="1" customHeight="1">
      <c r="A267" s="96"/>
      <c r="B267" s="14"/>
      <c r="G267" s="14"/>
      <c r="H267" s="18"/>
      <c r="I267" s="14"/>
      <c r="J267" s="14"/>
      <c r="K267" s="14"/>
      <c r="L267" s="14"/>
      <c r="M267" s="14"/>
      <c r="N267" s="14"/>
      <c r="R267" s="234"/>
      <c r="S267" s="204"/>
      <c r="V267" s="185"/>
    </row>
    <row r="268" spans="1:22" ht="18" hidden="1" customHeight="1">
      <c r="A268" s="96"/>
      <c r="B268" s="14"/>
      <c r="G268" s="14"/>
      <c r="H268" s="18"/>
      <c r="I268" s="14"/>
      <c r="J268" s="14"/>
      <c r="K268" s="14"/>
      <c r="L268" s="14"/>
      <c r="M268" s="14"/>
      <c r="N268" s="14"/>
      <c r="R268" s="234"/>
      <c r="S268" s="204"/>
      <c r="V268" s="185"/>
    </row>
    <row r="269" spans="1:22" ht="18" hidden="1" customHeight="1">
      <c r="A269" s="96"/>
      <c r="B269" s="14"/>
      <c r="G269" s="14"/>
      <c r="H269" s="18"/>
      <c r="I269" s="14"/>
      <c r="J269" s="14"/>
      <c r="K269" s="14"/>
      <c r="L269" s="14"/>
      <c r="M269" s="14"/>
      <c r="N269" s="14"/>
      <c r="R269" s="234"/>
      <c r="S269" s="204"/>
      <c r="V269" s="185"/>
    </row>
    <row r="270" spans="1:22" ht="18" hidden="1" customHeight="1">
      <c r="A270" s="96"/>
      <c r="B270" s="14"/>
      <c r="G270" s="14"/>
      <c r="H270" s="18"/>
      <c r="I270" s="14"/>
      <c r="J270" s="14"/>
      <c r="K270" s="14"/>
      <c r="L270" s="14"/>
      <c r="M270" s="14"/>
      <c r="N270" s="14"/>
      <c r="R270" s="234"/>
      <c r="S270" s="204"/>
      <c r="V270" s="185"/>
    </row>
    <row r="271" spans="1:22" ht="18" hidden="1" customHeight="1">
      <c r="A271" s="96"/>
      <c r="B271" s="14"/>
      <c r="G271" s="14"/>
      <c r="H271" s="18"/>
      <c r="I271" s="14"/>
      <c r="J271" s="14"/>
      <c r="K271" s="14"/>
      <c r="L271" s="14"/>
      <c r="M271" s="14"/>
      <c r="N271" s="14"/>
      <c r="R271" s="234"/>
      <c r="S271" s="204"/>
      <c r="V271" s="185"/>
    </row>
    <row r="272" spans="1:22" ht="18" hidden="1" customHeight="1">
      <c r="A272" s="96"/>
      <c r="B272" s="14"/>
      <c r="G272" s="14"/>
      <c r="H272" s="14"/>
      <c r="I272" s="14"/>
      <c r="J272" s="14"/>
      <c r="K272" s="14"/>
      <c r="L272" s="14"/>
      <c r="M272" s="14"/>
      <c r="N272" s="14"/>
      <c r="R272" s="234"/>
      <c r="S272" s="204"/>
      <c r="V272" s="185"/>
    </row>
    <row r="273" spans="1:29" s="14" customFormat="1" ht="18" hidden="1" customHeight="1">
      <c r="A273" s="194"/>
      <c r="B273" s="195"/>
      <c r="C273" s="195"/>
      <c r="D273" s="195"/>
      <c r="E273" s="195"/>
      <c r="F273" s="195"/>
      <c r="G273" s="195"/>
      <c r="H273" s="195"/>
      <c r="I273" s="195"/>
      <c r="J273" s="195"/>
      <c r="K273" s="195"/>
      <c r="L273" s="195"/>
      <c r="M273" s="195"/>
      <c r="N273" s="195"/>
      <c r="O273" s="195"/>
      <c r="P273" s="195"/>
      <c r="Q273" s="224"/>
      <c r="R273" s="182"/>
      <c r="S273" s="225"/>
      <c r="T273" s="195"/>
      <c r="U273" s="195"/>
      <c r="V273" s="134" t="s">
        <v>552</v>
      </c>
    </row>
    <row r="274" spans="1:29" ht="18" hidden="1" customHeight="1">
      <c r="A274" s="226"/>
      <c r="B274" s="227"/>
      <c r="C274" s="227"/>
      <c r="D274" s="227"/>
      <c r="E274" s="227"/>
      <c r="F274" s="227"/>
      <c r="G274" s="227"/>
      <c r="H274" s="227"/>
      <c r="I274" s="227"/>
      <c r="J274" s="227"/>
      <c r="K274" s="227"/>
      <c r="L274" s="227"/>
      <c r="M274" s="227"/>
      <c r="N274" s="227"/>
      <c r="O274" s="227"/>
      <c r="P274" s="227"/>
      <c r="Q274" s="227"/>
      <c r="R274" s="227"/>
      <c r="S274" s="227"/>
      <c r="T274" s="227"/>
      <c r="U274" s="227"/>
      <c r="V274" s="228"/>
    </row>
    <row r="275" spans="1:29" ht="18" hidden="1" customHeight="1">
      <c r="A275" s="184"/>
      <c r="B275" s="854" t="str">
        <f>B131</f>
        <v>T3</v>
      </c>
      <c r="C275" s="831"/>
      <c r="D275" s="855" t="str">
        <f>D131</f>
        <v>Core2</v>
      </c>
      <c r="E275" s="856"/>
      <c r="F275" s="186" t="s">
        <v>631</v>
      </c>
      <c r="H275" s="684" t="str">
        <f>H131</f>
        <v>(Transformer Differential)</v>
      </c>
      <c r="I275" s="684"/>
      <c r="J275" s="684"/>
      <c r="K275" s="684"/>
      <c r="L275" s="684"/>
      <c r="M275" s="684"/>
      <c r="P275" s="186"/>
      <c r="S275" s="187" t="s">
        <v>387</v>
      </c>
      <c r="T275" s="1154" t="str">
        <f>T131</f>
        <v>7UT85</v>
      </c>
      <c r="U275" s="1155"/>
      <c r="V275" s="185"/>
    </row>
    <row r="276" spans="1:29" ht="18" hidden="1" customHeight="1">
      <c r="A276" s="184"/>
      <c r="B276" s="853">
        <f>B132</f>
        <v>0</v>
      </c>
      <c r="C276" s="853"/>
      <c r="D276" s="857"/>
      <c r="E276" s="858"/>
      <c r="F276" s="287"/>
      <c r="T276" s="1154">
        <f>T132</f>
        <v>0</v>
      </c>
      <c r="U276" s="1155"/>
      <c r="V276" s="185"/>
    </row>
    <row r="277" spans="1:29" ht="18" hidden="1" customHeight="1">
      <c r="A277" s="184"/>
      <c r="H277" s="708" t="s">
        <v>390</v>
      </c>
      <c r="I277" s="708"/>
      <c r="J277" s="708" t="s">
        <v>391</v>
      </c>
      <c r="K277" s="708"/>
      <c r="L277" s="789" t="s">
        <v>392</v>
      </c>
      <c r="M277" s="789"/>
      <c r="T277" s="1154">
        <f>T133</f>
        <v>0</v>
      </c>
      <c r="U277" s="1155"/>
      <c r="V277" s="185"/>
    </row>
    <row r="278" spans="1:29" ht="18" hidden="1" customHeight="1">
      <c r="A278" s="184"/>
      <c r="B278" s="47" t="s">
        <v>393</v>
      </c>
      <c r="H278" s="854">
        <f>H134</f>
        <v>600</v>
      </c>
      <c r="I278" s="831"/>
      <c r="J278" s="854">
        <f>J134</f>
        <v>1000</v>
      </c>
      <c r="K278" s="831"/>
      <c r="L278" s="863" t="str">
        <f>L134</f>
        <v>-</v>
      </c>
      <c r="M278" s="864"/>
      <c r="N278" s="102" t="s">
        <v>342</v>
      </c>
      <c r="O278" s="256">
        <f>O134</f>
        <v>1</v>
      </c>
      <c r="P278" s="27" t="s">
        <v>8</v>
      </c>
      <c r="V278" s="185"/>
    </row>
    <row r="279" spans="1:29" ht="18" hidden="1" customHeight="1">
      <c r="A279" s="184"/>
      <c r="B279" s="47" t="s">
        <v>394</v>
      </c>
      <c r="H279" s="14"/>
      <c r="I279" s="14"/>
      <c r="L279" s="854" t="str">
        <f>J135</f>
        <v>PX</v>
      </c>
      <c r="M279" s="776"/>
      <c r="V279" s="185"/>
    </row>
    <row r="280" spans="1:29" ht="18" hidden="1" customHeight="1">
      <c r="A280" s="184"/>
      <c r="B280" s="47" t="s">
        <v>396</v>
      </c>
      <c r="K280" s="120" t="s">
        <v>497</v>
      </c>
      <c r="L280" s="781">
        <v>3</v>
      </c>
      <c r="M280" s="782"/>
      <c r="N280" s="192" t="s">
        <v>333</v>
      </c>
      <c r="V280" s="185"/>
    </row>
    <row r="281" spans="1:29" ht="18" hidden="1" customHeight="1">
      <c r="A281" s="184"/>
      <c r="B281" s="47" t="s">
        <v>398</v>
      </c>
      <c r="K281" s="120" t="s">
        <v>498</v>
      </c>
      <c r="L281" s="781">
        <v>200</v>
      </c>
      <c r="M281" s="782"/>
      <c r="N281" s="14" t="s">
        <v>305</v>
      </c>
      <c r="V281" s="185"/>
      <c r="W281" s="30" t="s">
        <v>400</v>
      </c>
      <c r="AB281" s="785" t="e">
        <f>D336</f>
        <v>#VALUE!</v>
      </c>
      <c r="AC281" s="786"/>
    </row>
    <row r="282" spans="1:29" ht="18" hidden="1" customHeight="1">
      <c r="A282" s="184"/>
      <c r="B282" s="14" t="s">
        <v>401</v>
      </c>
      <c r="K282" s="120" t="s">
        <v>402</v>
      </c>
      <c r="L282" s="781">
        <v>50</v>
      </c>
      <c r="M282" s="782"/>
      <c r="N282" s="30" t="s">
        <v>403</v>
      </c>
      <c r="V282" s="185"/>
    </row>
    <row r="283" spans="1:29" ht="18" hidden="1" customHeight="1">
      <c r="A283" s="96"/>
      <c r="V283" s="185"/>
    </row>
    <row r="284" spans="1:29" ht="18" hidden="1" customHeight="1">
      <c r="A284" s="193" t="s">
        <v>404</v>
      </c>
      <c r="V284" s="185"/>
    </row>
    <row r="285" spans="1:29" ht="18" hidden="1" customHeight="1">
      <c r="A285" s="184"/>
      <c r="V285" s="185"/>
    </row>
    <row r="286" spans="1:29" ht="18" hidden="1" customHeight="1">
      <c r="A286" s="184"/>
      <c r="B286" s="194" t="s">
        <v>405</v>
      </c>
      <c r="C286" s="195"/>
      <c r="D286" s="195" t="str">
        <f>T275</f>
        <v>7UT85</v>
      </c>
      <c r="E286" s="196"/>
      <c r="F286" s="196"/>
      <c r="G286" s="196"/>
      <c r="H286" s="182" t="s">
        <v>406</v>
      </c>
      <c r="I286" s="183" t="s">
        <v>127</v>
      </c>
      <c r="J286" s="766">
        <f>J142</f>
        <v>0.1</v>
      </c>
      <c r="K286" s="958"/>
      <c r="L286" s="3" t="s">
        <v>157</v>
      </c>
      <c r="V286" s="185"/>
    </row>
    <row r="287" spans="1:29" ht="18" hidden="1" customHeight="1">
      <c r="A287" s="184"/>
      <c r="B287" s="184" t="s">
        <v>405</v>
      </c>
      <c r="D287" s="30">
        <f>T276</f>
        <v>0</v>
      </c>
      <c r="H287" s="27"/>
      <c r="I287" s="177" t="s">
        <v>127</v>
      </c>
      <c r="J287" s="861">
        <f>J143</f>
        <v>0</v>
      </c>
      <c r="K287" s="989"/>
      <c r="L287" s="198" t="s">
        <v>157</v>
      </c>
      <c r="V287" s="185"/>
    </row>
    <row r="288" spans="1:29" ht="18" hidden="1" customHeight="1">
      <c r="A288" s="184"/>
      <c r="B288" s="184" t="s">
        <v>405</v>
      </c>
      <c r="D288" s="30">
        <f>T277</f>
        <v>0</v>
      </c>
      <c r="E288" s="14"/>
      <c r="G288" s="199"/>
      <c r="H288" s="27"/>
      <c r="I288" s="177" t="s">
        <v>127</v>
      </c>
      <c r="J288" s="696">
        <f>J144</f>
        <v>0</v>
      </c>
      <c r="K288" s="820"/>
      <c r="L288" s="202" t="s">
        <v>157</v>
      </c>
      <c r="V288" s="185"/>
    </row>
    <row r="289" spans="1:22" ht="18" hidden="1" customHeight="1">
      <c r="A289" s="184"/>
      <c r="B289" s="184" t="s">
        <v>412</v>
      </c>
      <c r="H289" s="27" t="s">
        <v>599</v>
      </c>
      <c r="I289" s="177" t="s">
        <v>127</v>
      </c>
      <c r="J289" s="861">
        <f>J145</f>
        <v>1.1667743100000001</v>
      </c>
      <c r="K289" s="989"/>
      <c r="L289" s="203" t="s">
        <v>157</v>
      </c>
      <c r="V289" s="185"/>
    </row>
    <row r="290" spans="1:22" ht="18" hidden="1" customHeight="1">
      <c r="A290" s="184"/>
      <c r="B290" s="205" t="s">
        <v>413</v>
      </c>
      <c r="C290" s="206"/>
      <c r="D290" s="206"/>
      <c r="E290" s="206"/>
      <c r="F290" s="207"/>
      <c r="G290" s="207"/>
      <c r="H290" s="190" t="s">
        <v>409</v>
      </c>
      <c r="I290" s="208" t="s">
        <v>127</v>
      </c>
      <c r="J290" s="766">
        <f>J287+J289</f>
        <v>1.1667743100000001</v>
      </c>
      <c r="K290" s="958"/>
      <c r="L290" s="210" t="s">
        <v>157</v>
      </c>
      <c r="V290" s="185"/>
    </row>
    <row r="291" spans="1:22" ht="18" hidden="1" customHeight="1">
      <c r="A291" s="184"/>
      <c r="B291" s="47"/>
      <c r="C291" s="47"/>
      <c r="D291" s="47"/>
      <c r="E291" s="47"/>
      <c r="H291" s="27"/>
      <c r="I291" s="28"/>
      <c r="J291" s="199"/>
      <c r="L291" s="47"/>
      <c r="O291" s="27"/>
      <c r="P291" s="211"/>
      <c r="Q291" s="211"/>
      <c r="R291" s="192"/>
      <c r="V291" s="185"/>
    </row>
    <row r="292" spans="1:22" ht="18" hidden="1" customHeight="1">
      <c r="A292" s="184"/>
      <c r="B292" s="197" t="s">
        <v>648</v>
      </c>
      <c r="L292" s="47"/>
      <c r="M292" s="197" t="s">
        <v>407</v>
      </c>
      <c r="V292" s="185"/>
    </row>
    <row r="293" spans="1:22" ht="18" hidden="1" customHeight="1">
      <c r="A293" s="184"/>
      <c r="B293" s="27" t="s">
        <v>649</v>
      </c>
      <c r="C293" s="27" t="s">
        <v>127</v>
      </c>
      <c r="D293" s="30" t="s">
        <v>406</v>
      </c>
      <c r="E293" s="271" t="s">
        <v>410</v>
      </c>
      <c r="F293" s="27" t="s">
        <v>146</v>
      </c>
      <c r="G293" s="28" t="s">
        <v>315</v>
      </c>
      <c r="H293" s="218" t="s">
        <v>146</v>
      </c>
      <c r="I293" s="30" t="s">
        <v>350</v>
      </c>
      <c r="J293" s="199"/>
      <c r="L293" s="47"/>
      <c r="M293" s="30" t="s">
        <v>408</v>
      </c>
      <c r="N293" s="27" t="s">
        <v>127</v>
      </c>
      <c r="O293" s="30" t="s">
        <v>409</v>
      </c>
      <c r="P293" s="191" t="s">
        <v>410</v>
      </c>
      <c r="Q293" s="244" t="s">
        <v>411</v>
      </c>
      <c r="R293" s="27" t="s">
        <v>315</v>
      </c>
      <c r="S293" s="30" t="s">
        <v>411</v>
      </c>
      <c r="T293" s="30" t="s">
        <v>350</v>
      </c>
      <c r="V293" s="185"/>
    </row>
    <row r="294" spans="1:22" ht="18" hidden="1" customHeight="1">
      <c r="A294" s="184"/>
      <c r="B294" s="47"/>
      <c r="C294" s="27" t="s">
        <v>127</v>
      </c>
      <c r="D294" s="204">
        <f>J286</f>
        <v>0.1</v>
      </c>
      <c r="E294" s="191" t="s">
        <v>410</v>
      </c>
      <c r="F294" s="27">
        <f>F150</f>
        <v>1</v>
      </c>
      <c r="G294" s="27" t="s">
        <v>315</v>
      </c>
      <c r="H294" s="27">
        <f>H150</f>
        <v>1</v>
      </c>
      <c r="I294" s="30" t="s">
        <v>350</v>
      </c>
      <c r="J294" s="199"/>
      <c r="L294" s="47"/>
      <c r="N294" s="27" t="s">
        <v>127</v>
      </c>
      <c r="O294" s="204">
        <f>J290</f>
        <v>1.1667743100000001</v>
      </c>
      <c r="P294" s="191" t="s">
        <v>410</v>
      </c>
      <c r="Q294" s="27">
        <f>O278</f>
        <v>1</v>
      </c>
      <c r="R294" s="27" t="s">
        <v>315</v>
      </c>
      <c r="S294" s="27">
        <f>O278</f>
        <v>1</v>
      </c>
      <c r="T294" s="30" t="s">
        <v>350</v>
      </c>
      <c r="V294" s="185"/>
    </row>
    <row r="295" spans="1:22" ht="18" hidden="1" customHeight="1">
      <c r="A295" s="184"/>
      <c r="B295" s="47"/>
      <c r="C295" s="27" t="s">
        <v>127</v>
      </c>
      <c r="D295" s="795">
        <f>D294/(F294*H294)</f>
        <v>0.1</v>
      </c>
      <c r="E295" s="795"/>
      <c r="F295" s="192" t="s">
        <v>333</v>
      </c>
      <c r="J295" s="199"/>
      <c r="L295" s="47"/>
      <c r="N295" s="27" t="s">
        <v>127</v>
      </c>
      <c r="O295" s="795">
        <f>O294/(Q294*S294)</f>
        <v>1.1667743100000001</v>
      </c>
      <c r="P295" s="795"/>
      <c r="Q295" s="192" t="s">
        <v>333</v>
      </c>
      <c r="V295" s="185"/>
    </row>
    <row r="296" spans="1:22" ht="18" hidden="1" customHeight="1">
      <c r="A296" s="184"/>
      <c r="B296" s="47"/>
      <c r="C296" s="47"/>
      <c r="D296" s="47"/>
      <c r="E296" s="47"/>
      <c r="H296" s="27"/>
      <c r="I296" s="28"/>
      <c r="J296" s="199"/>
      <c r="L296" s="47"/>
      <c r="O296" s="27"/>
      <c r="P296" s="211"/>
      <c r="Q296" s="211"/>
      <c r="R296" s="192"/>
      <c r="V296" s="185"/>
    </row>
    <row r="297" spans="1:22" ht="18" hidden="1" customHeight="1">
      <c r="A297" s="184"/>
      <c r="B297" s="47" t="s">
        <v>668</v>
      </c>
      <c r="C297" s="47"/>
      <c r="D297" s="47"/>
      <c r="E297" s="47"/>
      <c r="H297" s="27"/>
      <c r="I297" s="28"/>
      <c r="J297" s="199"/>
      <c r="L297" s="28" t="s">
        <v>127</v>
      </c>
      <c r="M297" s="795">
        <f>D295</f>
        <v>0.1</v>
      </c>
      <c r="N297" s="795"/>
      <c r="O297" s="27" t="s">
        <v>347</v>
      </c>
      <c r="P297" s="795">
        <f>O295</f>
        <v>1.1667743100000001</v>
      </c>
      <c r="Q297" s="795"/>
      <c r="R297" s="211" t="s">
        <v>127</v>
      </c>
      <c r="S297" s="795">
        <f>M297+P297</f>
        <v>1.2667743100000002</v>
      </c>
      <c r="T297" s="795"/>
      <c r="U297" s="192" t="s">
        <v>333</v>
      </c>
      <c r="V297" s="185"/>
    </row>
    <row r="298" spans="1:22" s="14" customFormat="1" ht="18" hidden="1" customHeight="1">
      <c r="A298" s="193" t="s">
        <v>600</v>
      </c>
      <c r="B298" s="5"/>
      <c r="C298" s="5"/>
      <c r="D298" s="5"/>
      <c r="E298" s="5"/>
      <c r="F298" s="5"/>
      <c r="G298" s="5"/>
      <c r="H298" s="212"/>
      <c r="I298" s="212"/>
      <c r="J298" s="5"/>
      <c r="K298" s="5"/>
      <c r="L298" s="5"/>
      <c r="M298" s="5"/>
      <c r="N298" s="5"/>
      <c r="O298" s="5"/>
      <c r="P298" s="103"/>
      <c r="Q298" s="212"/>
      <c r="R298" s="213"/>
      <c r="S298" s="214"/>
      <c r="T298" s="18"/>
      <c r="U298" s="18"/>
      <c r="V298" s="97"/>
    </row>
    <row r="299" spans="1:22" s="14" customFormat="1" ht="18" hidden="1" customHeight="1">
      <c r="A299" s="96"/>
      <c r="B299" s="47" t="s">
        <v>601</v>
      </c>
      <c r="C299" s="5"/>
      <c r="D299" s="5"/>
      <c r="E299" s="5"/>
      <c r="I299" s="215"/>
      <c r="M299" s="5"/>
      <c r="N299" s="103" t="s">
        <v>127</v>
      </c>
      <c r="O299" s="1154">
        <f>O155</f>
        <v>100</v>
      </c>
      <c r="P299" s="831"/>
      <c r="Q299" s="14" t="s">
        <v>602</v>
      </c>
      <c r="S299" s="214"/>
      <c r="T299" s="18"/>
      <c r="U299" s="18"/>
      <c r="V299" s="97"/>
    </row>
    <row r="300" spans="1:22" s="14" customFormat="1" ht="18" hidden="1" customHeight="1">
      <c r="A300" s="96"/>
      <c r="B300" s="47" t="s">
        <v>603</v>
      </c>
      <c r="C300" s="5"/>
      <c r="D300" s="5"/>
      <c r="E300" s="5"/>
      <c r="I300" s="215"/>
      <c r="M300" s="5"/>
      <c r="N300" s="103" t="s">
        <v>127</v>
      </c>
      <c r="O300" s="1154">
        <f>O156</f>
        <v>25</v>
      </c>
      <c r="P300" s="831"/>
      <c r="Q300" s="14" t="s">
        <v>604</v>
      </c>
      <c r="S300" s="214"/>
      <c r="T300" s="18"/>
      <c r="U300" s="18"/>
      <c r="V300" s="97"/>
    </row>
    <row r="301" spans="1:22" s="14" customFormat="1" ht="18" hidden="1" customHeight="1">
      <c r="A301" s="96"/>
      <c r="B301" s="47" t="s">
        <v>605</v>
      </c>
      <c r="C301" s="5"/>
      <c r="D301" s="5"/>
      <c r="E301" s="5"/>
      <c r="M301" s="120" t="s">
        <v>606</v>
      </c>
      <c r="N301" s="103" t="s">
        <v>607</v>
      </c>
      <c r="O301" s="1154">
        <f>O157</f>
        <v>132</v>
      </c>
      <c r="P301" s="831"/>
      <c r="Q301" s="14" t="s">
        <v>163</v>
      </c>
      <c r="S301" s="214"/>
      <c r="T301" s="18"/>
      <c r="U301" s="18"/>
      <c r="V301" s="97"/>
    </row>
    <row r="302" spans="1:22" s="14" customFormat="1" ht="18" hidden="1" customHeight="1">
      <c r="A302" s="216"/>
      <c r="B302" s="212"/>
      <c r="C302" s="212"/>
      <c r="D302" s="212"/>
      <c r="E302" s="212"/>
      <c r="T302" s="18"/>
      <c r="U302" s="18"/>
      <c r="V302" s="97"/>
    </row>
    <row r="303" spans="1:22" s="14" customFormat="1" ht="18" hidden="1" customHeight="1">
      <c r="A303" s="272" t="s">
        <v>608</v>
      </c>
      <c r="B303" s="213"/>
      <c r="C303" s="213"/>
      <c r="D303" s="213"/>
      <c r="E303" s="213"/>
      <c r="H303" s="120" t="s">
        <v>609</v>
      </c>
      <c r="I303" s="28" t="s">
        <v>127</v>
      </c>
      <c r="J303" s="689" t="s">
        <v>610</v>
      </c>
      <c r="K303" s="689"/>
      <c r="L303" s="28" t="s">
        <v>315</v>
      </c>
      <c r="M303" s="217">
        <v>1000</v>
      </c>
      <c r="N303" s="102" t="s">
        <v>342</v>
      </c>
      <c r="O303" s="28" t="s">
        <v>611</v>
      </c>
      <c r="P303" s="28" t="s">
        <v>315</v>
      </c>
      <c r="Q303" s="28" t="s">
        <v>606</v>
      </c>
      <c r="R303" s="47" t="s">
        <v>350</v>
      </c>
      <c r="T303" s="18"/>
      <c r="U303" s="18"/>
      <c r="V303" s="97"/>
    </row>
    <row r="304" spans="1:22" s="14" customFormat="1" ht="18" hidden="1" customHeight="1">
      <c r="A304" s="216"/>
      <c r="B304" s="213"/>
      <c r="C304" s="213"/>
      <c r="D304" s="213"/>
      <c r="E304" s="213"/>
      <c r="F304" s="212"/>
      <c r="G304" s="212"/>
      <c r="H304" s="28"/>
      <c r="I304" s="28" t="s">
        <v>127</v>
      </c>
      <c r="J304" s="689">
        <f>O299</f>
        <v>100</v>
      </c>
      <c r="K304" s="689"/>
      <c r="L304" s="28" t="s">
        <v>315</v>
      </c>
      <c r="M304" s="217">
        <v>1000</v>
      </c>
      <c r="N304" s="102" t="s">
        <v>342</v>
      </c>
      <c r="O304" s="28" t="s">
        <v>611</v>
      </c>
      <c r="P304" s="28" t="s">
        <v>315</v>
      </c>
      <c r="Q304" s="28">
        <f>O301</f>
        <v>132</v>
      </c>
      <c r="R304" s="47" t="s">
        <v>350</v>
      </c>
      <c r="T304" s="18"/>
      <c r="U304" s="18"/>
      <c r="V304" s="97"/>
    </row>
    <row r="305" spans="1:22" s="14" customFormat="1" ht="18" hidden="1" customHeight="1">
      <c r="A305" s="216"/>
      <c r="B305" s="212"/>
      <c r="C305" s="212"/>
      <c r="D305" s="212"/>
      <c r="E305" s="212"/>
      <c r="F305" s="212"/>
      <c r="G305" s="212"/>
      <c r="I305" s="28" t="s">
        <v>127</v>
      </c>
      <c r="J305" s="692">
        <f>(O299*1000)/(SQRT(3)*O301)</f>
        <v>437.38656756789834</v>
      </c>
      <c r="K305" s="692"/>
      <c r="L305" s="14" t="s">
        <v>8</v>
      </c>
      <c r="M305" s="120"/>
      <c r="N305" s="120"/>
      <c r="O305" s="120"/>
      <c r="T305" s="18"/>
      <c r="U305" s="18"/>
      <c r="V305" s="97"/>
    </row>
    <row r="306" spans="1:22" s="14" customFormat="1" ht="18" hidden="1" customHeight="1">
      <c r="A306" s="216"/>
      <c r="B306" s="212"/>
      <c r="C306" s="212"/>
      <c r="D306" s="212"/>
      <c r="E306" s="212"/>
      <c r="G306" s="212"/>
      <c r="H306" s="28"/>
      <c r="I306" s="103"/>
      <c r="J306" s="28"/>
      <c r="M306" s="212"/>
      <c r="N306" s="219"/>
      <c r="O306" s="212"/>
      <c r="T306" s="18"/>
      <c r="U306" s="18"/>
      <c r="V306" s="97"/>
    </row>
    <row r="307" spans="1:22" s="14" customFormat="1" ht="18" hidden="1" customHeight="1">
      <c r="A307" s="147" t="s">
        <v>629</v>
      </c>
      <c r="B307" s="5"/>
      <c r="C307" s="5"/>
      <c r="D307" s="5"/>
      <c r="E307" s="5"/>
      <c r="F307" s="212"/>
      <c r="G307" s="212"/>
      <c r="H307" s="5"/>
      <c r="I307" s="5"/>
      <c r="J307" s="5"/>
      <c r="K307" s="5"/>
      <c r="L307" s="103"/>
      <c r="M307" s="103"/>
      <c r="N307" s="103"/>
      <c r="O307" s="103"/>
      <c r="P307" s="212"/>
      <c r="Q307" s="213"/>
      <c r="S307" s="220"/>
      <c r="T307" s="18"/>
      <c r="U307" s="18"/>
      <c r="V307" s="97"/>
    </row>
    <row r="308" spans="1:22" s="14" customFormat="1" ht="18" hidden="1" customHeight="1">
      <c r="A308" s="147"/>
      <c r="B308" s="5"/>
      <c r="C308" s="5"/>
      <c r="D308" s="5"/>
      <c r="E308" s="5"/>
      <c r="F308" s="212"/>
      <c r="G308" s="212"/>
      <c r="H308" s="5"/>
      <c r="I308" s="5"/>
      <c r="J308" s="5"/>
      <c r="K308" s="5"/>
      <c r="L308" s="103"/>
      <c r="M308" s="103"/>
      <c r="N308" s="103"/>
      <c r="O308" s="103"/>
      <c r="P308" s="212"/>
      <c r="Q308" s="213"/>
      <c r="S308" s="214"/>
      <c r="T308" s="18"/>
      <c r="U308" s="18"/>
      <c r="V308" s="97"/>
    </row>
    <row r="309" spans="1:22" ht="18" hidden="1" customHeight="1">
      <c r="A309" s="96" t="s">
        <v>632</v>
      </c>
      <c r="B309" s="14"/>
      <c r="C309" s="14"/>
      <c r="D309" s="14"/>
      <c r="E309" s="14"/>
      <c r="M309" s="120" t="s">
        <v>613</v>
      </c>
      <c r="N309" s="28" t="s">
        <v>127</v>
      </c>
      <c r="O309" s="689" t="s">
        <v>609</v>
      </c>
      <c r="P309" s="716"/>
      <c r="Q309" s="221" t="s">
        <v>630</v>
      </c>
      <c r="R309" s="221">
        <v>16</v>
      </c>
      <c r="S309" s="214"/>
      <c r="V309" s="185"/>
    </row>
    <row r="310" spans="1:22" ht="18" hidden="1" customHeight="1">
      <c r="A310" s="96"/>
      <c r="B310" s="5"/>
      <c r="C310" s="5"/>
      <c r="D310" s="5"/>
      <c r="E310" s="5"/>
      <c r="M310" s="250"/>
      <c r="N310" s="28" t="s">
        <v>127</v>
      </c>
      <c r="O310" s="689">
        <f>+J305</f>
        <v>437.38656756789834</v>
      </c>
      <c r="P310" s="716"/>
      <c r="Q310" s="221" t="s">
        <v>630</v>
      </c>
      <c r="R310" s="221">
        <v>16</v>
      </c>
      <c r="S310" s="214"/>
      <c r="V310" s="185"/>
    </row>
    <row r="311" spans="1:22" ht="18" hidden="1" customHeight="1">
      <c r="A311" s="96"/>
      <c r="B311" s="5"/>
      <c r="C311" s="5"/>
      <c r="D311" s="5"/>
      <c r="E311" s="5"/>
      <c r="M311" s="120" t="s">
        <v>613</v>
      </c>
      <c r="N311" s="28" t="s">
        <v>127</v>
      </c>
      <c r="O311" s="689">
        <f>O310*R310</f>
        <v>6998.1850810863734</v>
      </c>
      <c r="P311" s="716"/>
      <c r="Q311" s="241" t="s">
        <v>8</v>
      </c>
      <c r="R311" s="14"/>
      <c r="S311" s="214"/>
      <c r="V311" s="185"/>
    </row>
    <row r="312" spans="1:22" ht="18" hidden="1" customHeight="1">
      <c r="A312" s="96"/>
      <c r="B312" s="5"/>
      <c r="C312" s="5"/>
      <c r="D312" s="5"/>
      <c r="E312" s="5"/>
      <c r="M312" s="120"/>
      <c r="N312" s="28"/>
      <c r="O312" s="28"/>
      <c r="P312" s="14"/>
      <c r="Q312" s="241"/>
      <c r="R312" s="14"/>
      <c r="S312" s="214"/>
      <c r="V312" s="185"/>
    </row>
    <row r="313" spans="1:22" ht="18" hidden="1" customHeight="1">
      <c r="A313" s="96"/>
      <c r="B313" s="5"/>
      <c r="C313" s="5"/>
      <c r="D313" s="5"/>
      <c r="E313" s="5"/>
      <c r="M313" s="120"/>
      <c r="N313" s="28"/>
      <c r="O313" s="28"/>
      <c r="P313" s="14"/>
      <c r="Q313" s="241"/>
      <c r="R313" s="14"/>
      <c r="S313" s="214"/>
      <c r="V313" s="185"/>
    </row>
    <row r="314" spans="1:22" ht="18" hidden="1" customHeight="1">
      <c r="A314" s="96"/>
      <c r="B314" s="5"/>
      <c r="C314" s="5"/>
      <c r="D314" s="5"/>
      <c r="E314" s="5"/>
      <c r="M314" s="120"/>
      <c r="N314" s="28"/>
      <c r="O314" s="28"/>
      <c r="P314" s="14"/>
      <c r="Q314" s="241"/>
      <c r="R314" s="14"/>
      <c r="S314" s="214"/>
      <c r="V314" s="185"/>
    </row>
    <row r="315" spans="1:22" ht="18" hidden="1" customHeight="1">
      <c r="A315" s="96"/>
      <c r="B315" s="5"/>
      <c r="C315" s="5"/>
      <c r="D315" s="5"/>
      <c r="E315" s="5"/>
      <c r="M315" s="120"/>
      <c r="N315" s="28"/>
      <c r="O315" s="28"/>
      <c r="P315" s="14"/>
      <c r="Q315" s="241"/>
      <c r="R315" s="14"/>
      <c r="S315" s="214"/>
      <c r="V315" s="185"/>
    </row>
    <row r="316" spans="1:22" ht="18" hidden="1" customHeight="1">
      <c r="A316" s="96"/>
      <c r="B316" s="5"/>
      <c r="C316" s="5"/>
      <c r="D316" s="5"/>
      <c r="E316" s="5"/>
      <c r="M316" s="120"/>
      <c r="N316" s="28"/>
      <c r="O316" s="28"/>
      <c r="P316" s="14"/>
      <c r="Q316" s="241"/>
      <c r="R316" s="14"/>
      <c r="S316" s="214"/>
      <c r="V316" s="185"/>
    </row>
    <row r="317" spans="1:22" s="14" customFormat="1" ht="18" hidden="1" customHeight="1">
      <c r="A317" s="194"/>
      <c r="B317" s="195"/>
      <c r="C317" s="195"/>
      <c r="D317" s="195"/>
      <c r="E317" s="195"/>
      <c r="F317" s="195"/>
      <c r="G317" s="195"/>
      <c r="H317" s="195"/>
      <c r="I317" s="195"/>
      <c r="J317" s="195"/>
      <c r="K317" s="195"/>
      <c r="L317" s="195"/>
      <c r="M317" s="195"/>
      <c r="N317" s="195"/>
      <c r="O317" s="195"/>
      <c r="P317" s="195"/>
      <c r="Q317" s="224"/>
      <c r="R317" s="182"/>
      <c r="S317" s="225"/>
      <c r="T317" s="195"/>
      <c r="U317" s="195"/>
      <c r="V317" s="134" t="s">
        <v>552</v>
      </c>
    </row>
    <row r="318" spans="1:22" s="14" customFormat="1" ht="18" hidden="1" customHeight="1">
      <c r="A318" s="135"/>
      <c r="B318" s="273"/>
      <c r="C318" s="273"/>
      <c r="D318" s="273"/>
      <c r="E318" s="273"/>
      <c r="F318" s="273"/>
      <c r="G318" s="273"/>
      <c r="H318" s="273"/>
      <c r="I318" s="273"/>
      <c r="J318" s="273"/>
      <c r="K318" s="273"/>
      <c r="L318" s="273"/>
      <c r="M318" s="273"/>
      <c r="N318" s="273"/>
      <c r="O318" s="273"/>
      <c r="P318" s="273"/>
      <c r="Q318" s="274"/>
      <c r="R318" s="138"/>
      <c r="S318" s="275"/>
      <c r="T318" s="273"/>
      <c r="U318" s="273"/>
      <c r="V318" s="276"/>
    </row>
    <row r="319" spans="1:22" ht="18" hidden="1" customHeight="1">
      <c r="A319" s="96" t="s">
        <v>686</v>
      </c>
      <c r="V319" s="185"/>
    </row>
    <row r="320" spans="1:22" ht="18" hidden="1" customHeight="1">
      <c r="A320" s="184"/>
      <c r="V320" s="185"/>
    </row>
    <row r="321" spans="1:22" s="279" customFormat="1" ht="18" hidden="1" customHeight="1">
      <c r="A321" s="277"/>
      <c r="B321" s="689" t="s">
        <v>473</v>
      </c>
      <c r="C321" s="1150" t="s">
        <v>652</v>
      </c>
      <c r="G321" s="802" t="s">
        <v>687</v>
      </c>
      <c r="H321" s="1153" t="s">
        <v>315</v>
      </c>
      <c r="I321" s="708" t="s">
        <v>688</v>
      </c>
      <c r="J321" s="1147"/>
      <c r="K321" s="1147"/>
      <c r="L321" s="1147"/>
      <c r="M321" s="1147"/>
      <c r="N321" s="689" t="s">
        <v>672</v>
      </c>
      <c r="O321" s="708" t="s">
        <v>420</v>
      </c>
      <c r="P321" s="689" t="s">
        <v>347</v>
      </c>
      <c r="Q321" s="708" t="s">
        <v>689</v>
      </c>
      <c r="R321" s="708" t="s">
        <v>674</v>
      </c>
      <c r="S321" s="708" t="s">
        <v>411</v>
      </c>
      <c r="T321" s="14"/>
      <c r="U321" s="729" t="s">
        <v>653</v>
      </c>
      <c r="V321" s="185"/>
    </row>
    <row r="322" spans="1:22" s="279" customFormat="1" ht="18" hidden="1" customHeight="1">
      <c r="A322" s="277"/>
      <c r="B322" s="689"/>
      <c r="C322" s="689"/>
      <c r="G322" s="802"/>
      <c r="H322" s="689"/>
      <c r="I322" s="689">
        <v>1.3</v>
      </c>
      <c r="J322" s="689"/>
      <c r="K322" s="28" t="s">
        <v>315</v>
      </c>
      <c r="L322" s="689" t="s">
        <v>423</v>
      </c>
      <c r="M322" s="689"/>
      <c r="N322" s="689"/>
      <c r="O322" s="689"/>
      <c r="P322" s="689"/>
      <c r="Q322" s="689"/>
      <c r="R322" s="689"/>
      <c r="S322" s="689"/>
      <c r="T322" s="14"/>
      <c r="U322" s="689"/>
      <c r="V322" s="185"/>
    </row>
    <row r="323" spans="1:22" ht="18" hidden="1" customHeight="1">
      <c r="A323" s="184"/>
      <c r="V323" s="185"/>
    </row>
    <row r="324" spans="1:22" ht="18" hidden="1" customHeight="1">
      <c r="A324" s="184"/>
      <c r="B324" s="47" t="s">
        <v>654</v>
      </c>
      <c r="C324" s="14"/>
      <c r="D324" s="14"/>
      <c r="E324" s="14"/>
      <c r="F324" s="18"/>
      <c r="G324" s="18"/>
      <c r="H324" s="14"/>
      <c r="I324" s="120"/>
      <c r="J324" s="14"/>
      <c r="K324" s="14"/>
      <c r="M324" s="14"/>
      <c r="N324" s="14"/>
      <c r="P324" s="14" t="s">
        <v>423</v>
      </c>
      <c r="R324" s="234" t="s">
        <v>127</v>
      </c>
      <c r="S324" s="684" t="str">
        <f>L278</f>
        <v>-</v>
      </c>
      <c r="T324" s="684"/>
      <c r="U324" s="30" t="s">
        <v>8</v>
      </c>
      <c r="V324" s="185"/>
    </row>
    <row r="325" spans="1:22" ht="18" hidden="1" customHeight="1">
      <c r="A325" s="184"/>
      <c r="B325" s="47" t="s">
        <v>655</v>
      </c>
      <c r="C325" s="14"/>
      <c r="D325" s="14"/>
      <c r="E325" s="14"/>
      <c r="F325" s="18"/>
      <c r="G325" s="18"/>
      <c r="H325" s="14"/>
      <c r="I325" s="120"/>
      <c r="J325" s="14"/>
      <c r="K325" s="14"/>
      <c r="M325" s="14"/>
      <c r="N325" s="14"/>
      <c r="P325" s="14" t="s">
        <v>420</v>
      </c>
      <c r="R325" s="234" t="s">
        <v>127</v>
      </c>
      <c r="S325" s="684">
        <f>L280</f>
        <v>3</v>
      </c>
      <c r="T325" s="684"/>
      <c r="U325" s="192" t="s">
        <v>333</v>
      </c>
      <c r="V325" s="185"/>
    </row>
    <row r="326" spans="1:22" ht="18" hidden="1" customHeight="1">
      <c r="A326" s="184"/>
      <c r="B326" s="47" t="s">
        <v>676</v>
      </c>
      <c r="C326" s="14"/>
      <c r="D326" s="14"/>
      <c r="E326" s="14"/>
      <c r="F326" s="18"/>
      <c r="G326" s="18"/>
      <c r="H326" s="14"/>
      <c r="I326" s="120"/>
      <c r="J326" s="14"/>
      <c r="K326" s="14"/>
      <c r="M326" s="14"/>
      <c r="N326" s="14"/>
      <c r="P326" s="14" t="s">
        <v>689</v>
      </c>
      <c r="R326" s="234" t="s">
        <v>127</v>
      </c>
      <c r="S326" s="795">
        <f>S297</f>
        <v>1.2667743100000002</v>
      </c>
      <c r="T326" s="795"/>
      <c r="U326" s="192" t="s">
        <v>333</v>
      </c>
      <c r="V326" s="185"/>
    </row>
    <row r="327" spans="1:22" ht="18" hidden="1" customHeight="1">
      <c r="A327" s="184"/>
      <c r="B327" s="47" t="s">
        <v>691</v>
      </c>
      <c r="C327" s="14"/>
      <c r="D327" s="14"/>
      <c r="E327" s="14"/>
      <c r="F327" s="14"/>
      <c r="G327" s="14"/>
      <c r="H327" s="14"/>
      <c r="I327" s="120"/>
      <c r="J327" s="14"/>
      <c r="K327" s="14"/>
      <c r="M327" s="14"/>
      <c r="N327" s="14"/>
      <c r="P327" s="14" t="s">
        <v>411</v>
      </c>
      <c r="R327" s="234" t="s">
        <v>127</v>
      </c>
      <c r="S327" s="684">
        <f>O278</f>
        <v>1</v>
      </c>
      <c r="T327" s="684"/>
      <c r="U327" s="30" t="s">
        <v>8</v>
      </c>
      <c r="V327" s="185"/>
    </row>
    <row r="328" spans="1:22" ht="18" hidden="1" customHeight="1">
      <c r="A328" s="184"/>
      <c r="B328" s="47" t="s">
        <v>678</v>
      </c>
      <c r="C328" s="14"/>
      <c r="D328" s="14"/>
      <c r="E328" s="14"/>
      <c r="F328" s="14"/>
      <c r="G328" s="14"/>
      <c r="H328" s="14"/>
      <c r="I328" s="120"/>
      <c r="J328" s="14"/>
      <c r="K328" s="14"/>
      <c r="M328" s="14"/>
      <c r="N328" s="14"/>
      <c r="P328" s="120" t="s">
        <v>688</v>
      </c>
      <c r="R328" s="234" t="s">
        <v>127</v>
      </c>
      <c r="S328" s="684">
        <f>O311</f>
        <v>6998.1850810863734</v>
      </c>
      <c r="T328" s="684"/>
      <c r="U328" s="30" t="s">
        <v>8</v>
      </c>
      <c r="V328" s="185"/>
    </row>
    <row r="329" spans="1:22" ht="18" hidden="1" customHeight="1">
      <c r="A329" s="184"/>
      <c r="B329" s="47" t="s">
        <v>692</v>
      </c>
      <c r="C329" s="14"/>
      <c r="D329" s="14"/>
      <c r="E329" s="14"/>
      <c r="F329" s="14"/>
      <c r="G329" s="14"/>
      <c r="H329" s="14"/>
      <c r="I329" s="120"/>
      <c r="J329" s="14"/>
      <c r="K329" s="14"/>
      <c r="M329" s="14"/>
      <c r="N329" s="14"/>
      <c r="P329" s="120" t="s">
        <v>680</v>
      </c>
      <c r="R329" s="234" t="s">
        <v>127</v>
      </c>
      <c r="S329" s="795">
        <f>J305</f>
        <v>437.38656756789834</v>
      </c>
      <c r="T329" s="684"/>
      <c r="U329" s="30" t="s">
        <v>8</v>
      </c>
      <c r="V329" s="185"/>
    </row>
    <row r="330" spans="1:22" ht="18" hidden="1" customHeight="1">
      <c r="A330" s="184"/>
      <c r="B330" s="47" t="s">
        <v>659</v>
      </c>
      <c r="C330" s="14"/>
      <c r="D330" s="14"/>
      <c r="E330" s="14"/>
      <c r="F330" s="14"/>
      <c r="G330" s="14"/>
      <c r="H330" s="14"/>
      <c r="I330" s="120"/>
      <c r="J330" s="14"/>
      <c r="K330" s="14"/>
      <c r="M330" s="14"/>
      <c r="N330" s="14"/>
      <c r="P330" s="120" t="s">
        <v>660</v>
      </c>
      <c r="R330" s="234" t="s">
        <v>127</v>
      </c>
      <c r="S330" s="684">
        <f>S242</f>
        <v>1</v>
      </c>
      <c r="T330" s="684"/>
      <c r="U330" s="30" t="s">
        <v>8</v>
      </c>
      <c r="V330" s="185"/>
    </row>
    <row r="331" spans="1:22" ht="18" hidden="1" customHeight="1">
      <c r="A331" s="96"/>
      <c r="B331" s="14"/>
      <c r="C331" s="14"/>
      <c r="D331" s="235"/>
      <c r="E331" s="14"/>
      <c r="F331" s="28"/>
      <c r="G331" s="249"/>
      <c r="H331" s="28"/>
      <c r="I331" s="251"/>
      <c r="J331" s="14"/>
      <c r="K331" s="280"/>
      <c r="M331" s="47"/>
      <c r="N331" s="268"/>
      <c r="P331" s="281"/>
      <c r="R331" s="234"/>
      <c r="S331" s="1148"/>
      <c r="T331" s="723"/>
      <c r="V331" s="185"/>
    </row>
    <row r="332" spans="1:22" ht="18" hidden="1" customHeight="1">
      <c r="A332" s="272" t="s">
        <v>693</v>
      </c>
      <c r="B332" s="14"/>
      <c r="C332" s="14"/>
      <c r="D332" s="14"/>
      <c r="E332" s="14"/>
      <c r="F332" s="14"/>
      <c r="G332" s="14"/>
      <c r="H332" s="28">
        <v>3</v>
      </c>
      <c r="I332" s="47" t="s">
        <v>694</v>
      </c>
      <c r="J332" s="14"/>
      <c r="K332" s="14"/>
      <c r="M332" s="14" t="s">
        <v>337</v>
      </c>
      <c r="N332" s="14"/>
      <c r="P332" s="120"/>
      <c r="R332" s="234"/>
      <c r="S332" s="1149"/>
      <c r="T332" s="723"/>
      <c r="V332" s="185"/>
    </row>
    <row r="333" spans="1:22" ht="18" hidden="1" customHeight="1">
      <c r="A333" s="272"/>
      <c r="B333" s="14"/>
      <c r="C333" s="14"/>
      <c r="D333" s="14"/>
      <c r="E333" s="14"/>
      <c r="F333" s="14"/>
      <c r="G333" s="14"/>
      <c r="H333" s="28"/>
      <c r="I333" s="47"/>
      <c r="J333" s="14"/>
      <c r="K333" s="14"/>
      <c r="M333" s="14"/>
      <c r="N333" s="14"/>
      <c r="P333" s="120"/>
      <c r="R333" s="234"/>
      <c r="S333" s="282"/>
      <c r="V333" s="185"/>
    </row>
    <row r="334" spans="1:22" s="279" customFormat="1" ht="18" hidden="1" customHeight="1">
      <c r="A334" s="277"/>
      <c r="B334" s="689" t="s">
        <v>703</v>
      </c>
      <c r="C334" s="1150" t="s">
        <v>652</v>
      </c>
      <c r="G334" s="802">
        <f>H332</f>
        <v>3</v>
      </c>
      <c r="H334" s="1151" t="s">
        <v>315</v>
      </c>
      <c r="I334" s="829">
        <f>S328</f>
        <v>6998.1850810863734</v>
      </c>
      <c r="J334" s="1152"/>
      <c r="K334" s="1152"/>
      <c r="L334" s="1152"/>
      <c r="M334" s="1152"/>
      <c r="N334" s="689" t="s">
        <v>672</v>
      </c>
      <c r="O334" s="708">
        <f>S325</f>
        <v>3</v>
      </c>
      <c r="P334" s="689" t="s">
        <v>347</v>
      </c>
      <c r="Q334" s="829">
        <f>S326</f>
        <v>1.2667743100000002</v>
      </c>
      <c r="R334" s="708" t="s">
        <v>674</v>
      </c>
      <c r="S334" s="708">
        <f>S327</f>
        <v>1</v>
      </c>
      <c r="T334" s="14"/>
      <c r="U334" s="729" t="s">
        <v>653</v>
      </c>
      <c r="V334" s="185"/>
    </row>
    <row r="335" spans="1:22" s="279" customFormat="1" ht="18" hidden="1" customHeight="1">
      <c r="A335" s="277"/>
      <c r="B335" s="689"/>
      <c r="C335" s="689"/>
      <c r="G335" s="802"/>
      <c r="H335" s="684"/>
      <c r="I335" s="689">
        <v>1.3</v>
      </c>
      <c r="J335" s="684"/>
      <c r="K335" s="28" t="s">
        <v>315</v>
      </c>
      <c r="L335" s="689" t="str">
        <f>S324</f>
        <v>-</v>
      </c>
      <c r="M335" s="684"/>
      <c r="N335" s="689"/>
      <c r="O335" s="689"/>
      <c r="P335" s="689"/>
      <c r="Q335" s="689"/>
      <c r="R335" s="689"/>
      <c r="S335" s="689"/>
      <c r="T335" s="14"/>
      <c r="U335" s="689"/>
      <c r="V335" s="185"/>
    </row>
    <row r="336" spans="1:22" ht="18" hidden="1" customHeight="1">
      <c r="A336" s="96"/>
      <c r="B336" s="14"/>
      <c r="C336" s="27" t="s">
        <v>127</v>
      </c>
      <c r="D336" s="812" t="e">
        <f>G334*(I334/(I335*L335)*(O334+Q334)*S334)</f>
        <v>#VALUE!</v>
      </c>
      <c r="E336" s="813"/>
      <c r="F336" s="30" t="s">
        <v>305</v>
      </c>
      <c r="G336" s="14"/>
      <c r="H336" s="14"/>
      <c r="I336" s="14"/>
      <c r="J336" s="14"/>
      <c r="K336" s="14"/>
      <c r="L336" s="14"/>
      <c r="M336" s="14"/>
      <c r="N336" s="14"/>
      <c r="R336" s="234"/>
      <c r="S336" s="204"/>
      <c r="V336" s="185"/>
    </row>
    <row r="337" spans="1:22" ht="18" hidden="1" customHeight="1">
      <c r="A337" s="96"/>
      <c r="B337" s="14"/>
      <c r="G337" s="14"/>
      <c r="H337" s="14"/>
      <c r="I337" s="14"/>
      <c r="J337" s="14"/>
      <c r="K337" s="14"/>
      <c r="L337" s="14"/>
      <c r="M337" s="14"/>
      <c r="N337" s="14"/>
      <c r="R337" s="234"/>
      <c r="S337" s="204"/>
      <c r="V337" s="185"/>
    </row>
    <row r="338" spans="1:22" ht="18" hidden="1" customHeight="1">
      <c r="A338" s="96"/>
      <c r="B338" s="14"/>
      <c r="D338" s="30" t="s">
        <v>475</v>
      </c>
      <c r="G338" s="27" t="e">
        <f>IF(E339&gt;H339,"&gt;","&lt;")</f>
        <v>#VALUE!</v>
      </c>
      <c r="H338" s="30" t="s">
        <v>477</v>
      </c>
      <c r="M338" s="14"/>
      <c r="N338" s="14"/>
      <c r="R338" s="234"/>
      <c r="S338" s="204"/>
      <c r="V338" s="185"/>
    </row>
    <row r="339" spans="1:22" ht="18" hidden="1" customHeight="1">
      <c r="A339" s="96"/>
      <c r="B339" s="14"/>
      <c r="E339" s="684">
        <f>L281</f>
        <v>200</v>
      </c>
      <c r="F339" s="684"/>
      <c r="G339" s="27" t="e">
        <f>G338</f>
        <v>#VALUE!</v>
      </c>
      <c r="H339" s="795" t="e">
        <f>D336</f>
        <v>#VALUE!</v>
      </c>
      <c r="I339" s="684"/>
      <c r="M339" s="14"/>
      <c r="N339" s="14"/>
      <c r="R339" s="234"/>
      <c r="S339" s="204"/>
      <c r="V339" s="185"/>
    </row>
    <row r="340" spans="1:22" ht="18" hidden="1" customHeight="1">
      <c r="A340" s="96"/>
      <c r="B340" s="14"/>
      <c r="F340" s="244" t="s">
        <v>478</v>
      </c>
      <c r="H340" s="18" t="e">
        <f>IF(G338="&gt;","Suitably Dimentioned","Under Dimentioned")</f>
        <v>#VALUE!</v>
      </c>
      <c r="M340" s="14"/>
      <c r="N340" s="14"/>
      <c r="R340" s="234"/>
      <c r="S340" s="204"/>
      <c r="V340" s="185"/>
    </row>
    <row r="341" spans="1:22" ht="18" hidden="1" customHeight="1">
      <c r="A341" s="96"/>
      <c r="B341" s="14"/>
      <c r="G341" s="14"/>
      <c r="H341" s="14"/>
      <c r="I341" s="14"/>
      <c r="J341" s="14"/>
      <c r="K341" s="14"/>
      <c r="L341" s="14"/>
      <c r="M341" s="14"/>
      <c r="N341" s="14"/>
      <c r="R341" s="234"/>
      <c r="S341" s="204"/>
      <c r="V341" s="185"/>
    </row>
    <row r="342" spans="1:22" ht="18" hidden="1" customHeight="1">
      <c r="A342" s="193" t="s">
        <v>695</v>
      </c>
      <c r="B342" s="14"/>
      <c r="G342" s="14"/>
      <c r="H342" s="14"/>
      <c r="I342" s="14"/>
      <c r="J342" s="14"/>
      <c r="K342" s="14"/>
      <c r="L342" s="14"/>
      <c r="M342" s="14"/>
      <c r="N342" s="14"/>
      <c r="R342" s="234"/>
      <c r="S342" s="204"/>
      <c r="V342" s="185"/>
    </row>
    <row r="343" spans="1:22" ht="18" hidden="1" customHeight="1">
      <c r="A343" s="96"/>
      <c r="B343" s="14"/>
      <c r="D343" s="802" t="s">
        <v>696</v>
      </c>
      <c r="E343" s="716"/>
      <c r="F343" s="689" t="s">
        <v>127</v>
      </c>
      <c r="G343" s="708" t="s">
        <v>423</v>
      </c>
      <c r="H343" s="1147"/>
      <c r="I343" s="689" t="s">
        <v>315</v>
      </c>
      <c r="J343" s="708" t="s">
        <v>697</v>
      </c>
      <c r="K343" s="1147"/>
      <c r="L343" s="14"/>
      <c r="M343" s="14"/>
      <c r="N343" s="14"/>
      <c r="R343" s="234"/>
      <c r="S343" s="204"/>
      <c r="V343" s="185"/>
    </row>
    <row r="344" spans="1:22" ht="18" hidden="1" customHeight="1">
      <c r="A344" s="96"/>
      <c r="B344" s="14"/>
      <c r="D344" s="716"/>
      <c r="E344" s="716"/>
      <c r="F344" s="689"/>
      <c r="G344" s="689" t="s">
        <v>680</v>
      </c>
      <c r="H344" s="716"/>
      <c r="I344" s="689"/>
      <c r="J344" s="689" t="s">
        <v>411</v>
      </c>
      <c r="K344" s="716"/>
      <c r="L344" s="14"/>
      <c r="M344" s="14"/>
      <c r="N344" s="14"/>
      <c r="R344" s="234"/>
      <c r="S344" s="204"/>
      <c r="V344" s="185"/>
    </row>
    <row r="345" spans="1:22" ht="18" hidden="1" customHeight="1">
      <c r="A345" s="96"/>
      <c r="B345" s="14"/>
      <c r="D345" s="14"/>
      <c r="E345" s="14"/>
      <c r="F345" s="14"/>
      <c r="G345" s="14"/>
      <c r="H345" s="14"/>
      <c r="I345" s="14"/>
      <c r="J345" s="14"/>
      <c r="K345" s="14"/>
      <c r="L345" s="14"/>
      <c r="M345" s="14"/>
      <c r="N345" s="14"/>
      <c r="R345" s="234"/>
      <c r="S345" s="204"/>
      <c r="V345" s="185"/>
    </row>
    <row r="346" spans="1:22" ht="18" hidden="1" customHeight="1">
      <c r="A346" s="96"/>
      <c r="B346" s="14"/>
      <c r="D346" s="14"/>
      <c r="E346" s="14"/>
      <c r="F346" s="689" t="s">
        <v>127</v>
      </c>
      <c r="G346" s="708" t="str">
        <f>S324</f>
        <v>-</v>
      </c>
      <c r="H346" s="1147"/>
      <c r="I346" s="689" t="s">
        <v>315</v>
      </c>
      <c r="J346" s="708">
        <f>S330</f>
        <v>1</v>
      </c>
      <c r="K346" s="1147"/>
      <c r="L346" s="14"/>
      <c r="M346" s="14"/>
      <c r="N346" s="14"/>
      <c r="R346" s="234"/>
      <c r="S346" s="204"/>
      <c r="V346" s="185"/>
    </row>
    <row r="347" spans="1:22" ht="18" hidden="1" customHeight="1">
      <c r="A347" s="96"/>
      <c r="B347" s="14"/>
      <c r="D347" s="14"/>
      <c r="E347" s="14"/>
      <c r="F347" s="689"/>
      <c r="G347" s="692">
        <f>J305</f>
        <v>437.38656756789834</v>
      </c>
      <c r="H347" s="716"/>
      <c r="I347" s="689"/>
      <c r="J347" s="689">
        <f>S327</f>
        <v>1</v>
      </c>
      <c r="K347" s="716"/>
      <c r="L347" s="14"/>
      <c r="M347" s="14"/>
      <c r="N347" s="14"/>
      <c r="R347" s="234"/>
      <c r="S347" s="204"/>
      <c r="V347" s="185"/>
    </row>
    <row r="348" spans="1:22" ht="18" hidden="1" customHeight="1">
      <c r="A348" s="96"/>
      <c r="B348" s="14"/>
      <c r="D348" s="14"/>
      <c r="E348" s="14"/>
      <c r="F348" s="14"/>
      <c r="G348" s="14"/>
      <c r="H348" s="14"/>
      <c r="I348" s="14"/>
      <c r="J348" s="14"/>
      <c r="K348" s="14"/>
      <c r="L348" s="14"/>
      <c r="M348" s="14"/>
      <c r="N348" s="14"/>
      <c r="R348" s="234"/>
      <c r="S348" s="204"/>
      <c r="V348" s="185"/>
    </row>
    <row r="349" spans="1:22" ht="18" hidden="1" customHeight="1">
      <c r="A349" s="96"/>
      <c r="B349" s="14"/>
      <c r="D349" s="14"/>
      <c r="E349" s="14"/>
      <c r="F349" s="28" t="s">
        <v>127</v>
      </c>
      <c r="G349" s="716" t="e">
        <f>(G346/G347)*(J346/J347)</f>
        <v>#VALUE!</v>
      </c>
      <c r="H349" s="716"/>
      <c r="I349" s="14"/>
      <c r="J349" s="14"/>
      <c r="K349" s="14"/>
      <c r="L349" s="14"/>
      <c r="M349" s="14"/>
      <c r="N349" s="14"/>
      <c r="R349" s="234"/>
      <c r="S349" s="204"/>
      <c r="V349" s="185"/>
    </row>
    <row r="350" spans="1:22" ht="18" hidden="1" customHeight="1">
      <c r="A350" s="96"/>
      <c r="B350" s="14"/>
      <c r="G350" s="14"/>
      <c r="H350" s="14"/>
      <c r="I350" s="14"/>
      <c r="J350" s="14"/>
      <c r="K350" s="14"/>
      <c r="L350" s="14"/>
      <c r="M350" s="14"/>
      <c r="N350" s="14"/>
      <c r="R350" s="234"/>
      <c r="S350" s="204"/>
      <c r="V350" s="185"/>
    </row>
    <row r="351" spans="1:22" ht="18" hidden="1" customHeight="1">
      <c r="A351" s="96"/>
      <c r="B351" s="14"/>
      <c r="D351" s="283" t="s">
        <v>698</v>
      </c>
      <c r="E351" s="284" t="s">
        <v>699</v>
      </c>
      <c r="F351" s="689" t="s">
        <v>696</v>
      </c>
      <c r="G351" s="716"/>
      <c r="H351" s="716"/>
      <c r="I351" s="284" t="s">
        <v>699</v>
      </c>
      <c r="J351" s="28">
        <v>4</v>
      </c>
      <c r="L351" s="279"/>
      <c r="M351" s="120" t="s">
        <v>700</v>
      </c>
      <c r="N351" s="47" t="s">
        <v>701</v>
      </c>
      <c r="O351" s="279"/>
      <c r="P351" s="236"/>
      <c r="Q351" s="236"/>
      <c r="R351" s="234"/>
      <c r="S351" s="204"/>
      <c r="V351" s="185"/>
    </row>
    <row r="352" spans="1:22" ht="18" hidden="1" customHeight="1">
      <c r="A352" s="96"/>
      <c r="B352" s="14"/>
      <c r="D352" s="218">
        <v>0.25</v>
      </c>
      <c r="E352" s="284" t="e">
        <f>IF(D352&lt;=G349,"≤","&gt;")</f>
        <v>#VALUE!</v>
      </c>
      <c r="F352" s="688" t="e">
        <f>G349</f>
        <v>#VALUE!</v>
      </c>
      <c r="G352" s="1145"/>
      <c r="H352" s="688"/>
      <c r="I352" s="284" t="e">
        <f>IF(G349&lt;=J351,"≤","&gt;")</f>
        <v>#VALUE!</v>
      </c>
      <c r="J352" s="28">
        <f>J351</f>
        <v>4</v>
      </c>
      <c r="L352" s="279"/>
      <c r="M352" s="120"/>
      <c r="N352" s="213"/>
      <c r="O352" s="279"/>
      <c r="P352" s="236"/>
      <c r="Q352" s="236"/>
      <c r="R352" s="234"/>
      <c r="S352" s="204"/>
      <c r="V352" s="185"/>
    </row>
    <row r="353" spans="1:22" ht="18" hidden="1" customHeight="1">
      <c r="A353" s="96"/>
      <c r="B353" s="14"/>
      <c r="G353" s="14"/>
      <c r="H353" s="14"/>
      <c r="I353" s="14"/>
      <c r="J353" s="14"/>
      <c r="K353" s="14"/>
      <c r="L353" s="14"/>
      <c r="M353" s="14"/>
      <c r="N353" s="14"/>
      <c r="R353" s="234"/>
      <c r="S353" s="204"/>
      <c r="V353" s="185"/>
    </row>
    <row r="354" spans="1:22" ht="18" hidden="1" customHeight="1">
      <c r="A354" s="96"/>
      <c r="B354" s="14" t="s">
        <v>702</v>
      </c>
      <c r="G354" s="14"/>
      <c r="H354" s="18" t="e">
        <f>IF(AND(E352="≤",I352="≤")=TRUE,"OK","Not OK")</f>
        <v>#VALUE!</v>
      </c>
      <c r="I354" s="14"/>
      <c r="J354" s="14"/>
      <c r="K354" s="14"/>
      <c r="L354" s="14"/>
      <c r="M354" s="14"/>
      <c r="N354" s="14"/>
      <c r="R354" s="234"/>
      <c r="S354" s="204"/>
      <c r="V354" s="185"/>
    </row>
    <row r="355" spans="1:22" ht="18" hidden="1" customHeight="1">
      <c r="A355" s="96"/>
      <c r="B355" s="14"/>
      <c r="G355" s="14"/>
      <c r="H355" s="18"/>
      <c r="I355" s="14"/>
      <c r="J355" s="14"/>
      <c r="K355" s="14"/>
      <c r="L355" s="14"/>
      <c r="M355" s="14"/>
      <c r="N355" s="14"/>
      <c r="R355" s="234"/>
      <c r="S355" s="204"/>
      <c r="V355" s="185"/>
    </row>
    <row r="356" spans="1:22" ht="18" hidden="1" customHeight="1">
      <c r="A356" s="96"/>
      <c r="B356" s="14"/>
      <c r="G356" s="14"/>
      <c r="H356" s="18"/>
      <c r="I356" s="14"/>
      <c r="J356" s="14"/>
      <c r="K356" s="14"/>
      <c r="L356" s="14"/>
      <c r="M356" s="14"/>
      <c r="N356" s="14"/>
      <c r="R356" s="234"/>
      <c r="S356" s="204"/>
      <c r="V356" s="185"/>
    </row>
    <row r="357" spans="1:22" ht="18" hidden="1" customHeight="1">
      <c r="A357" s="96"/>
      <c r="B357" s="14"/>
      <c r="G357" s="14"/>
      <c r="H357" s="18"/>
      <c r="I357" s="14"/>
      <c r="J357" s="14"/>
      <c r="K357" s="14"/>
      <c r="L357" s="14"/>
      <c r="M357" s="14"/>
      <c r="N357" s="14"/>
      <c r="R357" s="234"/>
      <c r="S357" s="204"/>
      <c r="V357" s="185"/>
    </row>
    <row r="358" spans="1:22" ht="18" hidden="1" customHeight="1">
      <c r="A358" s="96"/>
      <c r="B358" s="14"/>
      <c r="G358" s="14"/>
      <c r="H358" s="18"/>
      <c r="I358" s="14"/>
      <c r="J358" s="14"/>
      <c r="K358" s="14"/>
      <c r="L358" s="14"/>
      <c r="M358" s="14"/>
      <c r="N358" s="14"/>
      <c r="R358" s="234"/>
      <c r="S358" s="204"/>
      <c r="V358" s="185"/>
    </row>
    <row r="359" spans="1:22" ht="18" hidden="1" customHeight="1">
      <c r="A359" s="96"/>
      <c r="B359" s="14"/>
      <c r="G359" s="14"/>
      <c r="H359" s="18"/>
      <c r="I359" s="14"/>
      <c r="J359" s="14"/>
      <c r="K359" s="14"/>
      <c r="L359" s="14"/>
      <c r="M359" s="14"/>
      <c r="N359" s="14"/>
      <c r="R359" s="234"/>
      <c r="S359" s="204"/>
      <c r="V359" s="185"/>
    </row>
    <row r="360" spans="1:22" ht="18" hidden="1" customHeight="1">
      <c r="A360" s="96"/>
      <c r="B360" s="14"/>
      <c r="G360" s="14"/>
      <c r="H360" s="14"/>
      <c r="I360" s="14"/>
      <c r="J360" s="14"/>
      <c r="K360" s="14"/>
      <c r="L360" s="14"/>
      <c r="M360" s="14"/>
      <c r="N360" s="14"/>
      <c r="R360" s="234"/>
      <c r="S360" s="204"/>
      <c r="V360" s="185"/>
    </row>
    <row r="361" spans="1:22" s="14" customFormat="1" ht="18" customHeight="1">
      <c r="A361" s="96"/>
      <c r="Q361" s="120"/>
      <c r="R361" s="28"/>
      <c r="S361" s="204"/>
      <c r="T361" s="204"/>
      <c r="V361" s="381"/>
    </row>
    <row r="362" spans="1:22" s="14" customFormat="1" ht="18" customHeight="1">
      <c r="A362" s="96"/>
      <c r="Q362" s="120"/>
      <c r="R362" s="28"/>
      <c r="S362" s="204"/>
      <c r="T362" s="204"/>
      <c r="V362" s="381"/>
    </row>
    <row r="363" spans="1:22" ht="18" customHeight="1">
      <c r="A363" s="96"/>
      <c r="B363" s="14"/>
      <c r="C363" s="14"/>
      <c r="D363" s="120"/>
      <c r="E363" s="120"/>
      <c r="F363" s="18"/>
      <c r="G363" s="18"/>
      <c r="H363" s="14"/>
      <c r="I363" s="14"/>
      <c r="J363" s="14"/>
      <c r="K363" s="14"/>
      <c r="L363" s="14"/>
      <c r="M363" s="14"/>
      <c r="N363" s="14"/>
      <c r="O363" s="14"/>
      <c r="P363" s="28"/>
      <c r="Q363" s="120"/>
      <c r="R363" s="47"/>
      <c r="S363" s="47"/>
      <c r="T363" s="14"/>
      <c r="U363" s="14"/>
      <c r="V363" s="97"/>
    </row>
    <row r="364" spans="1:22" ht="18" customHeight="1">
      <c r="A364" s="1125"/>
      <c r="B364" s="983"/>
      <c r="C364" s="1135"/>
      <c r="D364" s="983"/>
      <c r="E364" s="983"/>
      <c r="F364" s="983"/>
      <c r="G364" s="983"/>
      <c r="H364" s="983"/>
      <c r="I364" s="983"/>
      <c r="J364" s="983"/>
      <c r="K364" s="983"/>
      <c r="L364" s="983"/>
      <c r="M364" s="983"/>
      <c r="N364" s="983"/>
      <c r="O364" s="983"/>
      <c r="P364" s="983"/>
      <c r="Q364" s="983"/>
      <c r="R364" s="983"/>
      <c r="S364" s="983"/>
      <c r="T364" s="983"/>
      <c r="U364" s="983"/>
      <c r="V364" s="1126"/>
    </row>
    <row r="365" spans="1:22" ht="18" customHeight="1">
      <c r="A365" s="1125"/>
      <c r="B365" s="983"/>
      <c r="C365" s="1135"/>
      <c r="D365" s="983"/>
      <c r="E365" s="983"/>
      <c r="F365" s="983"/>
      <c r="G365" s="983"/>
      <c r="H365" s="983"/>
      <c r="I365" s="983"/>
      <c r="J365" s="983"/>
      <c r="K365" s="983"/>
      <c r="L365" s="983"/>
      <c r="M365" s="983"/>
      <c r="N365" s="983"/>
      <c r="O365" s="983"/>
      <c r="P365" s="983"/>
      <c r="Q365" s="983"/>
      <c r="R365" s="983"/>
      <c r="S365" s="983"/>
      <c r="T365" s="983"/>
      <c r="U365" s="983"/>
      <c r="V365" s="1126"/>
    </row>
    <row r="366" spans="1:22" ht="18" customHeight="1">
      <c r="A366" s="1125"/>
      <c r="B366" s="983"/>
      <c r="C366" s="1135"/>
      <c r="D366" s="983"/>
      <c r="E366" s="983"/>
      <c r="F366" s="983"/>
      <c r="G366" s="983"/>
      <c r="H366" s="983"/>
      <c r="I366" s="983"/>
      <c r="J366" s="983"/>
      <c r="K366" s="983"/>
      <c r="L366" s="983"/>
      <c r="M366" s="983"/>
      <c r="N366" s="983"/>
      <c r="O366" s="983"/>
      <c r="P366" s="983"/>
      <c r="Q366" s="983"/>
      <c r="R366" s="983"/>
      <c r="S366" s="983"/>
      <c r="T366" s="983"/>
      <c r="U366" s="983"/>
      <c r="V366" s="1126"/>
    </row>
    <row r="367" spans="1:22" ht="18" customHeight="1">
      <c r="A367" s="1125"/>
      <c r="B367" s="983"/>
      <c r="C367" s="1135"/>
      <c r="D367" s="983"/>
      <c r="E367" s="983"/>
      <c r="F367" s="983"/>
      <c r="G367" s="983"/>
      <c r="H367" s="983"/>
      <c r="I367" s="983"/>
      <c r="J367" s="983"/>
      <c r="K367" s="983"/>
      <c r="L367" s="983"/>
      <c r="M367" s="983"/>
      <c r="N367" s="983"/>
      <c r="O367" s="983"/>
      <c r="P367" s="983"/>
      <c r="Q367" s="983"/>
      <c r="R367" s="983"/>
      <c r="S367" s="983"/>
      <c r="T367" s="983"/>
      <c r="U367" s="983"/>
      <c r="V367" s="1126"/>
    </row>
    <row r="368" spans="1:22" ht="18" customHeight="1">
      <c r="A368" s="837"/>
      <c r="B368" s="689"/>
      <c r="C368" s="689"/>
      <c r="D368" s="805"/>
      <c r="E368" s="805"/>
      <c r="F368" s="805"/>
      <c r="G368" s="805"/>
      <c r="H368" s="1184"/>
      <c r="I368" s="1184"/>
      <c r="J368" s="1184"/>
      <c r="K368" s="1135"/>
      <c r="L368" s="1135"/>
      <c r="M368" s="1135"/>
      <c r="N368" s="1135"/>
      <c r="O368" s="805"/>
      <c r="P368" s="805"/>
      <c r="Q368" s="980"/>
      <c r="R368" s="980"/>
      <c r="S368" s="993"/>
      <c r="T368" s="805"/>
      <c r="U368" s="805"/>
      <c r="V368" s="968"/>
    </row>
    <row r="369" spans="1:22" ht="18" customHeight="1">
      <c r="A369" s="837"/>
      <c r="B369" s="689"/>
      <c r="C369" s="689"/>
      <c r="D369" s="993"/>
      <c r="E369" s="805"/>
      <c r="F369" s="805"/>
      <c r="G369" s="805"/>
      <c r="H369" s="805"/>
      <c r="I369" s="1184"/>
      <c r="J369" s="1184"/>
      <c r="K369" s="727"/>
      <c r="L369" s="1135"/>
      <c r="M369" s="727"/>
      <c r="N369" s="1135"/>
      <c r="O369" s="993"/>
      <c r="P369" s="805"/>
      <c r="Q369" s="980"/>
      <c r="R369" s="980"/>
      <c r="S369" s="993"/>
      <c r="T369" s="805"/>
      <c r="U369" s="805"/>
      <c r="V369" s="968"/>
    </row>
    <row r="370" spans="1:22" ht="18" customHeight="1">
      <c r="A370" s="837"/>
      <c r="B370" s="689"/>
      <c r="C370" s="689"/>
      <c r="D370" s="993"/>
      <c r="E370" s="805"/>
      <c r="F370" s="805"/>
      <c r="G370" s="805"/>
      <c r="H370" s="805"/>
      <c r="I370" s="1184"/>
      <c r="J370" s="1184"/>
      <c r="K370" s="727"/>
      <c r="L370" s="1135"/>
      <c r="M370" s="727"/>
      <c r="N370" s="1135"/>
      <c r="O370" s="993"/>
      <c r="P370" s="805"/>
      <c r="Q370" s="980"/>
      <c r="R370" s="980"/>
      <c r="S370" s="805"/>
      <c r="T370" s="805"/>
      <c r="U370" s="805"/>
      <c r="V370" s="968"/>
    </row>
    <row r="371" spans="1:22" ht="18" customHeight="1">
      <c r="A371" s="184"/>
      <c r="V371" s="185"/>
    </row>
    <row r="372" spans="1:22" ht="18" customHeight="1">
      <c r="A372" s="184"/>
      <c r="V372" s="185"/>
    </row>
    <row r="373" spans="1:22" ht="18" customHeight="1">
      <c r="A373" s="184"/>
      <c r="V373" s="185"/>
    </row>
    <row r="374" spans="1:22" ht="18" customHeight="1">
      <c r="A374" s="184"/>
      <c r="V374" s="185"/>
    </row>
    <row r="375" spans="1:22" ht="18" customHeight="1">
      <c r="A375" s="184"/>
      <c r="V375" s="185"/>
    </row>
    <row r="376" spans="1:22" ht="18" customHeight="1">
      <c r="A376" s="184"/>
      <c r="V376" s="185"/>
    </row>
    <row r="377" spans="1:22" ht="18" customHeight="1">
      <c r="A377" s="184"/>
      <c r="V377" s="185"/>
    </row>
    <row r="378" spans="1:22" ht="18" customHeight="1">
      <c r="A378" s="184"/>
      <c r="V378" s="185"/>
    </row>
    <row r="379" spans="1:22" ht="18" customHeight="1">
      <c r="A379" s="184"/>
      <c r="V379" s="185"/>
    </row>
    <row r="380" spans="1:22" ht="18" customHeight="1">
      <c r="A380" s="184"/>
      <c r="V380" s="185"/>
    </row>
    <row r="381" spans="1:22" ht="18" customHeight="1">
      <c r="A381" s="184"/>
      <c r="V381" s="185"/>
    </row>
    <row r="382" spans="1:22" ht="18" customHeight="1">
      <c r="A382" s="184"/>
      <c r="V382" s="185"/>
    </row>
    <row r="383" spans="1:22" ht="18" customHeight="1">
      <c r="A383" s="184"/>
      <c r="V383" s="185"/>
    </row>
    <row r="384" spans="1:22" ht="18" customHeight="1">
      <c r="A384" s="184"/>
      <c r="V384" s="185"/>
    </row>
    <row r="385" spans="1:29" ht="18" customHeight="1">
      <c r="A385" s="184"/>
      <c r="V385" s="185"/>
    </row>
    <row r="386" spans="1:29" ht="18" customHeight="1">
      <c r="A386" s="290"/>
      <c r="B386" s="196"/>
      <c r="C386" s="196"/>
      <c r="D386" s="196"/>
      <c r="E386" s="196"/>
      <c r="F386" s="196"/>
      <c r="G386" s="196"/>
      <c r="H386" s="196"/>
      <c r="I386" s="196"/>
      <c r="J386" s="196"/>
      <c r="K386" s="196"/>
      <c r="L386" s="196"/>
      <c r="M386" s="196"/>
      <c r="N386" s="196"/>
      <c r="O386" s="196"/>
      <c r="P386" s="196"/>
      <c r="Q386" s="196"/>
      <c r="R386" s="196"/>
      <c r="S386" s="196"/>
      <c r="T386" s="196"/>
      <c r="U386" s="196"/>
      <c r="V386" s="291"/>
    </row>
    <row r="387" spans="1:29" s="14" customFormat="1" ht="18" hidden="1" customHeight="1">
      <c r="A387" s="194"/>
      <c r="B387" s="195"/>
      <c r="C387" s="195"/>
      <c r="D387" s="195"/>
      <c r="E387" s="195"/>
      <c r="F387" s="195"/>
      <c r="G387" s="195"/>
      <c r="H387" s="195"/>
      <c r="I387" s="195"/>
      <c r="J387" s="195"/>
      <c r="K387" s="195"/>
      <c r="L387" s="195"/>
      <c r="M387" s="195"/>
      <c r="N387" s="195"/>
      <c r="O387" s="195"/>
      <c r="P387" s="195"/>
      <c r="Q387" s="224"/>
      <c r="R387" s="182"/>
      <c r="S387" s="225"/>
      <c r="T387" s="195"/>
      <c r="U387" s="195"/>
      <c r="V387" s="134"/>
    </row>
    <row r="388" spans="1:29" ht="18" hidden="1" customHeight="1">
      <c r="A388" s="1178" t="str">
        <f>A1</f>
        <v>HITACHI</v>
      </c>
      <c r="B388" s="1179"/>
      <c r="C388" s="1179"/>
      <c r="D388" s="1179"/>
      <c r="E388" s="1179"/>
      <c r="F388" s="1179"/>
      <c r="G388" s="1180"/>
      <c r="H388" s="906" t="str">
        <f>H1</f>
        <v>CT / VT</v>
      </c>
      <c r="I388" s="929"/>
      <c r="J388" s="929"/>
      <c r="K388" s="929"/>
      <c r="L388" s="929"/>
      <c r="M388" s="929"/>
      <c r="N388" s="930"/>
      <c r="O388" s="885" t="str">
        <f>O1</f>
        <v>Contract No.</v>
      </c>
      <c r="P388" s="886"/>
      <c r="Q388" s="887"/>
      <c r="R388" s="1166" t="str">
        <f>R1</f>
        <v>N-19957.2-DF4W</v>
      </c>
      <c r="S388" s="1167"/>
      <c r="T388" s="1167"/>
      <c r="U388" s="1167"/>
      <c r="V388" s="1168"/>
    </row>
    <row r="389" spans="1:29" ht="18" hidden="1" customHeight="1">
      <c r="A389" s="1181"/>
      <c r="B389" s="1182"/>
      <c r="C389" s="1182"/>
      <c r="D389" s="1182"/>
      <c r="E389" s="1182"/>
      <c r="F389" s="1182"/>
      <c r="G389" s="1183"/>
      <c r="H389" s="909" t="str">
        <f>H2</f>
        <v>CALCULATION</v>
      </c>
      <c r="I389" s="934"/>
      <c r="J389" s="934"/>
      <c r="K389" s="934"/>
      <c r="L389" s="934"/>
      <c r="M389" s="934"/>
      <c r="N389" s="935"/>
      <c r="O389" s="885" t="str">
        <f>O2</f>
        <v>Date</v>
      </c>
      <c r="P389" s="886"/>
      <c r="Q389" s="887"/>
      <c r="R389" s="1166">
        <f>R2</f>
        <v>46134</v>
      </c>
      <c r="S389" s="1167"/>
      <c r="T389" s="1167"/>
      <c r="U389" s="1167"/>
      <c r="V389" s="1168"/>
    </row>
    <row r="390" spans="1:29" ht="18" hidden="1" customHeight="1">
      <c r="A390" s="955">
        <f>A3</f>
        <v>0</v>
      </c>
      <c r="B390" s="956"/>
      <c r="C390" s="956"/>
      <c r="D390" s="956"/>
      <c r="E390" s="956"/>
      <c r="F390" s="956"/>
      <c r="G390" s="957"/>
      <c r="H390" s="1172" t="str">
        <f>H3</f>
        <v xml:space="preserve">132/33kV SUBSTATION DF4W    AT AL DHAFRA AREA </v>
      </c>
      <c r="I390" s="1173"/>
      <c r="J390" s="1173"/>
      <c r="K390" s="1173"/>
      <c r="L390" s="1173"/>
      <c r="M390" s="1173"/>
      <c r="N390" s="1174"/>
      <c r="O390" s="885" t="str">
        <f>O3</f>
        <v>Document No.</v>
      </c>
      <c r="P390" s="886"/>
      <c r="Q390" s="887"/>
      <c r="R390" s="1166" t="str">
        <f>R3</f>
        <v>-</v>
      </c>
      <c r="S390" s="1167"/>
      <c r="T390" s="1167"/>
      <c r="U390" s="1167"/>
      <c r="V390" s="1168"/>
    </row>
    <row r="391" spans="1:29" ht="18" hidden="1" customHeight="1">
      <c r="A391" s="1047"/>
      <c r="B391" s="1048"/>
      <c r="C391" s="1048"/>
      <c r="D391" s="1048"/>
      <c r="E391" s="1048"/>
      <c r="F391" s="1048"/>
      <c r="G391" s="1049"/>
      <c r="H391" s="1175"/>
      <c r="I391" s="1176"/>
      <c r="J391" s="1176"/>
      <c r="K391" s="1176"/>
      <c r="L391" s="1176"/>
      <c r="M391" s="1176"/>
      <c r="N391" s="1177"/>
      <c r="O391" s="885" t="str">
        <f>O4</f>
        <v>Revision No.</v>
      </c>
      <c r="P391" s="886"/>
      <c r="Q391" s="887"/>
      <c r="R391" s="1166" t="str">
        <f>R4</f>
        <v>A</v>
      </c>
      <c r="S391" s="1167"/>
      <c r="T391" s="1167"/>
      <c r="U391" s="1167"/>
      <c r="V391" s="1168"/>
    </row>
    <row r="392" spans="1:29" ht="18" hidden="1" customHeight="1">
      <c r="A392" s="880" t="str">
        <f>A5</f>
        <v>Prep. By</v>
      </c>
      <c r="B392" s="943"/>
      <c r="C392" s="292" t="str">
        <f>C5</f>
        <v>PK</v>
      </c>
      <c r="D392" s="880" t="str">
        <f>D5</f>
        <v>Checked By</v>
      </c>
      <c r="E392" s="881"/>
      <c r="F392" s="943"/>
      <c r="G392" s="292" t="str">
        <f>G5</f>
        <v>RN</v>
      </c>
      <c r="H392" s="1163" t="str">
        <f>H5</f>
        <v>132kV_100MVA TR. FEEDERS</v>
      </c>
      <c r="I392" s="1164"/>
      <c r="J392" s="1164"/>
      <c r="K392" s="1164"/>
      <c r="L392" s="1164"/>
      <c r="M392" s="1164"/>
      <c r="N392" s="1165"/>
      <c r="O392" s="947" t="str">
        <f>O5</f>
        <v>Contractor</v>
      </c>
      <c r="P392" s="948"/>
      <c r="Q392" s="949"/>
      <c r="R392" s="1166" t="str">
        <f>R5</f>
        <v>HITACHI</v>
      </c>
      <c r="S392" s="1167"/>
      <c r="T392" s="1167"/>
      <c r="U392" s="1167"/>
      <c r="V392" s="1168"/>
    </row>
    <row r="393" spans="1:29" ht="18" hidden="1" customHeight="1">
      <c r="A393" s="226"/>
      <c r="B393" s="227"/>
      <c r="C393" s="227"/>
      <c r="D393" s="227"/>
      <c r="E393" s="227"/>
      <c r="F393" s="227"/>
      <c r="G393" s="227"/>
      <c r="H393" s="227"/>
      <c r="I393" s="227"/>
      <c r="J393" s="227"/>
      <c r="K393" s="227"/>
      <c r="L393" s="227"/>
      <c r="M393" s="227"/>
      <c r="N393" s="227"/>
      <c r="O393" s="227"/>
      <c r="P393" s="227"/>
      <c r="Q393" s="227"/>
      <c r="R393" s="227"/>
      <c r="S393" s="227"/>
      <c r="T393" s="227"/>
      <c r="U393" s="227"/>
      <c r="V393" s="228"/>
    </row>
    <row r="394" spans="1:29" ht="18" hidden="1" customHeight="1">
      <c r="A394" s="184"/>
      <c r="B394" s="781" t="s">
        <v>663</v>
      </c>
      <c r="C394" s="782"/>
      <c r="D394" s="1099" t="s">
        <v>109</v>
      </c>
      <c r="E394" s="1169"/>
      <c r="F394" s="186" t="s">
        <v>636</v>
      </c>
      <c r="H394" s="684" t="str">
        <f>H275</f>
        <v>(Transformer Differential)</v>
      </c>
      <c r="I394" s="684"/>
      <c r="J394" s="684"/>
      <c r="K394" s="684"/>
      <c r="L394" s="684"/>
      <c r="M394" s="684"/>
      <c r="P394" s="186"/>
      <c r="S394" s="187" t="s">
        <v>387</v>
      </c>
      <c r="T394" s="1161" t="str">
        <f>T275</f>
        <v>7UT85</v>
      </c>
      <c r="U394" s="1162"/>
      <c r="V394" s="185"/>
    </row>
    <row r="395" spans="1:29" ht="18" hidden="1" customHeight="1">
      <c r="A395" s="184"/>
      <c r="B395" s="743" t="s">
        <v>664</v>
      </c>
      <c r="C395" s="743"/>
      <c r="D395" s="1170"/>
      <c r="E395" s="1171"/>
      <c r="F395" s="255"/>
      <c r="T395" s="1161"/>
      <c r="U395" s="1162"/>
      <c r="V395" s="185"/>
    </row>
    <row r="396" spans="1:29" ht="18" hidden="1" customHeight="1">
      <c r="A396" s="184"/>
      <c r="H396" s="789" t="s">
        <v>390</v>
      </c>
      <c r="I396" s="789"/>
      <c r="J396" s="708" t="s">
        <v>391</v>
      </c>
      <c r="K396" s="708"/>
      <c r="L396" s="708" t="s">
        <v>392</v>
      </c>
      <c r="M396" s="708"/>
      <c r="T396" s="1161"/>
      <c r="U396" s="1162"/>
      <c r="V396" s="185"/>
    </row>
    <row r="397" spans="1:29" ht="18" hidden="1" customHeight="1">
      <c r="A397" s="184"/>
      <c r="B397" s="47" t="s">
        <v>393</v>
      </c>
      <c r="H397" s="791">
        <v>5000</v>
      </c>
      <c r="I397" s="792"/>
      <c r="J397" s="781">
        <v>4000</v>
      </c>
      <c r="K397" s="782"/>
      <c r="L397" s="781">
        <v>3000</v>
      </c>
      <c r="M397" s="782"/>
      <c r="N397" s="191" t="s">
        <v>342</v>
      </c>
      <c r="O397" s="125">
        <v>1</v>
      </c>
      <c r="P397" s="27" t="s">
        <v>8</v>
      </c>
      <c r="V397" s="185"/>
    </row>
    <row r="398" spans="1:29" ht="18" hidden="1" customHeight="1">
      <c r="A398" s="184"/>
      <c r="B398" s="47" t="s">
        <v>394</v>
      </c>
      <c r="H398" s="781" t="s">
        <v>395</v>
      </c>
      <c r="I398" s="788"/>
      <c r="V398" s="185"/>
    </row>
    <row r="399" spans="1:29" ht="18" hidden="1" customHeight="1">
      <c r="A399" s="184"/>
      <c r="B399" s="47" t="s">
        <v>396</v>
      </c>
      <c r="G399" s="120" t="s">
        <v>497</v>
      </c>
      <c r="H399" s="781">
        <v>20</v>
      </c>
      <c r="I399" s="782"/>
      <c r="J399" s="192" t="s">
        <v>333</v>
      </c>
      <c r="V399" s="185"/>
    </row>
    <row r="400" spans="1:29" ht="18" hidden="1" customHeight="1">
      <c r="A400" s="184"/>
      <c r="B400" s="47" t="s">
        <v>398</v>
      </c>
      <c r="G400" s="120" t="s">
        <v>498</v>
      </c>
      <c r="H400" s="781">
        <v>1000</v>
      </c>
      <c r="I400" s="782"/>
      <c r="J400" s="14" t="s">
        <v>305</v>
      </c>
      <c r="V400" s="185"/>
      <c r="W400" s="30" t="s">
        <v>400</v>
      </c>
      <c r="AB400" s="785">
        <f>D450</f>
        <v>68.690225861110591</v>
      </c>
      <c r="AC400" s="786"/>
    </row>
    <row r="401" spans="1:22" ht="18" hidden="1" customHeight="1">
      <c r="A401" s="184"/>
      <c r="B401" s="14" t="s">
        <v>401</v>
      </c>
      <c r="G401" s="120" t="s">
        <v>402</v>
      </c>
      <c r="H401" s="781">
        <v>20</v>
      </c>
      <c r="I401" s="782"/>
      <c r="J401" s="30" t="s">
        <v>403</v>
      </c>
      <c r="V401" s="185"/>
    </row>
    <row r="402" spans="1:22" ht="18" hidden="1" customHeight="1">
      <c r="A402" s="96"/>
      <c r="V402" s="185"/>
    </row>
    <row r="403" spans="1:22" ht="18" hidden="1" customHeight="1">
      <c r="A403" s="193" t="s">
        <v>404</v>
      </c>
      <c r="V403" s="185"/>
    </row>
    <row r="404" spans="1:22" ht="18" hidden="1" customHeight="1">
      <c r="A404" s="184"/>
      <c r="V404" s="185"/>
    </row>
    <row r="405" spans="1:22" ht="18" hidden="1" customHeight="1">
      <c r="A405" s="184"/>
      <c r="B405" s="194" t="s">
        <v>405</v>
      </c>
      <c r="C405" s="195"/>
      <c r="D405" s="195" t="str">
        <f>T394</f>
        <v>7UT85</v>
      </c>
      <c r="E405" s="196"/>
      <c r="F405" s="196"/>
      <c r="G405" s="196"/>
      <c r="H405" s="182" t="s">
        <v>406</v>
      </c>
      <c r="I405" s="183" t="s">
        <v>127</v>
      </c>
      <c r="J405" s="1159">
        <f>J286</f>
        <v>0.1</v>
      </c>
      <c r="K405" s="1160"/>
      <c r="L405" s="3" t="s">
        <v>157</v>
      </c>
      <c r="V405" s="185"/>
    </row>
    <row r="406" spans="1:22" ht="18" hidden="1" customHeight="1">
      <c r="A406" s="184"/>
      <c r="B406" s="184" t="s">
        <v>405</v>
      </c>
      <c r="D406" s="30">
        <f>T395</f>
        <v>0</v>
      </c>
      <c r="H406" s="27"/>
      <c r="I406" s="177" t="s">
        <v>127</v>
      </c>
      <c r="J406" s="793"/>
      <c r="K406" s="1156"/>
      <c r="L406" s="198" t="s">
        <v>157</v>
      </c>
      <c r="V406" s="185"/>
    </row>
    <row r="407" spans="1:22" ht="18" hidden="1" customHeight="1">
      <c r="A407" s="184"/>
      <c r="B407" s="184" t="s">
        <v>405</v>
      </c>
      <c r="D407" s="30">
        <f>T396</f>
        <v>0</v>
      </c>
      <c r="E407" s="14"/>
      <c r="G407" s="199"/>
      <c r="H407" s="27"/>
      <c r="I407" s="177" t="s">
        <v>127</v>
      </c>
      <c r="J407" s="1157"/>
      <c r="K407" s="1158"/>
      <c r="L407" s="202" t="s">
        <v>157</v>
      </c>
      <c r="V407" s="185"/>
    </row>
    <row r="408" spans="1:22" ht="18" hidden="1" customHeight="1">
      <c r="A408" s="184"/>
      <c r="B408" s="184" t="s">
        <v>412</v>
      </c>
      <c r="H408" s="27" t="s">
        <v>599</v>
      </c>
      <c r="I408" s="177" t="s">
        <v>127</v>
      </c>
      <c r="J408" s="861">
        <f>J289</f>
        <v>1.1667743100000001</v>
      </c>
      <c r="K408" s="989"/>
      <c r="L408" s="203" t="s">
        <v>157</v>
      </c>
      <c r="V408" s="185"/>
    </row>
    <row r="409" spans="1:22" ht="18" hidden="1" customHeight="1">
      <c r="A409" s="184"/>
      <c r="B409" s="205" t="s">
        <v>413</v>
      </c>
      <c r="C409" s="206"/>
      <c r="D409" s="206"/>
      <c r="E409" s="206"/>
      <c r="F409" s="207"/>
      <c r="G409" s="207"/>
      <c r="H409" s="190" t="s">
        <v>409</v>
      </c>
      <c r="I409" s="208" t="s">
        <v>127</v>
      </c>
      <c r="J409" s="766">
        <f>J406+J408</f>
        <v>1.1667743100000001</v>
      </c>
      <c r="K409" s="958"/>
      <c r="L409" s="210" t="s">
        <v>157</v>
      </c>
      <c r="V409" s="185"/>
    </row>
    <row r="410" spans="1:22" ht="18" hidden="1" customHeight="1">
      <c r="A410" s="184"/>
      <c r="B410" s="47"/>
      <c r="C410" s="47"/>
      <c r="D410" s="47"/>
      <c r="E410" s="47"/>
      <c r="H410" s="27"/>
      <c r="I410" s="28"/>
      <c r="J410" s="199"/>
      <c r="L410" s="47"/>
      <c r="O410" s="27"/>
      <c r="P410" s="211"/>
      <c r="Q410" s="211"/>
      <c r="R410" s="192"/>
      <c r="V410" s="185"/>
    </row>
    <row r="411" spans="1:22" ht="18" hidden="1" customHeight="1">
      <c r="A411" s="184"/>
      <c r="B411" s="197" t="s">
        <v>648</v>
      </c>
      <c r="L411" s="47"/>
      <c r="M411" s="197" t="s">
        <v>407</v>
      </c>
      <c r="V411" s="185"/>
    </row>
    <row r="412" spans="1:22" s="14" customFormat="1" ht="18" hidden="1" customHeight="1">
      <c r="A412" s="184"/>
      <c r="B412" s="27" t="s">
        <v>649</v>
      </c>
      <c r="C412" s="27" t="s">
        <v>127</v>
      </c>
      <c r="D412" s="30" t="s">
        <v>406</v>
      </c>
      <c r="E412" s="271" t="s">
        <v>410</v>
      </c>
      <c r="F412" s="27" t="s">
        <v>146</v>
      </c>
      <c r="G412" s="28" t="s">
        <v>315</v>
      </c>
      <c r="H412" s="218" t="s">
        <v>146</v>
      </c>
      <c r="I412" s="30" t="s">
        <v>350</v>
      </c>
      <c r="J412" s="199"/>
      <c r="K412" s="30"/>
      <c r="L412" s="47"/>
      <c r="M412" s="30" t="s">
        <v>408</v>
      </c>
      <c r="N412" s="27" t="s">
        <v>127</v>
      </c>
      <c r="O412" s="30" t="s">
        <v>409</v>
      </c>
      <c r="P412" s="191" t="s">
        <v>410</v>
      </c>
      <c r="Q412" s="244" t="s">
        <v>411</v>
      </c>
      <c r="R412" s="27" t="s">
        <v>315</v>
      </c>
      <c r="S412" s="30" t="s">
        <v>411</v>
      </c>
      <c r="T412" s="30" t="s">
        <v>350</v>
      </c>
      <c r="U412" s="30"/>
      <c r="V412" s="185"/>
    </row>
    <row r="413" spans="1:22" s="14" customFormat="1" ht="18" hidden="1" customHeight="1">
      <c r="A413" s="184"/>
      <c r="B413" s="47"/>
      <c r="C413" s="27" t="s">
        <v>127</v>
      </c>
      <c r="D413" s="204">
        <f>J405</f>
        <v>0.1</v>
      </c>
      <c r="E413" s="191" t="s">
        <v>410</v>
      </c>
      <c r="F413" s="27">
        <f>F150</f>
        <v>1</v>
      </c>
      <c r="G413" s="27" t="s">
        <v>315</v>
      </c>
      <c r="H413" s="27">
        <f>H150</f>
        <v>1</v>
      </c>
      <c r="I413" s="30" t="s">
        <v>350</v>
      </c>
      <c r="J413" s="199"/>
      <c r="K413" s="30"/>
      <c r="L413" s="47"/>
      <c r="M413" s="30"/>
      <c r="N413" s="27" t="s">
        <v>127</v>
      </c>
      <c r="O413" s="204">
        <f>J409</f>
        <v>1.1667743100000001</v>
      </c>
      <c r="P413" s="191" t="s">
        <v>410</v>
      </c>
      <c r="Q413" s="27">
        <f>O397</f>
        <v>1</v>
      </c>
      <c r="R413" s="27" t="s">
        <v>315</v>
      </c>
      <c r="S413" s="27">
        <f>O397</f>
        <v>1</v>
      </c>
      <c r="T413" s="30" t="s">
        <v>350</v>
      </c>
      <c r="U413" s="30"/>
      <c r="V413" s="185"/>
    </row>
    <row r="414" spans="1:22" s="14" customFormat="1" ht="18" hidden="1" customHeight="1">
      <c r="A414" s="184"/>
      <c r="B414" s="47"/>
      <c r="C414" s="27" t="s">
        <v>127</v>
      </c>
      <c r="D414" s="795">
        <f>D413/(F413*H413)</f>
        <v>0.1</v>
      </c>
      <c r="E414" s="795"/>
      <c r="F414" s="192" t="s">
        <v>333</v>
      </c>
      <c r="G414" s="30"/>
      <c r="H414" s="30"/>
      <c r="I414" s="30"/>
      <c r="J414" s="199"/>
      <c r="K414" s="30"/>
      <c r="L414" s="47"/>
      <c r="M414" s="30"/>
      <c r="N414" s="27" t="s">
        <v>127</v>
      </c>
      <c r="O414" s="795">
        <f>O413/(Q413*S413)</f>
        <v>1.1667743100000001</v>
      </c>
      <c r="P414" s="795"/>
      <c r="Q414" s="192" t="s">
        <v>333</v>
      </c>
      <c r="R414" s="30"/>
      <c r="S414" s="30"/>
      <c r="T414" s="30"/>
      <c r="U414" s="30"/>
      <c r="V414" s="185"/>
    </row>
    <row r="415" spans="1:22" s="14" customFormat="1" ht="18" hidden="1" customHeight="1">
      <c r="A415" s="184"/>
      <c r="B415" s="47"/>
      <c r="C415" s="47"/>
      <c r="D415" s="47"/>
      <c r="E415" s="47"/>
      <c r="F415" s="30"/>
      <c r="G415" s="30"/>
      <c r="H415" s="27"/>
      <c r="I415" s="28"/>
      <c r="J415" s="199"/>
      <c r="K415" s="30"/>
      <c r="L415" s="47"/>
      <c r="M415" s="30"/>
      <c r="N415" s="30"/>
      <c r="O415" s="27"/>
      <c r="P415" s="211"/>
      <c r="Q415" s="211"/>
      <c r="R415" s="192"/>
      <c r="S415" s="30"/>
      <c r="T415" s="30"/>
      <c r="U415" s="30"/>
      <c r="V415" s="185"/>
    </row>
    <row r="416" spans="1:22" s="14" customFormat="1" ht="18" hidden="1" customHeight="1">
      <c r="A416" s="184"/>
      <c r="B416" s="47" t="s">
        <v>668</v>
      </c>
      <c r="C416" s="47"/>
      <c r="D416" s="47"/>
      <c r="E416" s="47"/>
      <c r="F416" s="30"/>
      <c r="G416" s="30"/>
      <c r="H416" s="27"/>
      <c r="I416" s="28"/>
      <c r="J416" s="199"/>
      <c r="K416" s="30"/>
      <c r="L416" s="47" t="s">
        <v>127</v>
      </c>
      <c r="M416" s="204">
        <f>D414</f>
        <v>0.1</v>
      </c>
      <c r="N416" s="27" t="s">
        <v>347</v>
      </c>
      <c r="O416" s="211">
        <f>O414</f>
        <v>1.1667743100000001</v>
      </c>
      <c r="P416" s="211" t="s">
        <v>127</v>
      </c>
      <c r="Q416" s="211">
        <f>M416+O416</f>
        <v>1.2667743100000002</v>
      </c>
      <c r="R416" s="192" t="s">
        <v>333</v>
      </c>
      <c r="S416" s="30"/>
      <c r="T416" s="30"/>
      <c r="U416" s="30"/>
      <c r="V416" s="185"/>
    </row>
    <row r="417" spans="1:22" s="14" customFormat="1" ht="18" hidden="1" customHeight="1">
      <c r="A417" s="193" t="s">
        <v>600</v>
      </c>
      <c r="B417" s="5"/>
      <c r="C417" s="5"/>
      <c r="D417" s="5"/>
      <c r="E417" s="5"/>
      <c r="F417" s="5"/>
      <c r="G417" s="5"/>
      <c r="H417" s="212"/>
      <c r="I417" s="212"/>
      <c r="J417" s="5"/>
      <c r="K417" s="5"/>
      <c r="L417" s="5"/>
      <c r="M417" s="5"/>
      <c r="N417" s="5"/>
      <c r="O417" s="5"/>
      <c r="P417" s="103"/>
      <c r="Q417" s="212"/>
      <c r="R417" s="213"/>
      <c r="S417" s="214"/>
      <c r="T417" s="18"/>
      <c r="U417" s="18"/>
      <c r="V417" s="97"/>
    </row>
    <row r="418" spans="1:22" s="14" customFormat="1" ht="18" hidden="1" customHeight="1">
      <c r="A418" s="96"/>
      <c r="B418" s="47" t="s">
        <v>601</v>
      </c>
      <c r="C418" s="5"/>
      <c r="D418" s="5"/>
      <c r="E418" s="5"/>
      <c r="I418" s="215"/>
      <c r="M418" s="5"/>
      <c r="N418" s="103" t="s">
        <v>127</v>
      </c>
      <c r="O418" s="1154">
        <f>O155</f>
        <v>100</v>
      </c>
      <c r="P418" s="831"/>
      <c r="Q418" s="14" t="s">
        <v>602</v>
      </c>
      <c r="S418" s="214"/>
      <c r="T418" s="18"/>
      <c r="U418" s="18"/>
      <c r="V418" s="97"/>
    </row>
    <row r="419" spans="1:22" s="14" customFormat="1" ht="18" hidden="1" customHeight="1">
      <c r="A419" s="96"/>
      <c r="B419" s="47" t="s">
        <v>603</v>
      </c>
      <c r="C419" s="5"/>
      <c r="D419" s="5"/>
      <c r="E419" s="5"/>
      <c r="I419" s="215"/>
      <c r="M419" s="5"/>
      <c r="N419" s="103" t="s">
        <v>127</v>
      </c>
      <c r="O419" s="1154">
        <f>O156</f>
        <v>25</v>
      </c>
      <c r="P419" s="831"/>
      <c r="Q419" s="14" t="s">
        <v>604</v>
      </c>
      <c r="S419" s="214"/>
      <c r="T419" s="18"/>
      <c r="U419" s="18"/>
      <c r="V419" s="97"/>
    </row>
    <row r="420" spans="1:22" s="14" customFormat="1" ht="18" hidden="1" customHeight="1">
      <c r="A420" s="96"/>
      <c r="B420" s="47" t="s">
        <v>605</v>
      </c>
      <c r="C420" s="5"/>
      <c r="D420" s="5"/>
      <c r="E420" s="5"/>
      <c r="M420" s="120" t="s">
        <v>606</v>
      </c>
      <c r="N420" s="103" t="s">
        <v>607</v>
      </c>
      <c r="O420" s="1154">
        <f>'[3]Parameters &amp; Fault Cal.'!Q12</f>
        <v>132</v>
      </c>
      <c r="P420" s="831"/>
      <c r="Q420" s="14" t="s">
        <v>163</v>
      </c>
      <c r="S420" s="214"/>
      <c r="T420" s="18"/>
      <c r="U420" s="18"/>
      <c r="V420" s="97"/>
    </row>
    <row r="421" spans="1:22" s="14" customFormat="1" ht="18" hidden="1" customHeight="1">
      <c r="A421" s="216"/>
      <c r="B421" s="212"/>
      <c r="C421" s="212"/>
      <c r="D421" s="212"/>
      <c r="E421" s="212"/>
      <c r="T421" s="18"/>
      <c r="U421" s="18"/>
      <c r="V421" s="97"/>
    </row>
    <row r="422" spans="1:22" s="14" customFormat="1" ht="18" hidden="1" customHeight="1">
      <c r="A422" s="272" t="s">
        <v>608</v>
      </c>
      <c r="B422" s="213"/>
      <c r="C422" s="213"/>
      <c r="D422" s="213"/>
      <c r="E422" s="213"/>
      <c r="H422" s="120" t="s">
        <v>609</v>
      </c>
      <c r="I422" s="28" t="s">
        <v>127</v>
      </c>
      <c r="J422" s="689" t="s">
        <v>610</v>
      </c>
      <c r="K422" s="689"/>
      <c r="L422" s="28" t="s">
        <v>315</v>
      </c>
      <c r="M422" s="217">
        <v>1000</v>
      </c>
      <c r="N422" s="102" t="s">
        <v>342</v>
      </c>
      <c r="O422" s="28" t="s">
        <v>611</v>
      </c>
      <c r="P422" s="28" t="s">
        <v>315</v>
      </c>
      <c r="Q422" s="28" t="s">
        <v>606</v>
      </c>
      <c r="R422" s="47" t="s">
        <v>350</v>
      </c>
      <c r="T422" s="18"/>
      <c r="U422" s="18"/>
      <c r="V422" s="97"/>
    </row>
    <row r="423" spans="1:22" ht="18" hidden="1" customHeight="1">
      <c r="A423" s="216"/>
      <c r="B423" s="213"/>
      <c r="C423" s="213"/>
      <c r="D423" s="213"/>
      <c r="E423" s="213"/>
      <c r="F423" s="212"/>
      <c r="G423" s="212"/>
      <c r="H423" s="28"/>
      <c r="I423" s="28" t="s">
        <v>127</v>
      </c>
      <c r="J423" s="689">
        <f>O418</f>
        <v>100</v>
      </c>
      <c r="K423" s="689"/>
      <c r="L423" s="28" t="s">
        <v>315</v>
      </c>
      <c r="M423" s="217">
        <v>1000</v>
      </c>
      <c r="N423" s="102" t="s">
        <v>342</v>
      </c>
      <c r="O423" s="28" t="s">
        <v>611</v>
      </c>
      <c r="P423" s="28" t="s">
        <v>315</v>
      </c>
      <c r="Q423" s="28">
        <f>O420</f>
        <v>132</v>
      </c>
      <c r="R423" s="47" t="s">
        <v>350</v>
      </c>
      <c r="S423" s="14"/>
      <c r="T423" s="18"/>
      <c r="U423" s="18"/>
      <c r="V423" s="97"/>
    </row>
    <row r="424" spans="1:22" ht="18" hidden="1" customHeight="1">
      <c r="A424" s="216"/>
      <c r="B424" s="212"/>
      <c r="C424" s="212"/>
      <c r="D424" s="212"/>
      <c r="E424" s="212"/>
      <c r="F424" s="212"/>
      <c r="G424" s="212"/>
      <c r="H424" s="14"/>
      <c r="I424" s="28" t="s">
        <v>127</v>
      </c>
      <c r="J424" s="692">
        <f>(O418*1000)/(SQRT(3)*O420)</f>
        <v>437.38656756789834</v>
      </c>
      <c r="K424" s="692"/>
      <c r="L424" s="14" t="s">
        <v>8</v>
      </c>
      <c r="M424" s="120"/>
      <c r="N424" s="120"/>
      <c r="O424" s="120"/>
      <c r="P424" s="14"/>
      <c r="Q424" s="14"/>
      <c r="R424" s="14"/>
      <c r="S424" s="14"/>
      <c r="T424" s="18"/>
      <c r="U424" s="18"/>
      <c r="V424" s="97"/>
    </row>
    <row r="425" spans="1:22" ht="18" hidden="1" customHeight="1">
      <c r="A425" s="216"/>
      <c r="B425" s="212"/>
      <c r="C425" s="212"/>
      <c r="D425" s="212"/>
      <c r="E425" s="212"/>
      <c r="F425" s="14"/>
      <c r="G425" s="212"/>
      <c r="H425" s="28"/>
      <c r="I425" s="103"/>
      <c r="J425" s="28"/>
      <c r="K425" s="14"/>
      <c r="L425" s="14"/>
      <c r="M425" s="212"/>
      <c r="N425" s="219"/>
      <c r="O425" s="212"/>
      <c r="P425" s="14"/>
      <c r="Q425" s="14"/>
      <c r="R425" s="14"/>
      <c r="S425" s="14"/>
      <c r="T425" s="18"/>
      <c r="U425" s="18"/>
      <c r="V425" s="97"/>
    </row>
    <row r="426" spans="1:22" s="14" customFormat="1" ht="18" hidden="1" customHeight="1">
      <c r="A426" s="147" t="s">
        <v>629</v>
      </c>
      <c r="B426" s="5"/>
      <c r="C426" s="5"/>
      <c r="D426" s="5"/>
      <c r="E426" s="5"/>
      <c r="F426" s="212"/>
      <c r="G426" s="212"/>
      <c r="H426" s="5"/>
      <c r="I426" s="5"/>
      <c r="J426" s="5"/>
      <c r="K426" s="5"/>
      <c r="L426" s="103"/>
      <c r="M426" s="103"/>
      <c r="N426" s="103"/>
      <c r="O426" s="103"/>
      <c r="P426" s="212"/>
      <c r="Q426" s="213"/>
      <c r="S426" s="220"/>
      <c r="T426" s="18"/>
      <c r="U426" s="18"/>
      <c r="V426" s="97"/>
    </row>
    <row r="427" spans="1:22" s="14" customFormat="1" ht="18" hidden="1" customHeight="1">
      <c r="A427" s="147"/>
      <c r="B427" s="5"/>
      <c r="C427" s="5"/>
      <c r="D427" s="5"/>
      <c r="E427" s="5"/>
      <c r="F427" s="212"/>
      <c r="G427" s="212"/>
      <c r="H427" s="5"/>
      <c r="I427" s="5"/>
      <c r="J427" s="5"/>
      <c r="K427" s="5"/>
      <c r="L427" s="103"/>
      <c r="M427" s="103"/>
      <c r="N427" s="103"/>
      <c r="O427" s="103"/>
      <c r="P427" s="212"/>
      <c r="Q427" s="213"/>
      <c r="S427" s="214"/>
      <c r="T427" s="18"/>
      <c r="U427" s="18"/>
      <c r="V427" s="97"/>
    </row>
    <row r="428" spans="1:22" ht="18" hidden="1" customHeight="1">
      <c r="A428" s="96" t="s">
        <v>612</v>
      </c>
      <c r="B428" s="14"/>
      <c r="C428" s="14"/>
      <c r="D428" s="14"/>
      <c r="E428" s="14"/>
      <c r="M428" s="120" t="s">
        <v>613</v>
      </c>
      <c r="N428" s="28" t="s">
        <v>127</v>
      </c>
      <c r="O428" s="689" t="s">
        <v>609</v>
      </c>
      <c r="P428" s="716"/>
      <c r="Q428" s="221" t="s">
        <v>630</v>
      </c>
      <c r="R428" s="221">
        <v>16</v>
      </c>
      <c r="S428" s="186"/>
      <c r="V428" s="185"/>
    </row>
    <row r="429" spans="1:22" ht="18" hidden="1" customHeight="1">
      <c r="A429" s="96"/>
      <c r="B429" s="5"/>
      <c r="C429" s="5"/>
      <c r="D429" s="5"/>
      <c r="E429" s="5"/>
      <c r="M429" s="250"/>
      <c r="N429" s="28" t="s">
        <v>127</v>
      </c>
      <c r="O429" s="689">
        <f>+J424</f>
        <v>437.38656756789834</v>
      </c>
      <c r="P429" s="716"/>
      <c r="Q429" s="221" t="s">
        <v>630</v>
      </c>
      <c r="R429" s="221">
        <v>16</v>
      </c>
      <c r="S429" s="186"/>
      <c r="V429" s="185"/>
    </row>
    <row r="430" spans="1:22" s="279" customFormat="1" ht="18" hidden="1" customHeight="1">
      <c r="A430" s="96"/>
      <c r="B430" s="5"/>
      <c r="C430" s="5"/>
      <c r="D430" s="5"/>
      <c r="E430" s="5"/>
      <c r="F430" s="30"/>
      <c r="G430" s="30"/>
      <c r="H430" s="30"/>
      <c r="I430" s="30"/>
      <c r="J430" s="30"/>
      <c r="K430" s="30"/>
      <c r="L430" s="30"/>
      <c r="M430" s="120" t="s">
        <v>613</v>
      </c>
      <c r="N430" s="28" t="s">
        <v>127</v>
      </c>
      <c r="O430" s="689">
        <f>O429*R429</f>
        <v>6998.1850810863734</v>
      </c>
      <c r="P430" s="716"/>
      <c r="Q430" s="241" t="s">
        <v>8</v>
      </c>
      <c r="R430" s="14"/>
      <c r="S430" s="186"/>
      <c r="T430" s="30"/>
      <c r="U430" s="30"/>
      <c r="V430" s="185"/>
    </row>
    <row r="431" spans="1:22" s="279" customFormat="1" ht="18" hidden="1" customHeight="1">
      <c r="A431" s="194"/>
      <c r="B431" s="195"/>
      <c r="C431" s="195"/>
      <c r="D431" s="195"/>
      <c r="E431" s="195"/>
      <c r="F431" s="195"/>
      <c r="G431" s="195"/>
      <c r="H431" s="195"/>
      <c r="I431" s="195"/>
      <c r="J431" s="195"/>
      <c r="K431" s="195"/>
      <c r="L431" s="195"/>
      <c r="M431" s="195"/>
      <c r="N431" s="195"/>
      <c r="O431" s="195"/>
      <c r="P431" s="195"/>
      <c r="Q431" s="224"/>
      <c r="R431" s="182"/>
      <c r="S431" s="225"/>
      <c r="T431" s="195"/>
      <c r="U431" s="195"/>
      <c r="V431" s="134" t="s">
        <v>552</v>
      </c>
    </row>
    <row r="432" spans="1:22" ht="18" hidden="1" customHeight="1">
      <c r="A432" s="135"/>
      <c r="B432" s="273"/>
      <c r="C432" s="273"/>
      <c r="D432" s="273"/>
      <c r="E432" s="273"/>
      <c r="F432" s="273"/>
      <c r="G432" s="273"/>
      <c r="H432" s="273"/>
      <c r="I432" s="273"/>
      <c r="J432" s="273"/>
      <c r="K432" s="273"/>
      <c r="L432" s="273"/>
      <c r="M432" s="273"/>
      <c r="N432" s="273"/>
      <c r="O432" s="273"/>
      <c r="P432" s="273"/>
      <c r="Q432" s="274"/>
      <c r="R432" s="138"/>
      <c r="S432" s="275"/>
      <c r="T432" s="273"/>
      <c r="U432" s="273"/>
      <c r="V432" s="276"/>
    </row>
    <row r="433" spans="1:22" ht="18" hidden="1" customHeight="1">
      <c r="A433" s="96" t="s">
        <v>686</v>
      </c>
      <c r="V433" s="185"/>
    </row>
    <row r="434" spans="1:22" ht="18" hidden="1" customHeight="1">
      <c r="A434" s="184"/>
      <c r="V434" s="185"/>
    </row>
    <row r="435" spans="1:22" ht="18" hidden="1" customHeight="1">
      <c r="A435" s="277"/>
      <c r="B435" s="689" t="s">
        <v>473</v>
      </c>
      <c r="C435" s="1150" t="s">
        <v>652</v>
      </c>
      <c r="D435" s="279"/>
      <c r="E435" s="279"/>
      <c r="F435" s="279"/>
      <c r="G435" s="802" t="s">
        <v>687</v>
      </c>
      <c r="H435" s="1153" t="s">
        <v>315</v>
      </c>
      <c r="I435" s="708" t="s">
        <v>688</v>
      </c>
      <c r="J435" s="1147"/>
      <c r="K435" s="1147"/>
      <c r="L435" s="1147"/>
      <c r="M435" s="1147"/>
      <c r="N435" s="689" t="s">
        <v>672</v>
      </c>
      <c r="O435" s="708" t="s">
        <v>420</v>
      </c>
      <c r="P435" s="689" t="s">
        <v>347</v>
      </c>
      <c r="Q435" s="708" t="s">
        <v>689</v>
      </c>
      <c r="R435" s="708" t="s">
        <v>674</v>
      </c>
      <c r="S435" s="708" t="s">
        <v>411</v>
      </c>
      <c r="T435" s="14"/>
      <c r="U435" s="729" t="s">
        <v>653</v>
      </c>
      <c r="V435" s="185"/>
    </row>
    <row r="436" spans="1:22" ht="18" hidden="1" customHeight="1">
      <c r="A436" s="277"/>
      <c r="B436" s="689"/>
      <c r="C436" s="689"/>
      <c r="D436" s="279"/>
      <c r="E436" s="279"/>
      <c r="F436" s="279"/>
      <c r="G436" s="802"/>
      <c r="H436" s="689"/>
      <c r="I436" s="689">
        <v>1.3</v>
      </c>
      <c r="J436" s="689"/>
      <c r="K436" s="28" t="s">
        <v>315</v>
      </c>
      <c r="L436" s="689" t="s">
        <v>423</v>
      </c>
      <c r="M436" s="689"/>
      <c r="N436" s="689"/>
      <c r="O436" s="689"/>
      <c r="P436" s="689"/>
      <c r="Q436" s="689"/>
      <c r="R436" s="689"/>
      <c r="S436" s="689"/>
      <c r="T436" s="14"/>
      <c r="U436" s="689"/>
      <c r="V436" s="185"/>
    </row>
    <row r="437" spans="1:22" ht="18" hidden="1" customHeight="1">
      <c r="A437" s="184"/>
      <c r="V437" s="185"/>
    </row>
    <row r="438" spans="1:22" ht="18" hidden="1" customHeight="1">
      <c r="A438" s="184"/>
      <c r="B438" s="47" t="s">
        <v>654</v>
      </c>
      <c r="C438" s="14"/>
      <c r="D438" s="14"/>
      <c r="E438" s="14"/>
      <c r="F438" s="18"/>
      <c r="G438" s="18"/>
      <c r="H438" s="14"/>
      <c r="I438" s="120"/>
      <c r="J438" s="14"/>
      <c r="K438" s="14"/>
      <c r="M438" s="14"/>
      <c r="N438" s="14"/>
      <c r="P438" s="14" t="s">
        <v>423</v>
      </c>
      <c r="R438" s="234" t="s">
        <v>127</v>
      </c>
      <c r="S438" s="684">
        <f>H397</f>
        <v>5000</v>
      </c>
      <c r="T438" s="684"/>
      <c r="U438" s="30" t="s">
        <v>8</v>
      </c>
      <c r="V438" s="185"/>
    </row>
    <row r="439" spans="1:22" ht="18" hidden="1" customHeight="1">
      <c r="A439" s="184"/>
      <c r="B439" s="47" t="s">
        <v>655</v>
      </c>
      <c r="C439" s="14"/>
      <c r="D439" s="14"/>
      <c r="E439" s="14"/>
      <c r="F439" s="18"/>
      <c r="G439" s="18"/>
      <c r="H439" s="14"/>
      <c r="I439" s="120"/>
      <c r="J439" s="14"/>
      <c r="K439" s="14"/>
      <c r="M439" s="14"/>
      <c r="N439" s="14"/>
      <c r="P439" s="14" t="s">
        <v>420</v>
      </c>
      <c r="R439" s="234" t="s">
        <v>127</v>
      </c>
      <c r="S439" s="684">
        <f>H399</f>
        <v>20</v>
      </c>
      <c r="T439" s="684"/>
      <c r="U439" s="192" t="s">
        <v>333</v>
      </c>
      <c r="V439" s="185"/>
    </row>
    <row r="440" spans="1:22" ht="18" hidden="1" customHeight="1">
      <c r="A440" s="184"/>
      <c r="B440" s="47" t="s">
        <v>676</v>
      </c>
      <c r="C440" s="14"/>
      <c r="D440" s="14"/>
      <c r="E440" s="14"/>
      <c r="F440" s="18"/>
      <c r="G440" s="18"/>
      <c r="H440" s="14"/>
      <c r="I440" s="120"/>
      <c r="J440" s="14"/>
      <c r="K440" s="14"/>
      <c r="M440" s="14"/>
      <c r="N440" s="14"/>
      <c r="P440" s="14" t="s">
        <v>690</v>
      </c>
      <c r="R440" s="234" t="s">
        <v>127</v>
      </c>
      <c r="S440" s="795">
        <f>Q416</f>
        <v>1.2667743100000002</v>
      </c>
      <c r="T440" s="795"/>
      <c r="U440" s="192" t="s">
        <v>333</v>
      </c>
      <c r="V440" s="185"/>
    </row>
    <row r="441" spans="1:22" ht="18" hidden="1" customHeight="1">
      <c r="A441" s="184"/>
      <c r="B441" s="47" t="s">
        <v>691</v>
      </c>
      <c r="C441" s="14"/>
      <c r="D441" s="14"/>
      <c r="E441" s="14"/>
      <c r="F441" s="14"/>
      <c r="G441" s="14"/>
      <c r="H441" s="14"/>
      <c r="I441" s="120"/>
      <c r="J441" s="14"/>
      <c r="K441" s="14"/>
      <c r="M441" s="14"/>
      <c r="N441" s="14"/>
      <c r="P441" s="14" t="s">
        <v>411</v>
      </c>
      <c r="R441" s="234" t="s">
        <v>127</v>
      </c>
      <c r="S441" s="684">
        <f>O397</f>
        <v>1</v>
      </c>
      <c r="T441" s="684"/>
      <c r="U441" s="30" t="s">
        <v>8</v>
      </c>
      <c r="V441" s="185"/>
    </row>
    <row r="442" spans="1:22" ht="18" hidden="1" customHeight="1">
      <c r="A442" s="184"/>
      <c r="B442" s="47" t="s">
        <v>678</v>
      </c>
      <c r="C442" s="14"/>
      <c r="D442" s="14"/>
      <c r="E442" s="14"/>
      <c r="F442" s="14"/>
      <c r="G442" s="14"/>
      <c r="H442" s="14"/>
      <c r="I442" s="120"/>
      <c r="J442" s="14"/>
      <c r="K442" s="14"/>
      <c r="M442" s="14"/>
      <c r="N442" s="14"/>
      <c r="P442" s="120" t="s">
        <v>688</v>
      </c>
      <c r="R442" s="234" t="s">
        <v>127</v>
      </c>
      <c r="S442" s="684">
        <f>O430</f>
        <v>6998.1850810863734</v>
      </c>
      <c r="T442" s="684"/>
      <c r="U442" s="30" t="s">
        <v>8</v>
      </c>
      <c r="V442" s="185"/>
    </row>
    <row r="443" spans="1:22" s="279" customFormat="1" ht="18" hidden="1" customHeight="1">
      <c r="A443" s="184"/>
      <c r="B443" s="47" t="s">
        <v>692</v>
      </c>
      <c r="C443" s="14"/>
      <c r="D443" s="14"/>
      <c r="E443" s="14"/>
      <c r="F443" s="14"/>
      <c r="G443" s="14"/>
      <c r="H443" s="14"/>
      <c r="I443" s="120"/>
      <c r="J443" s="14"/>
      <c r="K443" s="14"/>
      <c r="L443" s="30"/>
      <c r="M443" s="14"/>
      <c r="N443" s="14"/>
      <c r="O443" s="30"/>
      <c r="P443" s="120" t="s">
        <v>680</v>
      </c>
      <c r="Q443" s="30"/>
      <c r="R443" s="234" t="s">
        <v>127</v>
      </c>
      <c r="S443" s="795">
        <f>J424</f>
        <v>437.38656756789834</v>
      </c>
      <c r="T443" s="684"/>
      <c r="U443" s="30" t="s">
        <v>8</v>
      </c>
      <c r="V443" s="185"/>
    </row>
    <row r="444" spans="1:22" s="279" customFormat="1" ht="18" hidden="1" customHeight="1">
      <c r="A444" s="184"/>
      <c r="B444" s="47" t="s">
        <v>659</v>
      </c>
      <c r="C444" s="14"/>
      <c r="D444" s="14"/>
      <c r="E444" s="14"/>
      <c r="F444" s="14"/>
      <c r="G444" s="14"/>
      <c r="H444" s="14"/>
      <c r="I444" s="120"/>
      <c r="J444" s="14"/>
      <c r="K444" s="14"/>
      <c r="L444" s="30"/>
      <c r="M444" s="14"/>
      <c r="N444" s="14"/>
      <c r="O444" s="30"/>
      <c r="P444" s="120" t="s">
        <v>660</v>
      </c>
      <c r="Q444" s="30"/>
      <c r="R444" s="234" t="s">
        <v>127</v>
      </c>
      <c r="S444" s="684">
        <f>S242</f>
        <v>1</v>
      </c>
      <c r="T444" s="684"/>
      <c r="U444" s="30" t="s">
        <v>8</v>
      </c>
      <c r="V444" s="185"/>
    </row>
    <row r="445" spans="1:22" ht="18" hidden="1" customHeight="1">
      <c r="A445" s="96"/>
      <c r="B445" s="14"/>
      <c r="C445" s="14"/>
      <c r="D445" s="235"/>
      <c r="E445" s="14"/>
      <c r="F445" s="28"/>
      <c r="G445" s="249"/>
      <c r="H445" s="28"/>
      <c r="I445" s="251"/>
      <c r="J445" s="14"/>
      <c r="K445" s="280"/>
      <c r="M445" s="47"/>
      <c r="N445" s="268"/>
      <c r="P445" s="281"/>
      <c r="R445" s="234"/>
      <c r="S445" s="1148"/>
      <c r="T445" s="723"/>
      <c r="V445" s="185"/>
    </row>
    <row r="446" spans="1:22" ht="18" hidden="1" customHeight="1">
      <c r="A446" s="272" t="s">
        <v>693</v>
      </c>
      <c r="B446" s="14"/>
      <c r="C446" s="14"/>
      <c r="D446" s="14"/>
      <c r="E446" s="14"/>
      <c r="F446" s="14"/>
      <c r="G446" s="14"/>
      <c r="H446" s="28">
        <v>3</v>
      </c>
      <c r="I446" s="47" t="s">
        <v>694</v>
      </c>
      <c r="J446" s="14"/>
      <c r="K446" s="14"/>
      <c r="M446" s="14" t="s">
        <v>337</v>
      </c>
      <c r="N446" s="14"/>
      <c r="P446" s="120"/>
      <c r="R446" s="234"/>
      <c r="S446" s="1149"/>
      <c r="T446" s="723"/>
      <c r="V446" s="185"/>
    </row>
    <row r="447" spans="1:22" ht="18" hidden="1" customHeight="1">
      <c r="A447" s="272"/>
      <c r="B447" s="14"/>
      <c r="C447" s="14"/>
      <c r="D447" s="14"/>
      <c r="E447" s="14"/>
      <c r="F447" s="14"/>
      <c r="G447" s="14"/>
      <c r="H447" s="28"/>
      <c r="I447" s="47"/>
      <c r="J447" s="14"/>
      <c r="K447" s="14"/>
      <c r="M447" s="14"/>
      <c r="N447" s="14"/>
      <c r="P447" s="120"/>
      <c r="R447" s="234"/>
      <c r="S447" s="282"/>
      <c r="V447" s="185"/>
    </row>
    <row r="448" spans="1:22" ht="18" hidden="1" customHeight="1">
      <c r="A448" s="277"/>
      <c r="B448" s="689" t="s">
        <v>703</v>
      </c>
      <c r="C448" s="1150" t="s">
        <v>652</v>
      </c>
      <c r="D448" s="279"/>
      <c r="E448" s="279"/>
      <c r="F448" s="279"/>
      <c r="G448" s="802">
        <f>H446</f>
        <v>3</v>
      </c>
      <c r="H448" s="1151" t="s">
        <v>315</v>
      </c>
      <c r="I448" s="829">
        <f>S442</f>
        <v>6998.1850810863734</v>
      </c>
      <c r="J448" s="1152"/>
      <c r="K448" s="1152"/>
      <c r="L448" s="1152"/>
      <c r="M448" s="1152"/>
      <c r="N448" s="689" t="s">
        <v>672</v>
      </c>
      <c r="O448" s="708">
        <f>S439</f>
        <v>20</v>
      </c>
      <c r="P448" s="689" t="s">
        <v>347</v>
      </c>
      <c r="Q448" s="829">
        <f>S440</f>
        <v>1.2667743100000002</v>
      </c>
      <c r="R448" s="708" t="s">
        <v>674</v>
      </c>
      <c r="S448" s="708">
        <f>S441</f>
        <v>1</v>
      </c>
      <c r="T448" s="14"/>
      <c r="U448" s="729" t="s">
        <v>653</v>
      </c>
      <c r="V448" s="185"/>
    </row>
    <row r="449" spans="1:22" ht="18" hidden="1" customHeight="1">
      <c r="A449" s="277"/>
      <c r="B449" s="689"/>
      <c r="C449" s="689"/>
      <c r="D449" s="279"/>
      <c r="E449" s="279"/>
      <c r="F449" s="279"/>
      <c r="G449" s="802"/>
      <c r="H449" s="684"/>
      <c r="I449" s="689">
        <v>1.3</v>
      </c>
      <c r="J449" s="684"/>
      <c r="K449" s="28" t="s">
        <v>315</v>
      </c>
      <c r="L449" s="689">
        <f>S438</f>
        <v>5000</v>
      </c>
      <c r="M449" s="684"/>
      <c r="N449" s="689"/>
      <c r="O449" s="689"/>
      <c r="P449" s="689"/>
      <c r="Q449" s="689"/>
      <c r="R449" s="689"/>
      <c r="S449" s="689"/>
      <c r="T449" s="14"/>
      <c r="U449" s="689"/>
      <c r="V449" s="185"/>
    </row>
    <row r="450" spans="1:22" ht="18" hidden="1" customHeight="1">
      <c r="A450" s="96"/>
      <c r="B450" s="14"/>
      <c r="C450" s="27" t="s">
        <v>127</v>
      </c>
      <c r="D450" s="812">
        <f>G448*(I448/(I449*L449)*(O448+Q448)*S448)</f>
        <v>68.690225861110591</v>
      </c>
      <c r="E450" s="813"/>
      <c r="F450" s="30" t="s">
        <v>305</v>
      </c>
      <c r="G450" s="14"/>
      <c r="H450" s="14"/>
      <c r="I450" s="14"/>
      <c r="J450" s="14"/>
      <c r="K450" s="14"/>
      <c r="L450" s="14"/>
      <c r="M450" s="14"/>
      <c r="N450" s="14"/>
      <c r="R450" s="234"/>
      <c r="S450" s="204"/>
      <c r="V450" s="185"/>
    </row>
    <row r="451" spans="1:22" ht="18" hidden="1" customHeight="1">
      <c r="A451" s="96"/>
      <c r="B451" s="14"/>
      <c r="G451" s="14"/>
      <c r="H451" s="14"/>
      <c r="I451" s="14"/>
      <c r="J451" s="14"/>
      <c r="K451" s="14"/>
      <c r="L451" s="14"/>
      <c r="M451" s="14"/>
      <c r="N451" s="14"/>
      <c r="R451" s="234"/>
      <c r="S451" s="204"/>
      <c r="V451" s="185"/>
    </row>
    <row r="452" spans="1:22" ht="18" hidden="1" customHeight="1">
      <c r="A452" s="96"/>
      <c r="B452" s="14"/>
      <c r="D452" s="30" t="s">
        <v>475</v>
      </c>
      <c r="G452" s="27" t="str">
        <f>IF(E453&gt;H453,"&gt;","&lt;")</f>
        <v>&gt;</v>
      </c>
      <c r="H452" s="30" t="s">
        <v>477</v>
      </c>
      <c r="M452" s="14"/>
      <c r="N452" s="14"/>
      <c r="R452" s="234"/>
      <c r="S452" s="204"/>
      <c r="V452" s="185"/>
    </row>
    <row r="453" spans="1:22" ht="18" hidden="1" customHeight="1">
      <c r="A453" s="96"/>
      <c r="B453" s="14"/>
      <c r="E453" s="684">
        <f>H400</f>
        <v>1000</v>
      </c>
      <c r="F453" s="684"/>
      <c r="G453" s="27" t="str">
        <f>G452</f>
        <v>&gt;</v>
      </c>
      <c r="H453" s="795">
        <f>D450</f>
        <v>68.690225861110591</v>
      </c>
      <c r="I453" s="684"/>
      <c r="M453" s="14"/>
      <c r="N453" s="14"/>
      <c r="R453" s="234"/>
      <c r="S453" s="204"/>
      <c r="V453" s="185"/>
    </row>
    <row r="454" spans="1:22" ht="18" hidden="1" customHeight="1">
      <c r="A454" s="96"/>
      <c r="B454" s="14"/>
      <c r="F454" s="244" t="s">
        <v>478</v>
      </c>
      <c r="H454" s="18" t="str">
        <f>IF(G452="&gt;","Suitably Dimentioned","Under Dimentioned")</f>
        <v>Suitably Dimentioned</v>
      </c>
      <c r="M454" s="14"/>
      <c r="N454" s="14"/>
      <c r="R454" s="234"/>
      <c r="S454" s="204"/>
      <c r="V454" s="185"/>
    </row>
    <row r="455" spans="1:22" ht="18" hidden="1" customHeight="1">
      <c r="A455" s="96"/>
      <c r="B455" s="14"/>
      <c r="G455" s="14"/>
      <c r="H455" s="14"/>
      <c r="I455" s="14"/>
      <c r="J455" s="14"/>
      <c r="K455" s="14"/>
      <c r="L455" s="14"/>
      <c r="M455" s="14"/>
      <c r="N455" s="14"/>
      <c r="R455" s="234"/>
      <c r="S455" s="204"/>
      <c r="V455" s="185"/>
    </row>
    <row r="456" spans="1:22" ht="18" hidden="1" customHeight="1">
      <c r="A456" s="193" t="s">
        <v>695</v>
      </c>
      <c r="B456" s="14"/>
      <c r="G456" s="14"/>
      <c r="H456" s="14"/>
      <c r="I456" s="14"/>
      <c r="J456" s="14"/>
      <c r="K456" s="14"/>
      <c r="L456" s="14"/>
      <c r="M456" s="14"/>
      <c r="N456" s="14"/>
      <c r="R456" s="234"/>
      <c r="S456" s="204"/>
      <c r="V456" s="185"/>
    </row>
    <row r="457" spans="1:22" ht="18" hidden="1" customHeight="1">
      <c r="A457" s="96"/>
      <c r="B457" s="14"/>
      <c r="D457" s="802" t="s">
        <v>696</v>
      </c>
      <c r="E457" s="716"/>
      <c r="F457" s="689" t="s">
        <v>127</v>
      </c>
      <c r="G457" s="708" t="s">
        <v>423</v>
      </c>
      <c r="H457" s="1147"/>
      <c r="I457" s="689" t="s">
        <v>315</v>
      </c>
      <c r="J457" s="708" t="s">
        <v>697</v>
      </c>
      <c r="K457" s="1147"/>
      <c r="L457" s="14"/>
      <c r="M457" s="14"/>
      <c r="N457" s="14"/>
      <c r="R457" s="234"/>
      <c r="S457" s="204"/>
      <c r="V457" s="185"/>
    </row>
    <row r="458" spans="1:22" ht="18" hidden="1" customHeight="1">
      <c r="A458" s="96"/>
      <c r="B458" s="14"/>
      <c r="D458" s="716"/>
      <c r="E458" s="716"/>
      <c r="F458" s="689"/>
      <c r="G458" s="689" t="s">
        <v>680</v>
      </c>
      <c r="H458" s="716"/>
      <c r="I458" s="689"/>
      <c r="J458" s="689" t="s">
        <v>411</v>
      </c>
      <c r="K458" s="716"/>
      <c r="L458" s="14"/>
      <c r="M458" s="14"/>
      <c r="N458" s="14"/>
      <c r="R458" s="234"/>
      <c r="S458" s="204"/>
      <c r="V458" s="185"/>
    </row>
    <row r="459" spans="1:22" ht="18" hidden="1" customHeight="1">
      <c r="A459" s="96"/>
      <c r="B459" s="14"/>
      <c r="D459" s="14"/>
      <c r="E459" s="14"/>
      <c r="F459" s="14"/>
      <c r="G459" s="14"/>
      <c r="H459" s="14"/>
      <c r="I459" s="14"/>
      <c r="J459" s="14"/>
      <c r="K459" s="14"/>
      <c r="L459" s="14"/>
      <c r="M459" s="14"/>
      <c r="N459" s="14"/>
      <c r="R459" s="234"/>
      <c r="S459" s="204"/>
      <c r="V459" s="185"/>
    </row>
    <row r="460" spans="1:22" ht="18" hidden="1" customHeight="1">
      <c r="A460" s="96"/>
      <c r="B460" s="14"/>
      <c r="D460" s="14"/>
      <c r="E460" s="14"/>
      <c r="F460" s="689" t="s">
        <v>127</v>
      </c>
      <c r="G460" s="708">
        <f>S438</f>
        <v>5000</v>
      </c>
      <c r="H460" s="1147"/>
      <c r="I460" s="689" t="s">
        <v>315</v>
      </c>
      <c r="J460" s="708">
        <f>S444</f>
        <v>1</v>
      </c>
      <c r="K460" s="1147"/>
      <c r="L460" s="14"/>
      <c r="M460" s="14"/>
      <c r="N460" s="14"/>
      <c r="R460" s="234"/>
      <c r="S460" s="204"/>
      <c r="V460" s="185"/>
    </row>
    <row r="461" spans="1:22" ht="18" hidden="1" customHeight="1">
      <c r="A461" s="96"/>
      <c r="B461" s="14"/>
      <c r="D461" s="14"/>
      <c r="E461" s="14"/>
      <c r="F461" s="689"/>
      <c r="G461" s="692">
        <f>J424</f>
        <v>437.38656756789834</v>
      </c>
      <c r="H461" s="716"/>
      <c r="I461" s="689"/>
      <c r="J461" s="689">
        <f>S441</f>
        <v>1</v>
      </c>
      <c r="K461" s="716"/>
      <c r="L461" s="14"/>
      <c r="M461" s="14"/>
      <c r="N461" s="14"/>
      <c r="R461" s="234"/>
      <c r="S461" s="204"/>
      <c r="V461" s="185"/>
    </row>
    <row r="462" spans="1:22" ht="18" hidden="1" customHeight="1">
      <c r="A462" s="96"/>
      <c r="B462" s="14"/>
      <c r="D462" s="14"/>
      <c r="E462" s="14"/>
      <c r="F462" s="14"/>
      <c r="G462" s="14"/>
      <c r="H462" s="14"/>
      <c r="I462" s="14"/>
      <c r="J462" s="14"/>
      <c r="K462" s="14"/>
      <c r="L462" s="14"/>
      <c r="M462" s="14"/>
      <c r="N462" s="14"/>
      <c r="R462" s="234"/>
      <c r="S462" s="204"/>
      <c r="V462" s="185"/>
    </row>
    <row r="463" spans="1:22" ht="18" hidden="1" customHeight="1">
      <c r="A463" s="96"/>
      <c r="B463" s="14"/>
      <c r="D463" s="14"/>
      <c r="E463" s="14"/>
      <c r="F463" s="28" t="s">
        <v>127</v>
      </c>
      <c r="G463" s="716">
        <f>(G460/G461)*(J460/J461)</f>
        <v>11.43153532995459</v>
      </c>
      <c r="H463" s="716"/>
      <c r="I463" s="14"/>
      <c r="J463" s="14"/>
      <c r="K463" s="14"/>
      <c r="L463" s="14"/>
      <c r="M463" s="14"/>
      <c r="N463" s="14"/>
      <c r="R463" s="234"/>
      <c r="S463" s="204"/>
      <c r="V463" s="185"/>
    </row>
    <row r="464" spans="1:22" ht="18" hidden="1" customHeight="1">
      <c r="A464" s="96"/>
      <c r="B464" s="14"/>
      <c r="G464" s="14"/>
      <c r="H464" s="14"/>
      <c r="I464" s="14"/>
      <c r="J464" s="14"/>
      <c r="K464" s="14"/>
      <c r="L464" s="14"/>
      <c r="M464" s="14"/>
      <c r="N464" s="14"/>
      <c r="R464" s="234"/>
      <c r="S464" s="204"/>
      <c r="V464" s="185"/>
    </row>
    <row r="465" spans="1:22" s="14" customFormat="1" ht="18" hidden="1" customHeight="1">
      <c r="A465" s="96"/>
      <c r="C465" s="30"/>
      <c r="D465" s="283" t="s">
        <v>698</v>
      </c>
      <c r="E465" s="284" t="s">
        <v>699</v>
      </c>
      <c r="F465" s="689" t="s">
        <v>696</v>
      </c>
      <c r="G465" s="716"/>
      <c r="H465" s="716"/>
      <c r="I465" s="284" t="s">
        <v>699</v>
      </c>
      <c r="J465" s="28">
        <v>4</v>
      </c>
      <c r="K465" s="30"/>
      <c r="L465" s="279"/>
      <c r="M465" s="120" t="s">
        <v>700</v>
      </c>
      <c r="N465" s="47" t="s">
        <v>701</v>
      </c>
      <c r="O465" s="279"/>
      <c r="P465" s="236"/>
      <c r="Q465" s="236"/>
      <c r="R465" s="234"/>
      <c r="S465" s="204"/>
      <c r="T465" s="30"/>
      <c r="U465" s="30"/>
      <c r="V465" s="185"/>
    </row>
    <row r="466" spans="1:22" ht="18" hidden="1" customHeight="1">
      <c r="A466" s="96"/>
      <c r="B466" s="14"/>
      <c r="D466" s="218">
        <v>0.25</v>
      </c>
      <c r="E466" s="284" t="str">
        <f>IF(D466&lt;=G463,"≤","&gt;")</f>
        <v>≤</v>
      </c>
      <c r="F466" s="688">
        <f>G463</f>
        <v>11.43153532995459</v>
      </c>
      <c r="G466" s="1145"/>
      <c r="H466" s="688"/>
      <c r="I466" s="284" t="str">
        <f>IF(G463&lt;=J465,"≤","&gt;")</f>
        <v>&gt;</v>
      </c>
      <c r="J466" s="28">
        <f>J465</f>
        <v>4</v>
      </c>
      <c r="L466" s="279"/>
      <c r="M466" s="120"/>
      <c r="N466" s="213"/>
      <c r="O466" s="279"/>
      <c r="P466" s="236"/>
      <c r="Q466" s="236"/>
      <c r="R466" s="234"/>
      <c r="S466" s="204"/>
      <c r="V466" s="185"/>
    </row>
    <row r="467" spans="1:22" ht="18" hidden="1" customHeight="1">
      <c r="A467" s="96"/>
      <c r="B467" s="14"/>
      <c r="G467" s="14"/>
      <c r="H467" s="14"/>
      <c r="I467" s="14"/>
      <c r="J467" s="14"/>
      <c r="K467" s="14"/>
      <c r="L467" s="14"/>
      <c r="M467" s="14"/>
      <c r="N467" s="14"/>
      <c r="R467" s="234"/>
      <c r="S467" s="204"/>
      <c r="V467" s="185"/>
    </row>
    <row r="468" spans="1:22" ht="18" hidden="1" customHeight="1">
      <c r="A468" s="96"/>
      <c r="B468" s="14" t="s">
        <v>702</v>
      </c>
      <c r="G468" s="14"/>
      <c r="H468" s="18" t="str">
        <f>IF(AND(E466="≤",I466="≤")=TRUE,"OK","Not OK")</f>
        <v>Not OK</v>
      </c>
      <c r="I468" s="14"/>
      <c r="J468" s="14"/>
      <c r="K468" s="14"/>
      <c r="L468" s="14"/>
      <c r="M468" s="14"/>
      <c r="N468" s="14"/>
      <c r="R468" s="234"/>
      <c r="S468" s="204"/>
      <c r="V468" s="185"/>
    </row>
    <row r="469" spans="1:22" ht="18" hidden="1" customHeight="1">
      <c r="A469" s="96"/>
      <c r="B469" s="14"/>
      <c r="G469" s="14"/>
      <c r="H469" s="18"/>
      <c r="I469" s="14"/>
      <c r="J469" s="14"/>
      <c r="K469" s="14"/>
      <c r="L469" s="14"/>
      <c r="M469" s="14"/>
      <c r="N469" s="14"/>
      <c r="R469" s="234"/>
      <c r="S469" s="204"/>
      <c r="V469" s="185"/>
    </row>
    <row r="470" spans="1:22" ht="18" hidden="1" customHeight="1">
      <c r="A470" s="96"/>
      <c r="B470" s="14"/>
      <c r="G470" s="14"/>
      <c r="H470" s="18"/>
      <c r="I470" s="14"/>
      <c r="J470" s="14"/>
      <c r="K470" s="14"/>
      <c r="L470" s="14"/>
      <c r="M470" s="14"/>
      <c r="N470" s="14"/>
      <c r="R470" s="234"/>
      <c r="S470" s="204"/>
      <c r="V470" s="185"/>
    </row>
    <row r="471" spans="1:22" ht="18" hidden="1" customHeight="1">
      <c r="A471" s="96"/>
      <c r="B471" s="14"/>
      <c r="G471" s="14"/>
      <c r="H471" s="18"/>
      <c r="I471" s="14"/>
      <c r="J471" s="14"/>
      <c r="K471" s="14"/>
      <c r="L471" s="14"/>
      <c r="M471" s="14"/>
      <c r="N471" s="14"/>
      <c r="R471" s="234"/>
      <c r="S471" s="204"/>
      <c r="V471" s="185"/>
    </row>
    <row r="472" spans="1:22" ht="18" hidden="1" customHeight="1">
      <c r="A472" s="96"/>
      <c r="B472" s="14"/>
      <c r="G472" s="14"/>
      <c r="H472" s="18"/>
      <c r="I472" s="14"/>
      <c r="J472" s="14"/>
      <c r="K472" s="14"/>
      <c r="L472" s="14"/>
      <c r="M472" s="14"/>
      <c r="N472" s="14"/>
      <c r="R472" s="234"/>
      <c r="S472" s="204"/>
      <c r="V472" s="185"/>
    </row>
    <row r="473" spans="1:22" ht="18" hidden="1" customHeight="1">
      <c r="A473" s="96"/>
      <c r="B473" s="14"/>
      <c r="G473" s="14"/>
      <c r="H473" s="18"/>
      <c r="I473" s="14"/>
      <c r="J473" s="14"/>
      <c r="K473" s="14"/>
      <c r="L473" s="14"/>
      <c r="M473" s="14"/>
      <c r="N473" s="14"/>
      <c r="R473" s="234"/>
      <c r="S473" s="204"/>
      <c r="V473" s="185"/>
    </row>
    <row r="474" spans="1:22" ht="18" hidden="1" customHeight="1">
      <c r="A474" s="96"/>
      <c r="B474" s="14"/>
      <c r="G474" s="14"/>
      <c r="H474" s="14"/>
      <c r="I474" s="14"/>
      <c r="J474" s="14"/>
      <c r="K474" s="14"/>
      <c r="L474" s="14"/>
      <c r="M474" s="14"/>
      <c r="N474" s="14"/>
      <c r="R474" s="234"/>
      <c r="S474" s="204"/>
      <c r="V474" s="185"/>
    </row>
    <row r="475" spans="1:22" ht="18" hidden="1" customHeight="1">
      <c r="A475" s="194"/>
      <c r="B475" s="195"/>
      <c r="C475" s="195"/>
      <c r="D475" s="195"/>
      <c r="E475" s="195"/>
      <c r="F475" s="195"/>
      <c r="G475" s="195"/>
      <c r="H475" s="195"/>
      <c r="I475" s="195"/>
      <c r="J475" s="195"/>
      <c r="K475" s="195"/>
      <c r="L475" s="195"/>
      <c r="M475" s="195"/>
      <c r="N475" s="195"/>
      <c r="O475" s="195"/>
      <c r="P475" s="195"/>
      <c r="Q475" s="224"/>
      <c r="R475" s="182"/>
      <c r="S475" s="225"/>
      <c r="T475" s="195"/>
      <c r="U475" s="195"/>
      <c r="V475" s="134" t="s">
        <v>552</v>
      </c>
    </row>
    <row r="476" spans="1:22" ht="18" hidden="1" customHeight="1">
      <c r="A476" s="226"/>
      <c r="B476" s="227"/>
      <c r="C476" s="227"/>
      <c r="D476" s="227"/>
      <c r="E476" s="227"/>
      <c r="F476" s="227"/>
      <c r="G476" s="227"/>
      <c r="H476" s="227"/>
      <c r="I476" s="227"/>
      <c r="J476" s="227"/>
      <c r="K476" s="227"/>
      <c r="L476" s="227"/>
      <c r="M476" s="227"/>
      <c r="N476" s="227"/>
      <c r="O476" s="227"/>
      <c r="P476" s="227"/>
      <c r="Q476" s="227"/>
      <c r="R476" s="227"/>
      <c r="S476" s="227"/>
      <c r="T476" s="227"/>
      <c r="U476" s="227"/>
      <c r="V476" s="228"/>
    </row>
    <row r="477" spans="1:22" ht="18" hidden="1" customHeight="1">
      <c r="A477" s="184"/>
      <c r="B477" s="854" t="str">
        <f>B394</f>
        <v>CT1L1</v>
      </c>
      <c r="C477" s="831"/>
      <c r="D477" s="855" t="str">
        <f>D394</f>
        <v>Core3</v>
      </c>
      <c r="E477" s="856"/>
      <c r="F477" s="186" t="s">
        <v>636</v>
      </c>
      <c r="H477" s="684" t="str">
        <f>H394</f>
        <v>(Transformer Differential)</v>
      </c>
      <c r="I477" s="684"/>
      <c r="J477" s="684"/>
      <c r="K477" s="684"/>
      <c r="L477" s="684"/>
      <c r="M477" s="684"/>
      <c r="P477" s="186"/>
      <c r="S477" s="187" t="s">
        <v>387</v>
      </c>
      <c r="T477" s="1154" t="str">
        <f>T394</f>
        <v>7UT85</v>
      </c>
      <c r="U477" s="1155"/>
      <c r="V477" s="185"/>
    </row>
    <row r="478" spans="1:22" ht="18" hidden="1" customHeight="1">
      <c r="A478" s="184"/>
      <c r="B478" s="853" t="str">
        <f>B395</f>
        <v>CT1L2</v>
      </c>
      <c r="C478" s="853"/>
      <c r="D478" s="857"/>
      <c r="E478" s="858"/>
      <c r="F478" s="255"/>
      <c r="T478" s="1154">
        <f>T395</f>
        <v>0</v>
      </c>
      <c r="U478" s="1155"/>
      <c r="V478" s="185"/>
    </row>
    <row r="479" spans="1:22" ht="18" hidden="1" customHeight="1">
      <c r="A479" s="184"/>
      <c r="H479" s="708" t="s">
        <v>390</v>
      </c>
      <c r="I479" s="708"/>
      <c r="J479" s="789" t="s">
        <v>391</v>
      </c>
      <c r="K479" s="789"/>
      <c r="L479" s="708" t="s">
        <v>392</v>
      </c>
      <c r="M479" s="708"/>
      <c r="T479" s="1154">
        <f>T396</f>
        <v>0</v>
      </c>
      <c r="U479" s="1155"/>
      <c r="V479" s="185"/>
    </row>
    <row r="480" spans="1:22" ht="18" hidden="1" customHeight="1">
      <c r="A480" s="184"/>
      <c r="B480" s="47" t="s">
        <v>393</v>
      </c>
      <c r="H480" s="854">
        <f>H397</f>
        <v>5000</v>
      </c>
      <c r="I480" s="831"/>
      <c r="J480" s="863">
        <f>J397</f>
        <v>4000</v>
      </c>
      <c r="K480" s="864"/>
      <c r="L480" s="854">
        <f>L397</f>
        <v>3000</v>
      </c>
      <c r="M480" s="831"/>
      <c r="N480" s="102" t="s">
        <v>342</v>
      </c>
      <c r="O480" s="256">
        <f>O397</f>
        <v>1</v>
      </c>
      <c r="P480" s="27" t="s">
        <v>8</v>
      </c>
      <c r="V480" s="185"/>
    </row>
    <row r="481" spans="1:29" ht="18" hidden="1" customHeight="1">
      <c r="A481" s="184"/>
      <c r="B481" s="47" t="s">
        <v>394</v>
      </c>
      <c r="H481" s="14"/>
      <c r="I481" s="14"/>
      <c r="J481" s="854" t="str">
        <f>H398</f>
        <v>PX</v>
      </c>
      <c r="K481" s="776"/>
      <c r="L481" s="14"/>
      <c r="M481" s="14"/>
      <c r="V481" s="185"/>
    </row>
    <row r="482" spans="1:29" ht="18" hidden="1" customHeight="1">
      <c r="A482" s="184"/>
      <c r="B482" s="47" t="s">
        <v>396</v>
      </c>
      <c r="I482" s="120" t="s">
        <v>497</v>
      </c>
      <c r="J482" s="781">
        <v>15</v>
      </c>
      <c r="K482" s="782"/>
      <c r="L482" s="192" t="s">
        <v>333</v>
      </c>
      <c r="V482" s="185"/>
    </row>
    <row r="483" spans="1:29" ht="18" hidden="1" customHeight="1">
      <c r="A483" s="184"/>
      <c r="B483" s="47" t="s">
        <v>398</v>
      </c>
      <c r="I483" s="120" t="s">
        <v>498</v>
      </c>
      <c r="J483" s="781">
        <v>800</v>
      </c>
      <c r="K483" s="782"/>
      <c r="L483" s="14" t="s">
        <v>305</v>
      </c>
      <c r="V483" s="185"/>
      <c r="W483" s="30" t="s">
        <v>400</v>
      </c>
      <c r="AB483" s="785">
        <f>D538</f>
        <v>65.675709977100624</v>
      </c>
      <c r="AC483" s="786"/>
    </row>
    <row r="484" spans="1:29" ht="18" hidden="1" customHeight="1">
      <c r="A484" s="184"/>
      <c r="B484" s="14" t="s">
        <v>401</v>
      </c>
      <c r="I484" s="120" t="s">
        <v>402</v>
      </c>
      <c r="J484" s="781">
        <v>40</v>
      </c>
      <c r="K484" s="782"/>
      <c r="L484" s="30" t="s">
        <v>403</v>
      </c>
      <c r="V484" s="185"/>
    </row>
    <row r="485" spans="1:29" ht="18" hidden="1" customHeight="1">
      <c r="A485" s="96"/>
      <c r="V485" s="185"/>
    </row>
    <row r="486" spans="1:29" ht="18" hidden="1" customHeight="1">
      <c r="A486" s="193" t="s">
        <v>404</v>
      </c>
      <c r="V486" s="185"/>
    </row>
    <row r="487" spans="1:29" ht="18" hidden="1" customHeight="1">
      <c r="A487" s="184"/>
      <c r="V487" s="185"/>
    </row>
    <row r="488" spans="1:29" ht="18" hidden="1" customHeight="1">
      <c r="A488" s="184"/>
      <c r="B488" s="194" t="s">
        <v>405</v>
      </c>
      <c r="C488" s="195"/>
      <c r="D488" s="195" t="str">
        <f>T477</f>
        <v>7UT85</v>
      </c>
      <c r="E488" s="196"/>
      <c r="F488" s="196"/>
      <c r="G488" s="196"/>
      <c r="H488" s="182" t="s">
        <v>406</v>
      </c>
      <c r="I488" s="183" t="s">
        <v>127</v>
      </c>
      <c r="J488" s="766">
        <f>J405</f>
        <v>0.1</v>
      </c>
      <c r="K488" s="958"/>
      <c r="L488" s="3" t="s">
        <v>157</v>
      </c>
      <c r="V488" s="185"/>
    </row>
    <row r="489" spans="1:29" ht="18" hidden="1" customHeight="1">
      <c r="A489" s="184"/>
      <c r="B489" s="184" t="s">
        <v>405</v>
      </c>
      <c r="D489" s="30">
        <f>T478</f>
        <v>0</v>
      </c>
      <c r="H489" s="27"/>
      <c r="I489" s="177" t="s">
        <v>127</v>
      </c>
      <c r="J489" s="766">
        <f>J406</f>
        <v>0</v>
      </c>
      <c r="K489" s="958"/>
      <c r="L489" s="198" t="s">
        <v>157</v>
      </c>
      <c r="V489" s="185"/>
    </row>
    <row r="490" spans="1:29" ht="18" hidden="1" customHeight="1">
      <c r="A490" s="184"/>
      <c r="B490" s="184" t="s">
        <v>405</v>
      </c>
      <c r="D490" s="30">
        <f>T479</f>
        <v>0</v>
      </c>
      <c r="E490" s="14"/>
      <c r="G490" s="199"/>
      <c r="H490" s="27"/>
      <c r="I490" s="177" t="s">
        <v>127</v>
      </c>
      <c r="J490" s="766">
        <f>J407</f>
        <v>0</v>
      </c>
      <c r="K490" s="958"/>
      <c r="L490" s="202" t="s">
        <v>157</v>
      </c>
      <c r="V490" s="185"/>
    </row>
    <row r="491" spans="1:29" ht="18" hidden="1" customHeight="1">
      <c r="A491" s="184"/>
      <c r="B491" s="184" t="s">
        <v>412</v>
      </c>
      <c r="H491" s="27" t="s">
        <v>599</v>
      </c>
      <c r="I491" s="177" t="s">
        <v>127</v>
      </c>
      <c r="J491" s="766">
        <f>J408</f>
        <v>1.1667743100000001</v>
      </c>
      <c r="K491" s="958"/>
      <c r="L491" s="203" t="s">
        <v>157</v>
      </c>
      <c r="V491" s="185"/>
    </row>
    <row r="492" spans="1:29" ht="18" hidden="1" customHeight="1">
      <c r="A492" s="184"/>
      <c r="B492" s="205" t="s">
        <v>413</v>
      </c>
      <c r="C492" s="206"/>
      <c r="D492" s="206"/>
      <c r="E492" s="206"/>
      <c r="F492" s="207"/>
      <c r="G492" s="207"/>
      <c r="H492" s="190" t="s">
        <v>409</v>
      </c>
      <c r="I492" s="208" t="s">
        <v>127</v>
      </c>
      <c r="J492" s="766">
        <f>J489+J491</f>
        <v>1.1667743100000001</v>
      </c>
      <c r="K492" s="958"/>
      <c r="L492" s="210" t="s">
        <v>157</v>
      </c>
      <c r="V492" s="185"/>
    </row>
    <row r="493" spans="1:29" ht="18" hidden="1" customHeight="1">
      <c r="A493" s="184"/>
      <c r="B493" s="47"/>
      <c r="C493" s="47"/>
      <c r="D493" s="47"/>
      <c r="E493" s="47"/>
      <c r="H493" s="27"/>
      <c r="I493" s="28"/>
      <c r="J493" s="199"/>
      <c r="L493" s="47"/>
      <c r="O493" s="27"/>
      <c r="P493" s="211"/>
      <c r="Q493" s="211"/>
      <c r="R493" s="192"/>
      <c r="V493" s="185"/>
    </row>
    <row r="494" spans="1:29" ht="18" hidden="1" customHeight="1">
      <c r="A494" s="184"/>
      <c r="B494" s="197" t="s">
        <v>648</v>
      </c>
      <c r="L494" s="47"/>
      <c r="M494" s="197" t="s">
        <v>407</v>
      </c>
      <c r="V494" s="185"/>
    </row>
    <row r="495" spans="1:29" s="14" customFormat="1" ht="18" hidden="1" customHeight="1">
      <c r="A495" s="184"/>
      <c r="B495" s="27" t="s">
        <v>649</v>
      </c>
      <c r="C495" s="27" t="s">
        <v>127</v>
      </c>
      <c r="D495" s="30" t="s">
        <v>406</v>
      </c>
      <c r="E495" s="271" t="s">
        <v>410</v>
      </c>
      <c r="F495" s="27" t="s">
        <v>146</v>
      </c>
      <c r="G495" s="28" t="s">
        <v>315</v>
      </c>
      <c r="H495" s="218" t="s">
        <v>146</v>
      </c>
      <c r="I495" s="30" t="s">
        <v>350</v>
      </c>
      <c r="J495" s="199"/>
      <c r="K495" s="30"/>
      <c r="L495" s="47"/>
      <c r="M495" s="30" t="s">
        <v>408</v>
      </c>
      <c r="N495" s="27" t="s">
        <v>127</v>
      </c>
      <c r="O495" s="30" t="s">
        <v>409</v>
      </c>
      <c r="P495" s="191" t="s">
        <v>410</v>
      </c>
      <c r="Q495" s="244" t="s">
        <v>411</v>
      </c>
      <c r="R495" s="27" t="s">
        <v>315</v>
      </c>
      <c r="S495" s="30" t="s">
        <v>411</v>
      </c>
      <c r="T495" s="30" t="s">
        <v>350</v>
      </c>
      <c r="U495" s="30"/>
      <c r="V495" s="185"/>
    </row>
    <row r="496" spans="1:29" s="14" customFormat="1" ht="18" hidden="1" customHeight="1">
      <c r="A496" s="184"/>
      <c r="B496" s="47"/>
      <c r="C496" s="27" t="s">
        <v>127</v>
      </c>
      <c r="D496" s="204">
        <f>J488</f>
        <v>0.1</v>
      </c>
      <c r="E496" s="191" t="s">
        <v>410</v>
      </c>
      <c r="F496" s="27">
        <f>F413</f>
        <v>1</v>
      </c>
      <c r="G496" s="27" t="s">
        <v>315</v>
      </c>
      <c r="H496" s="27">
        <f>H413</f>
        <v>1</v>
      </c>
      <c r="I496" s="30" t="s">
        <v>350</v>
      </c>
      <c r="J496" s="199"/>
      <c r="K496" s="30"/>
      <c r="L496" s="47"/>
      <c r="M496" s="30"/>
      <c r="N496" s="27" t="s">
        <v>127</v>
      </c>
      <c r="O496" s="204">
        <f>J492</f>
        <v>1.1667743100000001</v>
      </c>
      <c r="P496" s="191" t="s">
        <v>410</v>
      </c>
      <c r="Q496" s="27">
        <f>O480</f>
        <v>1</v>
      </c>
      <c r="R496" s="27" t="s">
        <v>315</v>
      </c>
      <c r="S496" s="27">
        <f>O480</f>
        <v>1</v>
      </c>
      <c r="T496" s="30" t="s">
        <v>350</v>
      </c>
      <c r="U496" s="30"/>
      <c r="V496" s="185"/>
    </row>
    <row r="497" spans="1:22" s="14" customFormat="1" ht="18" hidden="1" customHeight="1">
      <c r="A497" s="184"/>
      <c r="B497" s="47"/>
      <c r="C497" s="27" t="s">
        <v>127</v>
      </c>
      <c r="D497" s="795">
        <f>D496/(F496*H496)</f>
        <v>0.1</v>
      </c>
      <c r="E497" s="795"/>
      <c r="F497" s="192" t="s">
        <v>333</v>
      </c>
      <c r="G497" s="30"/>
      <c r="H497" s="30"/>
      <c r="I497" s="30"/>
      <c r="J497" s="199"/>
      <c r="K497" s="30"/>
      <c r="L497" s="47"/>
      <c r="M497" s="30"/>
      <c r="N497" s="27" t="s">
        <v>127</v>
      </c>
      <c r="O497" s="795">
        <f>O496/(Q496*S496)</f>
        <v>1.1667743100000001</v>
      </c>
      <c r="P497" s="795"/>
      <c r="Q497" s="192" t="s">
        <v>333</v>
      </c>
      <c r="R497" s="30"/>
      <c r="S497" s="30"/>
      <c r="T497" s="30"/>
      <c r="U497" s="30"/>
      <c r="V497" s="185"/>
    </row>
    <row r="498" spans="1:22" s="14" customFormat="1" ht="18" hidden="1" customHeight="1">
      <c r="A498" s="184"/>
      <c r="B498" s="47"/>
      <c r="C498" s="47"/>
      <c r="D498" s="47"/>
      <c r="E498" s="47"/>
      <c r="F498" s="30"/>
      <c r="G498" s="30"/>
      <c r="H498" s="27"/>
      <c r="I498" s="28"/>
      <c r="J498" s="199"/>
      <c r="K498" s="30"/>
      <c r="L498" s="47"/>
      <c r="M498" s="30"/>
      <c r="N498" s="30"/>
      <c r="O498" s="27"/>
      <c r="P498" s="211"/>
      <c r="Q498" s="211"/>
      <c r="R498" s="192"/>
      <c r="S498" s="30"/>
      <c r="T498" s="30"/>
      <c r="U498" s="30"/>
      <c r="V498" s="185"/>
    </row>
    <row r="499" spans="1:22" s="14" customFormat="1" ht="18" hidden="1" customHeight="1">
      <c r="A499" s="184"/>
      <c r="B499" s="47" t="s">
        <v>668</v>
      </c>
      <c r="C499" s="47"/>
      <c r="D499" s="47"/>
      <c r="E499" s="47"/>
      <c r="F499" s="30"/>
      <c r="G499" s="30"/>
      <c r="H499" s="27"/>
      <c r="I499" s="28"/>
      <c r="J499" s="199"/>
      <c r="K499" s="30"/>
      <c r="L499" s="47" t="s">
        <v>127</v>
      </c>
      <c r="M499" s="204">
        <f>D497</f>
        <v>0.1</v>
      </c>
      <c r="N499" s="27" t="s">
        <v>347</v>
      </c>
      <c r="O499" s="211">
        <f>O497</f>
        <v>1.1667743100000001</v>
      </c>
      <c r="P499" s="211" t="s">
        <v>127</v>
      </c>
      <c r="Q499" s="211">
        <f>M499+O499</f>
        <v>1.2667743100000002</v>
      </c>
      <c r="R499" s="192" t="s">
        <v>333</v>
      </c>
      <c r="S499" s="30"/>
      <c r="T499" s="30"/>
      <c r="U499" s="30"/>
      <c r="V499" s="185"/>
    </row>
    <row r="500" spans="1:22" s="14" customFormat="1" ht="18" hidden="1" customHeight="1">
      <c r="A500" s="193" t="s">
        <v>600</v>
      </c>
      <c r="B500" s="5"/>
      <c r="C500" s="5"/>
      <c r="D500" s="5"/>
      <c r="E500" s="5"/>
      <c r="F500" s="5"/>
      <c r="G500" s="5"/>
      <c r="H500" s="212"/>
      <c r="I500" s="212"/>
      <c r="J500" s="5"/>
      <c r="K500" s="5"/>
      <c r="L500" s="5"/>
      <c r="M500" s="5"/>
      <c r="N500" s="5"/>
      <c r="O500" s="5"/>
      <c r="P500" s="103"/>
      <c r="Q500" s="212"/>
      <c r="R500" s="213"/>
      <c r="S500" s="214"/>
      <c r="T500" s="18"/>
      <c r="U500" s="18"/>
      <c r="V500" s="97"/>
    </row>
    <row r="501" spans="1:22" s="14" customFormat="1" ht="18" hidden="1" customHeight="1">
      <c r="A501" s="96"/>
      <c r="B501" s="47" t="s">
        <v>601</v>
      </c>
      <c r="C501" s="5"/>
      <c r="D501" s="5"/>
      <c r="E501" s="5"/>
      <c r="I501" s="215"/>
      <c r="M501" s="5"/>
      <c r="N501" s="103" t="s">
        <v>127</v>
      </c>
      <c r="O501" s="1154">
        <f>O418</f>
        <v>100</v>
      </c>
      <c r="P501" s="831"/>
      <c r="Q501" s="14" t="s">
        <v>602</v>
      </c>
      <c r="S501" s="214"/>
      <c r="T501" s="18"/>
      <c r="U501" s="18"/>
      <c r="V501" s="97"/>
    </row>
    <row r="502" spans="1:22" s="14" customFormat="1" ht="18" hidden="1" customHeight="1">
      <c r="A502" s="96"/>
      <c r="B502" s="47" t="s">
        <v>603</v>
      </c>
      <c r="C502" s="5"/>
      <c r="D502" s="5"/>
      <c r="E502" s="5"/>
      <c r="I502" s="215"/>
      <c r="M502" s="5"/>
      <c r="N502" s="103" t="s">
        <v>127</v>
      </c>
      <c r="O502" s="1154">
        <f>O419</f>
        <v>25</v>
      </c>
      <c r="P502" s="831"/>
      <c r="Q502" s="14" t="s">
        <v>604</v>
      </c>
      <c r="S502" s="214"/>
      <c r="T502" s="18"/>
      <c r="U502" s="18"/>
      <c r="V502" s="97"/>
    </row>
    <row r="503" spans="1:22" s="14" customFormat="1" ht="18" hidden="1" customHeight="1">
      <c r="A503" s="96"/>
      <c r="B503" s="47" t="s">
        <v>605</v>
      </c>
      <c r="C503" s="5"/>
      <c r="D503" s="5"/>
      <c r="E503" s="5"/>
      <c r="M503" s="120" t="s">
        <v>606</v>
      </c>
      <c r="N503" s="103" t="s">
        <v>607</v>
      </c>
      <c r="O503" s="1154">
        <f>O420</f>
        <v>132</v>
      </c>
      <c r="P503" s="831"/>
      <c r="Q503" s="14" t="s">
        <v>163</v>
      </c>
      <c r="S503" s="214"/>
      <c r="T503" s="18"/>
      <c r="U503" s="18"/>
      <c r="V503" s="97"/>
    </row>
    <row r="504" spans="1:22" s="14" customFormat="1" ht="18" hidden="1" customHeight="1">
      <c r="A504" s="216"/>
      <c r="B504" s="212"/>
      <c r="C504" s="212"/>
      <c r="D504" s="212"/>
      <c r="E504" s="212"/>
      <c r="T504" s="18"/>
      <c r="U504" s="18"/>
      <c r="V504" s="97"/>
    </row>
    <row r="505" spans="1:22" s="14" customFormat="1" ht="18" hidden="1" customHeight="1">
      <c r="A505" s="272" t="s">
        <v>608</v>
      </c>
      <c r="B505" s="213"/>
      <c r="C505" s="213"/>
      <c r="D505" s="213"/>
      <c r="E505" s="213"/>
      <c r="H505" s="120" t="s">
        <v>609</v>
      </c>
      <c r="I505" s="28" t="s">
        <v>127</v>
      </c>
      <c r="J505" s="689" t="s">
        <v>610</v>
      </c>
      <c r="K505" s="689"/>
      <c r="L505" s="28" t="s">
        <v>315</v>
      </c>
      <c r="M505" s="217">
        <v>1000</v>
      </c>
      <c r="N505" s="102" t="s">
        <v>342</v>
      </c>
      <c r="O505" s="28" t="s">
        <v>611</v>
      </c>
      <c r="P505" s="28" t="s">
        <v>315</v>
      </c>
      <c r="Q505" s="28" t="s">
        <v>606</v>
      </c>
      <c r="R505" s="47" t="s">
        <v>350</v>
      </c>
      <c r="T505" s="18"/>
      <c r="U505" s="18"/>
      <c r="V505" s="97"/>
    </row>
    <row r="506" spans="1:22" ht="18" hidden="1" customHeight="1">
      <c r="A506" s="216"/>
      <c r="B506" s="213"/>
      <c r="C506" s="213"/>
      <c r="D506" s="213"/>
      <c r="E506" s="213"/>
      <c r="F506" s="212"/>
      <c r="G506" s="212"/>
      <c r="H506" s="28"/>
      <c r="I506" s="28" t="s">
        <v>127</v>
      </c>
      <c r="J506" s="689">
        <f>O501</f>
        <v>100</v>
      </c>
      <c r="K506" s="689"/>
      <c r="L506" s="28" t="s">
        <v>315</v>
      </c>
      <c r="M506" s="217">
        <v>1000</v>
      </c>
      <c r="N506" s="102" t="s">
        <v>342</v>
      </c>
      <c r="O506" s="28" t="s">
        <v>611</v>
      </c>
      <c r="P506" s="28" t="s">
        <v>315</v>
      </c>
      <c r="Q506" s="28">
        <f>O503</f>
        <v>132</v>
      </c>
      <c r="R506" s="47" t="s">
        <v>350</v>
      </c>
      <c r="S506" s="14"/>
      <c r="T506" s="18"/>
      <c r="U506" s="18"/>
      <c r="V506" s="97"/>
    </row>
    <row r="507" spans="1:22" ht="18" hidden="1" customHeight="1">
      <c r="A507" s="216"/>
      <c r="B507" s="212"/>
      <c r="C507" s="212"/>
      <c r="D507" s="212"/>
      <c r="E507" s="212"/>
      <c r="F507" s="212"/>
      <c r="G507" s="212"/>
      <c r="H507" s="14"/>
      <c r="I507" s="28" t="s">
        <v>127</v>
      </c>
      <c r="J507" s="692">
        <f>(O501*1000)/(SQRT(3)*O503)</f>
        <v>437.38656756789834</v>
      </c>
      <c r="K507" s="692"/>
      <c r="L507" s="14" t="s">
        <v>8</v>
      </c>
      <c r="M507" s="120"/>
      <c r="N507" s="120"/>
      <c r="O507" s="120"/>
      <c r="P507" s="14"/>
      <c r="Q507" s="14"/>
      <c r="R507" s="14"/>
      <c r="S507" s="14"/>
      <c r="T507" s="18"/>
      <c r="U507" s="18"/>
      <c r="V507" s="97"/>
    </row>
    <row r="508" spans="1:22" ht="18" hidden="1" customHeight="1">
      <c r="A508" s="216"/>
      <c r="B508" s="212"/>
      <c r="C508" s="212"/>
      <c r="D508" s="212"/>
      <c r="E508" s="212"/>
      <c r="F508" s="14"/>
      <c r="G508" s="212"/>
      <c r="H508" s="28"/>
      <c r="I508" s="103"/>
      <c r="J508" s="28"/>
      <c r="K508" s="14"/>
      <c r="L508" s="14"/>
      <c r="M508" s="212"/>
      <c r="N508" s="219"/>
      <c r="O508" s="212"/>
      <c r="P508" s="14"/>
      <c r="Q508" s="14"/>
      <c r="R508" s="14"/>
      <c r="S508" s="14"/>
      <c r="T508" s="18"/>
      <c r="U508" s="18"/>
      <c r="V508" s="97"/>
    </row>
    <row r="509" spans="1:22" s="14" customFormat="1" ht="18" hidden="1" customHeight="1">
      <c r="A509" s="147" t="s">
        <v>629</v>
      </c>
      <c r="B509" s="5"/>
      <c r="C509" s="5"/>
      <c r="D509" s="5"/>
      <c r="E509" s="5"/>
      <c r="F509" s="212"/>
      <c r="G509" s="212"/>
      <c r="H509" s="5"/>
      <c r="I509" s="5"/>
      <c r="J509" s="5"/>
      <c r="K509" s="5"/>
      <c r="L509" s="103"/>
      <c r="M509" s="103"/>
      <c r="N509" s="103"/>
      <c r="O509" s="103"/>
      <c r="P509" s="212"/>
      <c r="Q509" s="213"/>
      <c r="S509" s="220"/>
      <c r="T509" s="18"/>
      <c r="U509" s="18"/>
      <c r="V509" s="97"/>
    </row>
    <row r="510" spans="1:22" s="14" customFormat="1" ht="18" hidden="1" customHeight="1">
      <c r="A510" s="147"/>
      <c r="B510" s="5"/>
      <c r="C510" s="5"/>
      <c r="D510" s="5"/>
      <c r="E510" s="5"/>
      <c r="F510" s="212"/>
      <c r="G510" s="212"/>
      <c r="H510" s="5"/>
      <c r="I510" s="5"/>
      <c r="J510" s="5"/>
      <c r="K510" s="5"/>
      <c r="L510" s="103"/>
      <c r="M510" s="103"/>
      <c r="N510" s="103"/>
      <c r="O510" s="103"/>
      <c r="P510" s="212"/>
      <c r="Q510" s="213"/>
      <c r="S510" s="214"/>
      <c r="T510" s="18"/>
      <c r="U510" s="18"/>
      <c r="V510" s="97"/>
    </row>
    <row r="511" spans="1:22" ht="18" hidden="1" customHeight="1">
      <c r="A511" s="96" t="s">
        <v>612</v>
      </c>
      <c r="B511" s="14"/>
      <c r="C511" s="14"/>
      <c r="D511" s="14"/>
      <c r="E511" s="14"/>
      <c r="M511" s="120" t="s">
        <v>613</v>
      </c>
      <c r="N511" s="28" t="s">
        <v>127</v>
      </c>
      <c r="O511" s="689" t="s">
        <v>609</v>
      </c>
      <c r="P511" s="716"/>
      <c r="Q511" s="221" t="s">
        <v>630</v>
      </c>
      <c r="R511" s="221">
        <v>16</v>
      </c>
      <c r="S511" s="214"/>
      <c r="V511" s="185"/>
    </row>
    <row r="512" spans="1:22" ht="18" hidden="1" customHeight="1">
      <c r="A512" s="96"/>
      <c r="B512" s="5"/>
      <c r="C512" s="5"/>
      <c r="D512" s="5"/>
      <c r="E512" s="5"/>
      <c r="M512" s="250"/>
      <c r="N512" s="28" t="s">
        <v>127</v>
      </c>
      <c r="O512" s="689">
        <f>+J507</f>
        <v>437.38656756789834</v>
      </c>
      <c r="P512" s="716"/>
      <c r="Q512" s="221" t="s">
        <v>630</v>
      </c>
      <c r="R512" s="221">
        <v>16</v>
      </c>
      <c r="S512" s="214"/>
      <c r="V512" s="185"/>
    </row>
    <row r="513" spans="1:22" s="279" customFormat="1" ht="18" hidden="1" customHeight="1">
      <c r="A513" s="96"/>
      <c r="B513" s="5"/>
      <c r="C513" s="5"/>
      <c r="D513" s="5"/>
      <c r="E513" s="5"/>
      <c r="F513" s="30"/>
      <c r="G513" s="30"/>
      <c r="H513" s="30"/>
      <c r="I513" s="30"/>
      <c r="J513" s="30"/>
      <c r="K513" s="30"/>
      <c r="L513" s="30"/>
      <c r="M513" s="120" t="s">
        <v>613</v>
      </c>
      <c r="N513" s="28" t="s">
        <v>127</v>
      </c>
      <c r="O513" s="689">
        <f>O512*R512</f>
        <v>6998.1850810863734</v>
      </c>
      <c r="P513" s="716"/>
      <c r="Q513" s="241" t="s">
        <v>8</v>
      </c>
      <c r="R513" s="14"/>
      <c r="S513" s="214"/>
      <c r="T513" s="30"/>
      <c r="U513" s="30"/>
      <c r="V513" s="185"/>
    </row>
    <row r="514" spans="1:22" s="279" customFormat="1" ht="18" hidden="1" customHeight="1">
      <c r="A514" s="96"/>
      <c r="B514" s="5"/>
      <c r="C514" s="5"/>
      <c r="D514" s="5"/>
      <c r="E514" s="5"/>
      <c r="F514" s="30"/>
      <c r="G514" s="30"/>
      <c r="H514" s="30"/>
      <c r="I514" s="30"/>
      <c r="J514" s="30"/>
      <c r="K514" s="30"/>
      <c r="L514" s="30"/>
      <c r="M514" s="120"/>
      <c r="N514" s="28"/>
      <c r="O514" s="28"/>
      <c r="P514" s="14"/>
      <c r="Q514" s="241"/>
      <c r="R514" s="14"/>
      <c r="S514" s="214"/>
      <c r="T514" s="30"/>
      <c r="U514" s="30"/>
      <c r="V514" s="185"/>
    </row>
    <row r="515" spans="1:22" s="279" customFormat="1" ht="18" hidden="1" customHeight="1">
      <c r="A515" s="96"/>
      <c r="B515" s="5"/>
      <c r="C515" s="5"/>
      <c r="D515" s="5"/>
      <c r="E515" s="5"/>
      <c r="F515" s="30"/>
      <c r="G515" s="30"/>
      <c r="H515" s="30"/>
      <c r="I515" s="30"/>
      <c r="J515" s="30"/>
      <c r="K515" s="30"/>
      <c r="L515" s="30"/>
      <c r="M515" s="120"/>
      <c r="N515" s="28"/>
      <c r="O515" s="28"/>
      <c r="P515" s="14"/>
      <c r="Q515" s="241"/>
      <c r="R515" s="14"/>
      <c r="S515" s="214"/>
      <c r="T515" s="30"/>
      <c r="U515" s="30"/>
      <c r="V515" s="185"/>
    </row>
    <row r="516" spans="1:22" s="279" customFormat="1" ht="18" hidden="1" customHeight="1">
      <c r="A516" s="96"/>
      <c r="B516" s="5"/>
      <c r="C516" s="5"/>
      <c r="D516" s="5"/>
      <c r="E516" s="5"/>
      <c r="F516" s="30"/>
      <c r="G516" s="30"/>
      <c r="H516" s="30"/>
      <c r="I516" s="30"/>
      <c r="J516" s="30"/>
      <c r="K516" s="30"/>
      <c r="L516" s="30"/>
      <c r="M516" s="120"/>
      <c r="N516" s="28"/>
      <c r="O516" s="28"/>
      <c r="P516" s="14"/>
      <c r="Q516" s="241"/>
      <c r="R516" s="14"/>
      <c r="S516" s="214"/>
      <c r="T516" s="30"/>
      <c r="U516" s="30"/>
      <c r="V516" s="185"/>
    </row>
    <row r="517" spans="1:22" s="279" customFormat="1" ht="18" hidden="1" customHeight="1">
      <c r="A517" s="96"/>
      <c r="B517" s="5"/>
      <c r="C517" s="5"/>
      <c r="D517" s="5"/>
      <c r="E517" s="5"/>
      <c r="F517" s="30"/>
      <c r="G517" s="30"/>
      <c r="H517" s="30"/>
      <c r="I517" s="30"/>
      <c r="J517" s="30"/>
      <c r="K517" s="30"/>
      <c r="L517" s="30"/>
      <c r="M517" s="120"/>
      <c r="N517" s="28"/>
      <c r="O517" s="28"/>
      <c r="P517" s="14"/>
      <c r="Q517" s="241"/>
      <c r="R517" s="14"/>
      <c r="S517" s="214"/>
      <c r="T517" s="30"/>
      <c r="U517" s="30"/>
      <c r="V517" s="185"/>
    </row>
    <row r="518" spans="1:22" s="279" customFormat="1" ht="18" hidden="1" customHeight="1">
      <c r="A518" s="96"/>
      <c r="B518" s="5"/>
      <c r="C518" s="5"/>
      <c r="D518" s="5"/>
      <c r="E518" s="5"/>
      <c r="F518" s="30"/>
      <c r="G518" s="30"/>
      <c r="H518" s="30"/>
      <c r="I518" s="30"/>
      <c r="J518" s="30"/>
      <c r="K518" s="30"/>
      <c r="L518" s="30"/>
      <c r="M518" s="120"/>
      <c r="N518" s="28"/>
      <c r="O518" s="28"/>
      <c r="P518" s="14"/>
      <c r="Q518" s="241"/>
      <c r="R518" s="14"/>
      <c r="S518" s="214"/>
      <c r="T518" s="30"/>
      <c r="U518" s="30"/>
      <c r="V518" s="185"/>
    </row>
    <row r="519" spans="1:22" s="279" customFormat="1" ht="18" hidden="1" customHeight="1">
      <c r="A519" s="194"/>
      <c r="B519" s="195"/>
      <c r="C519" s="195"/>
      <c r="D519" s="195"/>
      <c r="E519" s="195"/>
      <c r="F519" s="195"/>
      <c r="G519" s="195"/>
      <c r="H519" s="195"/>
      <c r="I519" s="195"/>
      <c r="J519" s="195"/>
      <c r="K519" s="195"/>
      <c r="L519" s="195"/>
      <c r="M519" s="195"/>
      <c r="N519" s="195"/>
      <c r="O519" s="195"/>
      <c r="P519" s="195"/>
      <c r="Q519" s="224"/>
      <c r="R519" s="182"/>
      <c r="S519" s="225"/>
      <c r="T519" s="195"/>
      <c r="U519" s="195"/>
      <c r="V519" s="134" t="s">
        <v>552</v>
      </c>
    </row>
    <row r="520" spans="1:22" ht="18" hidden="1" customHeight="1">
      <c r="A520" s="135"/>
      <c r="B520" s="273"/>
      <c r="C520" s="273"/>
      <c r="D520" s="273"/>
      <c r="E520" s="273"/>
      <c r="F520" s="273"/>
      <c r="G520" s="273"/>
      <c r="H520" s="273"/>
      <c r="I520" s="273"/>
      <c r="J520" s="273"/>
      <c r="K520" s="273"/>
      <c r="L520" s="273"/>
      <c r="M520" s="273"/>
      <c r="N520" s="273"/>
      <c r="O520" s="273"/>
      <c r="P520" s="273"/>
      <c r="Q520" s="274"/>
      <c r="R520" s="138"/>
      <c r="S520" s="275"/>
      <c r="T520" s="273"/>
      <c r="U520" s="273"/>
      <c r="V520" s="276"/>
    </row>
    <row r="521" spans="1:22" ht="18" hidden="1" customHeight="1">
      <c r="A521" s="96" t="s">
        <v>686</v>
      </c>
      <c r="V521" s="185"/>
    </row>
    <row r="522" spans="1:22" ht="18" hidden="1" customHeight="1">
      <c r="A522" s="184"/>
      <c r="V522" s="185"/>
    </row>
    <row r="523" spans="1:22" ht="18" hidden="1" customHeight="1">
      <c r="A523" s="277"/>
      <c r="B523" s="689" t="s">
        <v>473</v>
      </c>
      <c r="C523" s="1150" t="s">
        <v>652</v>
      </c>
      <c r="D523" s="279"/>
      <c r="E523" s="279"/>
      <c r="F523" s="279"/>
      <c r="G523" s="802" t="s">
        <v>687</v>
      </c>
      <c r="H523" s="1153" t="s">
        <v>315</v>
      </c>
      <c r="I523" s="708" t="s">
        <v>688</v>
      </c>
      <c r="J523" s="1147"/>
      <c r="K523" s="1147"/>
      <c r="L523" s="1147"/>
      <c r="M523" s="1147"/>
      <c r="N523" s="689" t="s">
        <v>672</v>
      </c>
      <c r="O523" s="708" t="s">
        <v>420</v>
      </c>
      <c r="P523" s="689" t="s">
        <v>347</v>
      </c>
      <c r="Q523" s="708" t="s">
        <v>689</v>
      </c>
      <c r="R523" s="708" t="s">
        <v>674</v>
      </c>
      <c r="S523" s="708" t="s">
        <v>411</v>
      </c>
      <c r="T523" s="14"/>
      <c r="U523" s="729" t="s">
        <v>653</v>
      </c>
      <c r="V523" s="185"/>
    </row>
    <row r="524" spans="1:22" ht="18" hidden="1" customHeight="1">
      <c r="A524" s="277"/>
      <c r="B524" s="689"/>
      <c r="C524" s="689"/>
      <c r="D524" s="279"/>
      <c r="E524" s="279"/>
      <c r="F524" s="279"/>
      <c r="G524" s="802"/>
      <c r="H524" s="689"/>
      <c r="I524" s="689">
        <v>1.3</v>
      </c>
      <c r="J524" s="689"/>
      <c r="K524" s="28" t="s">
        <v>315</v>
      </c>
      <c r="L524" s="689" t="s">
        <v>423</v>
      </c>
      <c r="M524" s="689"/>
      <c r="N524" s="689"/>
      <c r="O524" s="689"/>
      <c r="P524" s="689"/>
      <c r="Q524" s="689"/>
      <c r="R524" s="689"/>
      <c r="S524" s="689"/>
      <c r="T524" s="14"/>
      <c r="U524" s="689"/>
      <c r="V524" s="185"/>
    </row>
    <row r="525" spans="1:22" ht="18" hidden="1" customHeight="1">
      <c r="A525" s="184"/>
      <c r="V525" s="185"/>
    </row>
    <row r="526" spans="1:22" ht="18" hidden="1" customHeight="1">
      <c r="A526" s="184"/>
      <c r="B526" s="47" t="s">
        <v>654</v>
      </c>
      <c r="C526" s="14"/>
      <c r="D526" s="14"/>
      <c r="E526" s="14"/>
      <c r="F526" s="18"/>
      <c r="G526" s="18"/>
      <c r="H526" s="14"/>
      <c r="I526" s="120"/>
      <c r="J526" s="14"/>
      <c r="K526" s="14"/>
      <c r="M526" s="14"/>
      <c r="N526" s="14"/>
      <c r="P526" s="14" t="s">
        <v>423</v>
      </c>
      <c r="R526" s="234" t="s">
        <v>127</v>
      </c>
      <c r="S526" s="684">
        <f>J480</f>
        <v>4000</v>
      </c>
      <c r="T526" s="684"/>
      <c r="U526" s="30" t="s">
        <v>8</v>
      </c>
      <c r="V526" s="185"/>
    </row>
    <row r="527" spans="1:22" ht="18" hidden="1" customHeight="1">
      <c r="A527" s="184"/>
      <c r="B527" s="47" t="s">
        <v>655</v>
      </c>
      <c r="C527" s="14"/>
      <c r="D527" s="14"/>
      <c r="E527" s="14"/>
      <c r="F527" s="18"/>
      <c r="G527" s="18"/>
      <c r="H527" s="14"/>
      <c r="I527" s="120"/>
      <c r="J527" s="14"/>
      <c r="K527" s="14"/>
      <c r="M527" s="14"/>
      <c r="N527" s="14"/>
      <c r="P527" s="14" t="s">
        <v>420</v>
      </c>
      <c r="R527" s="234" t="s">
        <v>127</v>
      </c>
      <c r="S527" s="684">
        <f>J482</f>
        <v>15</v>
      </c>
      <c r="T527" s="684"/>
      <c r="U527" s="192" t="s">
        <v>333</v>
      </c>
      <c r="V527" s="185"/>
    </row>
    <row r="528" spans="1:22" ht="18" hidden="1" customHeight="1">
      <c r="A528" s="184"/>
      <c r="B528" s="47" t="s">
        <v>676</v>
      </c>
      <c r="C528" s="14"/>
      <c r="D528" s="14"/>
      <c r="E528" s="14"/>
      <c r="F528" s="18"/>
      <c r="G528" s="18"/>
      <c r="H528" s="14"/>
      <c r="I528" s="120"/>
      <c r="J528" s="14"/>
      <c r="K528" s="14"/>
      <c r="M528" s="14"/>
      <c r="N528" s="14"/>
      <c r="P528" s="14" t="s">
        <v>690</v>
      </c>
      <c r="R528" s="234" t="s">
        <v>127</v>
      </c>
      <c r="S528" s="795">
        <f>Q499</f>
        <v>1.2667743100000002</v>
      </c>
      <c r="T528" s="795"/>
      <c r="U528" s="192" t="s">
        <v>333</v>
      </c>
      <c r="V528" s="185"/>
    </row>
    <row r="529" spans="1:22" ht="18" hidden="1" customHeight="1">
      <c r="A529" s="184"/>
      <c r="B529" s="47" t="s">
        <v>691</v>
      </c>
      <c r="C529" s="14"/>
      <c r="D529" s="14"/>
      <c r="E529" s="14"/>
      <c r="F529" s="14"/>
      <c r="G529" s="14"/>
      <c r="H529" s="14"/>
      <c r="I529" s="120"/>
      <c r="J529" s="14"/>
      <c r="K529" s="14"/>
      <c r="M529" s="14"/>
      <c r="N529" s="14"/>
      <c r="P529" s="14" t="s">
        <v>411</v>
      </c>
      <c r="R529" s="234" t="s">
        <v>127</v>
      </c>
      <c r="S529" s="684">
        <f>O480</f>
        <v>1</v>
      </c>
      <c r="T529" s="684"/>
      <c r="U529" s="30" t="s">
        <v>8</v>
      </c>
      <c r="V529" s="185"/>
    </row>
    <row r="530" spans="1:22" ht="18" hidden="1" customHeight="1">
      <c r="A530" s="184"/>
      <c r="B530" s="47" t="s">
        <v>678</v>
      </c>
      <c r="C530" s="14"/>
      <c r="D530" s="14"/>
      <c r="E530" s="14"/>
      <c r="F530" s="14"/>
      <c r="G530" s="14"/>
      <c r="H530" s="14"/>
      <c r="I530" s="120"/>
      <c r="J530" s="14"/>
      <c r="K530" s="14"/>
      <c r="M530" s="14"/>
      <c r="N530" s="14"/>
      <c r="P530" s="120" t="s">
        <v>688</v>
      </c>
      <c r="R530" s="234" t="s">
        <v>127</v>
      </c>
      <c r="S530" s="684">
        <f>O513</f>
        <v>6998.1850810863734</v>
      </c>
      <c r="T530" s="684"/>
      <c r="U530" s="30" t="s">
        <v>8</v>
      </c>
      <c r="V530" s="185"/>
    </row>
    <row r="531" spans="1:22" s="279" customFormat="1" ht="18" hidden="1" customHeight="1">
      <c r="A531" s="184"/>
      <c r="B531" s="47" t="s">
        <v>692</v>
      </c>
      <c r="C531" s="14"/>
      <c r="D531" s="14"/>
      <c r="E531" s="14"/>
      <c r="F531" s="14"/>
      <c r="G531" s="14"/>
      <c r="H531" s="14"/>
      <c r="I531" s="120"/>
      <c r="J531" s="14"/>
      <c r="K531" s="14"/>
      <c r="L531" s="30"/>
      <c r="M531" s="14"/>
      <c r="N531" s="14"/>
      <c r="O531" s="30"/>
      <c r="P531" s="120" t="s">
        <v>680</v>
      </c>
      <c r="Q531" s="30"/>
      <c r="R531" s="234" t="s">
        <v>127</v>
      </c>
      <c r="S531" s="795">
        <f>J507</f>
        <v>437.38656756789834</v>
      </c>
      <c r="T531" s="684"/>
      <c r="U531" s="30" t="s">
        <v>8</v>
      </c>
      <c r="V531" s="185"/>
    </row>
    <row r="532" spans="1:22" s="279" customFormat="1" ht="18" hidden="1" customHeight="1">
      <c r="A532" s="184"/>
      <c r="B532" s="47" t="s">
        <v>659</v>
      </c>
      <c r="C532" s="14"/>
      <c r="D532" s="14"/>
      <c r="E532" s="14"/>
      <c r="F532" s="14"/>
      <c r="G532" s="14"/>
      <c r="H532" s="14"/>
      <c r="I532" s="120"/>
      <c r="J532" s="14"/>
      <c r="K532" s="14"/>
      <c r="L532" s="30"/>
      <c r="M532" s="14"/>
      <c r="N532" s="14"/>
      <c r="O532" s="30"/>
      <c r="P532" s="120" t="s">
        <v>660</v>
      </c>
      <c r="Q532" s="30"/>
      <c r="R532" s="234" t="s">
        <v>127</v>
      </c>
      <c r="S532" s="684">
        <f>S444</f>
        <v>1</v>
      </c>
      <c r="T532" s="684"/>
      <c r="U532" s="30" t="s">
        <v>8</v>
      </c>
      <c r="V532" s="185"/>
    </row>
    <row r="533" spans="1:22" ht="18" hidden="1" customHeight="1">
      <c r="A533" s="96"/>
      <c r="B533" s="14"/>
      <c r="C533" s="14"/>
      <c r="D533" s="235"/>
      <c r="E533" s="14"/>
      <c r="F533" s="28"/>
      <c r="G533" s="249"/>
      <c r="H533" s="28"/>
      <c r="I533" s="251"/>
      <c r="J533" s="14"/>
      <c r="K533" s="280"/>
      <c r="M533" s="47"/>
      <c r="N533" s="268"/>
      <c r="P533" s="281"/>
      <c r="R533" s="234"/>
      <c r="S533" s="1148"/>
      <c r="T533" s="723"/>
      <c r="V533" s="185"/>
    </row>
    <row r="534" spans="1:22" ht="18" hidden="1" customHeight="1">
      <c r="A534" s="272" t="s">
        <v>693</v>
      </c>
      <c r="B534" s="14"/>
      <c r="C534" s="14"/>
      <c r="D534" s="14"/>
      <c r="E534" s="14"/>
      <c r="F534" s="14"/>
      <c r="G534" s="14"/>
      <c r="H534" s="28">
        <v>3</v>
      </c>
      <c r="I534" s="47" t="s">
        <v>694</v>
      </c>
      <c r="J534" s="14"/>
      <c r="K534" s="14"/>
      <c r="M534" s="14" t="s">
        <v>337</v>
      </c>
      <c r="N534" s="14"/>
      <c r="P534" s="120"/>
      <c r="R534" s="234"/>
      <c r="S534" s="1149"/>
      <c r="T534" s="723"/>
      <c r="V534" s="185"/>
    </row>
    <row r="535" spans="1:22" ht="18" hidden="1" customHeight="1">
      <c r="A535" s="272"/>
      <c r="B535" s="14"/>
      <c r="C535" s="14"/>
      <c r="D535" s="14"/>
      <c r="E535" s="14"/>
      <c r="F535" s="14"/>
      <c r="G535" s="14"/>
      <c r="H535" s="28"/>
      <c r="I535" s="47"/>
      <c r="J535" s="14"/>
      <c r="K535" s="14"/>
      <c r="M535" s="14"/>
      <c r="N535" s="14"/>
      <c r="P535" s="120"/>
      <c r="R535" s="234"/>
      <c r="S535" s="282"/>
      <c r="V535" s="185"/>
    </row>
    <row r="536" spans="1:22" ht="18" hidden="1" customHeight="1">
      <c r="A536" s="277"/>
      <c r="B536" s="689" t="s">
        <v>473</v>
      </c>
      <c r="C536" s="1150" t="s">
        <v>652</v>
      </c>
      <c r="D536" s="279"/>
      <c r="E536" s="279"/>
      <c r="F536" s="279"/>
      <c r="G536" s="802">
        <f>H534</f>
        <v>3</v>
      </c>
      <c r="H536" s="1151" t="s">
        <v>315</v>
      </c>
      <c r="I536" s="829">
        <f>S530</f>
        <v>6998.1850810863734</v>
      </c>
      <c r="J536" s="1152"/>
      <c r="K536" s="1152"/>
      <c r="L536" s="1152"/>
      <c r="M536" s="1152"/>
      <c r="N536" s="689" t="s">
        <v>672</v>
      </c>
      <c r="O536" s="708">
        <f>S527</f>
        <v>15</v>
      </c>
      <c r="P536" s="689" t="s">
        <v>347</v>
      </c>
      <c r="Q536" s="829">
        <f>S528</f>
        <v>1.2667743100000002</v>
      </c>
      <c r="R536" s="708" t="s">
        <v>674</v>
      </c>
      <c r="S536" s="708">
        <f>S529</f>
        <v>1</v>
      </c>
      <c r="T536" s="14"/>
      <c r="U536" s="729" t="s">
        <v>653</v>
      </c>
      <c r="V536" s="185"/>
    </row>
    <row r="537" spans="1:22" ht="18" hidden="1" customHeight="1">
      <c r="A537" s="277"/>
      <c r="B537" s="689"/>
      <c r="C537" s="689"/>
      <c r="D537" s="279"/>
      <c r="E537" s="279"/>
      <c r="F537" s="279"/>
      <c r="G537" s="802"/>
      <c r="H537" s="684"/>
      <c r="I537" s="689">
        <v>1.3</v>
      </c>
      <c r="J537" s="684"/>
      <c r="K537" s="28" t="s">
        <v>315</v>
      </c>
      <c r="L537" s="689">
        <f>S526</f>
        <v>4000</v>
      </c>
      <c r="M537" s="684"/>
      <c r="N537" s="689"/>
      <c r="O537" s="689"/>
      <c r="P537" s="689"/>
      <c r="Q537" s="689"/>
      <c r="R537" s="689"/>
      <c r="S537" s="689"/>
      <c r="T537" s="14"/>
      <c r="U537" s="689"/>
      <c r="V537" s="185"/>
    </row>
    <row r="538" spans="1:22" ht="18" hidden="1" customHeight="1">
      <c r="A538" s="96"/>
      <c r="B538" s="14"/>
      <c r="C538" s="27" t="s">
        <v>127</v>
      </c>
      <c r="D538" s="812">
        <f>G536*(I536/(I537*L537)*(O536+Q536)*S536)</f>
        <v>65.675709977100624</v>
      </c>
      <c r="E538" s="813"/>
      <c r="F538" s="30" t="s">
        <v>305</v>
      </c>
      <c r="G538" s="14"/>
      <c r="H538" s="14"/>
      <c r="I538" s="14"/>
      <c r="J538" s="14"/>
      <c r="K538" s="14"/>
      <c r="L538" s="14"/>
      <c r="M538" s="14"/>
      <c r="N538" s="14"/>
      <c r="R538" s="234"/>
      <c r="S538" s="204"/>
      <c r="V538" s="185"/>
    </row>
    <row r="539" spans="1:22" ht="18" hidden="1" customHeight="1">
      <c r="A539" s="96"/>
      <c r="B539" s="14"/>
      <c r="G539" s="14"/>
      <c r="H539" s="14"/>
      <c r="I539" s="14"/>
      <c r="J539" s="14"/>
      <c r="K539" s="14"/>
      <c r="L539" s="14"/>
      <c r="M539" s="14"/>
      <c r="N539" s="14"/>
      <c r="R539" s="234"/>
      <c r="S539" s="204"/>
      <c r="V539" s="185"/>
    </row>
    <row r="540" spans="1:22" ht="18" hidden="1" customHeight="1">
      <c r="A540" s="96"/>
      <c r="B540" s="14"/>
      <c r="D540" s="30" t="s">
        <v>475</v>
      </c>
      <c r="G540" s="27" t="str">
        <f>IF(E541&gt;H541,"&gt;","&lt;")</f>
        <v>&gt;</v>
      </c>
      <c r="H540" s="30" t="s">
        <v>477</v>
      </c>
      <c r="M540" s="14"/>
      <c r="N540" s="14"/>
      <c r="R540" s="234"/>
      <c r="S540" s="204"/>
      <c r="V540" s="185"/>
    </row>
    <row r="541" spans="1:22" ht="18" hidden="1" customHeight="1">
      <c r="A541" s="96"/>
      <c r="B541" s="14"/>
      <c r="E541" s="684">
        <f>J483</f>
        <v>800</v>
      </c>
      <c r="F541" s="684"/>
      <c r="G541" s="27" t="str">
        <f>G540</f>
        <v>&gt;</v>
      </c>
      <c r="H541" s="795">
        <f>D538</f>
        <v>65.675709977100624</v>
      </c>
      <c r="I541" s="684"/>
      <c r="M541" s="14"/>
      <c r="N541" s="14"/>
      <c r="R541" s="234"/>
      <c r="S541" s="204"/>
      <c r="V541" s="185"/>
    </row>
    <row r="542" spans="1:22" ht="18" hidden="1" customHeight="1">
      <c r="A542" s="96"/>
      <c r="B542" s="14"/>
      <c r="F542" s="244" t="s">
        <v>478</v>
      </c>
      <c r="H542" s="18" t="str">
        <f>IF(G540="&gt;","Suitably Dimentioned","Under Dimentioned")</f>
        <v>Suitably Dimentioned</v>
      </c>
      <c r="M542" s="14"/>
      <c r="N542" s="14"/>
      <c r="R542" s="234"/>
      <c r="S542" s="204"/>
      <c r="V542" s="185"/>
    </row>
    <row r="543" spans="1:22" ht="18" hidden="1" customHeight="1">
      <c r="A543" s="96"/>
      <c r="B543" s="14"/>
      <c r="G543" s="14"/>
      <c r="H543" s="14"/>
      <c r="I543" s="14"/>
      <c r="J543" s="14"/>
      <c r="K543" s="14"/>
      <c r="L543" s="14"/>
      <c r="M543" s="14"/>
      <c r="N543" s="14"/>
      <c r="R543" s="234"/>
      <c r="S543" s="204"/>
      <c r="V543" s="185"/>
    </row>
    <row r="544" spans="1:22" ht="18" hidden="1" customHeight="1">
      <c r="A544" s="193" t="s">
        <v>695</v>
      </c>
      <c r="B544" s="14"/>
      <c r="G544" s="14"/>
      <c r="H544" s="14"/>
      <c r="I544" s="14"/>
      <c r="J544" s="14"/>
      <c r="K544" s="14"/>
      <c r="L544" s="14"/>
      <c r="M544" s="14"/>
      <c r="N544" s="14"/>
      <c r="R544" s="234"/>
      <c r="S544" s="204"/>
      <c r="V544" s="185"/>
    </row>
    <row r="545" spans="1:22" ht="18" hidden="1" customHeight="1">
      <c r="A545" s="96"/>
      <c r="B545" s="14"/>
      <c r="D545" s="802" t="s">
        <v>696</v>
      </c>
      <c r="E545" s="716"/>
      <c r="F545" s="689" t="s">
        <v>127</v>
      </c>
      <c r="G545" s="708" t="s">
        <v>423</v>
      </c>
      <c r="H545" s="1147"/>
      <c r="I545" s="689" t="s">
        <v>315</v>
      </c>
      <c r="J545" s="708" t="s">
        <v>697</v>
      </c>
      <c r="K545" s="1147"/>
      <c r="L545" s="14"/>
      <c r="M545" s="14"/>
      <c r="N545" s="14"/>
      <c r="R545" s="234"/>
      <c r="S545" s="204"/>
      <c r="V545" s="185"/>
    </row>
    <row r="546" spans="1:22" ht="18" hidden="1" customHeight="1">
      <c r="A546" s="96"/>
      <c r="B546" s="14"/>
      <c r="D546" s="716"/>
      <c r="E546" s="716"/>
      <c r="F546" s="689"/>
      <c r="G546" s="689" t="s">
        <v>680</v>
      </c>
      <c r="H546" s="716"/>
      <c r="I546" s="689"/>
      <c r="J546" s="689" t="s">
        <v>411</v>
      </c>
      <c r="K546" s="716"/>
      <c r="L546" s="14"/>
      <c r="M546" s="14"/>
      <c r="N546" s="14"/>
      <c r="R546" s="234"/>
      <c r="S546" s="204"/>
      <c r="V546" s="185"/>
    </row>
    <row r="547" spans="1:22" ht="18" hidden="1" customHeight="1">
      <c r="A547" s="96"/>
      <c r="B547" s="14"/>
      <c r="D547" s="14"/>
      <c r="E547" s="14"/>
      <c r="F547" s="14"/>
      <c r="G547" s="14"/>
      <c r="H547" s="14"/>
      <c r="I547" s="14"/>
      <c r="J547" s="14"/>
      <c r="K547" s="14"/>
      <c r="L547" s="14"/>
      <c r="M547" s="14"/>
      <c r="N547" s="14"/>
      <c r="R547" s="234"/>
      <c r="S547" s="204"/>
      <c r="V547" s="185"/>
    </row>
    <row r="548" spans="1:22" ht="18" hidden="1" customHeight="1">
      <c r="A548" s="96"/>
      <c r="B548" s="14"/>
      <c r="D548" s="14"/>
      <c r="E548" s="14"/>
      <c r="F548" s="689" t="s">
        <v>127</v>
      </c>
      <c r="G548" s="708">
        <f>S526</f>
        <v>4000</v>
      </c>
      <c r="H548" s="1147"/>
      <c r="I548" s="689" t="s">
        <v>315</v>
      </c>
      <c r="J548" s="708">
        <f>S532</f>
        <v>1</v>
      </c>
      <c r="K548" s="1147"/>
      <c r="L548" s="14"/>
      <c r="M548" s="14"/>
      <c r="N548" s="14"/>
      <c r="R548" s="234"/>
      <c r="S548" s="204"/>
      <c r="V548" s="185"/>
    </row>
    <row r="549" spans="1:22" ht="18" hidden="1" customHeight="1">
      <c r="A549" s="96"/>
      <c r="B549" s="14"/>
      <c r="D549" s="14"/>
      <c r="E549" s="14"/>
      <c r="F549" s="689"/>
      <c r="G549" s="692">
        <f>J507</f>
        <v>437.38656756789834</v>
      </c>
      <c r="H549" s="716"/>
      <c r="I549" s="689"/>
      <c r="J549" s="689">
        <f>S529</f>
        <v>1</v>
      </c>
      <c r="K549" s="716"/>
      <c r="L549" s="14"/>
      <c r="M549" s="14"/>
      <c r="N549" s="14"/>
      <c r="R549" s="234"/>
      <c r="S549" s="204"/>
      <c r="V549" s="185"/>
    </row>
    <row r="550" spans="1:22" ht="18" hidden="1" customHeight="1">
      <c r="A550" s="96"/>
      <c r="B550" s="14"/>
      <c r="D550" s="14"/>
      <c r="E550" s="14"/>
      <c r="F550" s="14"/>
      <c r="G550" s="14"/>
      <c r="H550" s="14"/>
      <c r="I550" s="14"/>
      <c r="J550" s="14"/>
      <c r="K550" s="14"/>
      <c r="L550" s="14"/>
      <c r="M550" s="14"/>
      <c r="N550" s="14"/>
      <c r="R550" s="234"/>
      <c r="S550" s="204"/>
      <c r="V550" s="185"/>
    </row>
    <row r="551" spans="1:22" ht="18" hidden="1" customHeight="1">
      <c r="A551" s="96"/>
      <c r="B551" s="14"/>
      <c r="D551" s="14"/>
      <c r="E551" s="14"/>
      <c r="F551" s="28" t="s">
        <v>127</v>
      </c>
      <c r="G551" s="716">
        <f>(G548/G549)*(J548/J549)</f>
        <v>9.1452282639636717</v>
      </c>
      <c r="H551" s="716"/>
      <c r="I551" s="14"/>
      <c r="J551" s="14"/>
      <c r="K551" s="14"/>
      <c r="L551" s="14"/>
      <c r="M551" s="14"/>
      <c r="N551" s="14"/>
      <c r="R551" s="234"/>
      <c r="S551" s="204"/>
      <c r="V551" s="185"/>
    </row>
    <row r="552" spans="1:22" ht="18" hidden="1" customHeight="1">
      <c r="A552" s="96"/>
      <c r="B552" s="14"/>
      <c r="G552" s="14"/>
      <c r="H552" s="14"/>
      <c r="I552" s="14"/>
      <c r="J552" s="14"/>
      <c r="K552" s="14"/>
      <c r="L552" s="14"/>
      <c r="M552" s="14"/>
      <c r="N552" s="14"/>
      <c r="R552" s="234"/>
      <c r="S552" s="204"/>
      <c r="V552" s="185"/>
    </row>
    <row r="553" spans="1:22" s="14" customFormat="1" ht="18" hidden="1" customHeight="1">
      <c r="A553" s="96"/>
      <c r="C553" s="30"/>
      <c r="D553" s="283" t="s">
        <v>698</v>
      </c>
      <c r="E553" s="284" t="s">
        <v>699</v>
      </c>
      <c r="F553" s="689" t="s">
        <v>696</v>
      </c>
      <c r="G553" s="716"/>
      <c r="H553" s="716"/>
      <c r="I553" s="284" t="s">
        <v>699</v>
      </c>
      <c r="J553" s="28">
        <v>4</v>
      </c>
      <c r="K553" s="30"/>
      <c r="L553" s="279"/>
      <c r="M553" s="120" t="s">
        <v>700</v>
      </c>
      <c r="N553" s="47" t="s">
        <v>701</v>
      </c>
      <c r="O553" s="279"/>
      <c r="P553" s="236"/>
      <c r="Q553" s="236"/>
      <c r="R553" s="234"/>
      <c r="S553" s="204"/>
      <c r="T553" s="30"/>
      <c r="U553" s="30"/>
      <c r="V553" s="185"/>
    </row>
    <row r="554" spans="1:22" ht="18" hidden="1" customHeight="1">
      <c r="A554" s="96"/>
      <c r="B554" s="14"/>
      <c r="D554" s="218">
        <v>0.25</v>
      </c>
      <c r="E554" s="284" t="str">
        <f>IF(D554&lt;=G551,"≤","&gt;")</f>
        <v>≤</v>
      </c>
      <c r="F554" s="688">
        <f>G551</f>
        <v>9.1452282639636717</v>
      </c>
      <c r="G554" s="1145"/>
      <c r="H554" s="688"/>
      <c r="I554" s="284" t="str">
        <f>IF(G551&lt;=J553,"≤","&gt;")</f>
        <v>&gt;</v>
      </c>
      <c r="J554" s="28">
        <f>J553</f>
        <v>4</v>
      </c>
      <c r="L554" s="279"/>
      <c r="M554" s="120"/>
      <c r="N554" s="213"/>
      <c r="O554" s="279"/>
      <c r="P554" s="236"/>
      <c r="Q554" s="236"/>
      <c r="R554" s="234"/>
      <c r="S554" s="204"/>
      <c r="V554" s="185"/>
    </row>
    <row r="555" spans="1:22" ht="18" hidden="1" customHeight="1">
      <c r="A555" s="96"/>
      <c r="B555" s="14"/>
      <c r="G555" s="14"/>
      <c r="H555" s="14"/>
      <c r="I555" s="14"/>
      <c r="J555" s="14"/>
      <c r="K555" s="14"/>
      <c r="L555" s="14"/>
      <c r="M555" s="14"/>
      <c r="N555" s="14"/>
      <c r="R555" s="234"/>
      <c r="S555" s="204"/>
      <c r="V555" s="185"/>
    </row>
    <row r="556" spans="1:22" ht="18" hidden="1" customHeight="1">
      <c r="A556" s="96"/>
      <c r="B556" s="14" t="s">
        <v>702</v>
      </c>
      <c r="G556" s="14"/>
      <c r="H556" s="18" t="str">
        <f>IF(AND(E554="≤",I554="≤")=TRUE,"OK","Not OK")</f>
        <v>Not OK</v>
      </c>
      <c r="I556" s="14"/>
      <c r="J556" s="14"/>
      <c r="K556" s="14"/>
      <c r="L556" s="14"/>
      <c r="M556" s="14"/>
      <c r="N556" s="14"/>
      <c r="R556" s="234"/>
      <c r="S556" s="204"/>
      <c r="V556" s="185"/>
    </row>
    <row r="557" spans="1:22" ht="18" hidden="1" customHeight="1">
      <c r="A557" s="96"/>
      <c r="B557" s="14"/>
      <c r="G557" s="14"/>
      <c r="H557" s="18"/>
      <c r="I557" s="14"/>
      <c r="J557" s="14"/>
      <c r="K557" s="14"/>
      <c r="L557" s="14"/>
      <c r="M557" s="14"/>
      <c r="N557" s="14"/>
      <c r="R557" s="234"/>
      <c r="S557" s="204"/>
      <c r="V557" s="185"/>
    </row>
    <row r="558" spans="1:22" ht="18" hidden="1" customHeight="1">
      <c r="A558" s="96"/>
      <c r="B558" s="14"/>
      <c r="G558" s="14"/>
      <c r="H558" s="18"/>
      <c r="I558" s="14"/>
      <c r="J558" s="14"/>
      <c r="K558" s="14"/>
      <c r="L558" s="14"/>
      <c r="M558" s="14"/>
      <c r="N558" s="14"/>
      <c r="R558" s="234"/>
      <c r="S558" s="204"/>
      <c r="V558" s="185"/>
    </row>
    <row r="559" spans="1:22" ht="18" hidden="1" customHeight="1">
      <c r="A559" s="96"/>
      <c r="B559" s="14"/>
      <c r="G559" s="14"/>
      <c r="H559" s="18"/>
      <c r="I559" s="14"/>
      <c r="J559" s="14"/>
      <c r="K559" s="14"/>
      <c r="L559" s="14"/>
      <c r="M559" s="14"/>
      <c r="N559" s="14"/>
      <c r="R559" s="234"/>
      <c r="S559" s="204"/>
      <c r="V559" s="185"/>
    </row>
    <row r="560" spans="1:22" ht="18" hidden="1" customHeight="1">
      <c r="A560" s="96"/>
      <c r="B560" s="14"/>
      <c r="G560" s="14"/>
      <c r="H560" s="18"/>
      <c r="I560" s="14"/>
      <c r="J560" s="14"/>
      <c r="K560" s="14"/>
      <c r="L560" s="14"/>
      <c r="M560" s="14"/>
      <c r="N560" s="14"/>
      <c r="R560" s="234"/>
      <c r="S560" s="204"/>
      <c r="V560" s="185"/>
    </row>
    <row r="561" spans="1:29" ht="18" hidden="1" customHeight="1">
      <c r="A561" s="96"/>
      <c r="B561" s="14"/>
      <c r="G561" s="14"/>
      <c r="H561" s="18"/>
      <c r="I561" s="14"/>
      <c r="J561" s="14"/>
      <c r="K561" s="14"/>
      <c r="L561" s="14"/>
      <c r="M561" s="14"/>
      <c r="N561" s="14"/>
      <c r="R561" s="234"/>
      <c r="S561" s="204"/>
      <c r="V561" s="185"/>
    </row>
    <row r="562" spans="1:29" ht="18" hidden="1" customHeight="1">
      <c r="A562" s="96"/>
      <c r="B562" s="14"/>
      <c r="G562" s="14"/>
      <c r="H562" s="14"/>
      <c r="I562" s="14"/>
      <c r="J562" s="14"/>
      <c r="K562" s="14"/>
      <c r="L562" s="14"/>
      <c r="M562" s="14"/>
      <c r="N562" s="14"/>
      <c r="R562" s="234"/>
      <c r="S562" s="204"/>
      <c r="V562" s="185"/>
    </row>
    <row r="563" spans="1:29" ht="18" hidden="1" customHeight="1">
      <c r="A563" s="194"/>
      <c r="B563" s="195"/>
      <c r="C563" s="195"/>
      <c r="D563" s="195"/>
      <c r="E563" s="195"/>
      <c r="F563" s="195"/>
      <c r="G563" s="195"/>
      <c r="H563" s="195"/>
      <c r="I563" s="195"/>
      <c r="J563" s="195"/>
      <c r="K563" s="195"/>
      <c r="L563" s="195"/>
      <c r="M563" s="195"/>
      <c r="N563" s="195"/>
      <c r="O563" s="195"/>
      <c r="P563" s="195"/>
      <c r="Q563" s="224"/>
      <c r="R563" s="182"/>
      <c r="S563" s="225"/>
      <c r="T563" s="195"/>
      <c r="U563" s="195"/>
      <c r="V563" s="134" t="s">
        <v>552</v>
      </c>
    </row>
    <row r="564" spans="1:29" ht="18" hidden="1" customHeight="1">
      <c r="A564" s="226"/>
      <c r="B564" s="227"/>
      <c r="C564" s="227"/>
      <c r="D564" s="227"/>
      <c r="E564" s="227"/>
      <c r="F564" s="227"/>
      <c r="G564" s="227"/>
      <c r="H564" s="227"/>
      <c r="I564" s="227"/>
      <c r="J564" s="227"/>
      <c r="K564" s="227"/>
      <c r="L564" s="227"/>
      <c r="M564" s="227"/>
      <c r="N564" s="227"/>
      <c r="O564" s="227"/>
      <c r="P564" s="227"/>
      <c r="Q564" s="227"/>
      <c r="R564" s="227"/>
      <c r="S564" s="227"/>
      <c r="T564" s="227"/>
      <c r="U564" s="227"/>
      <c r="V564" s="228"/>
    </row>
    <row r="565" spans="1:29" ht="18" hidden="1" customHeight="1">
      <c r="A565" s="184"/>
      <c r="B565" s="854" t="str">
        <f>B477</f>
        <v>CT1L1</v>
      </c>
      <c r="C565" s="831"/>
      <c r="D565" s="855" t="str">
        <f>D477</f>
        <v>Core3</v>
      </c>
      <c r="E565" s="856"/>
      <c r="F565" s="186" t="s">
        <v>636</v>
      </c>
      <c r="H565" s="684" t="str">
        <f>H477</f>
        <v>(Transformer Differential)</v>
      </c>
      <c r="I565" s="684"/>
      <c r="J565" s="684"/>
      <c r="K565" s="684"/>
      <c r="L565" s="684"/>
      <c r="M565" s="684"/>
      <c r="P565" s="186"/>
      <c r="S565" s="187" t="s">
        <v>387</v>
      </c>
      <c r="T565" s="1154" t="str">
        <f>T477</f>
        <v>7UT85</v>
      </c>
      <c r="U565" s="1155"/>
      <c r="V565" s="185"/>
    </row>
    <row r="566" spans="1:29" ht="18" hidden="1" customHeight="1">
      <c r="A566" s="184"/>
      <c r="B566" s="853" t="str">
        <f>B478</f>
        <v>CT1L2</v>
      </c>
      <c r="C566" s="853"/>
      <c r="D566" s="857"/>
      <c r="E566" s="858"/>
      <c r="F566" s="255"/>
      <c r="T566" s="1154">
        <f>T478</f>
        <v>0</v>
      </c>
      <c r="U566" s="1155"/>
      <c r="V566" s="185"/>
    </row>
    <row r="567" spans="1:29" ht="18" hidden="1" customHeight="1">
      <c r="A567" s="184"/>
      <c r="H567" s="708" t="s">
        <v>390</v>
      </c>
      <c r="I567" s="708"/>
      <c r="J567" s="708" t="s">
        <v>391</v>
      </c>
      <c r="K567" s="708"/>
      <c r="L567" s="789" t="s">
        <v>392</v>
      </c>
      <c r="M567" s="789"/>
      <c r="T567" s="1154">
        <f>T479</f>
        <v>0</v>
      </c>
      <c r="U567" s="1155"/>
      <c r="V567" s="185"/>
    </row>
    <row r="568" spans="1:29" ht="18" hidden="1" customHeight="1">
      <c r="A568" s="184"/>
      <c r="B568" s="47" t="s">
        <v>393</v>
      </c>
      <c r="H568" s="854">
        <f>H480</f>
        <v>5000</v>
      </c>
      <c r="I568" s="831"/>
      <c r="J568" s="854">
        <f>J480</f>
        <v>4000</v>
      </c>
      <c r="K568" s="831"/>
      <c r="L568" s="863">
        <f>L480</f>
        <v>3000</v>
      </c>
      <c r="M568" s="864"/>
      <c r="N568" s="102" t="s">
        <v>342</v>
      </c>
      <c r="O568" s="256">
        <f>O480</f>
        <v>1</v>
      </c>
      <c r="P568" s="27" t="s">
        <v>8</v>
      </c>
      <c r="V568" s="185"/>
    </row>
    <row r="569" spans="1:29" ht="18" hidden="1" customHeight="1">
      <c r="A569" s="184"/>
      <c r="B569" s="47" t="s">
        <v>394</v>
      </c>
      <c r="H569" s="14"/>
      <c r="I569" s="14"/>
      <c r="L569" s="854" t="str">
        <f>J481</f>
        <v>PX</v>
      </c>
      <c r="M569" s="776"/>
      <c r="V569" s="185"/>
    </row>
    <row r="570" spans="1:29" ht="18" hidden="1" customHeight="1">
      <c r="A570" s="184"/>
      <c r="B570" s="47" t="s">
        <v>396</v>
      </c>
      <c r="K570" s="120" t="s">
        <v>497</v>
      </c>
      <c r="L570" s="781">
        <v>10</v>
      </c>
      <c r="M570" s="782"/>
      <c r="N570" s="192" t="s">
        <v>333</v>
      </c>
      <c r="V570" s="185"/>
    </row>
    <row r="571" spans="1:29" ht="18" hidden="1" customHeight="1">
      <c r="A571" s="184"/>
      <c r="B571" s="47" t="s">
        <v>398</v>
      </c>
      <c r="K571" s="120" t="s">
        <v>498</v>
      </c>
      <c r="L571" s="781">
        <v>800</v>
      </c>
      <c r="M571" s="782"/>
      <c r="N571" s="14" t="s">
        <v>305</v>
      </c>
      <c r="V571" s="185"/>
      <c r="W571" s="30" t="s">
        <v>400</v>
      </c>
      <c r="AB571" s="785">
        <f>D626</f>
        <v>60.651516837084017</v>
      </c>
      <c r="AC571" s="786"/>
    </row>
    <row r="572" spans="1:29" ht="18" hidden="1" customHeight="1">
      <c r="A572" s="184"/>
      <c r="B572" s="14" t="s">
        <v>401</v>
      </c>
      <c r="K572" s="120" t="s">
        <v>402</v>
      </c>
      <c r="L572" s="781">
        <v>50</v>
      </c>
      <c r="M572" s="782"/>
      <c r="N572" s="30" t="s">
        <v>403</v>
      </c>
      <c r="V572" s="185"/>
    </row>
    <row r="573" spans="1:29" ht="18" hidden="1" customHeight="1">
      <c r="A573" s="96"/>
      <c r="V573" s="185"/>
    </row>
    <row r="574" spans="1:29" ht="18" hidden="1" customHeight="1">
      <c r="A574" s="193" t="s">
        <v>404</v>
      </c>
      <c r="V574" s="185"/>
    </row>
    <row r="575" spans="1:29" ht="18" hidden="1" customHeight="1">
      <c r="A575" s="184"/>
      <c r="V575" s="185"/>
    </row>
    <row r="576" spans="1:29" ht="18" hidden="1" customHeight="1">
      <c r="A576" s="184"/>
      <c r="B576" s="194" t="s">
        <v>405</v>
      </c>
      <c r="C576" s="195"/>
      <c r="D576" s="195" t="str">
        <f>T565</f>
        <v>7UT85</v>
      </c>
      <c r="E576" s="196"/>
      <c r="F576" s="196"/>
      <c r="G576" s="196"/>
      <c r="H576" s="182" t="s">
        <v>406</v>
      </c>
      <c r="I576" s="183" t="s">
        <v>127</v>
      </c>
      <c r="J576" s="766">
        <f>J488</f>
        <v>0.1</v>
      </c>
      <c r="K576" s="958"/>
      <c r="L576" s="3" t="s">
        <v>157</v>
      </c>
      <c r="V576" s="185"/>
    </row>
    <row r="577" spans="1:22" ht="18" hidden="1" customHeight="1">
      <c r="A577" s="184"/>
      <c r="B577" s="184" t="s">
        <v>405</v>
      </c>
      <c r="D577" s="30">
        <f>T566</f>
        <v>0</v>
      </c>
      <c r="H577" s="27"/>
      <c r="I577" s="177" t="s">
        <v>127</v>
      </c>
      <c r="J577" s="766">
        <f>J489</f>
        <v>0</v>
      </c>
      <c r="K577" s="958"/>
      <c r="L577" s="198" t="s">
        <v>157</v>
      </c>
      <c r="V577" s="185"/>
    </row>
    <row r="578" spans="1:22" ht="18" hidden="1" customHeight="1">
      <c r="A578" s="184"/>
      <c r="B578" s="184" t="s">
        <v>405</v>
      </c>
      <c r="D578" s="30">
        <f>T567</f>
        <v>0</v>
      </c>
      <c r="E578" s="14"/>
      <c r="G578" s="199"/>
      <c r="H578" s="27"/>
      <c r="I578" s="177" t="s">
        <v>127</v>
      </c>
      <c r="J578" s="766">
        <f>J490</f>
        <v>0</v>
      </c>
      <c r="K578" s="958"/>
      <c r="L578" s="202" t="s">
        <v>157</v>
      </c>
      <c r="V578" s="185"/>
    </row>
    <row r="579" spans="1:22" ht="18" hidden="1" customHeight="1">
      <c r="A579" s="184"/>
      <c r="B579" s="184" t="s">
        <v>412</v>
      </c>
      <c r="H579" s="27" t="s">
        <v>599</v>
      </c>
      <c r="I579" s="177" t="s">
        <v>127</v>
      </c>
      <c r="J579" s="766">
        <f>J491</f>
        <v>1.1667743100000001</v>
      </c>
      <c r="K579" s="958"/>
      <c r="L579" s="203" t="s">
        <v>157</v>
      </c>
      <c r="V579" s="185"/>
    </row>
    <row r="580" spans="1:22" ht="18" hidden="1" customHeight="1">
      <c r="A580" s="184"/>
      <c r="B580" s="205" t="s">
        <v>413</v>
      </c>
      <c r="C580" s="206"/>
      <c r="D580" s="206"/>
      <c r="E580" s="206"/>
      <c r="F580" s="207"/>
      <c r="G580" s="207"/>
      <c r="H580" s="190" t="s">
        <v>409</v>
      </c>
      <c r="I580" s="208" t="s">
        <v>127</v>
      </c>
      <c r="J580" s="766">
        <f>J577+J579</f>
        <v>1.1667743100000001</v>
      </c>
      <c r="K580" s="958"/>
      <c r="L580" s="210" t="s">
        <v>157</v>
      </c>
      <c r="V580" s="185"/>
    </row>
    <row r="581" spans="1:22" ht="18" hidden="1" customHeight="1">
      <c r="A581" s="184"/>
      <c r="B581" s="47"/>
      <c r="C581" s="47"/>
      <c r="D581" s="47"/>
      <c r="E581" s="47"/>
      <c r="H581" s="27"/>
      <c r="I581" s="28"/>
      <c r="J581" s="199"/>
      <c r="L581" s="47"/>
      <c r="O581" s="27"/>
      <c r="P581" s="211"/>
      <c r="Q581" s="211"/>
      <c r="R581" s="192"/>
      <c r="V581" s="185"/>
    </row>
    <row r="582" spans="1:22" ht="18" hidden="1" customHeight="1">
      <c r="A582" s="184"/>
      <c r="B582" s="197" t="s">
        <v>648</v>
      </c>
      <c r="L582" s="47"/>
      <c r="M582" s="197" t="s">
        <v>407</v>
      </c>
      <c r="V582" s="185"/>
    </row>
    <row r="583" spans="1:22" s="14" customFormat="1" ht="18" hidden="1" customHeight="1">
      <c r="A583" s="184"/>
      <c r="B583" s="27" t="s">
        <v>649</v>
      </c>
      <c r="C583" s="27" t="s">
        <v>127</v>
      </c>
      <c r="D583" s="30" t="s">
        <v>406</v>
      </c>
      <c r="E583" s="271" t="s">
        <v>410</v>
      </c>
      <c r="F583" s="27" t="s">
        <v>146</v>
      </c>
      <c r="G583" s="28" t="s">
        <v>315</v>
      </c>
      <c r="H583" s="218" t="s">
        <v>146</v>
      </c>
      <c r="I583" s="30" t="s">
        <v>350</v>
      </c>
      <c r="J583" s="199"/>
      <c r="K583" s="30"/>
      <c r="L583" s="47"/>
      <c r="M583" s="30" t="s">
        <v>408</v>
      </c>
      <c r="N583" s="27" t="s">
        <v>127</v>
      </c>
      <c r="O583" s="30" t="s">
        <v>409</v>
      </c>
      <c r="P583" s="191" t="s">
        <v>410</v>
      </c>
      <c r="Q583" s="244" t="s">
        <v>411</v>
      </c>
      <c r="R583" s="27" t="s">
        <v>315</v>
      </c>
      <c r="S583" s="30" t="s">
        <v>411</v>
      </c>
      <c r="T583" s="30" t="s">
        <v>350</v>
      </c>
      <c r="U583" s="30"/>
      <c r="V583" s="185"/>
    </row>
    <row r="584" spans="1:22" s="14" customFormat="1" ht="18" hidden="1" customHeight="1">
      <c r="A584" s="184"/>
      <c r="B584" s="47"/>
      <c r="C584" s="27" t="s">
        <v>127</v>
      </c>
      <c r="D584" s="204">
        <f>J576</f>
        <v>0.1</v>
      </c>
      <c r="E584" s="191" t="s">
        <v>410</v>
      </c>
      <c r="F584" s="27">
        <f>F496</f>
        <v>1</v>
      </c>
      <c r="G584" s="27" t="s">
        <v>315</v>
      </c>
      <c r="H584" s="27">
        <f>H496</f>
        <v>1</v>
      </c>
      <c r="I584" s="30" t="s">
        <v>350</v>
      </c>
      <c r="J584" s="199"/>
      <c r="K584" s="30"/>
      <c r="L584" s="47"/>
      <c r="M584" s="30"/>
      <c r="N584" s="27" t="s">
        <v>127</v>
      </c>
      <c r="O584" s="204">
        <f>J580</f>
        <v>1.1667743100000001</v>
      </c>
      <c r="P584" s="191" t="s">
        <v>410</v>
      </c>
      <c r="Q584" s="27">
        <f>O568</f>
        <v>1</v>
      </c>
      <c r="R584" s="27" t="s">
        <v>315</v>
      </c>
      <c r="S584" s="27">
        <f>O568</f>
        <v>1</v>
      </c>
      <c r="T584" s="30" t="s">
        <v>350</v>
      </c>
      <c r="U584" s="30"/>
      <c r="V584" s="185"/>
    </row>
    <row r="585" spans="1:22" s="14" customFormat="1" ht="18" hidden="1" customHeight="1">
      <c r="A585" s="184"/>
      <c r="B585" s="47"/>
      <c r="C585" s="27" t="s">
        <v>127</v>
      </c>
      <c r="D585" s="795">
        <f>D584/(F584*H584)</f>
        <v>0.1</v>
      </c>
      <c r="E585" s="795"/>
      <c r="F585" s="192" t="s">
        <v>333</v>
      </c>
      <c r="G585" s="30"/>
      <c r="H585" s="30"/>
      <c r="I585" s="30"/>
      <c r="J585" s="199"/>
      <c r="K585" s="30"/>
      <c r="L585" s="47"/>
      <c r="M585" s="30"/>
      <c r="N585" s="27" t="s">
        <v>127</v>
      </c>
      <c r="O585" s="795">
        <f>O584/(Q584*S584)</f>
        <v>1.1667743100000001</v>
      </c>
      <c r="P585" s="795"/>
      <c r="Q585" s="192" t="s">
        <v>333</v>
      </c>
      <c r="R585" s="30"/>
      <c r="S585" s="30"/>
      <c r="T585" s="30"/>
      <c r="U585" s="30"/>
      <c r="V585" s="185"/>
    </row>
    <row r="586" spans="1:22" s="14" customFormat="1" ht="18" hidden="1" customHeight="1">
      <c r="A586" s="184"/>
      <c r="B586" s="47"/>
      <c r="C586" s="47"/>
      <c r="D586" s="47"/>
      <c r="E586" s="47"/>
      <c r="F586" s="30"/>
      <c r="G586" s="30"/>
      <c r="H586" s="27"/>
      <c r="I586" s="28"/>
      <c r="J586" s="199"/>
      <c r="K586" s="30"/>
      <c r="L586" s="47"/>
      <c r="M586" s="30"/>
      <c r="N586" s="30"/>
      <c r="O586" s="27"/>
      <c r="P586" s="211"/>
      <c r="Q586" s="211"/>
      <c r="R586" s="192"/>
      <c r="S586" s="30"/>
      <c r="T586" s="30"/>
      <c r="U586" s="30"/>
      <c r="V586" s="185"/>
    </row>
    <row r="587" spans="1:22" s="14" customFormat="1" ht="18" hidden="1" customHeight="1">
      <c r="A587" s="184"/>
      <c r="B587" s="47" t="s">
        <v>668</v>
      </c>
      <c r="C587" s="47"/>
      <c r="D587" s="47"/>
      <c r="E587" s="47"/>
      <c r="F587" s="30"/>
      <c r="G587" s="30"/>
      <c r="H587" s="27"/>
      <c r="I587" s="28"/>
      <c r="J587" s="199"/>
      <c r="K587" s="30"/>
      <c r="L587" s="47" t="s">
        <v>127</v>
      </c>
      <c r="M587" s="204">
        <f>D585</f>
        <v>0.1</v>
      </c>
      <c r="N587" s="27" t="s">
        <v>347</v>
      </c>
      <c r="O587" s="211">
        <f>O585</f>
        <v>1.1667743100000001</v>
      </c>
      <c r="P587" s="211" t="s">
        <v>127</v>
      </c>
      <c r="Q587" s="211">
        <f>M587+O587</f>
        <v>1.2667743100000002</v>
      </c>
      <c r="R587" s="192" t="s">
        <v>333</v>
      </c>
      <c r="S587" s="30"/>
      <c r="T587" s="30"/>
      <c r="U587" s="30"/>
      <c r="V587" s="185"/>
    </row>
    <row r="588" spans="1:22" s="14" customFormat="1" ht="18" hidden="1" customHeight="1">
      <c r="A588" s="193" t="s">
        <v>600</v>
      </c>
      <c r="B588" s="5"/>
      <c r="C588" s="5"/>
      <c r="D588" s="5"/>
      <c r="E588" s="5"/>
      <c r="F588" s="5"/>
      <c r="G588" s="5"/>
      <c r="H588" s="212"/>
      <c r="I588" s="212"/>
      <c r="J588" s="5"/>
      <c r="K588" s="5"/>
      <c r="L588" s="5"/>
      <c r="M588" s="5"/>
      <c r="N588" s="5"/>
      <c r="O588" s="5"/>
      <c r="P588" s="103"/>
      <c r="Q588" s="212"/>
      <c r="R588" s="213"/>
      <c r="S588" s="214"/>
      <c r="T588" s="18"/>
      <c r="U588" s="18"/>
      <c r="V588" s="97"/>
    </row>
    <row r="589" spans="1:22" s="14" customFormat="1" ht="18" hidden="1" customHeight="1">
      <c r="A589" s="96"/>
      <c r="B589" s="47" t="s">
        <v>601</v>
      </c>
      <c r="C589" s="5"/>
      <c r="D589" s="5"/>
      <c r="E589" s="5"/>
      <c r="I589" s="215"/>
      <c r="M589" s="5"/>
      <c r="N589" s="103" t="s">
        <v>127</v>
      </c>
      <c r="O589" s="1154">
        <f>O501</f>
        <v>100</v>
      </c>
      <c r="P589" s="831"/>
      <c r="Q589" s="14" t="s">
        <v>602</v>
      </c>
      <c r="S589" s="214"/>
      <c r="T589" s="18"/>
      <c r="U589" s="18"/>
      <c r="V589" s="97"/>
    </row>
    <row r="590" spans="1:22" s="14" customFormat="1" ht="18" hidden="1" customHeight="1">
      <c r="A590" s="96"/>
      <c r="B590" s="47" t="s">
        <v>603</v>
      </c>
      <c r="C590" s="5"/>
      <c r="D590" s="5"/>
      <c r="E590" s="5"/>
      <c r="I590" s="215"/>
      <c r="M590" s="5"/>
      <c r="N590" s="103" t="s">
        <v>127</v>
      </c>
      <c r="O590" s="1154">
        <f>O502</f>
        <v>25</v>
      </c>
      <c r="P590" s="831"/>
      <c r="Q590" s="14" t="s">
        <v>604</v>
      </c>
      <c r="S590" s="214"/>
      <c r="T590" s="18"/>
      <c r="U590" s="18"/>
      <c r="V590" s="97"/>
    </row>
    <row r="591" spans="1:22" s="14" customFormat="1" ht="18" hidden="1" customHeight="1">
      <c r="A591" s="96"/>
      <c r="B591" s="47" t="s">
        <v>605</v>
      </c>
      <c r="C591" s="5"/>
      <c r="D591" s="5"/>
      <c r="E591" s="5"/>
      <c r="M591" s="120" t="s">
        <v>606</v>
      </c>
      <c r="N591" s="103" t="s">
        <v>607</v>
      </c>
      <c r="O591" s="1154">
        <f>O503</f>
        <v>132</v>
      </c>
      <c r="P591" s="831"/>
      <c r="Q591" s="14" t="s">
        <v>163</v>
      </c>
      <c r="S591" s="214"/>
      <c r="T591" s="18"/>
      <c r="U591" s="18"/>
      <c r="V591" s="97"/>
    </row>
    <row r="592" spans="1:22" s="14" customFormat="1" ht="18" hidden="1" customHeight="1">
      <c r="A592" s="216"/>
      <c r="B592" s="212"/>
      <c r="C592" s="212"/>
      <c r="D592" s="212"/>
      <c r="E592" s="212"/>
      <c r="T592" s="18"/>
      <c r="U592" s="18"/>
      <c r="V592" s="97"/>
    </row>
    <row r="593" spans="1:22" s="14" customFormat="1" ht="18" hidden="1" customHeight="1">
      <c r="A593" s="272" t="s">
        <v>608</v>
      </c>
      <c r="B593" s="213"/>
      <c r="C593" s="213"/>
      <c r="D593" s="213"/>
      <c r="E593" s="213"/>
      <c r="H593" s="120" t="s">
        <v>609</v>
      </c>
      <c r="I593" s="28" t="s">
        <v>127</v>
      </c>
      <c r="J593" s="689" t="s">
        <v>610</v>
      </c>
      <c r="K593" s="689"/>
      <c r="L593" s="28" t="s">
        <v>315</v>
      </c>
      <c r="M593" s="217">
        <v>1000</v>
      </c>
      <c r="N593" s="102" t="s">
        <v>342</v>
      </c>
      <c r="O593" s="28" t="s">
        <v>611</v>
      </c>
      <c r="P593" s="28" t="s">
        <v>315</v>
      </c>
      <c r="Q593" s="28" t="s">
        <v>606</v>
      </c>
      <c r="R593" s="47" t="s">
        <v>350</v>
      </c>
      <c r="T593" s="18"/>
      <c r="U593" s="18"/>
      <c r="V593" s="97"/>
    </row>
    <row r="594" spans="1:22" ht="18" hidden="1" customHeight="1">
      <c r="A594" s="216"/>
      <c r="B594" s="213"/>
      <c r="C594" s="213"/>
      <c r="D594" s="213"/>
      <c r="E594" s="213"/>
      <c r="F594" s="212"/>
      <c r="G594" s="212"/>
      <c r="H594" s="28"/>
      <c r="I594" s="28" t="s">
        <v>127</v>
      </c>
      <c r="J594" s="689">
        <f>O589</f>
        <v>100</v>
      </c>
      <c r="K594" s="689"/>
      <c r="L594" s="28" t="s">
        <v>315</v>
      </c>
      <c r="M594" s="217">
        <v>1000</v>
      </c>
      <c r="N594" s="102" t="s">
        <v>342</v>
      </c>
      <c r="O594" s="28" t="s">
        <v>611</v>
      </c>
      <c r="P594" s="28" t="s">
        <v>315</v>
      </c>
      <c r="Q594" s="28">
        <f>O591</f>
        <v>132</v>
      </c>
      <c r="R594" s="47" t="s">
        <v>350</v>
      </c>
      <c r="S594" s="14"/>
      <c r="T594" s="18"/>
      <c r="U594" s="18"/>
      <c r="V594" s="97"/>
    </row>
    <row r="595" spans="1:22" ht="18" hidden="1" customHeight="1">
      <c r="A595" s="216"/>
      <c r="B595" s="212"/>
      <c r="C595" s="212"/>
      <c r="D595" s="212"/>
      <c r="E595" s="212"/>
      <c r="F595" s="212"/>
      <c r="G595" s="212"/>
      <c r="H595" s="14"/>
      <c r="I595" s="28" t="s">
        <v>127</v>
      </c>
      <c r="J595" s="692">
        <f>(O589*1000)/(SQRT(3)*O591)</f>
        <v>437.38656756789834</v>
      </c>
      <c r="K595" s="692"/>
      <c r="L595" s="14" t="s">
        <v>8</v>
      </c>
      <c r="M595" s="120"/>
      <c r="N595" s="120"/>
      <c r="O595" s="120"/>
      <c r="P595" s="14"/>
      <c r="Q595" s="14"/>
      <c r="R595" s="14"/>
      <c r="S595" s="14"/>
      <c r="T595" s="18"/>
      <c r="U595" s="18"/>
      <c r="V595" s="97"/>
    </row>
    <row r="596" spans="1:22" ht="18" hidden="1" customHeight="1">
      <c r="A596" s="216"/>
      <c r="B596" s="212"/>
      <c r="C596" s="212"/>
      <c r="D596" s="212"/>
      <c r="E596" s="212"/>
      <c r="F596" s="14"/>
      <c r="G596" s="212"/>
      <c r="H596" s="28"/>
      <c r="I596" s="103"/>
      <c r="J596" s="28"/>
      <c r="K596" s="14"/>
      <c r="L596" s="14"/>
      <c r="M596" s="212"/>
      <c r="N596" s="219"/>
      <c r="O596" s="212"/>
      <c r="P596" s="14"/>
      <c r="Q596" s="14"/>
      <c r="R596" s="14"/>
      <c r="S596" s="14"/>
      <c r="T596" s="18"/>
      <c r="U596" s="18"/>
      <c r="V596" s="97"/>
    </row>
    <row r="597" spans="1:22" s="14" customFormat="1" ht="18" hidden="1" customHeight="1">
      <c r="A597" s="147" t="s">
        <v>629</v>
      </c>
      <c r="B597" s="5"/>
      <c r="C597" s="5"/>
      <c r="D597" s="5"/>
      <c r="E597" s="5"/>
      <c r="F597" s="212"/>
      <c r="G597" s="212"/>
      <c r="H597" s="5"/>
      <c r="I597" s="5"/>
      <c r="J597" s="5"/>
      <c r="K597" s="5"/>
      <c r="L597" s="103"/>
      <c r="M597" s="103"/>
      <c r="N597" s="103"/>
      <c r="O597" s="103"/>
      <c r="P597" s="212"/>
      <c r="Q597" s="213"/>
      <c r="S597" s="220"/>
      <c r="T597" s="18"/>
      <c r="U597" s="18"/>
      <c r="V597" s="97"/>
    </row>
    <row r="598" spans="1:22" s="14" customFormat="1" ht="18" hidden="1" customHeight="1">
      <c r="A598" s="147"/>
      <c r="B598" s="5"/>
      <c r="C598" s="5"/>
      <c r="D598" s="5"/>
      <c r="E598" s="5"/>
      <c r="F598" s="212"/>
      <c r="G598" s="212"/>
      <c r="H598" s="5"/>
      <c r="I598" s="5"/>
      <c r="J598" s="5"/>
      <c r="K598" s="5"/>
      <c r="L598" s="103"/>
      <c r="M598" s="103"/>
      <c r="N598" s="103"/>
      <c r="O598" s="103"/>
      <c r="P598" s="212"/>
      <c r="Q598" s="213"/>
      <c r="S598" s="214"/>
      <c r="T598" s="18"/>
      <c r="U598" s="18"/>
      <c r="V598" s="97"/>
    </row>
    <row r="599" spans="1:22" ht="18" hidden="1" customHeight="1">
      <c r="A599" s="96" t="s">
        <v>612</v>
      </c>
      <c r="B599" s="14"/>
      <c r="C599" s="14"/>
      <c r="D599" s="14"/>
      <c r="E599" s="14"/>
      <c r="M599" s="120" t="s">
        <v>613</v>
      </c>
      <c r="N599" s="28" t="s">
        <v>127</v>
      </c>
      <c r="O599" s="689" t="s">
        <v>609</v>
      </c>
      <c r="P599" s="716"/>
      <c r="Q599" s="221" t="s">
        <v>630</v>
      </c>
      <c r="R599" s="221">
        <v>16</v>
      </c>
      <c r="S599" s="186"/>
      <c r="V599" s="185"/>
    </row>
    <row r="600" spans="1:22" ht="18" hidden="1" customHeight="1">
      <c r="A600" s="96"/>
      <c r="B600" s="5"/>
      <c r="C600" s="5"/>
      <c r="D600" s="5"/>
      <c r="E600" s="5"/>
      <c r="M600" s="250"/>
      <c r="N600" s="28" t="s">
        <v>127</v>
      </c>
      <c r="O600" s="689">
        <f>+J595</f>
        <v>437.38656756789834</v>
      </c>
      <c r="P600" s="716"/>
      <c r="Q600" s="221" t="s">
        <v>630</v>
      </c>
      <c r="R600" s="221">
        <v>16</v>
      </c>
      <c r="S600" s="186"/>
      <c r="V600" s="185"/>
    </row>
    <row r="601" spans="1:22" s="279" customFormat="1" ht="18" hidden="1" customHeight="1">
      <c r="A601" s="96"/>
      <c r="B601" s="5"/>
      <c r="C601" s="5"/>
      <c r="D601" s="5"/>
      <c r="E601" s="5"/>
      <c r="F601" s="30"/>
      <c r="G601" s="30"/>
      <c r="H601" s="30"/>
      <c r="I601" s="30"/>
      <c r="J601" s="30"/>
      <c r="K601" s="30"/>
      <c r="L601" s="30"/>
      <c r="M601" s="120" t="s">
        <v>613</v>
      </c>
      <c r="N601" s="28" t="s">
        <v>127</v>
      </c>
      <c r="O601" s="689">
        <f>O600*R600</f>
        <v>6998.1850810863734</v>
      </c>
      <c r="P601" s="716"/>
      <c r="Q601" s="241" t="s">
        <v>8</v>
      </c>
      <c r="R601" s="14"/>
      <c r="S601" s="186"/>
      <c r="T601" s="30"/>
      <c r="U601" s="30"/>
      <c r="V601" s="185"/>
    </row>
    <row r="602" spans="1:22" s="279" customFormat="1" ht="18" hidden="1" customHeight="1">
      <c r="A602" s="96"/>
      <c r="B602" s="5"/>
      <c r="C602" s="5"/>
      <c r="D602" s="5"/>
      <c r="E602" s="5"/>
      <c r="F602" s="30"/>
      <c r="G602" s="30"/>
      <c r="H602" s="30"/>
      <c r="I602" s="30"/>
      <c r="J602" s="30"/>
      <c r="K602" s="30"/>
      <c r="L602" s="30"/>
      <c r="M602" s="120"/>
      <c r="N602" s="28"/>
      <c r="O602" s="28"/>
      <c r="P602" s="14"/>
      <c r="Q602" s="241"/>
      <c r="R602" s="14"/>
      <c r="S602" s="186"/>
      <c r="T602" s="30"/>
      <c r="U602" s="30"/>
      <c r="V602" s="185"/>
    </row>
    <row r="603" spans="1:22" s="279" customFormat="1" ht="18" hidden="1" customHeight="1">
      <c r="A603" s="96"/>
      <c r="B603" s="5"/>
      <c r="C603" s="5"/>
      <c r="D603" s="5"/>
      <c r="E603" s="5"/>
      <c r="F603" s="30"/>
      <c r="G603" s="30"/>
      <c r="H603" s="30"/>
      <c r="I603" s="30"/>
      <c r="J603" s="30"/>
      <c r="K603" s="30"/>
      <c r="L603" s="30"/>
      <c r="M603" s="120"/>
      <c r="N603" s="28"/>
      <c r="O603" s="28"/>
      <c r="P603" s="14"/>
      <c r="Q603" s="241"/>
      <c r="R603" s="14"/>
      <c r="S603" s="186"/>
      <c r="T603" s="30"/>
      <c r="U603" s="30"/>
      <c r="V603" s="185"/>
    </row>
    <row r="604" spans="1:22" s="279" customFormat="1" ht="18" hidden="1" customHeight="1">
      <c r="A604" s="96"/>
      <c r="B604" s="5"/>
      <c r="C604" s="5"/>
      <c r="D604" s="5"/>
      <c r="E604" s="5"/>
      <c r="F604" s="30"/>
      <c r="G604" s="30"/>
      <c r="H604" s="30"/>
      <c r="I604" s="30"/>
      <c r="J604" s="30"/>
      <c r="K604" s="30"/>
      <c r="L604" s="30"/>
      <c r="M604" s="120"/>
      <c r="N604" s="28"/>
      <c r="O604" s="28"/>
      <c r="P604" s="14"/>
      <c r="Q604" s="241"/>
      <c r="R604" s="14"/>
      <c r="S604" s="186"/>
      <c r="T604" s="30"/>
      <c r="U604" s="30"/>
      <c r="V604" s="185"/>
    </row>
    <row r="605" spans="1:22" s="279" customFormat="1" ht="18" hidden="1" customHeight="1">
      <c r="A605" s="96"/>
      <c r="B605" s="5"/>
      <c r="C605" s="5"/>
      <c r="D605" s="5"/>
      <c r="E605" s="5"/>
      <c r="F605" s="30"/>
      <c r="G605" s="30"/>
      <c r="H605" s="30"/>
      <c r="I605" s="30"/>
      <c r="J605" s="30"/>
      <c r="K605" s="30"/>
      <c r="L605" s="30"/>
      <c r="M605" s="120"/>
      <c r="N605" s="28"/>
      <c r="O605" s="28"/>
      <c r="P605" s="14"/>
      <c r="Q605" s="241"/>
      <c r="R605" s="14"/>
      <c r="S605" s="186"/>
      <c r="T605" s="30"/>
      <c r="U605" s="30"/>
      <c r="V605" s="185"/>
    </row>
    <row r="606" spans="1:22" s="279" customFormat="1" ht="18" hidden="1" customHeight="1">
      <c r="A606" s="96"/>
      <c r="B606" s="5"/>
      <c r="C606" s="5"/>
      <c r="D606" s="5"/>
      <c r="E606" s="5"/>
      <c r="F606" s="30"/>
      <c r="G606" s="30"/>
      <c r="H606" s="30"/>
      <c r="I606" s="30"/>
      <c r="J606" s="30"/>
      <c r="K606" s="30"/>
      <c r="L606" s="30"/>
      <c r="M606" s="120"/>
      <c r="N606" s="28"/>
      <c r="O606" s="28"/>
      <c r="P606" s="14"/>
      <c r="Q606" s="241"/>
      <c r="R606" s="14"/>
      <c r="S606" s="186"/>
      <c r="T606" s="30"/>
      <c r="U606" s="30"/>
      <c r="V606" s="185"/>
    </row>
    <row r="607" spans="1:22" s="279" customFormat="1" ht="18" hidden="1" customHeight="1">
      <c r="A607" s="194"/>
      <c r="B607" s="195"/>
      <c r="C607" s="195"/>
      <c r="D607" s="195"/>
      <c r="E607" s="195"/>
      <c r="F607" s="195"/>
      <c r="G607" s="195"/>
      <c r="H607" s="195"/>
      <c r="I607" s="195"/>
      <c r="J607" s="195"/>
      <c r="K607" s="195"/>
      <c r="L607" s="195"/>
      <c r="M607" s="195"/>
      <c r="N607" s="195"/>
      <c r="O607" s="195"/>
      <c r="P607" s="195"/>
      <c r="Q607" s="224"/>
      <c r="R607" s="182"/>
      <c r="S607" s="225"/>
      <c r="T607" s="195"/>
      <c r="U607" s="195"/>
      <c r="V607" s="134" t="s">
        <v>552</v>
      </c>
    </row>
    <row r="608" spans="1:22" ht="18" hidden="1" customHeight="1">
      <c r="A608" s="135"/>
      <c r="B608" s="273"/>
      <c r="C608" s="273"/>
      <c r="D608" s="273"/>
      <c r="E608" s="273"/>
      <c r="F608" s="273"/>
      <c r="G608" s="273"/>
      <c r="H608" s="273"/>
      <c r="I608" s="273"/>
      <c r="J608" s="273"/>
      <c r="K608" s="273"/>
      <c r="L608" s="273"/>
      <c r="M608" s="273"/>
      <c r="N608" s="273"/>
      <c r="O608" s="273"/>
      <c r="P608" s="273"/>
      <c r="Q608" s="274"/>
      <c r="R608" s="138"/>
      <c r="S608" s="275"/>
      <c r="T608" s="273"/>
      <c r="U608" s="273"/>
      <c r="V608" s="276"/>
    </row>
    <row r="609" spans="1:22" ht="18" hidden="1" customHeight="1">
      <c r="A609" s="96" t="s">
        <v>686</v>
      </c>
      <c r="V609" s="185"/>
    </row>
    <row r="610" spans="1:22" ht="18" hidden="1" customHeight="1">
      <c r="A610" s="184"/>
      <c r="V610" s="185"/>
    </row>
    <row r="611" spans="1:22" ht="18" hidden="1" customHeight="1">
      <c r="A611" s="277"/>
      <c r="B611" s="689" t="s">
        <v>473</v>
      </c>
      <c r="C611" s="1150" t="s">
        <v>652</v>
      </c>
      <c r="D611" s="279"/>
      <c r="E611" s="279"/>
      <c r="F611" s="279"/>
      <c r="G611" s="802" t="s">
        <v>687</v>
      </c>
      <c r="H611" s="1153" t="s">
        <v>315</v>
      </c>
      <c r="I611" s="708" t="s">
        <v>688</v>
      </c>
      <c r="J611" s="1147"/>
      <c r="K611" s="1147"/>
      <c r="L611" s="1147"/>
      <c r="M611" s="1147"/>
      <c r="N611" s="689" t="s">
        <v>672</v>
      </c>
      <c r="O611" s="708" t="s">
        <v>420</v>
      </c>
      <c r="P611" s="689" t="s">
        <v>347</v>
      </c>
      <c r="Q611" s="708" t="s">
        <v>689</v>
      </c>
      <c r="R611" s="708" t="s">
        <v>674</v>
      </c>
      <c r="S611" s="708" t="s">
        <v>411</v>
      </c>
      <c r="T611" s="14"/>
      <c r="U611" s="729" t="s">
        <v>653</v>
      </c>
      <c r="V611" s="185"/>
    </row>
    <row r="612" spans="1:22" ht="18" hidden="1" customHeight="1">
      <c r="A612" s="277"/>
      <c r="B612" s="689"/>
      <c r="C612" s="689"/>
      <c r="D612" s="279"/>
      <c r="E612" s="279"/>
      <c r="F612" s="279"/>
      <c r="G612" s="802"/>
      <c r="H612" s="689"/>
      <c r="I612" s="689">
        <v>1.3</v>
      </c>
      <c r="J612" s="689"/>
      <c r="K612" s="28" t="s">
        <v>315</v>
      </c>
      <c r="L612" s="689" t="s">
        <v>423</v>
      </c>
      <c r="M612" s="689"/>
      <c r="N612" s="689"/>
      <c r="O612" s="689"/>
      <c r="P612" s="689"/>
      <c r="Q612" s="689"/>
      <c r="R612" s="689"/>
      <c r="S612" s="689"/>
      <c r="T612" s="14"/>
      <c r="U612" s="689"/>
      <c r="V612" s="185"/>
    </row>
    <row r="613" spans="1:22" ht="18" hidden="1" customHeight="1">
      <c r="A613" s="184"/>
      <c r="V613" s="185"/>
    </row>
    <row r="614" spans="1:22" ht="18" hidden="1" customHeight="1">
      <c r="A614" s="184"/>
      <c r="B614" s="47" t="s">
        <v>654</v>
      </c>
      <c r="C614" s="14"/>
      <c r="D614" s="14"/>
      <c r="E614" s="14"/>
      <c r="F614" s="18"/>
      <c r="G614" s="18"/>
      <c r="H614" s="14"/>
      <c r="I614" s="120"/>
      <c r="J614" s="14"/>
      <c r="K614" s="14"/>
      <c r="M614" s="14"/>
      <c r="N614" s="14"/>
      <c r="P614" s="14" t="s">
        <v>423</v>
      </c>
      <c r="R614" s="234" t="s">
        <v>127</v>
      </c>
      <c r="S614" s="684">
        <f>L568</f>
        <v>3000</v>
      </c>
      <c r="T614" s="684"/>
      <c r="U614" s="30" t="s">
        <v>8</v>
      </c>
      <c r="V614" s="185"/>
    </row>
    <row r="615" spans="1:22" ht="18" hidden="1" customHeight="1">
      <c r="A615" s="184"/>
      <c r="B615" s="47" t="s">
        <v>655</v>
      </c>
      <c r="C615" s="14"/>
      <c r="D615" s="14"/>
      <c r="E615" s="14"/>
      <c r="F615" s="18"/>
      <c r="G615" s="18"/>
      <c r="H615" s="14"/>
      <c r="I615" s="120"/>
      <c r="J615" s="14"/>
      <c r="K615" s="14"/>
      <c r="M615" s="14"/>
      <c r="N615" s="14"/>
      <c r="P615" s="14" t="s">
        <v>420</v>
      </c>
      <c r="R615" s="234" t="s">
        <v>127</v>
      </c>
      <c r="S615" s="684">
        <f>L570</f>
        <v>10</v>
      </c>
      <c r="T615" s="684"/>
      <c r="U615" s="192" t="s">
        <v>333</v>
      </c>
      <c r="V615" s="185"/>
    </row>
    <row r="616" spans="1:22" ht="18" hidden="1" customHeight="1">
      <c r="A616" s="184"/>
      <c r="B616" s="47" t="s">
        <v>676</v>
      </c>
      <c r="C616" s="14"/>
      <c r="D616" s="14"/>
      <c r="E616" s="14"/>
      <c r="F616" s="18"/>
      <c r="G616" s="18"/>
      <c r="H616" s="14"/>
      <c r="I616" s="120"/>
      <c r="J616" s="14"/>
      <c r="K616" s="14"/>
      <c r="M616" s="14"/>
      <c r="N616" s="14"/>
      <c r="P616" s="14" t="s">
        <v>690</v>
      </c>
      <c r="R616" s="234" t="s">
        <v>127</v>
      </c>
      <c r="S616" s="795">
        <f>Q587</f>
        <v>1.2667743100000002</v>
      </c>
      <c r="T616" s="795"/>
      <c r="U616" s="192" t="s">
        <v>333</v>
      </c>
      <c r="V616" s="185"/>
    </row>
    <row r="617" spans="1:22" ht="18" hidden="1" customHeight="1">
      <c r="A617" s="184"/>
      <c r="B617" s="47" t="s">
        <v>691</v>
      </c>
      <c r="C617" s="14"/>
      <c r="D617" s="14"/>
      <c r="E617" s="14"/>
      <c r="F617" s="14"/>
      <c r="G617" s="14"/>
      <c r="H617" s="14"/>
      <c r="I617" s="120"/>
      <c r="J617" s="14"/>
      <c r="K617" s="14"/>
      <c r="M617" s="14"/>
      <c r="N617" s="14"/>
      <c r="P617" s="14" t="s">
        <v>411</v>
      </c>
      <c r="R617" s="234" t="s">
        <v>127</v>
      </c>
      <c r="S617" s="684">
        <f>O568</f>
        <v>1</v>
      </c>
      <c r="T617" s="684"/>
      <c r="U617" s="30" t="s">
        <v>8</v>
      </c>
      <c r="V617" s="185"/>
    </row>
    <row r="618" spans="1:22" ht="18" hidden="1" customHeight="1">
      <c r="A618" s="184"/>
      <c r="B618" s="47" t="s">
        <v>678</v>
      </c>
      <c r="C618" s="14"/>
      <c r="D618" s="14"/>
      <c r="E618" s="14"/>
      <c r="F618" s="14"/>
      <c r="G618" s="14"/>
      <c r="H618" s="14"/>
      <c r="I618" s="120"/>
      <c r="J618" s="14"/>
      <c r="K618" s="14"/>
      <c r="M618" s="14"/>
      <c r="N618" s="14"/>
      <c r="P618" s="120" t="s">
        <v>688</v>
      </c>
      <c r="R618" s="234" t="s">
        <v>127</v>
      </c>
      <c r="S618" s="684">
        <f>O601</f>
        <v>6998.1850810863734</v>
      </c>
      <c r="T618" s="684"/>
      <c r="U618" s="30" t="s">
        <v>8</v>
      </c>
      <c r="V618" s="185"/>
    </row>
    <row r="619" spans="1:22" s="279" customFormat="1" ht="18" hidden="1" customHeight="1">
      <c r="A619" s="184"/>
      <c r="B619" s="47" t="s">
        <v>692</v>
      </c>
      <c r="C619" s="14"/>
      <c r="D619" s="14"/>
      <c r="E619" s="14"/>
      <c r="F619" s="14"/>
      <c r="G619" s="14"/>
      <c r="H619" s="14"/>
      <c r="I619" s="120"/>
      <c r="J619" s="14"/>
      <c r="K619" s="14"/>
      <c r="L619" s="30"/>
      <c r="M619" s="14"/>
      <c r="N619" s="14"/>
      <c r="O619" s="30"/>
      <c r="P619" s="120" t="s">
        <v>680</v>
      </c>
      <c r="Q619" s="30"/>
      <c r="R619" s="234" t="s">
        <v>127</v>
      </c>
      <c r="S619" s="795">
        <f>J595</f>
        <v>437.38656756789834</v>
      </c>
      <c r="T619" s="684"/>
      <c r="U619" s="30" t="s">
        <v>8</v>
      </c>
      <c r="V619" s="185"/>
    </row>
    <row r="620" spans="1:22" s="279" customFormat="1" ht="18" hidden="1" customHeight="1">
      <c r="A620" s="184"/>
      <c r="B620" s="47" t="s">
        <v>659</v>
      </c>
      <c r="C620" s="14"/>
      <c r="D620" s="14"/>
      <c r="E620" s="14"/>
      <c r="F620" s="14"/>
      <c r="G620" s="14"/>
      <c r="H620" s="14"/>
      <c r="I620" s="120"/>
      <c r="J620" s="14"/>
      <c r="K620" s="14"/>
      <c r="L620" s="30"/>
      <c r="M620" s="14"/>
      <c r="N620" s="14"/>
      <c r="O620" s="30"/>
      <c r="P620" s="120" t="s">
        <v>660</v>
      </c>
      <c r="Q620" s="30"/>
      <c r="R620" s="234" t="s">
        <v>127</v>
      </c>
      <c r="S620" s="684">
        <f>S532</f>
        <v>1</v>
      </c>
      <c r="T620" s="684"/>
      <c r="U620" s="30" t="s">
        <v>8</v>
      </c>
      <c r="V620" s="185"/>
    </row>
    <row r="621" spans="1:22" ht="18" hidden="1" customHeight="1">
      <c r="A621" s="96"/>
      <c r="B621" s="14"/>
      <c r="C621" s="14"/>
      <c r="D621" s="235"/>
      <c r="E621" s="14"/>
      <c r="F621" s="28"/>
      <c r="G621" s="249"/>
      <c r="H621" s="28"/>
      <c r="I621" s="251"/>
      <c r="J621" s="14"/>
      <c r="K621" s="280"/>
      <c r="M621" s="47"/>
      <c r="N621" s="268"/>
      <c r="P621" s="281"/>
      <c r="R621" s="234"/>
      <c r="S621" s="1148"/>
      <c r="T621" s="723"/>
      <c r="V621" s="185"/>
    </row>
    <row r="622" spans="1:22" ht="18" hidden="1" customHeight="1">
      <c r="A622" s="272" t="s">
        <v>693</v>
      </c>
      <c r="B622" s="14"/>
      <c r="C622" s="14"/>
      <c r="D622" s="14"/>
      <c r="E622" s="14"/>
      <c r="F622" s="14"/>
      <c r="G622" s="14"/>
      <c r="H622" s="28">
        <v>3</v>
      </c>
      <c r="I622" s="47" t="s">
        <v>694</v>
      </c>
      <c r="J622" s="14"/>
      <c r="K622" s="14"/>
      <c r="M622" s="14" t="s">
        <v>337</v>
      </c>
      <c r="N622" s="14"/>
      <c r="P622" s="120"/>
      <c r="R622" s="234"/>
      <c r="S622" s="1149"/>
      <c r="T622" s="723"/>
      <c r="V622" s="185"/>
    </row>
    <row r="623" spans="1:22" ht="18" hidden="1" customHeight="1">
      <c r="A623" s="272"/>
      <c r="B623" s="14"/>
      <c r="C623" s="14"/>
      <c r="D623" s="14"/>
      <c r="E623" s="14"/>
      <c r="F623" s="14"/>
      <c r="G623" s="14"/>
      <c r="H623" s="28"/>
      <c r="I623" s="47"/>
      <c r="J623" s="14"/>
      <c r="K623" s="14"/>
      <c r="M623" s="14"/>
      <c r="N623" s="14"/>
      <c r="P623" s="120"/>
      <c r="R623" s="234"/>
      <c r="S623" s="282"/>
      <c r="V623" s="185"/>
    </row>
    <row r="624" spans="1:22" ht="18" hidden="1" customHeight="1">
      <c r="A624" s="277"/>
      <c r="B624" s="689" t="s">
        <v>703</v>
      </c>
      <c r="C624" s="1150" t="s">
        <v>652</v>
      </c>
      <c r="D624" s="279"/>
      <c r="E624" s="279"/>
      <c r="F624" s="279"/>
      <c r="G624" s="802">
        <f>H622</f>
        <v>3</v>
      </c>
      <c r="H624" s="1151" t="s">
        <v>315</v>
      </c>
      <c r="I624" s="829">
        <f>S618</f>
        <v>6998.1850810863734</v>
      </c>
      <c r="J624" s="1152"/>
      <c r="K624" s="1152"/>
      <c r="L624" s="1152"/>
      <c r="M624" s="1152"/>
      <c r="N624" s="689" t="s">
        <v>672</v>
      </c>
      <c r="O624" s="708">
        <f>S615</f>
        <v>10</v>
      </c>
      <c r="P624" s="689" t="s">
        <v>347</v>
      </c>
      <c r="Q624" s="829">
        <f>S616</f>
        <v>1.2667743100000002</v>
      </c>
      <c r="R624" s="708" t="s">
        <v>674</v>
      </c>
      <c r="S624" s="708">
        <f>S617</f>
        <v>1</v>
      </c>
      <c r="T624" s="14"/>
      <c r="U624" s="729" t="s">
        <v>653</v>
      </c>
      <c r="V624" s="185"/>
    </row>
    <row r="625" spans="1:22" ht="18" hidden="1" customHeight="1">
      <c r="A625" s="277"/>
      <c r="B625" s="689"/>
      <c r="C625" s="689"/>
      <c r="D625" s="279"/>
      <c r="E625" s="279"/>
      <c r="F625" s="279"/>
      <c r="G625" s="802"/>
      <c r="H625" s="684"/>
      <c r="I625" s="689">
        <v>1.3</v>
      </c>
      <c r="J625" s="684"/>
      <c r="K625" s="28" t="s">
        <v>315</v>
      </c>
      <c r="L625" s="689">
        <f>S614</f>
        <v>3000</v>
      </c>
      <c r="M625" s="684"/>
      <c r="N625" s="689"/>
      <c r="O625" s="689"/>
      <c r="P625" s="689"/>
      <c r="Q625" s="689"/>
      <c r="R625" s="689"/>
      <c r="S625" s="689"/>
      <c r="T625" s="14"/>
      <c r="U625" s="689"/>
      <c r="V625" s="185"/>
    </row>
    <row r="626" spans="1:22" ht="18" hidden="1" customHeight="1">
      <c r="A626" s="96"/>
      <c r="B626" s="14"/>
      <c r="C626" s="27" t="s">
        <v>127</v>
      </c>
      <c r="D626" s="812">
        <f>G624*(I624/(I625*L625)*(O624+Q624)*S624)</f>
        <v>60.651516837084017</v>
      </c>
      <c r="E626" s="813"/>
      <c r="F626" s="30" t="s">
        <v>305</v>
      </c>
      <c r="G626" s="14"/>
      <c r="H626" s="14"/>
      <c r="I626" s="14"/>
      <c r="J626" s="14"/>
      <c r="K626" s="14"/>
      <c r="L626" s="14"/>
      <c r="M626" s="14"/>
      <c r="N626" s="14"/>
      <c r="R626" s="234"/>
      <c r="S626" s="204"/>
      <c r="V626" s="185"/>
    </row>
    <row r="627" spans="1:22" ht="18" hidden="1" customHeight="1">
      <c r="A627" s="96"/>
      <c r="B627" s="14"/>
      <c r="G627" s="14"/>
      <c r="H627" s="14"/>
      <c r="I627" s="14"/>
      <c r="J627" s="14"/>
      <c r="K627" s="14"/>
      <c r="L627" s="14"/>
      <c r="M627" s="14"/>
      <c r="N627" s="14"/>
      <c r="R627" s="234"/>
      <c r="S627" s="204"/>
      <c r="V627" s="185"/>
    </row>
    <row r="628" spans="1:22" ht="18" hidden="1" customHeight="1">
      <c r="A628" s="96"/>
      <c r="B628" s="14"/>
      <c r="D628" s="30" t="s">
        <v>475</v>
      </c>
      <c r="G628" s="27" t="str">
        <f>IF(E629&gt;H629,"&gt;","&lt;")</f>
        <v>&gt;</v>
      </c>
      <c r="H628" s="30" t="s">
        <v>477</v>
      </c>
      <c r="M628" s="14"/>
      <c r="N628" s="14"/>
      <c r="R628" s="234"/>
      <c r="S628" s="204"/>
      <c r="V628" s="185"/>
    </row>
    <row r="629" spans="1:22" ht="18" hidden="1" customHeight="1">
      <c r="A629" s="96"/>
      <c r="B629" s="14"/>
      <c r="E629" s="684">
        <f>L571</f>
        <v>800</v>
      </c>
      <c r="F629" s="684"/>
      <c r="G629" s="27" t="str">
        <f>G628</f>
        <v>&gt;</v>
      </c>
      <c r="H629" s="795">
        <f>D626</f>
        <v>60.651516837084017</v>
      </c>
      <c r="I629" s="684"/>
      <c r="M629" s="14"/>
      <c r="N629" s="14"/>
      <c r="R629" s="234"/>
      <c r="S629" s="204"/>
      <c r="V629" s="185"/>
    </row>
    <row r="630" spans="1:22" ht="18" hidden="1" customHeight="1">
      <c r="A630" s="96"/>
      <c r="B630" s="14"/>
      <c r="F630" s="244" t="s">
        <v>478</v>
      </c>
      <c r="H630" s="18" t="str">
        <f>IF(G628="&gt;","Suitably Dimentioned","Under Dimentioned")</f>
        <v>Suitably Dimentioned</v>
      </c>
      <c r="M630" s="14"/>
      <c r="N630" s="14"/>
      <c r="R630" s="234"/>
      <c r="S630" s="204"/>
      <c r="V630" s="185"/>
    </row>
    <row r="631" spans="1:22" ht="18" hidden="1" customHeight="1">
      <c r="A631" s="96"/>
      <c r="B631" s="14"/>
      <c r="G631" s="14"/>
      <c r="H631" s="14"/>
      <c r="I631" s="14"/>
      <c r="J631" s="14"/>
      <c r="K631" s="14"/>
      <c r="L631" s="14"/>
      <c r="M631" s="14"/>
      <c r="N631" s="14"/>
      <c r="R631" s="234"/>
      <c r="S631" s="204"/>
      <c r="V631" s="185"/>
    </row>
    <row r="632" spans="1:22" ht="18" hidden="1" customHeight="1">
      <c r="A632" s="193" t="s">
        <v>695</v>
      </c>
      <c r="B632" s="14"/>
      <c r="G632" s="14"/>
      <c r="H632" s="14"/>
      <c r="I632" s="14"/>
      <c r="J632" s="14"/>
      <c r="K632" s="14"/>
      <c r="L632" s="14"/>
      <c r="M632" s="14"/>
      <c r="N632" s="14"/>
      <c r="R632" s="234"/>
      <c r="S632" s="204"/>
      <c r="V632" s="185"/>
    </row>
    <row r="633" spans="1:22" ht="18" hidden="1" customHeight="1">
      <c r="A633" s="96"/>
      <c r="B633" s="14"/>
      <c r="D633" s="802" t="s">
        <v>696</v>
      </c>
      <c r="E633" s="716"/>
      <c r="F633" s="689" t="s">
        <v>127</v>
      </c>
      <c r="G633" s="708" t="s">
        <v>423</v>
      </c>
      <c r="H633" s="1147"/>
      <c r="I633" s="689" t="s">
        <v>315</v>
      </c>
      <c r="J633" s="708" t="s">
        <v>697</v>
      </c>
      <c r="K633" s="1147"/>
      <c r="L633" s="14"/>
      <c r="M633" s="14"/>
      <c r="N633" s="14"/>
      <c r="R633" s="234"/>
      <c r="S633" s="204"/>
      <c r="V633" s="185"/>
    </row>
    <row r="634" spans="1:22" ht="18" hidden="1" customHeight="1">
      <c r="A634" s="96"/>
      <c r="B634" s="14"/>
      <c r="D634" s="716"/>
      <c r="E634" s="716"/>
      <c r="F634" s="689"/>
      <c r="G634" s="689" t="s">
        <v>680</v>
      </c>
      <c r="H634" s="716"/>
      <c r="I634" s="689"/>
      <c r="J634" s="689" t="s">
        <v>411</v>
      </c>
      <c r="K634" s="716"/>
      <c r="L634" s="14"/>
      <c r="M634" s="14"/>
      <c r="N634" s="14"/>
      <c r="R634" s="234"/>
      <c r="S634" s="204"/>
      <c r="V634" s="185"/>
    </row>
    <row r="635" spans="1:22" ht="18" hidden="1" customHeight="1">
      <c r="A635" s="96"/>
      <c r="B635" s="14"/>
      <c r="D635" s="14"/>
      <c r="E635" s="14"/>
      <c r="F635" s="14"/>
      <c r="G635" s="14"/>
      <c r="H635" s="14"/>
      <c r="I635" s="14"/>
      <c r="J635" s="14"/>
      <c r="K635" s="14"/>
      <c r="L635" s="14"/>
      <c r="M635" s="14"/>
      <c r="N635" s="14"/>
      <c r="R635" s="234"/>
      <c r="S635" s="204"/>
      <c r="V635" s="185"/>
    </row>
    <row r="636" spans="1:22" ht="18" hidden="1" customHeight="1">
      <c r="A636" s="96"/>
      <c r="B636" s="14"/>
      <c r="D636" s="14"/>
      <c r="E636" s="14"/>
      <c r="F636" s="689" t="s">
        <v>127</v>
      </c>
      <c r="G636" s="708">
        <f>S614</f>
        <v>3000</v>
      </c>
      <c r="H636" s="1147"/>
      <c r="I636" s="689" t="s">
        <v>315</v>
      </c>
      <c r="J636" s="708">
        <f>S620</f>
        <v>1</v>
      </c>
      <c r="K636" s="1147"/>
      <c r="L636" s="14"/>
      <c r="M636" s="14"/>
      <c r="N636" s="14"/>
      <c r="R636" s="234"/>
      <c r="S636" s="204"/>
      <c r="V636" s="185"/>
    </row>
    <row r="637" spans="1:22" ht="18" hidden="1" customHeight="1">
      <c r="A637" s="96"/>
      <c r="B637" s="14"/>
      <c r="D637" s="14"/>
      <c r="E637" s="14"/>
      <c r="F637" s="689"/>
      <c r="G637" s="692">
        <f>J595</f>
        <v>437.38656756789834</v>
      </c>
      <c r="H637" s="716"/>
      <c r="I637" s="689"/>
      <c r="J637" s="689">
        <f>S617</f>
        <v>1</v>
      </c>
      <c r="K637" s="716"/>
      <c r="L637" s="14"/>
      <c r="M637" s="14"/>
      <c r="N637" s="14"/>
      <c r="R637" s="234"/>
      <c r="S637" s="204"/>
      <c r="V637" s="185"/>
    </row>
    <row r="638" spans="1:22" ht="18" hidden="1" customHeight="1">
      <c r="A638" s="96"/>
      <c r="B638" s="14"/>
      <c r="D638" s="14"/>
      <c r="E638" s="14"/>
      <c r="F638" s="14"/>
      <c r="G638" s="14"/>
      <c r="H638" s="14"/>
      <c r="I638" s="14"/>
      <c r="J638" s="14"/>
      <c r="K638" s="14"/>
      <c r="L638" s="14"/>
      <c r="M638" s="14"/>
      <c r="N638" s="14"/>
      <c r="R638" s="234"/>
      <c r="S638" s="204"/>
      <c r="V638" s="185"/>
    </row>
    <row r="639" spans="1:22" ht="18" hidden="1" customHeight="1">
      <c r="A639" s="96"/>
      <c r="B639" s="14"/>
      <c r="D639" s="14"/>
      <c r="E639" s="14"/>
      <c r="F639" s="28" t="s">
        <v>127</v>
      </c>
      <c r="G639" s="689">
        <f>(G636/G637)*(J636/J637)</f>
        <v>6.8589211979727533</v>
      </c>
      <c r="H639" s="689"/>
      <c r="I639" s="14"/>
      <c r="J639" s="14"/>
      <c r="K639" s="14"/>
      <c r="L639" s="14"/>
      <c r="M639" s="14"/>
      <c r="N639" s="14"/>
      <c r="R639" s="234"/>
      <c r="S639" s="204"/>
      <c r="V639" s="185"/>
    </row>
    <row r="640" spans="1:22" ht="18" hidden="1" customHeight="1">
      <c r="A640" s="96"/>
      <c r="B640" s="14"/>
      <c r="G640" s="14"/>
      <c r="H640" s="14"/>
      <c r="I640" s="14"/>
      <c r="J640" s="14"/>
      <c r="K640" s="14"/>
      <c r="L640" s="14"/>
      <c r="M640" s="14"/>
      <c r="N640" s="14"/>
      <c r="R640" s="234"/>
      <c r="S640" s="204"/>
      <c r="V640" s="185"/>
    </row>
    <row r="641" spans="1:22" s="14" customFormat="1" ht="18" hidden="1" customHeight="1">
      <c r="A641" s="96"/>
      <c r="C641" s="30"/>
      <c r="D641" s="283" t="s">
        <v>698</v>
      </c>
      <c r="E641" s="284" t="s">
        <v>699</v>
      </c>
      <c r="F641" s="689" t="s">
        <v>696</v>
      </c>
      <c r="G641" s="716"/>
      <c r="H641" s="716"/>
      <c r="I641" s="284" t="s">
        <v>699</v>
      </c>
      <c r="J641" s="28">
        <v>4</v>
      </c>
      <c r="K641" s="30"/>
      <c r="L641" s="279"/>
      <c r="M641" s="120" t="s">
        <v>700</v>
      </c>
      <c r="N641" s="47" t="s">
        <v>701</v>
      </c>
      <c r="O641" s="279"/>
      <c r="P641" s="236"/>
      <c r="Q641" s="236"/>
      <c r="R641" s="234"/>
      <c r="S641" s="204"/>
      <c r="T641" s="30"/>
      <c r="U641" s="30"/>
      <c r="V641" s="185"/>
    </row>
    <row r="642" spans="1:22" ht="18" hidden="1" customHeight="1">
      <c r="A642" s="96"/>
      <c r="B642" s="14"/>
      <c r="D642" s="218">
        <v>0.25</v>
      </c>
      <c r="E642" s="284" t="str">
        <f>IF(D642&lt;=G639,"≤","&gt;")</f>
        <v>≤</v>
      </c>
      <c r="F642" s="688">
        <f>G639</f>
        <v>6.8589211979727533</v>
      </c>
      <c r="G642" s="1145"/>
      <c r="H642" s="688"/>
      <c r="I642" s="284" t="str">
        <f>IF(G639&lt;=J641,"≤","&gt;")</f>
        <v>&gt;</v>
      </c>
      <c r="J642" s="28">
        <f>J641</f>
        <v>4</v>
      </c>
      <c r="L642" s="279"/>
      <c r="M642" s="120"/>
      <c r="N642" s="213"/>
      <c r="O642" s="279"/>
      <c r="P642" s="236"/>
      <c r="Q642" s="236"/>
      <c r="R642" s="234"/>
      <c r="S642" s="204"/>
      <c r="V642" s="185"/>
    </row>
    <row r="643" spans="1:22" ht="18" hidden="1" customHeight="1">
      <c r="A643" s="96"/>
      <c r="B643" s="14"/>
      <c r="G643" s="14"/>
      <c r="H643" s="14"/>
      <c r="I643" s="14"/>
      <c r="J643" s="14"/>
      <c r="K643" s="14"/>
      <c r="L643" s="14"/>
      <c r="M643" s="14"/>
      <c r="N643" s="14"/>
      <c r="R643" s="234"/>
      <c r="S643" s="204"/>
      <c r="V643" s="185"/>
    </row>
    <row r="644" spans="1:22" ht="18" hidden="1" customHeight="1">
      <c r="A644" s="96"/>
      <c r="B644" s="14" t="s">
        <v>702</v>
      </c>
      <c r="G644" s="14"/>
      <c r="H644" s="18" t="str">
        <f>IF(AND(E642="≤",I642="≤")=TRUE,"OK","Not OK")</f>
        <v>Not OK</v>
      </c>
      <c r="I644" s="14"/>
      <c r="J644" s="14"/>
      <c r="K644" s="14"/>
      <c r="L644" s="14"/>
      <c r="M644" s="14"/>
      <c r="N644" s="14"/>
      <c r="R644" s="234"/>
      <c r="S644" s="204"/>
      <c r="V644" s="185"/>
    </row>
    <row r="645" spans="1:22" ht="18" hidden="1" customHeight="1">
      <c r="A645" s="96"/>
      <c r="B645" s="14"/>
      <c r="G645" s="14"/>
      <c r="H645" s="18"/>
      <c r="I645" s="14"/>
      <c r="J645" s="14"/>
      <c r="K645" s="14"/>
      <c r="L645" s="14"/>
      <c r="M645" s="14"/>
      <c r="N645" s="14"/>
      <c r="R645" s="234"/>
      <c r="S645" s="204"/>
      <c r="V645" s="185"/>
    </row>
    <row r="646" spans="1:22" ht="18" hidden="1" customHeight="1">
      <c r="A646" s="96"/>
      <c r="B646" s="14"/>
      <c r="G646" s="14"/>
      <c r="H646" s="18"/>
      <c r="I646" s="14"/>
      <c r="J646" s="14"/>
      <c r="K646" s="14"/>
      <c r="L646" s="14"/>
      <c r="M646" s="14"/>
      <c r="N646" s="14"/>
      <c r="R646" s="234"/>
      <c r="S646" s="204"/>
      <c r="V646" s="185"/>
    </row>
    <row r="647" spans="1:22" ht="18" hidden="1" customHeight="1">
      <c r="A647" s="96"/>
      <c r="B647" s="14"/>
      <c r="G647" s="14"/>
      <c r="H647" s="18"/>
      <c r="I647" s="14"/>
      <c r="J647" s="14"/>
      <c r="K647" s="14"/>
      <c r="L647" s="14"/>
      <c r="M647" s="14"/>
      <c r="N647" s="14"/>
      <c r="R647" s="234"/>
      <c r="S647" s="204"/>
      <c r="V647" s="185"/>
    </row>
    <row r="648" spans="1:22" ht="18" hidden="1" customHeight="1">
      <c r="A648" s="96"/>
      <c r="B648" s="14"/>
      <c r="G648" s="14"/>
      <c r="H648" s="18"/>
      <c r="I648" s="14"/>
      <c r="J648" s="14"/>
      <c r="K648" s="14"/>
      <c r="L648" s="14"/>
      <c r="M648" s="14"/>
      <c r="N648" s="14"/>
      <c r="R648" s="234"/>
      <c r="S648" s="204"/>
      <c r="V648" s="185"/>
    </row>
    <row r="649" spans="1:22" ht="18" hidden="1" customHeight="1">
      <c r="A649" s="96"/>
      <c r="B649" s="14"/>
      <c r="G649" s="14"/>
      <c r="H649" s="18"/>
      <c r="I649" s="14"/>
      <c r="J649" s="14"/>
      <c r="K649" s="14"/>
      <c r="L649" s="14"/>
      <c r="M649" s="14"/>
      <c r="N649" s="14"/>
      <c r="R649" s="234"/>
      <c r="S649" s="204"/>
      <c r="V649" s="185"/>
    </row>
    <row r="650" spans="1:22" ht="18" hidden="1" customHeight="1">
      <c r="A650" s="96"/>
      <c r="B650" s="14"/>
      <c r="G650" s="14"/>
      <c r="H650" s="14"/>
      <c r="I650" s="14"/>
      <c r="J650" s="14"/>
      <c r="K650" s="14"/>
      <c r="L650" s="14"/>
      <c r="M650" s="14"/>
      <c r="N650" s="14"/>
      <c r="R650" s="234"/>
      <c r="S650" s="204"/>
      <c r="V650" s="185"/>
    </row>
    <row r="651" spans="1:22" ht="18" hidden="1" customHeight="1">
      <c r="A651" s="194"/>
      <c r="B651" s="195"/>
      <c r="C651" s="195"/>
      <c r="D651" s="195"/>
      <c r="E651" s="195"/>
      <c r="F651" s="195"/>
      <c r="G651" s="195"/>
      <c r="H651" s="195"/>
      <c r="I651" s="195"/>
      <c r="J651" s="195"/>
      <c r="K651" s="195"/>
      <c r="L651" s="195"/>
      <c r="M651" s="195"/>
      <c r="N651" s="195"/>
      <c r="O651" s="195"/>
      <c r="P651" s="195"/>
      <c r="Q651" s="224"/>
      <c r="R651" s="182"/>
      <c r="S651" s="225"/>
      <c r="T651" s="195"/>
      <c r="U651" s="195"/>
      <c r="V651" s="134" t="s">
        <v>552</v>
      </c>
    </row>
    <row r="652" spans="1:22" ht="18" hidden="1" customHeight="1">
      <c r="A652" s="226"/>
      <c r="B652" s="227"/>
      <c r="C652" s="227"/>
      <c r="D652" s="227"/>
      <c r="E652" s="227"/>
      <c r="F652" s="227"/>
      <c r="G652" s="227"/>
      <c r="H652" s="227"/>
      <c r="I652" s="227"/>
      <c r="J652" s="227"/>
      <c r="K652" s="227"/>
      <c r="L652" s="227"/>
      <c r="M652" s="227"/>
      <c r="N652" s="227"/>
      <c r="O652" s="227"/>
      <c r="P652" s="227"/>
      <c r="Q652" s="227"/>
      <c r="R652" s="227"/>
      <c r="S652" s="227"/>
      <c r="T652" s="227"/>
      <c r="U652" s="227"/>
      <c r="V652" s="228"/>
    </row>
    <row r="653" spans="1:22" ht="18" hidden="1" customHeight="1">
      <c r="A653" s="262" t="s">
        <v>532</v>
      </c>
      <c r="B653" s="14"/>
      <c r="C653" s="14"/>
      <c r="D653" s="120"/>
      <c r="E653" s="120"/>
      <c r="F653" s="18"/>
      <c r="G653" s="18"/>
      <c r="H653" s="14"/>
      <c r="I653" s="14"/>
      <c r="J653" s="14"/>
      <c r="K653" s="14"/>
      <c r="L653" s="14"/>
      <c r="M653" s="14"/>
      <c r="N653" s="14"/>
      <c r="O653" s="14"/>
      <c r="P653" s="28"/>
      <c r="Q653" s="120"/>
      <c r="R653" s="47"/>
      <c r="S653" s="206"/>
      <c r="T653" s="259"/>
      <c r="U653" s="14"/>
      <c r="V653" s="97"/>
    </row>
    <row r="654" spans="1:22" ht="18" hidden="1" customHeight="1">
      <c r="A654" s="955" t="s">
        <v>85</v>
      </c>
      <c r="B654" s="956"/>
      <c r="C654" s="1132"/>
      <c r="D654" s="955" t="s">
        <v>86</v>
      </c>
      <c r="E654" s="1146"/>
      <c r="F654" s="1146"/>
      <c r="G654" s="1132"/>
      <c r="H654" s="955" t="s">
        <v>87</v>
      </c>
      <c r="I654" s="957"/>
      <c r="J654" s="955" t="s">
        <v>88</v>
      </c>
      <c r="K654" s="1132"/>
      <c r="L654" s="955" t="s">
        <v>502</v>
      </c>
      <c r="M654" s="956"/>
      <c r="N654" s="957" t="s">
        <v>556</v>
      </c>
      <c r="O654" s="955" t="s">
        <v>557</v>
      </c>
      <c r="P654" s="956"/>
      <c r="Q654" s="1132"/>
      <c r="R654" s="955" t="s">
        <v>558</v>
      </c>
      <c r="S654" s="1135"/>
      <c r="T654" s="1133"/>
      <c r="U654" s="955" t="s">
        <v>505</v>
      </c>
      <c r="V654" s="1139"/>
    </row>
    <row r="655" spans="1:22" ht="18" hidden="1" customHeight="1">
      <c r="A655" s="1125"/>
      <c r="B655" s="983"/>
      <c r="C655" s="1133"/>
      <c r="D655" s="1136"/>
      <c r="E655" s="1135"/>
      <c r="F655" s="1135"/>
      <c r="G655" s="1133"/>
      <c r="H655" s="1125"/>
      <c r="I655" s="1126"/>
      <c r="J655" s="1136"/>
      <c r="K655" s="1133"/>
      <c r="L655" s="1125"/>
      <c r="M655" s="983"/>
      <c r="N655" s="1126"/>
      <c r="O655" s="1125"/>
      <c r="P655" s="983"/>
      <c r="Q655" s="1133"/>
      <c r="R655" s="1136"/>
      <c r="S655" s="1135"/>
      <c r="T655" s="1133"/>
      <c r="U655" s="1140"/>
      <c r="V655" s="1141"/>
    </row>
    <row r="656" spans="1:22" ht="18" hidden="1" customHeight="1">
      <c r="A656" s="1047"/>
      <c r="B656" s="1048"/>
      <c r="C656" s="1134"/>
      <c r="D656" s="1137"/>
      <c r="E656" s="1138"/>
      <c r="F656" s="1138"/>
      <c r="G656" s="1134"/>
      <c r="H656" s="1047"/>
      <c r="I656" s="1049"/>
      <c r="J656" s="1137"/>
      <c r="K656" s="1134"/>
      <c r="L656" s="1047"/>
      <c r="M656" s="1048"/>
      <c r="N656" s="1049"/>
      <c r="O656" s="1047"/>
      <c r="P656" s="1048"/>
      <c r="Q656" s="1134"/>
      <c r="R656" s="1137"/>
      <c r="S656" s="1138"/>
      <c r="T656" s="1134"/>
      <c r="U656" s="1142"/>
      <c r="V656" s="1143"/>
    </row>
    <row r="657" spans="1:22" ht="18" hidden="1" customHeight="1">
      <c r="A657" s="765" t="str">
        <f>B565</f>
        <v>CT1L1</v>
      </c>
      <c r="B657" s="1144" t="str">
        <f>B566</f>
        <v>CT1L2</v>
      </c>
      <c r="C657" s="871" t="str">
        <f>D565</f>
        <v>Core3</v>
      </c>
      <c r="D657" s="871">
        <f>H480</f>
        <v>5000</v>
      </c>
      <c r="E657" s="871">
        <f>J480</f>
        <v>4000</v>
      </c>
      <c r="F657" s="871">
        <f>L568</f>
        <v>3000</v>
      </c>
      <c r="G657" s="871">
        <f>O480</f>
        <v>1</v>
      </c>
      <c r="H657" s="871">
        <f>'[3]CT-VT Burdens'!S19</f>
        <v>100</v>
      </c>
      <c r="I657" s="1036">
        <f>'[3]CT-VT Burdens'!S10</f>
        <v>4</v>
      </c>
      <c r="J657" s="869" t="str">
        <f>J481</f>
        <v>PX</v>
      </c>
      <c r="K657" s="869"/>
      <c r="L657" s="871">
        <f>H399</f>
        <v>20</v>
      </c>
      <c r="M657" s="871">
        <f>J482</f>
        <v>15</v>
      </c>
      <c r="N657" s="871">
        <f>L570</f>
        <v>10</v>
      </c>
      <c r="O657" s="871">
        <f>H400</f>
        <v>1000</v>
      </c>
      <c r="P657" s="871">
        <f>J483</f>
        <v>800</v>
      </c>
      <c r="Q657" s="871">
        <f>L571</f>
        <v>800</v>
      </c>
      <c r="R657" s="871">
        <f>H401</f>
        <v>20</v>
      </c>
      <c r="S657" s="871">
        <f>J484</f>
        <v>40</v>
      </c>
      <c r="T657" s="871">
        <f>L572</f>
        <v>50</v>
      </c>
      <c r="U657" s="775" t="str">
        <f>D488</f>
        <v>7UT85</v>
      </c>
      <c r="V657" s="776"/>
    </row>
    <row r="658" spans="1:22" ht="18" hidden="1" customHeight="1">
      <c r="A658" s="765" t="str">
        <f>B566</f>
        <v>CT1L2</v>
      </c>
      <c r="B658" s="1144">
        <f>A567</f>
        <v>0</v>
      </c>
      <c r="C658" s="1130"/>
      <c r="D658" s="1130"/>
      <c r="E658" s="1130"/>
      <c r="F658" s="1130"/>
      <c r="G658" s="1130"/>
      <c r="H658" s="1130"/>
      <c r="I658" s="1130"/>
      <c r="J658" s="1129"/>
      <c r="K658" s="1129"/>
      <c r="L658" s="1130"/>
      <c r="M658" s="1130"/>
      <c r="N658" s="1130"/>
      <c r="O658" s="1130"/>
      <c r="P658" s="1130"/>
      <c r="Q658" s="1130"/>
      <c r="R658" s="1130"/>
      <c r="S658" s="1130"/>
      <c r="T658" s="1130"/>
      <c r="U658" s="775"/>
      <c r="V658" s="776"/>
    </row>
    <row r="659" spans="1:22" ht="18" hidden="1" customHeight="1">
      <c r="A659" s="765">
        <f>A567</f>
        <v>0</v>
      </c>
      <c r="B659" s="1144" t="str">
        <f>B568</f>
        <v>CT Ratio:</v>
      </c>
      <c r="C659" s="1131"/>
      <c r="D659" s="1131"/>
      <c r="E659" s="1131"/>
      <c r="F659" s="1131"/>
      <c r="G659" s="1131"/>
      <c r="H659" s="1131"/>
      <c r="I659" s="1131"/>
      <c r="J659" s="1129"/>
      <c r="K659" s="1129"/>
      <c r="L659" s="1131"/>
      <c r="M659" s="1131"/>
      <c r="N659" s="1131"/>
      <c r="O659" s="1131"/>
      <c r="P659" s="1131"/>
      <c r="Q659" s="1131"/>
      <c r="R659" s="1131"/>
      <c r="S659" s="1131"/>
      <c r="T659" s="1131"/>
      <c r="U659" s="775"/>
      <c r="V659" s="776"/>
    </row>
    <row r="660" spans="1:22" ht="18" hidden="1" customHeight="1">
      <c r="A660" s="184"/>
      <c r="V660" s="185"/>
    </row>
    <row r="661" spans="1:22" ht="18" hidden="1" customHeight="1">
      <c r="A661" s="184"/>
      <c r="V661" s="185"/>
    </row>
    <row r="662" spans="1:22" ht="18" hidden="1" customHeight="1">
      <c r="A662" s="184"/>
      <c r="V662" s="185"/>
    </row>
    <row r="663" spans="1:22" ht="18" hidden="1" customHeight="1">
      <c r="A663" s="184"/>
      <c r="V663" s="185"/>
    </row>
    <row r="664" spans="1:22" ht="18" hidden="1" customHeight="1">
      <c r="A664" s="184"/>
      <c r="V664" s="185"/>
    </row>
    <row r="665" spans="1:22" ht="18" hidden="1" customHeight="1">
      <c r="A665" s="184"/>
      <c r="V665" s="185"/>
    </row>
    <row r="666" spans="1:22" ht="18" hidden="1" customHeight="1">
      <c r="A666" s="184"/>
      <c r="V666" s="185"/>
    </row>
    <row r="667" spans="1:22" ht="18" hidden="1" customHeight="1">
      <c r="A667" s="184"/>
      <c r="V667" s="185"/>
    </row>
    <row r="668" spans="1:22" ht="18" hidden="1" customHeight="1">
      <c r="A668" s="184"/>
      <c r="V668" s="185"/>
    </row>
    <row r="669" spans="1:22" ht="18" hidden="1" customHeight="1">
      <c r="A669" s="184"/>
      <c r="V669" s="185"/>
    </row>
    <row r="670" spans="1:22" ht="18" hidden="1" customHeight="1">
      <c r="A670" s="184"/>
      <c r="V670" s="185"/>
    </row>
    <row r="671" spans="1:22" ht="18" hidden="1" customHeight="1">
      <c r="A671" s="184"/>
      <c r="V671" s="185"/>
    </row>
    <row r="672" spans="1:22" ht="18" hidden="1" customHeight="1">
      <c r="A672" s="184"/>
      <c r="V672" s="185"/>
    </row>
    <row r="673" spans="1:22" ht="18" hidden="1" customHeight="1">
      <c r="A673" s="184"/>
      <c r="V673" s="185"/>
    </row>
    <row r="674" spans="1:22" ht="18" hidden="1" customHeight="1">
      <c r="A674" s="184"/>
      <c r="V674" s="185"/>
    </row>
    <row r="675" spans="1:22" ht="18" hidden="1" customHeight="1">
      <c r="A675" s="184"/>
      <c r="V675" s="185"/>
    </row>
    <row r="676" spans="1:22" ht="18" hidden="1" customHeight="1">
      <c r="A676" s="184"/>
      <c r="V676" s="185"/>
    </row>
    <row r="677" spans="1:22" ht="18" hidden="1" customHeight="1">
      <c r="A677" s="184"/>
      <c r="V677" s="185"/>
    </row>
    <row r="678" spans="1:22" ht="18" hidden="1" customHeight="1">
      <c r="A678" s="184"/>
      <c r="V678" s="185"/>
    </row>
    <row r="679" spans="1:22" ht="18" hidden="1" customHeight="1">
      <c r="A679" s="184"/>
      <c r="V679" s="185"/>
    </row>
    <row r="680" spans="1:22" ht="18" hidden="1" customHeight="1">
      <c r="A680" s="184"/>
      <c r="V680" s="185"/>
    </row>
    <row r="681" spans="1:22" ht="18" hidden="1" customHeight="1">
      <c r="A681" s="184"/>
      <c r="V681" s="185"/>
    </row>
    <row r="682" spans="1:22" ht="18" hidden="1" customHeight="1">
      <c r="A682" s="184"/>
      <c r="V682" s="185"/>
    </row>
    <row r="683" spans="1:22" ht="18" hidden="1" customHeight="1">
      <c r="A683" s="184"/>
      <c r="V683" s="185"/>
    </row>
    <row r="684" spans="1:22" ht="18" hidden="1" customHeight="1">
      <c r="A684" s="184"/>
      <c r="V684" s="185"/>
    </row>
    <row r="685" spans="1:22" ht="18" hidden="1" customHeight="1">
      <c r="A685" s="184"/>
      <c r="V685" s="185"/>
    </row>
    <row r="686" spans="1:22" ht="18" hidden="1" customHeight="1">
      <c r="A686" s="184"/>
      <c r="V686" s="185"/>
    </row>
    <row r="687" spans="1:22" ht="18" hidden="1" customHeight="1">
      <c r="A687" s="184"/>
      <c r="V687" s="185"/>
    </row>
    <row r="688" spans="1:22" ht="18" hidden="1" customHeight="1">
      <c r="A688" s="184"/>
      <c r="V688" s="185"/>
    </row>
    <row r="689" spans="1:22" ht="18" hidden="1" customHeight="1">
      <c r="A689" s="184"/>
      <c r="V689" s="185"/>
    </row>
    <row r="690" spans="1:22" s="14" customFormat="1" ht="18" hidden="1" customHeight="1">
      <c r="A690" s="184"/>
      <c r="B690" s="30"/>
      <c r="C690" s="30"/>
      <c r="D690" s="30"/>
      <c r="E690" s="30"/>
      <c r="F690" s="30"/>
      <c r="G690" s="30"/>
      <c r="H690" s="30"/>
      <c r="I690" s="30"/>
      <c r="J690" s="30"/>
      <c r="K690" s="30"/>
      <c r="L690" s="30"/>
      <c r="M690" s="30"/>
      <c r="N690" s="30"/>
      <c r="O690" s="30"/>
      <c r="P690" s="30"/>
      <c r="Q690" s="30"/>
      <c r="R690" s="30"/>
      <c r="S690" s="30"/>
      <c r="T690" s="30"/>
      <c r="U690" s="30"/>
      <c r="V690" s="185"/>
    </row>
    <row r="691" spans="1:22" ht="18" hidden="1" customHeight="1">
      <c r="A691" s="184"/>
      <c r="V691" s="185"/>
    </row>
    <row r="692" spans="1:22" ht="18" hidden="1" customHeight="1">
      <c r="A692" s="184"/>
      <c r="V692" s="185"/>
    </row>
    <row r="693" spans="1:22" ht="18" hidden="1" customHeight="1">
      <c r="A693" s="184"/>
      <c r="V693" s="185"/>
    </row>
    <row r="694" spans="1:22" ht="18" hidden="1" customHeight="1">
      <c r="A694" s="184"/>
      <c r="V694" s="185"/>
    </row>
    <row r="695" spans="1:22" ht="18" hidden="1" customHeight="1">
      <c r="A695" s="194"/>
      <c r="B695" s="195"/>
      <c r="C695" s="195"/>
      <c r="D695" s="195"/>
      <c r="E695" s="195"/>
      <c r="F695" s="195"/>
      <c r="G695" s="195"/>
      <c r="H695" s="195"/>
      <c r="I695" s="195"/>
      <c r="J695" s="195"/>
      <c r="K695" s="195"/>
      <c r="L695" s="195"/>
      <c r="M695" s="195"/>
      <c r="N695" s="195"/>
      <c r="O695" s="195"/>
      <c r="P695" s="195"/>
      <c r="Q695" s="224"/>
      <c r="R695" s="182"/>
      <c r="S695" s="225"/>
      <c r="T695" s="195"/>
      <c r="U695" s="195"/>
      <c r="V695" s="134" t="s">
        <v>552</v>
      </c>
    </row>
    <row r="696" spans="1:22" ht="18" customHeight="1">
      <c r="A696" s="226"/>
      <c r="B696" s="227"/>
      <c r="C696" s="227"/>
      <c r="D696" s="227"/>
      <c r="E696" s="227"/>
      <c r="F696" s="227"/>
      <c r="G696" s="227"/>
      <c r="H696" s="227"/>
      <c r="I696" s="227"/>
      <c r="J696" s="227"/>
      <c r="K696" s="227"/>
      <c r="L696" s="227"/>
      <c r="M696" s="227"/>
      <c r="N696" s="227"/>
      <c r="O696" s="227"/>
      <c r="P696" s="227"/>
      <c r="Q696" s="227"/>
      <c r="R696" s="227"/>
      <c r="S696" s="227"/>
      <c r="T696" s="227"/>
      <c r="U696" s="227"/>
      <c r="V696" s="228"/>
    </row>
    <row r="697" spans="1:22" ht="18" customHeight="1">
      <c r="A697" s="262" t="s">
        <v>532</v>
      </c>
      <c r="B697" s="14"/>
      <c r="C697" s="14"/>
      <c r="D697" s="120"/>
      <c r="E697" s="120"/>
      <c r="F697" s="18"/>
      <c r="G697" s="18"/>
      <c r="H697" s="14"/>
      <c r="I697" s="14"/>
      <c r="J697" s="14"/>
      <c r="K697" s="14"/>
      <c r="L697" s="14"/>
      <c r="M697" s="14"/>
      <c r="N697" s="14"/>
      <c r="O697" s="14"/>
      <c r="P697" s="28"/>
      <c r="Q697" s="120"/>
      <c r="R697" s="47"/>
      <c r="S697" s="206"/>
      <c r="T697" s="259"/>
      <c r="U697" s="14"/>
      <c r="V697" s="97"/>
    </row>
    <row r="698" spans="1:22" ht="18" customHeight="1">
      <c r="A698" s="868" t="s">
        <v>85</v>
      </c>
      <c r="B698" s="868"/>
      <c r="C698" s="869"/>
      <c r="D698" s="868" t="s">
        <v>86</v>
      </c>
      <c r="E698" s="868"/>
      <c r="F698" s="868"/>
      <c r="G698" s="868" t="s">
        <v>87</v>
      </c>
      <c r="H698" s="868"/>
      <c r="I698" s="868" t="s">
        <v>88</v>
      </c>
      <c r="J698" s="868"/>
      <c r="K698" s="868" t="s">
        <v>502</v>
      </c>
      <c r="L698" s="868"/>
      <c r="M698" s="868" t="s">
        <v>503</v>
      </c>
      <c r="N698" s="868"/>
      <c r="O698" s="868" t="s">
        <v>504</v>
      </c>
      <c r="P698" s="868"/>
      <c r="Q698" s="868" t="s">
        <v>505</v>
      </c>
      <c r="R698" s="868"/>
      <c r="S698" s="868" t="s">
        <v>93</v>
      </c>
      <c r="T698" s="868"/>
      <c r="U698" s="868"/>
      <c r="V698" s="868"/>
    </row>
    <row r="699" spans="1:22" ht="18" customHeight="1">
      <c r="A699" s="868"/>
      <c r="B699" s="868"/>
      <c r="C699" s="869"/>
      <c r="D699" s="868"/>
      <c r="E699" s="868"/>
      <c r="F699" s="868"/>
      <c r="G699" s="868"/>
      <c r="H699" s="868"/>
      <c r="I699" s="868"/>
      <c r="J699" s="868"/>
      <c r="K699" s="868"/>
      <c r="L699" s="868"/>
      <c r="M699" s="868"/>
      <c r="N699" s="868"/>
      <c r="O699" s="868"/>
      <c r="P699" s="868"/>
      <c r="Q699" s="868"/>
      <c r="R699" s="868"/>
      <c r="S699" s="868"/>
      <c r="T699" s="868"/>
      <c r="U699" s="868"/>
      <c r="V699" s="868"/>
    </row>
    <row r="700" spans="1:22" ht="18" customHeight="1">
      <c r="A700" s="868"/>
      <c r="B700" s="868"/>
      <c r="C700" s="869"/>
      <c r="D700" s="868"/>
      <c r="E700" s="868"/>
      <c r="F700" s="868"/>
      <c r="G700" s="868"/>
      <c r="H700" s="868"/>
      <c r="I700" s="868"/>
      <c r="J700" s="868"/>
      <c r="K700" s="868"/>
      <c r="L700" s="868"/>
      <c r="M700" s="868"/>
      <c r="N700" s="868"/>
      <c r="O700" s="868"/>
      <c r="P700" s="868"/>
      <c r="Q700" s="868"/>
      <c r="R700" s="868"/>
      <c r="S700" s="868"/>
      <c r="T700" s="868"/>
      <c r="U700" s="868"/>
      <c r="V700" s="868"/>
    </row>
    <row r="701" spans="1:22" ht="18" customHeight="1">
      <c r="A701" s="868"/>
      <c r="B701" s="868"/>
      <c r="C701" s="869"/>
      <c r="D701" s="868"/>
      <c r="E701" s="868"/>
      <c r="F701" s="868"/>
      <c r="G701" s="868"/>
      <c r="H701" s="868"/>
      <c r="I701" s="868"/>
      <c r="J701" s="868"/>
      <c r="K701" s="868"/>
      <c r="L701" s="868"/>
      <c r="M701" s="868"/>
      <c r="N701" s="868"/>
      <c r="O701" s="868"/>
      <c r="P701" s="868"/>
      <c r="Q701" s="868"/>
      <c r="R701" s="868"/>
      <c r="S701" s="868"/>
      <c r="T701" s="868"/>
      <c r="U701" s="868"/>
      <c r="V701" s="868"/>
    </row>
    <row r="702" spans="1:22" ht="18" customHeight="1">
      <c r="A702" s="765" t="str">
        <f>B7</f>
        <v>T3</v>
      </c>
      <c r="B702" s="765" t="str">
        <f>D7</f>
        <v>Core1</v>
      </c>
      <c r="C702" s="765"/>
      <c r="D702" s="870">
        <f>H10</f>
        <v>600</v>
      </c>
      <c r="E702" s="870"/>
      <c r="F702" s="871">
        <f>O10</f>
        <v>1</v>
      </c>
      <c r="G702" s="870">
        <f>'CT-VT Burdens'!S21</f>
        <v>120</v>
      </c>
      <c r="H702" s="874">
        <f>'CT-VT Burdens'!S10</f>
        <v>6</v>
      </c>
      <c r="I702" s="874" t="str">
        <f>H11</f>
        <v>PX</v>
      </c>
      <c r="J702" s="874"/>
      <c r="K702" s="869">
        <f>H12</f>
        <v>1.5</v>
      </c>
      <c r="L702" s="869"/>
      <c r="M702" s="869">
        <f>H13</f>
        <v>400</v>
      </c>
      <c r="N702" s="869"/>
      <c r="O702" s="870">
        <f>H14</f>
        <v>20</v>
      </c>
      <c r="P702" s="870"/>
      <c r="Q702" s="879" t="str">
        <f>CONCATENATE(T7," ",T8," ",T9," ",T10)</f>
        <v xml:space="preserve">7UT85   </v>
      </c>
      <c r="R702" s="879"/>
      <c r="S702" s="876" t="str">
        <f>H95</f>
        <v>Suitably Dimensioned</v>
      </c>
      <c r="T702" s="870"/>
      <c r="U702" s="870"/>
      <c r="V702" s="870"/>
    </row>
    <row r="703" spans="1:22" ht="18" customHeight="1">
      <c r="A703" s="765"/>
      <c r="B703" s="765"/>
      <c r="C703" s="765"/>
      <c r="D703" s="870">
        <f>J134</f>
        <v>1000</v>
      </c>
      <c r="E703" s="870"/>
      <c r="F703" s="872"/>
      <c r="G703" s="870"/>
      <c r="H703" s="870"/>
      <c r="I703" s="874"/>
      <c r="J703" s="874"/>
      <c r="K703" s="875">
        <f>J136</f>
        <v>2.7</v>
      </c>
      <c r="L703" s="869"/>
      <c r="M703" s="875">
        <f>J137</f>
        <v>900</v>
      </c>
      <c r="N703" s="869"/>
      <c r="O703" s="876">
        <f>J138</f>
        <v>10</v>
      </c>
      <c r="P703" s="870"/>
      <c r="Q703" s="879"/>
      <c r="R703" s="879"/>
      <c r="S703" s="876" t="str">
        <f>H220</f>
        <v>Suitably Dimensioned</v>
      </c>
      <c r="T703" s="870"/>
      <c r="U703" s="870"/>
      <c r="V703" s="870"/>
    </row>
    <row r="704" spans="1:22" ht="18" customHeight="1">
      <c r="A704" s="765"/>
      <c r="B704" s="765"/>
      <c r="C704" s="765"/>
      <c r="D704" s="876" t="s">
        <v>6</v>
      </c>
      <c r="E704" s="870"/>
      <c r="F704" s="873"/>
      <c r="G704" s="870"/>
      <c r="H704" s="870"/>
      <c r="I704" s="874"/>
      <c r="J704" s="874"/>
      <c r="K704" s="875" t="s">
        <v>6</v>
      </c>
      <c r="L704" s="869"/>
      <c r="M704" s="875" t="s">
        <v>6</v>
      </c>
      <c r="N704" s="869"/>
      <c r="O704" s="876" t="s">
        <v>6</v>
      </c>
      <c r="P704" s="870"/>
      <c r="Q704" s="879"/>
      <c r="R704" s="879"/>
      <c r="S704" s="870" t="s">
        <v>6</v>
      </c>
      <c r="T704" s="870"/>
      <c r="U704" s="870"/>
      <c r="V704" s="870"/>
    </row>
    <row r="705" spans="1:22" ht="18" customHeight="1">
      <c r="A705" s="184"/>
      <c r="V705" s="185"/>
    </row>
    <row r="706" spans="1:22" ht="18" customHeight="1">
      <c r="A706" s="184"/>
      <c r="V706" s="185"/>
    </row>
    <row r="707" spans="1:22" ht="18" customHeight="1">
      <c r="A707" s="184"/>
      <c r="V707" s="185"/>
    </row>
    <row r="708" spans="1:22" ht="18" customHeight="1">
      <c r="A708" s="184"/>
      <c r="V708" s="185"/>
    </row>
    <row r="709" spans="1:22" ht="18" customHeight="1">
      <c r="A709" s="184"/>
      <c r="V709" s="185"/>
    </row>
    <row r="710" spans="1:22" ht="18" customHeight="1">
      <c r="A710" s="184"/>
      <c r="V710" s="185"/>
    </row>
    <row r="711" spans="1:22" ht="18" customHeight="1">
      <c r="A711" s="184"/>
      <c r="V711" s="185"/>
    </row>
    <row r="712" spans="1:22" ht="18" customHeight="1">
      <c r="A712" s="184"/>
      <c r="V712" s="185"/>
    </row>
    <row r="713" spans="1:22" ht="18" customHeight="1">
      <c r="A713" s="184"/>
      <c r="V713" s="185"/>
    </row>
    <row r="714" spans="1:22" ht="18" customHeight="1">
      <c r="A714" s="184"/>
      <c r="V714" s="185"/>
    </row>
    <row r="715" spans="1:22" ht="18" customHeight="1">
      <c r="A715" s="184"/>
      <c r="V715" s="185"/>
    </row>
    <row r="716" spans="1:22" ht="18" customHeight="1">
      <c r="A716" s="184"/>
      <c r="V716" s="185"/>
    </row>
    <row r="717" spans="1:22" ht="18" customHeight="1">
      <c r="A717" s="184"/>
      <c r="V717" s="185"/>
    </row>
    <row r="718" spans="1:22" ht="18" customHeight="1">
      <c r="A718" s="184"/>
      <c r="V718" s="185"/>
    </row>
    <row r="719" spans="1:22" ht="18" customHeight="1">
      <c r="A719" s="184"/>
      <c r="V719" s="185"/>
    </row>
    <row r="720" spans="1:22" ht="18" customHeight="1">
      <c r="A720" s="184"/>
      <c r="V720" s="185"/>
    </row>
    <row r="721" spans="1:22" ht="18" customHeight="1">
      <c r="A721" s="184"/>
      <c r="V721" s="185"/>
    </row>
    <row r="722" spans="1:22" ht="18" customHeight="1">
      <c r="A722" s="184"/>
      <c r="V722" s="185"/>
    </row>
    <row r="723" spans="1:22" ht="18" customHeight="1">
      <c r="A723" s="184"/>
      <c r="V723" s="185"/>
    </row>
    <row r="724" spans="1:22" ht="18" customHeight="1">
      <c r="A724" s="184"/>
      <c r="V724" s="185"/>
    </row>
    <row r="725" spans="1:22" ht="18" customHeight="1">
      <c r="A725" s="184"/>
      <c r="V725" s="185"/>
    </row>
    <row r="726" spans="1:22" ht="18" customHeight="1">
      <c r="A726" s="184"/>
      <c r="V726" s="185"/>
    </row>
    <row r="727" spans="1:22" ht="18" customHeight="1">
      <c r="A727" s="184"/>
      <c r="V727" s="185"/>
    </row>
    <row r="728" spans="1:22" ht="18" customHeight="1">
      <c r="A728" s="184"/>
      <c r="V728" s="185"/>
    </row>
    <row r="729" spans="1:22" ht="18" customHeight="1">
      <c r="A729" s="184"/>
      <c r="V729" s="185"/>
    </row>
    <row r="730" spans="1:22" ht="18" customHeight="1">
      <c r="A730" s="184"/>
      <c r="V730" s="185"/>
    </row>
    <row r="731" spans="1:22" ht="18" customHeight="1">
      <c r="A731" s="184"/>
      <c r="V731" s="185"/>
    </row>
    <row r="732" spans="1:22" ht="18" customHeight="1">
      <c r="A732" s="184"/>
      <c r="V732" s="185"/>
    </row>
    <row r="733" spans="1:22" ht="18" customHeight="1">
      <c r="A733" s="184"/>
      <c r="V733" s="185"/>
    </row>
    <row r="734" spans="1:22" ht="18" customHeight="1">
      <c r="A734" s="184"/>
      <c r="V734" s="185"/>
    </row>
    <row r="735" spans="1:22" ht="18" customHeight="1">
      <c r="A735" s="290"/>
      <c r="B735" s="196"/>
      <c r="C735" s="196"/>
      <c r="D735" s="196"/>
      <c r="E735" s="196"/>
      <c r="F735" s="196"/>
      <c r="G735" s="196"/>
      <c r="H735" s="196"/>
      <c r="I735" s="196"/>
      <c r="J735" s="196"/>
      <c r="K735" s="196"/>
      <c r="L735" s="196"/>
      <c r="M735" s="196"/>
      <c r="N735" s="196"/>
      <c r="O735" s="196"/>
      <c r="P735" s="196"/>
      <c r="Q735" s="196"/>
      <c r="R735" s="196"/>
      <c r="S735" s="196"/>
      <c r="T735" s="196"/>
      <c r="U735" s="196"/>
      <c r="V735" s="291"/>
    </row>
  </sheetData>
  <mergeCells count="784">
    <mergeCell ref="A1:G4"/>
    <mergeCell ref="T8:U8"/>
    <mergeCell ref="A9:B9"/>
    <mergeCell ref="C9:D9"/>
    <mergeCell ref="H9:I9"/>
    <mergeCell ref="J9:K9"/>
    <mergeCell ref="L9:M9"/>
    <mergeCell ref="A5:B5"/>
    <mergeCell ref="D5:F5"/>
    <mergeCell ref="H5:N5"/>
    <mergeCell ref="O5:Q5"/>
    <mergeCell ref="R5:V5"/>
    <mergeCell ref="B7:C7"/>
    <mergeCell ref="D7:E7"/>
    <mergeCell ref="H7:N7"/>
    <mergeCell ref="T7:U7"/>
    <mergeCell ref="H3:N4"/>
    <mergeCell ref="O3:Q3"/>
    <mergeCell ref="R3:V3"/>
    <mergeCell ref="O4:Q4"/>
    <mergeCell ref="R4:V4"/>
    <mergeCell ref="H1:N1"/>
    <mergeCell ref="O1:Q1"/>
    <mergeCell ref="R1:V1"/>
    <mergeCell ref="AB13:AC13"/>
    <mergeCell ref="H14:I14"/>
    <mergeCell ref="J18:K18"/>
    <mergeCell ref="J19:K19"/>
    <mergeCell ref="J20:K20"/>
    <mergeCell ref="J21:K21"/>
    <mergeCell ref="H10:I10"/>
    <mergeCell ref="J10:K10"/>
    <mergeCell ref="L10:M10"/>
    <mergeCell ref="H11:I11"/>
    <mergeCell ref="H12:I12"/>
    <mergeCell ref="H13:I13"/>
    <mergeCell ref="H2:N2"/>
    <mergeCell ref="O2:Q2"/>
    <mergeCell ref="R2:V2"/>
    <mergeCell ref="O31:P31"/>
    <mergeCell ref="O32:P32"/>
    <mergeCell ref="O33:P33"/>
    <mergeCell ref="J35:K35"/>
    <mergeCell ref="J36:K36"/>
    <mergeCell ref="J37:K37"/>
    <mergeCell ref="J22:K22"/>
    <mergeCell ref="S29:T29"/>
    <mergeCell ref="D27:E27"/>
    <mergeCell ref="O27:P27"/>
    <mergeCell ref="M29:N29"/>
    <mergeCell ref="P29:Q29"/>
    <mergeCell ref="U42:U43"/>
    <mergeCell ref="I43:M43"/>
    <mergeCell ref="O44:P44"/>
    <mergeCell ref="O40:P40"/>
    <mergeCell ref="B42:B43"/>
    <mergeCell ref="C42:C43"/>
    <mergeCell ref="G42:G43"/>
    <mergeCell ref="H42:H43"/>
    <mergeCell ref="I42:M42"/>
    <mergeCell ref="N42:N43"/>
    <mergeCell ref="O42:O43"/>
    <mergeCell ref="P42:P43"/>
    <mergeCell ref="S47:T47"/>
    <mergeCell ref="S48:T48"/>
    <mergeCell ref="S49:T49"/>
    <mergeCell ref="S50:T50"/>
    <mergeCell ref="S51:T51"/>
    <mergeCell ref="S52:T52"/>
    <mergeCell ref="Q42:Q43"/>
    <mergeCell ref="R42:R43"/>
    <mergeCell ref="S42:S43"/>
    <mergeCell ref="U55:U56"/>
    <mergeCell ref="I56:M56"/>
    <mergeCell ref="D57:E57"/>
    <mergeCell ref="S53:T53"/>
    <mergeCell ref="S54:T54"/>
    <mergeCell ref="B55:B56"/>
    <mergeCell ref="C55:C56"/>
    <mergeCell ref="G55:G56"/>
    <mergeCell ref="H55:H56"/>
    <mergeCell ref="I55:M55"/>
    <mergeCell ref="N55:N56"/>
    <mergeCell ref="O55:O56"/>
    <mergeCell ref="P55:P56"/>
    <mergeCell ref="B67:B68"/>
    <mergeCell ref="C67:C68"/>
    <mergeCell ref="G67:G68"/>
    <mergeCell ref="H67:H68"/>
    <mergeCell ref="I67:M67"/>
    <mergeCell ref="N67:N68"/>
    <mergeCell ref="Q55:Q56"/>
    <mergeCell ref="R55:R56"/>
    <mergeCell ref="S55:S56"/>
    <mergeCell ref="I68:M68"/>
    <mergeCell ref="Q78:Q79"/>
    <mergeCell ref="R78:R79"/>
    <mergeCell ref="S78:S79"/>
    <mergeCell ref="U67:U68"/>
    <mergeCell ref="O63:P63"/>
    <mergeCell ref="R63:V63"/>
    <mergeCell ref="O64:P64"/>
    <mergeCell ref="O65:P65"/>
    <mergeCell ref="S70:T70"/>
    <mergeCell ref="S71:T71"/>
    <mergeCell ref="S72:T72"/>
    <mergeCell ref="S73:T73"/>
    <mergeCell ref="S74:T74"/>
    <mergeCell ref="O67:O68"/>
    <mergeCell ref="P67:P68"/>
    <mergeCell ref="Q67:Q68"/>
    <mergeCell ref="R67:R68"/>
    <mergeCell ref="S67:S68"/>
    <mergeCell ref="U78:U79"/>
    <mergeCell ref="I79:M79"/>
    <mergeCell ref="S75:T75"/>
    <mergeCell ref="S76:T76"/>
    <mergeCell ref="S77:T77"/>
    <mergeCell ref="N92:O92"/>
    <mergeCell ref="K93:L93"/>
    <mergeCell ref="N93:O93"/>
    <mergeCell ref="B131:C131"/>
    <mergeCell ref="H131:M131"/>
    <mergeCell ref="T131:U131"/>
    <mergeCell ref="D80:E80"/>
    <mergeCell ref="U81:U82"/>
    <mergeCell ref="S83:T83"/>
    <mergeCell ref="S84:T84"/>
    <mergeCell ref="S85:T85"/>
    <mergeCell ref="G88:H88"/>
    <mergeCell ref="B78:B79"/>
    <mergeCell ref="C78:C79"/>
    <mergeCell ref="G78:G79"/>
    <mergeCell ref="H78:H79"/>
    <mergeCell ref="I78:M78"/>
    <mergeCell ref="N78:N79"/>
    <mergeCell ref="O78:O79"/>
    <mergeCell ref="P78:P79"/>
    <mergeCell ref="D151:E151"/>
    <mergeCell ref="O151:P151"/>
    <mergeCell ref="J135:K135"/>
    <mergeCell ref="J136:K136"/>
    <mergeCell ref="J137:K137"/>
    <mergeCell ref="AB137:AC137"/>
    <mergeCell ref="J138:K138"/>
    <mergeCell ref="J142:K142"/>
    <mergeCell ref="T132:U132"/>
    <mergeCell ref="H133:I133"/>
    <mergeCell ref="J133:K133"/>
    <mergeCell ref="L133:M133"/>
    <mergeCell ref="H134:I134"/>
    <mergeCell ref="J134:K134"/>
    <mergeCell ref="L134:M134"/>
    <mergeCell ref="M153:N153"/>
    <mergeCell ref="P153:Q153"/>
    <mergeCell ref="S153:T153"/>
    <mergeCell ref="O155:P155"/>
    <mergeCell ref="O156:P156"/>
    <mergeCell ref="O157:P157"/>
    <mergeCell ref="J143:K143"/>
    <mergeCell ref="J144:K144"/>
    <mergeCell ref="J145:K145"/>
    <mergeCell ref="J146:K146"/>
    <mergeCell ref="U167:U168"/>
    <mergeCell ref="J159:K159"/>
    <mergeCell ref="J160:K160"/>
    <mergeCell ref="J161:K161"/>
    <mergeCell ref="O165:P165"/>
    <mergeCell ref="B167:B168"/>
    <mergeCell ref="C167:C168"/>
    <mergeCell ref="G167:G168"/>
    <mergeCell ref="H167:H168"/>
    <mergeCell ref="I167:M167"/>
    <mergeCell ref="N167:N168"/>
    <mergeCell ref="I168:M168"/>
    <mergeCell ref="O169:P169"/>
    <mergeCell ref="S171:T171"/>
    <mergeCell ref="S172:T172"/>
    <mergeCell ref="S173:T173"/>
    <mergeCell ref="S174:T174"/>
    <mergeCell ref="O167:O168"/>
    <mergeCell ref="P167:P168"/>
    <mergeCell ref="Q167:Q168"/>
    <mergeCell ref="R167:R168"/>
    <mergeCell ref="S167:S168"/>
    <mergeCell ref="S175:T175"/>
    <mergeCell ref="S176:T176"/>
    <mergeCell ref="S177:T177"/>
    <mergeCell ref="S178:T178"/>
    <mergeCell ref="B179:B180"/>
    <mergeCell ref="C179:C180"/>
    <mergeCell ref="G179:G180"/>
    <mergeCell ref="H179:H180"/>
    <mergeCell ref="I179:M179"/>
    <mergeCell ref="N179:N180"/>
    <mergeCell ref="I180:M180"/>
    <mergeCell ref="D181:E181"/>
    <mergeCell ref="O187:P187"/>
    <mergeCell ref="R187:V187"/>
    <mergeCell ref="O188:P188"/>
    <mergeCell ref="O189:P189"/>
    <mergeCell ref="O179:O180"/>
    <mergeCell ref="P179:P180"/>
    <mergeCell ref="Q179:Q180"/>
    <mergeCell ref="R179:R180"/>
    <mergeCell ref="S179:S180"/>
    <mergeCell ref="U179:U180"/>
    <mergeCell ref="O191:O192"/>
    <mergeCell ref="P191:P192"/>
    <mergeCell ref="Q191:Q192"/>
    <mergeCell ref="R191:R192"/>
    <mergeCell ref="S191:S192"/>
    <mergeCell ref="U191:U192"/>
    <mergeCell ref="B191:B192"/>
    <mergeCell ref="C191:C192"/>
    <mergeCell ref="G191:G192"/>
    <mergeCell ref="H191:H192"/>
    <mergeCell ref="I191:M191"/>
    <mergeCell ref="N191:N192"/>
    <mergeCell ref="I192:M192"/>
    <mergeCell ref="B202:B203"/>
    <mergeCell ref="C202:C203"/>
    <mergeCell ref="G202:G203"/>
    <mergeCell ref="H202:H203"/>
    <mergeCell ref="I202:M202"/>
    <mergeCell ref="N202:N203"/>
    <mergeCell ref="O202:O203"/>
    <mergeCell ref="P202:P203"/>
    <mergeCell ref="S194:T194"/>
    <mergeCell ref="S195:T195"/>
    <mergeCell ref="S196:T196"/>
    <mergeCell ref="S197:T197"/>
    <mergeCell ref="S198:T198"/>
    <mergeCell ref="S199:T199"/>
    <mergeCell ref="G213:H213"/>
    <mergeCell ref="N217:O217"/>
    <mergeCell ref="Q202:Q203"/>
    <mergeCell ref="R202:R203"/>
    <mergeCell ref="S202:S203"/>
    <mergeCell ref="U202:U203"/>
    <mergeCell ref="I203:M203"/>
    <mergeCell ref="D204:E204"/>
    <mergeCell ref="S200:T200"/>
    <mergeCell ref="S201:T201"/>
    <mergeCell ref="K218:L218"/>
    <mergeCell ref="N218:O218"/>
    <mergeCell ref="O221:P221"/>
    <mergeCell ref="R221:V221"/>
    <mergeCell ref="O222:P222"/>
    <mergeCell ref="O223:P223"/>
    <mergeCell ref="U206:U207"/>
    <mergeCell ref="S208:T208"/>
    <mergeCell ref="S209:T209"/>
    <mergeCell ref="S210:T210"/>
    <mergeCell ref="U233:U234"/>
    <mergeCell ref="B233:B234"/>
    <mergeCell ref="C233:C234"/>
    <mergeCell ref="G233:G234"/>
    <mergeCell ref="H233:H234"/>
    <mergeCell ref="I233:M233"/>
    <mergeCell ref="N233:N234"/>
    <mergeCell ref="I234:J234"/>
    <mergeCell ref="L234:M234"/>
    <mergeCell ref="S236:T236"/>
    <mergeCell ref="S237:T237"/>
    <mergeCell ref="S238:T238"/>
    <mergeCell ref="S239:T239"/>
    <mergeCell ref="S240:T240"/>
    <mergeCell ref="S241:T241"/>
    <mergeCell ref="O233:O234"/>
    <mergeCell ref="P233:P234"/>
    <mergeCell ref="Q233:Q234"/>
    <mergeCell ref="R233:R234"/>
    <mergeCell ref="S233:S234"/>
    <mergeCell ref="R246:R247"/>
    <mergeCell ref="S246:S247"/>
    <mergeCell ref="U246:U247"/>
    <mergeCell ref="I247:J247"/>
    <mergeCell ref="L247:M247"/>
    <mergeCell ref="S242:T242"/>
    <mergeCell ref="S243:T243"/>
    <mergeCell ref="S244:T244"/>
    <mergeCell ref="B246:B247"/>
    <mergeCell ref="C246:C247"/>
    <mergeCell ref="G246:G247"/>
    <mergeCell ref="H246:H247"/>
    <mergeCell ref="I246:M246"/>
    <mergeCell ref="N246:N247"/>
    <mergeCell ref="O246:O247"/>
    <mergeCell ref="D248:E248"/>
    <mergeCell ref="E251:F251"/>
    <mergeCell ref="H251:I251"/>
    <mergeCell ref="D255:E256"/>
    <mergeCell ref="F255:F256"/>
    <mergeCell ref="G255:H255"/>
    <mergeCell ref="I255:I256"/>
    <mergeCell ref="P246:P247"/>
    <mergeCell ref="Q246:Q247"/>
    <mergeCell ref="J255:K255"/>
    <mergeCell ref="G256:H256"/>
    <mergeCell ref="J256:K256"/>
    <mergeCell ref="F258:F259"/>
    <mergeCell ref="G258:H258"/>
    <mergeCell ref="I258:I259"/>
    <mergeCell ref="J258:K258"/>
    <mergeCell ref="G259:H259"/>
    <mergeCell ref="J259:K259"/>
    <mergeCell ref="T275:U275"/>
    <mergeCell ref="B276:C276"/>
    <mergeCell ref="T276:U276"/>
    <mergeCell ref="H277:I277"/>
    <mergeCell ref="J277:K277"/>
    <mergeCell ref="L277:M277"/>
    <mergeCell ref="T277:U277"/>
    <mergeCell ref="G261:H261"/>
    <mergeCell ref="F263:H263"/>
    <mergeCell ref="F264:H264"/>
    <mergeCell ref="B275:C275"/>
    <mergeCell ref="D275:E276"/>
    <mergeCell ref="H275:M275"/>
    <mergeCell ref="S297:T297"/>
    <mergeCell ref="AB281:AC281"/>
    <mergeCell ref="L282:M282"/>
    <mergeCell ref="J286:K286"/>
    <mergeCell ref="J287:K287"/>
    <mergeCell ref="J288:K288"/>
    <mergeCell ref="J289:K289"/>
    <mergeCell ref="H278:I278"/>
    <mergeCell ref="J278:K278"/>
    <mergeCell ref="L278:M278"/>
    <mergeCell ref="L279:M279"/>
    <mergeCell ref="L280:M280"/>
    <mergeCell ref="L281:M281"/>
    <mergeCell ref="O299:P299"/>
    <mergeCell ref="O300:P300"/>
    <mergeCell ref="O301:P301"/>
    <mergeCell ref="J303:K303"/>
    <mergeCell ref="J304:K304"/>
    <mergeCell ref="J305:K305"/>
    <mergeCell ref="J290:K290"/>
    <mergeCell ref="D295:E295"/>
    <mergeCell ref="O295:P295"/>
    <mergeCell ref="M297:N297"/>
    <mergeCell ref="P297:Q297"/>
    <mergeCell ref="U321:U322"/>
    <mergeCell ref="I322:J322"/>
    <mergeCell ref="L322:M322"/>
    <mergeCell ref="O309:P309"/>
    <mergeCell ref="O310:P310"/>
    <mergeCell ref="O311:P311"/>
    <mergeCell ref="B321:B322"/>
    <mergeCell ref="C321:C322"/>
    <mergeCell ref="G321:G322"/>
    <mergeCell ref="H321:H322"/>
    <mergeCell ref="I321:M321"/>
    <mergeCell ref="N321:N322"/>
    <mergeCell ref="O321:O322"/>
    <mergeCell ref="S324:T324"/>
    <mergeCell ref="S325:T325"/>
    <mergeCell ref="S326:T326"/>
    <mergeCell ref="S327:T327"/>
    <mergeCell ref="S328:T328"/>
    <mergeCell ref="S329:T329"/>
    <mergeCell ref="P321:P322"/>
    <mergeCell ref="Q321:Q322"/>
    <mergeCell ref="R321:R322"/>
    <mergeCell ref="S321:S322"/>
    <mergeCell ref="R334:R335"/>
    <mergeCell ref="S334:S335"/>
    <mergeCell ref="U334:U335"/>
    <mergeCell ref="I335:J335"/>
    <mergeCell ref="L335:M335"/>
    <mergeCell ref="S330:T330"/>
    <mergeCell ref="S331:T331"/>
    <mergeCell ref="S332:T332"/>
    <mergeCell ref="B334:B335"/>
    <mergeCell ref="C334:C335"/>
    <mergeCell ref="G334:G335"/>
    <mergeCell ref="H334:H335"/>
    <mergeCell ref="I334:M334"/>
    <mergeCell ref="N334:N335"/>
    <mergeCell ref="O334:O335"/>
    <mergeCell ref="D336:E336"/>
    <mergeCell ref="E339:F339"/>
    <mergeCell ref="H339:I339"/>
    <mergeCell ref="D343:E344"/>
    <mergeCell ref="F343:F344"/>
    <mergeCell ref="G343:H343"/>
    <mergeCell ref="I343:I344"/>
    <mergeCell ref="P334:P335"/>
    <mergeCell ref="Q334:Q335"/>
    <mergeCell ref="J343:K343"/>
    <mergeCell ref="G344:H344"/>
    <mergeCell ref="J344:K344"/>
    <mergeCell ref="F346:F347"/>
    <mergeCell ref="G346:H346"/>
    <mergeCell ref="I346:I347"/>
    <mergeCell ref="J346:K346"/>
    <mergeCell ref="G347:H347"/>
    <mergeCell ref="J347:K347"/>
    <mergeCell ref="G349:H349"/>
    <mergeCell ref="F351:H351"/>
    <mergeCell ref="F352:H352"/>
    <mergeCell ref="M369:N369"/>
    <mergeCell ref="O369:P369"/>
    <mergeCell ref="S369:V369"/>
    <mergeCell ref="A364:C367"/>
    <mergeCell ref="D364:F367"/>
    <mergeCell ref="G364:H367"/>
    <mergeCell ref="I364:J367"/>
    <mergeCell ref="K364:L367"/>
    <mergeCell ref="B368:C370"/>
    <mergeCell ref="D368:E368"/>
    <mergeCell ref="F368:F370"/>
    <mergeCell ref="G368:G370"/>
    <mergeCell ref="H368:H370"/>
    <mergeCell ref="D369:E369"/>
    <mergeCell ref="D370:E370"/>
    <mergeCell ref="O368:P368"/>
    <mergeCell ref="Q368:R370"/>
    <mergeCell ref="S368:V368"/>
    <mergeCell ref="K369:L369"/>
    <mergeCell ref="A368:A370"/>
    <mergeCell ref="R389:V389"/>
    <mergeCell ref="M364:N367"/>
    <mergeCell ref="O364:P367"/>
    <mergeCell ref="Q364:R367"/>
    <mergeCell ref="S364:V367"/>
    <mergeCell ref="A390:G391"/>
    <mergeCell ref="H390:N391"/>
    <mergeCell ref="O390:Q390"/>
    <mergeCell ref="R390:V390"/>
    <mergeCell ref="O391:Q391"/>
    <mergeCell ref="R391:V391"/>
    <mergeCell ref="K370:L370"/>
    <mergeCell ref="M370:N370"/>
    <mergeCell ref="O370:P370"/>
    <mergeCell ref="S370:V370"/>
    <mergeCell ref="A388:G389"/>
    <mergeCell ref="H388:N388"/>
    <mergeCell ref="O388:Q388"/>
    <mergeCell ref="R388:V388"/>
    <mergeCell ref="H389:N389"/>
    <mergeCell ref="O389:Q389"/>
    <mergeCell ref="I368:J370"/>
    <mergeCell ref="K368:L368"/>
    <mergeCell ref="M368:N368"/>
    <mergeCell ref="A392:B392"/>
    <mergeCell ref="D392:F392"/>
    <mergeCell ref="H392:N392"/>
    <mergeCell ref="O392:Q392"/>
    <mergeCell ref="R392:V392"/>
    <mergeCell ref="B394:C394"/>
    <mergeCell ref="D394:E395"/>
    <mergeCell ref="H394:M394"/>
    <mergeCell ref="T394:U394"/>
    <mergeCell ref="B395:C395"/>
    <mergeCell ref="D414:E414"/>
    <mergeCell ref="O414:P414"/>
    <mergeCell ref="H398:I398"/>
    <mergeCell ref="H399:I399"/>
    <mergeCell ref="H400:I400"/>
    <mergeCell ref="AB400:AC400"/>
    <mergeCell ref="H401:I401"/>
    <mergeCell ref="J405:K405"/>
    <mergeCell ref="T395:U395"/>
    <mergeCell ref="H396:I396"/>
    <mergeCell ref="J396:K396"/>
    <mergeCell ref="L396:M396"/>
    <mergeCell ref="T396:U396"/>
    <mergeCell ref="H397:I397"/>
    <mergeCell ref="J397:K397"/>
    <mergeCell ref="L397:M397"/>
    <mergeCell ref="O418:P418"/>
    <mergeCell ref="O419:P419"/>
    <mergeCell ref="O420:P420"/>
    <mergeCell ref="J422:K422"/>
    <mergeCell ref="J423:K423"/>
    <mergeCell ref="J424:K424"/>
    <mergeCell ref="J406:K406"/>
    <mergeCell ref="J407:K407"/>
    <mergeCell ref="J408:K408"/>
    <mergeCell ref="J409:K409"/>
    <mergeCell ref="U435:U436"/>
    <mergeCell ref="I436:J436"/>
    <mergeCell ref="L436:M436"/>
    <mergeCell ref="O428:P428"/>
    <mergeCell ref="O429:P429"/>
    <mergeCell ref="O430:P430"/>
    <mergeCell ref="B435:B436"/>
    <mergeCell ref="C435:C436"/>
    <mergeCell ref="G435:G436"/>
    <mergeCell ref="H435:H436"/>
    <mergeCell ref="I435:M435"/>
    <mergeCell ref="N435:N436"/>
    <mergeCell ref="O435:O436"/>
    <mergeCell ref="S438:T438"/>
    <mergeCell ref="S439:T439"/>
    <mergeCell ref="S440:T440"/>
    <mergeCell ref="S441:T441"/>
    <mergeCell ref="S442:T442"/>
    <mergeCell ref="S443:T443"/>
    <mergeCell ref="P435:P436"/>
    <mergeCell ref="Q435:Q436"/>
    <mergeCell ref="R435:R436"/>
    <mergeCell ref="S435:S436"/>
    <mergeCell ref="R448:R449"/>
    <mergeCell ref="S448:S449"/>
    <mergeCell ref="U448:U449"/>
    <mergeCell ref="I449:J449"/>
    <mergeCell ref="L449:M449"/>
    <mergeCell ref="S444:T444"/>
    <mergeCell ref="S445:T445"/>
    <mergeCell ref="S446:T446"/>
    <mergeCell ref="B448:B449"/>
    <mergeCell ref="C448:C449"/>
    <mergeCell ref="G448:G449"/>
    <mergeCell ref="H448:H449"/>
    <mergeCell ref="I448:M448"/>
    <mergeCell ref="N448:N449"/>
    <mergeCell ref="O448:O449"/>
    <mergeCell ref="D450:E450"/>
    <mergeCell ref="E453:F453"/>
    <mergeCell ref="H453:I453"/>
    <mergeCell ref="D457:E458"/>
    <mergeCell ref="F457:F458"/>
    <mergeCell ref="G457:H457"/>
    <mergeCell ref="I457:I458"/>
    <mergeCell ref="P448:P449"/>
    <mergeCell ref="Q448:Q449"/>
    <mergeCell ref="J457:K457"/>
    <mergeCell ref="G458:H458"/>
    <mergeCell ref="J458:K458"/>
    <mergeCell ref="F460:F461"/>
    <mergeCell ref="G460:H460"/>
    <mergeCell ref="I460:I461"/>
    <mergeCell ref="J460:K460"/>
    <mergeCell ref="G461:H461"/>
    <mergeCell ref="J461:K461"/>
    <mergeCell ref="T477:U477"/>
    <mergeCell ref="B478:C478"/>
    <mergeCell ref="T478:U478"/>
    <mergeCell ref="H479:I479"/>
    <mergeCell ref="J479:K479"/>
    <mergeCell ref="L479:M479"/>
    <mergeCell ref="T479:U479"/>
    <mergeCell ref="G463:H463"/>
    <mergeCell ref="F465:H465"/>
    <mergeCell ref="F466:H466"/>
    <mergeCell ref="B477:C477"/>
    <mergeCell ref="D477:E478"/>
    <mergeCell ref="H477:M477"/>
    <mergeCell ref="AB483:AC483"/>
    <mergeCell ref="J484:K484"/>
    <mergeCell ref="J488:K488"/>
    <mergeCell ref="J489:K489"/>
    <mergeCell ref="J490:K490"/>
    <mergeCell ref="J491:K491"/>
    <mergeCell ref="H480:I480"/>
    <mergeCell ref="J480:K480"/>
    <mergeCell ref="L480:M480"/>
    <mergeCell ref="J481:K481"/>
    <mergeCell ref="J482:K482"/>
    <mergeCell ref="J483:K483"/>
    <mergeCell ref="J505:K505"/>
    <mergeCell ref="J506:K506"/>
    <mergeCell ref="J507:K507"/>
    <mergeCell ref="O511:P511"/>
    <mergeCell ref="O512:P512"/>
    <mergeCell ref="O513:P513"/>
    <mergeCell ref="J492:K492"/>
    <mergeCell ref="D497:E497"/>
    <mergeCell ref="O497:P497"/>
    <mergeCell ref="O501:P501"/>
    <mergeCell ref="O502:P502"/>
    <mergeCell ref="O503:P503"/>
    <mergeCell ref="U523:U524"/>
    <mergeCell ref="B523:B524"/>
    <mergeCell ref="C523:C524"/>
    <mergeCell ref="G523:G524"/>
    <mergeCell ref="H523:H524"/>
    <mergeCell ref="I523:M523"/>
    <mergeCell ref="N523:N524"/>
    <mergeCell ref="I524:J524"/>
    <mergeCell ref="L524:M524"/>
    <mergeCell ref="S526:T526"/>
    <mergeCell ref="S527:T527"/>
    <mergeCell ref="S528:T528"/>
    <mergeCell ref="S529:T529"/>
    <mergeCell ref="S530:T530"/>
    <mergeCell ref="S531:T531"/>
    <mergeCell ref="O523:O524"/>
    <mergeCell ref="P523:P524"/>
    <mergeCell ref="Q523:Q524"/>
    <mergeCell ref="R523:R524"/>
    <mergeCell ref="S523:S524"/>
    <mergeCell ref="R536:R537"/>
    <mergeCell ref="S536:S537"/>
    <mergeCell ref="U536:U537"/>
    <mergeCell ref="I537:J537"/>
    <mergeCell ref="L537:M537"/>
    <mergeCell ref="S532:T532"/>
    <mergeCell ref="S533:T533"/>
    <mergeCell ref="S534:T534"/>
    <mergeCell ref="B536:B537"/>
    <mergeCell ref="C536:C537"/>
    <mergeCell ref="G536:G537"/>
    <mergeCell ref="H536:H537"/>
    <mergeCell ref="I536:M536"/>
    <mergeCell ref="N536:N537"/>
    <mergeCell ref="O536:O537"/>
    <mergeCell ref="D538:E538"/>
    <mergeCell ref="E541:F541"/>
    <mergeCell ref="H541:I541"/>
    <mergeCell ref="D545:E546"/>
    <mergeCell ref="F545:F546"/>
    <mergeCell ref="G545:H545"/>
    <mergeCell ref="I545:I546"/>
    <mergeCell ref="P536:P537"/>
    <mergeCell ref="Q536:Q537"/>
    <mergeCell ref="J545:K545"/>
    <mergeCell ref="G546:H546"/>
    <mergeCell ref="J546:K546"/>
    <mergeCell ref="F548:F549"/>
    <mergeCell ref="G548:H548"/>
    <mergeCell ref="I548:I549"/>
    <mergeCell ref="J548:K548"/>
    <mergeCell ref="G549:H549"/>
    <mergeCell ref="J549:K549"/>
    <mergeCell ref="T565:U565"/>
    <mergeCell ref="B566:C566"/>
    <mergeCell ref="T566:U566"/>
    <mergeCell ref="H567:I567"/>
    <mergeCell ref="J567:K567"/>
    <mergeCell ref="L567:M567"/>
    <mergeCell ref="T567:U567"/>
    <mergeCell ref="G551:H551"/>
    <mergeCell ref="F553:H553"/>
    <mergeCell ref="F554:H554"/>
    <mergeCell ref="B565:C565"/>
    <mergeCell ref="D565:E566"/>
    <mergeCell ref="H565:M565"/>
    <mergeCell ref="AB571:AC571"/>
    <mergeCell ref="L572:M572"/>
    <mergeCell ref="J576:K576"/>
    <mergeCell ref="J577:K577"/>
    <mergeCell ref="J578:K578"/>
    <mergeCell ref="J579:K579"/>
    <mergeCell ref="H568:I568"/>
    <mergeCell ref="J568:K568"/>
    <mergeCell ref="L568:M568"/>
    <mergeCell ref="L569:M569"/>
    <mergeCell ref="L570:M570"/>
    <mergeCell ref="L571:M571"/>
    <mergeCell ref="J593:K593"/>
    <mergeCell ref="J594:K594"/>
    <mergeCell ref="J595:K595"/>
    <mergeCell ref="O599:P599"/>
    <mergeCell ref="O600:P600"/>
    <mergeCell ref="O601:P601"/>
    <mergeCell ref="J580:K580"/>
    <mergeCell ref="D585:E585"/>
    <mergeCell ref="O585:P585"/>
    <mergeCell ref="O589:P589"/>
    <mergeCell ref="O590:P590"/>
    <mergeCell ref="O591:P591"/>
    <mergeCell ref="U611:U612"/>
    <mergeCell ref="B611:B612"/>
    <mergeCell ref="C611:C612"/>
    <mergeCell ref="G611:G612"/>
    <mergeCell ref="H611:H612"/>
    <mergeCell ref="I611:M611"/>
    <mergeCell ref="N611:N612"/>
    <mergeCell ref="I612:J612"/>
    <mergeCell ref="L612:M612"/>
    <mergeCell ref="S614:T614"/>
    <mergeCell ref="S615:T615"/>
    <mergeCell ref="S616:T616"/>
    <mergeCell ref="S617:T617"/>
    <mergeCell ref="S618:T618"/>
    <mergeCell ref="S619:T619"/>
    <mergeCell ref="O611:O612"/>
    <mergeCell ref="P611:P612"/>
    <mergeCell ref="Q611:Q612"/>
    <mergeCell ref="R611:R612"/>
    <mergeCell ref="S611:S612"/>
    <mergeCell ref="R624:R625"/>
    <mergeCell ref="S624:S625"/>
    <mergeCell ref="U624:U625"/>
    <mergeCell ref="I625:J625"/>
    <mergeCell ref="L625:M625"/>
    <mergeCell ref="S620:T620"/>
    <mergeCell ref="S621:T621"/>
    <mergeCell ref="S622:T622"/>
    <mergeCell ref="B624:B625"/>
    <mergeCell ref="C624:C625"/>
    <mergeCell ref="G624:G625"/>
    <mergeCell ref="H624:H625"/>
    <mergeCell ref="I624:M624"/>
    <mergeCell ref="N624:N625"/>
    <mergeCell ref="O624:O625"/>
    <mergeCell ref="D626:E626"/>
    <mergeCell ref="E629:F629"/>
    <mergeCell ref="H629:I629"/>
    <mergeCell ref="D633:E634"/>
    <mergeCell ref="F633:F634"/>
    <mergeCell ref="G633:H633"/>
    <mergeCell ref="I633:I634"/>
    <mergeCell ref="P624:P625"/>
    <mergeCell ref="Q624:Q625"/>
    <mergeCell ref="G639:H639"/>
    <mergeCell ref="F641:H641"/>
    <mergeCell ref="F642:H642"/>
    <mergeCell ref="A654:C656"/>
    <mergeCell ref="D654:G656"/>
    <mergeCell ref="H654:I656"/>
    <mergeCell ref="J633:K633"/>
    <mergeCell ref="G634:H634"/>
    <mergeCell ref="J634:K634"/>
    <mergeCell ref="F636:F637"/>
    <mergeCell ref="G636:H636"/>
    <mergeCell ref="I636:I637"/>
    <mergeCell ref="J636:K636"/>
    <mergeCell ref="G637:H637"/>
    <mergeCell ref="J637:K637"/>
    <mergeCell ref="J654:K656"/>
    <mergeCell ref="L654:N656"/>
    <mergeCell ref="O654:Q656"/>
    <mergeCell ref="R654:T656"/>
    <mergeCell ref="U654:V656"/>
    <mergeCell ref="A657:B657"/>
    <mergeCell ref="C657:C659"/>
    <mergeCell ref="D657:D659"/>
    <mergeCell ref="E657:E659"/>
    <mergeCell ref="F657:F659"/>
    <mergeCell ref="T657:T659"/>
    <mergeCell ref="U657:V657"/>
    <mergeCell ref="A658:B658"/>
    <mergeCell ref="U658:V658"/>
    <mergeCell ref="A659:B659"/>
    <mergeCell ref="U659:V659"/>
    <mergeCell ref="N657:N659"/>
    <mergeCell ref="O657:O659"/>
    <mergeCell ref="P657:P659"/>
    <mergeCell ref="Q657:Q659"/>
    <mergeCell ref="R657:R659"/>
    <mergeCell ref="S657:S659"/>
    <mergeCell ref="G657:G659"/>
    <mergeCell ref="H657:H659"/>
    <mergeCell ref="I657:I659"/>
    <mergeCell ref="J657:K659"/>
    <mergeCell ref="L657:L659"/>
    <mergeCell ref="M657:M659"/>
    <mergeCell ref="O698:P701"/>
    <mergeCell ref="Q698:R701"/>
    <mergeCell ref="S698:V701"/>
    <mergeCell ref="A702:A704"/>
    <mergeCell ref="B702:C704"/>
    <mergeCell ref="D702:E702"/>
    <mergeCell ref="F702:F704"/>
    <mergeCell ref="G702:G704"/>
    <mergeCell ref="H702:H704"/>
    <mergeCell ref="I702:J704"/>
    <mergeCell ref="A698:C701"/>
    <mergeCell ref="D698:F701"/>
    <mergeCell ref="G698:H701"/>
    <mergeCell ref="I698:J701"/>
    <mergeCell ref="K698:L701"/>
    <mergeCell ref="M698:N701"/>
    <mergeCell ref="D704:E704"/>
    <mergeCell ref="K704:L704"/>
    <mergeCell ref="M704:N704"/>
    <mergeCell ref="O704:P704"/>
    <mergeCell ref="S704:V704"/>
    <mergeCell ref="K702:L702"/>
    <mergeCell ref="M702:N702"/>
    <mergeCell ref="O702:P702"/>
    <mergeCell ref="Q702:R704"/>
    <mergeCell ref="S702:V702"/>
    <mergeCell ref="D703:E703"/>
    <mergeCell ref="K703:L703"/>
    <mergeCell ref="M703:N703"/>
    <mergeCell ref="O703:P703"/>
    <mergeCell ref="S703:V703"/>
  </mergeCells>
  <conditionalFormatting sqref="H61 H95:H129 H252 H340 H454 H542 H630">
    <cfRule type="cellIs" dxfId="173" priority="3" stopIfTrue="1" operator="equal">
      <formula>"Under Dimentioned"</formula>
    </cfRule>
  </conditionalFormatting>
  <conditionalFormatting sqref="H185">
    <cfRule type="cellIs" dxfId="172" priority="2" stopIfTrue="1" operator="equal">
      <formula>"Under Dimentioned"</formula>
    </cfRule>
  </conditionalFormatting>
  <conditionalFormatting sqref="H220">
    <cfRule type="cellIs" dxfId="171" priority="1" stopIfTrue="1" operator="equal">
      <formula>"Under Dimentioned"</formula>
    </cfRule>
  </conditionalFormatting>
  <conditionalFormatting sqref="H266:H271 H354:H359 H468:H473 H556:H561 H644:H649">
    <cfRule type="cellIs" dxfId="170" priority="4" stopIfTrue="1" operator="equal">
      <formula>"Not OK"</formula>
    </cfRule>
  </conditionalFormatting>
  <dataValidations count="1">
    <dataValidation type="list" allowBlank="1" showInputMessage="1" showErrorMessage="1" sqref="D565 IZ565 SV565 ACR565 AMN565 AWJ565 BGF565 BQB565 BZX565 CJT565 CTP565 DDL565 DNH565 DXD565 EGZ565 EQV565 FAR565 FKN565 FUJ565 GEF565 GOB565 GXX565 HHT565 HRP565 IBL565 ILH565 IVD565 JEZ565 JOV565 JYR565 KIN565 KSJ565 LCF565 LMB565 LVX565 MFT565 MPP565 MZL565 NJH565 NTD565 OCZ565 OMV565 OWR565 PGN565 PQJ565 QAF565 QKB565 QTX565 RDT565 RNP565 RXL565 SHH565 SRD565 TAZ565 TKV565 TUR565 UEN565 UOJ565 UYF565 VIB565 VRX565 WBT565 WLP565 WVL565 D66104 IZ66104 SV66104 ACR66104 AMN66104 AWJ66104 BGF66104 BQB66104 BZX66104 CJT66104 CTP66104 DDL66104 DNH66104 DXD66104 EGZ66104 EQV66104 FAR66104 FKN66104 FUJ66104 GEF66104 GOB66104 GXX66104 HHT66104 HRP66104 IBL66104 ILH66104 IVD66104 JEZ66104 JOV66104 JYR66104 KIN66104 KSJ66104 LCF66104 LMB66104 LVX66104 MFT66104 MPP66104 MZL66104 NJH66104 NTD66104 OCZ66104 OMV66104 OWR66104 PGN66104 PQJ66104 QAF66104 QKB66104 QTX66104 RDT66104 RNP66104 RXL66104 SHH66104 SRD66104 TAZ66104 TKV66104 TUR66104 UEN66104 UOJ66104 UYF66104 VIB66104 VRX66104 WBT66104 WLP66104 WVL66104 D131640 IZ131640 SV131640 ACR131640 AMN131640 AWJ131640 BGF131640 BQB131640 BZX131640 CJT131640 CTP131640 DDL131640 DNH131640 DXD131640 EGZ131640 EQV131640 FAR131640 FKN131640 FUJ131640 GEF131640 GOB131640 GXX131640 HHT131640 HRP131640 IBL131640 ILH131640 IVD131640 JEZ131640 JOV131640 JYR131640 KIN131640 KSJ131640 LCF131640 LMB131640 LVX131640 MFT131640 MPP131640 MZL131640 NJH131640 NTD131640 OCZ131640 OMV131640 OWR131640 PGN131640 PQJ131640 QAF131640 QKB131640 QTX131640 RDT131640 RNP131640 RXL131640 SHH131640 SRD131640 TAZ131640 TKV131640 TUR131640 UEN131640 UOJ131640 UYF131640 VIB131640 VRX131640 WBT131640 WLP131640 WVL131640 D197176 IZ197176 SV197176 ACR197176 AMN197176 AWJ197176 BGF197176 BQB197176 BZX197176 CJT197176 CTP197176 DDL197176 DNH197176 DXD197176 EGZ197176 EQV197176 FAR197176 FKN197176 FUJ197176 GEF197176 GOB197176 GXX197176 HHT197176 HRP197176 IBL197176 ILH197176 IVD197176 JEZ197176 JOV197176 JYR197176 KIN197176 KSJ197176 LCF197176 LMB197176 LVX197176 MFT197176 MPP197176 MZL197176 NJH197176 NTD197176 OCZ197176 OMV197176 OWR197176 PGN197176 PQJ197176 QAF197176 QKB197176 QTX197176 RDT197176 RNP197176 RXL197176 SHH197176 SRD197176 TAZ197176 TKV197176 TUR197176 UEN197176 UOJ197176 UYF197176 VIB197176 VRX197176 WBT197176 WLP197176 WVL197176 D262712 IZ262712 SV262712 ACR262712 AMN262712 AWJ262712 BGF262712 BQB262712 BZX262712 CJT262712 CTP262712 DDL262712 DNH262712 DXD262712 EGZ262712 EQV262712 FAR262712 FKN262712 FUJ262712 GEF262712 GOB262712 GXX262712 HHT262712 HRP262712 IBL262712 ILH262712 IVD262712 JEZ262712 JOV262712 JYR262712 KIN262712 KSJ262712 LCF262712 LMB262712 LVX262712 MFT262712 MPP262712 MZL262712 NJH262712 NTD262712 OCZ262712 OMV262712 OWR262712 PGN262712 PQJ262712 QAF262712 QKB262712 QTX262712 RDT262712 RNP262712 RXL262712 SHH262712 SRD262712 TAZ262712 TKV262712 TUR262712 UEN262712 UOJ262712 UYF262712 VIB262712 VRX262712 WBT262712 WLP262712 WVL262712 D328248 IZ328248 SV328248 ACR328248 AMN328248 AWJ328248 BGF328248 BQB328248 BZX328248 CJT328248 CTP328248 DDL328248 DNH328248 DXD328248 EGZ328248 EQV328248 FAR328248 FKN328248 FUJ328248 GEF328248 GOB328248 GXX328248 HHT328248 HRP328248 IBL328248 ILH328248 IVD328248 JEZ328248 JOV328248 JYR328248 KIN328248 KSJ328248 LCF328248 LMB328248 LVX328248 MFT328248 MPP328248 MZL328248 NJH328248 NTD328248 OCZ328248 OMV328248 OWR328248 PGN328248 PQJ328248 QAF328248 QKB328248 QTX328248 RDT328248 RNP328248 RXL328248 SHH328248 SRD328248 TAZ328248 TKV328248 TUR328248 UEN328248 UOJ328248 UYF328248 VIB328248 VRX328248 WBT328248 WLP328248 WVL328248 D393784 IZ393784 SV393784 ACR393784 AMN393784 AWJ393784 BGF393784 BQB393784 BZX393784 CJT393784 CTP393784 DDL393784 DNH393784 DXD393784 EGZ393784 EQV393784 FAR393784 FKN393784 FUJ393784 GEF393784 GOB393784 GXX393784 HHT393784 HRP393784 IBL393784 ILH393784 IVD393784 JEZ393784 JOV393784 JYR393784 KIN393784 KSJ393784 LCF393784 LMB393784 LVX393784 MFT393784 MPP393784 MZL393784 NJH393784 NTD393784 OCZ393784 OMV393784 OWR393784 PGN393784 PQJ393784 QAF393784 QKB393784 QTX393784 RDT393784 RNP393784 RXL393784 SHH393784 SRD393784 TAZ393784 TKV393784 TUR393784 UEN393784 UOJ393784 UYF393784 VIB393784 VRX393784 WBT393784 WLP393784 WVL393784 D459320 IZ459320 SV459320 ACR459320 AMN459320 AWJ459320 BGF459320 BQB459320 BZX459320 CJT459320 CTP459320 DDL459320 DNH459320 DXD459320 EGZ459320 EQV459320 FAR459320 FKN459320 FUJ459320 GEF459320 GOB459320 GXX459320 HHT459320 HRP459320 IBL459320 ILH459320 IVD459320 JEZ459320 JOV459320 JYR459320 KIN459320 KSJ459320 LCF459320 LMB459320 LVX459320 MFT459320 MPP459320 MZL459320 NJH459320 NTD459320 OCZ459320 OMV459320 OWR459320 PGN459320 PQJ459320 QAF459320 QKB459320 QTX459320 RDT459320 RNP459320 RXL459320 SHH459320 SRD459320 TAZ459320 TKV459320 TUR459320 UEN459320 UOJ459320 UYF459320 VIB459320 VRX459320 WBT459320 WLP459320 WVL459320 D524856 IZ524856 SV524856 ACR524856 AMN524856 AWJ524856 BGF524856 BQB524856 BZX524856 CJT524856 CTP524856 DDL524856 DNH524856 DXD524856 EGZ524856 EQV524856 FAR524856 FKN524856 FUJ524856 GEF524856 GOB524856 GXX524856 HHT524856 HRP524856 IBL524856 ILH524856 IVD524856 JEZ524856 JOV524856 JYR524856 KIN524856 KSJ524856 LCF524856 LMB524856 LVX524856 MFT524856 MPP524856 MZL524856 NJH524856 NTD524856 OCZ524856 OMV524856 OWR524856 PGN524856 PQJ524856 QAF524856 QKB524856 QTX524856 RDT524856 RNP524856 RXL524856 SHH524856 SRD524856 TAZ524856 TKV524856 TUR524856 UEN524856 UOJ524856 UYF524856 VIB524856 VRX524856 WBT524856 WLP524856 WVL524856 D590392 IZ590392 SV590392 ACR590392 AMN590392 AWJ590392 BGF590392 BQB590392 BZX590392 CJT590392 CTP590392 DDL590392 DNH590392 DXD590392 EGZ590392 EQV590392 FAR590392 FKN590392 FUJ590392 GEF590392 GOB590392 GXX590392 HHT590392 HRP590392 IBL590392 ILH590392 IVD590392 JEZ590392 JOV590392 JYR590392 KIN590392 KSJ590392 LCF590392 LMB590392 LVX590392 MFT590392 MPP590392 MZL590392 NJH590392 NTD590392 OCZ590392 OMV590392 OWR590392 PGN590392 PQJ590392 QAF590392 QKB590392 QTX590392 RDT590392 RNP590392 RXL590392 SHH590392 SRD590392 TAZ590392 TKV590392 TUR590392 UEN590392 UOJ590392 UYF590392 VIB590392 VRX590392 WBT590392 WLP590392 WVL590392 D655928 IZ655928 SV655928 ACR655928 AMN655928 AWJ655928 BGF655928 BQB655928 BZX655928 CJT655928 CTP655928 DDL655928 DNH655928 DXD655928 EGZ655928 EQV655928 FAR655928 FKN655928 FUJ655928 GEF655928 GOB655928 GXX655928 HHT655928 HRP655928 IBL655928 ILH655928 IVD655928 JEZ655928 JOV655928 JYR655928 KIN655928 KSJ655928 LCF655928 LMB655928 LVX655928 MFT655928 MPP655928 MZL655928 NJH655928 NTD655928 OCZ655928 OMV655928 OWR655928 PGN655928 PQJ655928 QAF655928 QKB655928 QTX655928 RDT655928 RNP655928 RXL655928 SHH655928 SRD655928 TAZ655928 TKV655928 TUR655928 UEN655928 UOJ655928 UYF655928 VIB655928 VRX655928 WBT655928 WLP655928 WVL655928 D721464 IZ721464 SV721464 ACR721464 AMN721464 AWJ721464 BGF721464 BQB721464 BZX721464 CJT721464 CTP721464 DDL721464 DNH721464 DXD721464 EGZ721464 EQV721464 FAR721464 FKN721464 FUJ721464 GEF721464 GOB721464 GXX721464 HHT721464 HRP721464 IBL721464 ILH721464 IVD721464 JEZ721464 JOV721464 JYR721464 KIN721464 KSJ721464 LCF721464 LMB721464 LVX721464 MFT721464 MPP721464 MZL721464 NJH721464 NTD721464 OCZ721464 OMV721464 OWR721464 PGN721464 PQJ721464 QAF721464 QKB721464 QTX721464 RDT721464 RNP721464 RXL721464 SHH721464 SRD721464 TAZ721464 TKV721464 TUR721464 UEN721464 UOJ721464 UYF721464 VIB721464 VRX721464 WBT721464 WLP721464 WVL721464 D787000 IZ787000 SV787000 ACR787000 AMN787000 AWJ787000 BGF787000 BQB787000 BZX787000 CJT787000 CTP787000 DDL787000 DNH787000 DXD787000 EGZ787000 EQV787000 FAR787000 FKN787000 FUJ787000 GEF787000 GOB787000 GXX787000 HHT787000 HRP787000 IBL787000 ILH787000 IVD787000 JEZ787000 JOV787000 JYR787000 KIN787000 KSJ787000 LCF787000 LMB787000 LVX787000 MFT787000 MPP787000 MZL787000 NJH787000 NTD787000 OCZ787000 OMV787000 OWR787000 PGN787000 PQJ787000 QAF787000 QKB787000 QTX787000 RDT787000 RNP787000 RXL787000 SHH787000 SRD787000 TAZ787000 TKV787000 TUR787000 UEN787000 UOJ787000 UYF787000 VIB787000 VRX787000 WBT787000 WLP787000 WVL787000 D852536 IZ852536 SV852536 ACR852536 AMN852536 AWJ852536 BGF852536 BQB852536 BZX852536 CJT852536 CTP852536 DDL852536 DNH852536 DXD852536 EGZ852536 EQV852536 FAR852536 FKN852536 FUJ852536 GEF852536 GOB852536 GXX852536 HHT852536 HRP852536 IBL852536 ILH852536 IVD852536 JEZ852536 JOV852536 JYR852536 KIN852536 KSJ852536 LCF852536 LMB852536 LVX852536 MFT852536 MPP852536 MZL852536 NJH852536 NTD852536 OCZ852536 OMV852536 OWR852536 PGN852536 PQJ852536 QAF852536 QKB852536 QTX852536 RDT852536 RNP852536 RXL852536 SHH852536 SRD852536 TAZ852536 TKV852536 TUR852536 UEN852536 UOJ852536 UYF852536 VIB852536 VRX852536 WBT852536 WLP852536 WVL852536 D918072 IZ918072 SV918072 ACR918072 AMN918072 AWJ918072 BGF918072 BQB918072 BZX918072 CJT918072 CTP918072 DDL918072 DNH918072 DXD918072 EGZ918072 EQV918072 FAR918072 FKN918072 FUJ918072 GEF918072 GOB918072 GXX918072 HHT918072 HRP918072 IBL918072 ILH918072 IVD918072 JEZ918072 JOV918072 JYR918072 KIN918072 KSJ918072 LCF918072 LMB918072 LVX918072 MFT918072 MPP918072 MZL918072 NJH918072 NTD918072 OCZ918072 OMV918072 OWR918072 PGN918072 PQJ918072 QAF918072 QKB918072 QTX918072 RDT918072 RNP918072 RXL918072 SHH918072 SRD918072 TAZ918072 TKV918072 TUR918072 UEN918072 UOJ918072 UYF918072 VIB918072 VRX918072 WBT918072 WLP918072 WVL918072 D983608 IZ983608 SV983608 ACR983608 AMN983608 AWJ983608 BGF983608 BQB983608 BZX983608 CJT983608 CTP983608 DDL983608 DNH983608 DXD983608 EGZ983608 EQV983608 FAR983608 FKN983608 FUJ983608 GEF983608 GOB983608 GXX983608 HHT983608 HRP983608 IBL983608 ILH983608 IVD983608 JEZ983608 JOV983608 JYR983608 KIN983608 KSJ983608 LCF983608 LMB983608 LVX983608 MFT983608 MPP983608 MZL983608 NJH983608 NTD983608 OCZ983608 OMV983608 OWR983608 PGN983608 PQJ983608 QAF983608 QKB983608 QTX983608 RDT983608 RNP983608 RXL983608 SHH983608 SRD983608 TAZ983608 TKV983608 TUR983608 UEN983608 UOJ983608 UYF983608 VIB983608 VRX983608 WBT983608 WLP983608 WVL983608 D477 IZ477 SV477 ACR477 AMN477 AWJ477 BGF477 BQB477 BZX477 CJT477 CTP477 DDL477 DNH477 DXD477 EGZ477 EQV477 FAR477 FKN477 FUJ477 GEF477 GOB477 GXX477 HHT477 HRP477 IBL477 ILH477 IVD477 JEZ477 JOV477 JYR477 KIN477 KSJ477 LCF477 LMB477 LVX477 MFT477 MPP477 MZL477 NJH477 NTD477 OCZ477 OMV477 OWR477 PGN477 PQJ477 QAF477 QKB477 QTX477 RDT477 RNP477 RXL477 SHH477 SRD477 TAZ477 TKV477 TUR477 UEN477 UOJ477 UYF477 VIB477 VRX477 WBT477 WLP477 WVL477 D66016 IZ66016 SV66016 ACR66016 AMN66016 AWJ66016 BGF66016 BQB66016 BZX66016 CJT66016 CTP66016 DDL66016 DNH66016 DXD66016 EGZ66016 EQV66016 FAR66016 FKN66016 FUJ66016 GEF66016 GOB66016 GXX66016 HHT66016 HRP66016 IBL66016 ILH66016 IVD66016 JEZ66016 JOV66016 JYR66016 KIN66016 KSJ66016 LCF66016 LMB66016 LVX66016 MFT66016 MPP66016 MZL66016 NJH66016 NTD66016 OCZ66016 OMV66016 OWR66016 PGN66016 PQJ66016 QAF66016 QKB66016 QTX66016 RDT66016 RNP66016 RXL66016 SHH66016 SRD66016 TAZ66016 TKV66016 TUR66016 UEN66016 UOJ66016 UYF66016 VIB66016 VRX66016 WBT66016 WLP66016 WVL66016 D131552 IZ131552 SV131552 ACR131552 AMN131552 AWJ131552 BGF131552 BQB131552 BZX131552 CJT131552 CTP131552 DDL131552 DNH131552 DXD131552 EGZ131552 EQV131552 FAR131552 FKN131552 FUJ131552 GEF131552 GOB131552 GXX131552 HHT131552 HRP131552 IBL131552 ILH131552 IVD131552 JEZ131552 JOV131552 JYR131552 KIN131552 KSJ131552 LCF131552 LMB131552 LVX131552 MFT131552 MPP131552 MZL131552 NJH131552 NTD131552 OCZ131552 OMV131552 OWR131552 PGN131552 PQJ131552 QAF131552 QKB131552 QTX131552 RDT131552 RNP131552 RXL131552 SHH131552 SRD131552 TAZ131552 TKV131552 TUR131552 UEN131552 UOJ131552 UYF131552 VIB131552 VRX131552 WBT131552 WLP131552 WVL131552 D197088 IZ197088 SV197088 ACR197088 AMN197088 AWJ197088 BGF197088 BQB197088 BZX197088 CJT197088 CTP197088 DDL197088 DNH197088 DXD197088 EGZ197088 EQV197088 FAR197088 FKN197088 FUJ197088 GEF197088 GOB197088 GXX197088 HHT197088 HRP197088 IBL197088 ILH197088 IVD197088 JEZ197088 JOV197088 JYR197088 KIN197088 KSJ197088 LCF197088 LMB197088 LVX197088 MFT197088 MPP197088 MZL197088 NJH197088 NTD197088 OCZ197088 OMV197088 OWR197088 PGN197088 PQJ197088 QAF197088 QKB197088 QTX197088 RDT197088 RNP197088 RXL197088 SHH197088 SRD197088 TAZ197088 TKV197088 TUR197088 UEN197088 UOJ197088 UYF197088 VIB197088 VRX197088 WBT197088 WLP197088 WVL197088 D262624 IZ262624 SV262624 ACR262624 AMN262624 AWJ262624 BGF262624 BQB262624 BZX262624 CJT262624 CTP262624 DDL262624 DNH262624 DXD262624 EGZ262624 EQV262624 FAR262624 FKN262624 FUJ262624 GEF262624 GOB262624 GXX262624 HHT262624 HRP262624 IBL262624 ILH262624 IVD262624 JEZ262624 JOV262624 JYR262624 KIN262624 KSJ262624 LCF262624 LMB262624 LVX262624 MFT262624 MPP262624 MZL262624 NJH262624 NTD262624 OCZ262624 OMV262624 OWR262624 PGN262624 PQJ262624 QAF262624 QKB262624 QTX262624 RDT262624 RNP262624 RXL262624 SHH262624 SRD262624 TAZ262624 TKV262624 TUR262624 UEN262624 UOJ262624 UYF262624 VIB262624 VRX262624 WBT262624 WLP262624 WVL262624 D328160 IZ328160 SV328160 ACR328160 AMN328160 AWJ328160 BGF328160 BQB328160 BZX328160 CJT328160 CTP328160 DDL328160 DNH328160 DXD328160 EGZ328160 EQV328160 FAR328160 FKN328160 FUJ328160 GEF328160 GOB328160 GXX328160 HHT328160 HRP328160 IBL328160 ILH328160 IVD328160 JEZ328160 JOV328160 JYR328160 KIN328160 KSJ328160 LCF328160 LMB328160 LVX328160 MFT328160 MPP328160 MZL328160 NJH328160 NTD328160 OCZ328160 OMV328160 OWR328160 PGN328160 PQJ328160 QAF328160 QKB328160 QTX328160 RDT328160 RNP328160 RXL328160 SHH328160 SRD328160 TAZ328160 TKV328160 TUR328160 UEN328160 UOJ328160 UYF328160 VIB328160 VRX328160 WBT328160 WLP328160 WVL328160 D393696 IZ393696 SV393696 ACR393696 AMN393696 AWJ393696 BGF393696 BQB393696 BZX393696 CJT393696 CTP393696 DDL393696 DNH393696 DXD393696 EGZ393696 EQV393696 FAR393696 FKN393696 FUJ393696 GEF393696 GOB393696 GXX393696 HHT393696 HRP393696 IBL393696 ILH393696 IVD393696 JEZ393696 JOV393696 JYR393696 KIN393696 KSJ393696 LCF393696 LMB393696 LVX393696 MFT393696 MPP393696 MZL393696 NJH393696 NTD393696 OCZ393696 OMV393696 OWR393696 PGN393696 PQJ393696 QAF393696 QKB393696 QTX393696 RDT393696 RNP393696 RXL393696 SHH393696 SRD393696 TAZ393696 TKV393696 TUR393696 UEN393696 UOJ393696 UYF393696 VIB393696 VRX393696 WBT393696 WLP393696 WVL393696 D459232 IZ459232 SV459232 ACR459232 AMN459232 AWJ459232 BGF459232 BQB459232 BZX459232 CJT459232 CTP459232 DDL459232 DNH459232 DXD459232 EGZ459232 EQV459232 FAR459232 FKN459232 FUJ459232 GEF459232 GOB459232 GXX459232 HHT459232 HRP459232 IBL459232 ILH459232 IVD459232 JEZ459232 JOV459232 JYR459232 KIN459232 KSJ459232 LCF459232 LMB459232 LVX459232 MFT459232 MPP459232 MZL459232 NJH459232 NTD459232 OCZ459232 OMV459232 OWR459232 PGN459232 PQJ459232 QAF459232 QKB459232 QTX459232 RDT459232 RNP459232 RXL459232 SHH459232 SRD459232 TAZ459232 TKV459232 TUR459232 UEN459232 UOJ459232 UYF459232 VIB459232 VRX459232 WBT459232 WLP459232 WVL459232 D524768 IZ524768 SV524768 ACR524768 AMN524768 AWJ524768 BGF524768 BQB524768 BZX524768 CJT524768 CTP524768 DDL524768 DNH524768 DXD524768 EGZ524768 EQV524768 FAR524768 FKN524768 FUJ524768 GEF524768 GOB524768 GXX524768 HHT524768 HRP524768 IBL524768 ILH524768 IVD524768 JEZ524768 JOV524768 JYR524768 KIN524768 KSJ524768 LCF524768 LMB524768 LVX524768 MFT524768 MPP524768 MZL524768 NJH524768 NTD524768 OCZ524768 OMV524768 OWR524768 PGN524768 PQJ524768 QAF524768 QKB524768 QTX524768 RDT524768 RNP524768 RXL524768 SHH524768 SRD524768 TAZ524768 TKV524768 TUR524768 UEN524768 UOJ524768 UYF524768 VIB524768 VRX524768 WBT524768 WLP524768 WVL524768 D590304 IZ590304 SV590304 ACR590304 AMN590304 AWJ590304 BGF590304 BQB590304 BZX590304 CJT590304 CTP590304 DDL590304 DNH590304 DXD590304 EGZ590304 EQV590304 FAR590304 FKN590304 FUJ590304 GEF590304 GOB590304 GXX590304 HHT590304 HRP590304 IBL590304 ILH590304 IVD590304 JEZ590304 JOV590304 JYR590304 KIN590304 KSJ590304 LCF590304 LMB590304 LVX590304 MFT590304 MPP590304 MZL590304 NJH590304 NTD590304 OCZ590304 OMV590304 OWR590304 PGN590304 PQJ590304 QAF590304 QKB590304 QTX590304 RDT590304 RNP590304 RXL590304 SHH590304 SRD590304 TAZ590304 TKV590304 TUR590304 UEN590304 UOJ590304 UYF590304 VIB590304 VRX590304 WBT590304 WLP590304 WVL590304 D655840 IZ655840 SV655840 ACR655840 AMN655840 AWJ655840 BGF655840 BQB655840 BZX655840 CJT655840 CTP655840 DDL655840 DNH655840 DXD655840 EGZ655840 EQV655840 FAR655840 FKN655840 FUJ655840 GEF655840 GOB655840 GXX655840 HHT655840 HRP655840 IBL655840 ILH655840 IVD655840 JEZ655840 JOV655840 JYR655840 KIN655840 KSJ655840 LCF655840 LMB655840 LVX655840 MFT655840 MPP655840 MZL655840 NJH655840 NTD655840 OCZ655840 OMV655840 OWR655840 PGN655840 PQJ655840 QAF655840 QKB655840 QTX655840 RDT655840 RNP655840 RXL655840 SHH655840 SRD655840 TAZ655840 TKV655840 TUR655840 UEN655840 UOJ655840 UYF655840 VIB655840 VRX655840 WBT655840 WLP655840 WVL655840 D721376 IZ721376 SV721376 ACR721376 AMN721376 AWJ721376 BGF721376 BQB721376 BZX721376 CJT721376 CTP721376 DDL721376 DNH721376 DXD721376 EGZ721376 EQV721376 FAR721376 FKN721376 FUJ721376 GEF721376 GOB721376 GXX721376 HHT721376 HRP721376 IBL721376 ILH721376 IVD721376 JEZ721376 JOV721376 JYR721376 KIN721376 KSJ721376 LCF721376 LMB721376 LVX721376 MFT721376 MPP721376 MZL721376 NJH721376 NTD721376 OCZ721376 OMV721376 OWR721376 PGN721376 PQJ721376 QAF721376 QKB721376 QTX721376 RDT721376 RNP721376 RXL721376 SHH721376 SRD721376 TAZ721376 TKV721376 TUR721376 UEN721376 UOJ721376 UYF721376 VIB721376 VRX721376 WBT721376 WLP721376 WVL721376 D786912 IZ786912 SV786912 ACR786912 AMN786912 AWJ786912 BGF786912 BQB786912 BZX786912 CJT786912 CTP786912 DDL786912 DNH786912 DXD786912 EGZ786912 EQV786912 FAR786912 FKN786912 FUJ786912 GEF786912 GOB786912 GXX786912 HHT786912 HRP786912 IBL786912 ILH786912 IVD786912 JEZ786912 JOV786912 JYR786912 KIN786912 KSJ786912 LCF786912 LMB786912 LVX786912 MFT786912 MPP786912 MZL786912 NJH786912 NTD786912 OCZ786912 OMV786912 OWR786912 PGN786912 PQJ786912 QAF786912 QKB786912 QTX786912 RDT786912 RNP786912 RXL786912 SHH786912 SRD786912 TAZ786912 TKV786912 TUR786912 UEN786912 UOJ786912 UYF786912 VIB786912 VRX786912 WBT786912 WLP786912 WVL786912 D852448 IZ852448 SV852448 ACR852448 AMN852448 AWJ852448 BGF852448 BQB852448 BZX852448 CJT852448 CTP852448 DDL852448 DNH852448 DXD852448 EGZ852448 EQV852448 FAR852448 FKN852448 FUJ852448 GEF852448 GOB852448 GXX852448 HHT852448 HRP852448 IBL852448 ILH852448 IVD852448 JEZ852448 JOV852448 JYR852448 KIN852448 KSJ852448 LCF852448 LMB852448 LVX852448 MFT852448 MPP852448 MZL852448 NJH852448 NTD852448 OCZ852448 OMV852448 OWR852448 PGN852448 PQJ852448 QAF852448 QKB852448 QTX852448 RDT852448 RNP852448 RXL852448 SHH852448 SRD852448 TAZ852448 TKV852448 TUR852448 UEN852448 UOJ852448 UYF852448 VIB852448 VRX852448 WBT852448 WLP852448 WVL852448 D917984 IZ917984 SV917984 ACR917984 AMN917984 AWJ917984 BGF917984 BQB917984 BZX917984 CJT917984 CTP917984 DDL917984 DNH917984 DXD917984 EGZ917984 EQV917984 FAR917984 FKN917984 FUJ917984 GEF917984 GOB917984 GXX917984 HHT917984 HRP917984 IBL917984 ILH917984 IVD917984 JEZ917984 JOV917984 JYR917984 KIN917984 KSJ917984 LCF917984 LMB917984 LVX917984 MFT917984 MPP917984 MZL917984 NJH917984 NTD917984 OCZ917984 OMV917984 OWR917984 PGN917984 PQJ917984 QAF917984 QKB917984 QTX917984 RDT917984 RNP917984 RXL917984 SHH917984 SRD917984 TAZ917984 TKV917984 TUR917984 UEN917984 UOJ917984 UYF917984 VIB917984 VRX917984 WBT917984 WLP917984 WVL917984 D983520 IZ983520 SV983520 ACR983520 AMN983520 AWJ983520 BGF983520 BQB983520 BZX983520 CJT983520 CTP983520 DDL983520 DNH983520 DXD983520 EGZ983520 EQV983520 FAR983520 FKN983520 FUJ983520 GEF983520 GOB983520 GXX983520 HHT983520 HRP983520 IBL983520 ILH983520 IVD983520 JEZ983520 JOV983520 JYR983520 KIN983520 KSJ983520 LCF983520 LMB983520 LVX983520 MFT983520 MPP983520 MZL983520 NJH983520 NTD983520 OCZ983520 OMV983520 OWR983520 PGN983520 PQJ983520 QAF983520 QKB983520 QTX983520 RDT983520 RNP983520 RXL983520 SHH983520 SRD983520 TAZ983520 TKV983520 TUR983520 UEN983520 UOJ983520 UYF983520 VIB983520 VRX983520 WBT983520 WLP983520 WVL983520 D394 IZ394 SV394 ACR394 AMN394 AWJ394 BGF394 BQB394 BZX394 CJT394 CTP394 DDL394 DNH394 DXD394 EGZ394 EQV394 FAR394 FKN394 FUJ394 GEF394 GOB394 GXX394 HHT394 HRP394 IBL394 ILH394 IVD394 JEZ394 JOV394 JYR394 KIN394 KSJ394 LCF394 LMB394 LVX394 MFT394 MPP394 MZL394 NJH394 NTD394 OCZ394 OMV394 OWR394 PGN394 PQJ394 QAF394 QKB394 QTX394 RDT394 RNP394 RXL394 SHH394 SRD394 TAZ394 TKV394 TUR394 UEN394 UOJ394 UYF394 VIB394 VRX394 WBT394 WLP394 WVL394 D65933 IZ65933 SV65933 ACR65933 AMN65933 AWJ65933 BGF65933 BQB65933 BZX65933 CJT65933 CTP65933 DDL65933 DNH65933 DXD65933 EGZ65933 EQV65933 FAR65933 FKN65933 FUJ65933 GEF65933 GOB65933 GXX65933 HHT65933 HRP65933 IBL65933 ILH65933 IVD65933 JEZ65933 JOV65933 JYR65933 KIN65933 KSJ65933 LCF65933 LMB65933 LVX65933 MFT65933 MPP65933 MZL65933 NJH65933 NTD65933 OCZ65933 OMV65933 OWR65933 PGN65933 PQJ65933 QAF65933 QKB65933 QTX65933 RDT65933 RNP65933 RXL65933 SHH65933 SRD65933 TAZ65933 TKV65933 TUR65933 UEN65933 UOJ65933 UYF65933 VIB65933 VRX65933 WBT65933 WLP65933 WVL65933 D131469 IZ131469 SV131469 ACR131469 AMN131469 AWJ131469 BGF131469 BQB131469 BZX131469 CJT131469 CTP131469 DDL131469 DNH131469 DXD131469 EGZ131469 EQV131469 FAR131469 FKN131469 FUJ131469 GEF131469 GOB131469 GXX131469 HHT131469 HRP131469 IBL131469 ILH131469 IVD131469 JEZ131469 JOV131469 JYR131469 KIN131469 KSJ131469 LCF131469 LMB131469 LVX131469 MFT131469 MPP131469 MZL131469 NJH131469 NTD131469 OCZ131469 OMV131469 OWR131469 PGN131469 PQJ131469 QAF131469 QKB131469 QTX131469 RDT131469 RNP131469 RXL131469 SHH131469 SRD131469 TAZ131469 TKV131469 TUR131469 UEN131469 UOJ131469 UYF131469 VIB131469 VRX131469 WBT131469 WLP131469 WVL131469 D197005 IZ197005 SV197005 ACR197005 AMN197005 AWJ197005 BGF197005 BQB197005 BZX197005 CJT197005 CTP197005 DDL197005 DNH197005 DXD197005 EGZ197005 EQV197005 FAR197005 FKN197005 FUJ197005 GEF197005 GOB197005 GXX197005 HHT197005 HRP197005 IBL197005 ILH197005 IVD197005 JEZ197005 JOV197005 JYR197005 KIN197005 KSJ197005 LCF197005 LMB197005 LVX197005 MFT197005 MPP197005 MZL197005 NJH197005 NTD197005 OCZ197005 OMV197005 OWR197005 PGN197005 PQJ197005 QAF197005 QKB197005 QTX197005 RDT197005 RNP197005 RXL197005 SHH197005 SRD197005 TAZ197005 TKV197005 TUR197005 UEN197005 UOJ197005 UYF197005 VIB197005 VRX197005 WBT197005 WLP197005 WVL197005 D262541 IZ262541 SV262541 ACR262541 AMN262541 AWJ262541 BGF262541 BQB262541 BZX262541 CJT262541 CTP262541 DDL262541 DNH262541 DXD262541 EGZ262541 EQV262541 FAR262541 FKN262541 FUJ262541 GEF262541 GOB262541 GXX262541 HHT262541 HRP262541 IBL262541 ILH262541 IVD262541 JEZ262541 JOV262541 JYR262541 KIN262541 KSJ262541 LCF262541 LMB262541 LVX262541 MFT262541 MPP262541 MZL262541 NJH262541 NTD262541 OCZ262541 OMV262541 OWR262541 PGN262541 PQJ262541 QAF262541 QKB262541 QTX262541 RDT262541 RNP262541 RXL262541 SHH262541 SRD262541 TAZ262541 TKV262541 TUR262541 UEN262541 UOJ262541 UYF262541 VIB262541 VRX262541 WBT262541 WLP262541 WVL262541 D328077 IZ328077 SV328077 ACR328077 AMN328077 AWJ328077 BGF328077 BQB328077 BZX328077 CJT328077 CTP328077 DDL328077 DNH328077 DXD328077 EGZ328077 EQV328077 FAR328077 FKN328077 FUJ328077 GEF328077 GOB328077 GXX328077 HHT328077 HRP328077 IBL328077 ILH328077 IVD328077 JEZ328077 JOV328077 JYR328077 KIN328077 KSJ328077 LCF328077 LMB328077 LVX328077 MFT328077 MPP328077 MZL328077 NJH328077 NTD328077 OCZ328077 OMV328077 OWR328077 PGN328077 PQJ328077 QAF328077 QKB328077 QTX328077 RDT328077 RNP328077 RXL328077 SHH328077 SRD328077 TAZ328077 TKV328077 TUR328077 UEN328077 UOJ328077 UYF328077 VIB328077 VRX328077 WBT328077 WLP328077 WVL328077 D393613 IZ393613 SV393613 ACR393613 AMN393613 AWJ393613 BGF393613 BQB393613 BZX393613 CJT393613 CTP393613 DDL393613 DNH393613 DXD393613 EGZ393613 EQV393613 FAR393613 FKN393613 FUJ393613 GEF393613 GOB393613 GXX393613 HHT393613 HRP393613 IBL393613 ILH393613 IVD393613 JEZ393613 JOV393613 JYR393613 KIN393613 KSJ393613 LCF393613 LMB393613 LVX393613 MFT393613 MPP393613 MZL393613 NJH393613 NTD393613 OCZ393613 OMV393613 OWR393613 PGN393613 PQJ393613 QAF393613 QKB393613 QTX393613 RDT393613 RNP393613 RXL393613 SHH393613 SRD393613 TAZ393613 TKV393613 TUR393613 UEN393613 UOJ393613 UYF393613 VIB393613 VRX393613 WBT393613 WLP393613 WVL393613 D459149 IZ459149 SV459149 ACR459149 AMN459149 AWJ459149 BGF459149 BQB459149 BZX459149 CJT459149 CTP459149 DDL459149 DNH459149 DXD459149 EGZ459149 EQV459149 FAR459149 FKN459149 FUJ459149 GEF459149 GOB459149 GXX459149 HHT459149 HRP459149 IBL459149 ILH459149 IVD459149 JEZ459149 JOV459149 JYR459149 KIN459149 KSJ459149 LCF459149 LMB459149 LVX459149 MFT459149 MPP459149 MZL459149 NJH459149 NTD459149 OCZ459149 OMV459149 OWR459149 PGN459149 PQJ459149 QAF459149 QKB459149 QTX459149 RDT459149 RNP459149 RXL459149 SHH459149 SRD459149 TAZ459149 TKV459149 TUR459149 UEN459149 UOJ459149 UYF459149 VIB459149 VRX459149 WBT459149 WLP459149 WVL459149 D524685 IZ524685 SV524685 ACR524685 AMN524685 AWJ524685 BGF524685 BQB524685 BZX524685 CJT524685 CTP524685 DDL524685 DNH524685 DXD524685 EGZ524685 EQV524685 FAR524685 FKN524685 FUJ524685 GEF524685 GOB524685 GXX524685 HHT524685 HRP524685 IBL524685 ILH524685 IVD524685 JEZ524685 JOV524685 JYR524685 KIN524685 KSJ524685 LCF524685 LMB524685 LVX524685 MFT524685 MPP524685 MZL524685 NJH524685 NTD524685 OCZ524685 OMV524685 OWR524685 PGN524685 PQJ524685 QAF524685 QKB524685 QTX524685 RDT524685 RNP524685 RXL524685 SHH524685 SRD524685 TAZ524685 TKV524685 TUR524685 UEN524685 UOJ524685 UYF524685 VIB524685 VRX524685 WBT524685 WLP524685 WVL524685 D590221 IZ590221 SV590221 ACR590221 AMN590221 AWJ590221 BGF590221 BQB590221 BZX590221 CJT590221 CTP590221 DDL590221 DNH590221 DXD590221 EGZ590221 EQV590221 FAR590221 FKN590221 FUJ590221 GEF590221 GOB590221 GXX590221 HHT590221 HRP590221 IBL590221 ILH590221 IVD590221 JEZ590221 JOV590221 JYR590221 KIN590221 KSJ590221 LCF590221 LMB590221 LVX590221 MFT590221 MPP590221 MZL590221 NJH590221 NTD590221 OCZ590221 OMV590221 OWR590221 PGN590221 PQJ590221 QAF590221 QKB590221 QTX590221 RDT590221 RNP590221 RXL590221 SHH590221 SRD590221 TAZ590221 TKV590221 TUR590221 UEN590221 UOJ590221 UYF590221 VIB590221 VRX590221 WBT590221 WLP590221 WVL590221 D655757 IZ655757 SV655757 ACR655757 AMN655757 AWJ655757 BGF655757 BQB655757 BZX655757 CJT655757 CTP655757 DDL655757 DNH655757 DXD655757 EGZ655757 EQV655757 FAR655757 FKN655757 FUJ655757 GEF655757 GOB655757 GXX655757 HHT655757 HRP655757 IBL655757 ILH655757 IVD655757 JEZ655757 JOV655757 JYR655757 KIN655757 KSJ655757 LCF655757 LMB655757 LVX655757 MFT655757 MPP655757 MZL655757 NJH655757 NTD655757 OCZ655757 OMV655757 OWR655757 PGN655757 PQJ655757 QAF655757 QKB655757 QTX655757 RDT655757 RNP655757 RXL655757 SHH655757 SRD655757 TAZ655757 TKV655757 TUR655757 UEN655757 UOJ655757 UYF655757 VIB655757 VRX655757 WBT655757 WLP655757 WVL655757 D721293 IZ721293 SV721293 ACR721293 AMN721293 AWJ721293 BGF721293 BQB721293 BZX721293 CJT721293 CTP721293 DDL721293 DNH721293 DXD721293 EGZ721293 EQV721293 FAR721293 FKN721293 FUJ721293 GEF721293 GOB721293 GXX721293 HHT721293 HRP721293 IBL721293 ILH721293 IVD721293 JEZ721293 JOV721293 JYR721293 KIN721293 KSJ721293 LCF721293 LMB721293 LVX721293 MFT721293 MPP721293 MZL721293 NJH721293 NTD721293 OCZ721293 OMV721293 OWR721293 PGN721293 PQJ721293 QAF721293 QKB721293 QTX721293 RDT721293 RNP721293 RXL721293 SHH721293 SRD721293 TAZ721293 TKV721293 TUR721293 UEN721293 UOJ721293 UYF721293 VIB721293 VRX721293 WBT721293 WLP721293 WVL721293 D786829 IZ786829 SV786829 ACR786829 AMN786829 AWJ786829 BGF786829 BQB786829 BZX786829 CJT786829 CTP786829 DDL786829 DNH786829 DXD786829 EGZ786829 EQV786829 FAR786829 FKN786829 FUJ786829 GEF786829 GOB786829 GXX786829 HHT786829 HRP786829 IBL786829 ILH786829 IVD786829 JEZ786829 JOV786829 JYR786829 KIN786829 KSJ786829 LCF786829 LMB786829 LVX786829 MFT786829 MPP786829 MZL786829 NJH786829 NTD786829 OCZ786829 OMV786829 OWR786829 PGN786829 PQJ786829 QAF786829 QKB786829 QTX786829 RDT786829 RNP786829 RXL786829 SHH786829 SRD786829 TAZ786829 TKV786829 TUR786829 UEN786829 UOJ786829 UYF786829 VIB786829 VRX786829 WBT786829 WLP786829 WVL786829 D852365 IZ852365 SV852365 ACR852365 AMN852365 AWJ852365 BGF852365 BQB852365 BZX852365 CJT852365 CTP852365 DDL852365 DNH852365 DXD852365 EGZ852365 EQV852365 FAR852365 FKN852365 FUJ852365 GEF852365 GOB852365 GXX852365 HHT852365 HRP852365 IBL852365 ILH852365 IVD852365 JEZ852365 JOV852365 JYR852365 KIN852365 KSJ852365 LCF852365 LMB852365 LVX852365 MFT852365 MPP852365 MZL852365 NJH852365 NTD852365 OCZ852365 OMV852365 OWR852365 PGN852365 PQJ852365 QAF852365 QKB852365 QTX852365 RDT852365 RNP852365 RXL852365 SHH852365 SRD852365 TAZ852365 TKV852365 TUR852365 UEN852365 UOJ852365 UYF852365 VIB852365 VRX852365 WBT852365 WLP852365 WVL852365 D917901 IZ917901 SV917901 ACR917901 AMN917901 AWJ917901 BGF917901 BQB917901 BZX917901 CJT917901 CTP917901 DDL917901 DNH917901 DXD917901 EGZ917901 EQV917901 FAR917901 FKN917901 FUJ917901 GEF917901 GOB917901 GXX917901 HHT917901 HRP917901 IBL917901 ILH917901 IVD917901 JEZ917901 JOV917901 JYR917901 KIN917901 KSJ917901 LCF917901 LMB917901 LVX917901 MFT917901 MPP917901 MZL917901 NJH917901 NTD917901 OCZ917901 OMV917901 OWR917901 PGN917901 PQJ917901 QAF917901 QKB917901 QTX917901 RDT917901 RNP917901 RXL917901 SHH917901 SRD917901 TAZ917901 TKV917901 TUR917901 UEN917901 UOJ917901 UYF917901 VIB917901 VRX917901 WBT917901 WLP917901 WVL917901 D983437 IZ983437 SV983437 ACR983437 AMN983437 AWJ983437 BGF983437 BQB983437 BZX983437 CJT983437 CTP983437 DDL983437 DNH983437 DXD983437 EGZ983437 EQV983437 FAR983437 FKN983437 FUJ983437 GEF983437 GOB983437 GXX983437 HHT983437 HRP983437 IBL983437 ILH983437 IVD983437 JEZ983437 JOV983437 JYR983437 KIN983437 KSJ983437 LCF983437 LMB983437 LVX983437 MFT983437 MPP983437 MZL983437 NJH983437 NTD983437 OCZ983437 OMV983437 OWR983437 PGN983437 PQJ983437 QAF983437 QKB983437 QTX983437 RDT983437 RNP983437 RXL983437 SHH983437 SRD983437 TAZ983437 TKV983437 TUR983437 UEN983437 UOJ983437 UYF983437 VIB983437 VRX983437 WBT983437 WLP983437 WVL983437 D275 IZ275 SV275 ACR275 AMN275 AWJ275 BGF275 BQB275 BZX275 CJT275 CTP275 DDL275 DNH275 DXD275 EGZ275 EQV275 FAR275 FKN275 FUJ275 GEF275 GOB275 GXX275 HHT275 HRP275 IBL275 ILH275 IVD275 JEZ275 JOV275 JYR275 KIN275 KSJ275 LCF275 LMB275 LVX275 MFT275 MPP275 MZL275 NJH275 NTD275 OCZ275 OMV275 OWR275 PGN275 PQJ275 QAF275 QKB275 QTX275 RDT275 RNP275 RXL275 SHH275 SRD275 TAZ275 TKV275 TUR275 UEN275 UOJ275 UYF275 VIB275 VRX275 WBT275 WLP275 WVL275 D65796 IZ65796 SV65796 ACR65796 AMN65796 AWJ65796 BGF65796 BQB65796 BZX65796 CJT65796 CTP65796 DDL65796 DNH65796 DXD65796 EGZ65796 EQV65796 FAR65796 FKN65796 FUJ65796 GEF65796 GOB65796 GXX65796 HHT65796 HRP65796 IBL65796 ILH65796 IVD65796 JEZ65796 JOV65796 JYR65796 KIN65796 KSJ65796 LCF65796 LMB65796 LVX65796 MFT65796 MPP65796 MZL65796 NJH65796 NTD65796 OCZ65796 OMV65796 OWR65796 PGN65796 PQJ65796 QAF65796 QKB65796 QTX65796 RDT65796 RNP65796 RXL65796 SHH65796 SRD65796 TAZ65796 TKV65796 TUR65796 UEN65796 UOJ65796 UYF65796 VIB65796 VRX65796 WBT65796 WLP65796 WVL65796 D131332 IZ131332 SV131332 ACR131332 AMN131332 AWJ131332 BGF131332 BQB131332 BZX131332 CJT131332 CTP131332 DDL131332 DNH131332 DXD131332 EGZ131332 EQV131332 FAR131332 FKN131332 FUJ131332 GEF131332 GOB131332 GXX131332 HHT131332 HRP131332 IBL131332 ILH131332 IVD131332 JEZ131332 JOV131332 JYR131332 KIN131332 KSJ131332 LCF131332 LMB131332 LVX131332 MFT131332 MPP131332 MZL131332 NJH131332 NTD131332 OCZ131332 OMV131332 OWR131332 PGN131332 PQJ131332 QAF131332 QKB131332 QTX131332 RDT131332 RNP131332 RXL131332 SHH131332 SRD131332 TAZ131332 TKV131332 TUR131332 UEN131332 UOJ131332 UYF131332 VIB131332 VRX131332 WBT131332 WLP131332 WVL131332 D196868 IZ196868 SV196868 ACR196868 AMN196868 AWJ196868 BGF196868 BQB196868 BZX196868 CJT196868 CTP196868 DDL196868 DNH196868 DXD196868 EGZ196868 EQV196868 FAR196868 FKN196868 FUJ196868 GEF196868 GOB196868 GXX196868 HHT196868 HRP196868 IBL196868 ILH196868 IVD196868 JEZ196868 JOV196868 JYR196868 KIN196868 KSJ196868 LCF196868 LMB196868 LVX196868 MFT196868 MPP196868 MZL196868 NJH196868 NTD196868 OCZ196868 OMV196868 OWR196868 PGN196868 PQJ196868 QAF196868 QKB196868 QTX196868 RDT196868 RNP196868 RXL196868 SHH196868 SRD196868 TAZ196868 TKV196868 TUR196868 UEN196868 UOJ196868 UYF196868 VIB196868 VRX196868 WBT196868 WLP196868 WVL196868 D262404 IZ262404 SV262404 ACR262404 AMN262404 AWJ262404 BGF262404 BQB262404 BZX262404 CJT262404 CTP262404 DDL262404 DNH262404 DXD262404 EGZ262404 EQV262404 FAR262404 FKN262404 FUJ262404 GEF262404 GOB262404 GXX262404 HHT262404 HRP262404 IBL262404 ILH262404 IVD262404 JEZ262404 JOV262404 JYR262404 KIN262404 KSJ262404 LCF262404 LMB262404 LVX262404 MFT262404 MPP262404 MZL262404 NJH262404 NTD262404 OCZ262404 OMV262404 OWR262404 PGN262404 PQJ262404 QAF262404 QKB262404 QTX262404 RDT262404 RNP262404 RXL262404 SHH262404 SRD262404 TAZ262404 TKV262404 TUR262404 UEN262404 UOJ262404 UYF262404 VIB262404 VRX262404 WBT262404 WLP262404 WVL262404 D327940 IZ327940 SV327940 ACR327940 AMN327940 AWJ327940 BGF327940 BQB327940 BZX327940 CJT327940 CTP327940 DDL327940 DNH327940 DXD327940 EGZ327940 EQV327940 FAR327940 FKN327940 FUJ327940 GEF327940 GOB327940 GXX327940 HHT327940 HRP327940 IBL327940 ILH327940 IVD327940 JEZ327940 JOV327940 JYR327940 KIN327940 KSJ327940 LCF327940 LMB327940 LVX327940 MFT327940 MPP327940 MZL327940 NJH327940 NTD327940 OCZ327940 OMV327940 OWR327940 PGN327940 PQJ327940 QAF327940 QKB327940 QTX327940 RDT327940 RNP327940 RXL327940 SHH327940 SRD327940 TAZ327940 TKV327940 TUR327940 UEN327940 UOJ327940 UYF327940 VIB327940 VRX327940 WBT327940 WLP327940 WVL327940 D393476 IZ393476 SV393476 ACR393476 AMN393476 AWJ393476 BGF393476 BQB393476 BZX393476 CJT393476 CTP393476 DDL393476 DNH393476 DXD393476 EGZ393476 EQV393476 FAR393476 FKN393476 FUJ393476 GEF393476 GOB393476 GXX393476 HHT393476 HRP393476 IBL393476 ILH393476 IVD393476 JEZ393476 JOV393476 JYR393476 KIN393476 KSJ393476 LCF393476 LMB393476 LVX393476 MFT393476 MPP393476 MZL393476 NJH393476 NTD393476 OCZ393476 OMV393476 OWR393476 PGN393476 PQJ393476 QAF393476 QKB393476 QTX393476 RDT393476 RNP393476 RXL393476 SHH393476 SRD393476 TAZ393476 TKV393476 TUR393476 UEN393476 UOJ393476 UYF393476 VIB393476 VRX393476 WBT393476 WLP393476 WVL393476 D459012 IZ459012 SV459012 ACR459012 AMN459012 AWJ459012 BGF459012 BQB459012 BZX459012 CJT459012 CTP459012 DDL459012 DNH459012 DXD459012 EGZ459012 EQV459012 FAR459012 FKN459012 FUJ459012 GEF459012 GOB459012 GXX459012 HHT459012 HRP459012 IBL459012 ILH459012 IVD459012 JEZ459012 JOV459012 JYR459012 KIN459012 KSJ459012 LCF459012 LMB459012 LVX459012 MFT459012 MPP459012 MZL459012 NJH459012 NTD459012 OCZ459012 OMV459012 OWR459012 PGN459012 PQJ459012 QAF459012 QKB459012 QTX459012 RDT459012 RNP459012 RXL459012 SHH459012 SRD459012 TAZ459012 TKV459012 TUR459012 UEN459012 UOJ459012 UYF459012 VIB459012 VRX459012 WBT459012 WLP459012 WVL459012 D524548 IZ524548 SV524548 ACR524548 AMN524548 AWJ524548 BGF524548 BQB524548 BZX524548 CJT524548 CTP524548 DDL524548 DNH524548 DXD524548 EGZ524548 EQV524548 FAR524548 FKN524548 FUJ524548 GEF524548 GOB524548 GXX524548 HHT524548 HRP524548 IBL524548 ILH524548 IVD524548 JEZ524548 JOV524548 JYR524548 KIN524548 KSJ524548 LCF524548 LMB524548 LVX524548 MFT524548 MPP524548 MZL524548 NJH524548 NTD524548 OCZ524548 OMV524548 OWR524548 PGN524548 PQJ524548 QAF524548 QKB524548 QTX524548 RDT524548 RNP524548 RXL524548 SHH524548 SRD524548 TAZ524548 TKV524548 TUR524548 UEN524548 UOJ524548 UYF524548 VIB524548 VRX524548 WBT524548 WLP524548 WVL524548 D590084 IZ590084 SV590084 ACR590084 AMN590084 AWJ590084 BGF590084 BQB590084 BZX590084 CJT590084 CTP590084 DDL590084 DNH590084 DXD590084 EGZ590084 EQV590084 FAR590084 FKN590084 FUJ590084 GEF590084 GOB590084 GXX590084 HHT590084 HRP590084 IBL590084 ILH590084 IVD590084 JEZ590084 JOV590084 JYR590084 KIN590084 KSJ590084 LCF590084 LMB590084 LVX590084 MFT590084 MPP590084 MZL590084 NJH590084 NTD590084 OCZ590084 OMV590084 OWR590084 PGN590084 PQJ590084 QAF590084 QKB590084 QTX590084 RDT590084 RNP590084 RXL590084 SHH590084 SRD590084 TAZ590084 TKV590084 TUR590084 UEN590084 UOJ590084 UYF590084 VIB590084 VRX590084 WBT590084 WLP590084 WVL590084 D655620 IZ655620 SV655620 ACR655620 AMN655620 AWJ655620 BGF655620 BQB655620 BZX655620 CJT655620 CTP655620 DDL655620 DNH655620 DXD655620 EGZ655620 EQV655620 FAR655620 FKN655620 FUJ655620 GEF655620 GOB655620 GXX655620 HHT655620 HRP655620 IBL655620 ILH655620 IVD655620 JEZ655620 JOV655620 JYR655620 KIN655620 KSJ655620 LCF655620 LMB655620 LVX655620 MFT655620 MPP655620 MZL655620 NJH655620 NTD655620 OCZ655620 OMV655620 OWR655620 PGN655620 PQJ655620 QAF655620 QKB655620 QTX655620 RDT655620 RNP655620 RXL655620 SHH655620 SRD655620 TAZ655620 TKV655620 TUR655620 UEN655620 UOJ655620 UYF655620 VIB655620 VRX655620 WBT655620 WLP655620 WVL655620 D721156 IZ721156 SV721156 ACR721156 AMN721156 AWJ721156 BGF721156 BQB721156 BZX721156 CJT721156 CTP721156 DDL721156 DNH721156 DXD721156 EGZ721156 EQV721156 FAR721156 FKN721156 FUJ721156 GEF721156 GOB721156 GXX721156 HHT721156 HRP721156 IBL721156 ILH721156 IVD721156 JEZ721156 JOV721156 JYR721156 KIN721156 KSJ721156 LCF721156 LMB721156 LVX721156 MFT721156 MPP721156 MZL721156 NJH721156 NTD721156 OCZ721156 OMV721156 OWR721156 PGN721156 PQJ721156 QAF721156 QKB721156 QTX721156 RDT721156 RNP721156 RXL721156 SHH721156 SRD721156 TAZ721156 TKV721156 TUR721156 UEN721156 UOJ721156 UYF721156 VIB721156 VRX721156 WBT721156 WLP721156 WVL721156 D786692 IZ786692 SV786692 ACR786692 AMN786692 AWJ786692 BGF786692 BQB786692 BZX786692 CJT786692 CTP786692 DDL786692 DNH786692 DXD786692 EGZ786692 EQV786692 FAR786692 FKN786692 FUJ786692 GEF786692 GOB786692 GXX786692 HHT786692 HRP786692 IBL786692 ILH786692 IVD786692 JEZ786692 JOV786692 JYR786692 KIN786692 KSJ786692 LCF786692 LMB786692 LVX786692 MFT786692 MPP786692 MZL786692 NJH786692 NTD786692 OCZ786692 OMV786692 OWR786692 PGN786692 PQJ786692 QAF786692 QKB786692 QTX786692 RDT786692 RNP786692 RXL786692 SHH786692 SRD786692 TAZ786692 TKV786692 TUR786692 UEN786692 UOJ786692 UYF786692 VIB786692 VRX786692 WBT786692 WLP786692 WVL786692 D852228 IZ852228 SV852228 ACR852228 AMN852228 AWJ852228 BGF852228 BQB852228 BZX852228 CJT852228 CTP852228 DDL852228 DNH852228 DXD852228 EGZ852228 EQV852228 FAR852228 FKN852228 FUJ852228 GEF852228 GOB852228 GXX852228 HHT852228 HRP852228 IBL852228 ILH852228 IVD852228 JEZ852228 JOV852228 JYR852228 KIN852228 KSJ852228 LCF852228 LMB852228 LVX852228 MFT852228 MPP852228 MZL852228 NJH852228 NTD852228 OCZ852228 OMV852228 OWR852228 PGN852228 PQJ852228 QAF852228 QKB852228 QTX852228 RDT852228 RNP852228 RXL852228 SHH852228 SRD852228 TAZ852228 TKV852228 TUR852228 UEN852228 UOJ852228 UYF852228 VIB852228 VRX852228 WBT852228 WLP852228 WVL852228 D917764 IZ917764 SV917764 ACR917764 AMN917764 AWJ917764 BGF917764 BQB917764 BZX917764 CJT917764 CTP917764 DDL917764 DNH917764 DXD917764 EGZ917764 EQV917764 FAR917764 FKN917764 FUJ917764 GEF917764 GOB917764 GXX917764 HHT917764 HRP917764 IBL917764 ILH917764 IVD917764 JEZ917764 JOV917764 JYR917764 KIN917764 KSJ917764 LCF917764 LMB917764 LVX917764 MFT917764 MPP917764 MZL917764 NJH917764 NTD917764 OCZ917764 OMV917764 OWR917764 PGN917764 PQJ917764 QAF917764 QKB917764 QTX917764 RDT917764 RNP917764 RXL917764 SHH917764 SRD917764 TAZ917764 TKV917764 TUR917764 UEN917764 UOJ917764 UYF917764 VIB917764 VRX917764 WBT917764 WLP917764 WVL917764 D983300 IZ983300 SV983300 ACR983300 AMN983300 AWJ983300 BGF983300 BQB983300 BZX983300 CJT983300 CTP983300 DDL983300 DNH983300 DXD983300 EGZ983300 EQV983300 FAR983300 FKN983300 FUJ983300 GEF983300 GOB983300 GXX983300 HHT983300 HRP983300 IBL983300 ILH983300 IVD983300 JEZ983300 JOV983300 JYR983300 KIN983300 KSJ983300 LCF983300 LMB983300 LVX983300 MFT983300 MPP983300 MZL983300 NJH983300 NTD983300 OCZ983300 OMV983300 OWR983300 PGN983300 PQJ983300 QAF983300 QKB983300 QTX983300 RDT983300 RNP983300 RXL983300 SHH983300 SRD983300 TAZ983300 TKV983300 TUR983300 UEN983300 UOJ983300 UYF983300 VIB983300 VRX983300 WBT983300 WLP983300 WVL983300 D131 IZ131 SV131 ACR131 AMN131 AWJ131 BGF131 BQB131 BZX131 CJT131 CTP131 DDL131 DNH131 DXD131 EGZ131 EQV131 FAR131 FKN131 FUJ131 GEF131 GOB131 GXX131 HHT131 HRP131 IBL131 ILH131 IVD131 JEZ131 JOV131 JYR131 KIN131 KSJ131 LCF131 LMB131 LVX131 MFT131 MPP131 MZL131 NJH131 NTD131 OCZ131 OMV131 OWR131 PGN131 PQJ131 QAF131 QKB131 QTX131 RDT131 RNP131 RXL131 SHH131 SRD131 TAZ131 TKV131 TUR131 UEN131 UOJ131 UYF131 VIB131 VRX131 WBT131 WLP131 WVL131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WVK983131:WVL983131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627:D65627 IY65627:IZ65627 SU65627:SV65627 ACQ65627:ACR65627 AMM65627:AMN65627 AWI65627:AWJ65627 BGE65627:BGF65627 BQA65627:BQB65627 BZW65627:BZX65627 CJS65627:CJT65627 CTO65627:CTP65627 DDK65627:DDL65627 DNG65627:DNH65627 DXC65627:DXD65627 EGY65627:EGZ65627 EQU65627:EQV65627 FAQ65627:FAR65627 FKM65627:FKN65627 FUI65627:FUJ65627 GEE65627:GEF65627 GOA65627:GOB65627 GXW65627:GXX65627 HHS65627:HHT65627 HRO65627:HRP65627 IBK65627:IBL65627 ILG65627:ILH65627 IVC65627:IVD65627 JEY65627:JEZ65627 JOU65627:JOV65627 JYQ65627:JYR65627 KIM65627:KIN65627 KSI65627:KSJ65627 LCE65627:LCF65627 LMA65627:LMB65627 LVW65627:LVX65627 MFS65627:MFT65627 MPO65627:MPP65627 MZK65627:MZL65627 NJG65627:NJH65627 NTC65627:NTD65627 OCY65627:OCZ65627 OMU65627:OMV65627 OWQ65627:OWR65627 PGM65627:PGN65627 PQI65627:PQJ65627 QAE65627:QAF65627 QKA65627:QKB65627 QTW65627:QTX65627 RDS65627:RDT65627 RNO65627:RNP65627 RXK65627:RXL65627 SHG65627:SHH65627 SRC65627:SRD65627 TAY65627:TAZ65627 TKU65627:TKV65627 TUQ65627:TUR65627 UEM65627:UEN65627 UOI65627:UOJ65627 UYE65627:UYF65627 VIA65627:VIB65627 VRW65627:VRX65627 WBS65627:WBT65627 WLO65627:WLP65627 WVK65627:WVL65627 C131163:D131163 IY131163:IZ131163 SU131163:SV131163 ACQ131163:ACR131163 AMM131163:AMN131163 AWI131163:AWJ131163 BGE131163:BGF131163 BQA131163:BQB131163 BZW131163:BZX131163 CJS131163:CJT131163 CTO131163:CTP131163 DDK131163:DDL131163 DNG131163:DNH131163 DXC131163:DXD131163 EGY131163:EGZ131163 EQU131163:EQV131163 FAQ131163:FAR131163 FKM131163:FKN131163 FUI131163:FUJ131163 GEE131163:GEF131163 GOA131163:GOB131163 GXW131163:GXX131163 HHS131163:HHT131163 HRO131163:HRP131163 IBK131163:IBL131163 ILG131163:ILH131163 IVC131163:IVD131163 JEY131163:JEZ131163 JOU131163:JOV131163 JYQ131163:JYR131163 KIM131163:KIN131163 KSI131163:KSJ131163 LCE131163:LCF131163 LMA131163:LMB131163 LVW131163:LVX131163 MFS131163:MFT131163 MPO131163:MPP131163 MZK131163:MZL131163 NJG131163:NJH131163 NTC131163:NTD131163 OCY131163:OCZ131163 OMU131163:OMV131163 OWQ131163:OWR131163 PGM131163:PGN131163 PQI131163:PQJ131163 QAE131163:QAF131163 QKA131163:QKB131163 QTW131163:QTX131163 RDS131163:RDT131163 RNO131163:RNP131163 RXK131163:RXL131163 SHG131163:SHH131163 SRC131163:SRD131163 TAY131163:TAZ131163 TKU131163:TKV131163 TUQ131163:TUR131163 UEM131163:UEN131163 UOI131163:UOJ131163 UYE131163:UYF131163 VIA131163:VIB131163 VRW131163:VRX131163 WBS131163:WBT131163 WLO131163:WLP131163 WVK131163:WVL131163 C196699:D196699 IY196699:IZ196699 SU196699:SV196699 ACQ196699:ACR196699 AMM196699:AMN196699 AWI196699:AWJ196699 BGE196699:BGF196699 BQA196699:BQB196699 BZW196699:BZX196699 CJS196699:CJT196699 CTO196699:CTP196699 DDK196699:DDL196699 DNG196699:DNH196699 DXC196699:DXD196699 EGY196699:EGZ196699 EQU196699:EQV196699 FAQ196699:FAR196699 FKM196699:FKN196699 FUI196699:FUJ196699 GEE196699:GEF196699 GOA196699:GOB196699 GXW196699:GXX196699 HHS196699:HHT196699 HRO196699:HRP196699 IBK196699:IBL196699 ILG196699:ILH196699 IVC196699:IVD196699 JEY196699:JEZ196699 JOU196699:JOV196699 JYQ196699:JYR196699 KIM196699:KIN196699 KSI196699:KSJ196699 LCE196699:LCF196699 LMA196699:LMB196699 LVW196699:LVX196699 MFS196699:MFT196699 MPO196699:MPP196699 MZK196699:MZL196699 NJG196699:NJH196699 NTC196699:NTD196699 OCY196699:OCZ196699 OMU196699:OMV196699 OWQ196699:OWR196699 PGM196699:PGN196699 PQI196699:PQJ196699 QAE196699:QAF196699 QKA196699:QKB196699 QTW196699:QTX196699 RDS196699:RDT196699 RNO196699:RNP196699 RXK196699:RXL196699 SHG196699:SHH196699 SRC196699:SRD196699 TAY196699:TAZ196699 TKU196699:TKV196699 TUQ196699:TUR196699 UEM196699:UEN196699 UOI196699:UOJ196699 UYE196699:UYF196699 VIA196699:VIB196699 VRW196699:VRX196699 WBS196699:WBT196699 WLO196699:WLP196699 WVK196699:WVL196699 C262235:D262235 IY262235:IZ262235 SU262235:SV262235 ACQ262235:ACR262235 AMM262235:AMN262235 AWI262235:AWJ262235 BGE262235:BGF262235 BQA262235:BQB262235 BZW262235:BZX262235 CJS262235:CJT262235 CTO262235:CTP262235 DDK262235:DDL262235 DNG262235:DNH262235 DXC262235:DXD262235 EGY262235:EGZ262235 EQU262235:EQV262235 FAQ262235:FAR262235 FKM262235:FKN262235 FUI262235:FUJ262235 GEE262235:GEF262235 GOA262235:GOB262235 GXW262235:GXX262235 HHS262235:HHT262235 HRO262235:HRP262235 IBK262235:IBL262235 ILG262235:ILH262235 IVC262235:IVD262235 JEY262235:JEZ262235 JOU262235:JOV262235 JYQ262235:JYR262235 KIM262235:KIN262235 KSI262235:KSJ262235 LCE262235:LCF262235 LMA262235:LMB262235 LVW262235:LVX262235 MFS262235:MFT262235 MPO262235:MPP262235 MZK262235:MZL262235 NJG262235:NJH262235 NTC262235:NTD262235 OCY262235:OCZ262235 OMU262235:OMV262235 OWQ262235:OWR262235 PGM262235:PGN262235 PQI262235:PQJ262235 QAE262235:QAF262235 QKA262235:QKB262235 QTW262235:QTX262235 RDS262235:RDT262235 RNO262235:RNP262235 RXK262235:RXL262235 SHG262235:SHH262235 SRC262235:SRD262235 TAY262235:TAZ262235 TKU262235:TKV262235 TUQ262235:TUR262235 UEM262235:UEN262235 UOI262235:UOJ262235 UYE262235:UYF262235 VIA262235:VIB262235 VRW262235:VRX262235 WBS262235:WBT262235 WLO262235:WLP262235 WVK262235:WVL262235 C327771:D327771 IY327771:IZ327771 SU327771:SV327771 ACQ327771:ACR327771 AMM327771:AMN327771 AWI327771:AWJ327771 BGE327771:BGF327771 BQA327771:BQB327771 BZW327771:BZX327771 CJS327771:CJT327771 CTO327771:CTP327771 DDK327771:DDL327771 DNG327771:DNH327771 DXC327771:DXD327771 EGY327771:EGZ327771 EQU327771:EQV327771 FAQ327771:FAR327771 FKM327771:FKN327771 FUI327771:FUJ327771 GEE327771:GEF327771 GOA327771:GOB327771 GXW327771:GXX327771 HHS327771:HHT327771 HRO327771:HRP327771 IBK327771:IBL327771 ILG327771:ILH327771 IVC327771:IVD327771 JEY327771:JEZ327771 JOU327771:JOV327771 JYQ327771:JYR327771 KIM327771:KIN327771 KSI327771:KSJ327771 LCE327771:LCF327771 LMA327771:LMB327771 LVW327771:LVX327771 MFS327771:MFT327771 MPO327771:MPP327771 MZK327771:MZL327771 NJG327771:NJH327771 NTC327771:NTD327771 OCY327771:OCZ327771 OMU327771:OMV327771 OWQ327771:OWR327771 PGM327771:PGN327771 PQI327771:PQJ327771 QAE327771:QAF327771 QKA327771:QKB327771 QTW327771:QTX327771 RDS327771:RDT327771 RNO327771:RNP327771 RXK327771:RXL327771 SHG327771:SHH327771 SRC327771:SRD327771 TAY327771:TAZ327771 TKU327771:TKV327771 TUQ327771:TUR327771 UEM327771:UEN327771 UOI327771:UOJ327771 UYE327771:UYF327771 VIA327771:VIB327771 VRW327771:VRX327771 WBS327771:WBT327771 WLO327771:WLP327771 WVK327771:WVL327771 C393307:D393307 IY393307:IZ393307 SU393307:SV393307 ACQ393307:ACR393307 AMM393307:AMN393307 AWI393307:AWJ393307 BGE393307:BGF393307 BQA393307:BQB393307 BZW393307:BZX393307 CJS393307:CJT393307 CTO393307:CTP393307 DDK393307:DDL393307 DNG393307:DNH393307 DXC393307:DXD393307 EGY393307:EGZ393307 EQU393307:EQV393307 FAQ393307:FAR393307 FKM393307:FKN393307 FUI393307:FUJ393307 GEE393307:GEF393307 GOA393307:GOB393307 GXW393307:GXX393307 HHS393307:HHT393307 HRO393307:HRP393307 IBK393307:IBL393307 ILG393307:ILH393307 IVC393307:IVD393307 JEY393307:JEZ393307 JOU393307:JOV393307 JYQ393307:JYR393307 KIM393307:KIN393307 KSI393307:KSJ393307 LCE393307:LCF393307 LMA393307:LMB393307 LVW393307:LVX393307 MFS393307:MFT393307 MPO393307:MPP393307 MZK393307:MZL393307 NJG393307:NJH393307 NTC393307:NTD393307 OCY393307:OCZ393307 OMU393307:OMV393307 OWQ393307:OWR393307 PGM393307:PGN393307 PQI393307:PQJ393307 QAE393307:QAF393307 QKA393307:QKB393307 QTW393307:QTX393307 RDS393307:RDT393307 RNO393307:RNP393307 RXK393307:RXL393307 SHG393307:SHH393307 SRC393307:SRD393307 TAY393307:TAZ393307 TKU393307:TKV393307 TUQ393307:TUR393307 UEM393307:UEN393307 UOI393307:UOJ393307 UYE393307:UYF393307 VIA393307:VIB393307 VRW393307:VRX393307 WBS393307:WBT393307 WLO393307:WLP393307 WVK393307:WVL393307 C458843:D458843 IY458843:IZ458843 SU458843:SV458843 ACQ458843:ACR458843 AMM458843:AMN458843 AWI458843:AWJ458843 BGE458843:BGF458843 BQA458843:BQB458843 BZW458843:BZX458843 CJS458843:CJT458843 CTO458843:CTP458843 DDK458843:DDL458843 DNG458843:DNH458843 DXC458843:DXD458843 EGY458843:EGZ458843 EQU458843:EQV458843 FAQ458843:FAR458843 FKM458843:FKN458843 FUI458843:FUJ458843 GEE458843:GEF458843 GOA458843:GOB458843 GXW458843:GXX458843 HHS458843:HHT458843 HRO458843:HRP458843 IBK458843:IBL458843 ILG458843:ILH458843 IVC458843:IVD458843 JEY458843:JEZ458843 JOU458843:JOV458843 JYQ458843:JYR458843 KIM458843:KIN458843 KSI458843:KSJ458843 LCE458843:LCF458843 LMA458843:LMB458843 LVW458843:LVX458843 MFS458843:MFT458843 MPO458843:MPP458843 MZK458843:MZL458843 NJG458843:NJH458843 NTC458843:NTD458843 OCY458843:OCZ458843 OMU458843:OMV458843 OWQ458843:OWR458843 PGM458843:PGN458843 PQI458843:PQJ458843 QAE458843:QAF458843 QKA458843:QKB458843 QTW458843:QTX458843 RDS458843:RDT458843 RNO458843:RNP458843 RXK458843:RXL458843 SHG458843:SHH458843 SRC458843:SRD458843 TAY458843:TAZ458843 TKU458843:TKV458843 TUQ458843:TUR458843 UEM458843:UEN458843 UOI458843:UOJ458843 UYE458843:UYF458843 VIA458843:VIB458843 VRW458843:VRX458843 WBS458843:WBT458843 WLO458843:WLP458843 WVK458843:WVL458843 C524379:D524379 IY524379:IZ524379 SU524379:SV524379 ACQ524379:ACR524379 AMM524379:AMN524379 AWI524379:AWJ524379 BGE524379:BGF524379 BQA524379:BQB524379 BZW524379:BZX524379 CJS524379:CJT524379 CTO524379:CTP524379 DDK524379:DDL524379 DNG524379:DNH524379 DXC524379:DXD524379 EGY524379:EGZ524379 EQU524379:EQV524379 FAQ524379:FAR524379 FKM524379:FKN524379 FUI524379:FUJ524379 GEE524379:GEF524379 GOA524379:GOB524379 GXW524379:GXX524379 HHS524379:HHT524379 HRO524379:HRP524379 IBK524379:IBL524379 ILG524379:ILH524379 IVC524379:IVD524379 JEY524379:JEZ524379 JOU524379:JOV524379 JYQ524379:JYR524379 KIM524379:KIN524379 KSI524379:KSJ524379 LCE524379:LCF524379 LMA524379:LMB524379 LVW524379:LVX524379 MFS524379:MFT524379 MPO524379:MPP524379 MZK524379:MZL524379 NJG524379:NJH524379 NTC524379:NTD524379 OCY524379:OCZ524379 OMU524379:OMV524379 OWQ524379:OWR524379 PGM524379:PGN524379 PQI524379:PQJ524379 QAE524379:QAF524379 QKA524379:QKB524379 QTW524379:QTX524379 RDS524379:RDT524379 RNO524379:RNP524379 RXK524379:RXL524379 SHG524379:SHH524379 SRC524379:SRD524379 TAY524379:TAZ524379 TKU524379:TKV524379 TUQ524379:TUR524379 UEM524379:UEN524379 UOI524379:UOJ524379 UYE524379:UYF524379 VIA524379:VIB524379 VRW524379:VRX524379 WBS524379:WBT524379 WLO524379:WLP524379 WVK524379:WVL524379 C589915:D589915 IY589915:IZ589915 SU589915:SV589915 ACQ589915:ACR589915 AMM589915:AMN589915 AWI589915:AWJ589915 BGE589915:BGF589915 BQA589915:BQB589915 BZW589915:BZX589915 CJS589915:CJT589915 CTO589915:CTP589915 DDK589915:DDL589915 DNG589915:DNH589915 DXC589915:DXD589915 EGY589915:EGZ589915 EQU589915:EQV589915 FAQ589915:FAR589915 FKM589915:FKN589915 FUI589915:FUJ589915 GEE589915:GEF589915 GOA589915:GOB589915 GXW589915:GXX589915 HHS589915:HHT589915 HRO589915:HRP589915 IBK589915:IBL589915 ILG589915:ILH589915 IVC589915:IVD589915 JEY589915:JEZ589915 JOU589915:JOV589915 JYQ589915:JYR589915 KIM589915:KIN589915 KSI589915:KSJ589915 LCE589915:LCF589915 LMA589915:LMB589915 LVW589915:LVX589915 MFS589915:MFT589915 MPO589915:MPP589915 MZK589915:MZL589915 NJG589915:NJH589915 NTC589915:NTD589915 OCY589915:OCZ589915 OMU589915:OMV589915 OWQ589915:OWR589915 PGM589915:PGN589915 PQI589915:PQJ589915 QAE589915:QAF589915 QKA589915:QKB589915 QTW589915:QTX589915 RDS589915:RDT589915 RNO589915:RNP589915 RXK589915:RXL589915 SHG589915:SHH589915 SRC589915:SRD589915 TAY589915:TAZ589915 TKU589915:TKV589915 TUQ589915:TUR589915 UEM589915:UEN589915 UOI589915:UOJ589915 UYE589915:UYF589915 VIA589915:VIB589915 VRW589915:VRX589915 WBS589915:WBT589915 WLO589915:WLP589915 WVK589915:WVL589915 C655451:D655451 IY655451:IZ655451 SU655451:SV655451 ACQ655451:ACR655451 AMM655451:AMN655451 AWI655451:AWJ655451 BGE655451:BGF655451 BQA655451:BQB655451 BZW655451:BZX655451 CJS655451:CJT655451 CTO655451:CTP655451 DDK655451:DDL655451 DNG655451:DNH655451 DXC655451:DXD655451 EGY655451:EGZ655451 EQU655451:EQV655451 FAQ655451:FAR655451 FKM655451:FKN655451 FUI655451:FUJ655451 GEE655451:GEF655451 GOA655451:GOB655451 GXW655451:GXX655451 HHS655451:HHT655451 HRO655451:HRP655451 IBK655451:IBL655451 ILG655451:ILH655451 IVC655451:IVD655451 JEY655451:JEZ655451 JOU655451:JOV655451 JYQ655451:JYR655451 KIM655451:KIN655451 KSI655451:KSJ655451 LCE655451:LCF655451 LMA655451:LMB655451 LVW655451:LVX655451 MFS655451:MFT655451 MPO655451:MPP655451 MZK655451:MZL655451 NJG655451:NJH655451 NTC655451:NTD655451 OCY655451:OCZ655451 OMU655451:OMV655451 OWQ655451:OWR655451 PGM655451:PGN655451 PQI655451:PQJ655451 QAE655451:QAF655451 QKA655451:QKB655451 QTW655451:QTX655451 RDS655451:RDT655451 RNO655451:RNP655451 RXK655451:RXL655451 SHG655451:SHH655451 SRC655451:SRD655451 TAY655451:TAZ655451 TKU655451:TKV655451 TUQ655451:TUR655451 UEM655451:UEN655451 UOI655451:UOJ655451 UYE655451:UYF655451 VIA655451:VIB655451 VRW655451:VRX655451 WBS655451:WBT655451 WLO655451:WLP655451 WVK655451:WVL655451 C720987:D720987 IY720987:IZ720987 SU720987:SV720987 ACQ720987:ACR720987 AMM720987:AMN720987 AWI720987:AWJ720987 BGE720987:BGF720987 BQA720987:BQB720987 BZW720987:BZX720987 CJS720987:CJT720987 CTO720987:CTP720987 DDK720987:DDL720987 DNG720987:DNH720987 DXC720987:DXD720987 EGY720987:EGZ720987 EQU720987:EQV720987 FAQ720987:FAR720987 FKM720987:FKN720987 FUI720987:FUJ720987 GEE720987:GEF720987 GOA720987:GOB720987 GXW720987:GXX720987 HHS720987:HHT720987 HRO720987:HRP720987 IBK720987:IBL720987 ILG720987:ILH720987 IVC720987:IVD720987 JEY720987:JEZ720987 JOU720987:JOV720987 JYQ720987:JYR720987 KIM720987:KIN720987 KSI720987:KSJ720987 LCE720987:LCF720987 LMA720987:LMB720987 LVW720987:LVX720987 MFS720987:MFT720987 MPO720987:MPP720987 MZK720987:MZL720987 NJG720987:NJH720987 NTC720987:NTD720987 OCY720987:OCZ720987 OMU720987:OMV720987 OWQ720987:OWR720987 PGM720987:PGN720987 PQI720987:PQJ720987 QAE720987:QAF720987 QKA720987:QKB720987 QTW720987:QTX720987 RDS720987:RDT720987 RNO720987:RNP720987 RXK720987:RXL720987 SHG720987:SHH720987 SRC720987:SRD720987 TAY720987:TAZ720987 TKU720987:TKV720987 TUQ720987:TUR720987 UEM720987:UEN720987 UOI720987:UOJ720987 UYE720987:UYF720987 VIA720987:VIB720987 VRW720987:VRX720987 WBS720987:WBT720987 WLO720987:WLP720987 WVK720987:WVL720987 C786523:D786523 IY786523:IZ786523 SU786523:SV786523 ACQ786523:ACR786523 AMM786523:AMN786523 AWI786523:AWJ786523 BGE786523:BGF786523 BQA786523:BQB786523 BZW786523:BZX786523 CJS786523:CJT786523 CTO786523:CTP786523 DDK786523:DDL786523 DNG786523:DNH786523 DXC786523:DXD786523 EGY786523:EGZ786523 EQU786523:EQV786523 FAQ786523:FAR786523 FKM786523:FKN786523 FUI786523:FUJ786523 GEE786523:GEF786523 GOA786523:GOB786523 GXW786523:GXX786523 HHS786523:HHT786523 HRO786523:HRP786523 IBK786523:IBL786523 ILG786523:ILH786523 IVC786523:IVD786523 JEY786523:JEZ786523 JOU786523:JOV786523 JYQ786523:JYR786523 KIM786523:KIN786523 KSI786523:KSJ786523 LCE786523:LCF786523 LMA786523:LMB786523 LVW786523:LVX786523 MFS786523:MFT786523 MPO786523:MPP786523 MZK786523:MZL786523 NJG786523:NJH786523 NTC786523:NTD786523 OCY786523:OCZ786523 OMU786523:OMV786523 OWQ786523:OWR786523 PGM786523:PGN786523 PQI786523:PQJ786523 QAE786523:QAF786523 QKA786523:QKB786523 QTW786523:QTX786523 RDS786523:RDT786523 RNO786523:RNP786523 RXK786523:RXL786523 SHG786523:SHH786523 SRC786523:SRD786523 TAY786523:TAZ786523 TKU786523:TKV786523 TUQ786523:TUR786523 UEM786523:UEN786523 UOI786523:UOJ786523 UYE786523:UYF786523 VIA786523:VIB786523 VRW786523:VRX786523 WBS786523:WBT786523 WLO786523:WLP786523 WVK786523:WVL786523 C852059:D852059 IY852059:IZ852059 SU852059:SV852059 ACQ852059:ACR852059 AMM852059:AMN852059 AWI852059:AWJ852059 BGE852059:BGF852059 BQA852059:BQB852059 BZW852059:BZX852059 CJS852059:CJT852059 CTO852059:CTP852059 DDK852059:DDL852059 DNG852059:DNH852059 DXC852059:DXD852059 EGY852059:EGZ852059 EQU852059:EQV852059 FAQ852059:FAR852059 FKM852059:FKN852059 FUI852059:FUJ852059 GEE852059:GEF852059 GOA852059:GOB852059 GXW852059:GXX852059 HHS852059:HHT852059 HRO852059:HRP852059 IBK852059:IBL852059 ILG852059:ILH852059 IVC852059:IVD852059 JEY852059:JEZ852059 JOU852059:JOV852059 JYQ852059:JYR852059 KIM852059:KIN852059 KSI852059:KSJ852059 LCE852059:LCF852059 LMA852059:LMB852059 LVW852059:LVX852059 MFS852059:MFT852059 MPO852059:MPP852059 MZK852059:MZL852059 NJG852059:NJH852059 NTC852059:NTD852059 OCY852059:OCZ852059 OMU852059:OMV852059 OWQ852059:OWR852059 PGM852059:PGN852059 PQI852059:PQJ852059 QAE852059:QAF852059 QKA852059:QKB852059 QTW852059:QTX852059 RDS852059:RDT852059 RNO852059:RNP852059 RXK852059:RXL852059 SHG852059:SHH852059 SRC852059:SRD852059 TAY852059:TAZ852059 TKU852059:TKV852059 TUQ852059:TUR852059 UEM852059:UEN852059 UOI852059:UOJ852059 UYE852059:UYF852059 VIA852059:VIB852059 VRW852059:VRX852059 WBS852059:WBT852059 WLO852059:WLP852059 WVK852059:WVL852059 C917595:D917595 IY917595:IZ917595 SU917595:SV917595 ACQ917595:ACR917595 AMM917595:AMN917595 AWI917595:AWJ917595 BGE917595:BGF917595 BQA917595:BQB917595 BZW917595:BZX917595 CJS917595:CJT917595 CTO917595:CTP917595 DDK917595:DDL917595 DNG917595:DNH917595 DXC917595:DXD917595 EGY917595:EGZ917595 EQU917595:EQV917595 FAQ917595:FAR917595 FKM917595:FKN917595 FUI917595:FUJ917595 GEE917595:GEF917595 GOA917595:GOB917595 GXW917595:GXX917595 HHS917595:HHT917595 HRO917595:HRP917595 IBK917595:IBL917595 ILG917595:ILH917595 IVC917595:IVD917595 JEY917595:JEZ917595 JOU917595:JOV917595 JYQ917595:JYR917595 KIM917595:KIN917595 KSI917595:KSJ917595 LCE917595:LCF917595 LMA917595:LMB917595 LVW917595:LVX917595 MFS917595:MFT917595 MPO917595:MPP917595 MZK917595:MZL917595 NJG917595:NJH917595 NTC917595:NTD917595 OCY917595:OCZ917595 OMU917595:OMV917595 OWQ917595:OWR917595 PGM917595:PGN917595 PQI917595:PQJ917595 QAE917595:QAF917595 QKA917595:QKB917595 QTW917595:QTX917595 RDS917595:RDT917595 RNO917595:RNP917595 RXK917595:RXL917595 SHG917595:SHH917595 SRC917595:SRD917595 TAY917595:TAZ917595 TKU917595:TKV917595 TUQ917595:TUR917595 UEM917595:UEN917595 UOI917595:UOJ917595 UYE917595:UYF917595 VIA917595:VIB917595 VRW917595:VRX917595 WBS917595:WBT917595 WLO917595:WLP917595 WVK917595:WVL917595 C983131:D983131 IY983131:IZ983131 SU983131:SV983131 ACQ983131:ACR983131 AMM983131:AMN983131 AWI983131:AWJ983131 BGE983131:BGF983131 BQA983131:BQB983131 BZW983131:BZX983131 CJS983131:CJT983131 CTO983131:CTP983131 DDK983131:DDL983131 DNG983131:DNH983131 DXC983131:DXD983131 EGY983131:EGZ983131 EQU983131:EQV983131 FAQ983131:FAR983131 FKM983131:FKN983131 FUI983131:FUJ983131 GEE983131:GEF983131 GOA983131:GOB983131 GXW983131:GXX983131 HHS983131:HHT983131 HRO983131:HRP983131 IBK983131:IBL983131 ILG983131:ILH983131 IVC983131:IVD983131 JEY983131:JEZ983131 JOU983131:JOV983131 JYQ983131:JYR983131 KIM983131:KIN983131 KSI983131:KSJ983131 LCE983131:LCF983131 LMA983131:LMB983131 LVW983131:LVX983131 MFS983131:MFT983131 MPO983131:MPP983131 MZK983131:MZL983131 NJG983131:NJH983131 NTC983131:NTD983131 OCY983131:OCZ983131 OMU983131:OMV983131 OWQ983131:OWR983131 PGM983131:PGN983131 PQI983131:PQJ983131 QAE983131:QAF983131 QKA983131:QKB983131 QTW983131:QTX983131 RDS983131:RDT983131 RNO983131:RNP983131 RXK983131:RXL983131 SHG983131:SHH983131 SRC983131:SRD983131 TAY983131:TAZ983131 TKU983131:TKV983131 TUQ983131:TUR983131 UEM983131:UEN983131 UOI983131:UOJ983131 UYE983131:UYF983131 VIA983131:VIB983131 VRW983131:VRX983131 WBS983131:WBT983131 WLO983131:WLP983131 D7:D8" xr:uid="{E4C77911-62B2-40E4-B35A-B42E2884FFA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6" manualBreakCount="6">
    <brk id="45" max="21" man="1"/>
    <brk id="89" max="21" man="1"/>
    <brk id="129" max="21" man="1"/>
    <brk id="170" max="21" man="1"/>
    <brk id="214" max="21" man="1"/>
    <brk id="386"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2B08-A616-42F1-86D9-922DCF87D60F}">
  <sheetPr codeName="Sheet16">
    <tabColor rgb="FF00B050"/>
  </sheetPr>
  <dimension ref="A1:AC884"/>
  <sheetViews>
    <sheetView showZeros="0" view="pageBreakPreview" zoomScaleNormal="100" zoomScaleSheetLayoutView="100" workbookViewId="0">
      <selection activeCell="O407" sqref="O407:P410"/>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22.2"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Title!A5</f>
        <v>Prep. By</v>
      </c>
      <c r="B5" s="943"/>
      <c r="C5" s="25" t="str">
        <f>Title!C5</f>
        <v>AP</v>
      </c>
      <c r="D5" s="880" t="str">
        <f>Title!D5</f>
        <v>Checked By</v>
      </c>
      <c r="E5" s="881"/>
      <c r="F5" s="943"/>
      <c r="G5" s="25" t="str">
        <f>Title!G5</f>
        <v>RB</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961</v>
      </c>
      <c r="C7" s="782"/>
      <c r="D7" s="781" t="s">
        <v>385</v>
      </c>
      <c r="E7" s="782"/>
      <c r="F7" s="186"/>
      <c r="H7" s="684" t="s">
        <v>594</v>
      </c>
      <c r="I7" s="689"/>
      <c r="J7" s="689"/>
      <c r="K7" s="689"/>
      <c r="L7" s="689"/>
      <c r="M7" s="689"/>
      <c r="N7" s="689"/>
      <c r="P7" s="186"/>
      <c r="S7" s="187" t="s">
        <v>387</v>
      </c>
      <c r="T7" s="781" t="s">
        <v>595</v>
      </c>
      <c r="U7" s="782"/>
      <c r="V7" s="185"/>
      <c r="W7" s="30" t="s">
        <v>596</v>
      </c>
    </row>
    <row r="8" spans="1:29" ht="18" customHeight="1">
      <c r="A8" s="184"/>
      <c r="B8" s="1228"/>
      <c r="C8" s="1228"/>
      <c r="D8" s="1228"/>
      <c r="E8" s="1228"/>
      <c r="F8" s="186"/>
      <c r="T8" s="781"/>
      <c r="U8" s="782"/>
      <c r="V8" s="185"/>
      <c r="W8" s="30" t="s">
        <v>597</v>
      </c>
    </row>
    <row r="9" spans="1:29" ht="18" customHeight="1">
      <c r="A9" s="184"/>
      <c r="H9" s="789" t="s">
        <v>390</v>
      </c>
      <c r="I9" s="789"/>
      <c r="J9" s="790" t="s">
        <v>391</v>
      </c>
      <c r="K9" s="790"/>
      <c r="L9" s="790" t="s">
        <v>392</v>
      </c>
      <c r="M9" s="790"/>
      <c r="T9" s="781"/>
      <c r="U9" s="782"/>
      <c r="V9" s="185"/>
      <c r="W9" s="30" t="s">
        <v>598</v>
      </c>
    </row>
    <row r="10" spans="1:29" ht="18" customHeight="1">
      <c r="A10" s="184"/>
      <c r="B10" s="47" t="s">
        <v>393</v>
      </c>
      <c r="H10" s="791">
        <v>600</v>
      </c>
      <c r="I10" s="792"/>
      <c r="J10" s="781">
        <v>1000</v>
      </c>
      <c r="K10" s="782"/>
      <c r="L10" s="781" t="s">
        <v>6</v>
      </c>
      <c r="M10" s="782"/>
      <c r="N10" s="191" t="s">
        <v>342</v>
      </c>
      <c r="O10" s="125">
        <v>1</v>
      </c>
      <c r="P10" s="27" t="s">
        <v>8</v>
      </c>
      <c r="V10" s="185"/>
    </row>
    <row r="11" spans="1:29" ht="18" customHeight="1">
      <c r="A11" s="184"/>
      <c r="B11" s="47" t="s">
        <v>394</v>
      </c>
      <c r="H11" s="781" t="s">
        <v>395</v>
      </c>
      <c r="I11" s="782"/>
      <c r="V11" s="185"/>
    </row>
    <row r="12" spans="1:29" ht="18" customHeight="1">
      <c r="A12" s="184"/>
      <c r="B12" s="47" t="s">
        <v>396</v>
      </c>
      <c r="G12" s="120" t="s">
        <v>397</v>
      </c>
      <c r="H12" s="781">
        <v>1.5</v>
      </c>
      <c r="I12" s="782"/>
      <c r="J12" s="192" t="s">
        <v>333</v>
      </c>
      <c r="M12" s="14"/>
      <c r="V12" s="185"/>
    </row>
    <row r="13" spans="1:29" ht="18" customHeight="1">
      <c r="A13" s="184"/>
      <c r="B13" s="47" t="s">
        <v>398</v>
      </c>
      <c r="G13" s="120" t="s">
        <v>498</v>
      </c>
      <c r="H13" s="781">
        <v>400</v>
      </c>
      <c r="I13" s="782"/>
      <c r="J13" s="14" t="s">
        <v>305</v>
      </c>
      <c r="V13" s="185"/>
      <c r="W13" s="30" t="s">
        <v>400</v>
      </c>
      <c r="AB13" s="785">
        <f>Q109</f>
        <v>47.356268985274667</v>
      </c>
      <c r="AC13" s="786"/>
    </row>
    <row r="14" spans="1:29" ht="18" customHeight="1">
      <c r="A14" s="184"/>
      <c r="B14" s="14" t="s">
        <v>401</v>
      </c>
      <c r="G14" s="120" t="s">
        <v>402</v>
      </c>
      <c r="H14" s="781">
        <v>20</v>
      </c>
      <c r="I14" s="782"/>
      <c r="J14" s="14" t="s">
        <v>403</v>
      </c>
      <c r="M14" s="14"/>
      <c r="V14" s="185"/>
    </row>
    <row r="15" spans="1:29" ht="18" customHeight="1">
      <c r="A15" s="184"/>
      <c r="B15" s="14"/>
      <c r="V15" s="185"/>
    </row>
    <row r="16" spans="1:29" ht="18" customHeight="1">
      <c r="A16" s="193" t="s">
        <v>404</v>
      </c>
      <c r="V16" s="185"/>
    </row>
    <row r="17" spans="1:22" ht="18" customHeight="1">
      <c r="A17" s="184"/>
      <c r="V17" s="185"/>
    </row>
    <row r="18" spans="1:22" ht="18" customHeight="1">
      <c r="A18" s="184"/>
      <c r="B18" s="194" t="s">
        <v>405</v>
      </c>
      <c r="C18" s="195"/>
      <c r="D18" s="195" t="str">
        <f>T7</f>
        <v>RET670</v>
      </c>
      <c r="E18" s="196"/>
      <c r="F18" s="196"/>
      <c r="G18" s="196"/>
      <c r="H18" s="182" t="s">
        <v>406</v>
      </c>
      <c r="I18" s="183" t="s">
        <v>127</v>
      </c>
      <c r="J18" s="1193">
        <f>'CT-VT Burdens'!Q104</f>
        <v>0.02</v>
      </c>
      <c r="K18" s="1105"/>
      <c r="L18" s="3" t="s">
        <v>157</v>
      </c>
      <c r="N18" s="197" t="s">
        <v>407</v>
      </c>
      <c r="V18" s="185"/>
    </row>
    <row r="19" spans="1:22" ht="18" customHeight="1">
      <c r="A19" s="184"/>
      <c r="B19" s="96" t="s">
        <v>405</v>
      </c>
      <c r="D19" s="30">
        <f>T8</f>
        <v>0</v>
      </c>
      <c r="H19" s="27"/>
      <c r="I19" s="177" t="s">
        <v>127</v>
      </c>
      <c r="J19" s="1194"/>
      <c r="K19" s="1107"/>
      <c r="L19" s="198" t="s">
        <v>157</v>
      </c>
      <c r="V19" s="185"/>
    </row>
    <row r="20" spans="1:22" ht="18" customHeight="1">
      <c r="A20" s="184"/>
      <c r="B20" s="96" t="s">
        <v>405</v>
      </c>
      <c r="D20" s="30">
        <f>T9</f>
        <v>0</v>
      </c>
      <c r="E20" s="14"/>
      <c r="G20" s="199"/>
      <c r="H20" s="27"/>
      <c r="I20" s="177" t="s">
        <v>127</v>
      </c>
      <c r="J20" s="1108"/>
      <c r="K20" s="788"/>
      <c r="L20" s="202" t="s">
        <v>157</v>
      </c>
      <c r="N20" s="27" t="s">
        <v>408</v>
      </c>
      <c r="O20" s="27" t="s">
        <v>127</v>
      </c>
      <c r="P20" s="27" t="s">
        <v>409</v>
      </c>
      <c r="Q20" s="191" t="s">
        <v>410</v>
      </c>
      <c r="R20" s="27" t="s">
        <v>411</v>
      </c>
      <c r="S20" s="27" t="s">
        <v>315</v>
      </c>
      <c r="T20" s="27" t="s">
        <v>411</v>
      </c>
      <c r="U20" s="30" t="s">
        <v>350</v>
      </c>
      <c r="V20" s="185"/>
    </row>
    <row r="21" spans="1:22" ht="18" customHeight="1">
      <c r="A21" s="184"/>
      <c r="B21" s="184" t="s">
        <v>412</v>
      </c>
      <c r="H21" s="27" t="s">
        <v>599</v>
      </c>
      <c r="I21" s="177" t="s">
        <v>127</v>
      </c>
      <c r="J21" s="793">
        <f>'CT-VT Burdens'!S30</f>
        <v>1.1667743100000001</v>
      </c>
      <c r="K21" s="1156"/>
      <c r="L21" s="203" t="s">
        <v>157</v>
      </c>
      <c r="O21" s="27" t="s">
        <v>127</v>
      </c>
      <c r="P21" s="204">
        <f>J22</f>
        <v>1.1867743100000001</v>
      </c>
      <c r="Q21" s="191" t="s">
        <v>410</v>
      </c>
      <c r="R21" s="27">
        <f>O10</f>
        <v>1</v>
      </c>
      <c r="S21" s="27" t="s">
        <v>315</v>
      </c>
      <c r="T21" s="27">
        <f>O10</f>
        <v>1</v>
      </c>
      <c r="U21" s="30" t="s">
        <v>350</v>
      </c>
      <c r="V21" s="185"/>
    </row>
    <row r="22" spans="1:22" ht="18" customHeight="1">
      <c r="A22" s="184"/>
      <c r="B22" s="205" t="s">
        <v>413</v>
      </c>
      <c r="C22" s="206"/>
      <c r="D22" s="206"/>
      <c r="E22" s="206"/>
      <c r="F22" s="207"/>
      <c r="G22" s="207"/>
      <c r="H22" s="190" t="s">
        <v>409</v>
      </c>
      <c r="I22" s="208" t="s">
        <v>127</v>
      </c>
      <c r="J22" s="766">
        <f>J18+J21</f>
        <v>1.1867743100000001</v>
      </c>
      <c r="K22" s="958"/>
      <c r="L22" s="210" t="s">
        <v>157</v>
      </c>
      <c r="O22" s="27" t="s">
        <v>127</v>
      </c>
      <c r="P22" s="795">
        <f>P21/(R21*T21)</f>
        <v>1.1867743100000001</v>
      </c>
      <c r="Q22" s="795"/>
      <c r="R22" s="192" t="s">
        <v>333</v>
      </c>
      <c r="V22" s="185"/>
    </row>
    <row r="23" spans="1:22" ht="18" customHeight="1">
      <c r="A23" s="184"/>
      <c r="V23" s="185"/>
    </row>
    <row r="24" spans="1:22" s="14" customFormat="1" ht="18" customHeight="1">
      <c r="A24" s="193" t="s">
        <v>600</v>
      </c>
      <c r="B24" s="5"/>
      <c r="C24" s="5"/>
      <c r="D24" s="5"/>
      <c r="E24" s="5"/>
      <c r="F24" s="5"/>
      <c r="G24" s="5"/>
      <c r="H24" s="212"/>
      <c r="I24" s="212"/>
      <c r="J24" s="5"/>
      <c r="K24" s="5"/>
      <c r="L24" s="5"/>
      <c r="M24" s="5"/>
      <c r="N24" s="5"/>
      <c r="O24" s="5"/>
      <c r="P24" s="103"/>
      <c r="Q24" s="212"/>
      <c r="R24" s="213"/>
      <c r="S24" s="214"/>
      <c r="T24" s="18"/>
      <c r="U24" s="18"/>
      <c r="V24" s="97"/>
    </row>
    <row r="25" spans="1:22" s="14" customFormat="1" ht="18" customHeight="1">
      <c r="A25" s="96"/>
      <c r="B25" s="47" t="s">
        <v>601</v>
      </c>
      <c r="C25" s="5"/>
      <c r="D25" s="5"/>
      <c r="E25" s="5"/>
      <c r="I25" s="215"/>
      <c r="M25" s="5"/>
      <c r="O25" s="103" t="s">
        <v>127</v>
      </c>
      <c r="P25" s="743">
        <v>100</v>
      </c>
      <c r="Q25" s="1303"/>
      <c r="R25" s="14" t="s">
        <v>602</v>
      </c>
      <c r="S25" s="214"/>
      <c r="T25" s="18"/>
      <c r="U25" s="18"/>
      <c r="V25" s="97"/>
    </row>
    <row r="26" spans="1:22" s="14" customFormat="1" ht="18" customHeight="1">
      <c r="A26" s="96"/>
      <c r="B26" s="47" t="s">
        <v>603</v>
      </c>
      <c r="C26" s="5"/>
      <c r="D26" s="5"/>
      <c r="E26" s="5"/>
      <c r="I26" s="215"/>
      <c r="M26" s="5"/>
      <c r="O26" s="103" t="s">
        <v>127</v>
      </c>
      <c r="P26" s="743">
        <v>25</v>
      </c>
      <c r="Q26" s="1303"/>
      <c r="R26" s="14" t="s">
        <v>604</v>
      </c>
      <c r="S26" s="214"/>
      <c r="T26" s="18"/>
      <c r="V26" s="97"/>
    </row>
    <row r="27" spans="1:22" s="14" customFormat="1" ht="18" customHeight="1">
      <c r="A27" s="96"/>
      <c r="B27" s="47" t="s">
        <v>605</v>
      </c>
      <c r="C27" s="5"/>
      <c r="D27" s="5"/>
      <c r="E27" s="5"/>
      <c r="N27" s="120" t="s">
        <v>606</v>
      </c>
      <c r="O27" s="103" t="s">
        <v>607</v>
      </c>
      <c r="P27" s="854">
        <v>132</v>
      </c>
      <c r="Q27" s="1270"/>
      <c r="R27" s="14" t="s">
        <v>163</v>
      </c>
      <c r="S27" s="214"/>
      <c r="T27" s="18"/>
      <c r="U27" s="18"/>
      <c r="V27" s="97"/>
    </row>
    <row r="28" spans="1:22" s="14" customFormat="1" ht="18" customHeight="1">
      <c r="A28" s="216"/>
      <c r="B28" s="212"/>
      <c r="C28" s="212"/>
      <c r="D28" s="212"/>
      <c r="E28" s="212"/>
      <c r="T28" s="18"/>
      <c r="U28" s="18"/>
      <c r="V28" s="97"/>
    </row>
    <row r="29" spans="1:22" s="14" customFormat="1" ht="18" customHeight="1">
      <c r="A29" s="96"/>
      <c r="B29" s="14" t="s">
        <v>608</v>
      </c>
      <c r="C29" s="213"/>
      <c r="D29" s="213"/>
      <c r="E29" s="213"/>
      <c r="H29" s="120" t="s">
        <v>609</v>
      </c>
      <c r="I29" s="28" t="s">
        <v>127</v>
      </c>
      <c r="J29" s="689" t="s">
        <v>610</v>
      </c>
      <c r="K29" s="689"/>
      <c r="L29" s="28" t="s">
        <v>315</v>
      </c>
      <c r="M29" s="217">
        <v>1000</v>
      </c>
      <c r="N29" s="102" t="s">
        <v>342</v>
      </c>
      <c r="O29" s="28" t="s">
        <v>611</v>
      </c>
      <c r="P29" s="28" t="s">
        <v>315</v>
      </c>
      <c r="Q29" s="28" t="s">
        <v>606</v>
      </c>
      <c r="R29" s="47"/>
      <c r="T29" s="18"/>
      <c r="U29" s="18"/>
      <c r="V29" s="97"/>
    </row>
    <row r="30" spans="1:22" s="14" customFormat="1" ht="18" customHeight="1">
      <c r="A30" s="216"/>
      <c r="B30" s="213"/>
      <c r="C30" s="213"/>
      <c r="D30" s="213"/>
      <c r="E30" s="213"/>
      <c r="F30" s="212"/>
      <c r="G30" s="212"/>
      <c r="H30" s="28"/>
      <c r="I30" s="28" t="s">
        <v>127</v>
      </c>
      <c r="J30" s="689">
        <f>P25</f>
        <v>100</v>
      </c>
      <c r="K30" s="689"/>
      <c r="L30" s="28" t="s">
        <v>315</v>
      </c>
      <c r="M30" s="217">
        <v>1000</v>
      </c>
      <c r="N30" s="102" t="s">
        <v>342</v>
      </c>
      <c r="O30" s="28" t="s">
        <v>611</v>
      </c>
      <c r="P30" s="28" t="s">
        <v>315</v>
      </c>
      <c r="Q30" s="28">
        <f>P27</f>
        <v>132</v>
      </c>
      <c r="R30" s="47"/>
      <c r="T30" s="18"/>
      <c r="U30" s="18"/>
      <c r="V30" s="97"/>
    </row>
    <row r="31" spans="1:22" s="14" customFormat="1" ht="18" customHeight="1">
      <c r="A31" s="216"/>
      <c r="B31" s="212"/>
      <c r="C31" s="212"/>
      <c r="D31" s="212"/>
      <c r="E31" s="212"/>
      <c r="F31" s="212"/>
      <c r="G31" s="212"/>
      <c r="I31" s="28" t="s">
        <v>127</v>
      </c>
      <c r="J31" s="692">
        <f>(P25*1000)/(SQRT(3)*P27)</f>
        <v>437.38656756789834</v>
      </c>
      <c r="K31" s="692"/>
      <c r="L31" s="14" t="s">
        <v>8</v>
      </c>
      <c r="M31" s="120"/>
      <c r="N31" s="120"/>
      <c r="O31" s="120"/>
      <c r="T31" s="18"/>
      <c r="U31" s="18"/>
      <c r="V31" s="97"/>
    </row>
    <row r="32" spans="1:22" s="14" customFormat="1" ht="18" customHeight="1">
      <c r="A32" s="216"/>
      <c r="B32" s="212"/>
      <c r="C32" s="212"/>
      <c r="D32" s="212"/>
      <c r="E32" s="212"/>
      <c r="G32" s="212"/>
      <c r="H32" s="28"/>
      <c r="I32" s="103"/>
      <c r="J32" s="28"/>
      <c r="M32" s="212"/>
      <c r="N32" s="219"/>
      <c r="O32" s="212"/>
      <c r="T32" s="18"/>
      <c r="U32" s="18"/>
      <c r="V32" s="97"/>
    </row>
    <row r="33" spans="1:25" s="14" customFormat="1" ht="18" customHeight="1">
      <c r="A33" s="147"/>
      <c r="B33" s="5"/>
      <c r="C33" s="5"/>
      <c r="D33" s="5"/>
      <c r="E33" s="5"/>
      <c r="F33" s="212"/>
      <c r="G33" s="212"/>
      <c r="H33" s="5"/>
      <c r="I33" s="5"/>
      <c r="J33" s="5"/>
      <c r="K33" s="5"/>
      <c r="L33" s="103"/>
      <c r="M33" s="103"/>
      <c r="N33" s="103"/>
      <c r="O33" s="103"/>
      <c r="P33" s="212"/>
      <c r="Q33" s="213"/>
      <c r="U33" s="18"/>
      <c r="V33" s="97"/>
    </row>
    <row r="34" spans="1:25" s="14" customFormat="1" ht="18" customHeight="1">
      <c r="A34" s="147"/>
      <c r="B34" s="5"/>
      <c r="C34" s="5"/>
      <c r="D34" s="5"/>
      <c r="E34" s="5"/>
      <c r="F34" s="212"/>
      <c r="G34" s="212"/>
      <c r="H34" s="5"/>
      <c r="I34" s="5"/>
      <c r="J34" s="5"/>
      <c r="K34" s="5"/>
      <c r="L34" s="103"/>
      <c r="M34" s="103"/>
      <c r="N34" s="103"/>
      <c r="O34" s="103"/>
      <c r="P34" s="212"/>
      <c r="Q34" s="213"/>
      <c r="S34" s="214"/>
      <c r="T34" s="18"/>
      <c r="U34" s="18"/>
      <c r="V34" s="97"/>
    </row>
    <row r="35" spans="1:25" ht="18" customHeight="1">
      <c r="A35" s="184"/>
      <c r="B35" s="14" t="s">
        <v>612</v>
      </c>
      <c r="C35" s="14"/>
      <c r="D35" s="14"/>
      <c r="E35" s="14"/>
      <c r="M35" s="28" t="s">
        <v>613</v>
      </c>
      <c r="N35" s="28" t="s">
        <v>127</v>
      </c>
      <c r="O35" s="689" t="s">
        <v>609</v>
      </c>
      <c r="P35" s="689"/>
      <c r="Q35" s="245" t="s">
        <v>342</v>
      </c>
      <c r="R35" s="805" t="str">
        <f>B26</f>
        <v>Percentage Impedance</v>
      </c>
      <c r="S35" s="805"/>
      <c r="T35" s="805"/>
      <c r="U35" s="805"/>
      <c r="V35" s="968"/>
    </row>
    <row r="36" spans="1:25" ht="18" customHeight="1">
      <c r="A36" s="96"/>
      <c r="B36" s="5"/>
      <c r="C36" s="5"/>
      <c r="D36" s="5"/>
      <c r="E36" s="5"/>
      <c r="M36" s="102"/>
      <c r="N36" s="28" t="s">
        <v>127</v>
      </c>
      <c r="O36" s="692">
        <f>+J31</f>
        <v>437.38656756789834</v>
      </c>
      <c r="P36" s="692"/>
      <c r="Q36" s="245" t="s">
        <v>342</v>
      </c>
      <c r="R36" s="221">
        <f>P26%</f>
        <v>0.25</v>
      </c>
      <c r="S36" s="214"/>
      <c r="V36" s="185"/>
    </row>
    <row r="37" spans="1:25" ht="18" customHeight="1">
      <c r="A37" s="96"/>
      <c r="B37" s="5"/>
      <c r="C37" s="5"/>
      <c r="D37" s="5"/>
      <c r="E37" s="5"/>
      <c r="M37" s="28" t="s">
        <v>613</v>
      </c>
      <c r="N37" s="28" t="s">
        <v>127</v>
      </c>
      <c r="O37" s="692">
        <f>O36/R36</f>
        <v>1749.5462702715934</v>
      </c>
      <c r="P37" s="692"/>
      <c r="Q37" s="222" t="s">
        <v>8</v>
      </c>
      <c r="R37" s="28"/>
      <c r="S37" s="214"/>
      <c r="V37" s="185"/>
    </row>
    <row r="38" spans="1:25" ht="18" customHeight="1">
      <c r="A38" s="96"/>
      <c r="B38" s="5"/>
      <c r="C38" s="5"/>
      <c r="D38" s="5"/>
      <c r="E38" s="5"/>
      <c r="M38" s="212"/>
      <c r="N38" s="212"/>
      <c r="O38" s="103"/>
      <c r="Q38" s="223"/>
      <c r="R38" s="14"/>
      <c r="S38" s="214"/>
      <c r="V38" s="185"/>
    </row>
    <row r="39" spans="1:25" ht="18" customHeight="1">
      <c r="A39" s="1206" t="s">
        <v>614</v>
      </c>
      <c r="B39" s="1255"/>
      <c r="C39" s="1255"/>
      <c r="D39" s="1255"/>
      <c r="E39" s="1255"/>
      <c r="F39" s="1255"/>
      <c r="G39" s="1255"/>
      <c r="H39" s="1255"/>
      <c r="I39" s="1255"/>
      <c r="J39" s="1255"/>
      <c r="K39" s="1255"/>
      <c r="L39" s="1255"/>
      <c r="M39" s="1255"/>
      <c r="N39" s="1255"/>
      <c r="O39" s="1255"/>
      <c r="P39" s="1255"/>
      <c r="Q39" s="1255"/>
      <c r="R39" s="1255"/>
      <c r="S39" s="1255"/>
      <c r="T39" s="1255"/>
      <c r="U39" s="1255"/>
      <c r="V39" s="1256"/>
    </row>
    <row r="40" spans="1:25" ht="18" customHeight="1">
      <c r="A40" s="1206"/>
      <c r="B40" s="1255"/>
      <c r="C40" s="1255"/>
      <c r="D40" s="1255"/>
      <c r="E40" s="1255"/>
      <c r="F40" s="1255"/>
      <c r="G40" s="1255"/>
      <c r="H40" s="1255"/>
      <c r="I40" s="1255"/>
      <c r="J40" s="1255"/>
      <c r="K40" s="1255"/>
      <c r="L40" s="1255"/>
      <c r="M40" s="1255"/>
      <c r="N40" s="1255"/>
      <c r="O40" s="1255"/>
      <c r="P40" s="1255"/>
      <c r="Q40" s="1255"/>
      <c r="R40" s="1255"/>
      <c r="S40" s="1255"/>
      <c r="T40" s="1255"/>
      <c r="U40" s="1255"/>
      <c r="V40" s="1256"/>
      <c r="Y40" s="14" t="s">
        <v>615</v>
      </c>
    </row>
    <row r="41" spans="1:25" ht="18" customHeight="1">
      <c r="A41" s="96"/>
      <c r="B41" s="5"/>
      <c r="C41" s="5"/>
      <c r="D41" s="5"/>
      <c r="E41" s="5"/>
      <c r="M41" s="212"/>
      <c r="N41" s="212"/>
      <c r="O41" s="103"/>
      <c r="Q41" s="223"/>
      <c r="R41" s="14"/>
      <c r="S41" s="214"/>
      <c r="V41" s="185"/>
    </row>
    <row r="42" spans="1:25" ht="18" customHeight="1">
      <c r="A42" s="96"/>
      <c r="B42" s="5"/>
      <c r="C42" s="5"/>
      <c r="D42" s="5"/>
      <c r="E42" s="5"/>
      <c r="M42" s="212"/>
      <c r="N42" s="212"/>
      <c r="O42" s="103"/>
      <c r="Q42" s="223"/>
      <c r="R42" s="14"/>
      <c r="S42" s="214"/>
      <c r="V42" s="185"/>
    </row>
    <row r="43" spans="1:25" ht="18" customHeight="1">
      <c r="A43" s="184"/>
      <c r="V43" s="185"/>
    </row>
    <row r="44" spans="1:25" ht="18" customHeight="1">
      <c r="A44" s="184"/>
      <c r="I44" s="14"/>
      <c r="J44" s="14"/>
      <c r="V44" s="185"/>
    </row>
    <row r="45" spans="1:25"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799" t="s">
        <v>417</v>
      </c>
      <c r="B47" s="802"/>
      <c r="C47" s="802"/>
      <c r="D47" s="689">
        <v>30</v>
      </c>
      <c r="E47" s="689" t="s">
        <v>315</v>
      </c>
      <c r="F47" s="689" t="s">
        <v>609</v>
      </c>
      <c r="G47" s="684"/>
      <c r="H47" s="689" t="s">
        <v>315</v>
      </c>
      <c r="I47" s="708" t="s">
        <v>411</v>
      </c>
      <c r="J47" s="828"/>
      <c r="K47" s="689" t="s">
        <v>315</v>
      </c>
      <c r="L47" s="802" t="s">
        <v>419</v>
      </c>
      <c r="M47" s="716" t="s">
        <v>420</v>
      </c>
      <c r="N47" s="729" t="s">
        <v>347</v>
      </c>
      <c r="O47" s="716" t="s">
        <v>408</v>
      </c>
      <c r="P47" s="689" t="s">
        <v>347</v>
      </c>
      <c r="Q47" s="759" t="s">
        <v>421</v>
      </c>
      <c r="R47" s="797"/>
      <c r="S47" s="797"/>
      <c r="T47" s="798" t="s">
        <v>350</v>
      </c>
      <c r="U47" s="230" t="s">
        <v>422</v>
      </c>
      <c r="V47" s="97"/>
    </row>
    <row r="48" spans="1:25" ht="18" customHeight="1">
      <c r="A48" s="827"/>
      <c r="B48" s="802"/>
      <c r="C48" s="802"/>
      <c r="D48" s="689"/>
      <c r="E48" s="689"/>
      <c r="F48" s="684"/>
      <c r="G48" s="684"/>
      <c r="H48" s="689"/>
      <c r="I48" s="689" t="s">
        <v>423</v>
      </c>
      <c r="J48" s="723"/>
      <c r="K48" s="689"/>
      <c r="L48" s="802"/>
      <c r="M48" s="716"/>
      <c r="N48" s="729"/>
      <c r="O48" s="716"/>
      <c r="P48" s="689"/>
      <c r="Q48" s="28" t="s">
        <v>146</v>
      </c>
      <c r="R48" s="28" t="s">
        <v>315</v>
      </c>
      <c r="S48" s="28" t="s">
        <v>146</v>
      </c>
      <c r="T48" s="798"/>
      <c r="U48" s="14"/>
      <c r="V48" s="97"/>
    </row>
    <row r="49" spans="1:22" ht="18" customHeight="1">
      <c r="A49" s="184"/>
      <c r="V49" s="185"/>
    </row>
    <row r="50" spans="1:22" ht="18" customHeight="1">
      <c r="A50" s="799" t="s">
        <v>417</v>
      </c>
      <c r="B50" s="802"/>
      <c r="C50" s="802"/>
      <c r="D50" s="689">
        <v>2</v>
      </c>
      <c r="E50" s="689" t="s">
        <v>315</v>
      </c>
      <c r="F50" s="689" t="s">
        <v>613</v>
      </c>
      <c r="G50" s="684"/>
      <c r="H50" s="689" t="s">
        <v>315</v>
      </c>
      <c r="I50" s="708" t="s">
        <v>411</v>
      </c>
      <c r="J50" s="828"/>
      <c r="K50" s="689" t="s">
        <v>315</v>
      </c>
      <c r="L50" s="802" t="s">
        <v>419</v>
      </c>
      <c r="M50" s="716" t="s">
        <v>420</v>
      </c>
      <c r="N50" s="729" t="s">
        <v>347</v>
      </c>
      <c r="O50" s="716" t="s">
        <v>408</v>
      </c>
      <c r="P50" s="689" t="s">
        <v>347</v>
      </c>
      <c r="Q50" s="759" t="s">
        <v>421</v>
      </c>
      <c r="R50" s="797"/>
      <c r="S50" s="797"/>
      <c r="T50" s="798" t="s">
        <v>350</v>
      </c>
      <c r="U50" s="230" t="s">
        <v>426</v>
      </c>
      <c r="V50" s="97"/>
    </row>
    <row r="51" spans="1:22" ht="18" customHeight="1">
      <c r="A51" s="827"/>
      <c r="B51" s="802"/>
      <c r="C51" s="802"/>
      <c r="D51" s="689"/>
      <c r="E51" s="689"/>
      <c r="F51" s="684"/>
      <c r="G51" s="684"/>
      <c r="H51" s="689"/>
      <c r="I51" s="689" t="s">
        <v>423</v>
      </c>
      <c r="J51" s="723"/>
      <c r="K51" s="689"/>
      <c r="L51" s="802"/>
      <c r="M51" s="716"/>
      <c r="N51" s="729"/>
      <c r="O51" s="716"/>
      <c r="P51" s="689"/>
      <c r="Q51" s="28" t="s">
        <v>146</v>
      </c>
      <c r="R51" s="28" t="s">
        <v>315</v>
      </c>
      <c r="S51" s="28" t="s">
        <v>146</v>
      </c>
      <c r="T51" s="798"/>
      <c r="U51" s="14"/>
      <c r="V51" s="97"/>
    </row>
    <row r="52" spans="1:22" ht="18" customHeight="1">
      <c r="A52" s="184"/>
      <c r="V52" s="185"/>
    </row>
    <row r="53" spans="1:22" ht="18" hidden="1" customHeight="1">
      <c r="A53" s="1206" t="s">
        <v>616</v>
      </c>
      <c r="B53" s="1050"/>
      <c r="C53" s="1050"/>
      <c r="D53" s="1050"/>
      <c r="E53" s="1050"/>
      <c r="F53" s="1050"/>
      <c r="G53" s="1050"/>
      <c r="H53" s="1050"/>
      <c r="I53" s="1050"/>
      <c r="J53" s="1050"/>
      <c r="K53" s="1050"/>
      <c r="L53" s="1050"/>
      <c r="M53" s="1050"/>
      <c r="N53" s="1050"/>
      <c r="O53" s="1050"/>
      <c r="P53" s="1050"/>
      <c r="Q53" s="1050"/>
      <c r="R53" s="1050"/>
      <c r="S53" s="1050"/>
      <c r="T53" s="1050"/>
      <c r="U53" s="1050"/>
      <c r="V53" s="1304"/>
    </row>
    <row r="54" spans="1:22" ht="25.95" hidden="1" customHeight="1">
      <c r="A54" s="1305"/>
      <c r="B54" s="1050"/>
      <c r="C54" s="1050"/>
      <c r="D54" s="1050"/>
      <c r="E54" s="1050"/>
      <c r="F54" s="1050"/>
      <c r="G54" s="1050"/>
      <c r="H54" s="1050"/>
      <c r="I54" s="1050"/>
      <c r="J54" s="1050"/>
      <c r="K54" s="1050"/>
      <c r="L54" s="1050"/>
      <c r="M54" s="1050"/>
      <c r="N54" s="1050"/>
      <c r="O54" s="1050"/>
      <c r="P54" s="1050"/>
      <c r="Q54" s="1050"/>
      <c r="R54" s="1050"/>
      <c r="S54" s="1050"/>
      <c r="T54" s="1050"/>
      <c r="U54" s="1050"/>
      <c r="V54" s="1304"/>
    </row>
    <row r="55" spans="1:22" ht="18" hidden="1" customHeight="1">
      <c r="A55" s="231"/>
      <c r="B55" s="232"/>
      <c r="C55" s="232"/>
      <c r="D55" s="232"/>
      <c r="E55" s="232"/>
      <c r="F55" s="232"/>
      <c r="G55" s="232"/>
      <c r="H55" s="232"/>
      <c r="I55" s="232"/>
      <c r="J55" s="232"/>
      <c r="K55" s="232"/>
      <c r="L55" s="232"/>
      <c r="M55" s="232"/>
      <c r="N55" s="232"/>
      <c r="O55" s="232"/>
      <c r="P55" s="232"/>
      <c r="Q55" s="232"/>
      <c r="R55" s="232"/>
      <c r="S55" s="232"/>
      <c r="T55" s="232"/>
      <c r="U55" s="232"/>
      <c r="V55" s="233"/>
    </row>
    <row r="56" spans="1:22" ht="18" hidden="1" customHeight="1">
      <c r="A56" s="1257" t="s">
        <v>417</v>
      </c>
      <c r="B56" s="716"/>
      <c r="C56" s="716"/>
      <c r="D56" s="689"/>
      <c r="E56" s="689"/>
      <c r="F56" s="689" t="s">
        <v>617</v>
      </c>
      <c r="G56" s="684"/>
      <c r="H56" s="689" t="s">
        <v>315</v>
      </c>
      <c r="I56" s="708" t="s">
        <v>411</v>
      </c>
      <c r="J56" s="828"/>
      <c r="K56" s="689" t="s">
        <v>315</v>
      </c>
      <c r="L56" s="802" t="s">
        <v>419</v>
      </c>
      <c r="M56" s="716" t="s">
        <v>420</v>
      </c>
      <c r="N56" s="729" t="s">
        <v>347</v>
      </c>
      <c r="O56" s="716" t="s">
        <v>408</v>
      </c>
      <c r="P56" s="689" t="s">
        <v>347</v>
      </c>
      <c r="Q56" s="759" t="s">
        <v>421</v>
      </c>
      <c r="R56" s="797"/>
      <c r="S56" s="797"/>
      <c r="T56" s="798" t="s">
        <v>350</v>
      </c>
      <c r="U56" s="230" t="s">
        <v>618</v>
      </c>
      <c r="V56" s="97"/>
    </row>
    <row r="57" spans="1:22" ht="18" hidden="1" customHeight="1">
      <c r="A57" s="1140"/>
      <c r="B57" s="716"/>
      <c r="C57" s="716"/>
      <c r="D57" s="689"/>
      <c r="E57" s="689"/>
      <c r="F57" s="684"/>
      <c r="G57" s="684"/>
      <c r="H57" s="689"/>
      <c r="I57" s="689" t="s">
        <v>423</v>
      </c>
      <c r="J57" s="723"/>
      <c r="K57" s="689"/>
      <c r="L57" s="802"/>
      <c r="M57" s="716"/>
      <c r="N57" s="729"/>
      <c r="O57" s="716"/>
      <c r="P57" s="689"/>
      <c r="Q57" s="28" t="s">
        <v>146</v>
      </c>
      <c r="R57" s="28" t="s">
        <v>315</v>
      </c>
      <c r="S57" s="28" t="s">
        <v>146</v>
      </c>
      <c r="T57" s="798"/>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84"/>
      <c r="H59" s="30" t="s">
        <v>619</v>
      </c>
      <c r="M59" s="781" t="s">
        <v>620</v>
      </c>
      <c r="N59" s="782"/>
      <c r="V59" s="185"/>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84"/>
      <c r="B61" s="14" t="s">
        <v>427</v>
      </c>
      <c r="C61" s="14"/>
      <c r="D61" s="103"/>
      <c r="E61" s="103"/>
      <c r="F61" s="14"/>
      <c r="G61" s="14"/>
      <c r="H61" s="5"/>
      <c r="I61" s="5"/>
      <c r="J61" s="5"/>
      <c r="P61" s="120" t="s">
        <v>428</v>
      </c>
      <c r="V61" s="185"/>
    </row>
    <row r="62" spans="1:22" ht="18" customHeight="1">
      <c r="A62" s="184"/>
      <c r="B62" s="14" t="s">
        <v>429</v>
      </c>
      <c r="C62" s="14"/>
      <c r="D62" s="103"/>
      <c r="E62" s="103"/>
      <c r="F62" s="14"/>
      <c r="G62" s="14"/>
      <c r="H62" s="5"/>
      <c r="I62" s="5"/>
      <c r="J62" s="5"/>
      <c r="P62" s="120" t="s">
        <v>430</v>
      </c>
      <c r="Q62" s="234" t="s">
        <v>127</v>
      </c>
      <c r="R62" s="689">
        <f>H10</f>
        <v>600</v>
      </c>
      <c r="S62" s="689"/>
      <c r="T62" s="14" t="s">
        <v>8</v>
      </c>
      <c r="V62" s="185"/>
    </row>
    <row r="63" spans="1:22" ht="18" customHeight="1">
      <c r="A63" s="184"/>
      <c r="B63" s="14" t="s">
        <v>621</v>
      </c>
      <c r="C63" s="14"/>
      <c r="D63" s="14"/>
      <c r="E63" s="14"/>
      <c r="F63" s="14"/>
      <c r="G63" s="14"/>
      <c r="H63" s="14"/>
      <c r="I63" s="14"/>
      <c r="J63" s="14"/>
      <c r="P63" s="120" t="s">
        <v>609</v>
      </c>
      <c r="Q63" s="234" t="s">
        <v>127</v>
      </c>
      <c r="R63" s="795">
        <f>J31</f>
        <v>437.38656756789834</v>
      </c>
      <c r="S63" s="684"/>
      <c r="T63" s="14" t="s">
        <v>8</v>
      </c>
      <c r="V63" s="185"/>
    </row>
    <row r="64" spans="1:22" ht="18" customHeight="1">
      <c r="A64" s="184"/>
      <c r="B64" s="14" t="s">
        <v>622</v>
      </c>
      <c r="C64" s="14"/>
      <c r="D64" s="14"/>
      <c r="E64" s="14"/>
      <c r="F64" s="14"/>
      <c r="G64" s="14"/>
      <c r="H64" s="14"/>
      <c r="I64" s="14"/>
      <c r="J64" s="14"/>
      <c r="P64" s="120" t="s">
        <v>613</v>
      </c>
      <c r="Q64" s="234" t="s">
        <v>127</v>
      </c>
      <c r="R64" s="795">
        <f>O37</f>
        <v>1749.5462702715934</v>
      </c>
      <c r="S64" s="684"/>
      <c r="T64" s="14" t="s">
        <v>8</v>
      </c>
      <c r="V64" s="185"/>
    </row>
    <row r="65" spans="1:22" ht="18" hidden="1" customHeight="1">
      <c r="A65" s="184"/>
      <c r="B65" s="235" t="s">
        <v>623</v>
      </c>
      <c r="C65" s="14"/>
      <c r="D65" s="14"/>
      <c r="E65" s="14"/>
      <c r="F65" s="14"/>
      <c r="G65" s="14"/>
      <c r="H65" s="14"/>
      <c r="I65" s="14"/>
      <c r="J65" s="14"/>
      <c r="P65" s="120"/>
      <c r="Q65" s="236"/>
      <c r="R65" s="27"/>
      <c r="S65" s="27"/>
      <c r="T65" s="14"/>
      <c r="V65" s="185"/>
    </row>
    <row r="66" spans="1:22" ht="18" hidden="1" customHeight="1">
      <c r="A66" s="184"/>
      <c r="B66" s="14" t="s">
        <v>622</v>
      </c>
      <c r="C66" s="14"/>
      <c r="D66" s="14"/>
      <c r="E66" s="14"/>
      <c r="F66" s="14"/>
      <c r="G66" s="14"/>
      <c r="H66" s="14"/>
      <c r="I66" s="14"/>
      <c r="J66" s="14"/>
      <c r="P66" s="120" t="s">
        <v>617</v>
      </c>
      <c r="Q66" s="234" t="s">
        <v>127</v>
      </c>
      <c r="R66" s="684" t="str">
        <f>IF(M59="Y",'[2]Parameters &amp; Fault Cal.'!Q31,"-")</f>
        <v>-</v>
      </c>
      <c r="S66" s="684"/>
      <c r="T66" s="14" t="s">
        <v>8</v>
      </c>
      <c r="V66" s="185"/>
    </row>
    <row r="67" spans="1:22" ht="18" hidden="1" customHeight="1">
      <c r="A67" s="184"/>
      <c r="B67" s="235" t="s">
        <v>624</v>
      </c>
      <c r="C67" s="14"/>
      <c r="D67" s="14"/>
      <c r="E67" s="14"/>
      <c r="F67" s="14"/>
      <c r="G67" s="14"/>
      <c r="H67" s="14"/>
      <c r="I67" s="14"/>
      <c r="J67" s="14"/>
      <c r="R67" s="27"/>
      <c r="S67" s="27"/>
      <c r="T67" s="14"/>
      <c r="V67" s="185"/>
    </row>
    <row r="68" spans="1:22" ht="18" customHeight="1">
      <c r="A68" s="184"/>
      <c r="B68" s="14" t="s">
        <v>435</v>
      </c>
      <c r="C68" s="14"/>
      <c r="D68" s="103"/>
      <c r="E68" s="103"/>
      <c r="F68" s="14"/>
      <c r="G68" s="14"/>
      <c r="H68" s="5"/>
      <c r="I68" s="5"/>
      <c r="J68" s="5"/>
      <c r="P68" s="120" t="s">
        <v>436</v>
      </c>
      <c r="Q68" s="234" t="s">
        <v>127</v>
      </c>
      <c r="R68" s="684">
        <f>O10</f>
        <v>1</v>
      </c>
      <c r="S68" s="684"/>
      <c r="T68" s="14" t="s">
        <v>8</v>
      </c>
      <c r="V68" s="185"/>
    </row>
    <row r="69" spans="1:22" ht="18" customHeight="1">
      <c r="A69" s="184"/>
      <c r="B69" s="14" t="s">
        <v>437</v>
      </c>
      <c r="C69" s="14"/>
      <c r="D69" s="103"/>
      <c r="E69" s="103"/>
      <c r="F69" s="14"/>
      <c r="G69" s="14"/>
      <c r="H69" s="5"/>
      <c r="I69" s="5"/>
      <c r="J69" s="5"/>
      <c r="P69" s="120" t="s">
        <v>438</v>
      </c>
      <c r="Q69" s="234" t="s">
        <v>127</v>
      </c>
      <c r="R69" s="684">
        <f>'CT-VT Burdens'!S18</f>
        <v>1</v>
      </c>
      <c r="S69" s="684"/>
      <c r="T69" s="14" t="s">
        <v>8</v>
      </c>
      <c r="V69" s="185"/>
    </row>
    <row r="70" spans="1:22" ht="18" customHeight="1">
      <c r="A70" s="184"/>
      <c r="B70" s="14" t="s">
        <v>439</v>
      </c>
      <c r="C70" s="14"/>
      <c r="D70" s="103"/>
      <c r="E70" s="103"/>
      <c r="F70" s="14"/>
      <c r="G70" s="14"/>
      <c r="H70" s="5"/>
      <c r="I70" s="5"/>
      <c r="J70" s="5"/>
      <c r="P70" s="120" t="s">
        <v>440</v>
      </c>
      <c r="Q70" s="234" t="s">
        <v>127</v>
      </c>
      <c r="R70" s="684">
        <f>H12</f>
        <v>1.5</v>
      </c>
      <c r="S70" s="684"/>
      <c r="T70" s="192" t="s">
        <v>333</v>
      </c>
      <c r="V70" s="185"/>
    </row>
    <row r="71" spans="1:22" ht="18" customHeight="1">
      <c r="A71" s="184"/>
      <c r="B71" s="14" t="s">
        <v>625</v>
      </c>
      <c r="C71" s="14"/>
      <c r="D71" s="14"/>
      <c r="E71" s="14"/>
      <c r="F71" s="14"/>
      <c r="G71" s="14"/>
      <c r="H71" s="14"/>
      <c r="I71" s="14"/>
      <c r="J71" s="14"/>
      <c r="P71" s="237" t="s">
        <v>441</v>
      </c>
      <c r="Q71" s="234" t="s">
        <v>127</v>
      </c>
      <c r="R71" s="795">
        <f>P22</f>
        <v>1.1867743100000001</v>
      </c>
      <c r="S71" s="684"/>
      <c r="T71" s="192" t="s">
        <v>333</v>
      </c>
      <c r="V71" s="185"/>
    </row>
    <row r="72" spans="1:22" ht="18" customHeight="1">
      <c r="A72" s="184"/>
      <c r="B72" s="40" t="s">
        <v>626</v>
      </c>
      <c r="C72" s="14"/>
      <c r="D72" s="14"/>
      <c r="E72" s="14"/>
      <c r="F72" s="14"/>
      <c r="G72" s="14"/>
      <c r="H72" s="5"/>
      <c r="I72" s="5"/>
      <c r="J72" s="5"/>
      <c r="P72" s="237" t="s">
        <v>443</v>
      </c>
      <c r="Q72" s="234" t="s">
        <v>127</v>
      </c>
      <c r="R72" s="795">
        <f>J18</f>
        <v>0.02</v>
      </c>
      <c r="S72" s="684"/>
      <c r="T72" s="14" t="s">
        <v>157</v>
      </c>
      <c r="V72" s="185"/>
    </row>
    <row r="73" spans="1:22" ht="18" customHeight="1">
      <c r="A73" s="184"/>
      <c r="V73" s="185"/>
    </row>
    <row r="74" spans="1:22" ht="18" customHeight="1">
      <c r="A74" s="799" t="s">
        <v>417</v>
      </c>
      <c r="B74" s="802"/>
      <c r="C74" s="802"/>
      <c r="D74" s="805">
        <v>30</v>
      </c>
      <c r="E74" s="805" t="s">
        <v>315</v>
      </c>
      <c r="F74" s="1184">
        <f>R63</f>
        <v>437.38656756789834</v>
      </c>
      <c r="G74" s="1111"/>
      <c r="H74" s="805" t="s">
        <v>315</v>
      </c>
      <c r="I74" s="822">
        <f>R68</f>
        <v>1</v>
      </c>
      <c r="J74" s="1269"/>
      <c r="K74" s="805" t="s">
        <v>315</v>
      </c>
      <c r="L74" s="815" t="s">
        <v>419</v>
      </c>
      <c r="M74" s="815">
        <f>R70</f>
        <v>1.5</v>
      </c>
      <c r="N74" s="816" t="s">
        <v>347</v>
      </c>
      <c r="O74" s="817">
        <f>R71</f>
        <v>1.1867743100000001</v>
      </c>
      <c r="P74" s="805" t="s">
        <v>347</v>
      </c>
      <c r="Q74" s="1259">
        <f>R72</f>
        <v>0.02</v>
      </c>
      <c r="R74" s="807"/>
      <c r="S74" s="807"/>
      <c r="T74" s="798" t="s">
        <v>350</v>
      </c>
      <c r="U74" s="230" t="s">
        <v>422</v>
      </c>
      <c r="V74" s="97"/>
    </row>
    <row r="75" spans="1:22" ht="18" customHeight="1">
      <c r="A75" s="827"/>
      <c r="B75" s="802"/>
      <c r="C75" s="802"/>
      <c r="D75" s="805"/>
      <c r="E75" s="805"/>
      <c r="F75" s="1111"/>
      <c r="G75" s="1111"/>
      <c r="H75" s="805"/>
      <c r="I75" s="805">
        <f>R62</f>
        <v>600</v>
      </c>
      <c r="J75" s="1234"/>
      <c r="K75" s="805"/>
      <c r="L75" s="815"/>
      <c r="M75" s="815"/>
      <c r="N75" s="816"/>
      <c r="O75" s="815"/>
      <c r="P75" s="805"/>
      <c r="Q75" s="221">
        <f>R69</f>
        <v>1</v>
      </c>
      <c r="R75" s="221" t="s">
        <v>315</v>
      </c>
      <c r="S75" s="221">
        <f>R69</f>
        <v>1</v>
      </c>
      <c r="T75" s="798"/>
      <c r="U75" s="14"/>
      <c r="V75" s="97"/>
    </row>
    <row r="76" spans="1:22" ht="18" customHeight="1">
      <c r="A76" s="184"/>
      <c r="V76" s="185"/>
    </row>
    <row r="77" spans="1:22" ht="18" customHeight="1">
      <c r="A77" s="184"/>
      <c r="C77" s="30" t="s">
        <v>127</v>
      </c>
      <c r="D77" s="812">
        <f>D74*F74*(I74/I75)*(M74+O74+(Q74/(Q75*S75)))</f>
        <v>59.19533623159333</v>
      </c>
      <c r="E77" s="813"/>
      <c r="F77" s="30" t="s">
        <v>305</v>
      </c>
      <c r="V77" s="185"/>
    </row>
    <row r="78" spans="1:22" ht="18" customHeight="1">
      <c r="A78" s="184"/>
      <c r="V78" s="185"/>
    </row>
    <row r="79" spans="1:22" ht="18" customHeight="1">
      <c r="A79" s="799" t="s">
        <v>417</v>
      </c>
      <c r="B79" s="802"/>
      <c r="C79" s="802"/>
      <c r="D79" s="805">
        <v>2</v>
      </c>
      <c r="E79" s="805" t="s">
        <v>315</v>
      </c>
      <c r="F79" s="1184">
        <f>R64</f>
        <v>1749.5462702715934</v>
      </c>
      <c r="G79" s="1111"/>
      <c r="H79" s="805" t="s">
        <v>315</v>
      </c>
      <c r="I79" s="822">
        <f>R68</f>
        <v>1</v>
      </c>
      <c r="J79" s="1269"/>
      <c r="K79" s="805" t="s">
        <v>315</v>
      </c>
      <c r="L79" s="808" t="s">
        <v>419</v>
      </c>
      <c r="M79" s="815">
        <f>R70</f>
        <v>1.5</v>
      </c>
      <c r="N79" s="816" t="s">
        <v>347</v>
      </c>
      <c r="O79" s="817">
        <f>R71</f>
        <v>1.1867743100000001</v>
      </c>
      <c r="P79" s="805" t="s">
        <v>347</v>
      </c>
      <c r="Q79" s="1259">
        <f>R72</f>
        <v>0.02</v>
      </c>
      <c r="R79" s="807"/>
      <c r="S79" s="807"/>
      <c r="T79" s="798" t="s">
        <v>350</v>
      </c>
      <c r="U79" s="230" t="s">
        <v>426</v>
      </c>
      <c r="V79" s="97"/>
    </row>
    <row r="80" spans="1:22" ht="18" customHeight="1">
      <c r="A80" s="827"/>
      <c r="B80" s="802"/>
      <c r="C80" s="802"/>
      <c r="D80" s="805"/>
      <c r="E80" s="805"/>
      <c r="F80" s="1111"/>
      <c r="G80" s="1111"/>
      <c r="H80" s="805"/>
      <c r="I80" s="805">
        <f>R62</f>
        <v>600</v>
      </c>
      <c r="J80" s="1234"/>
      <c r="K80" s="805"/>
      <c r="L80" s="808"/>
      <c r="M80" s="815"/>
      <c r="N80" s="816"/>
      <c r="O80" s="815"/>
      <c r="P80" s="805"/>
      <c r="Q80" s="221">
        <f>R69</f>
        <v>1</v>
      </c>
      <c r="R80" s="221" t="s">
        <v>315</v>
      </c>
      <c r="S80" s="221">
        <f>R69</f>
        <v>1</v>
      </c>
      <c r="T80" s="798"/>
      <c r="U80" s="14"/>
      <c r="V80" s="97"/>
    </row>
    <row r="81" spans="1:22" ht="18" customHeight="1">
      <c r="A81" s="184"/>
      <c r="L81" s="244"/>
      <c r="V81" s="185"/>
    </row>
    <row r="82" spans="1:22" ht="18" customHeight="1">
      <c r="A82" s="184"/>
      <c r="C82" s="30" t="s">
        <v>127</v>
      </c>
      <c r="D82" s="812">
        <f>D79*F79*(I79/I80)*(M79+O79+(Q79/(Q80*S80)))</f>
        <v>15.785422995091555</v>
      </c>
      <c r="E82" s="813"/>
      <c r="F82" s="30" t="s">
        <v>305</v>
      </c>
      <c r="L82" s="244"/>
      <c r="V82" s="185"/>
    </row>
    <row r="83" spans="1:22" ht="18" customHeight="1">
      <c r="A83" s="184"/>
      <c r="D83" s="211"/>
      <c r="E83" s="211"/>
      <c r="L83" s="244"/>
      <c r="V83" s="185"/>
    </row>
    <row r="84" spans="1:22" ht="18" customHeight="1">
      <c r="A84" s="184"/>
      <c r="D84" s="211"/>
      <c r="E84" s="211"/>
      <c r="L84" s="244"/>
      <c r="V84" s="185"/>
    </row>
    <row r="85" spans="1:22" ht="18" customHeight="1">
      <c r="A85" s="184"/>
      <c r="D85" s="211"/>
      <c r="E85" s="211"/>
      <c r="L85" s="244"/>
      <c r="V85" s="185"/>
    </row>
    <row r="86" spans="1:22" ht="18" customHeight="1">
      <c r="A86" s="184"/>
      <c r="D86" s="211"/>
      <c r="E86" s="211"/>
      <c r="L86" s="244"/>
      <c r="V86" s="185"/>
    </row>
    <row r="87" spans="1:22" ht="18" customHeight="1">
      <c r="A87" s="184"/>
      <c r="D87" s="211"/>
      <c r="E87" s="211"/>
      <c r="L87" s="244"/>
      <c r="V87" s="185"/>
    </row>
    <row r="88" spans="1:22" ht="18" customHeight="1">
      <c r="A88" s="184"/>
      <c r="D88" s="211"/>
      <c r="E88" s="211"/>
      <c r="L88" s="244"/>
      <c r="V88" s="185"/>
    </row>
    <row r="89" spans="1:22" ht="18" customHeight="1">
      <c r="A89" s="184"/>
      <c r="D89" s="211"/>
      <c r="E89" s="211"/>
      <c r="L89" s="244"/>
      <c r="V89" s="185"/>
    </row>
    <row r="90" spans="1:22" ht="18" customHeight="1">
      <c r="A90" s="184"/>
      <c r="D90" s="211"/>
      <c r="E90" s="211"/>
      <c r="L90" s="244"/>
      <c r="V90" s="185"/>
    </row>
    <row r="91" spans="1:22" ht="18" customHeight="1">
      <c r="A91" s="184"/>
      <c r="D91" s="211"/>
      <c r="E91" s="211"/>
      <c r="L91" s="244"/>
      <c r="V91" s="185"/>
    </row>
    <row r="92" spans="1:22" ht="18" customHeight="1">
      <c r="A92" s="184"/>
      <c r="D92" s="211"/>
      <c r="E92" s="211"/>
      <c r="L92" s="244"/>
      <c r="V92" s="185"/>
    </row>
    <row r="93" spans="1:22" ht="18" customHeight="1">
      <c r="A93" s="184"/>
      <c r="D93" s="211"/>
      <c r="E93" s="211"/>
      <c r="L93" s="244"/>
      <c r="V93" s="185"/>
    </row>
    <row r="94" spans="1:22" ht="18" customHeight="1">
      <c r="A94" s="184"/>
      <c r="D94" s="211"/>
      <c r="E94" s="211"/>
      <c r="L94" s="244"/>
      <c r="V94" s="185"/>
    </row>
    <row r="95" spans="1:22" ht="18" customHeight="1">
      <c r="A95" s="290"/>
      <c r="B95" s="196"/>
      <c r="C95" s="196"/>
      <c r="D95" s="308"/>
      <c r="E95" s="308"/>
      <c r="F95" s="196"/>
      <c r="G95" s="196"/>
      <c r="H95" s="196"/>
      <c r="I95" s="196"/>
      <c r="J95" s="196"/>
      <c r="K95" s="196"/>
      <c r="L95" s="306"/>
      <c r="M95" s="196"/>
      <c r="N95" s="196"/>
      <c r="O95" s="196"/>
      <c r="P95" s="196"/>
      <c r="Q95" s="196"/>
      <c r="R95" s="196"/>
      <c r="S95" s="196"/>
      <c r="T95" s="196"/>
      <c r="U95" s="196"/>
      <c r="V95" s="291"/>
    </row>
    <row r="96" spans="1:22" s="14" customFormat="1" ht="18" hidden="1" customHeight="1">
      <c r="A96" s="194"/>
      <c r="B96" s="195"/>
      <c r="C96" s="195"/>
      <c r="D96" s="195"/>
      <c r="E96" s="195"/>
      <c r="F96" s="195"/>
      <c r="G96" s="195"/>
      <c r="H96" s="195"/>
      <c r="I96" s="195"/>
      <c r="J96" s="195"/>
      <c r="K96" s="195"/>
      <c r="L96" s="195"/>
      <c r="M96" s="195"/>
      <c r="N96" s="195"/>
      <c r="O96" s="195"/>
      <c r="P96" s="195"/>
      <c r="Q96" s="224"/>
      <c r="R96" s="182"/>
      <c r="S96" s="225"/>
      <c r="T96" s="195"/>
      <c r="U96" s="195"/>
      <c r="V96" s="134"/>
    </row>
    <row r="97" spans="1:22" ht="18" hidden="1" customHeight="1">
      <c r="A97" s="799" t="s">
        <v>417</v>
      </c>
      <c r="B97" s="802"/>
      <c r="C97" s="802"/>
      <c r="D97" s="689"/>
      <c r="E97" s="689"/>
      <c r="F97" s="805" t="str">
        <f>R66</f>
        <v>-</v>
      </c>
      <c r="G97" s="993"/>
      <c r="H97" s="805" t="s">
        <v>315</v>
      </c>
      <c r="I97" s="822">
        <f>R68</f>
        <v>1</v>
      </c>
      <c r="J97" s="1269"/>
      <c r="K97" s="805" t="s">
        <v>315</v>
      </c>
      <c r="L97" s="808" t="s">
        <v>419</v>
      </c>
      <c r="M97" s="815">
        <f>R70</f>
        <v>1.5</v>
      </c>
      <c r="N97" s="816" t="s">
        <v>347</v>
      </c>
      <c r="O97" s="817">
        <f>R71</f>
        <v>1.1867743100000001</v>
      </c>
      <c r="P97" s="805" t="s">
        <v>347</v>
      </c>
      <c r="Q97" s="1259">
        <f>R72</f>
        <v>0.02</v>
      </c>
      <c r="R97" s="807"/>
      <c r="S97" s="807"/>
      <c r="T97" s="798" t="s">
        <v>350</v>
      </c>
      <c r="U97" s="230" t="s">
        <v>618</v>
      </c>
      <c r="V97" s="97"/>
    </row>
    <row r="98" spans="1:22" ht="18" hidden="1" customHeight="1">
      <c r="A98" s="827"/>
      <c r="B98" s="802"/>
      <c r="C98" s="802"/>
      <c r="D98" s="689"/>
      <c r="E98" s="689"/>
      <c r="F98" s="993"/>
      <c r="G98" s="993"/>
      <c r="H98" s="805"/>
      <c r="I98" s="805">
        <f>R62</f>
        <v>600</v>
      </c>
      <c r="J98" s="1234"/>
      <c r="K98" s="805"/>
      <c r="L98" s="808"/>
      <c r="M98" s="815"/>
      <c r="N98" s="816"/>
      <c r="O98" s="815"/>
      <c r="P98" s="805"/>
      <c r="Q98" s="221">
        <f>R69</f>
        <v>1</v>
      </c>
      <c r="R98" s="221" t="s">
        <v>315</v>
      </c>
      <c r="S98" s="221">
        <f>R69</f>
        <v>1</v>
      </c>
      <c r="T98" s="798"/>
      <c r="U98" s="14"/>
      <c r="V98" s="97"/>
    </row>
    <row r="99" spans="1:22" ht="18" hidden="1" customHeight="1">
      <c r="A99" s="184"/>
      <c r="V99" s="185"/>
    </row>
    <row r="100" spans="1:22" ht="18" hidden="1" customHeight="1">
      <c r="A100" s="184"/>
      <c r="C100" s="30" t="s">
        <v>127</v>
      </c>
      <c r="D100" s="812" t="e">
        <f>F97*(I97/I98)*(M97+O97+(Q97/(Q98*S98)))</f>
        <v>#VALUE!</v>
      </c>
      <c r="E100" s="813"/>
      <c r="F100" s="30" t="s">
        <v>305</v>
      </c>
      <c r="G100" s="187" t="s">
        <v>378</v>
      </c>
      <c r="H100" s="186" t="str">
        <f>IF(M59="y","Applicable","Not applicable")</f>
        <v>Not applicable</v>
      </c>
      <c r="V100" s="185"/>
    </row>
    <row r="101" spans="1:22" ht="18" customHeight="1">
      <c r="A101" s="184"/>
      <c r="V101" s="185"/>
    </row>
    <row r="102" spans="1:22" ht="18" customHeight="1">
      <c r="A102" s="96" t="s">
        <v>627</v>
      </c>
      <c r="M102" s="775">
        <f>R62</f>
        <v>600</v>
      </c>
      <c r="N102" s="776"/>
      <c r="O102" s="30" t="s">
        <v>470</v>
      </c>
      <c r="Q102" s="812">
        <f>IF(M59="Y",MAX(D77,D100),MAX(D77,D82))</f>
        <v>59.19533623159333</v>
      </c>
      <c r="R102" s="820"/>
      <c r="S102" s="30" t="s">
        <v>305</v>
      </c>
      <c r="V102" s="185"/>
    </row>
    <row r="103" spans="1:22" ht="18" customHeight="1">
      <c r="A103" s="184"/>
      <c r="M103" s="247"/>
      <c r="N103" s="247"/>
      <c r="Q103" s="211"/>
      <c r="R103" s="27"/>
      <c r="V103" s="185"/>
    </row>
    <row r="104" spans="1:22" ht="18" customHeight="1">
      <c r="A104" s="248" t="s">
        <v>471</v>
      </c>
      <c r="B104" s="14"/>
      <c r="C104" s="14"/>
      <c r="D104" s="249"/>
      <c r="E104" s="14"/>
      <c r="F104" s="14"/>
      <c r="G104" s="47"/>
      <c r="H104" s="14"/>
      <c r="J104" s="14"/>
      <c r="K104" s="14"/>
      <c r="L104" s="14"/>
      <c r="M104" s="14"/>
      <c r="N104" s="14"/>
      <c r="O104" s="14"/>
      <c r="P104" s="250"/>
      <c r="Q104" s="251"/>
      <c r="R104" s="47"/>
      <c r="S104" s="14"/>
      <c r="V104" s="185"/>
    </row>
    <row r="105" spans="1:22" ht="18" customHeight="1">
      <c r="A105" s="248"/>
      <c r="B105" s="14"/>
      <c r="C105" s="14"/>
      <c r="D105" s="249"/>
      <c r="E105" s="14"/>
      <c r="F105" s="14"/>
      <c r="G105" s="47"/>
      <c r="H105" s="14"/>
      <c r="J105" s="14"/>
      <c r="K105" s="14"/>
      <c r="L105" s="14"/>
      <c r="M105" s="14"/>
      <c r="N105" s="14"/>
      <c r="O105" s="14"/>
      <c r="P105" s="250"/>
      <c r="Q105" s="251"/>
      <c r="R105" s="47"/>
      <c r="S105" s="14"/>
      <c r="V105" s="185"/>
    </row>
    <row r="106" spans="1:22" ht="18" hidden="1" customHeight="1">
      <c r="A106" s="96" t="s">
        <v>628</v>
      </c>
      <c r="V106" s="185"/>
    </row>
    <row r="107" spans="1:22" ht="18" customHeight="1">
      <c r="A107" s="184"/>
      <c r="N107" s="14"/>
      <c r="O107" s="14" t="s">
        <v>473</v>
      </c>
      <c r="P107" s="102" t="s">
        <v>127</v>
      </c>
      <c r="Q107" s="694" t="s">
        <v>474</v>
      </c>
      <c r="R107" s="694"/>
      <c r="S107" s="28" t="s">
        <v>315</v>
      </c>
      <c r="T107" s="28">
        <v>0.8</v>
      </c>
      <c r="V107" s="185"/>
    </row>
    <row r="108" spans="1:22" ht="18" customHeight="1">
      <c r="A108" s="184"/>
      <c r="N108" s="252"/>
      <c r="O108" s="14"/>
      <c r="P108" s="102" t="s">
        <v>127</v>
      </c>
      <c r="Q108" s="829">
        <f>+Q102</f>
        <v>59.19533623159333</v>
      </c>
      <c r="R108" s="708"/>
      <c r="S108" s="222" t="s">
        <v>315</v>
      </c>
      <c r="T108" s="253">
        <f>+T107</f>
        <v>0.8</v>
      </c>
      <c r="V108" s="185"/>
    </row>
    <row r="109" spans="1:22" ht="18" customHeight="1">
      <c r="A109" s="184"/>
      <c r="O109" s="14"/>
      <c r="P109" s="28" t="s">
        <v>127</v>
      </c>
      <c r="Q109" s="830">
        <f>Q108*T108</f>
        <v>47.356268985274667</v>
      </c>
      <c r="R109" s="776"/>
      <c r="S109" s="28" t="s">
        <v>305</v>
      </c>
      <c r="T109" s="28"/>
      <c r="V109" s="185"/>
    </row>
    <row r="110" spans="1:22" ht="18" customHeight="1">
      <c r="A110" s="184"/>
      <c r="F110" s="28"/>
      <c r="G110" s="28"/>
      <c r="H110" s="14"/>
      <c r="V110" s="185"/>
    </row>
    <row r="111" spans="1:22" ht="18" customHeight="1">
      <c r="A111" s="184"/>
      <c r="D111" s="14" t="s">
        <v>475</v>
      </c>
      <c r="G111" s="28" t="s">
        <v>476</v>
      </c>
      <c r="H111" s="14" t="s">
        <v>477</v>
      </c>
      <c r="V111" s="185"/>
    </row>
    <row r="112" spans="1:22" ht="18" customHeight="1">
      <c r="A112" s="184"/>
      <c r="E112" s="684">
        <f>H13</f>
        <v>400</v>
      </c>
      <c r="F112" s="684"/>
      <c r="G112" s="28" t="s">
        <v>476</v>
      </c>
      <c r="H112" s="795">
        <f>Q109</f>
        <v>47.356268985274667</v>
      </c>
      <c r="I112" s="684"/>
      <c r="V112" s="185"/>
    </row>
    <row r="113" spans="1:22" ht="18" customHeight="1">
      <c r="A113" s="184"/>
      <c r="F113" s="244" t="s">
        <v>478</v>
      </c>
      <c r="H113" s="18" t="str">
        <f>IF(E112&gt;H112,"Suitably Dimensioned","Under Dimensioned")</f>
        <v>Suitably Dimensioned</v>
      </c>
      <c r="V113" s="185"/>
    </row>
    <row r="114" spans="1:22" ht="18" customHeight="1">
      <c r="A114" s="184"/>
      <c r="F114" s="244"/>
      <c r="H114" s="18"/>
      <c r="V114" s="185"/>
    </row>
    <row r="115" spans="1:22" ht="18" customHeight="1">
      <c r="A115" s="184"/>
      <c r="F115" s="244"/>
      <c r="H115" s="18"/>
      <c r="V115" s="185"/>
    </row>
    <row r="116" spans="1:22" ht="18" customHeight="1">
      <c r="A116" s="184"/>
      <c r="F116" s="244"/>
      <c r="H116" s="18"/>
      <c r="V116" s="185"/>
    </row>
    <row r="117" spans="1:22" ht="18" customHeight="1">
      <c r="A117" s="184"/>
      <c r="F117" s="244"/>
      <c r="H117" s="18"/>
      <c r="V117" s="185"/>
    </row>
    <row r="118" spans="1:22" ht="18" customHeight="1">
      <c r="A118" s="184"/>
      <c r="F118" s="244"/>
      <c r="H118" s="18"/>
      <c r="V118" s="185"/>
    </row>
    <row r="119" spans="1:22" ht="18" customHeight="1">
      <c r="A119" s="184"/>
      <c r="F119" s="244"/>
      <c r="H119" s="18"/>
      <c r="V119" s="185"/>
    </row>
    <row r="120" spans="1:22" ht="18" customHeight="1">
      <c r="A120" s="184"/>
      <c r="F120" s="244"/>
      <c r="H120" s="18"/>
      <c r="V120" s="185"/>
    </row>
    <row r="121" spans="1:22" ht="18" customHeight="1">
      <c r="A121" s="184"/>
      <c r="F121" s="244"/>
      <c r="H121" s="18"/>
      <c r="V121" s="185"/>
    </row>
    <row r="122" spans="1:22" ht="18" customHeight="1">
      <c r="A122" s="184"/>
      <c r="F122" s="244"/>
      <c r="H122" s="18"/>
      <c r="V122" s="185"/>
    </row>
    <row r="123" spans="1:22" ht="18" customHeight="1">
      <c r="A123" s="184"/>
      <c r="F123" s="244"/>
      <c r="H123" s="18"/>
      <c r="V123" s="185"/>
    </row>
    <row r="124" spans="1:22" ht="18" customHeight="1">
      <c r="A124" s="184"/>
      <c r="F124" s="244"/>
      <c r="H124" s="18"/>
      <c r="V124" s="185"/>
    </row>
    <row r="125" spans="1:22" ht="18" customHeight="1">
      <c r="A125" s="184"/>
      <c r="F125" s="244"/>
      <c r="H125" s="18"/>
      <c r="V125" s="185"/>
    </row>
    <row r="126" spans="1:22" ht="18" customHeight="1">
      <c r="A126" s="184"/>
      <c r="F126" s="244"/>
      <c r="H126" s="18"/>
      <c r="V126" s="185"/>
    </row>
    <row r="127" spans="1:22" ht="18" customHeight="1">
      <c r="A127" s="184"/>
      <c r="F127" s="244"/>
      <c r="H127" s="18"/>
      <c r="V127" s="185"/>
    </row>
    <row r="128" spans="1:22" ht="18" customHeight="1">
      <c r="A128" s="184"/>
      <c r="F128" s="244"/>
      <c r="H128" s="18"/>
      <c r="V128" s="185"/>
    </row>
    <row r="129" spans="1:22" ht="18" customHeight="1">
      <c r="A129" s="184"/>
      <c r="F129" s="244"/>
      <c r="H129" s="18"/>
      <c r="V129" s="185"/>
    </row>
    <row r="130" spans="1:22" ht="18" customHeight="1">
      <c r="A130" s="184"/>
      <c r="F130" s="244"/>
      <c r="H130" s="18"/>
      <c r="V130" s="185"/>
    </row>
    <row r="131" spans="1:22" ht="18" customHeight="1">
      <c r="A131" s="184"/>
      <c r="F131" s="244"/>
      <c r="H131" s="18"/>
      <c r="V131" s="185"/>
    </row>
    <row r="132" spans="1:22" ht="18" customHeight="1">
      <c r="A132" s="184"/>
      <c r="F132" s="244"/>
      <c r="H132" s="18"/>
      <c r="V132" s="185"/>
    </row>
    <row r="133" spans="1:22" ht="18" customHeight="1">
      <c r="A133" s="184"/>
      <c r="F133" s="244"/>
      <c r="H133" s="18"/>
      <c r="V133" s="185"/>
    </row>
    <row r="134" spans="1:22" ht="18" customHeight="1">
      <c r="A134" s="184"/>
      <c r="F134" s="244"/>
      <c r="H134" s="18"/>
      <c r="V134" s="185"/>
    </row>
    <row r="135" spans="1:22" ht="18" customHeight="1">
      <c r="A135" s="184"/>
      <c r="F135" s="244"/>
      <c r="H135" s="18"/>
      <c r="V135" s="185"/>
    </row>
    <row r="136" spans="1:22" ht="18" customHeight="1">
      <c r="A136" s="184"/>
      <c r="F136" s="244"/>
      <c r="H136" s="18"/>
      <c r="V136" s="185"/>
    </row>
    <row r="137" spans="1:22" ht="18" customHeight="1">
      <c r="A137" s="184"/>
      <c r="F137" s="244"/>
      <c r="H137" s="18"/>
      <c r="V137" s="185"/>
    </row>
    <row r="138" spans="1:22" ht="18" customHeight="1">
      <c r="A138" s="184"/>
      <c r="F138" s="244"/>
      <c r="H138" s="18"/>
      <c r="V138" s="185"/>
    </row>
    <row r="139" spans="1:22" ht="18" customHeight="1">
      <c r="A139" s="184"/>
      <c r="V139" s="185"/>
    </row>
    <row r="140" spans="1:22" ht="18" customHeight="1">
      <c r="A140" s="184"/>
      <c r="V140" s="185"/>
    </row>
    <row r="141" spans="1:22" s="14" customFormat="1" ht="18" customHeight="1">
      <c r="A141" s="194"/>
      <c r="B141" s="195"/>
      <c r="C141" s="195"/>
      <c r="D141" s="195"/>
      <c r="E141" s="195"/>
      <c r="F141" s="195"/>
      <c r="G141" s="195"/>
      <c r="H141" s="195"/>
      <c r="I141" s="195"/>
      <c r="J141" s="195"/>
      <c r="K141" s="195"/>
      <c r="L141" s="195"/>
      <c r="M141" s="195"/>
      <c r="N141" s="195"/>
      <c r="O141" s="195"/>
      <c r="P141" s="195"/>
      <c r="Q141" s="224"/>
      <c r="R141" s="182"/>
      <c r="S141" s="225"/>
      <c r="T141" s="195"/>
      <c r="U141" s="195"/>
      <c r="V141" s="134"/>
    </row>
    <row r="142" spans="1:22" ht="18" customHeight="1">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8"/>
    </row>
    <row r="143" spans="1:22" ht="18" customHeight="1">
      <c r="A143" s="184"/>
      <c r="B143" s="781" t="str">
        <f>B7</f>
        <v>T4</v>
      </c>
      <c r="C143" s="782"/>
      <c r="D143" s="781" t="str">
        <f>D7</f>
        <v>Core1</v>
      </c>
      <c r="E143" s="782"/>
      <c r="F143" s="186"/>
      <c r="H143" s="684" t="str">
        <f>H7</f>
        <v>(Transformer Differential)</v>
      </c>
      <c r="I143" s="684"/>
      <c r="J143" s="684"/>
      <c r="K143" s="684"/>
      <c r="L143" s="684"/>
      <c r="M143" s="684"/>
      <c r="N143" s="684"/>
      <c r="P143" s="186"/>
      <c r="S143" s="187" t="s">
        <v>387</v>
      </c>
      <c r="T143" s="835" t="str">
        <f>T7</f>
        <v>RET670</v>
      </c>
      <c r="U143" s="836"/>
      <c r="V143" s="185"/>
    </row>
    <row r="144" spans="1:22" ht="18" customHeight="1">
      <c r="A144" s="184"/>
      <c r="B144" s="18">
        <f>B8</f>
        <v>0</v>
      </c>
      <c r="C144" s="18"/>
      <c r="D144" s="538"/>
      <c r="E144" s="538"/>
      <c r="F144" s="255"/>
      <c r="T144" s="982">
        <f>T8</f>
        <v>0</v>
      </c>
      <c r="U144" s="982"/>
      <c r="V144" s="185"/>
    </row>
    <row r="145" spans="1:29" ht="18" customHeight="1">
      <c r="A145" s="184"/>
      <c r="H145" s="708" t="s">
        <v>390</v>
      </c>
      <c r="I145" s="708"/>
      <c r="J145" s="789" t="s">
        <v>391</v>
      </c>
      <c r="K145" s="789"/>
      <c r="L145" s="708" t="s">
        <v>392</v>
      </c>
      <c r="M145" s="708"/>
      <c r="T145" s="982">
        <f>T9</f>
        <v>0</v>
      </c>
      <c r="U145" s="982"/>
      <c r="V145" s="185"/>
    </row>
    <row r="146" spans="1:29" ht="18" customHeight="1">
      <c r="A146" s="184"/>
      <c r="B146" s="47" t="s">
        <v>393</v>
      </c>
      <c r="H146" s="781">
        <f>H10</f>
        <v>600</v>
      </c>
      <c r="I146" s="782"/>
      <c r="J146" s="791">
        <f>J10</f>
        <v>1000</v>
      </c>
      <c r="K146" s="792"/>
      <c r="L146" s="839" t="str">
        <f>L10</f>
        <v>-</v>
      </c>
      <c r="M146" s="840"/>
      <c r="N146" s="102" t="s">
        <v>342</v>
      </c>
      <c r="O146" s="254">
        <f>O10</f>
        <v>1</v>
      </c>
      <c r="P146" s="27" t="s">
        <v>8</v>
      </c>
      <c r="V146" s="185"/>
    </row>
    <row r="147" spans="1:29" ht="18" customHeight="1">
      <c r="A147" s="184"/>
      <c r="B147" s="47" t="s">
        <v>394</v>
      </c>
      <c r="H147" s="14"/>
      <c r="I147" s="14"/>
      <c r="J147" s="781" t="s">
        <v>395</v>
      </c>
      <c r="K147" s="782"/>
      <c r="L147" s="14"/>
      <c r="M147" s="14"/>
      <c r="V147" s="185"/>
    </row>
    <row r="148" spans="1:29" ht="18" customHeight="1">
      <c r="A148" s="184"/>
      <c r="B148" s="47" t="s">
        <v>396</v>
      </c>
      <c r="I148" s="120" t="s">
        <v>497</v>
      </c>
      <c r="J148" s="781">
        <v>2.7</v>
      </c>
      <c r="K148" s="782"/>
      <c r="L148" s="192" t="s">
        <v>333</v>
      </c>
      <c r="N148" s="14"/>
      <c r="V148" s="185"/>
    </row>
    <row r="149" spans="1:29" ht="18" customHeight="1">
      <c r="A149" s="184"/>
      <c r="B149" s="47" t="s">
        <v>398</v>
      </c>
      <c r="I149" s="120" t="s">
        <v>498</v>
      </c>
      <c r="J149" s="781">
        <v>900</v>
      </c>
      <c r="K149" s="782"/>
      <c r="L149" s="14" t="s">
        <v>305</v>
      </c>
      <c r="N149" s="14"/>
      <c r="V149" s="185"/>
      <c r="W149" s="30" t="s">
        <v>400</v>
      </c>
      <c r="AB149" s="785">
        <f>Q241</f>
        <v>43.744527506261619</v>
      </c>
      <c r="AC149" s="786"/>
    </row>
    <row r="150" spans="1:29" ht="18" customHeight="1">
      <c r="A150" s="184"/>
      <c r="B150" s="14" t="s">
        <v>401</v>
      </c>
      <c r="I150" s="120" t="s">
        <v>402</v>
      </c>
      <c r="J150" s="781">
        <v>10</v>
      </c>
      <c r="K150" s="782"/>
      <c r="L150" s="14" t="s">
        <v>403</v>
      </c>
      <c r="N150" s="14"/>
      <c r="V150" s="185"/>
    </row>
    <row r="151" spans="1:29" ht="18" customHeight="1">
      <c r="A151" s="184"/>
      <c r="V151" s="185"/>
    </row>
    <row r="152" spans="1:29" ht="18" customHeight="1">
      <c r="A152" s="193" t="s">
        <v>404</v>
      </c>
      <c r="V152" s="185"/>
    </row>
    <row r="153" spans="1:29" ht="18" customHeight="1">
      <c r="A153" s="184"/>
      <c r="V153" s="185"/>
    </row>
    <row r="154" spans="1:29" ht="18" customHeight="1">
      <c r="A154" s="184"/>
      <c r="B154" s="194" t="s">
        <v>405</v>
      </c>
      <c r="C154" s="195"/>
      <c r="D154" s="195" t="str">
        <f>T143</f>
        <v>RET670</v>
      </c>
      <c r="E154" s="196"/>
      <c r="F154" s="196"/>
      <c r="G154" s="196"/>
      <c r="H154" s="182" t="s">
        <v>406</v>
      </c>
      <c r="I154" s="183" t="s">
        <v>127</v>
      </c>
      <c r="J154" s="766">
        <f>J18</f>
        <v>0.02</v>
      </c>
      <c r="K154" s="958"/>
      <c r="L154" s="3" t="s">
        <v>157</v>
      </c>
      <c r="N154" s="197" t="s">
        <v>407</v>
      </c>
      <c r="V154" s="185"/>
    </row>
    <row r="155" spans="1:29" ht="18" customHeight="1">
      <c r="A155" s="184"/>
      <c r="B155" s="96" t="s">
        <v>405</v>
      </c>
      <c r="D155" s="30">
        <f>T144</f>
        <v>0</v>
      </c>
      <c r="H155" s="27"/>
      <c r="I155" s="177" t="s">
        <v>127</v>
      </c>
      <c r="J155" s="861">
        <f>J19</f>
        <v>0</v>
      </c>
      <c r="K155" s="989"/>
      <c r="L155" s="198" t="s">
        <v>157</v>
      </c>
      <c r="V155" s="185"/>
    </row>
    <row r="156" spans="1:29" ht="18" customHeight="1">
      <c r="A156" s="184"/>
      <c r="B156" s="96" t="s">
        <v>405</v>
      </c>
      <c r="D156" s="30">
        <f>T145</f>
        <v>0</v>
      </c>
      <c r="E156" s="14"/>
      <c r="G156" s="199"/>
      <c r="H156" s="27"/>
      <c r="I156" s="177" t="s">
        <v>127</v>
      </c>
      <c r="J156" s="696">
        <f>J20</f>
        <v>0</v>
      </c>
      <c r="K156" s="820"/>
      <c r="L156" s="202" t="s">
        <v>157</v>
      </c>
      <c r="N156" s="30" t="s">
        <v>408</v>
      </c>
      <c r="O156" s="27" t="s">
        <v>127</v>
      </c>
      <c r="P156" s="30" t="s">
        <v>409</v>
      </c>
      <c r="Q156" s="191" t="s">
        <v>410</v>
      </c>
      <c r="R156" s="244" t="s">
        <v>411</v>
      </c>
      <c r="S156" s="27" t="s">
        <v>315</v>
      </c>
      <c r="T156" s="30" t="s">
        <v>411</v>
      </c>
      <c r="U156" s="30" t="s">
        <v>350</v>
      </c>
      <c r="V156" s="185"/>
    </row>
    <row r="157" spans="1:29" ht="18" customHeight="1">
      <c r="A157" s="184"/>
      <c r="B157" s="184" t="s">
        <v>412</v>
      </c>
      <c r="H157" s="27" t="s">
        <v>599</v>
      </c>
      <c r="I157" s="177" t="s">
        <v>127</v>
      </c>
      <c r="J157" s="861">
        <f>J21</f>
        <v>1.1667743100000001</v>
      </c>
      <c r="K157" s="989"/>
      <c r="L157" s="203" t="s">
        <v>157</v>
      </c>
      <c r="O157" s="27" t="s">
        <v>127</v>
      </c>
      <c r="P157" s="204">
        <f>J158</f>
        <v>1.1867743100000001</v>
      </c>
      <c r="Q157" s="191" t="s">
        <v>410</v>
      </c>
      <c r="R157" s="27">
        <f>O146</f>
        <v>1</v>
      </c>
      <c r="S157" s="27" t="s">
        <v>315</v>
      </c>
      <c r="T157" s="27">
        <f>O146</f>
        <v>1</v>
      </c>
      <c r="U157" s="30" t="s">
        <v>350</v>
      </c>
      <c r="V157" s="185"/>
    </row>
    <row r="158" spans="1:29" ht="18" customHeight="1">
      <c r="A158" s="184"/>
      <c r="B158" s="205" t="s">
        <v>413</v>
      </c>
      <c r="C158" s="206"/>
      <c r="D158" s="206"/>
      <c r="E158" s="206"/>
      <c r="F158" s="207"/>
      <c r="G158" s="207"/>
      <c r="H158" s="190" t="s">
        <v>409</v>
      </c>
      <c r="I158" s="208" t="s">
        <v>127</v>
      </c>
      <c r="J158" s="766">
        <f>J154+J157</f>
        <v>1.1867743100000001</v>
      </c>
      <c r="K158" s="958"/>
      <c r="L158" s="210" t="s">
        <v>157</v>
      </c>
      <c r="O158" s="27" t="s">
        <v>127</v>
      </c>
      <c r="P158" s="795">
        <f>P157/(R157*T157)</f>
        <v>1.1867743100000001</v>
      </c>
      <c r="Q158" s="795"/>
      <c r="R158" s="192" t="s">
        <v>333</v>
      </c>
      <c r="V158" s="185"/>
    </row>
    <row r="159" spans="1:29" ht="18" customHeight="1">
      <c r="A159" s="184"/>
      <c r="V159" s="185"/>
    </row>
    <row r="160" spans="1:29" s="14" customFormat="1" ht="18" customHeight="1">
      <c r="A160" s="193" t="s">
        <v>600</v>
      </c>
      <c r="B160" s="5"/>
      <c r="C160" s="5"/>
      <c r="D160" s="5"/>
      <c r="E160" s="5"/>
      <c r="F160" s="5"/>
      <c r="G160" s="5"/>
      <c r="H160" s="212"/>
      <c r="I160" s="212"/>
      <c r="J160" s="5"/>
      <c r="K160" s="5"/>
      <c r="L160" s="5"/>
      <c r="M160" s="5"/>
      <c r="N160" s="5"/>
      <c r="O160" s="5"/>
      <c r="P160" s="103"/>
      <c r="Q160" s="212"/>
      <c r="R160" s="213"/>
      <c r="S160" s="214"/>
      <c r="T160" s="18"/>
      <c r="U160" s="18"/>
      <c r="V160" s="97"/>
    </row>
    <row r="161" spans="1:27" s="14" customFormat="1" ht="18" customHeight="1">
      <c r="A161" s="96"/>
      <c r="B161" s="47" t="s">
        <v>601</v>
      </c>
      <c r="C161" s="5"/>
      <c r="D161" s="5"/>
      <c r="E161" s="5"/>
      <c r="I161" s="215"/>
      <c r="M161" s="5"/>
      <c r="O161" s="103" t="s">
        <v>127</v>
      </c>
      <c r="P161" s="853">
        <v>100</v>
      </c>
      <c r="Q161" s="1271"/>
      <c r="R161" s="14" t="s">
        <v>602</v>
      </c>
      <c r="S161" s="214"/>
      <c r="T161" s="18"/>
      <c r="U161" s="18"/>
      <c r="V161" s="97"/>
    </row>
    <row r="162" spans="1:27" s="14" customFormat="1" ht="18" customHeight="1">
      <c r="A162" s="96"/>
      <c r="B162" s="47" t="s">
        <v>603</v>
      </c>
      <c r="C162" s="5"/>
      <c r="D162" s="5"/>
      <c r="E162" s="5"/>
      <c r="I162" s="215"/>
      <c r="M162" s="5"/>
      <c r="O162" s="103" t="s">
        <v>127</v>
      </c>
      <c r="P162" s="853">
        <f>P26</f>
        <v>25</v>
      </c>
      <c r="Q162" s="1271"/>
      <c r="R162" s="14" t="s">
        <v>604</v>
      </c>
      <c r="S162" s="214"/>
      <c r="T162" s="18"/>
      <c r="U162" s="18"/>
      <c r="V162" s="97"/>
    </row>
    <row r="163" spans="1:27" s="14" customFormat="1" ht="18" customHeight="1">
      <c r="A163" s="96"/>
      <c r="B163" s="47" t="s">
        <v>605</v>
      </c>
      <c r="C163" s="5"/>
      <c r="D163" s="5"/>
      <c r="E163" s="5"/>
      <c r="N163" s="120" t="s">
        <v>606</v>
      </c>
      <c r="O163" s="103" t="s">
        <v>607</v>
      </c>
      <c r="P163" s="854">
        <f>P27</f>
        <v>132</v>
      </c>
      <c r="Q163" s="1270"/>
      <c r="R163" s="14" t="s">
        <v>163</v>
      </c>
      <c r="S163" s="214"/>
      <c r="T163" s="18"/>
      <c r="U163" s="18"/>
      <c r="V163" s="97"/>
    </row>
    <row r="164" spans="1:27" s="14" customFormat="1" ht="18" customHeight="1">
      <c r="A164" s="216"/>
      <c r="B164" s="212"/>
      <c r="C164" s="212"/>
      <c r="D164" s="212"/>
      <c r="E164" s="212"/>
      <c r="T164" s="18"/>
      <c r="U164" s="18"/>
      <c r="V164" s="97"/>
    </row>
    <row r="165" spans="1:27" s="14" customFormat="1" ht="18" customHeight="1">
      <c r="A165" s="96"/>
      <c r="B165" s="14" t="s">
        <v>608</v>
      </c>
      <c r="C165" s="213"/>
      <c r="D165" s="213"/>
      <c r="E165" s="213"/>
      <c r="H165" s="120" t="s">
        <v>609</v>
      </c>
      <c r="I165" s="28" t="s">
        <v>127</v>
      </c>
      <c r="J165" s="689" t="s">
        <v>610</v>
      </c>
      <c r="K165" s="689"/>
      <c r="L165" s="28" t="s">
        <v>315</v>
      </c>
      <c r="M165" s="217">
        <v>1000</v>
      </c>
      <c r="N165" s="102" t="s">
        <v>342</v>
      </c>
      <c r="O165" s="14" t="s">
        <v>611</v>
      </c>
      <c r="P165" s="28" t="s">
        <v>315</v>
      </c>
      <c r="Q165" s="28" t="s">
        <v>606</v>
      </c>
      <c r="R165" s="47"/>
      <c r="T165" s="18"/>
      <c r="U165" s="18"/>
      <c r="V165" s="97"/>
    </row>
    <row r="166" spans="1:27" s="14" customFormat="1" ht="18" customHeight="1">
      <c r="A166" s="216"/>
      <c r="B166" s="213"/>
      <c r="C166" s="213"/>
      <c r="D166" s="213"/>
      <c r="E166" s="213"/>
      <c r="F166" s="212"/>
      <c r="G166" s="212"/>
      <c r="H166" s="28"/>
      <c r="I166" s="28" t="s">
        <v>127</v>
      </c>
      <c r="J166" s="689">
        <f>P161</f>
        <v>100</v>
      </c>
      <c r="K166" s="689"/>
      <c r="L166" s="28" t="s">
        <v>315</v>
      </c>
      <c r="M166" s="217">
        <v>1000</v>
      </c>
      <c r="N166" s="102" t="s">
        <v>342</v>
      </c>
      <c r="O166" s="14" t="s">
        <v>611</v>
      </c>
      <c r="P166" s="28" t="s">
        <v>315</v>
      </c>
      <c r="Q166" s="28">
        <f>P163</f>
        <v>132</v>
      </c>
      <c r="R166" s="47"/>
      <c r="T166" s="18"/>
      <c r="U166" s="18"/>
      <c r="V166" s="97"/>
    </row>
    <row r="167" spans="1:27" s="14" customFormat="1" ht="18" customHeight="1">
      <c r="A167" s="216"/>
      <c r="B167" s="212"/>
      <c r="C167" s="212"/>
      <c r="D167" s="212"/>
      <c r="E167" s="212"/>
      <c r="F167" s="212"/>
      <c r="G167" s="212"/>
      <c r="I167" s="28" t="s">
        <v>127</v>
      </c>
      <c r="J167" s="692">
        <f>(P161*1000)/(SQRT(3)*P163)</f>
        <v>437.38656756789834</v>
      </c>
      <c r="K167" s="692"/>
      <c r="L167" s="14" t="s">
        <v>8</v>
      </c>
      <c r="M167" s="120"/>
      <c r="N167" s="120"/>
      <c r="O167" s="120"/>
      <c r="T167" s="18"/>
      <c r="U167" s="18"/>
      <c r="V167" s="97"/>
    </row>
    <row r="168" spans="1:27" s="14" customFormat="1" ht="18" customHeight="1">
      <c r="A168" s="216"/>
      <c r="B168" s="212"/>
      <c r="C168" s="212"/>
      <c r="D168" s="212"/>
      <c r="E168" s="212"/>
      <c r="G168" s="212"/>
      <c r="H168" s="28"/>
      <c r="I168" s="103"/>
      <c r="J168" s="28"/>
      <c r="M168" s="212"/>
      <c r="N168" s="219"/>
      <c r="O168" s="212"/>
      <c r="T168" s="18"/>
      <c r="U168" s="18"/>
      <c r="V168" s="97"/>
    </row>
    <row r="169" spans="1:27" s="14" customFormat="1" ht="18" customHeight="1">
      <c r="A169" s="147" t="s">
        <v>629</v>
      </c>
      <c r="B169" s="5"/>
      <c r="C169" s="5"/>
      <c r="D169" s="5"/>
      <c r="E169" s="5"/>
      <c r="F169" s="212"/>
      <c r="G169" s="212"/>
      <c r="H169" s="5"/>
      <c r="I169" s="5"/>
      <c r="J169" s="5"/>
      <c r="K169" s="5"/>
      <c r="L169" s="103"/>
      <c r="M169" s="103"/>
      <c r="N169" s="103"/>
      <c r="O169" s="103"/>
      <c r="P169" s="212"/>
      <c r="Q169" s="213"/>
      <c r="S169" s="220"/>
      <c r="T169" s="18"/>
      <c r="U169" s="18"/>
      <c r="V169" s="97"/>
    </row>
    <row r="170" spans="1:27" s="14" customFormat="1" ht="18" customHeight="1">
      <c r="A170" s="147"/>
      <c r="B170" s="5"/>
      <c r="C170" s="5"/>
      <c r="D170" s="5"/>
      <c r="E170" s="5"/>
      <c r="F170" s="212"/>
      <c r="G170" s="212"/>
      <c r="H170" s="5"/>
      <c r="I170" s="5"/>
      <c r="J170" s="5"/>
      <c r="K170" s="5"/>
      <c r="L170" s="103"/>
      <c r="M170" s="103"/>
      <c r="N170" s="103"/>
      <c r="O170" s="103"/>
      <c r="P170" s="212"/>
      <c r="Q170" s="213"/>
      <c r="S170" s="214"/>
      <c r="T170" s="18"/>
      <c r="U170" s="18"/>
      <c r="V170" s="97"/>
    </row>
    <row r="171" spans="1:27" ht="18" customHeight="1">
      <c r="A171" s="184"/>
      <c r="B171" s="14" t="s">
        <v>612</v>
      </c>
      <c r="C171" s="14"/>
      <c r="D171" s="14"/>
      <c r="E171" s="14"/>
      <c r="M171" s="120" t="s">
        <v>613</v>
      </c>
      <c r="N171" s="28" t="s">
        <v>127</v>
      </c>
      <c r="O171" s="689" t="s">
        <v>609</v>
      </c>
      <c r="P171" s="716"/>
      <c r="Q171" s="221" t="s">
        <v>630</v>
      </c>
      <c r="R171" s="221">
        <v>16</v>
      </c>
      <c r="S171" s="214"/>
      <c r="V171" s="185"/>
    </row>
    <row r="172" spans="1:27" ht="18" customHeight="1">
      <c r="A172" s="96"/>
      <c r="B172" s="5"/>
      <c r="C172" s="5"/>
      <c r="D172" s="5"/>
      <c r="E172" s="5"/>
      <c r="M172" s="250"/>
      <c r="N172" s="28" t="s">
        <v>127</v>
      </c>
      <c r="O172" s="692">
        <f>+J167</f>
        <v>437.38656756789834</v>
      </c>
      <c r="P172" s="1214"/>
      <c r="Q172" s="221" t="s">
        <v>630</v>
      </c>
      <c r="R172" s="221">
        <v>16</v>
      </c>
      <c r="S172" s="214"/>
      <c r="V172" s="185"/>
    </row>
    <row r="173" spans="1:27" ht="18" customHeight="1">
      <c r="A173" s="96"/>
      <c r="B173" s="5"/>
      <c r="C173" s="5"/>
      <c r="D173" s="5"/>
      <c r="E173" s="5"/>
      <c r="M173" s="120" t="s">
        <v>613</v>
      </c>
      <c r="N173" s="28" t="s">
        <v>127</v>
      </c>
      <c r="O173" s="689">
        <f>O172*R172</f>
        <v>6998.1850810863734</v>
      </c>
      <c r="P173" s="716"/>
      <c r="Q173" s="241" t="s">
        <v>8</v>
      </c>
      <c r="R173" s="14"/>
      <c r="S173" s="214"/>
      <c r="V173" s="185"/>
      <c r="AA173" s="30">
        <f>O173/3000</f>
        <v>2.3327283603621245</v>
      </c>
    </row>
    <row r="174" spans="1:27" ht="18" customHeight="1">
      <c r="A174" s="96"/>
      <c r="B174" s="5"/>
      <c r="C174" s="5"/>
      <c r="D174" s="5"/>
      <c r="E174" s="5"/>
      <c r="M174" s="212"/>
      <c r="N174" s="212"/>
      <c r="O174" s="103"/>
      <c r="Q174" s="223"/>
      <c r="R174" s="14"/>
      <c r="S174" s="214"/>
      <c r="V174" s="185"/>
    </row>
    <row r="175" spans="1:27" ht="18" customHeight="1">
      <c r="A175" s="678" t="s">
        <v>614</v>
      </c>
      <c r="B175" s="1207"/>
      <c r="C175" s="1207"/>
      <c r="D175" s="1207"/>
      <c r="E175" s="1207"/>
      <c r="F175" s="1207"/>
      <c r="G175" s="1207"/>
      <c r="H175" s="1207"/>
      <c r="I175" s="1207"/>
      <c r="J175" s="1207"/>
      <c r="K175" s="1207"/>
      <c r="L175" s="1207"/>
      <c r="M175" s="1207"/>
      <c r="N175" s="1207"/>
      <c r="O175" s="1207"/>
      <c r="P175" s="1207"/>
      <c r="Q175" s="1207"/>
      <c r="R175" s="1207"/>
      <c r="S175" s="1207"/>
      <c r="T175" s="1207"/>
      <c r="U175" s="1207"/>
      <c r="V175" s="1208"/>
      <c r="X175" s="14" t="s">
        <v>615</v>
      </c>
    </row>
    <row r="176" spans="1:27" ht="18" customHeight="1">
      <c r="A176" s="1209"/>
      <c r="B176" s="1207"/>
      <c r="C176" s="1207"/>
      <c r="D176" s="1207"/>
      <c r="E176" s="1207"/>
      <c r="F176" s="1207"/>
      <c r="G176" s="1207"/>
      <c r="H176" s="1207"/>
      <c r="I176" s="1207"/>
      <c r="J176" s="1207"/>
      <c r="K176" s="1207"/>
      <c r="L176" s="1207"/>
      <c r="M176" s="1207"/>
      <c r="N176" s="1207"/>
      <c r="O176" s="1207"/>
      <c r="P176" s="1207"/>
      <c r="Q176" s="1207"/>
      <c r="R176" s="1207"/>
      <c r="S176" s="1207"/>
      <c r="T176" s="1207"/>
      <c r="U176" s="1207"/>
      <c r="V176" s="1208"/>
    </row>
    <row r="177" spans="1:22" ht="18" customHeight="1">
      <c r="A177" s="231"/>
      <c r="B177" s="232"/>
      <c r="C177" s="232"/>
      <c r="D177" s="232"/>
      <c r="E177" s="232"/>
      <c r="F177" s="232"/>
      <c r="G177" s="232"/>
      <c r="H177" s="232"/>
      <c r="I177" s="232"/>
      <c r="J177" s="232"/>
      <c r="K177" s="232"/>
      <c r="L177" s="232"/>
      <c r="M177" s="232"/>
      <c r="N177" s="232"/>
      <c r="O177" s="232"/>
      <c r="P177" s="232"/>
      <c r="Q177" s="232"/>
      <c r="R177" s="232"/>
      <c r="S177" s="232"/>
      <c r="T177" s="232"/>
      <c r="U177" s="232"/>
      <c r="V177" s="233"/>
    </row>
    <row r="178" spans="1:22" ht="18" customHeight="1">
      <c r="A178" s="231"/>
      <c r="B178" s="232"/>
      <c r="C178" s="232"/>
      <c r="D178" s="232"/>
      <c r="E178" s="232"/>
      <c r="F178" s="232"/>
      <c r="G178" s="232"/>
      <c r="H178" s="232"/>
      <c r="I178" s="232"/>
      <c r="J178" s="232"/>
      <c r="K178" s="232"/>
      <c r="L178" s="232"/>
      <c r="M178" s="232"/>
      <c r="N178" s="232"/>
      <c r="O178" s="232"/>
      <c r="P178" s="232"/>
      <c r="Q178" s="232"/>
      <c r="R178" s="232"/>
      <c r="S178" s="232"/>
      <c r="T178" s="232"/>
      <c r="U178" s="232"/>
      <c r="V178" s="233"/>
    </row>
    <row r="179" spans="1:22" ht="18" customHeight="1">
      <c r="A179" s="231"/>
      <c r="B179" s="232"/>
      <c r="C179" s="232"/>
      <c r="D179" s="232"/>
      <c r="E179" s="232"/>
      <c r="F179" s="232"/>
      <c r="G179" s="232"/>
      <c r="H179" s="232"/>
      <c r="I179" s="232"/>
      <c r="J179" s="232"/>
      <c r="K179" s="232"/>
      <c r="L179" s="232"/>
      <c r="M179" s="232"/>
      <c r="N179" s="232"/>
      <c r="O179" s="232"/>
      <c r="P179" s="232"/>
      <c r="Q179" s="232"/>
      <c r="R179" s="232"/>
      <c r="S179" s="232"/>
      <c r="T179" s="232"/>
      <c r="U179" s="232"/>
      <c r="V179" s="233"/>
    </row>
    <row r="180" spans="1:22" ht="18" customHeight="1">
      <c r="A180" s="231"/>
      <c r="B180" s="232"/>
      <c r="C180" s="232"/>
      <c r="D180" s="232"/>
      <c r="E180" s="232"/>
      <c r="F180" s="232"/>
      <c r="G180" s="232"/>
      <c r="H180" s="232"/>
      <c r="I180" s="232"/>
      <c r="J180" s="232"/>
      <c r="K180" s="232"/>
      <c r="L180" s="232"/>
      <c r="M180" s="232"/>
      <c r="N180" s="232"/>
      <c r="O180" s="232"/>
      <c r="P180" s="232"/>
      <c r="Q180" s="232"/>
      <c r="R180" s="232"/>
      <c r="S180" s="232"/>
      <c r="T180" s="232"/>
      <c r="U180" s="232"/>
      <c r="V180" s="233"/>
    </row>
    <row r="181" spans="1:22" s="14" customFormat="1" ht="18" customHeight="1">
      <c r="A181" s="194"/>
      <c r="B181" s="195"/>
      <c r="C181" s="195"/>
      <c r="D181" s="195"/>
      <c r="E181" s="195"/>
      <c r="F181" s="195"/>
      <c r="G181" s="195"/>
      <c r="H181" s="195"/>
      <c r="I181" s="195"/>
      <c r="J181" s="195"/>
      <c r="K181" s="195"/>
      <c r="L181" s="195"/>
      <c r="M181" s="195"/>
      <c r="N181" s="195"/>
      <c r="O181" s="195"/>
      <c r="P181" s="195"/>
      <c r="Q181" s="224"/>
      <c r="R181" s="182"/>
      <c r="S181" s="225"/>
      <c r="T181" s="195"/>
      <c r="U181" s="195"/>
      <c r="V181" s="134"/>
    </row>
    <row r="182" spans="1:22" ht="18" customHeight="1">
      <c r="A182" s="226"/>
      <c r="B182" s="227"/>
      <c r="C182" s="227"/>
      <c r="D182" s="227"/>
      <c r="E182" s="227"/>
      <c r="F182" s="227"/>
      <c r="G182" s="227"/>
      <c r="H182" s="227"/>
      <c r="I182" s="227"/>
      <c r="J182" s="227"/>
      <c r="K182" s="227"/>
      <c r="L182" s="227"/>
      <c r="M182" s="227"/>
      <c r="N182" s="227"/>
      <c r="O182" s="227"/>
      <c r="P182" s="227"/>
      <c r="Q182" s="227"/>
      <c r="R182" s="227"/>
      <c r="S182" s="227"/>
      <c r="T182" s="227"/>
      <c r="U182" s="227"/>
      <c r="V182" s="228"/>
    </row>
    <row r="183" spans="1:22" ht="18" customHeight="1">
      <c r="A183" s="799" t="s">
        <v>417</v>
      </c>
      <c r="B183" s="802"/>
      <c r="C183" s="802"/>
      <c r="D183" s="689">
        <v>30</v>
      </c>
      <c r="E183" s="689" t="s">
        <v>315</v>
      </c>
      <c r="F183" s="689" t="s">
        <v>609</v>
      </c>
      <c r="G183" s="684"/>
      <c r="H183" s="689" t="s">
        <v>315</v>
      </c>
      <c r="I183" s="708" t="s">
        <v>411</v>
      </c>
      <c r="J183" s="828"/>
      <c r="K183" s="689" t="s">
        <v>315</v>
      </c>
      <c r="L183" s="802" t="s">
        <v>419</v>
      </c>
      <c r="M183" s="716" t="s">
        <v>420</v>
      </c>
      <c r="N183" s="729" t="s">
        <v>347</v>
      </c>
      <c r="O183" s="716" t="s">
        <v>408</v>
      </c>
      <c r="P183" s="689" t="s">
        <v>347</v>
      </c>
      <c r="Q183" s="759" t="s">
        <v>421</v>
      </c>
      <c r="R183" s="797"/>
      <c r="S183" s="797"/>
      <c r="T183" s="798" t="s">
        <v>350</v>
      </c>
      <c r="U183" s="230" t="s">
        <v>422</v>
      </c>
      <c r="V183" s="97"/>
    </row>
    <row r="184" spans="1:22" ht="18" customHeight="1">
      <c r="A184" s="827"/>
      <c r="B184" s="802"/>
      <c r="C184" s="802"/>
      <c r="D184" s="689"/>
      <c r="E184" s="689"/>
      <c r="F184" s="684"/>
      <c r="G184" s="684"/>
      <c r="H184" s="689"/>
      <c r="I184" s="689" t="s">
        <v>423</v>
      </c>
      <c r="J184" s="723"/>
      <c r="K184" s="689"/>
      <c r="L184" s="802"/>
      <c r="M184" s="716"/>
      <c r="N184" s="729"/>
      <c r="O184" s="716"/>
      <c r="P184" s="689"/>
      <c r="Q184" s="28" t="s">
        <v>146</v>
      </c>
      <c r="R184" s="28" t="s">
        <v>315</v>
      </c>
      <c r="S184" s="28" t="s">
        <v>146</v>
      </c>
      <c r="T184" s="798"/>
      <c r="U184" s="14"/>
      <c r="V184" s="97"/>
    </row>
    <row r="185" spans="1:22" ht="18" customHeight="1">
      <c r="A185" s="184"/>
      <c r="V185" s="185"/>
    </row>
    <row r="186" spans="1:22" ht="18" customHeight="1">
      <c r="A186" s="799" t="s">
        <v>417</v>
      </c>
      <c r="B186" s="802"/>
      <c r="C186" s="802"/>
      <c r="D186" s="689">
        <v>2</v>
      </c>
      <c r="E186" s="689" t="s">
        <v>315</v>
      </c>
      <c r="F186" s="689" t="s">
        <v>613</v>
      </c>
      <c r="G186" s="684"/>
      <c r="H186" s="689" t="s">
        <v>315</v>
      </c>
      <c r="I186" s="708" t="s">
        <v>411</v>
      </c>
      <c r="J186" s="828"/>
      <c r="K186" s="689" t="s">
        <v>315</v>
      </c>
      <c r="L186" s="802" t="s">
        <v>419</v>
      </c>
      <c r="M186" s="716" t="s">
        <v>420</v>
      </c>
      <c r="N186" s="729" t="s">
        <v>347</v>
      </c>
      <c r="O186" s="716" t="s">
        <v>408</v>
      </c>
      <c r="P186" s="689" t="s">
        <v>347</v>
      </c>
      <c r="Q186" s="759" t="s">
        <v>421</v>
      </c>
      <c r="R186" s="797"/>
      <c r="S186" s="797"/>
      <c r="T186" s="798" t="s">
        <v>350</v>
      </c>
      <c r="U186" s="230" t="s">
        <v>426</v>
      </c>
      <c r="V186" s="97"/>
    </row>
    <row r="187" spans="1:22" ht="18" customHeight="1">
      <c r="A187" s="827"/>
      <c r="B187" s="802"/>
      <c r="C187" s="802"/>
      <c r="D187" s="689"/>
      <c r="E187" s="689"/>
      <c r="F187" s="684"/>
      <c r="G187" s="684"/>
      <c r="H187" s="689"/>
      <c r="I187" s="689" t="s">
        <v>423</v>
      </c>
      <c r="J187" s="723"/>
      <c r="K187" s="689"/>
      <c r="L187" s="802"/>
      <c r="M187" s="716"/>
      <c r="N187" s="729"/>
      <c r="O187" s="716"/>
      <c r="P187" s="689"/>
      <c r="Q187" s="28" t="s">
        <v>146</v>
      </c>
      <c r="R187" s="28" t="s">
        <v>315</v>
      </c>
      <c r="S187" s="28" t="s">
        <v>146</v>
      </c>
      <c r="T187" s="798"/>
      <c r="U187" s="14"/>
      <c r="V187" s="97"/>
    </row>
    <row r="188" spans="1:22" ht="18" customHeight="1">
      <c r="A188" s="184"/>
      <c r="V188" s="185"/>
    </row>
    <row r="189" spans="1:22" ht="18" hidden="1" customHeight="1">
      <c r="A189" s="678" t="s">
        <v>616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2"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2" ht="18" hidden="1" customHeight="1">
      <c r="A191" s="231"/>
      <c r="B191" s="232"/>
      <c r="C191" s="232"/>
      <c r="D191" s="232"/>
      <c r="E191" s="232"/>
      <c r="F191" s="232"/>
      <c r="G191" s="232"/>
      <c r="H191" s="232"/>
      <c r="I191" s="232"/>
      <c r="J191" s="232"/>
      <c r="K191" s="232"/>
      <c r="L191" s="232"/>
      <c r="M191" s="232"/>
      <c r="N191" s="232"/>
      <c r="O191" s="232"/>
      <c r="P191" s="232"/>
      <c r="Q191" s="232"/>
      <c r="R191" s="232"/>
      <c r="S191" s="232"/>
      <c r="T191" s="232"/>
      <c r="U191" s="232"/>
      <c r="V191" s="233"/>
    </row>
    <row r="192" spans="1:22" ht="18" hidden="1" customHeight="1">
      <c r="A192" s="799" t="s">
        <v>417</v>
      </c>
      <c r="B192" s="802"/>
      <c r="C192" s="802"/>
      <c r="D192" s="689"/>
      <c r="E192" s="689"/>
      <c r="F192" s="689" t="s">
        <v>617</v>
      </c>
      <c r="G192" s="684"/>
      <c r="H192" s="689" t="s">
        <v>315</v>
      </c>
      <c r="I192" s="708" t="s">
        <v>411</v>
      </c>
      <c r="J192" s="828"/>
      <c r="K192" s="689" t="s">
        <v>315</v>
      </c>
      <c r="L192" s="802" t="s">
        <v>419</v>
      </c>
      <c r="M192" s="716" t="s">
        <v>420</v>
      </c>
      <c r="N192" s="729" t="s">
        <v>347</v>
      </c>
      <c r="O192" s="716" t="s">
        <v>408</v>
      </c>
      <c r="P192" s="689" t="s">
        <v>347</v>
      </c>
      <c r="Q192" s="759" t="s">
        <v>421</v>
      </c>
      <c r="R192" s="797"/>
      <c r="S192" s="797"/>
      <c r="T192" s="798" t="s">
        <v>350</v>
      </c>
      <c r="U192" s="230" t="s">
        <v>618</v>
      </c>
      <c r="V192" s="97"/>
    </row>
    <row r="193" spans="1:22" ht="18" hidden="1" customHeight="1">
      <c r="A193" s="827"/>
      <c r="B193" s="802"/>
      <c r="C193" s="802"/>
      <c r="D193" s="689"/>
      <c r="E193" s="689"/>
      <c r="F193" s="684"/>
      <c r="G193" s="684"/>
      <c r="H193" s="689"/>
      <c r="I193" s="689" t="s">
        <v>423</v>
      </c>
      <c r="J193" s="723"/>
      <c r="K193" s="689"/>
      <c r="L193" s="802"/>
      <c r="M193" s="716"/>
      <c r="N193" s="729"/>
      <c r="O193" s="716"/>
      <c r="P193" s="689"/>
      <c r="Q193" s="28" t="s">
        <v>146</v>
      </c>
      <c r="R193" s="28" t="s">
        <v>315</v>
      </c>
      <c r="S193" s="28" t="s">
        <v>146</v>
      </c>
      <c r="T193" s="798"/>
      <c r="U193" s="14"/>
      <c r="V193" s="97"/>
    </row>
    <row r="194" spans="1:22" ht="18" hidden="1" customHeight="1">
      <c r="A194" s="96"/>
      <c r="B194" s="14"/>
      <c r="C194" s="14"/>
      <c r="D194" s="28"/>
      <c r="E194" s="28"/>
      <c r="F194" s="27"/>
      <c r="G194" s="27"/>
      <c r="H194" s="28"/>
      <c r="I194" s="28"/>
      <c r="K194" s="28"/>
      <c r="L194" s="120"/>
      <c r="M194" s="14"/>
      <c r="N194" s="102"/>
      <c r="O194" s="14"/>
      <c r="P194" s="28"/>
      <c r="Q194" s="28"/>
      <c r="R194" s="28"/>
      <c r="S194" s="28"/>
      <c r="T194" s="40"/>
      <c r="U194" s="14"/>
      <c r="V194" s="97"/>
    </row>
    <row r="195" spans="1:22" ht="18" hidden="1" customHeight="1">
      <c r="A195" s="184"/>
      <c r="H195" s="30" t="s">
        <v>619</v>
      </c>
      <c r="M195" s="854" t="str">
        <f>M59</f>
        <v>N</v>
      </c>
      <c r="N195" s="831"/>
      <c r="V195" s="185"/>
    </row>
    <row r="196" spans="1:22" ht="18"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customHeight="1">
      <c r="A197" s="184"/>
      <c r="B197" s="14" t="s">
        <v>427</v>
      </c>
      <c r="C197" s="14"/>
      <c r="D197" s="103"/>
      <c r="E197" s="103"/>
      <c r="F197" s="14"/>
      <c r="G197" s="14"/>
      <c r="H197" s="5"/>
      <c r="I197" s="5"/>
      <c r="J197" s="5"/>
      <c r="P197" s="120" t="s">
        <v>428</v>
      </c>
      <c r="V197" s="185"/>
    </row>
    <row r="198" spans="1:22" ht="18" customHeight="1">
      <c r="A198" s="184"/>
      <c r="B198" s="14" t="s">
        <v>429</v>
      </c>
      <c r="C198" s="14"/>
      <c r="D198" s="103"/>
      <c r="E198" s="103"/>
      <c r="F198" s="14"/>
      <c r="G198" s="14"/>
      <c r="H198" s="5"/>
      <c r="I198" s="5"/>
      <c r="J198" s="5"/>
      <c r="P198" s="120" t="s">
        <v>430</v>
      </c>
      <c r="Q198" s="234" t="s">
        <v>127</v>
      </c>
      <c r="R198" s="684">
        <f>J146</f>
        <v>1000</v>
      </c>
      <c r="S198" s="684"/>
      <c r="T198" s="14" t="s">
        <v>8</v>
      </c>
      <c r="V198" s="185"/>
    </row>
    <row r="199" spans="1:22" ht="18" customHeight="1">
      <c r="A199" s="184"/>
      <c r="B199" s="14" t="s">
        <v>621</v>
      </c>
      <c r="C199" s="14"/>
      <c r="D199" s="14"/>
      <c r="E199" s="14"/>
      <c r="F199" s="14"/>
      <c r="G199" s="14"/>
      <c r="H199" s="14"/>
      <c r="I199" s="14"/>
      <c r="J199" s="14"/>
      <c r="P199" s="120" t="s">
        <v>609</v>
      </c>
      <c r="Q199" s="234" t="s">
        <v>127</v>
      </c>
      <c r="R199" s="684">
        <f>J167</f>
        <v>437.38656756789834</v>
      </c>
      <c r="S199" s="684"/>
      <c r="T199" s="14" t="s">
        <v>8</v>
      </c>
      <c r="V199" s="185"/>
    </row>
    <row r="200" spans="1:22" ht="18" customHeight="1">
      <c r="A200" s="184"/>
      <c r="B200" s="14" t="s">
        <v>622</v>
      </c>
      <c r="C200" s="14"/>
      <c r="D200" s="14"/>
      <c r="E200" s="14"/>
      <c r="F200" s="14"/>
      <c r="G200" s="14"/>
      <c r="H200" s="14"/>
      <c r="I200" s="14"/>
      <c r="J200" s="14"/>
      <c r="P200" s="120" t="s">
        <v>613</v>
      </c>
      <c r="Q200" s="234" t="s">
        <v>127</v>
      </c>
      <c r="R200" s="684">
        <f>O173</f>
        <v>6998.1850810863734</v>
      </c>
      <c r="S200" s="684"/>
      <c r="T200" s="14" t="s">
        <v>8</v>
      </c>
      <c r="V200" s="185"/>
    </row>
    <row r="201" spans="1:22" ht="18" customHeight="1">
      <c r="A201" s="184"/>
      <c r="B201" s="235" t="s">
        <v>623</v>
      </c>
      <c r="C201" s="14"/>
      <c r="D201" s="14"/>
      <c r="E201" s="14"/>
      <c r="F201" s="14"/>
      <c r="G201" s="14"/>
      <c r="H201" s="14"/>
      <c r="I201" s="14"/>
      <c r="J201" s="14"/>
      <c r="P201" s="120"/>
      <c r="Q201" s="236"/>
      <c r="R201" s="27"/>
      <c r="S201" s="27"/>
      <c r="T201" s="14"/>
      <c r="V201" s="185"/>
    </row>
    <row r="202" spans="1:22" ht="18" customHeight="1">
      <c r="A202" s="184"/>
      <c r="B202" s="14" t="s">
        <v>622</v>
      </c>
      <c r="C202" s="14"/>
      <c r="D202" s="14"/>
      <c r="E202" s="14"/>
      <c r="F202" s="14"/>
      <c r="G202" s="14"/>
      <c r="H202" s="14"/>
      <c r="I202" s="14"/>
      <c r="J202" s="14"/>
      <c r="P202" s="120" t="s">
        <v>617</v>
      </c>
      <c r="Q202" s="234" t="s">
        <v>127</v>
      </c>
      <c r="R202" s="684" t="str">
        <f>R66</f>
        <v>-</v>
      </c>
      <c r="S202" s="684"/>
      <c r="T202" s="14" t="s">
        <v>8</v>
      </c>
      <c r="V202" s="185"/>
    </row>
    <row r="203" spans="1:22" ht="18" customHeight="1">
      <c r="A203" s="184"/>
      <c r="B203" s="235" t="s">
        <v>624</v>
      </c>
      <c r="C203" s="14"/>
      <c r="D203" s="14"/>
      <c r="E203" s="14"/>
      <c r="F203" s="14"/>
      <c r="G203" s="14"/>
      <c r="H203" s="14"/>
      <c r="I203" s="14"/>
      <c r="J203" s="14"/>
      <c r="R203" s="27"/>
      <c r="S203" s="27"/>
      <c r="T203" s="14"/>
      <c r="V203" s="185"/>
    </row>
    <row r="204" spans="1:22" ht="18" customHeight="1">
      <c r="A204" s="184"/>
      <c r="B204" s="14" t="s">
        <v>435</v>
      </c>
      <c r="C204" s="14"/>
      <c r="D204" s="103"/>
      <c r="E204" s="103"/>
      <c r="F204" s="14"/>
      <c r="G204" s="14"/>
      <c r="H204" s="5"/>
      <c r="I204" s="5"/>
      <c r="J204" s="5"/>
      <c r="P204" s="120" t="s">
        <v>436</v>
      </c>
      <c r="Q204" s="234" t="s">
        <v>127</v>
      </c>
      <c r="R204" s="684">
        <f>O146</f>
        <v>1</v>
      </c>
      <c r="S204" s="684"/>
      <c r="T204" s="14" t="s">
        <v>8</v>
      </c>
      <c r="V204" s="185"/>
    </row>
    <row r="205" spans="1:22" ht="18" customHeight="1">
      <c r="A205" s="184"/>
      <c r="B205" s="14" t="s">
        <v>437</v>
      </c>
      <c r="C205" s="14"/>
      <c r="D205" s="103"/>
      <c r="E205" s="103"/>
      <c r="F205" s="14"/>
      <c r="G205" s="14"/>
      <c r="H205" s="5"/>
      <c r="I205" s="5"/>
      <c r="J205" s="5"/>
      <c r="P205" s="120" t="s">
        <v>438</v>
      </c>
      <c r="Q205" s="234" t="s">
        <v>127</v>
      </c>
      <c r="R205" s="684">
        <f>R69</f>
        <v>1</v>
      </c>
      <c r="S205" s="684"/>
      <c r="T205" s="14" t="s">
        <v>8</v>
      </c>
      <c r="V205" s="185"/>
    </row>
    <row r="206" spans="1:22" ht="18" customHeight="1">
      <c r="A206" s="184"/>
      <c r="B206" s="14" t="s">
        <v>439</v>
      </c>
      <c r="C206" s="14"/>
      <c r="D206" s="103"/>
      <c r="E206" s="103"/>
      <c r="F206" s="14"/>
      <c r="G206" s="14"/>
      <c r="H206" s="5"/>
      <c r="I206" s="5"/>
      <c r="J206" s="5"/>
      <c r="P206" s="120" t="s">
        <v>440</v>
      </c>
      <c r="Q206" s="234" t="s">
        <v>127</v>
      </c>
      <c r="R206" s="684">
        <f>J148</f>
        <v>2.7</v>
      </c>
      <c r="S206" s="684"/>
      <c r="T206" s="192" t="s">
        <v>333</v>
      </c>
      <c r="V206" s="185"/>
    </row>
    <row r="207" spans="1:22" ht="18" customHeight="1">
      <c r="A207" s="184"/>
      <c r="B207" s="14" t="s">
        <v>625</v>
      </c>
      <c r="C207" s="14"/>
      <c r="D207" s="14"/>
      <c r="E207" s="14"/>
      <c r="F207" s="14"/>
      <c r="G207" s="14"/>
      <c r="H207" s="14"/>
      <c r="I207" s="14"/>
      <c r="J207" s="14"/>
      <c r="P207" s="237" t="s">
        <v>441</v>
      </c>
      <c r="Q207" s="234" t="s">
        <v>127</v>
      </c>
      <c r="R207" s="795">
        <f>P158</f>
        <v>1.1867743100000001</v>
      </c>
      <c r="S207" s="684"/>
      <c r="T207" s="192" t="s">
        <v>333</v>
      </c>
      <c r="V207" s="185"/>
    </row>
    <row r="208" spans="1:22" ht="18" customHeight="1">
      <c r="A208" s="184"/>
      <c r="B208" s="40" t="s">
        <v>626</v>
      </c>
      <c r="C208" s="14"/>
      <c r="D208" s="14"/>
      <c r="E208" s="14"/>
      <c r="F208" s="14"/>
      <c r="G208" s="14"/>
      <c r="H208" s="5"/>
      <c r="I208" s="5"/>
      <c r="J208" s="5"/>
      <c r="P208" s="237" t="s">
        <v>443</v>
      </c>
      <c r="Q208" s="234" t="s">
        <v>127</v>
      </c>
      <c r="R208" s="795">
        <f>J154</f>
        <v>0.02</v>
      </c>
      <c r="S208" s="684"/>
      <c r="T208" s="14" t="s">
        <v>157</v>
      </c>
      <c r="V208" s="185"/>
    </row>
    <row r="209" spans="1:22" ht="18" customHeight="1">
      <c r="A209" s="184"/>
      <c r="V209" s="185"/>
    </row>
    <row r="210" spans="1:22" ht="18" customHeight="1">
      <c r="A210" s="799" t="s">
        <v>417</v>
      </c>
      <c r="B210" s="802"/>
      <c r="C210" s="802"/>
      <c r="D210" s="805">
        <v>30</v>
      </c>
      <c r="E210" s="805" t="s">
        <v>315</v>
      </c>
      <c r="F210" s="1184">
        <f>R199</f>
        <v>437.38656756789834</v>
      </c>
      <c r="G210" s="1111"/>
      <c r="H210" s="805" t="s">
        <v>315</v>
      </c>
      <c r="I210" s="822">
        <f>R204</f>
        <v>1</v>
      </c>
      <c r="J210" s="1269"/>
      <c r="K210" s="805" t="s">
        <v>315</v>
      </c>
      <c r="L210" s="815" t="s">
        <v>419</v>
      </c>
      <c r="M210" s="815">
        <f>R206</f>
        <v>2.7</v>
      </c>
      <c r="N210" s="816" t="s">
        <v>347</v>
      </c>
      <c r="O210" s="817">
        <f>R207</f>
        <v>1.1867743100000001</v>
      </c>
      <c r="P210" s="805" t="s">
        <v>347</v>
      </c>
      <c r="Q210" s="1259">
        <f>R208</f>
        <v>0.02</v>
      </c>
      <c r="R210" s="807"/>
      <c r="S210" s="807"/>
      <c r="T210" s="798" t="s">
        <v>350</v>
      </c>
      <c r="U210" s="230" t="s">
        <v>422</v>
      </c>
      <c r="V210" s="97"/>
    </row>
    <row r="211" spans="1:22" ht="18" customHeight="1">
      <c r="A211" s="827"/>
      <c r="B211" s="802"/>
      <c r="C211" s="802"/>
      <c r="D211" s="805"/>
      <c r="E211" s="805"/>
      <c r="F211" s="1111"/>
      <c r="G211" s="1111"/>
      <c r="H211" s="805"/>
      <c r="I211" s="805">
        <f>R198</f>
        <v>1000</v>
      </c>
      <c r="J211" s="1234"/>
      <c r="K211" s="805"/>
      <c r="L211" s="815"/>
      <c r="M211" s="815"/>
      <c r="N211" s="816"/>
      <c r="O211" s="815"/>
      <c r="P211" s="805"/>
      <c r="Q211" s="221">
        <f>R205</f>
        <v>1</v>
      </c>
      <c r="R211" s="221" t="s">
        <v>315</v>
      </c>
      <c r="S211" s="221">
        <f>R205</f>
        <v>1</v>
      </c>
      <c r="T211" s="798"/>
      <c r="U211" s="14"/>
      <c r="V211" s="97"/>
    </row>
    <row r="212" spans="1:22" ht="18" customHeight="1">
      <c r="A212" s="184"/>
      <c r="V212" s="185"/>
    </row>
    <row r="213" spans="1:22" ht="18" customHeight="1">
      <c r="A213" s="184"/>
      <c r="C213" s="30" t="s">
        <v>127</v>
      </c>
      <c r="D213" s="812">
        <f>D210*F210*(I210/I211)*(M210+O210+(Q210/(Q211*S211)))</f>
        <v>51.263118171400343</v>
      </c>
      <c r="E213" s="813"/>
      <c r="F213" s="30" t="s">
        <v>305</v>
      </c>
      <c r="V213" s="185"/>
    </row>
    <row r="214" spans="1:22" ht="18" customHeight="1">
      <c r="A214" s="184"/>
      <c r="V214" s="185"/>
    </row>
    <row r="215" spans="1:22" ht="18" customHeight="1">
      <c r="A215" s="799" t="s">
        <v>417</v>
      </c>
      <c r="B215" s="802"/>
      <c r="C215" s="802"/>
      <c r="D215" s="805">
        <v>2</v>
      </c>
      <c r="E215" s="805" t="s">
        <v>315</v>
      </c>
      <c r="F215" s="1184">
        <f>R200</f>
        <v>6998.1850810863734</v>
      </c>
      <c r="G215" s="1111"/>
      <c r="H215" s="805" t="s">
        <v>315</v>
      </c>
      <c r="I215" s="822">
        <f>R204</f>
        <v>1</v>
      </c>
      <c r="J215" s="1269"/>
      <c r="K215" s="805" t="s">
        <v>315</v>
      </c>
      <c r="L215" s="808" t="s">
        <v>419</v>
      </c>
      <c r="M215" s="815">
        <f>R206</f>
        <v>2.7</v>
      </c>
      <c r="N215" s="816" t="s">
        <v>347</v>
      </c>
      <c r="O215" s="817">
        <f>R207</f>
        <v>1.1867743100000001</v>
      </c>
      <c r="P215" s="805" t="s">
        <v>347</v>
      </c>
      <c r="Q215" s="1259">
        <f>R208</f>
        <v>0.02</v>
      </c>
      <c r="R215" s="807"/>
      <c r="S215" s="807"/>
      <c r="T215" s="798" t="s">
        <v>350</v>
      </c>
      <c r="U215" s="230" t="s">
        <v>426</v>
      </c>
      <c r="V215" s="97"/>
    </row>
    <row r="216" spans="1:22" ht="18" customHeight="1">
      <c r="A216" s="827"/>
      <c r="B216" s="802"/>
      <c r="C216" s="802"/>
      <c r="D216" s="805"/>
      <c r="E216" s="805"/>
      <c r="F216" s="1111"/>
      <c r="G216" s="1111"/>
      <c r="H216" s="805"/>
      <c r="I216" s="805">
        <f>R198</f>
        <v>1000</v>
      </c>
      <c r="J216" s="1234"/>
      <c r="K216" s="805"/>
      <c r="L216" s="808"/>
      <c r="M216" s="815"/>
      <c r="N216" s="816"/>
      <c r="O216" s="815"/>
      <c r="P216" s="805"/>
      <c r="Q216" s="221">
        <f>R205</f>
        <v>1</v>
      </c>
      <c r="R216" s="221" t="s">
        <v>315</v>
      </c>
      <c r="S216" s="221">
        <f>R205</f>
        <v>1</v>
      </c>
      <c r="T216" s="798"/>
      <c r="U216" s="14"/>
      <c r="V216" s="97"/>
    </row>
    <row r="217" spans="1:22" ht="18" customHeight="1">
      <c r="A217" s="184"/>
      <c r="L217" s="244"/>
      <c r="V217" s="185"/>
    </row>
    <row r="218" spans="1:22" ht="18" customHeight="1">
      <c r="A218" s="184"/>
      <c r="C218" s="30" t="s">
        <v>127</v>
      </c>
      <c r="D218" s="812">
        <f>D215*F215*(I215/I216)*(M215+O215+(Q215/(Q216*S216)))</f>
        <v>54.680659382827024</v>
      </c>
      <c r="E218" s="813"/>
      <c r="F218" s="30" t="s">
        <v>305</v>
      </c>
      <c r="L218" s="244"/>
      <c r="V218" s="185"/>
    </row>
    <row r="219" spans="1:22" ht="18" customHeight="1">
      <c r="A219" s="184"/>
      <c r="L219" s="244"/>
      <c r="V219" s="185"/>
    </row>
    <row r="220" spans="1:22" ht="18" hidden="1" customHeight="1">
      <c r="A220" s="799" t="s">
        <v>417</v>
      </c>
      <c r="B220" s="802"/>
      <c r="C220" s="802"/>
      <c r="D220" s="689"/>
      <c r="E220" s="689"/>
      <c r="F220" s="805" t="str">
        <f>R202</f>
        <v>-</v>
      </c>
      <c r="G220" s="993"/>
      <c r="H220" s="805" t="s">
        <v>315</v>
      </c>
      <c r="I220" s="822">
        <f>R204</f>
        <v>1</v>
      </c>
      <c r="J220" s="1269"/>
      <c r="K220" s="805" t="s">
        <v>315</v>
      </c>
      <c r="L220" s="808" t="s">
        <v>419</v>
      </c>
      <c r="M220" s="815">
        <f>R206</f>
        <v>2.7</v>
      </c>
      <c r="N220" s="816" t="s">
        <v>347</v>
      </c>
      <c r="O220" s="817">
        <f>R207</f>
        <v>1.1867743100000001</v>
      </c>
      <c r="P220" s="805" t="s">
        <v>347</v>
      </c>
      <c r="Q220" s="1259">
        <f>R208</f>
        <v>0.02</v>
      </c>
      <c r="R220" s="807"/>
      <c r="S220" s="807"/>
      <c r="T220" s="798" t="s">
        <v>350</v>
      </c>
      <c r="U220" s="230" t="s">
        <v>618</v>
      </c>
      <c r="V220" s="97"/>
    </row>
    <row r="221" spans="1:22" ht="18" hidden="1" customHeight="1">
      <c r="A221" s="827"/>
      <c r="B221" s="802"/>
      <c r="C221" s="802"/>
      <c r="D221" s="689"/>
      <c r="E221" s="689"/>
      <c r="F221" s="993"/>
      <c r="G221" s="993"/>
      <c r="H221" s="805"/>
      <c r="I221" s="805">
        <f>R198</f>
        <v>1000</v>
      </c>
      <c r="J221" s="1234"/>
      <c r="K221" s="805"/>
      <c r="L221" s="808"/>
      <c r="M221" s="815"/>
      <c r="N221" s="816"/>
      <c r="O221" s="815"/>
      <c r="P221" s="805"/>
      <c r="Q221" s="221">
        <f>R205</f>
        <v>1</v>
      </c>
      <c r="R221" s="221" t="s">
        <v>315</v>
      </c>
      <c r="S221" s="221">
        <f>R205</f>
        <v>1</v>
      </c>
      <c r="T221" s="798"/>
      <c r="U221" s="14"/>
      <c r="V221" s="97"/>
    </row>
    <row r="222" spans="1:22" ht="18" hidden="1" customHeight="1">
      <c r="A222" s="184"/>
      <c r="V222" s="185"/>
    </row>
    <row r="223" spans="1:22" ht="18" hidden="1" customHeight="1">
      <c r="A223" s="184"/>
      <c r="C223" s="30" t="s">
        <v>127</v>
      </c>
      <c r="D223" s="812" t="e">
        <f>F220*(I220/I221)*(M220+O220+(Q220/(Q221*S221)))</f>
        <v>#VALUE!</v>
      </c>
      <c r="E223" s="813"/>
      <c r="F223" s="30" t="s">
        <v>305</v>
      </c>
      <c r="G223" s="187" t="s">
        <v>378</v>
      </c>
      <c r="H223" s="186" t="str">
        <f>IF(M195="y","Applicable","Not applicable")</f>
        <v>Not applicable</v>
      </c>
      <c r="V223" s="185"/>
    </row>
    <row r="224" spans="1:22" ht="18" customHeight="1">
      <c r="A224" s="184"/>
      <c r="D224" s="211"/>
      <c r="E224" s="211"/>
      <c r="G224" s="187"/>
      <c r="H224" s="186"/>
      <c r="V224" s="185"/>
    </row>
    <row r="225" spans="1:22" ht="18" customHeight="1">
      <c r="A225" s="184"/>
      <c r="D225" s="211"/>
      <c r="E225" s="211"/>
      <c r="G225" s="187"/>
      <c r="H225" s="186"/>
      <c r="V225" s="185"/>
    </row>
    <row r="226" spans="1:22" ht="18" customHeight="1">
      <c r="A226" s="184"/>
      <c r="D226" s="211"/>
      <c r="E226" s="211"/>
      <c r="G226" s="187"/>
      <c r="H226" s="186"/>
      <c r="V226" s="185"/>
    </row>
    <row r="227" spans="1:22" ht="18" customHeight="1">
      <c r="A227" s="184"/>
      <c r="D227" s="211"/>
      <c r="E227" s="211"/>
      <c r="G227" s="187"/>
      <c r="H227" s="186"/>
      <c r="V227" s="185"/>
    </row>
    <row r="228" spans="1:22" ht="18" customHeight="1">
      <c r="A228" s="184"/>
      <c r="D228" s="211"/>
      <c r="E228" s="211"/>
      <c r="G228" s="187"/>
      <c r="H228" s="186"/>
      <c r="V228" s="185"/>
    </row>
    <row r="229" spans="1:22" ht="18" customHeight="1">
      <c r="A229" s="184"/>
      <c r="D229" s="211"/>
      <c r="E229" s="211"/>
      <c r="G229" s="187"/>
      <c r="H229" s="186"/>
      <c r="V229" s="185"/>
    </row>
    <row r="230" spans="1:22" ht="18" customHeight="1">
      <c r="A230" s="184"/>
      <c r="D230" s="211"/>
      <c r="E230" s="211"/>
      <c r="G230" s="187"/>
      <c r="H230" s="186"/>
      <c r="V230" s="185"/>
    </row>
    <row r="231" spans="1:22" ht="18" customHeight="1">
      <c r="A231" s="184"/>
      <c r="V231" s="185"/>
    </row>
    <row r="232" spans="1:22" s="14" customFormat="1" ht="18" customHeight="1">
      <c r="A232" s="194"/>
      <c r="B232" s="195"/>
      <c r="C232" s="195"/>
      <c r="D232" s="195"/>
      <c r="E232" s="195"/>
      <c r="F232" s="195"/>
      <c r="G232" s="195"/>
      <c r="H232" s="195"/>
      <c r="I232" s="195"/>
      <c r="J232" s="195"/>
      <c r="K232" s="195"/>
      <c r="L232" s="195"/>
      <c r="M232" s="195"/>
      <c r="N232" s="195"/>
      <c r="O232" s="195"/>
      <c r="P232" s="195"/>
      <c r="Q232" s="224"/>
      <c r="R232" s="182"/>
      <c r="S232" s="225"/>
      <c r="T232" s="195"/>
      <c r="U232" s="195"/>
      <c r="V232" s="134"/>
    </row>
    <row r="233" spans="1:22" ht="18" customHeight="1">
      <c r="A233" s="226"/>
      <c r="B233" s="227"/>
      <c r="C233" s="227"/>
      <c r="D233" s="227"/>
      <c r="E233" s="227"/>
      <c r="F233" s="227"/>
      <c r="G233" s="227"/>
      <c r="H233" s="227"/>
      <c r="I233" s="227"/>
      <c r="J233" s="227"/>
      <c r="K233" s="227"/>
      <c r="L233" s="227"/>
      <c r="M233" s="227"/>
      <c r="N233" s="227"/>
      <c r="O233" s="227"/>
      <c r="P233" s="227"/>
      <c r="Q233" s="227"/>
      <c r="R233" s="227"/>
      <c r="S233" s="227"/>
      <c r="T233" s="227"/>
      <c r="U233" s="227"/>
      <c r="V233" s="228"/>
    </row>
    <row r="234" spans="1:22" ht="18" customHeight="1">
      <c r="A234" s="96" t="s">
        <v>627</v>
      </c>
      <c r="M234" s="825">
        <f>R198</f>
        <v>1000</v>
      </c>
      <c r="N234" s="826"/>
      <c r="O234" s="30" t="s">
        <v>470</v>
      </c>
      <c r="Q234" s="812">
        <f>IF(M195="Y",MAX(D213,D223),MAX(D213,D218))</f>
        <v>54.680659382827024</v>
      </c>
      <c r="R234" s="820"/>
      <c r="S234" s="30" t="s">
        <v>305</v>
      </c>
      <c r="V234" s="185"/>
    </row>
    <row r="235" spans="1:22" ht="18" customHeight="1">
      <c r="A235" s="184"/>
      <c r="M235" s="247"/>
      <c r="N235" s="247"/>
      <c r="Q235" s="211"/>
      <c r="R235" s="27"/>
      <c r="V235" s="185"/>
    </row>
    <row r="236" spans="1:22" ht="18" customHeight="1">
      <c r="A236" s="248" t="s">
        <v>471</v>
      </c>
      <c r="B236" s="14"/>
      <c r="C236" s="14"/>
      <c r="D236" s="249"/>
      <c r="E236" s="14"/>
      <c r="F236" s="14"/>
      <c r="G236" s="47"/>
      <c r="H236" s="14"/>
      <c r="J236" s="14"/>
      <c r="K236" s="14"/>
      <c r="L236" s="14"/>
      <c r="M236" s="14"/>
      <c r="N236" s="14"/>
      <c r="O236" s="14"/>
      <c r="P236" s="250"/>
      <c r="Q236" s="251"/>
      <c r="R236" s="47"/>
      <c r="S236" s="14"/>
      <c r="V236" s="185"/>
    </row>
    <row r="237" spans="1:22" ht="18" customHeight="1">
      <c r="A237" s="248"/>
      <c r="B237" s="14"/>
      <c r="C237" s="14"/>
      <c r="D237" s="249"/>
      <c r="E237" s="14"/>
      <c r="F237" s="14"/>
      <c r="G237" s="47"/>
      <c r="H237" s="14"/>
      <c r="J237" s="14"/>
      <c r="K237" s="14"/>
      <c r="L237" s="14"/>
      <c r="M237" s="14"/>
      <c r="N237" s="14"/>
      <c r="O237" s="14"/>
      <c r="P237" s="250"/>
      <c r="Q237" s="251"/>
      <c r="R237" s="47"/>
      <c r="S237" s="14"/>
      <c r="V237" s="185"/>
    </row>
    <row r="238" spans="1:22" ht="18" customHeight="1">
      <c r="A238" s="96" t="s">
        <v>628</v>
      </c>
      <c r="V238" s="185"/>
    </row>
    <row r="239" spans="1:22" ht="18" customHeight="1">
      <c r="A239" s="184"/>
      <c r="N239" s="14"/>
      <c r="O239" s="14" t="s">
        <v>473</v>
      </c>
      <c r="P239" s="102" t="s">
        <v>127</v>
      </c>
      <c r="Q239" s="694" t="s">
        <v>474</v>
      </c>
      <c r="R239" s="694"/>
      <c r="S239" s="28" t="s">
        <v>315</v>
      </c>
      <c r="T239" s="28">
        <v>0.8</v>
      </c>
      <c r="V239" s="185"/>
    </row>
    <row r="240" spans="1:22" ht="18" customHeight="1">
      <c r="A240" s="184"/>
      <c r="N240" s="252"/>
      <c r="O240" s="14"/>
      <c r="P240" s="102" t="s">
        <v>127</v>
      </c>
      <c r="Q240" s="829">
        <f>+Q234</f>
        <v>54.680659382827024</v>
      </c>
      <c r="R240" s="1147"/>
      <c r="S240" s="222" t="s">
        <v>315</v>
      </c>
      <c r="T240" s="253">
        <f>+T239</f>
        <v>0.8</v>
      </c>
      <c r="V240" s="185"/>
    </row>
    <row r="241" spans="1:22" ht="18" customHeight="1">
      <c r="A241" s="184"/>
      <c r="O241" s="14"/>
      <c r="P241" s="28" t="s">
        <v>127</v>
      </c>
      <c r="Q241" s="830">
        <f>Q240*T240</f>
        <v>43.744527506261619</v>
      </c>
      <c r="R241" s="1270"/>
      <c r="S241" s="47" t="s">
        <v>305</v>
      </c>
      <c r="T241" s="14"/>
      <c r="V241" s="185"/>
    </row>
    <row r="242" spans="1:22" ht="18" customHeight="1">
      <c r="A242" s="184"/>
      <c r="V242" s="185"/>
    </row>
    <row r="243" spans="1:22" ht="18" customHeight="1">
      <c r="A243" s="184"/>
      <c r="D243" s="30" t="s">
        <v>475</v>
      </c>
      <c r="G243" s="28" t="s">
        <v>476</v>
      </c>
      <c r="H243" s="30" t="s">
        <v>477</v>
      </c>
      <c r="V243" s="185"/>
    </row>
    <row r="244" spans="1:22" ht="18" customHeight="1">
      <c r="A244" s="184"/>
      <c r="E244" s="684">
        <f>J149</f>
        <v>900</v>
      </c>
      <c r="F244" s="684"/>
      <c r="G244" s="28" t="s">
        <v>476</v>
      </c>
      <c r="H244" s="795">
        <f>Q241</f>
        <v>43.744527506261619</v>
      </c>
      <c r="I244" s="684"/>
      <c r="V244" s="185"/>
    </row>
    <row r="245" spans="1:22" ht="18" customHeight="1">
      <c r="A245" s="184"/>
      <c r="F245" s="244" t="s">
        <v>478</v>
      </c>
      <c r="H245" s="18" t="str">
        <f>IF(E244&gt;H244,"Suitably Dimensioned","Under Dimensioned")</f>
        <v>Suitably Dimensioned</v>
      </c>
      <c r="V245" s="185"/>
    </row>
    <row r="246" spans="1:22" ht="18" customHeight="1">
      <c r="A246" s="184"/>
      <c r="F246" s="244"/>
      <c r="H246" s="18"/>
      <c r="V246" s="185"/>
    </row>
    <row r="247" spans="1:22" ht="18" customHeight="1">
      <c r="A247" s="184"/>
      <c r="F247" s="244"/>
      <c r="H247" s="18"/>
      <c r="V247" s="185"/>
    </row>
    <row r="248" spans="1:22" ht="18" customHeight="1">
      <c r="A248" s="184"/>
      <c r="F248" s="244"/>
      <c r="H248" s="18"/>
      <c r="V248" s="185"/>
    </row>
    <row r="249" spans="1:22" ht="18" customHeight="1">
      <c r="A249" s="184"/>
      <c r="F249" s="244"/>
      <c r="H249" s="18"/>
      <c r="V249" s="185"/>
    </row>
    <row r="250" spans="1:22" ht="18" customHeight="1">
      <c r="A250" s="184"/>
      <c r="F250" s="244"/>
      <c r="H250" s="18"/>
      <c r="V250" s="185"/>
    </row>
    <row r="251" spans="1:22" ht="18" customHeight="1">
      <c r="A251" s="184"/>
      <c r="F251" s="244"/>
      <c r="H251" s="18"/>
      <c r="V251" s="185"/>
    </row>
    <row r="252" spans="1:22" ht="18" customHeight="1">
      <c r="A252" s="184"/>
      <c r="F252" s="244"/>
      <c r="H252" s="18"/>
      <c r="V252" s="185"/>
    </row>
    <row r="253" spans="1:22" ht="18" customHeight="1">
      <c r="A253" s="184"/>
      <c r="F253" s="244"/>
      <c r="H253" s="18"/>
      <c r="V253" s="185"/>
    </row>
    <row r="254" spans="1:22" ht="18" customHeight="1">
      <c r="A254" s="184"/>
      <c r="F254" s="244"/>
      <c r="H254" s="18"/>
      <c r="V254" s="185"/>
    </row>
    <row r="255" spans="1:22" ht="18" customHeight="1">
      <c r="A255" s="184"/>
      <c r="F255" s="244"/>
      <c r="H255" s="18"/>
      <c r="V255" s="185"/>
    </row>
    <row r="256" spans="1:22" ht="18" customHeight="1">
      <c r="A256" s="184"/>
      <c r="F256" s="244"/>
      <c r="H256" s="18"/>
      <c r="V256" s="185"/>
    </row>
    <row r="257" spans="1:22" ht="18" customHeight="1">
      <c r="A257" s="184"/>
      <c r="F257" s="244"/>
      <c r="H257" s="18"/>
      <c r="V257" s="185"/>
    </row>
    <row r="258" spans="1:22" ht="18" customHeight="1">
      <c r="A258" s="184"/>
      <c r="F258" s="244"/>
      <c r="H258" s="18"/>
      <c r="V258" s="185"/>
    </row>
    <row r="259" spans="1:22" ht="18" customHeight="1">
      <c r="A259" s="184"/>
      <c r="F259" s="244"/>
      <c r="H259" s="18"/>
      <c r="V259" s="185"/>
    </row>
    <row r="260" spans="1:22" ht="18" customHeight="1">
      <c r="A260" s="184"/>
      <c r="F260" s="244"/>
      <c r="H260" s="18"/>
      <c r="V260" s="185"/>
    </row>
    <row r="261" spans="1:22" ht="18" customHeight="1">
      <c r="A261" s="184"/>
      <c r="F261" s="244"/>
      <c r="H261" s="18"/>
      <c r="V261" s="185"/>
    </row>
    <row r="262" spans="1:22" ht="18" customHeight="1">
      <c r="A262" s="184"/>
      <c r="F262" s="244"/>
      <c r="H262" s="18"/>
      <c r="V262" s="185"/>
    </row>
    <row r="263" spans="1:22" ht="18" customHeight="1">
      <c r="A263" s="184"/>
      <c r="F263" s="244"/>
      <c r="H263" s="18"/>
      <c r="V263" s="185"/>
    </row>
    <row r="264" spans="1:22" ht="18" customHeight="1">
      <c r="A264" s="184"/>
      <c r="F264" s="244"/>
      <c r="H264" s="18"/>
      <c r="V264" s="185"/>
    </row>
    <row r="265" spans="1:22" ht="18" customHeight="1">
      <c r="A265" s="184"/>
      <c r="F265" s="244"/>
      <c r="H265" s="18"/>
      <c r="V265" s="185"/>
    </row>
    <row r="266" spans="1:22" ht="18" customHeight="1">
      <c r="A266" s="184"/>
      <c r="F266" s="244"/>
      <c r="H266" s="18"/>
      <c r="V266" s="185"/>
    </row>
    <row r="267" spans="1:22" ht="18" customHeight="1">
      <c r="A267" s="184"/>
      <c r="F267" s="244"/>
      <c r="H267" s="18"/>
      <c r="V267" s="185"/>
    </row>
    <row r="268" spans="1:22" ht="18" customHeight="1">
      <c r="A268" s="184"/>
      <c r="F268" s="244"/>
      <c r="H268" s="18"/>
      <c r="V268" s="185"/>
    </row>
    <row r="269" spans="1:22" ht="18" customHeight="1">
      <c r="A269" s="184"/>
      <c r="F269" s="244"/>
      <c r="H269" s="18"/>
      <c r="V269" s="185"/>
    </row>
    <row r="270" spans="1:22" ht="18" customHeight="1">
      <c r="A270" s="184"/>
      <c r="F270" s="244"/>
      <c r="H270" s="18"/>
      <c r="V270" s="185"/>
    </row>
    <row r="271" spans="1:22" ht="18" customHeight="1">
      <c r="A271" s="184"/>
      <c r="F271" s="244"/>
      <c r="H271" s="18"/>
      <c r="V271" s="185"/>
    </row>
    <row r="272" spans="1:22" s="14" customFormat="1" ht="18" hidden="1" customHeight="1">
      <c r="A272" s="194"/>
      <c r="B272" s="195"/>
      <c r="C272" s="195"/>
      <c r="D272" s="195"/>
      <c r="E272" s="195"/>
      <c r="F272" s="195"/>
      <c r="G272" s="195"/>
      <c r="H272" s="195"/>
      <c r="I272" s="195"/>
      <c r="J272" s="195"/>
      <c r="K272" s="195"/>
      <c r="L272" s="195"/>
      <c r="M272" s="195"/>
      <c r="N272" s="195"/>
      <c r="O272" s="195"/>
      <c r="P272" s="195"/>
      <c r="Q272" s="224"/>
      <c r="R272" s="182"/>
      <c r="S272" s="225"/>
      <c r="T272" s="195"/>
      <c r="U272" s="195"/>
      <c r="V272" s="134"/>
    </row>
    <row r="273" spans="1:29" ht="18" hidden="1" customHeight="1">
      <c r="A273" s="226"/>
      <c r="B273" s="227"/>
      <c r="C273" s="227"/>
      <c r="D273" s="227"/>
      <c r="E273" s="227"/>
      <c r="F273" s="227"/>
      <c r="G273" s="227"/>
      <c r="H273" s="227"/>
      <c r="I273" s="227"/>
      <c r="J273" s="227"/>
      <c r="K273" s="227"/>
      <c r="L273" s="227"/>
      <c r="M273" s="227"/>
      <c r="N273" s="227"/>
      <c r="O273" s="227"/>
      <c r="P273" s="227"/>
      <c r="Q273" s="227"/>
      <c r="R273" s="227"/>
      <c r="S273" s="227"/>
      <c r="T273" s="227"/>
      <c r="U273" s="227"/>
      <c r="V273" s="228"/>
    </row>
    <row r="274" spans="1:29" ht="18" hidden="1" customHeight="1">
      <c r="A274" s="184"/>
      <c r="B274" s="854" t="str">
        <f>B143</f>
        <v>T4</v>
      </c>
      <c r="C274" s="831"/>
      <c r="D274" s="855" t="str">
        <f>D143</f>
        <v>Core1</v>
      </c>
      <c r="E274" s="856"/>
      <c r="F274" s="186" t="s">
        <v>631</v>
      </c>
      <c r="H274" s="684" t="str">
        <f>H143</f>
        <v>(Transformer Differential)</v>
      </c>
      <c r="I274" s="684"/>
      <c r="J274" s="684"/>
      <c r="K274" s="684"/>
      <c r="L274" s="684"/>
      <c r="M274" s="684"/>
      <c r="P274" s="186"/>
      <c r="S274" s="187" t="s">
        <v>387</v>
      </c>
      <c r="T274" s="854" t="str">
        <f>T143</f>
        <v>RET670</v>
      </c>
      <c r="U274" s="831"/>
      <c r="V274" s="185"/>
    </row>
    <row r="275" spans="1:29" ht="18" hidden="1" customHeight="1">
      <c r="A275" s="184"/>
      <c r="B275" s="853">
        <f>B144</f>
        <v>0</v>
      </c>
      <c r="C275" s="853"/>
      <c r="D275" s="857"/>
      <c r="E275" s="858"/>
      <c r="F275" s="255"/>
      <c r="T275" s="854">
        <f>T144</f>
        <v>0</v>
      </c>
      <c r="U275" s="831"/>
      <c r="V275" s="185"/>
    </row>
    <row r="276" spans="1:29" ht="18" hidden="1" customHeight="1">
      <c r="A276" s="184"/>
      <c r="H276" s="708" t="s">
        <v>390</v>
      </c>
      <c r="I276" s="708"/>
      <c r="J276" s="708" t="s">
        <v>391</v>
      </c>
      <c r="K276" s="708"/>
      <c r="L276" s="789" t="s">
        <v>392</v>
      </c>
      <c r="M276" s="789"/>
      <c r="T276" s="854">
        <f>T145</f>
        <v>0</v>
      </c>
      <c r="U276" s="831"/>
      <c r="V276" s="185"/>
    </row>
    <row r="277" spans="1:29" ht="18" hidden="1" customHeight="1">
      <c r="A277" s="184"/>
      <c r="B277" s="47" t="s">
        <v>393</v>
      </c>
      <c r="H277" s="854">
        <f>H146</f>
        <v>600</v>
      </c>
      <c r="I277" s="831"/>
      <c r="J277" s="854">
        <f>J146</f>
        <v>1000</v>
      </c>
      <c r="K277" s="831"/>
      <c r="L277" s="863" t="str">
        <f>L146</f>
        <v>-</v>
      </c>
      <c r="M277" s="864"/>
      <c r="N277" s="102" t="s">
        <v>342</v>
      </c>
      <c r="O277" s="256">
        <f>O146</f>
        <v>1</v>
      </c>
      <c r="P277" s="27" t="s">
        <v>8</v>
      </c>
      <c r="V277" s="185"/>
    </row>
    <row r="278" spans="1:29" ht="18" hidden="1" customHeight="1">
      <c r="A278" s="184"/>
      <c r="B278" s="47" t="s">
        <v>394</v>
      </c>
      <c r="H278" s="14"/>
      <c r="I278" s="14"/>
      <c r="L278" s="854" t="str">
        <f>J147</f>
        <v>PX</v>
      </c>
      <c r="M278" s="831"/>
      <c r="V278" s="185"/>
    </row>
    <row r="279" spans="1:29" ht="18" hidden="1" customHeight="1">
      <c r="A279" s="184"/>
      <c r="B279" s="47" t="s">
        <v>396</v>
      </c>
      <c r="K279" s="120" t="s">
        <v>497</v>
      </c>
      <c r="L279" s="781" t="s">
        <v>6</v>
      </c>
      <c r="M279" s="782"/>
      <c r="N279" s="192" t="s">
        <v>333</v>
      </c>
      <c r="V279" s="185"/>
    </row>
    <row r="280" spans="1:29" ht="18" hidden="1" customHeight="1">
      <c r="A280" s="184"/>
      <c r="B280" s="47" t="s">
        <v>398</v>
      </c>
      <c r="K280" s="120" t="s">
        <v>498</v>
      </c>
      <c r="L280" s="781" t="s">
        <v>6</v>
      </c>
      <c r="M280" s="782"/>
      <c r="N280" s="14" t="s">
        <v>305</v>
      </c>
      <c r="V280" s="185"/>
      <c r="W280" s="30" t="s">
        <v>400</v>
      </c>
      <c r="AB280" s="785" t="e">
        <f>Q369</f>
        <v>#VALUE!</v>
      </c>
      <c r="AC280" s="786"/>
    </row>
    <row r="281" spans="1:29" ht="18" hidden="1" customHeight="1">
      <c r="A281" s="184"/>
      <c r="B281" s="14" t="s">
        <v>401</v>
      </c>
      <c r="K281" s="120" t="s">
        <v>402</v>
      </c>
      <c r="L281" s="781" t="s">
        <v>6</v>
      </c>
      <c r="M281" s="782"/>
      <c r="N281" s="14" t="s">
        <v>403</v>
      </c>
      <c r="V281" s="185"/>
    </row>
    <row r="282" spans="1:29" ht="18" hidden="1" customHeight="1">
      <c r="A282" s="184"/>
      <c r="V282" s="185"/>
    </row>
    <row r="283" spans="1:29" ht="18" hidden="1" customHeight="1">
      <c r="A283" s="193" t="s">
        <v>404</v>
      </c>
      <c r="V283" s="185"/>
    </row>
    <row r="284" spans="1:29" ht="18" hidden="1" customHeight="1">
      <c r="A284" s="184"/>
      <c r="V284" s="185"/>
    </row>
    <row r="285" spans="1:29" ht="18" hidden="1" customHeight="1">
      <c r="A285" s="184"/>
      <c r="B285" s="194" t="s">
        <v>405</v>
      </c>
      <c r="C285" s="195"/>
      <c r="D285" s="195" t="str">
        <f>T274</f>
        <v>RET670</v>
      </c>
      <c r="E285" s="196"/>
      <c r="F285" s="196"/>
      <c r="G285" s="196"/>
      <c r="H285" s="182" t="s">
        <v>406</v>
      </c>
      <c r="I285" s="183" t="s">
        <v>127</v>
      </c>
      <c r="J285" s="766">
        <f>J154</f>
        <v>0.02</v>
      </c>
      <c r="K285" s="958"/>
      <c r="L285" s="3" t="s">
        <v>157</v>
      </c>
      <c r="N285" s="197" t="s">
        <v>407</v>
      </c>
      <c r="V285" s="185"/>
    </row>
    <row r="286" spans="1:29" ht="18" hidden="1" customHeight="1">
      <c r="A286" s="184"/>
      <c r="B286" s="96" t="s">
        <v>405</v>
      </c>
      <c r="D286" s="30">
        <f>T275</f>
        <v>0</v>
      </c>
      <c r="H286" s="27"/>
      <c r="I286" s="177" t="s">
        <v>127</v>
      </c>
      <c r="J286" s="861">
        <f>J155</f>
        <v>0</v>
      </c>
      <c r="K286" s="989"/>
      <c r="L286" s="198" t="s">
        <v>157</v>
      </c>
      <c r="V286" s="185"/>
    </row>
    <row r="287" spans="1:29" ht="18" hidden="1" customHeight="1">
      <c r="A287" s="184"/>
      <c r="B287" s="96" t="s">
        <v>405</v>
      </c>
      <c r="D287" s="30">
        <f>T276</f>
        <v>0</v>
      </c>
      <c r="E287" s="14"/>
      <c r="G287" s="199"/>
      <c r="H287" s="27"/>
      <c r="I287" s="177" t="s">
        <v>127</v>
      </c>
      <c r="J287" s="696">
        <f>J156</f>
        <v>0</v>
      </c>
      <c r="K287" s="820"/>
      <c r="L287" s="202" t="s">
        <v>157</v>
      </c>
      <c r="N287" s="30" t="s">
        <v>408</v>
      </c>
      <c r="O287" s="27" t="s">
        <v>127</v>
      </c>
      <c r="P287" s="30" t="s">
        <v>409</v>
      </c>
      <c r="Q287" s="191" t="s">
        <v>410</v>
      </c>
      <c r="R287" s="244" t="s">
        <v>411</v>
      </c>
      <c r="S287" s="27" t="s">
        <v>315</v>
      </c>
      <c r="T287" s="30" t="s">
        <v>411</v>
      </c>
      <c r="U287" s="30" t="s">
        <v>350</v>
      </c>
      <c r="V287" s="185"/>
    </row>
    <row r="288" spans="1:29" ht="18" hidden="1" customHeight="1">
      <c r="A288" s="184"/>
      <c r="B288" s="184" t="s">
        <v>412</v>
      </c>
      <c r="H288" s="27" t="s">
        <v>599</v>
      </c>
      <c r="I288" s="177" t="s">
        <v>127</v>
      </c>
      <c r="J288" s="861">
        <f>J157</f>
        <v>1.1667743100000001</v>
      </c>
      <c r="K288" s="989"/>
      <c r="L288" s="203" t="s">
        <v>157</v>
      </c>
      <c r="O288" s="27" t="s">
        <v>127</v>
      </c>
      <c r="P288" s="204">
        <f>J289</f>
        <v>1.1667743100000001</v>
      </c>
      <c r="Q288" s="191" t="s">
        <v>410</v>
      </c>
      <c r="R288" s="27">
        <f>O277</f>
        <v>1</v>
      </c>
      <c r="S288" s="27" t="s">
        <v>315</v>
      </c>
      <c r="T288" s="27">
        <f>O277</f>
        <v>1</v>
      </c>
      <c r="U288" s="30" t="s">
        <v>350</v>
      </c>
      <c r="V288" s="185"/>
    </row>
    <row r="289" spans="1:22" ht="18" hidden="1" customHeight="1">
      <c r="A289" s="184"/>
      <c r="B289" s="205" t="s">
        <v>413</v>
      </c>
      <c r="C289" s="206"/>
      <c r="D289" s="206"/>
      <c r="E289" s="206"/>
      <c r="F289" s="207"/>
      <c r="G289" s="207"/>
      <c r="H289" s="190" t="s">
        <v>409</v>
      </c>
      <c r="I289" s="208" t="s">
        <v>127</v>
      </c>
      <c r="J289" s="766">
        <f>J286+J288</f>
        <v>1.1667743100000001</v>
      </c>
      <c r="K289" s="958"/>
      <c r="L289" s="210" t="s">
        <v>157</v>
      </c>
      <c r="O289" s="27" t="s">
        <v>127</v>
      </c>
      <c r="P289" s="795">
        <f>P288/(R288*T288)</f>
        <v>1.1667743100000001</v>
      </c>
      <c r="Q289" s="795"/>
      <c r="R289" s="192" t="s">
        <v>333</v>
      </c>
      <c r="V289" s="185"/>
    </row>
    <row r="290" spans="1:22" ht="18" hidden="1" customHeight="1">
      <c r="A290" s="184"/>
      <c r="V290" s="185"/>
    </row>
    <row r="291" spans="1:22" s="14" customFormat="1" ht="18" hidden="1" customHeight="1">
      <c r="A291" s="193" t="s">
        <v>600</v>
      </c>
      <c r="B291" s="5"/>
      <c r="C291" s="5"/>
      <c r="D291" s="5"/>
      <c r="E291" s="5"/>
      <c r="F291" s="5"/>
      <c r="G291" s="5"/>
      <c r="H291" s="212"/>
      <c r="I291" s="212"/>
      <c r="J291" s="5"/>
      <c r="K291" s="5"/>
      <c r="L291" s="5"/>
      <c r="M291" s="5"/>
      <c r="N291" s="5"/>
      <c r="O291" s="5"/>
      <c r="P291" s="103"/>
      <c r="Q291" s="212"/>
      <c r="R291" s="213"/>
      <c r="S291" s="214"/>
      <c r="T291" s="18"/>
      <c r="U291" s="18"/>
      <c r="V291" s="97"/>
    </row>
    <row r="292" spans="1:22" s="14" customFormat="1" ht="18" hidden="1" customHeight="1">
      <c r="A292" s="96"/>
      <c r="B292" s="47" t="s">
        <v>601</v>
      </c>
      <c r="C292" s="5"/>
      <c r="D292" s="5"/>
      <c r="E292" s="5"/>
      <c r="I292" s="215"/>
      <c r="M292" s="5"/>
      <c r="O292" s="103" t="s">
        <v>127</v>
      </c>
      <c r="P292" s="853">
        <f>P161</f>
        <v>100</v>
      </c>
      <c r="Q292" s="1271"/>
      <c r="R292" s="14" t="s">
        <v>602</v>
      </c>
      <c r="S292" s="214"/>
      <c r="T292" s="18"/>
      <c r="U292" s="18"/>
      <c r="V292" s="97"/>
    </row>
    <row r="293" spans="1:22" s="14" customFormat="1" ht="18" hidden="1" customHeight="1">
      <c r="A293" s="96"/>
      <c r="B293" s="47" t="s">
        <v>603</v>
      </c>
      <c r="C293" s="5"/>
      <c r="D293" s="5"/>
      <c r="E293" s="5"/>
      <c r="I293" s="215"/>
      <c r="M293" s="5"/>
      <c r="O293" s="103" t="s">
        <v>127</v>
      </c>
      <c r="P293" s="853">
        <f>P162</f>
        <v>25</v>
      </c>
      <c r="Q293" s="1271"/>
      <c r="R293" s="14" t="s">
        <v>604</v>
      </c>
      <c r="S293" s="214"/>
      <c r="T293" s="18"/>
      <c r="U293" s="18"/>
      <c r="V293" s="97"/>
    </row>
    <row r="294" spans="1:22" s="14" customFormat="1" ht="18" hidden="1" customHeight="1">
      <c r="A294" s="96"/>
      <c r="B294" s="47" t="s">
        <v>605</v>
      </c>
      <c r="C294" s="5"/>
      <c r="D294" s="5"/>
      <c r="E294" s="5"/>
      <c r="N294" s="120" t="s">
        <v>606</v>
      </c>
      <c r="O294" s="103" t="s">
        <v>607</v>
      </c>
      <c r="P294" s="854">
        <f>P163</f>
        <v>132</v>
      </c>
      <c r="Q294" s="1270"/>
      <c r="R294" s="14" t="s">
        <v>163</v>
      </c>
      <c r="S294" s="214"/>
      <c r="T294" s="18"/>
      <c r="U294" s="18"/>
      <c r="V294" s="97"/>
    </row>
    <row r="295" spans="1:22" s="14" customFormat="1" ht="18" hidden="1" customHeight="1">
      <c r="A295" s="216"/>
      <c r="B295" s="212"/>
      <c r="C295" s="212"/>
      <c r="D295" s="212"/>
      <c r="E295" s="212"/>
      <c r="T295" s="18"/>
      <c r="U295" s="18"/>
      <c r="V295" s="97"/>
    </row>
    <row r="296" spans="1:22" s="14" customFormat="1" ht="18" hidden="1" customHeight="1">
      <c r="A296" s="96"/>
      <c r="B296" s="14" t="s">
        <v>608</v>
      </c>
      <c r="C296" s="213"/>
      <c r="D296" s="213"/>
      <c r="E296" s="213"/>
      <c r="H296" s="120" t="s">
        <v>609</v>
      </c>
      <c r="I296" s="28" t="s">
        <v>127</v>
      </c>
      <c r="J296" s="689" t="s">
        <v>610</v>
      </c>
      <c r="K296" s="689"/>
      <c r="L296" s="28" t="s">
        <v>315</v>
      </c>
      <c r="M296" s="217">
        <v>1000</v>
      </c>
      <c r="N296" s="102" t="s">
        <v>342</v>
      </c>
      <c r="O296" s="28" t="s">
        <v>611</v>
      </c>
      <c r="P296" s="28" t="s">
        <v>315</v>
      </c>
      <c r="Q296" s="28" t="s">
        <v>606</v>
      </c>
      <c r="R296" s="47"/>
      <c r="T296" s="18"/>
      <c r="U296" s="18"/>
      <c r="V296" s="97"/>
    </row>
    <row r="297" spans="1:22" s="14" customFormat="1" ht="18" hidden="1" customHeight="1">
      <c r="A297" s="216"/>
      <c r="B297" s="213"/>
      <c r="C297" s="213"/>
      <c r="D297" s="213"/>
      <c r="E297" s="213"/>
      <c r="F297" s="212"/>
      <c r="G297" s="212"/>
      <c r="H297" s="28"/>
      <c r="I297" s="28" t="s">
        <v>127</v>
      </c>
      <c r="J297" s="689">
        <f>P292</f>
        <v>100</v>
      </c>
      <c r="K297" s="689"/>
      <c r="L297" s="28" t="s">
        <v>315</v>
      </c>
      <c r="M297" s="217">
        <v>1000</v>
      </c>
      <c r="N297" s="102" t="s">
        <v>342</v>
      </c>
      <c r="O297" s="28" t="s">
        <v>611</v>
      </c>
      <c r="P297" s="28" t="s">
        <v>315</v>
      </c>
      <c r="Q297" s="28">
        <f>P294</f>
        <v>132</v>
      </c>
      <c r="R297" s="47"/>
      <c r="T297" s="18"/>
      <c r="U297" s="18"/>
      <c r="V297" s="97"/>
    </row>
    <row r="298" spans="1:22" s="14" customFormat="1" ht="18" hidden="1" customHeight="1">
      <c r="A298" s="216"/>
      <c r="B298" s="212"/>
      <c r="C298" s="212"/>
      <c r="D298" s="212"/>
      <c r="E298" s="212"/>
      <c r="F298" s="212"/>
      <c r="G298" s="212"/>
      <c r="I298" s="28" t="s">
        <v>127</v>
      </c>
      <c r="J298" s="692">
        <f>(P292*1000)/(SQRT(3)*P294)</f>
        <v>437.38656756789834</v>
      </c>
      <c r="K298" s="692"/>
      <c r="L298" s="14" t="s">
        <v>8</v>
      </c>
      <c r="M298" s="120"/>
      <c r="N298" s="120"/>
      <c r="O298" s="120"/>
      <c r="T298" s="18"/>
      <c r="U298" s="18"/>
      <c r="V298" s="97"/>
    </row>
    <row r="299" spans="1:22" s="14" customFormat="1" ht="18" hidden="1" customHeight="1">
      <c r="A299" s="216"/>
      <c r="B299" s="212"/>
      <c r="C299" s="212"/>
      <c r="D299" s="212"/>
      <c r="E299" s="212"/>
      <c r="G299" s="212"/>
      <c r="H299" s="28"/>
      <c r="I299" s="103"/>
      <c r="J299" s="28"/>
      <c r="M299" s="212"/>
      <c r="N299" s="219"/>
      <c r="O299" s="212"/>
      <c r="T299" s="18"/>
      <c r="U299" s="18"/>
      <c r="V299" s="97"/>
    </row>
    <row r="300" spans="1:22" s="14" customFormat="1" ht="18" hidden="1" customHeight="1">
      <c r="A300" s="147" t="s">
        <v>629</v>
      </c>
      <c r="B300" s="5"/>
      <c r="C300" s="5"/>
      <c r="D300" s="5"/>
      <c r="E300" s="5"/>
      <c r="F300" s="212"/>
      <c r="G300" s="212"/>
      <c r="H300" s="5"/>
      <c r="I300" s="5"/>
      <c r="J300" s="5"/>
      <c r="K300" s="5"/>
      <c r="L300" s="103"/>
      <c r="M300" s="103"/>
      <c r="N300" s="103"/>
      <c r="O300" s="103"/>
      <c r="P300" s="212"/>
      <c r="Q300" s="213"/>
      <c r="S300" s="220"/>
      <c r="T300" s="18"/>
      <c r="U300" s="18"/>
      <c r="V300" s="97"/>
    </row>
    <row r="301" spans="1:22" s="14" customFormat="1" ht="18" hidden="1" customHeight="1">
      <c r="A301" s="147"/>
      <c r="B301" s="5"/>
      <c r="C301" s="5"/>
      <c r="D301" s="5"/>
      <c r="E301" s="5"/>
      <c r="F301" s="212"/>
      <c r="G301" s="212"/>
      <c r="H301" s="5"/>
      <c r="I301" s="5"/>
      <c r="J301" s="5"/>
      <c r="K301" s="5"/>
      <c r="L301" s="103"/>
      <c r="M301" s="103"/>
      <c r="N301" s="103"/>
      <c r="O301" s="103"/>
      <c r="P301" s="212"/>
      <c r="Q301" s="213"/>
      <c r="S301" s="214"/>
      <c r="T301" s="18"/>
      <c r="U301" s="18"/>
      <c r="V301" s="97"/>
    </row>
    <row r="302" spans="1:22" ht="18" hidden="1" customHeight="1">
      <c r="A302" s="184"/>
      <c r="B302" s="14" t="s">
        <v>632</v>
      </c>
      <c r="C302" s="14"/>
      <c r="D302" s="14"/>
      <c r="E302" s="14"/>
      <c r="M302" s="120" t="s">
        <v>613</v>
      </c>
      <c r="N302" s="28" t="s">
        <v>127</v>
      </c>
      <c r="O302" s="689" t="s">
        <v>609</v>
      </c>
      <c r="P302" s="716"/>
      <c r="Q302" s="221" t="s">
        <v>630</v>
      </c>
      <c r="R302" s="221">
        <v>16</v>
      </c>
      <c r="S302" s="186"/>
      <c r="V302" s="185"/>
    </row>
    <row r="303" spans="1:22" ht="18" hidden="1" customHeight="1">
      <c r="A303" s="96"/>
      <c r="B303" s="5"/>
      <c r="C303" s="5"/>
      <c r="D303" s="5"/>
      <c r="E303" s="5"/>
      <c r="M303" s="250"/>
      <c r="N303" s="28" t="s">
        <v>127</v>
      </c>
      <c r="O303" s="692">
        <f>+J298</f>
        <v>437.38656756789834</v>
      </c>
      <c r="P303" s="1214"/>
      <c r="Q303" s="221" t="s">
        <v>630</v>
      </c>
      <c r="R303" s="221">
        <v>16</v>
      </c>
      <c r="S303" s="186"/>
      <c r="V303" s="185"/>
    </row>
    <row r="304" spans="1:22" ht="18" hidden="1" customHeight="1">
      <c r="A304" s="96"/>
      <c r="B304" s="5"/>
      <c r="C304" s="5"/>
      <c r="D304" s="5"/>
      <c r="E304" s="5"/>
      <c r="M304" s="120" t="s">
        <v>613</v>
      </c>
      <c r="N304" s="28" t="s">
        <v>127</v>
      </c>
      <c r="O304" s="689">
        <f>O303*R303</f>
        <v>6998.1850810863734</v>
      </c>
      <c r="P304" s="716"/>
      <c r="Q304" s="241" t="s">
        <v>8</v>
      </c>
      <c r="R304" s="14"/>
      <c r="S304" s="186"/>
      <c r="V304" s="185"/>
    </row>
    <row r="305" spans="1:22" ht="18" hidden="1" customHeight="1">
      <c r="A305" s="96"/>
      <c r="B305" s="5"/>
      <c r="C305" s="5"/>
      <c r="D305" s="5"/>
      <c r="E305" s="5"/>
      <c r="M305" s="212"/>
      <c r="N305" s="212"/>
      <c r="O305" s="103"/>
      <c r="Q305" s="223"/>
      <c r="R305" s="14"/>
      <c r="S305" s="214"/>
      <c r="V305" s="185"/>
    </row>
    <row r="306" spans="1:22" ht="18" hidden="1" customHeight="1">
      <c r="A306" s="678" t="s">
        <v>633</v>
      </c>
      <c r="B306" s="1207"/>
      <c r="C306" s="1207"/>
      <c r="D306" s="1207"/>
      <c r="E306" s="1207"/>
      <c r="F306" s="1207"/>
      <c r="G306" s="1207"/>
      <c r="H306" s="1207"/>
      <c r="I306" s="1207"/>
      <c r="J306" s="1207"/>
      <c r="K306" s="1207"/>
      <c r="L306" s="1207"/>
      <c r="M306" s="1207"/>
      <c r="N306" s="1207"/>
      <c r="O306" s="1207"/>
      <c r="P306" s="1207"/>
      <c r="Q306" s="1207"/>
      <c r="R306" s="1207"/>
      <c r="S306" s="1207"/>
      <c r="T306" s="1207"/>
      <c r="U306" s="1207"/>
      <c r="V306" s="1208"/>
    </row>
    <row r="307" spans="1:22" ht="18" hidden="1" customHeight="1">
      <c r="A307" s="1209"/>
      <c r="B307" s="1207"/>
      <c r="C307" s="1207"/>
      <c r="D307" s="1207"/>
      <c r="E307" s="1207"/>
      <c r="F307" s="1207"/>
      <c r="G307" s="1207"/>
      <c r="H307" s="1207"/>
      <c r="I307" s="1207"/>
      <c r="J307" s="1207"/>
      <c r="K307" s="1207"/>
      <c r="L307" s="1207"/>
      <c r="M307" s="1207"/>
      <c r="N307" s="1207"/>
      <c r="O307" s="1207"/>
      <c r="P307" s="1207"/>
      <c r="Q307" s="1207"/>
      <c r="R307" s="1207"/>
      <c r="S307" s="1207"/>
      <c r="T307" s="1207"/>
      <c r="U307" s="1207"/>
      <c r="V307" s="1208"/>
    </row>
    <row r="308" spans="1:22" ht="18" hidden="1" customHeight="1">
      <c r="A308" s="231"/>
      <c r="B308" s="232"/>
      <c r="C308" s="232"/>
      <c r="D308" s="232"/>
      <c r="E308" s="232"/>
      <c r="F308" s="232"/>
      <c r="G308" s="232"/>
      <c r="H308" s="232"/>
      <c r="I308" s="232"/>
      <c r="J308" s="232"/>
      <c r="K308" s="232"/>
      <c r="L308" s="232"/>
      <c r="M308" s="232"/>
      <c r="N308" s="232"/>
      <c r="O308" s="232"/>
      <c r="P308" s="232"/>
      <c r="Q308" s="232"/>
      <c r="R308" s="232"/>
      <c r="S308" s="232"/>
      <c r="T308" s="232"/>
      <c r="U308" s="232"/>
      <c r="V308" s="233"/>
    </row>
    <row r="309" spans="1:22" ht="18" hidden="1" customHeight="1">
      <c r="A309" s="231"/>
      <c r="B309" s="232"/>
      <c r="C309" s="232"/>
      <c r="D309" s="232"/>
      <c r="E309" s="232"/>
      <c r="F309" s="232"/>
      <c r="G309" s="232"/>
      <c r="H309" s="232"/>
      <c r="I309" s="232"/>
      <c r="J309" s="232"/>
      <c r="K309" s="232"/>
      <c r="L309" s="232"/>
      <c r="M309" s="232"/>
      <c r="N309" s="232"/>
      <c r="O309" s="232"/>
      <c r="P309" s="232"/>
      <c r="Q309" s="232"/>
      <c r="R309" s="232"/>
      <c r="S309" s="232"/>
      <c r="T309" s="232"/>
      <c r="U309" s="232"/>
      <c r="V309" s="233"/>
    </row>
    <row r="310" spans="1:22" ht="18" hidden="1" customHeight="1">
      <c r="A310" s="231"/>
      <c r="B310" s="232"/>
      <c r="C310" s="232"/>
      <c r="D310" s="232"/>
      <c r="E310" s="232"/>
      <c r="F310" s="232"/>
      <c r="G310" s="232"/>
      <c r="H310" s="232"/>
      <c r="I310" s="232"/>
      <c r="J310" s="232"/>
      <c r="K310" s="232"/>
      <c r="L310" s="232"/>
      <c r="M310" s="232"/>
      <c r="N310" s="232"/>
      <c r="O310" s="232"/>
      <c r="P310" s="232"/>
      <c r="Q310" s="232"/>
      <c r="R310" s="232"/>
      <c r="S310" s="232"/>
      <c r="T310" s="232"/>
      <c r="U310" s="232"/>
      <c r="V310" s="233"/>
    </row>
    <row r="311" spans="1:22" ht="18" hidden="1" customHeight="1">
      <c r="A311" s="231"/>
      <c r="B311" s="232"/>
      <c r="C311" s="232"/>
      <c r="D311" s="232"/>
      <c r="E311" s="232"/>
      <c r="F311" s="232"/>
      <c r="G311" s="232"/>
      <c r="H311" s="232"/>
      <c r="I311" s="232"/>
      <c r="J311" s="232"/>
      <c r="K311" s="232"/>
      <c r="L311" s="232"/>
      <c r="M311" s="232"/>
      <c r="N311" s="232"/>
      <c r="O311" s="232"/>
      <c r="P311" s="232"/>
      <c r="Q311" s="232"/>
      <c r="R311" s="232"/>
      <c r="S311" s="232"/>
      <c r="T311" s="232"/>
      <c r="U311" s="232"/>
      <c r="V311" s="233"/>
    </row>
    <row r="312" spans="1:22" ht="18" hidden="1" customHeight="1">
      <c r="A312" s="231"/>
      <c r="B312" s="232"/>
      <c r="C312" s="232"/>
      <c r="D312" s="232"/>
      <c r="E312" s="232"/>
      <c r="F312" s="232"/>
      <c r="G312" s="232"/>
      <c r="H312" s="232"/>
      <c r="I312" s="232"/>
      <c r="J312" s="232"/>
      <c r="K312" s="232"/>
      <c r="L312" s="232"/>
      <c r="M312" s="232"/>
      <c r="N312" s="232"/>
      <c r="O312" s="232"/>
      <c r="P312" s="232"/>
      <c r="Q312" s="232"/>
      <c r="R312" s="232"/>
      <c r="S312" s="232"/>
      <c r="T312" s="232"/>
      <c r="U312" s="232"/>
      <c r="V312" s="233"/>
    </row>
    <row r="313" spans="1:22" ht="18" hidden="1" customHeight="1">
      <c r="A313" s="96"/>
      <c r="B313" s="5"/>
      <c r="C313" s="5"/>
      <c r="D313" s="5"/>
      <c r="E313" s="5"/>
      <c r="M313" s="212"/>
      <c r="N313" s="212"/>
      <c r="O313" s="103"/>
      <c r="Q313" s="223"/>
      <c r="R313" s="14"/>
      <c r="S313" s="214"/>
      <c r="V313" s="185"/>
    </row>
    <row r="314" spans="1:22" ht="18" hidden="1" customHeight="1">
      <c r="A314" s="184"/>
      <c r="V314" s="185"/>
    </row>
    <row r="315" spans="1:22" ht="18" hidden="1" customHeight="1">
      <c r="A315" s="184"/>
      <c r="V315" s="185"/>
    </row>
    <row r="316" spans="1:22" s="14" customFormat="1" ht="18" hidden="1" customHeight="1">
      <c r="A316" s="194"/>
      <c r="B316" s="195"/>
      <c r="C316" s="195"/>
      <c r="D316" s="195"/>
      <c r="E316" s="195"/>
      <c r="F316" s="195"/>
      <c r="G316" s="195"/>
      <c r="H316" s="195"/>
      <c r="I316" s="195"/>
      <c r="J316" s="195"/>
      <c r="K316" s="195"/>
      <c r="L316" s="195"/>
      <c r="M316" s="195"/>
      <c r="N316" s="195"/>
      <c r="O316" s="195"/>
      <c r="P316" s="195"/>
      <c r="Q316" s="224"/>
      <c r="R316" s="182"/>
      <c r="S316" s="225"/>
      <c r="T316" s="195"/>
      <c r="U316" s="195"/>
      <c r="V316" s="134"/>
    </row>
    <row r="317" spans="1:22" ht="18" hidden="1" customHeight="1">
      <c r="A317" s="226"/>
      <c r="B317" s="227"/>
      <c r="C317" s="227"/>
      <c r="D317" s="227"/>
      <c r="E317" s="227"/>
      <c r="F317" s="227"/>
      <c r="G317" s="227"/>
      <c r="H317" s="227"/>
      <c r="I317" s="227"/>
      <c r="J317" s="227"/>
      <c r="K317" s="227"/>
      <c r="L317" s="227"/>
      <c r="M317" s="227"/>
      <c r="N317" s="227"/>
      <c r="O317" s="227"/>
      <c r="P317" s="227"/>
      <c r="Q317" s="227"/>
      <c r="R317" s="227"/>
      <c r="S317" s="227"/>
      <c r="T317" s="227"/>
      <c r="U317" s="227"/>
      <c r="V317" s="228"/>
    </row>
    <row r="318" spans="1:22" ht="18" hidden="1" customHeight="1">
      <c r="A318" s="799" t="s">
        <v>417</v>
      </c>
      <c r="B318" s="802"/>
      <c r="C318" s="802"/>
      <c r="D318" s="689">
        <v>30</v>
      </c>
      <c r="E318" s="689" t="s">
        <v>315</v>
      </c>
      <c r="F318" s="689" t="s">
        <v>609</v>
      </c>
      <c r="G318" s="684"/>
      <c r="H318" s="689" t="s">
        <v>315</v>
      </c>
      <c r="I318" s="708" t="s">
        <v>411</v>
      </c>
      <c r="J318" s="828"/>
      <c r="K318" s="689" t="s">
        <v>315</v>
      </c>
      <c r="L318" s="802" t="s">
        <v>419</v>
      </c>
      <c r="M318" s="716" t="s">
        <v>420</v>
      </c>
      <c r="N318" s="729" t="s">
        <v>347</v>
      </c>
      <c r="O318" s="716" t="s">
        <v>408</v>
      </c>
      <c r="P318" s="689" t="s">
        <v>347</v>
      </c>
      <c r="Q318" s="759" t="s">
        <v>421</v>
      </c>
      <c r="R318" s="797"/>
      <c r="S318" s="797"/>
      <c r="T318" s="798" t="s">
        <v>350</v>
      </c>
      <c r="U318" s="230" t="s">
        <v>422</v>
      </c>
      <c r="V318" s="97"/>
    </row>
    <row r="319" spans="1:22" ht="18" hidden="1" customHeight="1">
      <c r="A319" s="827"/>
      <c r="B319" s="802"/>
      <c r="C319" s="802"/>
      <c r="D319" s="689"/>
      <c r="E319" s="689"/>
      <c r="F319" s="684"/>
      <c r="G319" s="684"/>
      <c r="H319" s="689"/>
      <c r="I319" s="689" t="s">
        <v>423</v>
      </c>
      <c r="J319" s="723"/>
      <c r="K319" s="689"/>
      <c r="L319" s="802"/>
      <c r="M319" s="716"/>
      <c r="N319" s="729"/>
      <c r="O319" s="716"/>
      <c r="P319" s="689"/>
      <c r="Q319" s="28" t="s">
        <v>146</v>
      </c>
      <c r="R319" s="28" t="s">
        <v>315</v>
      </c>
      <c r="S319" s="28" t="s">
        <v>146</v>
      </c>
      <c r="T319" s="798"/>
      <c r="U319" s="14"/>
      <c r="V319" s="97"/>
    </row>
    <row r="320" spans="1:22" ht="18" hidden="1" customHeight="1">
      <c r="A320" s="184"/>
      <c r="V320" s="185"/>
    </row>
    <row r="321" spans="1:22" ht="18" hidden="1" customHeight="1">
      <c r="A321" s="799" t="s">
        <v>417</v>
      </c>
      <c r="B321" s="802"/>
      <c r="C321" s="802"/>
      <c r="D321" s="689">
        <v>2</v>
      </c>
      <c r="E321" s="689" t="s">
        <v>315</v>
      </c>
      <c r="F321" s="689" t="s">
        <v>613</v>
      </c>
      <c r="G321" s="684"/>
      <c r="H321" s="689" t="s">
        <v>315</v>
      </c>
      <c r="I321" s="708" t="s">
        <v>411</v>
      </c>
      <c r="J321" s="828"/>
      <c r="K321" s="689" t="s">
        <v>315</v>
      </c>
      <c r="L321" s="802" t="s">
        <v>419</v>
      </c>
      <c r="M321" s="716" t="s">
        <v>420</v>
      </c>
      <c r="N321" s="729" t="s">
        <v>347</v>
      </c>
      <c r="O321" s="716" t="s">
        <v>408</v>
      </c>
      <c r="P321" s="689" t="s">
        <v>347</v>
      </c>
      <c r="Q321" s="759" t="s">
        <v>421</v>
      </c>
      <c r="R321" s="797"/>
      <c r="S321" s="797"/>
      <c r="T321" s="798" t="s">
        <v>350</v>
      </c>
      <c r="U321" s="230" t="s">
        <v>426</v>
      </c>
      <c r="V321" s="97"/>
    </row>
    <row r="322" spans="1:22" ht="18" hidden="1" customHeight="1">
      <c r="A322" s="827"/>
      <c r="B322" s="802"/>
      <c r="C322" s="802"/>
      <c r="D322" s="689"/>
      <c r="E322" s="689"/>
      <c r="F322" s="684"/>
      <c r="G322" s="684"/>
      <c r="H322" s="689"/>
      <c r="I322" s="689" t="s">
        <v>423</v>
      </c>
      <c r="J322" s="723"/>
      <c r="K322" s="689"/>
      <c r="L322" s="802"/>
      <c r="M322" s="716"/>
      <c r="N322" s="729"/>
      <c r="O322" s="716"/>
      <c r="P322" s="689"/>
      <c r="Q322" s="28" t="s">
        <v>146</v>
      </c>
      <c r="R322" s="28" t="s">
        <v>315</v>
      </c>
      <c r="S322" s="28" t="s">
        <v>146</v>
      </c>
      <c r="T322" s="798"/>
      <c r="U322" s="14"/>
      <c r="V322" s="97"/>
    </row>
    <row r="323" spans="1:22" ht="18" hidden="1" customHeight="1">
      <c r="A323" s="184"/>
      <c r="V323" s="185"/>
    </row>
    <row r="324" spans="1:22" ht="18" hidden="1" customHeight="1">
      <c r="A324" s="678" t="s">
        <v>616</v>
      </c>
      <c r="B324" s="1207"/>
      <c r="C324" s="1207"/>
      <c r="D324" s="1207"/>
      <c r="E324" s="1207"/>
      <c r="F324" s="1207"/>
      <c r="G324" s="1207"/>
      <c r="H324" s="1207"/>
      <c r="I324" s="1207"/>
      <c r="J324" s="1207"/>
      <c r="K324" s="1207"/>
      <c r="L324" s="1207"/>
      <c r="M324" s="1207"/>
      <c r="N324" s="1207"/>
      <c r="O324" s="1207"/>
      <c r="P324" s="1207"/>
      <c r="Q324" s="1207"/>
      <c r="R324" s="1207"/>
      <c r="S324" s="1207"/>
      <c r="T324" s="1207"/>
      <c r="U324" s="1207"/>
      <c r="V324" s="1208"/>
    </row>
    <row r="325" spans="1:22" ht="18" hidden="1" customHeight="1">
      <c r="A325" s="1209"/>
      <c r="B325" s="1207"/>
      <c r="C325" s="1207"/>
      <c r="D325" s="1207"/>
      <c r="E325" s="1207"/>
      <c r="F325" s="1207"/>
      <c r="G325" s="1207"/>
      <c r="H325" s="1207"/>
      <c r="I325" s="1207"/>
      <c r="J325" s="1207"/>
      <c r="K325" s="1207"/>
      <c r="L325" s="1207"/>
      <c r="M325" s="1207"/>
      <c r="N325" s="1207"/>
      <c r="O325" s="1207"/>
      <c r="P325" s="1207"/>
      <c r="Q325" s="1207"/>
      <c r="R325" s="1207"/>
      <c r="S325" s="1207"/>
      <c r="T325" s="1207"/>
      <c r="U325" s="1207"/>
      <c r="V325" s="1208"/>
    </row>
    <row r="326" spans="1:22" ht="18" hidden="1" customHeight="1">
      <c r="A326" s="231"/>
      <c r="B326" s="232"/>
      <c r="C326" s="232"/>
      <c r="D326" s="232"/>
      <c r="E326" s="232"/>
      <c r="F326" s="232"/>
      <c r="G326" s="232"/>
      <c r="H326" s="232"/>
      <c r="I326" s="232"/>
      <c r="J326" s="232"/>
      <c r="K326" s="232"/>
      <c r="L326" s="232"/>
      <c r="M326" s="232"/>
      <c r="N326" s="232"/>
      <c r="O326" s="232"/>
      <c r="P326" s="232"/>
      <c r="Q326" s="232"/>
      <c r="R326" s="232"/>
      <c r="S326" s="232"/>
      <c r="T326" s="232"/>
      <c r="U326" s="232"/>
      <c r="V326" s="233"/>
    </row>
    <row r="327" spans="1:22" ht="18" hidden="1" customHeight="1">
      <c r="A327" s="799" t="s">
        <v>417</v>
      </c>
      <c r="B327" s="802"/>
      <c r="C327" s="802"/>
      <c r="D327" s="689"/>
      <c r="E327" s="689"/>
      <c r="F327" s="689" t="s">
        <v>617</v>
      </c>
      <c r="G327" s="684"/>
      <c r="H327" s="689" t="s">
        <v>315</v>
      </c>
      <c r="I327" s="708" t="s">
        <v>411</v>
      </c>
      <c r="J327" s="828"/>
      <c r="K327" s="689" t="s">
        <v>315</v>
      </c>
      <c r="L327" s="802" t="s">
        <v>419</v>
      </c>
      <c r="M327" s="716" t="s">
        <v>420</v>
      </c>
      <c r="N327" s="729" t="s">
        <v>347</v>
      </c>
      <c r="O327" s="716" t="s">
        <v>408</v>
      </c>
      <c r="P327" s="689" t="s">
        <v>347</v>
      </c>
      <c r="Q327" s="759" t="s">
        <v>421</v>
      </c>
      <c r="R327" s="797"/>
      <c r="S327" s="797"/>
      <c r="T327" s="798" t="s">
        <v>350</v>
      </c>
      <c r="U327" s="230" t="s">
        <v>618</v>
      </c>
      <c r="V327" s="97"/>
    </row>
    <row r="328" spans="1:22" ht="18" hidden="1" customHeight="1">
      <c r="A328" s="827"/>
      <c r="B328" s="802"/>
      <c r="C328" s="802"/>
      <c r="D328" s="689"/>
      <c r="E328" s="689"/>
      <c r="F328" s="684"/>
      <c r="G328" s="684"/>
      <c r="H328" s="689"/>
      <c r="I328" s="689" t="s">
        <v>423</v>
      </c>
      <c r="J328" s="723"/>
      <c r="K328" s="689"/>
      <c r="L328" s="802"/>
      <c r="M328" s="716"/>
      <c r="N328" s="729"/>
      <c r="O328" s="716"/>
      <c r="P328" s="689"/>
      <c r="Q328" s="28" t="s">
        <v>146</v>
      </c>
      <c r="R328" s="28" t="s">
        <v>315</v>
      </c>
      <c r="S328" s="28" t="s">
        <v>146</v>
      </c>
      <c r="T328" s="798"/>
      <c r="U328" s="14"/>
      <c r="V328" s="97"/>
    </row>
    <row r="329" spans="1:22" ht="18" hidden="1" customHeight="1">
      <c r="A329" s="96"/>
      <c r="B329" s="14"/>
      <c r="C329" s="14"/>
      <c r="D329" s="28"/>
      <c r="E329" s="28"/>
      <c r="F329" s="27"/>
      <c r="G329" s="27"/>
      <c r="H329" s="28"/>
      <c r="I329" s="28"/>
      <c r="K329" s="28"/>
      <c r="L329" s="120"/>
      <c r="M329" s="14"/>
      <c r="N329" s="102"/>
      <c r="O329" s="14"/>
      <c r="P329" s="28"/>
      <c r="Q329" s="28"/>
      <c r="R329" s="28"/>
      <c r="S329" s="28"/>
      <c r="T329" s="40"/>
      <c r="U329" s="14"/>
      <c r="V329" s="97"/>
    </row>
    <row r="330" spans="1:22" ht="18" hidden="1" customHeight="1">
      <c r="A330" s="184"/>
      <c r="H330" s="30" t="s">
        <v>619</v>
      </c>
      <c r="M330" s="854" t="str">
        <f>M195</f>
        <v>N</v>
      </c>
      <c r="N330" s="831"/>
      <c r="V330" s="185"/>
    </row>
    <row r="331" spans="1:22" ht="18" hidden="1" customHeight="1">
      <c r="A331" s="96"/>
      <c r="B331" s="14"/>
      <c r="C331" s="14"/>
      <c r="D331" s="28"/>
      <c r="E331" s="28"/>
      <c r="F331" s="27"/>
      <c r="G331" s="27"/>
      <c r="H331" s="28"/>
      <c r="I331" s="28"/>
      <c r="K331" s="28"/>
      <c r="L331" s="120"/>
      <c r="M331" s="14"/>
      <c r="N331" s="102"/>
      <c r="O331" s="14"/>
      <c r="P331" s="28"/>
      <c r="Q331" s="28"/>
      <c r="R331" s="28"/>
      <c r="S331" s="28"/>
      <c r="T331" s="40"/>
      <c r="U331" s="14"/>
      <c r="V331" s="97"/>
    </row>
    <row r="332" spans="1:22" ht="18" hidden="1" customHeight="1">
      <c r="A332" s="184"/>
      <c r="B332" s="14" t="s">
        <v>427</v>
      </c>
      <c r="C332" s="14"/>
      <c r="D332" s="103"/>
      <c r="E332" s="103"/>
      <c r="F332" s="14"/>
      <c r="G332" s="14"/>
      <c r="H332" s="5"/>
      <c r="I332" s="5"/>
      <c r="J332" s="5"/>
      <c r="P332" s="120" t="s">
        <v>428</v>
      </c>
      <c r="V332" s="185"/>
    </row>
    <row r="333" spans="1:22" ht="18" hidden="1" customHeight="1">
      <c r="A333" s="184"/>
      <c r="B333" s="14" t="s">
        <v>429</v>
      </c>
      <c r="C333" s="14"/>
      <c r="D333" s="103"/>
      <c r="E333" s="103"/>
      <c r="F333" s="14"/>
      <c r="G333" s="14"/>
      <c r="H333" s="5"/>
      <c r="I333" s="5"/>
      <c r="J333" s="5"/>
      <c r="P333" s="120" t="s">
        <v>430</v>
      </c>
      <c r="Q333" s="234" t="s">
        <v>127</v>
      </c>
      <c r="R333" s="684" t="str">
        <f>L277</f>
        <v>-</v>
      </c>
      <c r="S333" s="684"/>
      <c r="T333" s="14" t="s">
        <v>8</v>
      </c>
      <c r="V333" s="185"/>
    </row>
    <row r="334" spans="1:22" ht="18" hidden="1" customHeight="1">
      <c r="A334" s="184"/>
      <c r="B334" s="14" t="s">
        <v>621</v>
      </c>
      <c r="C334" s="14"/>
      <c r="D334" s="14"/>
      <c r="E334" s="14"/>
      <c r="F334" s="14"/>
      <c r="G334" s="14"/>
      <c r="H334" s="14"/>
      <c r="I334" s="14"/>
      <c r="J334" s="14"/>
      <c r="P334" s="120" t="s">
        <v>609</v>
      </c>
      <c r="Q334" s="234" t="s">
        <v>127</v>
      </c>
      <c r="R334" s="684">
        <f>J298</f>
        <v>437.38656756789834</v>
      </c>
      <c r="S334" s="684"/>
      <c r="T334" s="14" t="s">
        <v>8</v>
      </c>
      <c r="V334" s="185"/>
    </row>
    <row r="335" spans="1:22" ht="18" hidden="1" customHeight="1">
      <c r="A335" s="184"/>
      <c r="B335" s="14" t="s">
        <v>622</v>
      </c>
      <c r="C335" s="14"/>
      <c r="D335" s="14"/>
      <c r="E335" s="14"/>
      <c r="F335" s="14"/>
      <c r="G335" s="14"/>
      <c r="H335" s="14"/>
      <c r="I335" s="14"/>
      <c r="J335" s="14"/>
      <c r="P335" s="120" t="s">
        <v>613</v>
      </c>
      <c r="Q335" s="234" t="s">
        <v>127</v>
      </c>
      <c r="R335" s="684">
        <f>O304</f>
        <v>6998.1850810863734</v>
      </c>
      <c r="S335" s="684"/>
      <c r="T335" s="14" t="s">
        <v>8</v>
      </c>
      <c r="V335" s="185"/>
    </row>
    <row r="336" spans="1:22" ht="18" hidden="1" customHeight="1">
      <c r="A336" s="184"/>
      <c r="B336" s="235" t="s">
        <v>623</v>
      </c>
      <c r="C336" s="14"/>
      <c r="D336" s="14"/>
      <c r="E336" s="14"/>
      <c r="F336" s="14"/>
      <c r="G336" s="14"/>
      <c r="H336" s="14"/>
      <c r="I336" s="14"/>
      <c r="J336" s="14"/>
      <c r="P336" s="120"/>
      <c r="Q336" s="236"/>
      <c r="R336" s="27"/>
      <c r="S336" s="27"/>
      <c r="T336" s="14"/>
      <c r="V336" s="185"/>
    </row>
    <row r="337" spans="1:22" ht="18" hidden="1" customHeight="1">
      <c r="A337" s="184"/>
      <c r="B337" s="14" t="s">
        <v>622</v>
      </c>
      <c r="C337" s="14"/>
      <c r="D337" s="14"/>
      <c r="E337" s="14"/>
      <c r="F337" s="14"/>
      <c r="G337" s="14"/>
      <c r="H337" s="14"/>
      <c r="I337" s="14"/>
      <c r="J337" s="14"/>
      <c r="P337" s="120" t="s">
        <v>617</v>
      </c>
      <c r="Q337" s="234" t="s">
        <v>127</v>
      </c>
      <c r="R337" s="684" t="str">
        <f>R202</f>
        <v>-</v>
      </c>
      <c r="S337" s="684"/>
      <c r="T337" s="14" t="s">
        <v>8</v>
      </c>
      <c r="V337" s="185"/>
    </row>
    <row r="338" spans="1:22" ht="18" hidden="1" customHeight="1">
      <c r="A338" s="184"/>
      <c r="B338" s="235" t="s">
        <v>624</v>
      </c>
      <c r="C338" s="14"/>
      <c r="D338" s="14"/>
      <c r="E338" s="14"/>
      <c r="F338" s="14"/>
      <c r="G338" s="14"/>
      <c r="H338" s="14"/>
      <c r="I338" s="14"/>
      <c r="J338" s="14"/>
      <c r="R338" s="27"/>
      <c r="S338" s="27"/>
      <c r="T338" s="14"/>
      <c r="V338" s="185"/>
    </row>
    <row r="339" spans="1:22" ht="18" hidden="1" customHeight="1">
      <c r="A339" s="184"/>
      <c r="B339" s="14" t="s">
        <v>435</v>
      </c>
      <c r="C339" s="14"/>
      <c r="D339" s="103"/>
      <c r="E339" s="103"/>
      <c r="F339" s="14"/>
      <c r="G339" s="14"/>
      <c r="H339" s="5"/>
      <c r="I339" s="5"/>
      <c r="J339" s="5"/>
      <c r="P339" s="120" t="s">
        <v>436</v>
      </c>
      <c r="Q339" s="234" t="s">
        <v>127</v>
      </c>
      <c r="R339" s="684">
        <f>O277</f>
        <v>1</v>
      </c>
      <c r="S339" s="684"/>
      <c r="T339" s="14" t="s">
        <v>8</v>
      </c>
      <c r="V339" s="185"/>
    </row>
    <row r="340" spans="1:22" ht="18" hidden="1" customHeight="1">
      <c r="A340" s="184"/>
      <c r="B340" s="14" t="s">
        <v>437</v>
      </c>
      <c r="C340" s="14"/>
      <c r="D340" s="103"/>
      <c r="E340" s="103"/>
      <c r="F340" s="14"/>
      <c r="G340" s="14"/>
      <c r="H340" s="5"/>
      <c r="I340" s="5"/>
      <c r="J340" s="5"/>
      <c r="P340" s="120" t="s">
        <v>438</v>
      </c>
      <c r="Q340" s="234" t="s">
        <v>127</v>
      </c>
      <c r="R340" s="684">
        <f>R205</f>
        <v>1</v>
      </c>
      <c r="S340" s="684"/>
      <c r="T340" s="14" t="s">
        <v>8</v>
      </c>
      <c r="V340" s="185"/>
    </row>
    <row r="341" spans="1:22" ht="18" hidden="1" customHeight="1">
      <c r="A341" s="184"/>
      <c r="B341" s="14" t="s">
        <v>439</v>
      </c>
      <c r="C341" s="14"/>
      <c r="D341" s="103"/>
      <c r="E341" s="103"/>
      <c r="F341" s="14"/>
      <c r="G341" s="14"/>
      <c r="H341" s="5"/>
      <c r="I341" s="5"/>
      <c r="J341" s="5"/>
      <c r="P341" s="120" t="s">
        <v>440</v>
      </c>
      <c r="Q341" s="234" t="s">
        <v>127</v>
      </c>
      <c r="R341" s="684" t="str">
        <f>L279</f>
        <v>-</v>
      </c>
      <c r="S341" s="684"/>
      <c r="T341" s="192" t="s">
        <v>333</v>
      </c>
      <c r="V341" s="185"/>
    </row>
    <row r="342" spans="1:22" ht="18" hidden="1" customHeight="1">
      <c r="A342" s="184"/>
      <c r="B342" s="14" t="s">
        <v>625</v>
      </c>
      <c r="C342" s="14"/>
      <c r="D342" s="14"/>
      <c r="E342" s="14"/>
      <c r="F342" s="14"/>
      <c r="G342" s="14"/>
      <c r="H342" s="14"/>
      <c r="I342" s="14"/>
      <c r="J342" s="14"/>
      <c r="P342" s="237" t="s">
        <v>441</v>
      </c>
      <c r="Q342" s="234" t="s">
        <v>127</v>
      </c>
      <c r="R342" s="795">
        <f>P289</f>
        <v>1.1667743100000001</v>
      </c>
      <c r="S342" s="684"/>
      <c r="T342" s="192" t="s">
        <v>333</v>
      </c>
      <c r="V342" s="185"/>
    </row>
    <row r="343" spans="1:22" ht="18" hidden="1" customHeight="1">
      <c r="A343" s="184"/>
      <c r="B343" s="40" t="s">
        <v>442</v>
      </c>
      <c r="C343" s="14"/>
      <c r="D343" s="14"/>
      <c r="E343" s="14"/>
      <c r="F343" s="14"/>
      <c r="G343" s="14"/>
      <c r="H343" s="5"/>
      <c r="I343" s="5"/>
      <c r="J343" s="5"/>
      <c r="P343" s="237" t="s">
        <v>443</v>
      </c>
      <c r="Q343" s="234" t="s">
        <v>127</v>
      </c>
      <c r="R343" s="795">
        <f>J285</f>
        <v>0.02</v>
      </c>
      <c r="S343" s="684"/>
      <c r="T343" s="14" t="s">
        <v>157</v>
      </c>
      <c r="V343" s="185"/>
    </row>
    <row r="344" spans="1:22" ht="18" hidden="1" customHeight="1">
      <c r="A344" s="184"/>
      <c r="V344" s="185"/>
    </row>
    <row r="345" spans="1:22" ht="18" hidden="1" customHeight="1">
      <c r="A345" s="799" t="s">
        <v>417</v>
      </c>
      <c r="B345" s="802"/>
      <c r="C345" s="802"/>
      <c r="D345" s="805">
        <v>30</v>
      </c>
      <c r="E345" s="805" t="s">
        <v>315</v>
      </c>
      <c r="F345" s="1184">
        <f>R334</f>
        <v>437.38656756789834</v>
      </c>
      <c r="G345" s="1111"/>
      <c r="H345" s="805" t="s">
        <v>315</v>
      </c>
      <c r="I345" s="822">
        <f>R339</f>
        <v>1</v>
      </c>
      <c r="J345" s="1269"/>
      <c r="K345" s="805" t="s">
        <v>315</v>
      </c>
      <c r="L345" s="815" t="s">
        <v>419</v>
      </c>
      <c r="M345" s="815" t="str">
        <f>R341</f>
        <v>-</v>
      </c>
      <c r="N345" s="816" t="s">
        <v>347</v>
      </c>
      <c r="O345" s="817">
        <f>R342</f>
        <v>1.1667743100000001</v>
      </c>
      <c r="P345" s="805" t="s">
        <v>347</v>
      </c>
      <c r="Q345" s="1259">
        <f>R343</f>
        <v>0.02</v>
      </c>
      <c r="R345" s="807"/>
      <c r="S345" s="807"/>
      <c r="T345" s="798" t="s">
        <v>350</v>
      </c>
      <c r="U345" s="230" t="s">
        <v>422</v>
      </c>
      <c r="V345" s="97"/>
    </row>
    <row r="346" spans="1:22" ht="18" hidden="1" customHeight="1">
      <c r="A346" s="827"/>
      <c r="B346" s="802"/>
      <c r="C346" s="802"/>
      <c r="D346" s="805"/>
      <c r="E346" s="805"/>
      <c r="F346" s="1111"/>
      <c r="G346" s="1111"/>
      <c r="H346" s="805"/>
      <c r="I346" s="805" t="str">
        <f>R333</f>
        <v>-</v>
      </c>
      <c r="J346" s="1234"/>
      <c r="K346" s="805"/>
      <c r="L346" s="815"/>
      <c r="M346" s="815"/>
      <c r="N346" s="816"/>
      <c r="O346" s="815"/>
      <c r="P346" s="805"/>
      <c r="Q346" s="221">
        <f>R340</f>
        <v>1</v>
      </c>
      <c r="R346" s="221" t="s">
        <v>315</v>
      </c>
      <c r="S346" s="221">
        <f>R340</f>
        <v>1</v>
      </c>
      <c r="T346" s="798"/>
      <c r="U346" s="14"/>
      <c r="V346" s="97"/>
    </row>
    <row r="347" spans="1:22" ht="18" hidden="1" customHeight="1">
      <c r="A347" s="184"/>
      <c r="V347" s="185"/>
    </row>
    <row r="348" spans="1:22" ht="18" hidden="1" customHeight="1">
      <c r="A348" s="184"/>
      <c r="C348" s="30" t="s">
        <v>127</v>
      </c>
      <c r="D348" s="812" t="e">
        <f>D345*F345*(I345/I346)*(M345+O345+(Q345/(Q346*S346)))</f>
        <v>#VALUE!</v>
      </c>
      <c r="E348" s="813"/>
      <c r="F348" s="30" t="s">
        <v>305</v>
      </c>
      <c r="V348" s="185"/>
    </row>
    <row r="349" spans="1:22" ht="18" hidden="1" customHeight="1">
      <c r="A349" s="184"/>
      <c r="V349" s="185"/>
    </row>
    <row r="350" spans="1:22" ht="18" hidden="1" customHeight="1">
      <c r="A350" s="799" t="s">
        <v>417</v>
      </c>
      <c r="B350" s="802"/>
      <c r="C350" s="802"/>
      <c r="D350" s="805">
        <v>2</v>
      </c>
      <c r="E350" s="805" t="s">
        <v>315</v>
      </c>
      <c r="F350" s="1184">
        <f>R335</f>
        <v>6998.1850810863734</v>
      </c>
      <c r="G350" s="1111"/>
      <c r="H350" s="805" t="s">
        <v>315</v>
      </c>
      <c r="I350" s="822">
        <f>R339</f>
        <v>1</v>
      </c>
      <c r="J350" s="1269"/>
      <c r="K350" s="805" t="s">
        <v>315</v>
      </c>
      <c r="L350" s="808" t="s">
        <v>419</v>
      </c>
      <c r="M350" s="815" t="str">
        <f>R341</f>
        <v>-</v>
      </c>
      <c r="N350" s="816" t="s">
        <v>347</v>
      </c>
      <c r="O350" s="817">
        <f>R342</f>
        <v>1.1667743100000001</v>
      </c>
      <c r="P350" s="805" t="s">
        <v>347</v>
      </c>
      <c r="Q350" s="1259">
        <f>R343</f>
        <v>0.02</v>
      </c>
      <c r="R350" s="807"/>
      <c r="S350" s="807"/>
      <c r="T350" s="798" t="s">
        <v>350</v>
      </c>
      <c r="U350" s="230" t="s">
        <v>426</v>
      </c>
      <c r="V350" s="97"/>
    </row>
    <row r="351" spans="1:22" ht="18" hidden="1" customHeight="1">
      <c r="A351" s="827"/>
      <c r="B351" s="802"/>
      <c r="C351" s="802"/>
      <c r="D351" s="805"/>
      <c r="E351" s="805"/>
      <c r="F351" s="1111"/>
      <c r="G351" s="1111"/>
      <c r="H351" s="805"/>
      <c r="I351" s="805" t="str">
        <f>R333</f>
        <v>-</v>
      </c>
      <c r="J351" s="1234"/>
      <c r="K351" s="805"/>
      <c r="L351" s="808"/>
      <c r="M351" s="815"/>
      <c r="N351" s="816"/>
      <c r="O351" s="815"/>
      <c r="P351" s="805"/>
      <c r="Q351" s="221">
        <f>R340</f>
        <v>1</v>
      </c>
      <c r="R351" s="221" t="s">
        <v>315</v>
      </c>
      <c r="S351" s="221">
        <f>R340</f>
        <v>1</v>
      </c>
      <c r="T351" s="798"/>
      <c r="U351" s="14"/>
      <c r="V351" s="97"/>
    </row>
    <row r="352" spans="1:22" ht="18" hidden="1" customHeight="1">
      <c r="A352" s="184"/>
      <c r="L352" s="244"/>
      <c r="V352" s="185"/>
    </row>
    <row r="353" spans="1:22" ht="18" hidden="1" customHeight="1">
      <c r="A353" s="184"/>
      <c r="C353" s="30" t="s">
        <v>127</v>
      </c>
      <c r="D353" s="812" t="e">
        <f>D350*F350*(I350/I351)*(M350+O350+(Q350/(Q351*S351)))</f>
        <v>#VALUE!</v>
      </c>
      <c r="E353" s="813"/>
      <c r="F353" s="30" t="s">
        <v>305</v>
      </c>
      <c r="L353" s="244"/>
      <c r="V353" s="185"/>
    </row>
    <row r="354" spans="1:22" ht="18" hidden="1" customHeight="1">
      <c r="A354" s="184"/>
      <c r="L354" s="244"/>
      <c r="V354" s="185"/>
    </row>
    <row r="355" spans="1:22" ht="18" hidden="1" customHeight="1">
      <c r="A355" s="799" t="s">
        <v>417</v>
      </c>
      <c r="B355" s="802"/>
      <c r="C355" s="802"/>
      <c r="D355" s="689"/>
      <c r="E355" s="689"/>
      <c r="F355" s="805" t="str">
        <f>R337</f>
        <v>-</v>
      </c>
      <c r="G355" s="993"/>
      <c r="H355" s="805" t="s">
        <v>315</v>
      </c>
      <c r="I355" s="822">
        <f>R339</f>
        <v>1</v>
      </c>
      <c r="J355" s="1269"/>
      <c r="K355" s="805" t="s">
        <v>315</v>
      </c>
      <c r="L355" s="808" t="s">
        <v>419</v>
      </c>
      <c r="M355" s="815" t="str">
        <f>R341</f>
        <v>-</v>
      </c>
      <c r="N355" s="816" t="s">
        <v>347</v>
      </c>
      <c r="O355" s="817">
        <f>R342</f>
        <v>1.1667743100000001</v>
      </c>
      <c r="P355" s="805" t="s">
        <v>347</v>
      </c>
      <c r="Q355" s="1259">
        <f>R343</f>
        <v>0.02</v>
      </c>
      <c r="R355" s="807"/>
      <c r="S355" s="807"/>
      <c r="T355" s="798" t="s">
        <v>350</v>
      </c>
      <c r="U355" s="230" t="s">
        <v>618</v>
      </c>
      <c r="V355" s="97"/>
    </row>
    <row r="356" spans="1:22" ht="18" hidden="1" customHeight="1">
      <c r="A356" s="827"/>
      <c r="B356" s="802"/>
      <c r="C356" s="802"/>
      <c r="D356" s="689"/>
      <c r="E356" s="689"/>
      <c r="F356" s="993"/>
      <c r="G356" s="993"/>
      <c r="H356" s="805"/>
      <c r="I356" s="805" t="str">
        <f>R333</f>
        <v>-</v>
      </c>
      <c r="J356" s="1234"/>
      <c r="K356" s="805"/>
      <c r="L356" s="808"/>
      <c r="M356" s="815"/>
      <c r="N356" s="816"/>
      <c r="O356" s="815"/>
      <c r="P356" s="805"/>
      <c r="Q356" s="221">
        <f>R340</f>
        <v>1</v>
      </c>
      <c r="R356" s="221" t="s">
        <v>315</v>
      </c>
      <c r="S356" s="221">
        <f>R340</f>
        <v>1</v>
      </c>
      <c r="T356" s="798"/>
      <c r="U356" s="14"/>
      <c r="V356" s="97"/>
    </row>
    <row r="357" spans="1:22" ht="18" hidden="1" customHeight="1">
      <c r="A357" s="184"/>
      <c r="V357" s="185"/>
    </row>
    <row r="358" spans="1:22" ht="18" hidden="1" customHeight="1">
      <c r="A358" s="184"/>
      <c r="C358" s="30" t="s">
        <v>127</v>
      </c>
      <c r="D358" s="812" t="e">
        <f>F355*(I355/I356)*(M355+O355+(Q355/(Q356*S356)))</f>
        <v>#VALUE!</v>
      </c>
      <c r="E358" s="813"/>
      <c r="F358" s="30" t="s">
        <v>305</v>
      </c>
      <c r="G358" s="187" t="s">
        <v>378</v>
      </c>
      <c r="H358" s="186" t="str">
        <f>IF(M330="y","Applicable","Not applicable")</f>
        <v>Not applicable</v>
      </c>
      <c r="V358" s="185"/>
    </row>
    <row r="359" spans="1:22" ht="18" hidden="1" customHeight="1">
      <c r="A359" s="184"/>
      <c r="V359" s="185"/>
    </row>
    <row r="360" spans="1:22" s="14" customFormat="1" ht="18" hidden="1" customHeight="1">
      <c r="A360" s="194"/>
      <c r="B360" s="195"/>
      <c r="C360" s="195"/>
      <c r="D360" s="195"/>
      <c r="E360" s="195"/>
      <c r="F360" s="195"/>
      <c r="G360" s="195"/>
      <c r="H360" s="195"/>
      <c r="I360" s="195"/>
      <c r="J360" s="195"/>
      <c r="K360" s="195"/>
      <c r="L360" s="195"/>
      <c r="M360" s="195"/>
      <c r="N360" s="195"/>
      <c r="O360" s="195"/>
      <c r="P360" s="195"/>
      <c r="Q360" s="224"/>
      <c r="R360" s="182"/>
      <c r="S360" s="225"/>
      <c r="T360" s="195"/>
      <c r="U360" s="195"/>
      <c r="V360" s="134"/>
    </row>
    <row r="361" spans="1:22" ht="18" hidden="1" customHeight="1">
      <c r="A361" s="226"/>
      <c r="B361" s="227"/>
      <c r="C361" s="227"/>
      <c r="D361" s="227"/>
      <c r="E361" s="227"/>
      <c r="F361" s="227"/>
      <c r="G361" s="227"/>
      <c r="H361" s="227"/>
      <c r="I361" s="227"/>
      <c r="J361" s="227"/>
      <c r="K361" s="227"/>
      <c r="L361" s="227"/>
      <c r="M361" s="227"/>
      <c r="N361" s="227"/>
      <c r="O361" s="227"/>
      <c r="P361" s="227"/>
      <c r="Q361" s="227"/>
      <c r="R361" s="227"/>
      <c r="S361" s="227"/>
      <c r="T361" s="227"/>
      <c r="U361" s="227"/>
      <c r="V361" s="228"/>
    </row>
    <row r="362" spans="1:22" ht="18" hidden="1" customHeight="1">
      <c r="A362" s="184" t="s">
        <v>634</v>
      </c>
      <c r="M362" s="825" t="str">
        <f>R333</f>
        <v>-</v>
      </c>
      <c r="N362" s="826"/>
      <c r="O362" s="30" t="s">
        <v>470</v>
      </c>
      <c r="Q362" s="812" t="e">
        <f>IF(M330="Y",MAX(D348,D358),MAX(D348,D353))</f>
        <v>#VALUE!</v>
      </c>
      <c r="R362" s="820"/>
      <c r="S362" s="30" t="s">
        <v>305</v>
      </c>
      <c r="V362" s="185"/>
    </row>
    <row r="363" spans="1:22" ht="18" hidden="1" customHeight="1">
      <c r="A363" s="184"/>
      <c r="M363" s="247"/>
      <c r="N363" s="247"/>
      <c r="Q363" s="211"/>
      <c r="R363" s="27"/>
      <c r="V363" s="185"/>
    </row>
    <row r="364" spans="1:22" ht="18" hidden="1" customHeight="1">
      <c r="A364" s="248" t="s">
        <v>471</v>
      </c>
      <c r="B364" s="14"/>
      <c r="C364" s="14"/>
      <c r="D364" s="249"/>
      <c r="E364" s="14"/>
      <c r="F364" s="14"/>
      <c r="G364" s="47"/>
      <c r="H364" s="14"/>
      <c r="J364" s="14"/>
      <c r="K364" s="14"/>
      <c r="L364" s="14"/>
      <c r="M364" s="14"/>
      <c r="N364" s="14"/>
      <c r="O364" s="14"/>
      <c r="P364" s="250"/>
      <c r="Q364" s="251"/>
      <c r="R364" s="47"/>
      <c r="S364" s="14"/>
      <c r="V364" s="185"/>
    </row>
    <row r="365" spans="1:22" ht="18" hidden="1" customHeight="1">
      <c r="A365" s="248"/>
      <c r="B365" s="14"/>
      <c r="C365" s="14"/>
      <c r="D365" s="249"/>
      <c r="E365" s="14"/>
      <c r="F365" s="14"/>
      <c r="G365" s="47"/>
      <c r="H365" s="14"/>
      <c r="J365" s="14"/>
      <c r="K365" s="14"/>
      <c r="L365" s="14"/>
      <c r="M365" s="14"/>
      <c r="N365" s="14"/>
      <c r="O365" s="14"/>
      <c r="P365" s="250"/>
      <c r="Q365" s="251"/>
      <c r="R365" s="47"/>
      <c r="S365" s="14"/>
      <c r="V365" s="185"/>
    </row>
    <row r="366" spans="1:22" ht="18" hidden="1" customHeight="1">
      <c r="A366" s="96" t="s">
        <v>500</v>
      </c>
      <c r="V366" s="185"/>
    </row>
    <row r="367" spans="1:22" ht="18" hidden="1" customHeight="1">
      <c r="A367" s="184"/>
      <c r="N367" s="14"/>
      <c r="O367" s="14" t="s">
        <v>473</v>
      </c>
      <c r="P367" s="102" t="s">
        <v>127</v>
      </c>
      <c r="Q367" s="694" t="s">
        <v>474</v>
      </c>
      <c r="R367" s="694"/>
      <c r="S367" s="28" t="s">
        <v>315</v>
      </c>
      <c r="T367" s="28">
        <v>0.8</v>
      </c>
      <c r="V367" s="185"/>
    </row>
    <row r="368" spans="1:22" ht="18" hidden="1" customHeight="1">
      <c r="A368" s="184"/>
      <c r="N368" s="252"/>
      <c r="O368" s="14"/>
      <c r="P368" s="102" t="s">
        <v>127</v>
      </c>
      <c r="Q368" s="829" t="e">
        <f>+Q362</f>
        <v>#VALUE!</v>
      </c>
      <c r="R368" s="1147"/>
      <c r="S368" s="222" t="s">
        <v>315</v>
      </c>
      <c r="T368" s="253">
        <f>+T367</f>
        <v>0.8</v>
      </c>
      <c r="V368" s="185"/>
    </row>
    <row r="369" spans="1:22" ht="18" hidden="1" customHeight="1">
      <c r="A369" s="184"/>
      <c r="O369" s="14"/>
      <c r="P369" s="28" t="s">
        <v>127</v>
      </c>
      <c r="Q369" s="830" t="e">
        <f>Q368*T368</f>
        <v>#VALUE!</v>
      </c>
      <c r="R369" s="1270"/>
      <c r="S369" s="47" t="s">
        <v>305</v>
      </c>
      <c r="T369" s="14"/>
      <c r="V369" s="185"/>
    </row>
    <row r="370" spans="1:22" ht="18" hidden="1" customHeight="1">
      <c r="A370" s="184"/>
      <c r="V370" s="185"/>
    </row>
    <row r="371" spans="1:22" ht="18" hidden="1" customHeight="1">
      <c r="A371" s="184"/>
      <c r="D371" s="30" t="s">
        <v>475</v>
      </c>
      <c r="G371" s="27" t="e">
        <f>IF(E372&gt;H372,"&gt;","&lt;")</f>
        <v>#VALUE!</v>
      </c>
      <c r="H371" s="30" t="s">
        <v>477</v>
      </c>
      <c r="V371" s="185"/>
    </row>
    <row r="372" spans="1:22" ht="18" hidden="1" customHeight="1">
      <c r="A372" s="184"/>
      <c r="E372" s="684" t="str">
        <f>L280</f>
        <v>-</v>
      </c>
      <c r="F372" s="684"/>
      <c r="G372" s="27" t="e">
        <f>G371</f>
        <v>#VALUE!</v>
      </c>
      <c r="H372" s="795" t="e">
        <f>Q369</f>
        <v>#VALUE!</v>
      </c>
      <c r="I372" s="684"/>
      <c r="V372" s="185"/>
    </row>
    <row r="373" spans="1:22" ht="18" hidden="1" customHeight="1">
      <c r="A373" s="184"/>
      <c r="F373" s="244" t="s">
        <v>478</v>
      </c>
      <c r="H373" s="18" t="e">
        <f>IF(G371="&gt;","Suitably Dimensioned","Under Dimensioned")</f>
        <v>#VALUE!</v>
      </c>
      <c r="V373" s="185"/>
    </row>
    <row r="374" spans="1:22" ht="18" hidden="1" customHeight="1">
      <c r="A374" s="184"/>
      <c r="F374" s="244"/>
      <c r="H374" s="18"/>
      <c r="V374" s="185"/>
    </row>
    <row r="375" spans="1:22" ht="18" hidden="1" customHeight="1">
      <c r="A375" s="184"/>
      <c r="F375" s="244"/>
      <c r="H375" s="18"/>
      <c r="V375" s="185"/>
    </row>
    <row r="376" spans="1:22" ht="18" hidden="1" customHeight="1">
      <c r="A376" s="184"/>
      <c r="F376" s="244"/>
      <c r="H376" s="18"/>
      <c r="V376" s="185"/>
    </row>
    <row r="377" spans="1:22" ht="18" hidden="1" customHeight="1">
      <c r="A377" s="184"/>
      <c r="F377" s="244"/>
      <c r="H377" s="18"/>
      <c r="V377" s="185"/>
    </row>
    <row r="378" spans="1:22" ht="18" hidden="1" customHeight="1">
      <c r="A378" s="184"/>
      <c r="F378" s="244"/>
      <c r="H378" s="18"/>
      <c r="V378" s="185"/>
    </row>
    <row r="379" spans="1:22" ht="18" hidden="1" customHeight="1">
      <c r="A379" s="184"/>
      <c r="F379" s="244"/>
      <c r="H379" s="18"/>
      <c r="V379" s="185"/>
    </row>
    <row r="380" spans="1:22" ht="18" hidden="1" customHeight="1">
      <c r="A380" s="184"/>
      <c r="F380" s="244"/>
      <c r="H380" s="18"/>
      <c r="V380" s="185"/>
    </row>
    <row r="381" spans="1:22" ht="18" hidden="1" customHeight="1">
      <c r="A381" s="184"/>
      <c r="F381" s="244"/>
      <c r="H381" s="18"/>
      <c r="V381" s="185"/>
    </row>
    <row r="382" spans="1:22" ht="18" hidden="1" customHeight="1">
      <c r="A382" s="184"/>
      <c r="F382" s="244"/>
      <c r="H382" s="18"/>
      <c r="V382" s="185"/>
    </row>
    <row r="383" spans="1:22" ht="18" hidden="1" customHeight="1">
      <c r="A383" s="184"/>
      <c r="F383" s="244"/>
      <c r="H383" s="18"/>
      <c r="V383" s="185"/>
    </row>
    <row r="384" spans="1:22" ht="18" hidden="1" customHeight="1">
      <c r="A384" s="184"/>
      <c r="F384" s="244"/>
      <c r="H384" s="18"/>
      <c r="V384" s="185"/>
    </row>
    <row r="385" spans="1:22" ht="18" hidden="1" customHeight="1">
      <c r="A385" s="184"/>
      <c r="F385" s="244"/>
      <c r="H385" s="18"/>
      <c r="V385" s="185"/>
    </row>
    <row r="386" spans="1:22" ht="18" hidden="1" customHeight="1">
      <c r="A386" s="184"/>
      <c r="F386" s="244"/>
      <c r="H386" s="18"/>
      <c r="V386" s="185"/>
    </row>
    <row r="387" spans="1:22" ht="18" hidden="1" customHeight="1">
      <c r="A387" s="184"/>
      <c r="F387" s="244"/>
      <c r="H387" s="18"/>
      <c r="V387" s="185"/>
    </row>
    <row r="388" spans="1:22" ht="18" hidden="1" customHeight="1">
      <c r="A388" s="184"/>
      <c r="F388" s="244"/>
      <c r="H388" s="18"/>
      <c r="V388" s="185"/>
    </row>
    <row r="389" spans="1:22" ht="18" hidden="1" customHeight="1">
      <c r="A389" s="184"/>
      <c r="F389" s="244"/>
      <c r="H389" s="18"/>
      <c r="V389" s="185"/>
    </row>
    <row r="390" spans="1:22" ht="18" hidden="1" customHeight="1">
      <c r="A390" s="184"/>
      <c r="F390" s="244"/>
      <c r="H390" s="18"/>
      <c r="V390" s="185"/>
    </row>
    <row r="391" spans="1:22" ht="18" hidden="1" customHeight="1">
      <c r="A391" s="184"/>
      <c r="F391" s="244"/>
      <c r="H391" s="18"/>
      <c r="V391" s="185"/>
    </row>
    <row r="392" spans="1:22" ht="18" hidden="1" customHeight="1">
      <c r="A392" s="184"/>
      <c r="F392" s="244"/>
      <c r="H392" s="18"/>
      <c r="V392" s="185"/>
    </row>
    <row r="393" spans="1:22" ht="18" hidden="1" customHeight="1">
      <c r="A393" s="184"/>
      <c r="F393" s="244"/>
      <c r="H393" s="18"/>
      <c r="V393" s="185"/>
    </row>
    <row r="394" spans="1:22" ht="18" hidden="1" customHeight="1">
      <c r="A394" s="184"/>
      <c r="F394" s="244"/>
      <c r="H394" s="18"/>
      <c r="V394" s="185"/>
    </row>
    <row r="395" spans="1:22" ht="18" hidden="1" customHeight="1">
      <c r="A395" s="184"/>
      <c r="F395" s="244"/>
      <c r="H395" s="18"/>
      <c r="V395" s="185"/>
    </row>
    <row r="396" spans="1:22" ht="18" hidden="1" customHeight="1">
      <c r="A396" s="184"/>
      <c r="F396" s="244"/>
      <c r="H396" s="18"/>
      <c r="V396" s="185"/>
    </row>
    <row r="397" spans="1:22" ht="18" hidden="1" customHeight="1">
      <c r="A397" s="184"/>
      <c r="F397" s="244"/>
      <c r="H397" s="18"/>
      <c r="V397" s="185"/>
    </row>
    <row r="398" spans="1:22" ht="18" hidden="1" customHeight="1">
      <c r="A398" s="184"/>
      <c r="F398" s="244"/>
      <c r="H398" s="18"/>
      <c r="V398" s="185"/>
    </row>
    <row r="399" spans="1:22" ht="18" hidden="1" customHeight="1">
      <c r="A399" s="184"/>
      <c r="F399" s="244"/>
      <c r="H399" s="18"/>
      <c r="V399" s="185"/>
    </row>
    <row r="400" spans="1:22" ht="18" hidden="1" customHeight="1">
      <c r="A400" s="184"/>
      <c r="F400" s="244"/>
      <c r="H400" s="18"/>
      <c r="V400" s="185"/>
    </row>
    <row r="401" spans="1:22" ht="18" hidden="1" customHeight="1">
      <c r="A401" s="184"/>
      <c r="F401" s="244"/>
      <c r="H401" s="18"/>
      <c r="V401" s="185"/>
    </row>
    <row r="402" spans="1:22" ht="18" hidden="1" customHeight="1">
      <c r="A402" s="184"/>
      <c r="F402" s="244"/>
      <c r="H402" s="18"/>
      <c r="V402" s="185"/>
    </row>
    <row r="403" spans="1:22" ht="18" hidden="1" customHeight="1">
      <c r="A403" s="184"/>
      <c r="F403" s="244"/>
      <c r="H403" s="18"/>
      <c r="V403" s="185"/>
    </row>
    <row r="404" spans="1:22" s="14" customFormat="1" ht="18" customHeight="1">
      <c r="A404" s="194"/>
      <c r="B404" s="195"/>
      <c r="C404" s="195"/>
      <c r="D404" s="195"/>
      <c r="E404" s="195"/>
      <c r="F404" s="195"/>
      <c r="G404" s="195"/>
      <c r="H404" s="195"/>
      <c r="I404" s="195"/>
      <c r="J404" s="195"/>
      <c r="K404" s="195"/>
      <c r="L404" s="195"/>
      <c r="M404" s="195"/>
      <c r="N404" s="195"/>
      <c r="O404" s="195"/>
      <c r="P404" s="195"/>
      <c r="Q404" s="224"/>
      <c r="R404" s="182"/>
      <c r="S404" s="225"/>
      <c r="T404" s="195"/>
      <c r="U404" s="195"/>
      <c r="V404" s="134"/>
    </row>
    <row r="405" spans="1:22" ht="18" customHeight="1">
      <c r="A405" s="226"/>
      <c r="B405" s="227"/>
      <c r="C405" s="227"/>
      <c r="D405" s="227"/>
      <c r="E405" s="227"/>
      <c r="F405" s="227"/>
      <c r="G405" s="227"/>
      <c r="H405" s="227"/>
      <c r="I405" s="227"/>
      <c r="J405" s="227"/>
      <c r="K405" s="227"/>
      <c r="L405" s="227"/>
      <c r="M405" s="227"/>
      <c r="N405" s="227"/>
      <c r="O405" s="227"/>
      <c r="P405" s="227"/>
      <c r="Q405" s="227"/>
      <c r="R405" s="227"/>
      <c r="S405" s="227"/>
      <c r="T405" s="227"/>
      <c r="U405" s="227"/>
      <c r="V405" s="228"/>
    </row>
    <row r="406" spans="1:22" ht="18" customHeight="1">
      <c r="A406" s="262" t="s">
        <v>501</v>
      </c>
      <c r="B406" s="14"/>
      <c r="C406" s="14"/>
      <c r="D406" s="120"/>
      <c r="E406" s="120"/>
      <c r="F406" s="18"/>
      <c r="G406" s="18"/>
      <c r="H406" s="14"/>
      <c r="I406" s="14"/>
      <c r="J406" s="14"/>
      <c r="K406" s="14"/>
      <c r="L406" s="14"/>
      <c r="M406" s="14"/>
      <c r="N406" s="14"/>
      <c r="O406" s="14"/>
      <c r="P406" s="28"/>
      <c r="Q406" s="120"/>
      <c r="R406" s="47"/>
      <c r="S406" s="206"/>
      <c r="T406" s="259"/>
      <c r="U406" s="14"/>
      <c r="V406" s="97"/>
    </row>
    <row r="407" spans="1:22" ht="18" customHeight="1">
      <c r="A407" s="955" t="s">
        <v>85</v>
      </c>
      <c r="B407" s="956"/>
      <c r="C407" s="957"/>
      <c r="D407" s="955" t="s">
        <v>86</v>
      </c>
      <c r="E407" s="956"/>
      <c r="F407" s="957"/>
      <c r="G407" s="955" t="s">
        <v>87</v>
      </c>
      <c r="H407" s="957"/>
      <c r="I407" s="955" t="s">
        <v>88</v>
      </c>
      <c r="J407" s="957"/>
      <c r="K407" s="955" t="s">
        <v>502</v>
      </c>
      <c r="L407" s="957"/>
      <c r="M407" s="955" t="s">
        <v>503</v>
      </c>
      <c r="N407" s="957"/>
      <c r="O407" s="955" t="s">
        <v>504</v>
      </c>
      <c r="P407" s="957"/>
      <c r="Q407" s="955" t="s">
        <v>505</v>
      </c>
      <c r="R407" s="957"/>
      <c r="S407" s="955" t="s">
        <v>93</v>
      </c>
      <c r="T407" s="956"/>
      <c r="U407" s="956"/>
      <c r="V407" s="957"/>
    </row>
    <row r="408" spans="1:22" ht="18" customHeight="1">
      <c r="A408" s="1125"/>
      <c r="B408" s="983"/>
      <c r="C408" s="1126"/>
      <c r="D408" s="1125"/>
      <c r="E408" s="983"/>
      <c r="F408" s="1126"/>
      <c r="G408" s="1125"/>
      <c r="H408" s="1126"/>
      <c r="I408" s="1125"/>
      <c r="J408" s="1126"/>
      <c r="K408" s="1125"/>
      <c r="L408" s="1126"/>
      <c r="M408" s="1125"/>
      <c r="N408" s="1126"/>
      <c r="O408" s="1125"/>
      <c r="P408" s="1126"/>
      <c r="Q408" s="1125"/>
      <c r="R408" s="1126"/>
      <c r="S408" s="1125"/>
      <c r="T408" s="983"/>
      <c r="U408" s="983"/>
      <c r="V408" s="1126"/>
    </row>
    <row r="409" spans="1:22" ht="18" customHeight="1">
      <c r="A409" s="1125"/>
      <c r="B409" s="983"/>
      <c r="C409" s="1126"/>
      <c r="D409" s="1125"/>
      <c r="E409" s="983"/>
      <c r="F409" s="1126"/>
      <c r="G409" s="1125"/>
      <c r="H409" s="1126"/>
      <c r="I409" s="1125"/>
      <c r="J409" s="1126"/>
      <c r="K409" s="1125"/>
      <c r="L409" s="1126"/>
      <c r="M409" s="1125"/>
      <c r="N409" s="1126"/>
      <c r="O409" s="1125"/>
      <c r="P409" s="1126"/>
      <c r="Q409" s="1125"/>
      <c r="R409" s="1126"/>
      <c r="S409" s="1125"/>
      <c r="T409" s="983"/>
      <c r="U409" s="983"/>
      <c r="V409" s="1126"/>
    </row>
    <row r="410" spans="1:22" ht="18" customHeight="1">
      <c r="A410" s="1047"/>
      <c r="B410" s="1048"/>
      <c r="C410" s="1049"/>
      <c r="D410" s="1047"/>
      <c r="E410" s="1048"/>
      <c r="F410" s="1049"/>
      <c r="G410" s="1047"/>
      <c r="H410" s="1049"/>
      <c r="I410" s="1047"/>
      <c r="J410" s="1049"/>
      <c r="K410" s="1047"/>
      <c r="L410" s="1049"/>
      <c r="M410" s="1047"/>
      <c r="N410" s="1049"/>
      <c r="O410" s="1047"/>
      <c r="P410" s="1049"/>
      <c r="Q410" s="1047"/>
      <c r="R410" s="1049"/>
      <c r="S410" s="1047"/>
      <c r="T410" s="1048"/>
      <c r="U410" s="1048"/>
      <c r="V410" s="1049"/>
    </row>
    <row r="411" spans="1:22" ht="18" customHeight="1">
      <c r="A411" s="765" t="str">
        <f>B7</f>
        <v>T4</v>
      </c>
      <c r="B411" s="765" t="str">
        <f>D7</f>
        <v>Core1</v>
      </c>
      <c r="C411" s="765"/>
      <c r="D411" s="870">
        <f>H10</f>
        <v>600</v>
      </c>
      <c r="E411" s="870"/>
      <c r="F411" s="871">
        <f>O10</f>
        <v>1</v>
      </c>
      <c r="G411" s="870">
        <f>'CT-VT Burdens'!S21</f>
        <v>120</v>
      </c>
      <c r="H411" s="874">
        <f>'CT-VT Burdens'!S10</f>
        <v>6</v>
      </c>
      <c r="I411" s="874" t="str">
        <f>H11</f>
        <v>PX</v>
      </c>
      <c r="J411" s="874"/>
      <c r="K411" s="869">
        <f>H12</f>
        <v>1.5</v>
      </c>
      <c r="L411" s="869"/>
      <c r="M411" s="869">
        <f>H13</f>
        <v>400</v>
      </c>
      <c r="N411" s="869"/>
      <c r="O411" s="870">
        <f>H14</f>
        <v>20</v>
      </c>
      <c r="P411" s="870"/>
      <c r="Q411" s="879" t="str">
        <f>D154</f>
        <v>RET670</v>
      </c>
      <c r="R411" s="879"/>
      <c r="S411" s="878" t="str">
        <f>H113</f>
        <v>Suitably Dimensioned</v>
      </c>
      <c r="T411" s="878"/>
      <c r="U411" s="878"/>
      <c r="V411" s="878"/>
    </row>
    <row r="412" spans="1:22" ht="18" customHeight="1">
      <c r="A412" s="765"/>
      <c r="B412" s="765"/>
      <c r="C412" s="765"/>
      <c r="D412" s="870">
        <f>J10</f>
        <v>1000</v>
      </c>
      <c r="E412" s="870"/>
      <c r="F412" s="872"/>
      <c r="G412" s="870"/>
      <c r="H412" s="870"/>
      <c r="I412" s="874"/>
      <c r="J412" s="874"/>
      <c r="K412" s="875">
        <f>J148</f>
        <v>2.7</v>
      </c>
      <c r="L412" s="869"/>
      <c r="M412" s="875">
        <f>J149</f>
        <v>900</v>
      </c>
      <c r="N412" s="869"/>
      <c r="O412" s="876">
        <f>J150</f>
        <v>10</v>
      </c>
      <c r="P412" s="870"/>
      <c r="Q412" s="879"/>
      <c r="R412" s="879"/>
      <c r="S412" s="877" t="str">
        <f>H245</f>
        <v>Suitably Dimensioned</v>
      </c>
      <c r="T412" s="878"/>
      <c r="U412" s="878"/>
      <c r="V412" s="878"/>
    </row>
    <row r="413" spans="1:22" ht="18" customHeight="1">
      <c r="A413" s="765"/>
      <c r="B413" s="765"/>
      <c r="C413" s="765"/>
      <c r="D413" s="870" t="str">
        <f>L10</f>
        <v>-</v>
      </c>
      <c r="E413" s="870"/>
      <c r="F413" s="873"/>
      <c r="G413" s="870"/>
      <c r="H413" s="870"/>
      <c r="I413" s="874"/>
      <c r="J413" s="874"/>
      <c r="K413" s="869" t="str">
        <f>L279</f>
        <v>-</v>
      </c>
      <c r="L413" s="869"/>
      <c r="M413" s="869" t="str">
        <f>L280</f>
        <v>-</v>
      </c>
      <c r="N413" s="869"/>
      <c r="O413" s="870" t="str">
        <f>L281</f>
        <v>-</v>
      </c>
      <c r="P413" s="870"/>
      <c r="Q413" s="879"/>
      <c r="R413" s="879"/>
      <c r="S413" s="878" t="s">
        <v>6</v>
      </c>
      <c r="T413" s="878"/>
      <c r="U413" s="878"/>
      <c r="V413" s="878"/>
    </row>
    <row r="414" spans="1:22" ht="18" customHeight="1">
      <c r="A414" s="265"/>
      <c r="B414" s="239"/>
      <c r="C414" s="239"/>
      <c r="D414" s="239"/>
      <c r="E414" s="239"/>
      <c r="F414" s="239"/>
      <c r="G414" s="239"/>
      <c r="H414" s="239"/>
      <c r="I414" s="239"/>
      <c r="J414" s="93"/>
      <c r="K414" s="93"/>
      <c r="L414" s="239"/>
      <c r="M414" s="239"/>
      <c r="N414" s="239"/>
      <c r="O414" s="239"/>
      <c r="P414" s="239"/>
      <c r="Q414" s="239"/>
      <c r="R414" s="239"/>
      <c r="S414" s="239"/>
      <c r="T414" s="239"/>
      <c r="U414" s="93"/>
      <c r="V414" s="266"/>
    </row>
    <row r="415" spans="1:22" ht="18" customHeight="1">
      <c r="A415" s="265"/>
      <c r="B415" s="239"/>
      <c r="C415" s="239"/>
      <c r="D415" s="239"/>
      <c r="E415" s="239"/>
      <c r="F415" s="239"/>
      <c r="G415" s="239"/>
      <c r="H415" s="239"/>
      <c r="I415" s="239"/>
      <c r="J415" s="93"/>
      <c r="K415" s="93"/>
      <c r="L415" s="239"/>
      <c r="M415" s="239"/>
      <c r="N415" s="239"/>
      <c r="O415" s="239"/>
      <c r="P415" s="239"/>
      <c r="Q415" s="239"/>
      <c r="R415" s="239"/>
      <c r="S415" s="239"/>
      <c r="T415" s="239"/>
      <c r="U415" s="93"/>
      <c r="V415" s="266"/>
    </row>
    <row r="416" spans="1:22" ht="18" customHeight="1">
      <c r="A416" s="265"/>
      <c r="B416" s="239"/>
      <c r="C416" s="239"/>
      <c r="D416" s="239"/>
      <c r="E416" s="239"/>
      <c r="F416" s="239"/>
      <c r="G416" s="239"/>
      <c r="H416" s="239"/>
      <c r="I416" s="239"/>
      <c r="J416" s="93"/>
      <c r="K416" s="93"/>
      <c r="L416" s="239"/>
      <c r="M416" s="239"/>
      <c r="N416" s="239"/>
      <c r="O416" s="239"/>
      <c r="P416" s="239"/>
      <c r="Q416" s="239"/>
      <c r="R416" s="239"/>
      <c r="S416" s="239"/>
      <c r="T416" s="239"/>
      <c r="U416" s="93"/>
      <c r="V416" s="266"/>
    </row>
    <row r="417" spans="1:22" ht="18" customHeight="1">
      <c r="A417" s="265"/>
      <c r="B417" s="239"/>
      <c r="C417" s="239"/>
      <c r="D417" s="239"/>
      <c r="E417" s="239"/>
      <c r="F417" s="239"/>
      <c r="G417" s="239"/>
      <c r="H417" s="239"/>
      <c r="I417" s="239"/>
      <c r="J417" s="93"/>
      <c r="K417" s="93"/>
      <c r="L417" s="239"/>
      <c r="M417" s="239"/>
      <c r="N417" s="239"/>
      <c r="O417" s="239"/>
      <c r="P417" s="239"/>
      <c r="Q417" s="239"/>
      <c r="R417" s="239"/>
      <c r="S417" s="239"/>
      <c r="T417" s="239"/>
      <c r="U417" s="93"/>
      <c r="V417" s="266"/>
    </row>
    <row r="418" spans="1:22" ht="18" customHeight="1">
      <c r="A418" s="265"/>
      <c r="B418" s="239"/>
      <c r="C418" s="239"/>
      <c r="D418" s="239"/>
      <c r="E418" s="239"/>
      <c r="F418" s="239"/>
      <c r="G418" s="239"/>
      <c r="H418" s="239"/>
      <c r="I418" s="239"/>
      <c r="J418" s="93"/>
      <c r="K418" s="93"/>
      <c r="L418" s="239"/>
      <c r="M418" s="239"/>
      <c r="N418" s="239"/>
      <c r="O418" s="239"/>
      <c r="P418" s="239"/>
      <c r="Q418" s="239"/>
      <c r="R418" s="239"/>
      <c r="S418" s="239"/>
      <c r="T418" s="239"/>
      <c r="U418" s="93"/>
      <c r="V418" s="266"/>
    </row>
    <row r="419" spans="1:22" ht="18" customHeight="1">
      <c r="A419" s="265"/>
      <c r="B419" s="239"/>
      <c r="C419" s="239"/>
      <c r="D419" s="239"/>
      <c r="E419" s="239"/>
      <c r="F419" s="239"/>
      <c r="G419" s="239"/>
      <c r="H419" s="239"/>
      <c r="I419" s="239"/>
      <c r="J419" s="93"/>
      <c r="K419" s="93"/>
      <c r="L419" s="239"/>
      <c r="M419" s="239"/>
      <c r="N419" s="239"/>
      <c r="O419" s="239"/>
      <c r="P419" s="239"/>
      <c r="Q419" s="239"/>
      <c r="R419" s="239"/>
      <c r="S419" s="239"/>
      <c r="T419" s="239"/>
      <c r="U419" s="93"/>
      <c r="V419" s="266"/>
    </row>
    <row r="420" spans="1:22" ht="18" customHeight="1">
      <c r="A420" s="265"/>
      <c r="B420" s="239"/>
      <c r="C420" s="239"/>
      <c r="D420" s="239"/>
      <c r="E420" s="239"/>
      <c r="F420" s="239"/>
      <c r="G420" s="239"/>
      <c r="H420" s="239"/>
      <c r="I420" s="239"/>
      <c r="J420" s="93"/>
      <c r="K420" s="93"/>
      <c r="L420" s="239"/>
      <c r="M420" s="239"/>
      <c r="N420" s="239"/>
      <c r="O420" s="239"/>
      <c r="P420" s="239"/>
      <c r="Q420" s="239"/>
      <c r="R420" s="239"/>
      <c r="S420" s="239"/>
      <c r="T420" s="239"/>
      <c r="U420" s="93"/>
      <c r="V420" s="266"/>
    </row>
    <row r="421" spans="1:22" ht="18" customHeight="1">
      <c r="A421" s="265"/>
      <c r="B421" s="239"/>
      <c r="C421" s="239"/>
      <c r="D421" s="239"/>
      <c r="E421" s="239"/>
      <c r="F421" s="239"/>
      <c r="G421" s="239"/>
      <c r="H421" s="239"/>
      <c r="I421" s="239"/>
      <c r="J421" s="93"/>
      <c r="K421" s="93"/>
      <c r="L421" s="239"/>
      <c r="M421" s="239"/>
      <c r="N421" s="239"/>
      <c r="O421" s="239"/>
      <c r="P421" s="239"/>
      <c r="Q421" s="239"/>
      <c r="R421" s="239"/>
      <c r="S421" s="239"/>
      <c r="T421" s="239"/>
      <c r="U421" s="93"/>
      <c r="V421" s="266"/>
    </row>
    <row r="422" spans="1:22" ht="18" customHeight="1">
      <c r="A422" s="265"/>
      <c r="B422" s="239"/>
      <c r="C422" s="239"/>
      <c r="D422" s="239"/>
      <c r="E422" s="239"/>
      <c r="F422" s="239"/>
      <c r="G422" s="239"/>
      <c r="H422" s="239"/>
      <c r="I422" s="239"/>
      <c r="J422" s="93"/>
      <c r="K422" s="93"/>
      <c r="L422" s="239"/>
      <c r="M422" s="239"/>
      <c r="N422" s="239"/>
      <c r="O422" s="239"/>
      <c r="P422" s="239"/>
      <c r="Q422" s="239"/>
      <c r="R422" s="239"/>
      <c r="S422" s="239"/>
      <c r="T422" s="239"/>
      <c r="U422" s="93"/>
      <c r="V422" s="266"/>
    </row>
    <row r="423" spans="1:22" ht="18" customHeight="1">
      <c r="A423" s="265"/>
      <c r="B423" s="239"/>
      <c r="C423" s="239"/>
      <c r="D423" s="239"/>
      <c r="E423" s="239"/>
      <c r="F423" s="239"/>
      <c r="G423" s="239"/>
      <c r="H423" s="239"/>
      <c r="I423" s="239"/>
      <c r="J423" s="93"/>
      <c r="K423" s="93"/>
      <c r="L423" s="239"/>
      <c r="M423" s="239"/>
      <c r="N423" s="239"/>
      <c r="O423" s="239"/>
      <c r="P423" s="239"/>
      <c r="Q423" s="239"/>
      <c r="R423" s="239"/>
      <c r="S423" s="239"/>
      <c r="T423" s="239"/>
      <c r="U423" s="93"/>
      <c r="V423" s="266"/>
    </row>
    <row r="424" spans="1:22" ht="18" customHeight="1">
      <c r="A424" s="265"/>
      <c r="B424" s="239"/>
      <c r="C424" s="239"/>
      <c r="D424" s="239"/>
      <c r="E424" s="239"/>
      <c r="F424" s="239"/>
      <c r="G424" s="239"/>
      <c r="H424" s="239"/>
      <c r="I424" s="239"/>
      <c r="J424" s="93"/>
      <c r="K424" s="93"/>
      <c r="L424" s="239"/>
      <c r="M424" s="239"/>
      <c r="N424" s="239"/>
      <c r="O424" s="239"/>
      <c r="P424" s="239"/>
      <c r="Q424" s="239"/>
      <c r="R424" s="239"/>
      <c r="S424" s="239"/>
      <c r="T424" s="239"/>
      <c r="U424" s="93"/>
      <c r="V424" s="266"/>
    </row>
    <row r="425" spans="1:22" ht="18" customHeight="1">
      <c r="A425" s="265"/>
      <c r="B425" s="239"/>
      <c r="C425" s="239"/>
      <c r="D425" s="239"/>
      <c r="E425" s="239"/>
      <c r="F425" s="239"/>
      <c r="G425" s="239"/>
      <c r="H425" s="239"/>
      <c r="I425" s="239"/>
      <c r="J425" s="93"/>
      <c r="K425" s="93"/>
      <c r="L425" s="239"/>
      <c r="M425" s="239"/>
      <c r="N425" s="239"/>
      <c r="O425" s="239"/>
      <c r="P425" s="239"/>
      <c r="Q425" s="239"/>
      <c r="R425" s="239"/>
      <c r="S425" s="239"/>
      <c r="T425" s="239"/>
      <c r="U425" s="93"/>
      <c r="V425" s="266"/>
    </row>
    <row r="426" spans="1:22" ht="18" customHeight="1">
      <c r="A426" s="265"/>
      <c r="B426" s="239"/>
      <c r="C426" s="239"/>
      <c r="D426" s="239"/>
      <c r="E426" s="239"/>
      <c r="F426" s="239"/>
      <c r="G426" s="239"/>
      <c r="H426" s="239"/>
      <c r="I426" s="239"/>
      <c r="J426" s="93"/>
      <c r="K426" s="93"/>
      <c r="L426" s="239"/>
      <c r="M426" s="239"/>
      <c r="N426" s="239"/>
      <c r="O426" s="239"/>
      <c r="P426" s="239"/>
      <c r="Q426" s="239"/>
      <c r="R426" s="239"/>
      <c r="S426" s="239"/>
      <c r="T426" s="239"/>
      <c r="U426" s="93"/>
      <c r="V426" s="266"/>
    </row>
    <row r="427" spans="1:22" ht="18" customHeight="1">
      <c r="A427" s="265"/>
      <c r="B427" s="239"/>
      <c r="C427" s="239"/>
      <c r="D427" s="239"/>
      <c r="E427" s="239"/>
      <c r="F427" s="239"/>
      <c r="G427" s="239"/>
      <c r="H427" s="239"/>
      <c r="I427" s="239"/>
      <c r="J427" s="93"/>
      <c r="K427" s="93"/>
      <c r="L427" s="239"/>
      <c r="M427" s="239"/>
      <c r="N427" s="239"/>
      <c r="O427" s="239"/>
      <c r="P427" s="239"/>
      <c r="Q427" s="239"/>
      <c r="R427" s="239"/>
      <c r="S427" s="239"/>
      <c r="T427" s="239"/>
      <c r="U427" s="93"/>
      <c r="V427" s="266"/>
    </row>
    <row r="428" spans="1:22" ht="18" customHeight="1">
      <c r="A428" s="265"/>
      <c r="B428" s="239"/>
      <c r="C428" s="239"/>
      <c r="D428" s="239"/>
      <c r="E428" s="239"/>
      <c r="F428" s="239"/>
      <c r="G428" s="239"/>
      <c r="H428" s="239"/>
      <c r="I428" s="239"/>
      <c r="J428" s="93"/>
      <c r="K428" s="93"/>
      <c r="L428" s="239"/>
      <c r="M428" s="239"/>
      <c r="N428" s="239"/>
      <c r="O428" s="239"/>
      <c r="P428" s="239"/>
      <c r="Q428" s="239"/>
      <c r="R428" s="239"/>
      <c r="S428" s="239"/>
      <c r="T428" s="239"/>
      <c r="U428" s="93"/>
      <c r="V428" s="266"/>
    </row>
    <row r="429" spans="1:22" ht="18" customHeight="1">
      <c r="A429" s="265"/>
      <c r="B429" s="239"/>
      <c r="C429" s="239"/>
      <c r="D429" s="239"/>
      <c r="E429" s="239"/>
      <c r="F429" s="239"/>
      <c r="G429" s="239"/>
      <c r="H429" s="239"/>
      <c r="I429" s="239"/>
      <c r="J429" s="93"/>
      <c r="K429" s="93"/>
      <c r="L429" s="239"/>
      <c r="M429" s="239"/>
      <c r="N429" s="239"/>
      <c r="O429" s="239"/>
      <c r="P429" s="239"/>
      <c r="Q429" s="239"/>
      <c r="R429" s="239"/>
      <c r="S429" s="239"/>
      <c r="T429" s="239"/>
      <c r="U429" s="93"/>
      <c r="V429" s="266"/>
    </row>
    <row r="430" spans="1:22" ht="18" customHeight="1">
      <c r="A430" s="265"/>
      <c r="B430" s="239"/>
      <c r="C430" s="239"/>
      <c r="D430" s="239"/>
      <c r="E430" s="239"/>
      <c r="F430" s="239"/>
      <c r="G430" s="239"/>
      <c r="H430" s="239"/>
      <c r="I430" s="239"/>
      <c r="J430" s="93"/>
      <c r="K430" s="93"/>
      <c r="L430" s="239"/>
      <c r="M430" s="239"/>
      <c r="N430" s="239"/>
      <c r="O430" s="239"/>
      <c r="P430" s="239"/>
      <c r="Q430" s="239"/>
      <c r="R430" s="239"/>
      <c r="S430" s="239"/>
      <c r="T430" s="239"/>
      <c r="U430" s="93"/>
      <c r="V430" s="266"/>
    </row>
    <row r="431" spans="1:22" ht="18" customHeight="1">
      <c r="A431" s="265"/>
      <c r="B431" s="239"/>
      <c r="C431" s="239"/>
      <c r="D431" s="239"/>
      <c r="E431" s="239"/>
      <c r="F431" s="239"/>
      <c r="G431" s="239"/>
      <c r="H431" s="239"/>
      <c r="I431" s="239"/>
      <c r="J431" s="93"/>
      <c r="K431" s="93"/>
      <c r="L431" s="239"/>
      <c r="M431" s="239"/>
      <c r="N431" s="239"/>
      <c r="O431" s="239"/>
      <c r="P431" s="239"/>
      <c r="Q431" s="239"/>
      <c r="R431" s="239"/>
      <c r="S431" s="239"/>
      <c r="T431" s="239"/>
      <c r="U431" s="93"/>
      <c r="V431" s="266"/>
    </row>
    <row r="432" spans="1:22" ht="18" customHeight="1">
      <c r="A432" s="265"/>
      <c r="B432" s="239"/>
      <c r="C432" s="239"/>
      <c r="D432" s="239"/>
      <c r="E432" s="239"/>
      <c r="F432" s="239"/>
      <c r="G432" s="239"/>
      <c r="H432" s="239"/>
      <c r="I432" s="239"/>
      <c r="J432" s="93"/>
      <c r="K432" s="93"/>
      <c r="L432" s="239"/>
      <c r="M432" s="239"/>
      <c r="N432" s="239"/>
      <c r="O432" s="239"/>
      <c r="P432" s="239"/>
      <c r="Q432" s="239"/>
      <c r="R432" s="239"/>
      <c r="S432" s="239"/>
      <c r="T432" s="239"/>
      <c r="U432" s="93"/>
      <c r="V432" s="266"/>
    </row>
    <row r="433" spans="1:22" ht="18" customHeight="1">
      <c r="A433" s="265"/>
      <c r="B433" s="239"/>
      <c r="C433" s="239"/>
      <c r="D433" s="239"/>
      <c r="E433" s="239"/>
      <c r="F433" s="239"/>
      <c r="G433" s="239"/>
      <c r="H433" s="239"/>
      <c r="I433" s="239"/>
      <c r="J433" s="93"/>
      <c r="K433" s="93"/>
      <c r="L433" s="239"/>
      <c r="M433" s="239"/>
      <c r="N433" s="239"/>
      <c r="O433" s="239"/>
      <c r="P433" s="239"/>
      <c r="Q433" s="239"/>
      <c r="R433" s="239"/>
      <c r="S433" s="239"/>
      <c r="T433" s="239"/>
      <c r="U433" s="93"/>
      <c r="V433" s="266"/>
    </row>
    <row r="434" spans="1:22" ht="18" customHeight="1">
      <c r="A434" s="265"/>
      <c r="B434" s="239"/>
      <c r="C434" s="239"/>
      <c r="D434" s="239"/>
      <c r="E434" s="239"/>
      <c r="F434" s="239"/>
      <c r="G434" s="239"/>
      <c r="H434" s="239"/>
      <c r="I434" s="239"/>
      <c r="J434" s="93"/>
      <c r="K434" s="93"/>
      <c r="L434" s="239"/>
      <c r="M434" s="239"/>
      <c r="N434" s="239"/>
      <c r="O434" s="239"/>
      <c r="P434" s="239"/>
      <c r="Q434" s="239"/>
      <c r="R434" s="239"/>
      <c r="S434" s="239"/>
      <c r="T434" s="239"/>
      <c r="U434" s="93"/>
      <c r="V434" s="266"/>
    </row>
    <row r="435" spans="1:22" ht="18" customHeight="1">
      <c r="A435" s="265"/>
      <c r="B435" s="239"/>
      <c r="C435" s="239"/>
      <c r="D435" s="239"/>
      <c r="E435" s="239"/>
      <c r="F435" s="239"/>
      <c r="G435" s="239"/>
      <c r="H435" s="239"/>
      <c r="I435" s="239"/>
      <c r="J435" s="93"/>
      <c r="K435" s="93"/>
      <c r="L435" s="239"/>
      <c r="M435" s="239"/>
      <c r="N435" s="239"/>
      <c r="O435" s="239"/>
      <c r="P435" s="239"/>
      <c r="Q435" s="239"/>
      <c r="R435" s="239"/>
      <c r="S435" s="239"/>
      <c r="T435" s="239"/>
      <c r="U435" s="93"/>
      <c r="V435" s="266"/>
    </row>
    <row r="436" spans="1:22" ht="18" customHeight="1">
      <c r="A436" s="265"/>
      <c r="B436" s="239"/>
      <c r="C436" s="239"/>
      <c r="D436" s="239"/>
      <c r="E436" s="239"/>
      <c r="F436" s="239"/>
      <c r="G436" s="239"/>
      <c r="H436" s="239"/>
      <c r="I436" s="239"/>
      <c r="J436" s="93"/>
      <c r="K436" s="93"/>
      <c r="L436" s="239"/>
      <c r="M436" s="239"/>
      <c r="N436" s="239"/>
      <c r="O436" s="239"/>
      <c r="P436" s="239"/>
      <c r="Q436" s="239"/>
      <c r="R436" s="239"/>
      <c r="S436" s="239"/>
      <c r="T436" s="239"/>
      <c r="U436" s="93"/>
      <c r="V436" s="266"/>
    </row>
    <row r="437" spans="1:22" ht="18" customHeight="1">
      <c r="A437" s="265"/>
      <c r="B437" s="239"/>
      <c r="C437" s="239"/>
      <c r="D437" s="239"/>
      <c r="E437" s="239"/>
      <c r="F437" s="239"/>
      <c r="G437" s="239"/>
      <c r="H437" s="239"/>
      <c r="I437" s="239"/>
      <c r="J437" s="93"/>
      <c r="K437" s="93"/>
      <c r="L437" s="239"/>
      <c r="M437" s="239"/>
      <c r="N437" s="239"/>
      <c r="O437" s="239"/>
      <c r="P437" s="239"/>
      <c r="Q437" s="239"/>
      <c r="R437" s="239"/>
      <c r="S437" s="239"/>
      <c r="T437" s="239"/>
      <c r="U437" s="93"/>
      <c r="V437" s="266"/>
    </row>
    <row r="438" spans="1:22" ht="18" customHeight="1">
      <c r="A438" s="184"/>
      <c r="V438" s="185"/>
    </row>
    <row r="439" spans="1:22" ht="18" customHeight="1">
      <c r="A439" s="184"/>
      <c r="V439" s="185"/>
    </row>
    <row r="440" spans="1:22" ht="18" customHeight="1">
      <c r="A440" s="184"/>
      <c r="V440" s="185"/>
    </row>
    <row r="441" spans="1:22" ht="18" customHeight="1">
      <c r="A441" s="184"/>
      <c r="V441" s="185"/>
    </row>
    <row r="442" spans="1:22" ht="18" customHeight="1">
      <c r="A442" s="184"/>
      <c r="V442" s="185"/>
    </row>
    <row r="443" spans="1:22" ht="18" customHeight="1">
      <c r="A443" s="184"/>
      <c r="V443" s="185"/>
    </row>
    <row r="444" spans="1:22" s="14" customFormat="1" ht="18" customHeight="1">
      <c r="A444" s="194"/>
      <c r="B444" s="195"/>
      <c r="C444" s="195"/>
      <c r="D444" s="195"/>
      <c r="E444" s="195"/>
      <c r="F444" s="195"/>
      <c r="G444" s="195"/>
      <c r="H444" s="195"/>
      <c r="I444" s="195"/>
      <c r="J444" s="195"/>
      <c r="K444" s="195"/>
      <c r="L444" s="195"/>
      <c r="M444" s="195"/>
      <c r="N444" s="195"/>
      <c r="O444" s="195"/>
      <c r="P444" s="195"/>
      <c r="Q444" s="224"/>
      <c r="R444" s="182"/>
      <c r="S444" s="225"/>
      <c r="T444" s="195"/>
      <c r="U444" s="195"/>
      <c r="V444" s="134"/>
    </row>
    <row r="445" spans="1:22" ht="18" hidden="1" customHeight="1">
      <c r="A445" s="1178" t="str">
        <f>A1</f>
        <v>HITACHI</v>
      </c>
      <c r="B445" s="1179"/>
      <c r="C445" s="1179"/>
      <c r="D445" s="1179"/>
      <c r="E445" s="1179"/>
      <c r="F445" s="1179"/>
      <c r="G445" s="1180"/>
      <c r="H445" s="906" t="str">
        <f>H1</f>
        <v>CT / VT</v>
      </c>
      <c r="I445" s="929"/>
      <c r="J445" s="929"/>
      <c r="K445" s="929"/>
      <c r="L445" s="929"/>
      <c r="M445" s="929"/>
      <c r="N445" s="930"/>
      <c r="O445" s="885" t="str">
        <f>O1</f>
        <v>Contract No.</v>
      </c>
      <c r="P445" s="886"/>
      <c r="Q445" s="887"/>
      <c r="R445" s="775" t="str">
        <f>R1</f>
        <v>N-19957.2-DF4W</v>
      </c>
      <c r="S445" s="1068"/>
      <c r="T445" s="1068"/>
      <c r="U445" s="1068"/>
      <c r="V445" s="776"/>
    </row>
    <row r="446" spans="1:22" ht="18" hidden="1" customHeight="1">
      <c r="A446" s="1181"/>
      <c r="B446" s="1182"/>
      <c r="C446" s="1182"/>
      <c r="D446" s="1182"/>
      <c r="E446" s="1182"/>
      <c r="F446" s="1182"/>
      <c r="G446" s="1183"/>
      <c r="H446" s="909" t="str">
        <f>H2</f>
        <v>ADEQUACY CHECK</v>
      </c>
      <c r="I446" s="934"/>
      <c r="J446" s="934"/>
      <c r="K446" s="934"/>
      <c r="L446" s="934"/>
      <c r="M446" s="934"/>
      <c r="N446" s="935"/>
      <c r="O446" s="885" t="str">
        <f>O2</f>
        <v>Date</v>
      </c>
      <c r="P446" s="886"/>
      <c r="Q446" s="887"/>
      <c r="R446" s="775">
        <f>R2</f>
        <v>46134</v>
      </c>
      <c r="S446" s="1068"/>
      <c r="T446" s="1068"/>
      <c r="U446" s="1068"/>
      <c r="V446" s="776"/>
    </row>
    <row r="447" spans="1:22" ht="18" hidden="1" customHeight="1">
      <c r="A447" s="955">
        <f>A3</f>
        <v>0</v>
      </c>
      <c r="B447" s="956"/>
      <c r="C447" s="956"/>
      <c r="D447" s="956"/>
      <c r="E447" s="956"/>
      <c r="F447" s="956"/>
      <c r="G447" s="957"/>
      <c r="H447" s="1083" t="str">
        <f>H3</f>
        <v xml:space="preserve">132/33kV SUBSTATION DF4W    AT AL DHAFRA AREA </v>
      </c>
      <c r="I447" s="1084"/>
      <c r="J447" s="1084"/>
      <c r="K447" s="1084"/>
      <c r="L447" s="1084"/>
      <c r="M447" s="1084"/>
      <c r="N447" s="1085"/>
      <c r="O447" s="885" t="str">
        <f>O3</f>
        <v>Document No.</v>
      </c>
      <c r="P447" s="886"/>
      <c r="Q447" s="887"/>
      <c r="R447" s="775" t="str">
        <f>R3</f>
        <v>-</v>
      </c>
      <c r="S447" s="1068"/>
      <c r="T447" s="1068"/>
      <c r="U447" s="1068"/>
      <c r="V447" s="776"/>
    </row>
    <row r="448" spans="1:22" ht="18" hidden="1" customHeight="1">
      <c r="A448" s="1047"/>
      <c r="B448" s="1048"/>
      <c r="C448" s="1048"/>
      <c r="D448" s="1048"/>
      <c r="E448" s="1048"/>
      <c r="F448" s="1048"/>
      <c r="G448" s="1049"/>
      <c r="H448" s="1086"/>
      <c r="I448" s="1087"/>
      <c r="J448" s="1087"/>
      <c r="K448" s="1087"/>
      <c r="L448" s="1087"/>
      <c r="M448" s="1087"/>
      <c r="N448" s="1088"/>
      <c r="O448" s="885" t="str">
        <f>O4</f>
        <v>Revision No.</v>
      </c>
      <c r="P448" s="886"/>
      <c r="Q448" s="887"/>
      <c r="R448" s="775" t="str">
        <f>R4</f>
        <v>A</v>
      </c>
      <c r="S448" s="1068"/>
      <c r="T448" s="1068"/>
      <c r="U448" s="1068"/>
      <c r="V448" s="776"/>
    </row>
    <row r="449" spans="1:29" ht="18" hidden="1" customHeight="1">
      <c r="A449" s="880" t="str">
        <f>A5</f>
        <v>Prep. By</v>
      </c>
      <c r="B449" s="943"/>
      <c r="C449" s="25" t="str">
        <f>C5</f>
        <v>AP</v>
      </c>
      <c r="D449" s="880" t="str">
        <f>D5</f>
        <v>Checked By</v>
      </c>
      <c r="E449" s="881"/>
      <c r="F449" s="943"/>
      <c r="G449" s="25" t="str">
        <f>G5</f>
        <v>RB</v>
      </c>
      <c r="H449" s="1163" t="str">
        <f>H5</f>
        <v>132kV_100MVA TR. FEEDERS</v>
      </c>
      <c r="I449" s="1164"/>
      <c r="J449" s="1164"/>
      <c r="K449" s="1164"/>
      <c r="L449" s="1164"/>
      <c r="M449" s="1164"/>
      <c r="N449" s="1165"/>
      <c r="O449" s="947" t="str">
        <f>O5</f>
        <v>Contractor</v>
      </c>
      <c r="P449" s="948"/>
      <c r="Q449" s="949"/>
      <c r="R449" s="775" t="str">
        <f>R5</f>
        <v>HITACHI</v>
      </c>
      <c r="S449" s="1068"/>
      <c r="T449" s="1068"/>
      <c r="U449" s="1068"/>
      <c r="V449" s="776"/>
    </row>
    <row r="450" spans="1:29" ht="18" hidden="1" customHeight="1">
      <c r="A450" s="184"/>
      <c r="V450" s="185"/>
    </row>
    <row r="451" spans="1:29" ht="18" hidden="1" customHeight="1">
      <c r="A451" s="184"/>
      <c r="B451" s="1272" t="s">
        <v>635</v>
      </c>
      <c r="C451" s="1273"/>
      <c r="D451" s="1099" t="s">
        <v>506</v>
      </c>
      <c r="E451" s="1101"/>
      <c r="F451" s="186" t="s">
        <v>636</v>
      </c>
      <c r="H451" s="684" t="str">
        <f>H274</f>
        <v>(Transformer Differential)</v>
      </c>
      <c r="I451" s="684"/>
      <c r="J451" s="684"/>
      <c r="K451" s="684"/>
      <c r="L451" s="684"/>
      <c r="M451" s="684"/>
      <c r="P451" s="186"/>
      <c r="S451" s="187" t="s">
        <v>387</v>
      </c>
      <c r="T451" s="781" t="str">
        <f>T143</f>
        <v>RET670</v>
      </c>
      <c r="U451" s="782"/>
      <c r="V451" s="185"/>
    </row>
    <row r="452" spans="1:29" ht="18" hidden="1" customHeight="1">
      <c r="A452" s="184"/>
      <c r="B452" s="743"/>
      <c r="C452" s="743"/>
      <c r="D452" s="1102"/>
      <c r="E452" s="1103"/>
      <c r="F452" s="255"/>
      <c r="T452" s="781"/>
      <c r="U452" s="782"/>
      <c r="V452" s="185"/>
    </row>
    <row r="453" spans="1:29" ht="18" hidden="1" customHeight="1">
      <c r="A453" s="184"/>
      <c r="H453" s="789" t="s">
        <v>390</v>
      </c>
      <c r="I453" s="789"/>
      <c r="J453" s="790" t="s">
        <v>391</v>
      </c>
      <c r="K453" s="790"/>
      <c r="L453" s="790" t="s">
        <v>392</v>
      </c>
      <c r="M453" s="790"/>
      <c r="T453" s="781"/>
      <c r="U453" s="782"/>
      <c r="V453" s="185"/>
    </row>
    <row r="454" spans="1:29" ht="18" hidden="1" customHeight="1">
      <c r="A454" s="184"/>
      <c r="B454" s="47" t="s">
        <v>393</v>
      </c>
      <c r="H454" s="791">
        <v>1200</v>
      </c>
      <c r="I454" s="792"/>
      <c r="J454" s="781" t="s">
        <v>6</v>
      </c>
      <c r="K454" s="782"/>
      <c r="L454" s="781" t="s">
        <v>6</v>
      </c>
      <c r="M454" s="782"/>
      <c r="N454" s="191" t="s">
        <v>342</v>
      </c>
      <c r="O454" s="267">
        <v>1</v>
      </c>
      <c r="P454" s="27" t="s">
        <v>8</v>
      </c>
      <c r="V454" s="185"/>
    </row>
    <row r="455" spans="1:29" ht="18" hidden="1" customHeight="1">
      <c r="A455" s="184"/>
      <c r="B455" s="47" t="s">
        <v>394</v>
      </c>
      <c r="H455" s="781" t="s">
        <v>637</v>
      </c>
      <c r="I455" s="782"/>
      <c r="V455" s="185"/>
    </row>
    <row r="456" spans="1:29" ht="18" hidden="1" customHeight="1">
      <c r="A456" s="184"/>
      <c r="B456" s="47" t="s">
        <v>396</v>
      </c>
      <c r="G456" s="120" t="s">
        <v>397</v>
      </c>
      <c r="H456" s="781">
        <v>5</v>
      </c>
      <c r="I456" s="782"/>
      <c r="J456" s="192" t="s">
        <v>333</v>
      </c>
      <c r="V456" s="185"/>
    </row>
    <row r="457" spans="1:29" ht="18" hidden="1" customHeight="1">
      <c r="A457" s="184"/>
      <c r="B457" s="47" t="s">
        <v>398</v>
      </c>
      <c r="G457" s="120" t="s">
        <v>638</v>
      </c>
      <c r="H457" s="781">
        <v>430</v>
      </c>
      <c r="I457" s="782"/>
      <c r="J457" s="14" t="s">
        <v>305</v>
      </c>
      <c r="V457" s="185"/>
      <c r="W457" s="30" t="s">
        <v>400</v>
      </c>
      <c r="AB457" s="785">
        <f>Q541</f>
        <v>57.728255568387262</v>
      </c>
      <c r="AC457" s="786"/>
    </row>
    <row r="458" spans="1:29" ht="18" hidden="1" customHeight="1">
      <c r="A458" s="184"/>
      <c r="B458" s="14" t="s">
        <v>401</v>
      </c>
      <c r="G458" s="120" t="s">
        <v>402</v>
      </c>
      <c r="H458" s="781">
        <v>20</v>
      </c>
      <c r="I458" s="782"/>
      <c r="J458" s="14" t="s">
        <v>403</v>
      </c>
      <c r="V458" s="185"/>
    </row>
    <row r="459" spans="1:29" ht="18" hidden="1" customHeight="1">
      <c r="A459" s="184"/>
      <c r="V459" s="185"/>
    </row>
    <row r="460" spans="1:29" ht="18" hidden="1" customHeight="1">
      <c r="A460" s="193" t="s">
        <v>404</v>
      </c>
      <c r="V460" s="185"/>
    </row>
    <row r="461" spans="1:29" ht="18" hidden="1" customHeight="1">
      <c r="A461" s="184"/>
      <c r="V461" s="185"/>
    </row>
    <row r="462" spans="1:29" ht="18" hidden="1" customHeight="1">
      <c r="A462" s="184"/>
      <c r="B462" s="194" t="s">
        <v>405</v>
      </c>
      <c r="C462" s="195"/>
      <c r="D462" s="195" t="str">
        <f>T451</f>
        <v>RET670</v>
      </c>
      <c r="E462" s="196"/>
      <c r="F462" s="196"/>
      <c r="G462" s="196"/>
      <c r="H462" s="182" t="s">
        <v>406</v>
      </c>
      <c r="I462" s="183" t="s">
        <v>127</v>
      </c>
      <c r="J462" s="1276">
        <f>J285</f>
        <v>0.02</v>
      </c>
      <c r="K462" s="1144"/>
      <c r="L462" s="3" t="s">
        <v>157</v>
      </c>
      <c r="N462" s="197" t="s">
        <v>407</v>
      </c>
      <c r="V462" s="185"/>
    </row>
    <row r="463" spans="1:29" s="14" customFormat="1" ht="18" hidden="1" customHeight="1">
      <c r="A463" s="184"/>
      <c r="B463" s="96" t="s">
        <v>405</v>
      </c>
      <c r="C463" s="30"/>
      <c r="D463" s="30">
        <f>T452</f>
        <v>0</v>
      </c>
      <c r="E463" s="30"/>
      <c r="F463" s="30"/>
      <c r="G463" s="30"/>
      <c r="H463" s="27"/>
      <c r="I463" s="177" t="s">
        <v>127</v>
      </c>
      <c r="J463" s="1274"/>
      <c r="K463" s="1275"/>
      <c r="L463" s="198" t="s">
        <v>157</v>
      </c>
      <c r="M463" s="30"/>
      <c r="N463" s="30"/>
      <c r="O463" s="30"/>
      <c r="P463" s="30"/>
      <c r="Q463" s="30"/>
      <c r="R463" s="30"/>
      <c r="S463" s="30"/>
      <c r="T463" s="30"/>
      <c r="U463" s="30"/>
      <c r="V463" s="185"/>
    </row>
    <row r="464" spans="1:29" s="14" customFormat="1" ht="18" hidden="1" customHeight="1">
      <c r="A464" s="184"/>
      <c r="B464" s="96" t="s">
        <v>405</v>
      </c>
      <c r="C464" s="30"/>
      <c r="D464" s="30">
        <f>T453</f>
        <v>0</v>
      </c>
      <c r="F464" s="30"/>
      <c r="G464" s="199"/>
      <c r="H464" s="27"/>
      <c r="I464" s="177" t="s">
        <v>127</v>
      </c>
      <c r="J464" s="696"/>
      <c r="K464" s="820"/>
      <c r="L464" s="202" t="s">
        <v>157</v>
      </c>
      <c r="M464" s="30"/>
      <c r="N464" s="30" t="s">
        <v>408</v>
      </c>
      <c r="O464" s="27" t="s">
        <v>127</v>
      </c>
      <c r="P464" s="30" t="s">
        <v>409</v>
      </c>
      <c r="Q464" s="191" t="s">
        <v>410</v>
      </c>
      <c r="R464" s="244" t="s">
        <v>411</v>
      </c>
      <c r="S464" s="27" t="s">
        <v>315</v>
      </c>
      <c r="T464" s="30" t="s">
        <v>411</v>
      </c>
      <c r="U464" s="30" t="s">
        <v>350</v>
      </c>
      <c r="V464" s="185"/>
    </row>
    <row r="465" spans="1:22" s="14" customFormat="1" ht="18" hidden="1" customHeight="1">
      <c r="A465" s="184"/>
      <c r="B465" s="184" t="s">
        <v>412</v>
      </c>
      <c r="C465" s="30"/>
      <c r="D465" s="30"/>
      <c r="E465" s="30"/>
      <c r="F465" s="30"/>
      <c r="G465" s="30"/>
      <c r="H465" s="27" t="s">
        <v>599</v>
      </c>
      <c r="I465" s="177" t="s">
        <v>127</v>
      </c>
      <c r="J465" s="1274">
        <f>J288</f>
        <v>1.1667743100000001</v>
      </c>
      <c r="K465" s="1275"/>
      <c r="L465" s="203" t="s">
        <v>157</v>
      </c>
      <c r="M465" s="30"/>
      <c r="N465" s="30"/>
      <c r="O465" s="27" t="s">
        <v>127</v>
      </c>
      <c r="P465" s="204">
        <f>J466</f>
        <v>1.1667743100000001</v>
      </c>
      <c r="Q465" s="191" t="s">
        <v>410</v>
      </c>
      <c r="R465" s="27">
        <f>O454</f>
        <v>1</v>
      </c>
      <c r="S465" s="27" t="s">
        <v>315</v>
      </c>
      <c r="T465" s="27">
        <f>O454</f>
        <v>1</v>
      </c>
      <c r="U465" s="30" t="s">
        <v>350</v>
      </c>
      <c r="V465" s="185"/>
    </row>
    <row r="466" spans="1:22" s="14" customFormat="1" ht="18" hidden="1" customHeight="1">
      <c r="A466" s="184"/>
      <c r="B466" s="205" t="s">
        <v>413</v>
      </c>
      <c r="C466" s="206"/>
      <c r="D466" s="206"/>
      <c r="E466" s="206"/>
      <c r="F466" s="207"/>
      <c r="G466" s="207"/>
      <c r="H466" s="190" t="s">
        <v>409</v>
      </c>
      <c r="I466" s="208" t="s">
        <v>127</v>
      </c>
      <c r="J466" s="1276">
        <f>J463+J465</f>
        <v>1.1667743100000001</v>
      </c>
      <c r="K466" s="1144"/>
      <c r="L466" s="210" t="s">
        <v>157</v>
      </c>
      <c r="M466" s="30"/>
      <c r="N466" s="30"/>
      <c r="O466" s="27" t="s">
        <v>127</v>
      </c>
      <c r="P466" s="795">
        <f>P465/(R465*T465)</f>
        <v>1.1667743100000001</v>
      </c>
      <c r="Q466" s="795"/>
      <c r="R466" s="192" t="s">
        <v>333</v>
      </c>
      <c r="S466" s="30"/>
      <c r="T466" s="30"/>
      <c r="U466" s="30"/>
      <c r="V466" s="185"/>
    </row>
    <row r="467" spans="1:22" s="14" customFormat="1" ht="18" hidden="1" customHeight="1">
      <c r="A467" s="184"/>
      <c r="B467" s="30"/>
      <c r="C467" s="30"/>
      <c r="D467" s="30"/>
      <c r="E467" s="30"/>
      <c r="F467" s="30"/>
      <c r="G467" s="30"/>
      <c r="H467" s="30"/>
      <c r="I467" s="30"/>
      <c r="J467" s="30"/>
      <c r="K467" s="30"/>
      <c r="L467" s="30"/>
      <c r="M467" s="30"/>
      <c r="N467" s="30"/>
      <c r="O467" s="30"/>
      <c r="P467" s="30"/>
      <c r="Q467" s="30"/>
      <c r="R467" s="30"/>
      <c r="S467" s="30"/>
      <c r="T467" s="30"/>
      <c r="U467" s="30"/>
      <c r="V467" s="185"/>
    </row>
    <row r="468" spans="1:22" s="14" customFormat="1" ht="18" hidden="1" customHeight="1">
      <c r="A468" s="193" t="s">
        <v>600</v>
      </c>
      <c r="B468" s="5"/>
      <c r="C468" s="5"/>
      <c r="D468" s="5"/>
      <c r="E468" s="5"/>
      <c r="F468" s="5"/>
      <c r="G468" s="5"/>
      <c r="H468" s="212"/>
      <c r="I468" s="212"/>
      <c r="J468" s="5"/>
      <c r="K468" s="5"/>
      <c r="L468" s="5"/>
      <c r="M468" s="5"/>
      <c r="N468" s="5"/>
      <c r="O468" s="5"/>
      <c r="P468" s="103"/>
      <c r="Q468" s="212"/>
      <c r="R468" s="213"/>
      <c r="S468" s="214"/>
      <c r="T468" s="18"/>
      <c r="U468" s="18"/>
      <c r="V468" s="97"/>
    </row>
    <row r="469" spans="1:22" s="14" customFormat="1" ht="18" hidden="1" customHeight="1">
      <c r="A469" s="96"/>
      <c r="B469" s="47" t="s">
        <v>601</v>
      </c>
      <c r="C469" s="5"/>
      <c r="D469" s="5"/>
      <c r="E469" s="5"/>
      <c r="I469" s="215"/>
      <c r="M469" s="5"/>
      <c r="O469" s="103" t="s">
        <v>127</v>
      </c>
      <c r="P469" s="853">
        <f>P161</f>
        <v>100</v>
      </c>
      <c r="Q469" s="1271"/>
      <c r="R469" s="14" t="s">
        <v>602</v>
      </c>
      <c r="S469" s="214"/>
      <c r="T469" s="18"/>
      <c r="U469" s="18"/>
      <c r="V469" s="97"/>
    </row>
    <row r="470" spans="1:22" s="14" customFormat="1" ht="18" hidden="1" customHeight="1">
      <c r="A470" s="96"/>
      <c r="B470" s="47" t="s">
        <v>603</v>
      </c>
      <c r="C470" s="5"/>
      <c r="D470" s="5"/>
      <c r="E470" s="5"/>
      <c r="I470" s="215"/>
      <c r="M470" s="5"/>
      <c r="O470" s="103" t="s">
        <v>127</v>
      </c>
      <c r="P470" s="853">
        <f>P162</f>
        <v>25</v>
      </c>
      <c r="Q470" s="1271"/>
      <c r="R470" s="14" t="s">
        <v>604</v>
      </c>
      <c r="S470" s="214"/>
      <c r="T470" s="18" t="s">
        <v>129</v>
      </c>
      <c r="U470" s="18"/>
      <c r="V470" s="97"/>
    </row>
    <row r="471" spans="1:22" s="14" customFormat="1" ht="18" hidden="1" customHeight="1">
      <c r="A471" s="96"/>
      <c r="B471" s="47" t="s">
        <v>605</v>
      </c>
      <c r="C471" s="5"/>
      <c r="D471" s="5"/>
      <c r="E471" s="5"/>
      <c r="N471" s="120" t="s">
        <v>606</v>
      </c>
      <c r="O471" s="103" t="s">
        <v>607</v>
      </c>
      <c r="P471" s="854">
        <f>'[2]Parameters &amp; Fault Cal.'!Q12</f>
        <v>132</v>
      </c>
      <c r="Q471" s="1270"/>
      <c r="R471" s="14" t="s">
        <v>163</v>
      </c>
      <c r="S471" s="214"/>
      <c r="T471" s="18"/>
      <c r="U471" s="18"/>
      <c r="V471" s="97"/>
    </row>
    <row r="472" spans="1:22" s="14" customFormat="1" ht="18" hidden="1" customHeight="1">
      <c r="A472" s="216"/>
      <c r="B472" s="212"/>
      <c r="C472" s="212"/>
      <c r="D472" s="212"/>
      <c r="E472" s="212"/>
      <c r="T472" s="18"/>
      <c r="U472" s="18"/>
      <c r="V472" s="97"/>
    </row>
    <row r="473" spans="1:22" s="14" customFormat="1" ht="18" hidden="1" customHeight="1">
      <c r="A473" s="96"/>
      <c r="B473" s="14" t="s">
        <v>608</v>
      </c>
      <c r="C473" s="213"/>
      <c r="D473" s="213"/>
      <c r="E473" s="213"/>
      <c r="H473" s="120" t="s">
        <v>609</v>
      </c>
      <c r="I473" s="28" t="s">
        <v>127</v>
      </c>
      <c r="J473" s="689" t="s">
        <v>610</v>
      </c>
      <c r="K473" s="689"/>
      <c r="L473" s="28" t="s">
        <v>315</v>
      </c>
      <c r="M473" s="217">
        <v>1000</v>
      </c>
      <c r="N473" s="102" t="s">
        <v>342</v>
      </c>
      <c r="O473" s="28" t="s">
        <v>611</v>
      </c>
      <c r="P473" s="28" t="s">
        <v>315</v>
      </c>
      <c r="Q473" s="28" t="s">
        <v>606</v>
      </c>
      <c r="R473" s="47"/>
      <c r="T473" s="18"/>
      <c r="U473" s="18"/>
      <c r="V473" s="97"/>
    </row>
    <row r="474" spans="1:22" ht="18" hidden="1" customHeight="1">
      <c r="A474" s="216"/>
      <c r="B474" s="213"/>
      <c r="C474" s="213"/>
      <c r="D474" s="213"/>
      <c r="E474" s="213"/>
      <c r="F474" s="212"/>
      <c r="G474" s="212"/>
      <c r="H474" s="28"/>
      <c r="I474" s="28" t="s">
        <v>127</v>
      </c>
      <c r="J474" s="689">
        <f>P469</f>
        <v>100</v>
      </c>
      <c r="K474" s="689"/>
      <c r="L474" s="28" t="s">
        <v>315</v>
      </c>
      <c r="M474" s="217">
        <v>1000</v>
      </c>
      <c r="N474" s="102" t="s">
        <v>342</v>
      </c>
      <c r="O474" s="28" t="s">
        <v>611</v>
      </c>
      <c r="P474" s="28" t="s">
        <v>315</v>
      </c>
      <c r="Q474" s="28">
        <f>P471</f>
        <v>132</v>
      </c>
      <c r="R474" s="47"/>
      <c r="S474" s="14"/>
      <c r="T474" s="18"/>
      <c r="U474" s="18"/>
      <c r="V474" s="97"/>
    </row>
    <row r="475" spans="1:22" ht="18" hidden="1" customHeight="1">
      <c r="A475" s="216"/>
      <c r="B475" s="212"/>
      <c r="C475" s="212"/>
      <c r="D475" s="212"/>
      <c r="E475" s="212"/>
      <c r="F475" s="212"/>
      <c r="G475" s="212"/>
      <c r="H475" s="14"/>
      <c r="I475" s="28" t="s">
        <v>127</v>
      </c>
      <c r="J475" s="692">
        <f>(P469*1000)/(SQRT(3)*P471)</f>
        <v>437.38656756789834</v>
      </c>
      <c r="K475" s="692"/>
      <c r="L475" s="14" t="s">
        <v>8</v>
      </c>
      <c r="M475" s="120"/>
      <c r="N475" s="120"/>
      <c r="O475" s="120"/>
      <c r="P475" s="14"/>
      <c r="Q475" s="14"/>
      <c r="R475" s="14"/>
      <c r="S475" s="14"/>
      <c r="T475" s="18"/>
      <c r="U475" s="18"/>
      <c r="V475" s="97"/>
    </row>
    <row r="476" spans="1:22" ht="18" hidden="1" customHeight="1">
      <c r="A476" s="216"/>
      <c r="B476" s="212"/>
      <c r="C476" s="212"/>
      <c r="D476" s="212"/>
      <c r="E476" s="212"/>
      <c r="F476" s="14"/>
      <c r="G476" s="212"/>
      <c r="H476" s="28"/>
      <c r="I476" s="103"/>
      <c r="J476" s="28"/>
      <c r="K476" s="14"/>
      <c r="L476" s="14"/>
      <c r="M476" s="212"/>
      <c r="N476" s="219"/>
      <c r="O476" s="212"/>
      <c r="P476" s="14"/>
      <c r="Q476" s="14"/>
      <c r="R476" s="14"/>
      <c r="S476" s="14"/>
      <c r="T476" s="18"/>
      <c r="U476" s="18"/>
      <c r="V476" s="97"/>
    </row>
    <row r="477" spans="1:22" ht="18" hidden="1" customHeight="1">
      <c r="A477" s="147" t="s">
        <v>629</v>
      </c>
      <c r="B477" s="5"/>
      <c r="C477" s="5"/>
      <c r="D477" s="5"/>
      <c r="E477" s="5"/>
      <c r="F477" s="212"/>
      <c r="G477" s="212"/>
      <c r="H477" s="5"/>
      <c r="I477" s="5"/>
      <c r="J477" s="5"/>
      <c r="K477" s="5"/>
      <c r="L477" s="103"/>
      <c r="M477" s="103"/>
      <c r="N477" s="103"/>
      <c r="O477" s="103"/>
      <c r="P477" s="212"/>
      <c r="Q477" s="213"/>
      <c r="R477" s="14"/>
      <c r="S477" s="220"/>
      <c r="T477" s="18"/>
      <c r="U477" s="18"/>
      <c r="V477" s="97"/>
    </row>
    <row r="478" spans="1:22" ht="18" hidden="1" customHeight="1">
      <c r="A478" s="147"/>
      <c r="B478" s="5"/>
      <c r="C478" s="5"/>
      <c r="D478" s="5"/>
      <c r="E478" s="5"/>
      <c r="F478" s="212"/>
      <c r="G478" s="212"/>
      <c r="H478" s="5"/>
      <c r="I478" s="5"/>
      <c r="J478" s="5"/>
      <c r="K478" s="5"/>
      <c r="L478" s="103"/>
      <c r="M478" s="103"/>
      <c r="N478" s="103"/>
      <c r="O478" s="103"/>
      <c r="P478" s="212"/>
      <c r="Q478" s="213"/>
      <c r="R478" s="14"/>
      <c r="S478" s="214"/>
      <c r="T478" s="18"/>
      <c r="U478" s="18"/>
      <c r="V478" s="97"/>
    </row>
    <row r="479" spans="1:22" ht="18" hidden="1" customHeight="1">
      <c r="A479" s="184"/>
      <c r="B479" s="14" t="s">
        <v>612</v>
      </c>
      <c r="C479" s="14"/>
      <c r="D479" s="14"/>
      <c r="E479" s="14"/>
      <c r="M479" s="120" t="s">
        <v>613</v>
      </c>
      <c r="N479" s="28" t="s">
        <v>127</v>
      </c>
      <c r="O479" s="689" t="s">
        <v>609</v>
      </c>
      <c r="P479" s="716"/>
      <c r="Q479" s="221" t="s">
        <v>630</v>
      </c>
      <c r="R479" s="221">
        <v>16</v>
      </c>
      <c r="S479" s="214"/>
      <c r="V479" s="185"/>
    </row>
    <row r="480" spans="1:22" ht="18" hidden="1" customHeight="1">
      <c r="A480" s="96"/>
      <c r="B480" s="5"/>
      <c r="C480" s="5"/>
      <c r="D480" s="5"/>
      <c r="E480" s="5"/>
      <c r="M480" s="250"/>
      <c r="N480" s="28" t="s">
        <v>127</v>
      </c>
      <c r="O480" s="689">
        <f>+J475</f>
        <v>437.38656756789834</v>
      </c>
      <c r="P480" s="716"/>
      <c r="Q480" s="221" t="s">
        <v>630</v>
      </c>
      <c r="R480" s="221">
        <v>16</v>
      </c>
      <c r="S480" s="214"/>
      <c r="V480" s="185"/>
    </row>
    <row r="481" spans="1:22" ht="18" hidden="1" customHeight="1">
      <c r="A481" s="96"/>
      <c r="B481" s="5"/>
      <c r="C481" s="5"/>
      <c r="D481" s="5"/>
      <c r="E481" s="5"/>
      <c r="M481" s="120" t="s">
        <v>613</v>
      </c>
      <c r="N481" s="28" t="s">
        <v>127</v>
      </c>
      <c r="O481" s="689">
        <f>O480*R480</f>
        <v>6998.1850810863734</v>
      </c>
      <c r="P481" s="716"/>
      <c r="Q481" s="241" t="s">
        <v>8</v>
      </c>
      <c r="R481" s="14"/>
      <c r="S481" s="214"/>
      <c r="V481" s="185"/>
    </row>
    <row r="482" spans="1:22" ht="18" hidden="1" customHeight="1">
      <c r="A482" s="96"/>
      <c r="B482" s="5"/>
      <c r="C482" s="5"/>
      <c r="D482" s="5"/>
      <c r="E482" s="5"/>
      <c r="M482" s="212"/>
      <c r="N482" s="212"/>
      <c r="O482" s="103"/>
      <c r="Q482" s="223"/>
      <c r="R482" s="14"/>
      <c r="S482" s="214"/>
      <c r="V482" s="185"/>
    </row>
    <row r="483" spans="1:22" ht="18" hidden="1" customHeight="1">
      <c r="A483" s="678" t="s">
        <v>639</v>
      </c>
      <c r="B483" s="1207"/>
      <c r="C483" s="1207"/>
      <c r="D483" s="1207"/>
      <c r="E483" s="1207"/>
      <c r="F483" s="1207"/>
      <c r="G483" s="1207"/>
      <c r="H483" s="1207"/>
      <c r="I483" s="1207"/>
      <c r="J483" s="1207"/>
      <c r="K483" s="1207"/>
      <c r="L483" s="1207"/>
      <c r="M483" s="1207"/>
      <c r="N483" s="1207"/>
      <c r="O483" s="1207"/>
      <c r="P483" s="1207"/>
      <c r="Q483" s="1207"/>
      <c r="R483" s="1207"/>
      <c r="S483" s="1207"/>
      <c r="T483" s="1207"/>
      <c r="U483" s="1207"/>
      <c r="V483" s="1208"/>
    </row>
    <row r="484" spans="1:22" ht="18" hidden="1" customHeight="1">
      <c r="A484" s="1209"/>
      <c r="B484" s="1207"/>
      <c r="C484" s="1207"/>
      <c r="D484" s="1207"/>
      <c r="E484" s="1207"/>
      <c r="F484" s="1207"/>
      <c r="G484" s="1207"/>
      <c r="H484" s="1207"/>
      <c r="I484" s="1207"/>
      <c r="J484" s="1207"/>
      <c r="K484" s="1207"/>
      <c r="L484" s="1207"/>
      <c r="M484" s="1207"/>
      <c r="N484" s="1207"/>
      <c r="O484" s="1207"/>
      <c r="P484" s="1207"/>
      <c r="Q484" s="1207"/>
      <c r="R484" s="1207"/>
      <c r="S484" s="1207"/>
      <c r="T484" s="1207"/>
      <c r="U484" s="1207"/>
      <c r="V484" s="1208"/>
    </row>
    <row r="485" spans="1:22" ht="18" hidden="1" customHeight="1">
      <c r="A485" s="231"/>
      <c r="B485" s="232"/>
      <c r="C485" s="232"/>
      <c r="D485" s="232"/>
      <c r="E485" s="232"/>
      <c r="F485" s="232"/>
      <c r="G485" s="232"/>
      <c r="H485" s="232"/>
      <c r="I485" s="232"/>
      <c r="J485" s="232"/>
      <c r="K485" s="232"/>
      <c r="L485" s="232"/>
      <c r="M485" s="232"/>
      <c r="N485" s="232"/>
      <c r="O485" s="232"/>
      <c r="P485" s="232"/>
      <c r="Q485" s="232"/>
      <c r="R485" s="232"/>
      <c r="S485" s="232"/>
      <c r="T485" s="232"/>
      <c r="U485" s="232"/>
      <c r="V485" s="233"/>
    </row>
    <row r="486" spans="1:22" ht="18" hidden="1" customHeight="1">
      <c r="A486" s="184"/>
      <c r="V486" s="185"/>
    </row>
    <row r="487" spans="1:22" ht="18" hidden="1" customHeight="1">
      <c r="A487" s="184"/>
      <c r="I487" s="14" t="s">
        <v>129</v>
      </c>
      <c r="J487" s="14" t="s">
        <v>170</v>
      </c>
      <c r="V487" s="185"/>
    </row>
    <row r="488" spans="1:22" ht="18" hidden="1" customHeight="1">
      <c r="A488" s="194"/>
      <c r="B488" s="195"/>
      <c r="C488" s="195"/>
      <c r="D488" s="195"/>
      <c r="E488" s="195"/>
      <c r="F488" s="195"/>
      <c r="G488" s="195"/>
      <c r="H488" s="195"/>
      <c r="I488" s="195"/>
      <c r="J488" s="195"/>
      <c r="K488" s="195"/>
      <c r="L488" s="195"/>
      <c r="M488" s="195"/>
      <c r="N488" s="195"/>
      <c r="O488" s="195"/>
      <c r="P488" s="195"/>
      <c r="Q488" s="224"/>
      <c r="R488" s="182"/>
      <c r="S488" s="225"/>
      <c r="T488" s="195"/>
      <c r="U488" s="195"/>
      <c r="V488" s="134"/>
    </row>
    <row r="489" spans="1:22" ht="18" hidden="1" customHeight="1">
      <c r="A489" s="226"/>
      <c r="B489" s="227"/>
      <c r="C489" s="227"/>
      <c r="D489" s="227"/>
      <c r="E489" s="227"/>
      <c r="F489" s="227"/>
      <c r="G489" s="227"/>
      <c r="H489" s="227"/>
      <c r="I489" s="227"/>
      <c r="J489" s="227"/>
      <c r="K489" s="227"/>
      <c r="L489" s="227"/>
      <c r="M489" s="227"/>
      <c r="N489" s="227"/>
      <c r="O489" s="227"/>
      <c r="P489" s="227"/>
      <c r="Q489" s="227"/>
      <c r="R489" s="227"/>
      <c r="S489" s="227"/>
      <c r="T489" s="227"/>
      <c r="U489" s="227"/>
      <c r="V489" s="228"/>
    </row>
    <row r="490" spans="1:22" ht="18" hidden="1" customHeight="1">
      <c r="A490" s="799" t="s">
        <v>417</v>
      </c>
      <c r="B490" s="802"/>
      <c r="C490" s="802"/>
      <c r="D490" s="689">
        <v>30</v>
      </c>
      <c r="E490" s="689" t="s">
        <v>315</v>
      </c>
      <c r="F490" s="689" t="s">
        <v>609</v>
      </c>
      <c r="G490" s="684"/>
      <c r="H490" s="689" t="s">
        <v>315</v>
      </c>
      <c r="I490" s="708" t="s">
        <v>411</v>
      </c>
      <c r="J490" s="828"/>
      <c r="K490" s="689" t="s">
        <v>315</v>
      </c>
      <c r="L490" s="802" t="s">
        <v>419</v>
      </c>
      <c r="M490" s="716" t="s">
        <v>420</v>
      </c>
      <c r="N490" s="729" t="s">
        <v>347</v>
      </c>
      <c r="O490" s="716" t="s">
        <v>408</v>
      </c>
      <c r="P490" s="689" t="s">
        <v>347</v>
      </c>
      <c r="Q490" s="759" t="s">
        <v>421</v>
      </c>
      <c r="R490" s="797"/>
      <c r="S490" s="797"/>
      <c r="T490" s="798" t="s">
        <v>350</v>
      </c>
      <c r="U490" s="230" t="s">
        <v>422</v>
      </c>
      <c r="V490" s="97"/>
    </row>
    <row r="491" spans="1:22" ht="18" hidden="1" customHeight="1">
      <c r="A491" s="827"/>
      <c r="B491" s="802"/>
      <c r="C491" s="802"/>
      <c r="D491" s="689"/>
      <c r="E491" s="689"/>
      <c r="F491" s="684"/>
      <c r="G491" s="684"/>
      <c r="H491" s="689"/>
      <c r="I491" s="689" t="s">
        <v>423</v>
      </c>
      <c r="J491" s="723"/>
      <c r="K491" s="689"/>
      <c r="L491" s="802"/>
      <c r="M491" s="716"/>
      <c r="N491" s="729"/>
      <c r="O491" s="716"/>
      <c r="P491" s="689"/>
      <c r="Q491" s="28" t="s">
        <v>146</v>
      </c>
      <c r="R491" s="28" t="s">
        <v>315</v>
      </c>
      <c r="S491" s="28" t="s">
        <v>146</v>
      </c>
      <c r="T491" s="798"/>
      <c r="U491" s="14"/>
      <c r="V491" s="97"/>
    </row>
    <row r="492" spans="1:22" ht="18" hidden="1" customHeight="1">
      <c r="A492" s="184"/>
      <c r="V492" s="185"/>
    </row>
    <row r="493" spans="1:22" ht="18" hidden="1" customHeight="1">
      <c r="A493" s="799" t="s">
        <v>417</v>
      </c>
      <c r="B493" s="802"/>
      <c r="C493" s="802"/>
      <c r="D493" s="689">
        <v>2</v>
      </c>
      <c r="E493" s="689" t="s">
        <v>315</v>
      </c>
      <c r="F493" s="689" t="s">
        <v>613</v>
      </c>
      <c r="G493" s="684"/>
      <c r="H493" s="689" t="s">
        <v>315</v>
      </c>
      <c r="I493" s="708" t="s">
        <v>411</v>
      </c>
      <c r="J493" s="828"/>
      <c r="K493" s="689" t="s">
        <v>315</v>
      </c>
      <c r="L493" s="802" t="s">
        <v>419</v>
      </c>
      <c r="M493" s="716" t="s">
        <v>420</v>
      </c>
      <c r="N493" s="729" t="s">
        <v>347</v>
      </c>
      <c r="O493" s="716" t="s">
        <v>408</v>
      </c>
      <c r="P493" s="689" t="s">
        <v>347</v>
      </c>
      <c r="Q493" s="759" t="s">
        <v>421</v>
      </c>
      <c r="R493" s="797"/>
      <c r="S493" s="797"/>
      <c r="T493" s="798" t="s">
        <v>350</v>
      </c>
      <c r="U493" s="230" t="s">
        <v>426</v>
      </c>
      <c r="V493" s="97"/>
    </row>
    <row r="494" spans="1:22" ht="18" hidden="1" customHeight="1">
      <c r="A494" s="827"/>
      <c r="B494" s="802"/>
      <c r="C494" s="802"/>
      <c r="D494" s="689"/>
      <c r="E494" s="689"/>
      <c r="F494" s="684"/>
      <c r="G494" s="684"/>
      <c r="H494" s="689"/>
      <c r="I494" s="689" t="s">
        <v>423</v>
      </c>
      <c r="J494" s="723"/>
      <c r="K494" s="689"/>
      <c r="L494" s="802"/>
      <c r="M494" s="716"/>
      <c r="N494" s="729"/>
      <c r="O494" s="716"/>
      <c r="P494" s="689"/>
      <c r="Q494" s="28" t="s">
        <v>146</v>
      </c>
      <c r="R494" s="28" t="s">
        <v>315</v>
      </c>
      <c r="S494" s="28" t="s">
        <v>146</v>
      </c>
      <c r="T494" s="798"/>
      <c r="U494" s="14"/>
      <c r="V494" s="97"/>
    </row>
    <row r="495" spans="1:22" ht="18" hidden="1" customHeight="1">
      <c r="A495" s="184"/>
      <c r="V495" s="185"/>
    </row>
    <row r="496" spans="1:22" ht="18" hidden="1" customHeight="1">
      <c r="A496" s="678" t="s">
        <v>616</v>
      </c>
      <c r="B496" s="1207"/>
      <c r="C496" s="1207"/>
      <c r="D496" s="1207"/>
      <c r="E496" s="1207"/>
      <c r="F496" s="1207"/>
      <c r="G496" s="1207"/>
      <c r="H496" s="1207"/>
      <c r="I496" s="1207"/>
      <c r="J496" s="1207"/>
      <c r="K496" s="1207"/>
      <c r="L496" s="1207"/>
      <c r="M496" s="1207"/>
      <c r="N496" s="1207"/>
      <c r="O496" s="1207"/>
      <c r="P496" s="1207"/>
      <c r="Q496" s="1207"/>
      <c r="R496" s="1207"/>
      <c r="S496" s="1207"/>
      <c r="T496" s="1207"/>
      <c r="U496" s="1207"/>
      <c r="V496" s="1208"/>
    </row>
    <row r="497" spans="1:22" ht="18" hidden="1" customHeight="1">
      <c r="A497" s="1209"/>
      <c r="B497" s="1207"/>
      <c r="C497" s="1207"/>
      <c r="D497" s="1207"/>
      <c r="E497" s="1207"/>
      <c r="F497" s="1207"/>
      <c r="G497" s="1207"/>
      <c r="H497" s="1207"/>
      <c r="I497" s="1207"/>
      <c r="J497" s="1207"/>
      <c r="K497" s="1207"/>
      <c r="L497" s="1207"/>
      <c r="M497" s="1207"/>
      <c r="N497" s="1207"/>
      <c r="O497" s="1207"/>
      <c r="P497" s="1207"/>
      <c r="Q497" s="1207"/>
      <c r="R497" s="1207"/>
      <c r="S497" s="1207"/>
      <c r="T497" s="1207"/>
      <c r="U497" s="1207"/>
      <c r="V497" s="1208"/>
    </row>
    <row r="498" spans="1:22" ht="18" hidden="1" customHeight="1">
      <c r="A498" s="231"/>
      <c r="B498" s="232"/>
      <c r="C498" s="232"/>
      <c r="D498" s="232"/>
      <c r="E498" s="232"/>
      <c r="F498" s="232"/>
      <c r="G498" s="232"/>
      <c r="H498" s="232"/>
      <c r="I498" s="232"/>
      <c r="J498" s="232"/>
      <c r="K498" s="232"/>
      <c r="L498" s="232"/>
      <c r="M498" s="232"/>
      <c r="N498" s="232"/>
      <c r="O498" s="232"/>
      <c r="P498" s="232"/>
      <c r="Q498" s="232"/>
      <c r="R498" s="232"/>
      <c r="S498" s="232"/>
      <c r="T498" s="232"/>
      <c r="U498" s="232"/>
      <c r="V498" s="233"/>
    </row>
    <row r="499" spans="1:22" ht="18" hidden="1" customHeight="1">
      <c r="A499" s="799" t="s">
        <v>417</v>
      </c>
      <c r="B499" s="802"/>
      <c r="C499" s="802"/>
      <c r="D499" s="689"/>
      <c r="E499" s="689"/>
      <c r="F499" s="689" t="s">
        <v>617</v>
      </c>
      <c r="G499" s="684"/>
      <c r="H499" s="689" t="s">
        <v>315</v>
      </c>
      <c r="I499" s="708" t="s">
        <v>411</v>
      </c>
      <c r="J499" s="828"/>
      <c r="K499" s="689" t="s">
        <v>315</v>
      </c>
      <c r="L499" s="802" t="s">
        <v>419</v>
      </c>
      <c r="M499" s="716" t="s">
        <v>420</v>
      </c>
      <c r="N499" s="729" t="s">
        <v>347</v>
      </c>
      <c r="O499" s="716" t="s">
        <v>408</v>
      </c>
      <c r="P499" s="689" t="s">
        <v>347</v>
      </c>
      <c r="Q499" s="759" t="s">
        <v>421</v>
      </c>
      <c r="R499" s="797"/>
      <c r="S499" s="797"/>
      <c r="T499" s="798" t="s">
        <v>350</v>
      </c>
      <c r="U499" s="230" t="s">
        <v>618</v>
      </c>
      <c r="V499" s="97"/>
    </row>
    <row r="500" spans="1:22" ht="18" hidden="1" customHeight="1">
      <c r="A500" s="827"/>
      <c r="B500" s="802"/>
      <c r="C500" s="802"/>
      <c r="D500" s="689"/>
      <c r="E500" s="689"/>
      <c r="F500" s="684"/>
      <c r="G500" s="684"/>
      <c r="H500" s="689"/>
      <c r="I500" s="689" t="s">
        <v>423</v>
      </c>
      <c r="J500" s="723"/>
      <c r="K500" s="689"/>
      <c r="L500" s="802"/>
      <c r="M500" s="716"/>
      <c r="N500" s="729"/>
      <c r="O500" s="716"/>
      <c r="P500" s="689"/>
      <c r="Q500" s="28" t="s">
        <v>146</v>
      </c>
      <c r="R500" s="28" t="s">
        <v>315</v>
      </c>
      <c r="S500" s="28" t="s">
        <v>146</v>
      </c>
      <c r="T500" s="798"/>
      <c r="U500" s="14"/>
      <c r="V500" s="97"/>
    </row>
    <row r="501" spans="1:22" ht="18" hidden="1" customHeight="1">
      <c r="A501" s="96"/>
      <c r="B501" s="14"/>
      <c r="C501" s="14"/>
      <c r="D501" s="28"/>
      <c r="E501" s="28"/>
      <c r="F501" s="27"/>
      <c r="G501" s="27"/>
      <c r="H501" s="28"/>
      <c r="I501" s="28"/>
      <c r="K501" s="28"/>
      <c r="L501" s="120"/>
      <c r="M501" s="14"/>
      <c r="N501" s="102"/>
      <c r="O501" s="14"/>
      <c r="P501" s="28"/>
      <c r="Q501" s="28"/>
      <c r="R501" s="28"/>
      <c r="S501" s="28"/>
      <c r="T501" s="40"/>
      <c r="U501" s="14"/>
      <c r="V501" s="97"/>
    </row>
    <row r="502" spans="1:22" ht="18" hidden="1" customHeight="1">
      <c r="A502" s="184"/>
      <c r="H502" s="30" t="s">
        <v>619</v>
      </c>
      <c r="M502" s="781" t="s">
        <v>620</v>
      </c>
      <c r="N502" s="782"/>
      <c r="V502" s="185"/>
    </row>
    <row r="503" spans="1:22" ht="18" hidden="1" customHeight="1">
      <c r="A503" s="96"/>
      <c r="B503" s="14"/>
      <c r="C503" s="14"/>
      <c r="D503" s="28"/>
      <c r="E503" s="28"/>
      <c r="F503" s="27"/>
      <c r="G503" s="27"/>
      <c r="H503" s="28"/>
      <c r="I503" s="28"/>
      <c r="K503" s="28"/>
      <c r="L503" s="120"/>
      <c r="M503" s="14"/>
      <c r="N503" s="102"/>
      <c r="O503" s="14"/>
      <c r="P503" s="28"/>
      <c r="Q503" s="28"/>
      <c r="R503" s="28"/>
      <c r="S503" s="28"/>
      <c r="T503" s="40"/>
      <c r="U503" s="14"/>
      <c r="V503" s="97"/>
    </row>
    <row r="504" spans="1:22" ht="18" hidden="1" customHeight="1">
      <c r="A504" s="184"/>
      <c r="B504" s="14" t="s">
        <v>427</v>
      </c>
      <c r="C504" s="14"/>
      <c r="D504" s="103"/>
      <c r="E504" s="103"/>
      <c r="F504" s="14"/>
      <c r="G504" s="14"/>
      <c r="H504" s="5"/>
      <c r="I504" s="5"/>
      <c r="J504" s="5"/>
      <c r="P504" s="120" t="s">
        <v>428</v>
      </c>
      <c r="V504" s="185"/>
    </row>
    <row r="505" spans="1:22" ht="18" hidden="1" customHeight="1">
      <c r="A505" s="184"/>
      <c r="B505" s="14" t="s">
        <v>429</v>
      </c>
      <c r="C505" s="14"/>
      <c r="D505" s="103"/>
      <c r="E505" s="103"/>
      <c r="F505" s="14"/>
      <c r="G505" s="14"/>
      <c r="H505" s="5"/>
      <c r="I505" s="5"/>
      <c r="J505" s="5"/>
      <c r="P505" s="120" t="s">
        <v>430</v>
      </c>
      <c r="Q505" s="234" t="s">
        <v>127</v>
      </c>
      <c r="R505" s="684">
        <f>H454</f>
        <v>1200</v>
      </c>
      <c r="S505" s="684"/>
      <c r="T505" s="14" t="s">
        <v>8</v>
      </c>
      <c r="V505" s="185"/>
    </row>
    <row r="506" spans="1:22" ht="18" hidden="1" customHeight="1">
      <c r="A506" s="184"/>
      <c r="B506" s="14" t="s">
        <v>621</v>
      </c>
      <c r="C506" s="14"/>
      <c r="D506" s="14"/>
      <c r="E506" s="14"/>
      <c r="F506" s="14"/>
      <c r="G506" s="14"/>
      <c r="H506" s="14"/>
      <c r="I506" s="14"/>
      <c r="J506" s="14"/>
      <c r="P506" s="120" t="s">
        <v>609</v>
      </c>
      <c r="Q506" s="234" t="s">
        <v>127</v>
      </c>
      <c r="R506" s="795">
        <f>J475</f>
        <v>437.38656756789834</v>
      </c>
      <c r="S506" s="684"/>
      <c r="T506" s="14" t="s">
        <v>8</v>
      </c>
      <c r="V506" s="185"/>
    </row>
    <row r="507" spans="1:22" ht="18" hidden="1" customHeight="1">
      <c r="A507" s="184"/>
      <c r="B507" s="14" t="s">
        <v>622</v>
      </c>
      <c r="C507" s="14"/>
      <c r="D507" s="14"/>
      <c r="E507" s="14"/>
      <c r="F507" s="14"/>
      <c r="G507" s="14"/>
      <c r="H507" s="14"/>
      <c r="I507" s="14"/>
      <c r="J507" s="14"/>
      <c r="P507" s="120" t="s">
        <v>613</v>
      </c>
      <c r="Q507" s="234" t="s">
        <v>127</v>
      </c>
      <c r="R507" s="684">
        <f>O481</f>
        <v>6998.1850810863734</v>
      </c>
      <c r="S507" s="684"/>
      <c r="T507" s="14" t="s">
        <v>8</v>
      </c>
      <c r="V507" s="185"/>
    </row>
    <row r="508" spans="1:22" ht="18" hidden="1" customHeight="1">
      <c r="A508" s="184"/>
      <c r="B508" s="235" t="s">
        <v>623</v>
      </c>
      <c r="C508" s="14"/>
      <c r="D508" s="14"/>
      <c r="E508" s="14"/>
      <c r="F508" s="14"/>
      <c r="G508" s="14"/>
      <c r="H508" s="14"/>
      <c r="I508" s="14"/>
      <c r="J508" s="14"/>
      <c r="P508" s="120"/>
      <c r="Q508" s="236"/>
      <c r="R508" s="27"/>
      <c r="S508" s="27"/>
      <c r="T508" s="14"/>
      <c r="V508" s="185"/>
    </row>
    <row r="509" spans="1:22" ht="18" hidden="1" customHeight="1">
      <c r="A509" s="184"/>
      <c r="B509" s="14" t="s">
        <v>622</v>
      </c>
      <c r="C509" s="14"/>
      <c r="D509" s="14"/>
      <c r="E509" s="14"/>
      <c r="F509" s="14"/>
      <c r="G509" s="14"/>
      <c r="H509" s="14"/>
      <c r="I509" s="14"/>
      <c r="J509" s="14"/>
      <c r="P509" s="120" t="s">
        <v>617</v>
      </c>
      <c r="Q509" s="234" t="s">
        <v>127</v>
      </c>
      <c r="R509" s="684" t="str">
        <f>IF(M502="Y",'[2]Parameters &amp; Fault Cal.'!Q33,"-")</f>
        <v>-</v>
      </c>
      <c r="S509" s="684"/>
      <c r="T509" s="14" t="s">
        <v>8</v>
      </c>
      <c r="V509" s="185"/>
    </row>
    <row r="510" spans="1:22" ht="18" hidden="1" customHeight="1">
      <c r="A510" s="184"/>
      <c r="B510" s="235" t="s">
        <v>624</v>
      </c>
      <c r="C510" s="14"/>
      <c r="D510" s="14"/>
      <c r="E510" s="14"/>
      <c r="F510" s="14"/>
      <c r="G510" s="14"/>
      <c r="H510" s="14"/>
      <c r="I510" s="14"/>
      <c r="J510" s="14"/>
      <c r="R510" s="27"/>
      <c r="S510" s="27"/>
      <c r="T510" s="14"/>
      <c r="V510" s="185"/>
    </row>
    <row r="511" spans="1:22" ht="18" hidden="1" customHeight="1">
      <c r="A511" s="184"/>
      <c r="B511" s="14" t="s">
        <v>435</v>
      </c>
      <c r="C511" s="14"/>
      <c r="D511" s="103"/>
      <c r="E511" s="103"/>
      <c r="F511" s="14"/>
      <c r="G511" s="14"/>
      <c r="H511" s="5"/>
      <c r="I511" s="5"/>
      <c r="J511" s="5"/>
      <c r="P511" s="120" t="s">
        <v>436</v>
      </c>
      <c r="Q511" s="234" t="s">
        <v>127</v>
      </c>
      <c r="R511" s="684">
        <f>O454</f>
        <v>1</v>
      </c>
      <c r="S511" s="684"/>
      <c r="T511" s="14" t="s">
        <v>8</v>
      </c>
      <c r="V511" s="185"/>
    </row>
    <row r="512" spans="1:22" ht="18" hidden="1" customHeight="1">
      <c r="A512" s="184"/>
      <c r="B512" s="14" t="s">
        <v>437</v>
      </c>
      <c r="C512" s="14"/>
      <c r="D512" s="103"/>
      <c r="E512" s="103"/>
      <c r="F512" s="14"/>
      <c r="G512" s="14"/>
      <c r="H512" s="5"/>
      <c r="I512" s="5"/>
      <c r="J512" s="5"/>
      <c r="P512" s="120" t="s">
        <v>438</v>
      </c>
      <c r="Q512" s="234" t="s">
        <v>127</v>
      </c>
      <c r="R512" s="684">
        <f>'CT-VT Burdens'!S18</f>
        <v>1</v>
      </c>
      <c r="S512" s="684"/>
      <c r="T512" s="14" t="s">
        <v>8</v>
      </c>
      <c r="V512" s="185"/>
    </row>
    <row r="513" spans="1:22" ht="18" hidden="1" customHeight="1">
      <c r="A513" s="184"/>
      <c r="B513" s="14" t="s">
        <v>439</v>
      </c>
      <c r="C513" s="14"/>
      <c r="D513" s="103"/>
      <c r="E513" s="103"/>
      <c r="F513" s="14"/>
      <c r="G513" s="14"/>
      <c r="H513" s="5"/>
      <c r="I513" s="5"/>
      <c r="J513" s="5"/>
      <c r="P513" s="120" t="s">
        <v>440</v>
      </c>
      <c r="Q513" s="234" t="s">
        <v>127</v>
      </c>
      <c r="R513" s="684">
        <f>H456</f>
        <v>5</v>
      </c>
      <c r="S513" s="684"/>
      <c r="T513" s="192" t="s">
        <v>333</v>
      </c>
      <c r="V513" s="185"/>
    </row>
    <row r="514" spans="1:22" ht="18" hidden="1" customHeight="1">
      <c r="A514" s="184"/>
      <c r="B514" s="14" t="s">
        <v>625</v>
      </c>
      <c r="C514" s="14"/>
      <c r="D514" s="14"/>
      <c r="E514" s="14"/>
      <c r="F514" s="14"/>
      <c r="G514" s="14"/>
      <c r="H514" s="14"/>
      <c r="I514" s="14"/>
      <c r="J514" s="14"/>
      <c r="P514" s="237" t="s">
        <v>441</v>
      </c>
      <c r="Q514" s="234" t="s">
        <v>127</v>
      </c>
      <c r="R514" s="795">
        <f>P466</f>
        <v>1.1667743100000001</v>
      </c>
      <c r="S514" s="684"/>
      <c r="T514" s="192" t="s">
        <v>333</v>
      </c>
      <c r="V514" s="185"/>
    </row>
    <row r="515" spans="1:22" ht="18" hidden="1" customHeight="1">
      <c r="A515" s="184"/>
      <c r="B515" s="40" t="s">
        <v>442</v>
      </c>
      <c r="C515" s="14"/>
      <c r="D515" s="14"/>
      <c r="E515" s="14"/>
      <c r="F515" s="14"/>
      <c r="G515" s="14"/>
      <c r="H515" s="5"/>
      <c r="I515" s="5"/>
      <c r="J515" s="5"/>
      <c r="P515" s="237" t="s">
        <v>443</v>
      </c>
      <c r="Q515" s="234" t="s">
        <v>127</v>
      </c>
      <c r="R515" s="795">
        <f>J462</f>
        <v>0.02</v>
      </c>
      <c r="S515" s="684"/>
      <c r="T515" s="14" t="s">
        <v>157</v>
      </c>
      <c r="V515" s="185"/>
    </row>
    <row r="516" spans="1:22" ht="18" hidden="1" customHeight="1">
      <c r="A516" s="184"/>
      <c r="V516" s="185"/>
    </row>
    <row r="517" spans="1:22" ht="18" hidden="1" customHeight="1">
      <c r="A517" s="799" t="s">
        <v>417</v>
      </c>
      <c r="B517" s="802"/>
      <c r="C517" s="802"/>
      <c r="D517" s="689">
        <v>30</v>
      </c>
      <c r="E517" s="689" t="s">
        <v>315</v>
      </c>
      <c r="F517" s="689">
        <f>R506</f>
        <v>437.38656756789834</v>
      </c>
      <c r="G517" s="684"/>
      <c r="H517" s="689" t="s">
        <v>315</v>
      </c>
      <c r="I517" s="708">
        <f>R511</f>
        <v>1</v>
      </c>
      <c r="J517" s="828"/>
      <c r="K517" s="689" t="s">
        <v>315</v>
      </c>
      <c r="L517" s="716" t="s">
        <v>419</v>
      </c>
      <c r="M517" s="716">
        <f>R513</f>
        <v>5</v>
      </c>
      <c r="N517" s="729" t="s">
        <v>347</v>
      </c>
      <c r="O517" s="1214">
        <f>R514</f>
        <v>1.1667743100000001</v>
      </c>
      <c r="P517" s="689" t="s">
        <v>347</v>
      </c>
      <c r="Q517" s="833">
        <f>R515</f>
        <v>0.02</v>
      </c>
      <c r="R517" s="797"/>
      <c r="S517" s="797"/>
      <c r="T517" s="798" t="s">
        <v>350</v>
      </c>
      <c r="U517" s="230" t="s">
        <v>422</v>
      </c>
      <c r="V517" s="97"/>
    </row>
    <row r="518" spans="1:22" ht="18" hidden="1" customHeight="1">
      <c r="A518" s="827"/>
      <c r="B518" s="802"/>
      <c r="C518" s="802"/>
      <c r="D518" s="689"/>
      <c r="E518" s="689"/>
      <c r="F518" s="684"/>
      <c r="G518" s="684"/>
      <c r="H518" s="689"/>
      <c r="I518" s="689">
        <f>R505</f>
        <v>1200</v>
      </c>
      <c r="J518" s="723"/>
      <c r="K518" s="689"/>
      <c r="L518" s="716"/>
      <c r="M518" s="716"/>
      <c r="N518" s="729"/>
      <c r="O518" s="716"/>
      <c r="P518" s="689"/>
      <c r="Q518" s="28">
        <f>R512</f>
        <v>1</v>
      </c>
      <c r="R518" s="28" t="s">
        <v>315</v>
      </c>
      <c r="S518" s="28">
        <f>R512</f>
        <v>1</v>
      </c>
      <c r="T518" s="798"/>
      <c r="U518" s="14"/>
      <c r="V518" s="97"/>
    </row>
    <row r="519" spans="1:22" ht="18" hidden="1" customHeight="1">
      <c r="A519" s="184"/>
      <c r="V519" s="185"/>
    </row>
    <row r="520" spans="1:22" ht="18" hidden="1" customHeight="1">
      <c r="A520" s="184"/>
      <c r="C520" s="30" t="s">
        <v>127</v>
      </c>
      <c r="D520" s="812">
        <f>D517*F517*(I517/I518)*(M517+O517+(Q517/(Q518*S518)))</f>
        <v>67.650299494203821</v>
      </c>
      <c r="E520" s="813"/>
      <c r="F520" s="30" t="s">
        <v>305</v>
      </c>
      <c r="V520" s="185"/>
    </row>
    <row r="521" spans="1:22" ht="18" hidden="1" customHeight="1">
      <c r="A521" s="184"/>
      <c r="V521" s="185"/>
    </row>
    <row r="522" spans="1:22" ht="18" hidden="1" customHeight="1">
      <c r="A522" s="799" t="s">
        <v>417</v>
      </c>
      <c r="B522" s="802"/>
      <c r="C522" s="802"/>
      <c r="D522" s="689">
        <v>2</v>
      </c>
      <c r="E522" s="689" t="s">
        <v>315</v>
      </c>
      <c r="F522" s="689">
        <f>R507</f>
        <v>6998.1850810863734</v>
      </c>
      <c r="G522" s="684"/>
      <c r="H522" s="689" t="s">
        <v>315</v>
      </c>
      <c r="I522" s="708">
        <f>R511</f>
        <v>1</v>
      </c>
      <c r="J522" s="828"/>
      <c r="K522" s="689" t="s">
        <v>315</v>
      </c>
      <c r="L522" s="802" t="s">
        <v>419</v>
      </c>
      <c r="M522" s="716">
        <f>R513</f>
        <v>5</v>
      </c>
      <c r="N522" s="729" t="s">
        <v>347</v>
      </c>
      <c r="O522" s="1214">
        <f>R514</f>
        <v>1.1667743100000001</v>
      </c>
      <c r="P522" s="689" t="s">
        <v>347</v>
      </c>
      <c r="Q522" s="833">
        <f>R515</f>
        <v>0.02</v>
      </c>
      <c r="R522" s="797"/>
      <c r="S522" s="797"/>
      <c r="T522" s="798" t="s">
        <v>350</v>
      </c>
      <c r="U522" s="230" t="s">
        <v>426</v>
      </c>
      <c r="V522" s="97"/>
    </row>
    <row r="523" spans="1:22" ht="18" hidden="1" customHeight="1">
      <c r="A523" s="827"/>
      <c r="B523" s="802"/>
      <c r="C523" s="802"/>
      <c r="D523" s="689"/>
      <c r="E523" s="689"/>
      <c r="F523" s="684"/>
      <c r="G523" s="684"/>
      <c r="H523" s="689"/>
      <c r="I523" s="689">
        <f>R505</f>
        <v>1200</v>
      </c>
      <c r="J523" s="723"/>
      <c r="K523" s="689"/>
      <c r="L523" s="802"/>
      <c r="M523" s="716"/>
      <c r="N523" s="729"/>
      <c r="O523" s="716"/>
      <c r="P523" s="689"/>
      <c r="Q523" s="28">
        <f>R512</f>
        <v>1</v>
      </c>
      <c r="R523" s="28" t="s">
        <v>315</v>
      </c>
      <c r="S523" s="28">
        <f>R512</f>
        <v>1</v>
      </c>
      <c r="T523" s="798"/>
      <c r="U523" s="14"/>
      <c r="V523" s="97"/>
    </row>
    <row r="524" spans="1:22" ht="18" hidden="1" customHeight="1">
      <c r="A524" s="184"/>
      <c r="L524" s="244"/>
      <c r="V524" s="185"/>
    </row>
    <row r="525" spans="1:22" ht="18" hidden="1" customHeight="1">
      <c r="A525" s="184"/>
      <c r="C525" s="30" t="s">
        <v>127</v>
      </c>
      <c r="D525" s="812">
        <f>D522*F522*(I522/I523)*(M522+O522+(Q522/(Q523*S523)))</f>
        <v>72.160319460484075</v>
      </c>
      <c r="E525" s="813"/>
      <c r="F525" s="30" t="s">
        <v>305</v>
      </c>
      <c r="L525" s="244"/>
      <c r="V525" s="185"/>
    </row>
    <row r="526" spans="1:22" ht="18" hidden="1" customHeight="1">
      <c r="A526" s="184"/>
      <c r="L526" s="244"/>
      <c r="V526" s="185"/>
    </row>
    <row r="527" spans="1:22" s="14" customFormat="1" ht="18" hidden="1" customHeight="1">
      <c r="A527" s="799" t="s">
        <v>417</v>
      </c>
      <c r="B527" s="802"/>
      <c r="C527" s="802"/>
      <c r="D527" s="689"/>
      <c r="E527" s="689"/>
      <c r="F527" s="689" t="str">
        <f>R509</f>
        <v>-</v>
      </c>
      <c r="G527" s="684"/>
      <c r="H527" s="689" t="s">
        <v>315</v>
      </c>
      <c r="I527" s="708">
        <f>R511</f>
        <v>1</v>
      </c>
      <c r="J527" s="828"/>
      <c r="K527" s="689" t="s">
        <v>315</v>
      </c>
      <c r="L527" s="802" t="s">
        <v>419</v>
      </c>
      <c r="M527" s="716">
        <f>R513</f>
        <v>5</v>
      </c>
      <c r="N527" s="729" t="s">
        <v>347</v>
      </c>
      <c r="O527" s="1214">
        <f>R514</f>
        <v>1.1667743100000001</v>
      </c>
      <c r="P527" s="689" t="s">
        <v>347</v>
      </c>
      <c r="Q527" s="833">
        <f>R515</f>
        <v>0.02</v>
      </c>
      <c r="R527" s="797"/>
      <c r="S527" s="797"/>
      <c r="T527" s="798" t="s">
        <v>350</v>
      </c>
      <c r="U527" s="230" t="s">
        <v>618</v>
      </c>
      <c r="V527" s="97"/>
    </row>
    <row r="528" spans="1:22" ht="18" hidden="1" customHeight="1">
      <c r="A528" s="827"/>
      <c r="B528" s="802"/>
      <c r="C528" s="802"/>
      <c r="D528" s="689"/>
      <c r="E528" s="689"/>
      <c r="F528" s="684"/>
      <c r="G528" s="684"/>
      <c r="H528" s="689"/>
      <c r="I528" s="689">
        <f>R505</f>
        <v>1200</v>
      </c>
      <c r="J528" s="723"/>
      <c r="K528" s="689"/>
      <c r="L528" s="802"/>
      <c r="M528" s="716"/>
      <c r="N528" s="729"/>
      <c r="O528" s="716"/>
      <c r="P528" s="689"/>
      <c r="Q528" s="28">
        <f>R512</f>
        <v>1</v>
      </c>
      <c r="R528" s="28" t="s">
        <v>315</v>
      </c>
      <c r="S528" s="28">
        <f>R512</f>
        <v>1</v>
      </c>
      <c r="T528" s="798"/>
      <c r="U528" s="14"/>
      <c r="V528" s="97"/>
    </row>
    <row r="529" spans="1:22" ht="18" hidden="1" customHeight="1">
      <c r="A529" s="184"/>
      <c r="V529" s="185"/>
    </row>
    <row r="530" spans="1:22" ht="18" hidden="1" customHeight="1">
      <c r="A530" s="184"/>
      <c r="C530" s="30" t="s">
        <v>127</v>
      </c>
      <c r="D530" s="812" t="e">
        <f>F527*(I527/I528)*(M527+O527+(Q527/(Q528*S528)))</f>
        <v>#VALUE!</v>
      </c>
      <c r="E530" s="813"/>
      <c r="F530" s="30" t="s">
        <v>305</v>
      </c>
      <c r="G530" s="187" t="s">
        <v>378</v>
      </c>
      <c r="H530" s="186" t="str">
        <f>IF(M502="y","Applicable","Not applicable")</f>
        <v>Not applicable</v>
      </c>
      <c r="V530" s="185"/>
    </row>
    <row r="531" spans="1:22" ht="18" hidden="1" customHeight="1">
      <c r="A531" s="184"/>
      <c r="V531" s="185"/>
    </row>
    <row r="532" spans="1:22" ht="18" hidden="1" customHeight="1">
      <c r="A532" s="194"/>
      <c r="B532" s="195"/>
      <c r="C532" s="195"/>
      <c r="D532" s="195"/>
      <c r="E532" s="195"/>
      <c r="F532" s="195"/>
      <c r="G532" s="195"/>
      <c r="H532" s="195"/>
      <c r="I532" s="195"/>
      <c r="J532" s="195"/>
      <c r="K532" s="195"/>
      <c r="L532" s="195"/>
      <c r="M532" s="195"/>
      <c r="N532" s="195"/>
      <c r="O532" s="195"/>
      <c r="P532" s="195"/>
      <c r="Q532" s="224"/>
      <c r="R532" s="182"/>
      <c r="S532" s="225"/>
      <c r="T532" s="195"/>
      <c r="U532" s="195"/>
      <c r="V532" s="134"/>
    </row>
    <row r="533" spans="1:22" ht="18" hidden="1" customHeight="1">
      <c r="A533" s="226"/>
      <c r="B533" s="227"/>
      <c r="C533" s="227"/>
      <c r="D533" s="227"/>
      <c r="E533" s="227"/>
      <c r="F533" s="227"/>
      <c r="G533" s="227"/>
      <c r="H533" s="227"/>
      <c r="I533" s="227"/>
      <c r="J533" s="227"/>
      <c r="K533" s="227"/>
      <c r="L533" s="227"/>
      <c r="M533" s="227"/>
      <c r="N533" s="227"/>
      <c r="O533" s="227"/>
      <c r="P533" s="227"/>
      <c r="Q533" s="227"/>
      <c r="R533" s="227"/>
      <c r="S533" s="227"/>
      <c r="T533" s="227"/>
      <c r="U533" s="227"/>
      <c r="V533" s="228"/>
    </row>
    <row r="534" spans="1:22" ht="18" hidden="1" customHeight="1">
      <c r="A534" s="96" t="s">
        <v>640</v>
      </c>
      <c r="M534" s="825">
        <f>R505</f>
        <v>1200</v>
      </c>
      <c r="N534" s="826"/>
      <c r="O534" s="30" t="s">
        <v>470</v>
      </c>
      <c r="Q534" s="812">
        <f>IF(M502="Y",MAX(D520,D530),MAX(D520,D525))</f>
        <v>72.160319460484075</v>
      </c>
      <c r="R534" s="820"/>
      <c r="S534" s="30" t="s">
        <v>305</v>
      </c>
      <c r="V534" s="185"/>
    </row>
    <row r="535" spans="1:22" ht="18" hidden="1" customHeight="1">
      <c r="A535" s="184"/>
      <c r="M535" s="247"/>
      <c r="N535" s="247"/>
      <c r="Q535" s="211"/>
      <c r="R535" s="27"/>
      <c r="V535" s="185"/>
    </row>
    <row r="536" spans="1:22" ht="18" hidden="1" customHeight="1">
      <c r="A536" s="248" t="s">
        <v>471</v>
      </c>
      <c r="B536" s="14"/>
      <c r="C536" s="14"/>
      <c r="D536" s="249"/>
      <c r="E536" s="14"/>
      <c r="F536" s="14"/>
      <c r="G536" s="47"/>
      <c r="H536" s="14"/>
      <c r="J536" s="14"/>
      <c r="K536" s="14"/>
      <c r="L536" s="14"/>
      <c r="M536" s="14"/>
      <c r="N536" s="14"/>
      <c r="O536" s="14"/>
      <c r="P536" s="250"/>
      <c r="Q536" s="251"/>
      <c r="R536" s="47"/>
      <c r="S536" s="14"/>
      <c r="V536" s="185"/>
    </row>
    <row r="537" spans="1:22" ht="18" hidden="1" customHeight="1">
      <c r="A537" s="248"/>
      <c r="B537" s="14"/>
      <c r="C537" s="14"/>
      <c r="D537" s="249"/>
      <c r="E537" s="14"/>
      <c r="F537" s="14"/>
      <c r="G537" s="47"/>
      <c r="H537" s="14"/>
      <c r="J537" s="14"/>
      <c r="K537" s="14"/>
      <c r="L537" s="14"/>
      <c r="M537" s="14"/>
      <c r="N537" s="14"/>
      <c r="O537" s="14"/>
      <c r="P537" s="250"/>
      <c r="Q537" s="251"/>
      <c r="R537" s="47"/>
      <c r="S537" s="14"/>
      <c r="V537" s="185"/>
    </row>
    <row r="538" spans="1:22" ht="18" hidden="1" customHeight="1">
      <c r="A538" s="96" t="s">
        <v>641</v>
      </c>
      <c r="V538" s="185"/>
    </row>
    <row r="539" spans="1:22" ht="18" hidden="1" customHeight="1">
      <c r="A539" s="184"/>
      <c r="N539" s="14"/>
      <c r="O539" s="14" t="s">
        <v>473</v>
      </c>
      <c r="P539" s="268" t="s">
        <v>127</v>
      </c>
      <c r="Q539" s="249" t="s">
        <v>474</v>
      </c>
      <c r="R539" s="14"/>
      <c r="S539" s="28" t="s">
        <v>315</v>
      </c>
      <c r="T539" s="28">
        <v>0.8</v>
      </c>
      <c r="V539" s="185"/>
    </row>
    <row r="540" spans="1:22" ht="18" hidden="1" customHeight="1">
      <c r="A540" s="184"/>
      <c r="N540" s="252"/>
      <c r="O540" s="14"/>
      <c r="P540" s="268" t="s">
        <v>127</v>
      </c>
      <c r="Q540" s="829">
        <f>+Q534</f>
        <v>72.160319460484075</v>
      </c>
      <c r="R540" s="1147"/>
      <c r="S540" s="222" t="s">
        <v>315</v>
      </c>
      <c r="T540" s="253">
        <f>+T539</f>
        <v>0.8</v>
      </c>
      <c r="V540" s="185"/>
    </row>
    <row r="541" spans="1:22" ht="18" hidden="1" customHeight="1">
      <c r="A541" s="184"/>
      <c r="O541" s="14"/>
      <c r="P541" s="14" t="s">
        <v>127</v>
      </c>
      <c r="Q541" s="830">
        <f>Q540*T540</f>
        <v>57.728255568387262</v>
      </c>
      <c r="R541" s="1270"/>
      <c r="S541" s="47" t="s">
        <v>305</v>
      </c>
      <c r="T541" s="14"/>
      <c r="V541" s="185"/>
    </row>
    <row r="542" spans="1:22" ht="18" hidden="1" customHeight="1">
      <c r="A542" s="184"/>
      <c r="F542" s="28"/>
      <c r="G542" s="28"/>
      <c r="H542" s="14"/>
      <c r="V542" s="185"/>
    </row>
    <row r="543" spans="1:22" ht="18" hidden="1" customHeight="1">
      <c r="A543" s="184"/>
      <c r="D543" s="14" t="s">
        <v>642</v>
      </c>
      <c r="G543" s="27" t="str">
        <f>IF(E544&gt;H544,"&gt;","&lt;")</f>
        <v>&gt;</v>
      </c>
      <c r="H543" s="14" t="s">
        <v>643</v>
      </c>
      <c r="V543" s="185"/>
    </row>
    <row r="544" spans="1:22" ht="18" hidden="1" customHeight="1">
      <c r="A544" s="184"/>
      <c r="E544" s="684">
        <f>H457</f>
        <v>430</v>
      </c>
      <c r="F544" s="684"/>
      <c r="G544" s="27" t="str">
        <f>G543</f>
        <v>&gt;</v>
      </c>
      <c r="H544" s="795">
        <f>Q541</f>
        <v>57.728255568387262</v>
      </c>
      <c r="I544" s="684"/>
      <c r="V544" s="185"/>
    </row>
    <row r="545" spans="1:22" ht="18" hidden="1" customHeight="1">
      <c r="A545" s="184"/>
      <c r="F545" s="244" t="s">
        <v>478</v>
      </c>
      <c r="H545" s="18" t="str">
        <f>IF(G543="&gt;","Suitably Dimensioned","Under Dimensioned")</f>
        <v>Suitably Dimensioned</v>
      </c>
      <c r="V545" s="185"/>
    </row>
    <row r="546" spans="1:22" ht="18" hidden="1" customHeight="1">
      <c r="A546" s="184"/>
      <c r="F546" s="244"/>
      <c r="H546" s="18"/>
      <c r="V546" s="185"/>
    </row>
    <row r="547" spans="1:22" ht="18" hidden="1" customHeight="1">
      <c r="A547" s="184"/>
      <c r="F547" s="244"/>
      <c r="H547" s="18"/>
      <c r="V547" s="185"/>
    </row>
    <row r="548" spans="1:22" ht="18" hidden="1" customHeight="1">
      <c r="A548" s="184"/>
      <c r="F548" s="244"/>
      <c r="H548" s="18"/>
      <c r="V548" s="185"/>
    </row>
    <row r="549" spans="1:22" ht="18" hidden="1" customHeight="1">
      <c r="A549" s="184"/>
      <c r="F549" s="244"/>
      <c r="H549" s="18"/>
      <c r="V549" s="185"/>
    </row>
    <row r="550" spans="1:22" ht="18" hidden="1" customHeight="1">
      <c r="A550" s="184"/>
      <c r="F550" s="244"/>
      <c r="H550" s="18"/>
      <c r="V550" s="185"/>
    </row>
    <row r="551" spans="1:22" ht="18" hidden="1" customHeight="1">
      <c r="A551" s="184"/>
      <c r="F551" s="244"/>
      <c r="H551" s="18"/>
      <c r="V551" s="185"/>
    </row>
    <row r="552" spans="1:22" ht="18" hidden="1" customHeight="1">
      <c r="A552" s="184"/>
      <c r="F552" s="244"/>
      <c r="H552" s="18"/>
      <c r="V552" s="185"/>
    </row>
    <row r="553" spans="1:22" ht="18" hidden="1" customHeight="1">
      <c r="A553" s="184"/>
      <c r="F553" s="244"/>
      <c r="H553" s="18"/>
      <c r="V553" s="185"/>
    </row>
    <row r="554" spans="1:22" ht="18" hidden="1" customHeight="1">
      <c r="A554" s="184"/>
      <c r="F554" s="244"/>
      <c r="H554" s="18"/>
      <c r="V554" s="185"/>
    </row>
    <row r="555" spans="1:22" ht="18" hidden="1" customHeight="1">
      <c r="A555" s="184"/>
      <c r="F555" s="244"/>
      <c r="H555" s="18"/>
      <c r="V555" s="185"/>
    </row>
    <row r="556" spans="1:22" ht="18" hidden="1" customHeight="1">
      <c r="A556" s="184"/>
      <c r="F556" s="244"/>
      <c r="H556" s="18"/>
      <c r="V556" s="185"/>
    </row>
    <row r="557" spans="1:22" ht="18" hidden="1" customHeight="1">
      <c r="A557" s="184"/>
      <c r="F557" s="244"/>
      <c r="H557" s="18"/>
      <c r="V557" s="185"/>
    </row>
    <row r="558" spans="1:22" ht="18" hidden="1" customHeight="1">
      <c r="A558" s="184"/>
      <c r="F558" s="244"/>
      <c r="H558" s="18"/>
      <c r="V558" s="185"/>
    </row>
    <row r="559" spans="1:22" ht="18" hidden="1" customHeight="1">
      <c r="A559" s="184"/>
      <c r="F559" s="244"/>
      <c r="H559" s="18"/>
      <c r="V559" s="185"/>
    </row>
    <row r="560" spans="1:22" ht="18" hidden="1" customHeight="1">
      <c r="A560" s="184"/>
      <c r="F560" s="244"/>
      <c r="H560" s="18"/>
      <c r="V560" s="185"/>
    </row>
    <row r="561" spans="1:22" ht="18" hidden="1" customHeight="1">
      <c r="A561" s="184"/>
      <c r="F561" s="244"/>
      <c r="H561" s="18"/>
      <c r="V561" s="185"/>
    </row>
    <row r="562" spans="1:22" ht="18" hidden="1" customHeight="1">
      <c r="A562" s="184"/>
      <c r="F562" s="244"/>
      <c r="H562" s="18"/>
      <c r="V562" s="185"/>
    </row>
    <row r="563" spans="1:22" ht="18" hidden="1" customHeight="1">
      <c r="A563" s="184"/>
      <c r="F563" s="244"/>
      <c r="H563" s="18"/>
      <c r="V563" s="185"/>
    </row>
    <row r="564" spans="1:22" ht="18" hidden="1" customHeight="1">
      <c r="A564" s="184"/>
      <c r="F564" s="244"/>
      <c r="H564" s="18"/>
      <c r="V564" s="185"/>
    </row>
    <row r="565" spans="1:22" ht="18" hidden="1" customHeight="1">
      <c r="A565" s="184"/>
      <c r="F565" s="244"/>
      <c r="H565" s="18"/>
      <c r="V565" s="185"/>
    </row>
    <row r="566" spans="1:22" ht="18" hidden="1" customHeight="1">
      <c r="A566" s="184"/>
      <c r="V566" s="185"/>
    </row>
    <row r="567" spans="1:22" ht="18" hidden="1" customHeight="1">
      <c r="A567" s="184"/>
      <c r="V567" s="185"/>
    </row>
    <row r="568" spans="1:22" ht="18" hidden="1" customHeight="1">
      <c r="A568" s="184"/>
      <c r="V568" s="185"/>
    </row>
    <row r="569" spans="1:22" ht="18" hidden="1" customHeight="1">
      <c r="A569" s="184"/>
      <c r="V569" s="185"/>
    </row>
    <row r="570" spans="1:22" ht="18" hidden="1" customHeight="1">
      <c r="A570" s="184"/>
      <c r="V570" s="185"/>
    </row>
    <row r="571" spans="1:22" s="14" customFormat="1" ht="18" hidden="1" customHeight="1">
      <c r="A571" s="184"/>
      <c r="B571" s="30"/>
      <c r="C571" s="30"/>
      <c r="D571" s="30"/>
      <c r="E571" s="30"/>
      <c r="F571" s="30"/>
      <c r="G571" s="30"/>
      <c r="H571" s="30"/>
      <c r="I571" s="30"/>
      <c r="J571" s="30"/>
      <c r="K571" s="30"/>
      <c r="L571" s="30"/>
      <c r="M571" s="30"/>
      <c r="N571" s="30"/>
      <c r="O571" s="30"/>
      <c r="P571" s="30"/>
      <c r="Q571" s="30"/>
      <c r="R571" s="30"/>
      <c r="S571" s="30"/>
      <c r="T571" s="30"/>
      <c r="U571" s="30"/>
      <c r="V571" s="185"/>
    </row>
    <row r="572" spans="1:22" ht="18" hidden="1" customHeight="1">
      <c r="A572" s="184"/>
      <c r="V572" s="185"/>
    </row>
    <row r="573" spans="1:22" ht="18" hidden="1" customHeight="1">
      <c r="A573" s="184"/>
      <c r="V573" s="185"/>
    </row>
    <row r="574" spans="1:22" ht="18" hidden="1" customHeight="1">
      <c r="A574" s="184"/>
      <c r="V574" s="185"/>
    </row>
    <row r="575" spans="1:22" ht="18" hidden="1" customHeight="1">
      <c r="A575" s="184"/>
      <c r="V575" s="185"/>
    </row>
    <row r="576" spans="1:22" ht="18" hidden="1" customHeight="1">
      <c r="A576" s="194"/>
      <c r="B576" s="195"/>
      <c r="C576" s="195"/>
      <c r="D576" s="195"/>
      <c r="E576" s="195"/>
      <c r="F576" s="195"/>
      <c r="G576" s="195"/>
      <c r="H576" s="195"/>
      <c r="I576" s="195"/>
      <c r="J576" s="195"/>
      <c r="K576" s="195"/>
      <c r="L576" s="195"/>
      <c r="M576" s="195"/>
      <c r="N576" s="195"/>
      <c r="O576" s="195"/>
      <c r="P576" s="195"/>
      <c r="Q576" s="224"/>
      <c r="R576" s="182"/>
      <c r="S576" s="225"/>
      <c r="T576" s="195"/>
      <c r="U576" s="195"/>
      <c r="V576" s="134"/>
    </row>
    <row r="577" spans="1:29" ht="18" hidden="1" customHeight="1">
      <c r="A577" s="226"/>
      <c r="B577" s="227"/>
      <c r="C577" s="227"/>
      <c r="D577" s="227"/>
      <c r="E577" s="227"/>
      <c r="F577" s="227"/>
      <c r="G577" s="227"/>
      <c r="H577" s="227"/>
      <c r="I577" s="227"/>
      <c r="J577" s="227"/>
      <c r="K577" s="227"/>
      <c r="L577" s="227"/>
      <c r="M577" s="227"/>
      <c r="N577" s="227"/>
      <c r="O577" s="227"/>
      <c r="P577" s="227"/>
      <c r="Q577" s="227"/>
      <c r="R577" s="227"/>
      <c r="S577" s="227"/>
      <c r="T577" s="227"/>
      <c r="U577" s="227"/>
      <c r="V577" s="228"/>
    </row>
    <row r="578" spans="1:29" ht="18" hidden="1" customHeight="1">
      <c r="A578" s="184"/>
      <c r="B578" s="854" t="str">
        <f>B451</f>
        <v>BCT13,14,15</v>
      </c>
      <c r="C578" s="831"/>
      <c r="D578" s="855" t="str">
        <f>D451</f>
        <v>Core2</v>
      </c>
      <c r="E578" s="856"/>
      <c r="F578" s="186" t="s">
        <v>636</v>
      </c>
      <c r="H578" s="684" t="str">
        <f>H451</f>
        <v>(Transformer Differential)</v>
      </c>
      <c r="I578" s="684"/>
      <c r="J578" s="684"/>
      <c r="K578" s="684"/>
      <c r="L578" s="684"/>
      <c r="M578" s="684"/>
      <c r="P578" s="186"/>
      <c r="S578" s="187" t="s">
        <v>387</v>
      </c>
      <c r="T578" s="854" t="str">
        <f>T451</f>
        <v>RET670</v>
      </c>
      <c r="U578" s="831"/>
      <c r="V578" s="185"/>
    </row>
    <row r="579" spans="1:29" ht="18" hidden="1" customHeight="1">
      <c r="A579" s="184"/>
      <c r="B579" s="853">
        <f>B452</f>
        <v>0</v>
      </c>
      <c r="C579" s="853"/>
      <c r="D579" s="857"/>
      <c r="E579" s="858"/>
      <c r="F579" s="255"/>
      <c r="T579" s="854">
        <f>T452</f>
        <v>0</v>
      </c>
      <c r="U579" s="831"/>
      <c r="V579" s="185"/>
    </row>
    <row r="580" spans="1:29" ht="18" hidden="1" customHeight="1">
      <c r="A580" s="184"/>
      <c r="H580" s="708" t="s">
        <v>390</v>
      </c>
      <c r="I580" s="708"/>
      <c r="J580" s="789" t="s">
        <v>391</v>
      </c>
      <c r="K580" s="789"/>
      <c r="L580" s="708" t="s">
        <v>392</v>
      </c>
      <c r="M580" s="708"/>
      <c r="T580" s="854">
        <f>T453</f>
        <v>0</v>
      </c>
      <c r="U580" s="831"/>
      <c r="V580" s="185"/>
    </row>
    <row r="581" spans="1:29" ht="18" hidden="1" customHeight="1">
      <c r="A581" s="184"/>
      <c r="B581" s="47" t="s">
        <v>393</v>
      </c>
      <c r="H581" s="854">
        <f>H454</f>
        <v>1200</v>
      </c>
      <c r="I581" s="831"/>
      <c r="J581" s="863" t="str">
        <f>J454</f>
        <v>-</v>
      </c>
      <c r="K581" s="864"/>
      <c r="L581" s="854" t="str">
        <f>L454</f>
        <v>-</v>
      </c>
      <c r="M581" s="831"/>
      <c r="N581" s="102" t="s">
        <v>342</v>
      </c>
      <c r="O581" s="256">
        <f>O454</f>
        <v>1</v>
      </c>
      <c r="P581" s="27" t="s">
        <v>8</v>
      </c>
      <c r="V581" s="185"/>
    </row>
    <row r="582" spans="1:29" ht="18" hidden="1" customHeight="1">
      <c r="A582" s="184"/>
      <c r="B582" s="47" t="s">
        <v>394</v>
      </c>
      <c r="H582" s="14"/>
      <c r="I582" s="14"/>
      <c r="J582" s="854" t="str">
        <f>H455</f>
        <v>TPS</v>
      </c>
      <c r="K582" s="831"/>
      <c r="L582" s="14"/>
      <c r="M582" s="14"/>
      <c r="V582" s="185"/>
    </row>
    <row r="583" spans="1:29" ht="18" hidden="1" customHeight="1">
      <c r="A583" s="184"/>
      <c r="B583" s="47" t="s">
        <v>396</v>
      </c>
      <c r="I583" s="120" t="s">
        <v>497</v>
      </c>
      <c r="J583" s="781" t="s">
        <v>6</v>
      </c>
      <c r="K583" s="782"/>
      <c r="L583" s="192" t="s">
        <v>333</v>
      </c>
      <c r="V583" s="185"/>
    </row>
    <row r="584" spans="1:29" ht="18" hidden="1" customHeight="1">
      <c r="A584" s="184"/>
      <c r="B584" s="47" t="s">
        <v>398</v>
      </c>
      <c r="I584" s="120" t="s">
        <v>498</v>
      </c>
      <c r="J584" s="781" t="s">
        <v>6</v>
      </c>
      <c r="K584" s="782"/>
      <c r="L584" s="14" t="s">
        <v>305</v>
      </c>
      <c r="V584" s="185"/>
      <c r="W584" s="30" t="s">
        <v>400</v>
      </c>
      <c r="AB584" s="785" t="e">
        <f>Q673</f>
        <v>#VALUE!</v>
      </c>
      <c r="AC584" s="786"/>
    </row>
    <row r="585" spans="1:29" ht="18" hidden="1" customHeight="1">
      <c r="A585" s="184"/>
      <c r="B585" s="14" t="s">
        <v>401</v>
      </c>
      <c r="I585" s="120" t="s">
        <v>402</v>
      </c>
      <c r="J585" s="781" t="s">
        <v>6</v>
      </c>
      <c r="K585" s="782"/>
      <c r="L585" s="14" t="s">
        <v>403</v>
      </c>
      <c r="V585" s="185"/>
    </row>
    <row r="586" spans="1:29" ht="18" hidden="1" customHeight="1">
      <c r="A586" s="184"/>
      <c r="V586" s="185"/>
    </row>
    <row r="587" spans="1:29" ht="18" hidden="1" customHeight="1">
      <c r="A587" s="193" t="s">
        <v>404</v>
      </c>
      <c r="V587" s="185"/>
    </row>
    <row r="588" spans="1:29" ht="18" hidden="1" customHeight="1">
      <c r="A588" s="184"/>
      <c r="V588" s="185"/>
    </row>
    <row r="589" spans="1:29" ht="18" hidden="1" customHeight="1">
      <c r="A589" s="184"/>
      <c r="B589" s="194" t="s">
        <v>405</v>
      </c>
      <c r="C589" s="195"/>
      <c r="D589" s="195" t="str">
        <f>T578</f>
        <v>RET670</v>
      </c>
      <c r="E589" s="196"/>
      <c r="F589" s="196"/>
      <c r="G589" s="196"/>
      <c r="H589" s="182" t="s">
        <v>406</v>
      </c>
      <c r="I589" s="183" t="s">
        <v>127</v>
      </c>
      <c r="J589" s="1276">
        <f>J462</f>
        <v>0.02</v>
      </c>
      <c r="K589" s="1144"/>
      <c r="L589" s="3" t="s">
        <v>157</v>
      </c>
      <c r="N589" s="197" t="s">
        <v>407</v>
      </c>
      <c r="V589" s="185"/>
    </row>
    <row r="590" spans="1:29" s="14" customFormat="1" ht="18" hidden="1" customHeight="1">
      <c r="A590" s="184"/>
      <c r="B590" s="96" t="s">
        <v>405</v>
      </c>
      <c r="C590" s="30"/>
      <c r="D590" s="30">
        <f>T579</f>
        <v>0</v>
      </c>
      <c r="E590" s="30"/>
      <c r="F590" s="30"/>
      <c r="G590" s="30"/>
      <c r="H590" s="27"/>
      <c r="I590" s="177"/>
      <c r="J590" s="1274">
        <f>J463</f>
        <v>0</v>
      </c>
      <c r="K590" s="1275"/>
      <c r="L590" s="198" t="s">
        <v>157</v>
      </c>
      <c r="M590" s="30"/>
      <c r="N590" s="30"/>
      <c r="O590" s="30"/>
      <c r="P590" s="30"/>
      <c r="Q590" s="30"/>
      <c r="R590" s="30"/>
      <c r="S590" s="30"/>
      <c r="T590" s="30"/>
      <c r="U590" s="30"/>
      <c r="V590" s="185"/>
    </row>
    <row r="591" spans="1:29" s="14" customFormat="1" ht="18" hidden="1" customHeight="1">
      <c r="A591" s="184"/>
      <c r="B591" s="96" t="s">
        <v>405</v>
      </c>
      <c r="C591" s="30"/>
      <c r="D591" s="30">
        <f>T580</f>
        <v>0</v>
      </c>
      <c r="F591" s="30"/>
      <c r="G591" s="199"/>
      <c r="H591" s="27"/>
      <c r="I591" s="101"/>
      <c r="J591" s="696">
        <f>J464</f>
        <v>0</v>
      </c>
      <c r="K591" s="820"/>
      <c r="L591" s="202" t="s">
        <v>157</v>
      </c>
      <c r="M591" s="30"/>
      <c r="N591" s="30" t="s">
        <v>408</v>
      </c>
      <c r="O591" s="27" t="s">
        <v>127</v>
      </c>
      <c r="P591" s="30" t="s">
        <v>409</v>
      </c>
      <c r="Q591" s="191" t="s">
        <v>410</v>
      </c>
      <c r="R591" s="244" t="s">
        <v>411</v>
      </c>
      <c r="S591" s="27" t="s">
        <v>315</v>
      </c>
      <c r="T591" s="30" t="s">
        <v>411</v>
      </c>
      <c r="U591" s="30" t="s">
        <v>350</v>
      </c>
      <c r="V591" s="185"/>
    </row>
    <row r="592" spans="1:29" s="14" customFormat="1" ht="18" hidden="1" customHeight="1">
      <c r="A592" s="184"/>
      <c r="B592" s="184" t="s">
        <v>412</v>
      </c>
      <c r="C592" s="30"/>
      <c r="D592" s="30"/>
      <c r="E592" s="30"/>
      <c r="F592" s="30"/>
      <c r="G592" s="30"/>
      <c r="H592" s="27" t="s">
        <v>599</v>
      </c>
      <c r="I592" s="177" t="s">
        <v>127</v>
      </c>
      <c r="J592" s="1274">
        <f>J465</f>
        <v>1.1667743100000001</v>
      </c>
      <c r="K592" s="1275"/>
      <c r="L592" s="203" t="s">
        <v>157</v>
      </c>
      <c r="M592" s="30"/>
      <c r="N592" s="30"/>
      <c r="O592" s="27" t="s">
        <v>127</v>
      </c>
      <c r="P592" s="204">
        <f>J593</f>
        <v>1.1667743100000001</v>
      </c>
      <c r="Q592" s="191" t="s">
        <v>410</v>
      </c>
      <c r="R592" s="27">
        <f>O581</f>
        <v>1</v>
      </c>
      <c r="S592" s="27" t="s">
        <v>315</v>
      </c>
      <c r="T592" s="27">
        <f>O581</f>
        <v>1</v>
      </c>
      <c r="U592" s="30" t="s">
        <v>350</v>
      </c>
      <c r="V592" s="185"/>
    </row>
    <row r="593" spans="1:22" s="14" customFormat="1" ht="18" hidden="1" customHeight="1">
      <c r="A593" s="184"/>
      <c r="B593" s="205" t="s">
        <v>413</v>
      </c>
      <c r="C593" s="206"/>
      <c r="D593" s="206"/>
      <c r="E593" s="206"/>
      <c r="F593" s="207"/>
      <c r="G593" s="207"/>
      <c r="H593" s="190" t="s">
        <v>409</v>
      </c>
      <c r="I593" s="208" t="s">
        <v>127</v>
      </c>
      <c r="J593" s="1276">
        <f>J590+J592</f>
        <v>1.1667743100000001</v>
      </c>
      <c r="K593" s="1144"/>
      <c r="L593" s="210" t="s">
        <v>157</v>
      </c>
      <c r="M593" s="30"/>
      <c r="N593" s="30"/>
      <c r="O593" s="27" t="s">
        <v>127</v>
      </c>
      <c r="P593" s="795">
        <f>P592/(R592*T592)</f>
        <v>1.1667743100000001</v>
      </c>
      <c r="Q593" s="795"/>
      <c r="R593" s="192" t="s">
        <v>333</v>
      </c>
      <c r="S593" s="30"/>
      <c r="T593" s="30"/>
      <c r="U593" s="30"/>
      <c r="V593" s="185"/>
    </row>
    <row r="594" spans="1:22" s="14" customFormat="1" ht="18" hidden="1" customHeight="1">
      <c r="A594" s="184"/>
      <c r="B594" s="30"/>
      <c r="C594" s="30"/>
      <c r="D594" s="30"/>
      <c r="E594" s="30"/>
      <c r="F594" s="30"/>
      <c r="G594" s="30"/>
      <c r="H594" s="30"/>
      <c r="I594" s="30"/>
      <c r="J594" s="30"/>
      <c r="K594" s="30"/>
      <c r="L594" s="30"/>
      <c r="M594" s="30"/>
      <c r="N594" s="30"/>
      <c r="O594" s="30"/>
      <c r="P594" s="30"/>
      <c r="Q594" s="30"/>
      <c r="R594" s="30"/>
      <c r="S594" s="30"/>
      <c r="T594" s="30"/>
      <c r="U594" s="30"/>
      <c r="V594" s="185"/>
    </row>
    <row r="595" spans="1:22" s="14" customFormat="1" ht="18" hidden="1" customHeight="1">
      <c r="A595" s="193" t="s">
        <v>600</v>
      </c>
      <c r="B595" s="5"/>
      <c r="C595" s="5"/>
      <c r="D595" s="5"/>
      <c r="E595" s="5"/>
      <c r="F595" s="5"/>
      <c r="G595" s="5"/>
      <c r="H595" s="212"/>
      <c r="I595" s="212"/>
      <c r="J595" s="5"/>
      <c r="K595" s="5"/>
      <c r="L595" s="5"/>
      <c r="M595" s="5"/>
      <c r="N595" s="5"/>
      <c r="O595" s="5"/>
      <c r="P595" s="103"/>
      <c r="Q595" s="212"/>
      <c r="R595" s="213"/>
      <c r="S595" s="214"/>
      <c r="T595" s="18"/>
      <c r="U595" s="18"/>
      <c r="V595" s="97"/>
    </row>
    <row r="596" spans="1:22" s="14" customFormat="1" ht="18" hidden="1" customHeight="1">
      <c r="A596" s="96"/>
      <c r="B596" s="47" t="s">
        <v>601</v>
      </c>
      <c r="C596" s="5"/>
      <c r="D596" s="5"/>
      <c r="E596" s="5"/>
      <c r="I596" s="215"/>
      <c r="M596" s="5"/>
      <c r="O596" s="103" t="s">
        <v>127</v>
      </c>
      <c r="P596" s="853">
        <f>P469</f>
        <v>100</v>
      </c>
      <c r="Q596" s="1271"/>
      <c r="R596" s="14" t="s">
        <v>602</v>
      </c>
      <c r="S596" s="214"/>
      <c r="T596" s="18"/>
      <c r="U596" s="18"/>
      <c r="V596" s="97"/>
    </row>
    <row r="597" spans="1:22" s="14" customFormat="1" ht="18" hidden="1" customHeight="1">
      <c r="A597" s="96"/>
      <c r="B597" s="47" t="s">
        <v>603</v>
      </c>
      <c r="C597" s="5"/>
      <c r="D597" s="5"/>
      <c r="E597" s="5"/>
      <c r="I597" s="215"/>
      <c r="M597" s="5"/>
      <c r="O597" s="103" t="s">
        <v>127</v>
      </c>
      <c r="P597" s="853">
        <f>P470</f>
        <v>25</v>
      </c>
      <c r="Q597" s="1271"/>
      <c r="R597" s="14" t="s">
        <v>604</v>
      </c>
      <c r="S597" s="214"/>
      <c r="T597" s="18"/>
      <c r="U597" s="18"/>
      <c r="V597" s="97"/>
    </row>
    <row r="598" spans="1:22" s="14" customFormat="1" ht="18" hidden="1" customHeight="1">
      <c r="A598" s="96"/>
      <c r="B598" s="47" t="s">
        <v>605</v>
      </c>
      <c r="C598" s="5"/>
      <c r="D598" s="5"/>
      <c r="E598" s="5"/>
      <c r="N598" s="120" t="s">
        <v>644</v>
      </c>
      <c r="O598" s="103" t="s">
        <v>607</v>
      </c>
      <c r="P598" s="854">
        <f>P471</f>
        <v>132</v>
      </c>
      <c r="Q598" s="1270"/>
      <c r="R598" s="14" t="s">
        <v>163</v>
      </c>
      <c r="S598" s="214"/>
      <c r="T598" s="18"/>
      <c r="U598" s="18"/>
      <c r="V598" s="97"/>
    </row>
    <row r="599" spans="1:22" s="14" customFormat="1" ht="18" hidden="1" customHeight="1">
      <c r="A599" s="216"/>
      <c r="B599" s="212"/>
      <c r="C599" s="212"/>
      <c r="D599" s="212"/>
      <c r="E599" s="212"/>
      <c r="T599" s="18"/>
      <c r="U599" s="18"/>
      <c r="V599" s="97"/>
    </row>
    <row r="600" spans="1:22" s="14" customFormat="1" ht="18" hidden="1" customHeight="1">
      <c r="A600" s="96"/>
      <c r="B600" s="14" t="s">
        <v>608</v>
      </c>
      <c r="C600" s="213"/>
      <c r="D600" s="213"/>
      <c r="E600" s="213"/>
      <c r="H600" s="120" t="s">
        <v>609</v>
      </c>
      <c r="I600" s="28" t="s">
        <v>127</v>
      </c>
      <c r="J600" s="689" t="s">
        <v>610</v>
      </c>
      <c r="K600" s="689"/>
      <c r="L600" s="28" t="s">
        <v>315</v>
      </c>
      <c r="M600" s="217">
        <v>1000</v>
      </c>
      <c r="N600" s="102" t="s">
        <v>342</v>
      </c>
      <c r="O600" s="28" t="s">
        <v>611</v>
      </c>
      <c r="P600" s="28" t="s">
        <v>315</v>
      </c>
      <c r="Q600" s="28" t="s">
        <v>606</v>
      </c>
      <c r="R600" s="47"/>
      <c r="T600" s="18"/>
      <c r="U600" s="18"/>
      <c r="V600" s="97"/>
    </row>
    <row r="601" spans="1:22" ht="18" hidden="1" customHeight="1">
      <c r="A601" s="216"/>
      <c r="B601" s="213"/>
      <c r="C601" s="213"/>
      <c r="D601" s="213"/>
      <c r="E601" s="213"/>
      <c r="F601" s="212"/>
      <c r="G601" s="212"/>
      <c r="H601" s="28"/>
      <c r="I601" s="28" t="s">
        <v>127</v>
      </c>
      <c r="J601" s="689">
        <f>P596</f>
        <v>100</v>
      </c>
      <c r="K601" s="689"/>
      <c r="L601" s="28" t="s">
        <v>315</v>
      </c>
      <c r="M601" s="217">
        <v>1000</v>
      </c>
      <c r="N601" s="102" t="s">
        <v>342</v>
      </c>
      <c r="O601" s="28" t="s">
        <v>611</v>
      </c>
      <c r="P601" s="28" t="s">
        <v>315</v>
      </c>
      <c r="Q601" s="28">
        <f>P598</f>
        <v>132</v>
      </c>
      <c r="R601" s="47"/>
      <c r="S601" s="14"/>
      <c r="T601" s="18"/>
      <c r="U601" s="18"/>
      <c r="V601" s="97"/>
    </row>
    <row r="602" spans="1:22" ht="18" hidden="1" customHeight="1">
      <c r="A602" s="216"/>
      <c r="B602" s="212"/>
      <c r="C602" s="212"/>
      <c r="D602" s="212"/>
      <c r="E602" s="212"/>
      <c r="F602" s="212"/>
      <c r="G602" s="212"/>
      <c r="H602" s="14"/>
      <c r="I602" s="28" t="s">
        <v>127</v>
      </c>
      <c r="J602" s="692">
        <f>(P596*1000)/(SQRT(3)*P598)</f>
        <v>437.38656756789834</v>
      </c>
      <c r="K602" s="692"/>
      <c r="L602" s="14" t="s">
        <v>8</v>
      </c>
      <c r="M602" s="120"/>
      <c r="N602" s="120"/>
      <c r="O602" s="120"/>
      <c r="P602" s="14"/>
      <c r="Q602" s="14"/>
      <c r="R602" s="14"/>
      <c r="S602" s="14"/>
      <c r="T602" s="18"/>
      <c r="U602" s="18"/>
      <c r="V602" s="97"/>
    </row>
    <row r="603" spans="1:22" ht="18" hidden="1" customHeight="1">
      <c r="A603" s="216"/>
      <c r="B603" s="212"/>
      <c r="C603" s="212"/>
      <c r="D603" s="212"/>
      <c r="E603" s="212"/>
      <c r="F603" s="14"/>
      <c r="G603" s="212"/>
      <c r="H603" s="28"/>
      <c r="I603" s="103"/>
      <c r="J603" s="28"/>
      <c r="K603" s="14"/>
      <c r="L603" s="14"/>
      <c r="M603" s="212"/>
      <c r="N603" s="219"/>
      <c r="O603" s="212"/>
      <c r="P603" s="14"/>
      <c r="Q603" s="14"/>
      <c r="R603" s="14"/>
      <c r="S603" s="14"/>
      <c r="T603" s="18"/>
      <c r="U603" s="18"/>
      <c r="V603" s="97"/>
    </row>
    <row r="604" spans="1:22" ht="18" hidden="1" customHeight="1">
      <c r="A604" s="147" t="s">
        <v>629</v>
      </c>
      <c r="B604" s="5"/>
      <c r="C604" s="5"/>
      <c r="D604" s="5"/>
      <c r="E604" s="5"/>
      <c r="F604" s="212"/>
      <c r="G604" s="212"/>
      <c r="H604" s="5"/>
      <c r="I604" s="5"/>
      <c r="J604" s="5"/>
      <c r="K604" s="5"/>
      <c r="L604" s="103"/>
      <c r="M604" s="103"/>
      <c r="N604" s="103"/>
      <c r="O604" s="103"/>
      <c r="P604" s="212"/>
      <c r="Q604" s="213"/>
      <c r="R604" s="14"/>
      <c r="S604" s="220"/>
      <c r="T604" s="18"/>
      <c r="U604" s="18"/>
      <c r="V604" s="97"/>
    </row>
    <row r="605" spans="1:22" ht="18" hidden="1" customHeight="1">
      <c r="A605" s="147"/>
      <c r="B605" s="5"/>
      <c r="C605" s="5"/>
      <c r="D605" s="5"/>
      <c r="E605" s="5"/>
      <c r="F605" s="212"/>
      <c r="G605" s="212"/>
      <c r="H605" s="5"/>
      <c r="I605" s="5"/>
      <c r="J605" s="5"/>
      <c r="K605" s="5"/>
      <c r="L605" s="103"/>
      <c r="M605" s="103"/>
      <c r="N605" s="103"/>
      <c r="O605" s="103"/>
      <c r="P605" s="212"/>
      <c r="Q605" s="213"/>
      <c r="R605" s="14"/>
      <c r="S605" s="214"/>
      <c r="T605" s="18"/>
      <c r="U605" s="18"/>
      <c r="V605" s="97"/>
    </row>
    <row r="606" spans="1:22" ht="18" hidden="1" customHeight="1">
      <c r="A606" s="184"/>
      <c r="B606" s="14" t="s">
        <v>612</v>
      </c>
      <c r="C606" s="14"/>
      <c r="D606" s="14"/>
      <c r="E606" s="14"/>
      <c r="M606" s="120" t="s">
        <v>613</v>
      </c>
      <c r="N606" s="28" t="s">
        <v>127</v>
      </c>
      <c r="O606" s="689" t="s">
        <v>609</v>
      </c>
      <c r="P606" s="716"/>
      <c r="Q606" s="221" t="s">
        <v>630</v>
      </c>
      <c r="R606" s="221">
        <v>16</v>
      </c>
      <c r="S606" s="214"/>
      <c r="V606" s="185"/>
    </row>
    <row r="607" spans="1:22" ht="18" hidden="1" customHeight="1">
      <c r="A607" s="96"/>
      <c r="B607" s="5"/>
      <c r="C607" s="5"/>
      <c r="D607" s="5"/>
      <c r="E607" s="5"/>
      <c r="M607" s="250"/>
      <c r="N607" s="28" t="s">
        <v>127</v>
      </c>
      <c r="O607" s="689">
        <f>+J602</f>
        <v>437.38656756789834</v>
      </c>
      <c r="P607" s="716"/>
      <c r="Q607" s="221" t="s">
        <v>630</v>
      </c>
      <c r="R607" s="221">
        <v>16</v>
      </c>
      <c r="S607" s="214"/>
      <c r="V607" s="185"/>
    </row>
    <row r="608" spans="1:22" ht="18" hidden="1" customHeight="1">
      <c r="A608" s="96"/>
      <c r="B608" s="5"/>
      <c r="C608" s="5"/>
      <c r="D608" s="5"/>
      <c r="E608" s="5"/>
      <c r="M608" s="120" t="s">
        <v>613</v>
      </c>
      <c r="N608" s="28" t="s">
        <v>127</v>
      </c>
      <c r="O608" s="689">
        <f>O607*R607</f>
        <v>6998.1850810863734</v>
      </c>
      <c r="P608" s="716"/>
      <c r="Q608" s="241" t="s">
        <v>8</v>
      </c>
      <c r="R608" s="14"/>
      <c r="S608" s="214"/>
      <c r="V608" s="185"/>
    </row>
    <row r="609" spans="1:22" ht="18" hidden="1" customHeight="1">
      <c r="A609" s="96"/>
      <c r="B609" s="5"/>
      <c r="C609" s="5"/>
      <c r="D609" s="5"/>
      <c r="E609" s="5"/>
      <c r="M609" s="212"/>
      <c r="N609" s="212"/>
      <c r="O609" s="103"/>
      <c r="Q609" s="223"/>
      <c r="R609" s="14"/>
      <c r="S609" s="214"/>
      <c r="V609" s="185"/>
    </row>
    <row r="610" spans="1:22" s="14" customFormat="1" ht="18" hidden="1" customHeight="1">
      <c r="A610" s="678" t="s">
        <v>633</v>
      </c>
      <c r="B610" s="1207"/>
      <c r="C610" s="1207"/>
      <c r="D610" s="1207"/>
      <c r="E610" s="1207"/>
      <c r="F610" s="1207"/>
      <c r="G610" s="1207"/>
      <c r="H610" s="1207"/>
      <c r="I610" s="1207"/>
      <c r="J610" s="1207"/>
      <c r="K610" s="1207"/>
      <c r="L610" s="1207"/>
      <c r="M610" s="1207"/>
      <c r="N610" s="1207"/>
      <c r="O610" s="1207"/>
      <c r="P610" s="1207"/>
      <c r="Q610" s="1207"/>
      <c r="R610" s="1207"/>
      <c r="S610" s="1207"/>
      <c r="T610" s="1207"/>
      <c r="U610" s="1207"/>
      <c r="V610" s="1208"/>
    </row>
    <row r="611" spans="1:22" ht="18" hidden="1" customHeight="1">
      <c r="A611" s="1209"/>
      <c r="B611" s="1207"/>
      <c r="C611" s="1207"/>
      <c r="D611" s="1207"/>
      <c r="E611" s="1207"/>
      <c r="F611" s="1207"/>
      <c r="G611" s="1207"/>
      <c r="H611" s="1207"/>
      <c r="I611" s="1207"/>
      <c r="J611" s="1207"/>
      <c r="K611" s="1207"/>
      <c r="L611" s="1207"/>
      <c r="M611" s="1207"/>
      <c r="N611" s="1207"/>
      <c r="O611" s="1207"/>
      <c r="P611" s="1207"/>
      <c r="Q611" s="1207"/>
      <c r="R611" s="1207"/>
      <c r="S611" s="1207"/>
      <c r="T611" s="1207"/>
      <c r="U611" s="1207"/>
      <c r="V611" s="1208"/>
    </row>
    <row r="612" spans="1:22" ht="18" hidden="1" customHeight="1">
      <c r="A612" s="231"/>
      <c r="B612" s="232"/>
      <c r="C612" s="232"/>
      <c r="D612" s="232"/>
      <c r="E612" s="232"/>
      <c r="F612" s="232"/>
      <c r="G612" s="232"/>
      <c r="H612" s="232"/>
      <c r="I612" s="232"/>
      <c r="J612" s="232"/>
      <c r="K612" s="232"/>
      <c r="L612" s="232"/>
      <c r="M612" s="232"/>
      <c r="N612" s="232"/>
      <c r="O612" s="232"/>
      <c r="P612" s="232"/>
      <c r="Q612" s="232"/>
      <c r="R612" s="232"/>
      <c r="S612" s="232"/>
      <c r="T612" s="232"/>
      <c r="U612" s="232"/>
      <c r="V612" s="233"/>
    </row>
    <row r="613" spans="1:22" ht="18" hidden="1" customHeight="1">
      <c r="A613" s="231"/>
      <c r="B613" s="232"/>
      <c r="C613" s="232"/>
      <c r="D613" s="232"/>
      <c r="E613" s="232"/>
      <c r="F613" s="232"/>
      <c r="G613" s="232"/>
      <c r="H613" s="232"/>
      <c r="I613" s="232"/>
      <c r="J613" s="232"/>
      <c r="K613" s="232"/>
      <c r="L613" s="232"/>
      <c r="M613" s="232"/>
      <c r="N613" s="232"/>
      <c r="O613" s="232"/>
      <c r="P613" s="232"/>
      <c r="Q613" s="232"/>
      <c r="R613" s="232"/>
      <c r="S613" s="232"/>
      <c r="T613" s="232"/>
      <c r="U613" s="232"/>
      <c r="V613" s="233"/>
    </row>
    <row r="614" spans="1:22" ht="18" hidden="1" customHeight="1">
      <c r="A614" s="231"/>
      <c r="B614" s="232"/>
      <c r="C614" s="232"/>
      <c r="D614" s="232"/>
      <c r="E614" s="232"/>
      <c r="F614" s="232"/>
      <c r="G614" s="232"/>
      <c r="H614" s="232"/>
      <c r="I614" s="232"/>
      <c r="J614" s="232"/>
      <c r="K614" s="232"/>
      <c r="L614" s="232"/>
      <c r="M614" s="232"/>
      <c r="N614" s="232"/>
      <c r="O614" s="232"/>
      <c r="P614" s="232"/>
      <c r="Q614" s="232"/>
      <c r="R614" s="232"/>
      <c r="S614" s="232"/>
      <c r="T614" s="232"/>
      <c r="U614" s="232"/>
      <c r="V614" s="233"/>
    </row>
    <row r="615" spans="1:22" ht="18" hidden="1" customHeight="1">
      <c r="A615" s="231"/>
      <c r="B615" s="232"/>
      <c r="C615" s="232"/>
      <c r="D615" s="232"/>
      <c r="E615" s="232"/>
      <c r="F615" s="232"/>
      <c r="G615" s="232"/>
      <c r="H615" s="232"/>
      <c r="I615" s="232"/>
      <c r="J615" s="232"/>
      <c r="K615" s="232"/>
      <c r="L615" s="232"/>
      <c r="M615" s="232"/>
      <c r="N615" s="232"/>
      <c r="O615" s="232"/>
      <c r="P615" s="232"/>
      <c r="Q615" s="232"/>
      <c r="R615" s="232"/>
      <c r="S615" s="232"/>
      <c r="T615" s="232"/>
      <c r="U615" s="232"/>
      <c r="V615" s="233"/>
    </row>
    <row r="616" spans="1:22" ht="18" hidden="1" customHeight="1">
      <c r="A616" s="231"/>
      <c r="B616" s="232"/>
      <c r="C616" s="232"/>
      <c r="D616" s="232"/>
      <c r="E616" s="232"/>
      <c r="F616" s="232"/>
      <c r="G616" s="232"/>
      <c r="H616" s="232"/>
      <c r="I616" s="232"/>
      <c r="J616" s="232"/>
      <c r="K616" s="232"/>
      <c r="L616" s="232"/>
      <c r="M616" s="232"/>
      <c r="N616" s="232"/>
      <c r="O616" s="232"/>
      <c r="P616" s="232"/>
      <c r="Q616" s="232"/>
      <c r="R616" s="232"/>
      <c r="S616" s="232"/>
      <c r="T616" s="232"/>
      <c r="U616" s="232"/>
      <c r="V616" s="233"/>
    </row>
    <row r="617" spans="1:22" ht="18" hidden="1" customHeight="1">
      <c r="A617" s="96"/>
      <c r="B617" s="5"/>
      <c r="C617" s="5"/>
      <c r="D617" s="5"/>
      <c r="E617" s="5"/>
      <c r="M617" s="212"/>
      <c r="N617" s="212"/>
      <c r="O617" s="103"/>
      <c r="Q617" s="223"/>
      <c r="R617" s="14"/>
      <c r="S617" s="214"/>
      <c r="V617" s="185"/>
    </row>
    <row r="618" spans="1:22" ht="18" hidden="1" customHeight="1">
      <c r="A618" s="184"/>
      <c r="V618" s="185"/>
    </row>
    <row r="619" spans="1:22" ht="18" hidden="1" customHeight="1">
      <c r="A619" s="184"/>
      <c r="V619" s="185"/>
    </row>
    <row r="620" spans="1:22" ht="18" hidden="1" customHeight="1">
      <c r="A620" s="194"/>
      <c r="B620" s="195"/>
      <c r="C620" s="195"/>
      <c r="D620" s="195"/>
      <c r="E620" s="195"/>
      <c r="F620" s="195"/>
      <c r="G620" s="195"/>
      <c r="H620" s="195"/>
      <c r="I620" s="195"/>
      <c r="J620" s="195"/>
      <c r="K620" s="195"/>
      <c r="L620" s="195"/>
      <c r="M620" s="195"/>
      <c r="N620" s="195"/>
      <c r="O620" s="195"/>
      <c r="P620" s="195"/>
      <c r="Q620" s="224"/>
      <c r="R620" s="182"/>
      <c r="S620" s="225"/>
      <c r="T620" s="195"/>
      <c r="U620" s="195"/>
      <c r="V620" s="134"/>
    </row>
    <row r="621" spans="1:22" ht="18" hidden="1" customHeight="1">
      <c r="A621" s="226"/>
      <c r="B621" s="227"/>
      <c r="C621" s="227"/>
      <c r="D621" s="227"/>
      <c r="E621" s="227"/>
      <c r="F621" s="227"/>
      <c r="G621" s="227"/>
      <c r="H621" s="227"/>
      <c r="I621" s="227"/>
      <c r="J621" s="227"/>
      <c r="K621" s="227"/>
      <c r="L621" s="227"/>
      <c r="M621" s="227"/>
      <c r="N621" s="227"/>
      <c r="O621" s="227"/>
      <c r="P621" s="227"/>
      <c r="Q621" s="227"/>
      <c r="R621" s="227"/>
      <c r="S621" s="227"/>
      <c r="T621" s="227"/>
      <c r="U621" s="227"/>
      <c r="V621" s="228"/>
    </row>
    <row r="622" spans="1:22" ht="18" hidden="1" customHeight="1">
      <c r="A622" s="799" t="s">
        <v>417</v>
      </c>
      <c r="B622" s="802"/>
      <c r="C622" s="802"/>
      <c r="D622" s="689">
        <v>30</v>
      </c>
      <c r="E622" s="689" t="s">
        <v>315</v>
      </c>
      <c r="F622" s="689" t="s">
        <v>609</v>
      </c>
      <c r="G622" s="684"/>
      <c r="H622" s="689" t="s">
        <v>315</v>
      </c>
      <c r="I622" s="708" t="s">
        <v>411</v>
      </c>
      <c r="J622" s="828"/>
      <c r="K622" s="689" t="s">
        <v>315</v>
      </c>
      <c r="L622" s="802" t="s">
        <v>419</v>
      </c>
      <c r="M622" s="716" t="s">
        <v>420</v>
      </c>
      <c r="N622" s="729" t="s">
        <v>347</v>
      </c>
      <c r="O622" s="716" t="s">
        <v>408</v>
      </c>
      <c r="P622" s="689" t="s">
        <v>347</v>
      </c>
      <c r="Q622" s="759" t="s">
        <v>421</v>
      </c>
      <c r="R622" s="797"/>
      <c r="S622" s="797"/>
      <c r="T622" s="798" t="s">
        <v>350</v>
      </c>
      <c r="U622" s="230" t="s">
        <v>422</v>
      </c>
      <c r="V622" s="97"/>
    </row>
    <row r="623" spans="1:22" ht="18" hidden="1" customHeight="1">
      <c r="A623" s="827"/>
      <c r="B623" s="802"/>
      <c r="C623" s="802"/>
      <c r="D623" s="689"/>
      <c r="E623" s="689"/>
      <c r="F623" s="684"/>
      <c r="G623" s="684"/>
      <c r="H623" s="689"/>
      <c r="I623" s="689" t="s">
        <v>423</v>
      </c>
      <c r="J623" s="723"/>
      <c r="K623" s="689"/>
      <c r="L623" s="802"/>
      <c r="M623" s="716"/>
      <c r="N623" s="729"/>
      <c r="O623" s="716"/>
      <c r="P623" s="689"/>
      <c r="Q623" s="28" t="s">
        <v>146</v>
      </c>
      <c r="R623" s="28" t="s">
        <v>315</v>
      </c>
      <c r="S623" s="28" t="s">
        <v>146</v>
      </c>
      <c r="T623" s="798"/>
      <c r="U623" s="14"/>
      <c r="V623" s="97"/>
    </row>
    <row r="624" spans="1:22" ht="18" hidden="1" customHeight="1">
      <c r="A624" s="184"/>
      <c r="V624" s="185"/>
    </row>
    <row r="625" spans="1:22" ht="18" hidden="1" customHeight="1">
      <c r="A625" s="799" t="s">
        <v>417</v>
      </c>
      <c r="B625" s="802"/>
      <c r="C625" s="802"/>
      <c r="D625" s="689">
        <v>2</v>
      </c>
      <c r="E625" s="689" t="s">
        <v>315</v>
      </c>
      <c r="F625" s="689" t="s">
        <v>613</v>
      </c>
      <c r="G625" s="684"/>
      <c r="H625" s="689" t="s">
        <v>315</v>
      </c>
      <c r="I625" s="708" t="s">
        <v>411</v>
      </c>
      <c r="J625" s="828"/>
      <c r="K625" s="689" t="s">
        <v>315</v>
      </c>
      <c r="L625" s="802" t="s">
        <v>419</v>
      </c>
      <c r="M625" s="716" t="s">
        <v>420</v>
      </c>
      <c r="N625" s="729" t="s">
        <v>347</v>
      </c>
      <c r="O625" s="716" t="s">
        <v>408</v>
      </c>
      <c r="P625" s="689" t="s">
        <v>347</v>
      </c>
      <c r="Q625" s="759" t="s">
        <v>421</v>
      </c>
      <c r="R625" s="797"/>
      <c r="S625" s="797"/>
      <c r="T625" s="798" t="s">
        <v>350</v>
      </c>
      <c r="U625" s="230" t="s">
        <v>426</v>
      </c>
      <c r="V625" s="97"/>
    </row>
    <row r="626" spans="1:22" ht="18" hidden="1" customHeight="1">
      <c r="A626" s="827"/>
      <c r="B626" s="802"/>
      <c r="C626" s="802"/>
      <c r="D626" s="689"/>
      <c r="E626" s="689"/>
      <c r="F626" s="684"/>
      <c r="G626" s="684"/>
      <c r="H626" s="689"/>
      <c r="I626" s="689" t="s">
        <v>423</v>
      </c>
      <c r="J626" s="723"/>
      <c r="K626" s="689"/>
      <c r="L626" s="802"/>
      <c r="M626" s="716"/>
      <c r="N626" s="729"/>
      <c r="O626" s="716"/>
      <c r="P626" s="689"/>
      <c r="Q626" s="28" t="s">
        <v>146</v>
      </c>
      <c r="R626" s="28" t="s">
        <v>315</v>
      </c>
      <c r="S626" s="28" t="s">
        <v>146</v>
      </c>
      <c r="T626" s="798"/>
      <c r="U626" s="14"/>
      <c r="V626" s="97"/>
    </row>
    <row r="627" spans="1:22" ht="18" hidden="1" customHeight="1">
      <c r="A627" s="184"/>
      <c r="V627" s="185"/>
    </row>
    <row r="628" spans="1:22" ht="18" hidden="1" customHeight="1">
      <c r="A628" s="678" t="s">
        <v>616</v>
      </c>
      <c r="B628" s="1207"/>
      <c r="C628" s="1207"/>
      <c r="D628" s="1207"/>
      <c r="E628" s="1207"/>
      <c r="F628" s="1207"/>
      <c r="G628" s="1207"/>
      <c r="H628" s="1207"/>
      <c r="I628" s="1207"/>
      <c r="J628" s="1207"/>
      <c r="K628" s="1207"/>
      <c r="L628" s="1207"/>
      <c r="M628" s="1207"/>
      <c r="N628" s="1207"/>
      <c r="O628" s="1207"/>
      <c r="P628" s="1207"/>
      <c r="Q628" s="1207"/>
      <c r="R628" s="1207"/>
      <c r="S628" s="1207"/>
      <c r="T628" s="1207"/>
      <c r="U628" s="1207"/>
      <c r="V628" s="1208"/>
    </row>
    <row r="629" spans="1:22" ht="18" hidden="1" customHeight="1">
      <c r="A629" s="1209"/>
      <c r="B629" s="1207"/>
      <c r="C629" s="1207"/>
      <c r="D629" s="1207"/>
      <c r="E629" s="1207"/>
      <c r="F629" s="1207"/>
      <c r="G629" s="1207"/>
      <c r="H629" s="1207"/>
      <c r="I629" s="1207"/>
      <c r="J629" s="1207"/>
      <c r="K629" s="1207"/>
      <c r="L629" s="1207"/>
      <c r="M629" s="1207"/>
      <c r="N629" s="1207"/>
      <c r="O629" s="1207"/>
      <c r="P629" s="1207"/>
      <c r="Q629" s="1207"/>
      <c r="R629" s="1207"/>
      <c r="S629" s="1207"/>
      <c r="T629" s="1207"/>
      <c r="U629" s="1207"/>
      <c r="V629" s="1208"/>
    </row>
    <row r="630" spans="1:22" ht="18" hidden="1" customHeight="1">
      <c r="A630" s="231"/>
      <c r="B630" s="232"/>
      <c r="C630" s="232"/>
      <c r="D630" s="232"/>
      <c r="E630" s="232"/>
      <c r="F630" s="232"/>
      <c r="G630" s="232"/>
      <c r="H630" s="232"/>
      <c r="I630" s="232"/>
      <c r="J630" s="232"/>
      <c r="K630" s="232"/>
      <c r="L630" s="232"/>
      <c r="M630" s="232"/>
      <c r="N630" s="232"/>
      <c r="O630" s="232"/>
      <c r="P630" s="232"/>
      <c r="Q630" s="232"/>
      <c r="R630" s="232"/>
      <c r="S630" s="232"/>
      <c r="T630" s="232"/>
      <c r="U630" s="232"/>
      <c r="V630" s="233"/>
    </row>
    <row r="631" spans="1:22" ht="18" hidden="1" customHeight="1">
      <c r="A631" s="799" t="s">
        <v>417</v>
      </c>
      <c r="B631" s="802"/>
      <c r="C631" s="802"/>
      <c r="D631" s="689"/>
      <c r="E631" s="689"/>
      <c r="F631" s="689" t="s">
        <v>617</v>
      </c>
      <c r="G631" s="684"/>
      <c r="H631" s="689" t="s">
        <v>315</v>
      </c>
      <c r="I631" s="708" t="s">
        <v>411</v>
      </c>
      <c r="J631" s="828"/>
      <c r="K631" s="689" t="s">
        <v>315</v>
      </c>
      <c r="L631" s="802" t="s">
        <v>419</v>
      </c>
      <c r="M631" s="716" t="s">
        <v>420</v>
      </c>
      <c r="N631" s="729" t="s">
        <v>347</v>
      </c>
      <c r="O631" s="716" t="s">
        <v>408</v>
      </c>
      <c r="P631" s="689" t="s">
        <v>347</v>
      </c>
      <c r="Q631" s="759" t="s">
        <v>421</v>
      </c>
      <c r="R631" s="797"/>
      <c r="S631" s="797"/>
      <c r="T631" s="798" t="s">
        <v>350</v>
      </c>
      <c r="U631" s="230" t="s">
        <v>618</v>
      </c>
      <c r="V631" s="97"/>
    </row>
    <row r="632" spans="1:22" ht="18" hidden="1" customHeight="1">
      <c r="A632" s="827"/>
      <c r="B632" s="802"/>
      <c r="C632" s="802"/>
      <c r="D632" s="689"/>
      <c r="E632" s="689"/>
      <c r="F632" s="684"/>
      <c r="G632" s="684"/>
      <c r="H632" s="689"/>
      <c r="I632" s="689" t="s">
        <v>423</v>
      </c>
      <c r="J632" s="723"/>
      <c r="K632" s="689"/>
      <c r="L632" s="802"/>
      <c r="M632" s="716"/>
      <c r="N632" s="729"/>
      <c r="O632" s="716"/>
      <c r="P632" s="689"/>
      <c r="Q632" s="28" t="s">
        <v>146</v>
      </c>
      <c r="R632" s="28" t="s">
        <v>315</v>
      </c>
      <c r="S632" s="28" t="s">
        <v>146</v>
      </c>
      <c r="T632" s="798"/>
      <c r="U632" s="14"/>
      <c r="V632" s="97"/>
    </row>
    <row r="633" spans="1:22" ht="18" hidden="1" customHeight="1">
      <c r="A633" s="96"/>
      <c r="B633" s="14"/>
      <c r="C633" s="14"/>
      <c r="D633" s="28"/>
      <c r="E633" s="28"/>
      <c r="F633" s="27"/>
      <c r="G633" s="27"/>
      <c r="H633" s="28"/>
      <c r="I633" s="28"/>
      <c r="K633" s="28"/>
      <c r="L633" s="120"/>
      <c r="M633" s="14"/>
      <c r="N633" s="102"/>
      <c r="O633" s="14"/>
      <c r="P633" s="28"/>
      <c r="Q633" s="28"/>
      <c r="R633" s="28"/>
      <c r="S633" s="28"/>
      <c r="T633" s="40"/>
      <c r="U633" s="14"/>
      <c r="V633" s="97"/>
    </row>
    <row r="634" spans="1:22" ht="18" hidden="1" customHeight="1">
      <c r="A634" s="184"/>
      <c r="H634" s="30" t="s">
        <v>619</v>
      </c>
      <c r="M634" s="854" t="str">
        <f>M502</f>
        <v>N</v>
      </c>
      <c r="N634" s="831"/>
      <c r="V634" s="185"/>
    </row>
    <row r="635" spans="1:22" ht="18" hidden="1" customHeight="1">
      <c r="A635" s="96"/>
      <c r="B635" s="14"/>
      <c r="C635" s="14"/>
      <c r="D635" s="28"/>
      <c r="E635" s="28"/>
      <c r="F635" s="27"/>
      <c r="G635" s="27"/>
      <c r="H635" s="28"/>
      <c r="I635" s="28"/>
      <c r="K635" s="28"/>
      <c r="L635" s="120"/>
      <c r="M635" s="14"/>
      <c r="N635" s="102"/>
      <c r="O635" s="14"/>
      <c r="P635" s="28"/>
      <c r="Q635" s="28"/>
      <c r="R635" s="28"/>
      <c r="S635" s="28"/>
      <c r="T635" s="40"/>
      <c r="U635" s="14"/>
      <c r="V635" s="97"/>
    </row>
    <row r="636" spans="1:22" ht="18" hidden="1" customHeight="1">
      <c r="A636" s="184"/>
      <c r="B636" s="14" t="s">
        <v>427</v>
      </c>
      <c r="C636" s="14"/>
      <c r="D636" s="103"/>
      <c r="E636" s="103"/>
      <c r="F636" s="14"/>
      <c r="G636" s="14"/>
      <c r="H636" s="5"/>
      <c r="I636" s="5"/>
      <c r="J636" s="5"/>
      <c r="P636" s="120" t="s">
        <v>428</v>
      </c>
      <c r="V636" s="185"/>
    </row>
    <row r="637" spans="1:22" ht="18" hidden="1" customHeight="1">
      <c r="A637" s="184"/>
      <c r="B637" s="14" t="s">
        <v>429</v>
      </c>
      <c r="C637" s="14"/>
      <c r="D637" s="103"/>
      <c r="E637" s="103"/>
      <c r="F637" s="14"/>
      <c r="G637" s="14"/>
      <c r="H637" s="5"/>
      <c r="I637" s="5"/>
      <c r="J637" s="5"/>
      <c r="P637" s="120" t="s">
        <v>430</v>
      </c>
      <c r="Q637" s="234" t="s">
        <v>127</v>
      </c>
      <c r="R637" s="684" t="str">
        <f>J581</f>
        <v>-</v>
      </c>
      <c r="S637" s="684"/>
      <c r="T637" s="14" t="s">
        <v>8</v>
      </c>
      <c r="V637" s="185"/>
    </row>
    <row r="638" spans="1:22" ht="18" hidden="1" customHeight="1">
      <c r="A638" s="184"/>
      <c r="B638" s="14" t="s">
        <v>621</v>
      </c>
      <c r="C638" s="14"/>
      <c r="D638" s="14"/>
      <c r="E638" s="14"/>
      <c r="F638" s="14"/>
      <c r="G638" s="14"/>
      <c r="H638" s="14"/>
      <c r="I638" s="14"/>
      <c r="J638" s="14"/>
      <c r="P638" s="120" t="s">
        <v>609</v>
      </c>
      <c r="Q638" s="234" t="s">
        <v>127</v>
      </c>
      <c r="R638" s="684">
        <f>J602</f>
        <v>437.38656756789834</v>
      </c>
      <c r="S638" s="684"/>
      <c r="T638" s="14" t="s">
        <v>8</v>
      </c>
      <c r="V638" s="185"/>
    </row>
    <row r="639" spans="1:22" ht="18" hidden="1" customHeight="1">
      <c r="A639" s="184"/>
      <c r="B639" s="14" t="s">
        <v>622</v>
      </c>
      <c r="C639" s="14"/>
      <c r="D639" s="14"/>
      <c r="E639" s="14"/>
      <c r="F639" s="14"/>
      <c r="G639" s="14"/>
      <c r="H639" s="14"/>
      <c r="I639" s="14"/>
      <c r="J639" s="14"/>
      <c r="P639" s="120" t="s">
        <v>613</v>
      </c>
      <c r="Q639" s="234" t="s">
        <v>127</v>
      </c>
      <c r="R639" s="684">
        <f>O608</f>
        <v>6998.1850810863734</v>
      </c>
      <c r="S639" s="684"/>
      <c r="T639" s="14" t="s">
        <v>8</v>
      </c>
      <c r="V639" s="185"/>
    </row>
    <row r="640" spans="1:22" ht="18" hidden="1" customHeight="1">
      <c r="A640" s="184"/>
      <c r="B640" s="235" t="s">
        <v>623</v>
      </c>
      <c r="C640" s="14"/>
      <c r="D640" s="14"/>
      <c r="E640" s="14"/>
      <c r="F640" s="14"/>
      <c r="G640" s="14"/>
      <c r="H640" s="14"/>
      <c r="I640" s="14"/>
      <c r="J640" s="14"/>
      <c r="P640" s="120"/>
      <c r="Q640" s="236"/>
      <c r="R640" s="27"/>
      <c r="S640" s="27"/>
      <c r="T640" s="14"/>
      <c r="V640" s="185"/>
    </row>
    <row r="641" spans="1:22" ht="18" hidden="1" customHeight="1">
      <c r="A641" s="184"/>
      <c r="B641" s="14" t="s">
        <v>622</v>
      </c>
      <c r="C641" s="14"/>
      <c r="D641" s="14"/>
      <c r="E641" s="14"/>
      <c r="F641" s="14"/>
      <c r="G641" s="14"/>
      <c r="H641" s="14"/>
      <c r="I641" s="14"/>
      <c r="J641" s="14"/>
      <c r="P641" s="120" t="s">
        <v>617</v>
      </c>
      <c r="Q641" s="234" t="s">
        <v>127</v>
      </c>
      <c r="R641" s="684" t="str">
        <f>R509</f>
        <v>-</v>
      </c>
      <c r="S641" s="684"/>
      <c r="T641" s="14" t="s">
        <v>8</v>
      </c>
      <c r="V641" s="185"/>
    </row>
    <row r="642" spans="1:22" ht="18" hidden="1" customHeight="1">
      <c r="A642" s="184"/>
      <c r="B642" s="235" t="s">
        <v>645</v>
      </c>
      <c r="C642" s="14"/>
      <c r="D642" s="14"/>
      <c r="E642" s="14"/>
      <c r="F642" s="14"/>
      <c r="G642" s="14"/>
      <c r="H642" s="14"/>
      <c r="I642" s="14"/>
      <c r="J642" s="14"/>
      <c r="R642" s="27"/>
      <c r="S642" s="27"/>
      <c r="T642" s="14"/>
      <c r="V642" s="185"/>
    </row>
    <row r="643" spans="1:22" ht="18" hidden="1" customHeight="1">
      <c r="A643" s="184"/>
      <c r="B643" s="14" t="s">
        <v>435</v>
      </c>
      <c r="C643" s="14"/>
      <c r="D643" s="103"/>
      <c r="E643" s="103"/>
      <c r="F643" s="14"/>
      <c r="G643" s="14"/>
      <c r="H643" s="5"/>
      <c r="I643" s="5"/>
      <c r="J643" s="5"/>
      <c r="P643" s="120" t="s">
        <v>436</v>
      </c>
      <c r="Q643" s="234" t="s">
        <v>127</v>
      </c>
      <c r="R643" s="684">
        <f>O581</f>
        <v>1</v>
      </c>
      <c r="S643" s="684"/>
      <c r="T643" s="14" t="s">
        <v>8</v>
      </c>
      <c r="V643" s="185"/>
    </row>
    <row r="644" spans="1:22" ht="18" hidden="1" customHeight="1">
      <c r="A644" s="184"/>
      <c r="B644" s="14" t="s">
        <v>437</v>
      </c>
      <c r="C644" s="14"/>
      <c r="D644" s="103"/>
      <c r="E644" s="103"/>
      <c r="F644" s="14"/>
      <c r="G644" s="14"/>
      <c r="H644" s="5"/>
      <c r="I644" s="5"/>
      <c r="J644" s="5"/>
      <c r="P644" s="120" t="s">
        <v>438</v>
      </c>
      <c r="Q644" s="234" t="s">
        <v>127</v>
      </c>
      <c r="R644" s="684">
        <f>R512</f>
        <v>1</v>
      </c>
      <c r="S644" s="684"/>
      <c r="T644" s="14" t="s">
        <v>8</v>
      </c>
      <c r="V644" s="185"/>
    </row>
    <row r="645" spans="1:22" ht="18" hidden="1" customHeight="1">
      <c r="A645" s="184"/>
      <c r="B645" s="14" t="s">
        <v>439</v>
      </c>
      <c r="C645" s="14"/>
      <c r="D645" s="103"/>
      <c r="E645" s="103"/>
      <c r="F645" s="14"/>
      <c r="G645" s="14"/>
      <c r="H645" s="5"/>
      <c r="I645" s="5"/>
      <c r="J645" s="5"/>
      <c r="P645" s="120" t="s">
        <v>440</v>
      </c>
      <c r="Q645" s="234" t="s">
        <v>127</v>
      </c>
      <c r="R645" s="684" t="str">
        <f>J583</f>
        <v>-</v>
      </c>
      <c r="S645" s="684"/>
      <c r="T645" s="192" t="s">
        <v>333</v>
      </c>
      <c r="V645" s="185"/>
    </row>
    <row r="646" spans="1:22" ht="18" hidden="1" customHeight="1">
      <c r="A646" s="184"/>
      <c r="B646" s="14" t="s">
        <v>625</v>
      </c>
      <c r="C646" s="14"/>
      <c r="D646" s="14"/>
      <c r="E646" s="14"/>
      <c r="F646" s="14"/>
      <c r="G646" s="14"/>
      <c r="H646" s="14"/>
      <c r="I646" s="14"/>
      <c r="J646" s="14"/>
      <c r="P646" s="237" t="s">
        <v>441</v>
      </c>
      <c r="Q646" s="234" t="s">
        <v>127</v>
      </c>
      <c r="R646" s="795">
        <f>P593</f>
        <v>1.1667743100000001</v>
      </c>
      <c r="S646" s="684"/>
      <c r="T646" s="192" t="s">
        <v>333</v>
      </c>
      <c r="V646" s="185"/>
    </row>
    <row r="647" spans="1:22" ht="18" hidden="1" customHeight="1">
      <c r="A647" s="184"/>
      <c r="B647" s="40" t="s">
        <v>442</v>
      </c>
      <c r="C647" s="14"/>
      <c r="D647" s="14"/>
      <c r="E647" s="14"/>
      <c r="F647" s="14"/>
      <c r="G647" s="14"/>
      <c r="H647" s="5"/>
      <c r="I647" s="5"/>
      <c r="J647" s="5"/>
      <c r="P647" s="237" t="s">
        <v>443</v>
      </c>
      <c r="Q647" s="234" t="s">
        <v>127</v>
      </c>
      <c r="R647" s="795">
        <f>J589</f>
        <v>0.02</v>
      </c>
      <c r="S647" s="684"/>
      <c r="T647" s="14" t="s">
        <v>157</v>
      </c>
      <c r="V647" s="185"/>
    </row>
    <row r="648" spans="1:22" ht="18" hidden="1" customHeight="1">
      <c r="A648" s="184"/>
      <c r="V648" s="185"/>
    </row>
    <row r="649" spans="1:22" ht="18" hidden="1" customHeight="1">
      <c r="A649" s="799" t="s">
        <v>417</v>
      </c>
      <c r="B649" s="802"/>
      <c r="C649" s="802"/>
      <c r="D649" s="689">
        <v>30</v>
      </c>
      <c r="E649" s="689" t="s">
        <v>315</v>
      </c>
      <c r="F649" s="689">
        <f>R638</f>
        <v>437.38656756789834</v>
      </c>
      <c r="G649" s="684"/>
      <c r="H649" s="689" t="s">
        <v>315</v>
      </c>
      <c r="I649" s="708">
        <f>R643</f>
        <v>1</v>
      </c>
      <c r="J649" s="828"/>
      <c r="K649" s="689" t="s">
        <v>315</v>
      </c>
      <c r="L649" s="716" t="s">
        <v>419</v>
      </c>
      <c r="M649" s="716" t="str">
        <f>R645</f>
        <v>-</v>
      </c>
      <c r="N649" s="729" t="s">
        <v>347</v>
      </c>
      <c r="O649" s="1214">
        <f>R646</f>
        <v>1.1667743100000001</v>
      </c>
      <c r="P649" s="689" t="s">
        <v>347</v>
      </c>
      <c r="Q649" s="833">
        <f>R647</f>
        <v>0.02</v>
      </c>
      <c r="R649" s="797"/>
      <c r="S649" s="797"/>
      <c r="T649" s="798" t="s">
        <v>350</v>
      </c>
      <c r="U649" s="230" t="s">
        <v>422</v>
      </c>
      <c r="V649" s="97"/>
    </row>
    <row r="650" spans="1:22" ht="18" hidden="1" customHeight="1">
      <c r="A650" s="827"/>
      <c r="B650" s="802"/>
      <c r="C650" s="802"/>
      <c r="D650" s="689"/>
      <c r="E650" s="689"/>
      <c r="F650" s="684"/>
      <c r="G650" s="684"/>
      <c r="H650" s="689"/>
      <c r="I650" s="689" t="str">
        <f>R637</f>
        <v>-</v>
      </c>
      <c r="J650" s="723"/>
      <c r="K650" s="689"/>
      <c r="L650" s="716"/>
      <c r="M650" s="716"/>
      <c r="N650" s="729"/>
      <c r="O650" s="716"/>
      <c r="P650" s="689"/>
      <c r="Q650" s="28">
        <f>R644</f>
        <v>1</v>
      </c>
      <c r="R650" s="28" t="s">
        <v>315</v>
      </c>
      <c r="S650" s="28">
        <f>R644</f>
        <v>1</v>
      </c>
      <c r="T650" s="798"/>
      <c r="U650" s="14"/>
      <c r="V650" s="97"/>
    </row>
    <row r="651" spans="1:22" ht="18" hidden="1" customHeight="1">
      <c r="A651" s="184"/>
      <c r="V651" s="185"/>
    </row>
    <row r="652" spans="1:22" ht="18" hidden="1" customHeight="1">
      <c r="A652" s="184"/>
      <c r="C652" s="30" t="s">
        <v>127</v>
      </c>
      <c r="D652" s="812" t="e">
        <f>D649*F649*(I649/I650)*(M649+O649+(Q649/(Q650*S650)))</f>
        <v>#VALUE!</v>
      </c>
      <c r="E652" s="813"/>
      <c r="F652" s="30" t="s">
        <v>305</v>
      </c>
      <c r="V652" s="185"/>
    </row>
    <row r="653" spans="1:22" ht="18" hidden="1" customHeight="1">
      <c r="A653" s="184"/>
      <c r="V653" s="185"/>
    </row>
    <row r="654" spans="1:22" ht="18" hidden="1" customHeight="1">
      <c r="A654" s="799" t="s">
        <v>417</v>
      </c>
      <c r="B654" s="802"/>
      <c r="C654" s="802"/>
      <c r="D654" s="689">
        <v>2</v>
      </c>
      <c r="E654" s="689" t="s">
        <v>315</v>
      </c>
      <c r="F654" s="689">
        <f>R639</f>
        <v>6998.1850810863734</v>
      </c>
      <c r="G654" s="684"/>
      <c r="H654" s="689" t="s">
        <v>315</v>
      </c>
      <c r="I654" s="708">
        <f>R643</f>
        <v>1</v>
      </c>
      <c r="J654" s="828"/>
      <c r="K654" s="689" t="s">
        <v>315</v>
      </c>
      <c r="L654" s="802" t="s">
        <v>419</v>
      </c>
      <c r="M654" s="716" t="str">
        <f>R645</f>
        <v>-</v>
      </c>
      <c r="N654" s="729" t="s">
        <v>347</v>
      </c>
      <c r="O654" s="1214">
        <f>R646</f>
        <v>1.1667743100000001</v>
      </c>
      <c r="P654" s="689" t="s">
        <v>347</v>
      </c>
      <c r="Q654" s="833">
        <f>R647</f>
        <v>0.02</v>
      </c>
      <c r="R654" s="797"/>
      <c r="S654" s="797"/>
      <c r="T654" s="798" t="s">
        <v>350</v>
      </c>
      <c r="U654" s="230" t="s">
        <v>426</v>
      </c>
      <c r="V654" s="97"/>
    </row>
    <row r="655" spans="1:22" ht="18" hidden="1" customHeight="1">
      <c r="A655" s="827"/>
      <c r="B655" s="802"/>
      <c r="C655" s="802"/>
      <c r="D655" s="689"/>
      <c r="E655" s="689"/>
      <c r="F655" s="684"/>
      <c r="G655" s="684"/>
      <c r="H655" s="689"/>
      <c r="I655" s="689" t="str">
        <f>R637</f>
        <v>-</v>
      </c>
      <c r="J655" s="723"/>
      <c r="K655" s="689"/>
      <c r="L655" s="802"/>
      <c r="M655" s="716"/>
      <c r="N655" s="729"/>
      <c r="O655" s="716"/>
      <c r="P655" s="689"/>
      <c r="Q655" s="28">
        <f>R644</f>
        <v>1</v>
      </c>
      <c r="R655" s="28" t="s">
        <v>315</v>
      </c>
      <c r="S655" s="28">
        <f>R644</f>
        <v>1</v>
      </c>
      <c r="T655" s="798"/>
      <c r="U655" s="14"/>
      <c r="V655" s="97"/>
    </row>
    <row r="656" spans="1:22" ht="18" hidden="1" customHeight="1">
      <c r="A656" s="184"/>
      <c r="L656" s="244"/>
      <c r="V656" s="185"/>
    </row>
    <row r="657" spans="1:22" ht="18" hidden="1" customHeight="1">
      <c r="A657" s="184"/>
      <c r="C657" s="30" t="s">
        <v>127</v>
      </c>
      <c r="D657" s="812" t="e">
        <f>D654*F654*(I654/I655)*(M654+O654+(Q654/(Q655*S655)))</f>
        <v>#VALUE!</v>
      </c>
      <c r="E657" s="813"/>
      <c r="F657" s="30" t="s">
        <v>305</v>
      </c>
      <c r="L657" s="244"/>
      <c r="V657" s="185"/>
    </row>
    <row r="658" spans="1:22" ht="18" hidden="1" customHeight="1">
      <c r="A658" s="184"/>
      <c r="L658" s="244"/>
      <c r="V658" s="185"/>
    </row>
    <row r="659" spans="1:22" s="14" customFormat="1" ht="18" hidden="1" customHeight="1">
      <c r="A659" s="799" t="s">
        <v>417</v>
      </c>
      <c r="B659" s="802"/>
      <c r="C659" s="802"/>
      <c r="D659" s="689"/>
      <c r="E659" s="689"/>
      <c r="F659" s="689" t="str">
        <f>R641</f>
        <v>-</v>
      </c>
      <c r="G659" s="684"/>
      <c r="H659" s="689" t="s">
        <v>315</v>
      </c>
      <c r="I659" s="708">
        <f>R643</f>
        <v>1</v>
      </c>
      <c r="J659" s="828"/>
      <c r="K659" s="689" t="s">
        <v>315</v>
      </c>
      <c r="L659" s="802" t="s">
        <v>419</v>
      </c>
      <c r="M659" s="716" t="str">
        <f>R645</f>
        <v>-</v>
      </c>
      <c r="N659" s="729" t="s">
        <v>347</v>
      </c>
      <c r="O659" s="1214">
        <f>R646</f>
        <v>1.1667743100000001</v>
      </c>
      <c r="P659" s="689" t="s">
        <v>347</v>
      </c>
      <c r="Q659" s="833">
        <f>R647</f>
        <v>0.02</v>
      </c>
      <c r="R659" s="797"/>
      <c r="S659" s="797"/>
      <c r="T659" s="798" t="s">
        <v>350</v>
      </c>
      <c r="U659" s="230" t="s">
        <v>618</v>
      </c>
      <c r="V659" s="97"/>
    </row>
    <row r="660" spans="1:22" ht="18" hidden="1" customHeight="1">
      <c r="A660" s="827"/>
      <c r="B660" s="802"/>
      <c r="C660" s="802"/>
      <c r="D660" s="689"/>
      <c r="E660" s="689"/>
      <c r="F660" s="684"/>
      <c r="G660" s="684"/>
      <c r="H660" s="689"/>
      <c r="I660" s="689" t="str">
        <f>R637</f>
        <v>-</v>
      </c>
      <c r="J660" s="723"/>
      <c r="K660" s="689"/>
      <c r="L660" s="802"/>
      <c r="M660" s="716"/>
      <c r="N660" s="729"/>
      <c r="O660" s="716"/>
      <c r="P660" s="689"/>
      <c r="Q660" s="28">
        <f>R644</f>
        <v>1</v>
      </c>
      <c r="R660" s="28" t="s">
        <v>315</v>
      </c>
      <c r="S660" s="28">
        <f>R644</f>
        <v>1</v>
      </c>
      <c r="T660" s="798"/>
      <c r="U660" s="14"/>
      <c r="V660" s="97"/>
    </row>
    <row r="661" spans="1:22" ht="18" hidden="1" customHeight="1">
      <c r="A661" s="184"/>
      <c r="V661" s="185"/>
    </row>
    <row r="662" spans="1:22" ht="18" hidden="1" customHeight="1">
      <c r="A662" s="184"/>
      <c r="C662" s="30" t="s">
        <v>127</v>
      </c>
      <c r="D662" s="812" t="e">
        <f>F659*(I659/I660)*(M659+O659+(Q659/(Q660*S660)))</f>
        <v>#VALUE!</v>
      </c>
      <c r="E662" s="813"/>
      <c r="F662" s="30" t="s">
        <v>305</v>
      </c>
      <c r="G662" s="187" t="s">
        <v>378</v>
      </c>
      <c r="H662" s="186" t="str">
        <f>IF(M634="y","Applicable","Not applicable")</f>
        <v>Not applicable</v>
      </c>
      <c r="V662" s="185"/>
    </row>
    <row r="663" spans="1:22" ht="18" hidden="1" customHeight="1">
      <c r="A663" s="184"/>
      <c r="V663" s="185"/>
    </row>
    <row r="664" spans="1:22" ht="18" hidden="1" customHeight="1">
      <c r="A664" s="194"/>
      <c r="B664" s="195"/>
      <c r="C664" s="195"/>
      <c r="D664" s="195"/>
      <c r="E664" s="195"/>
      <c r="F664" s="195"/>
      <c r="G664" s="195"/>
      <c r="H664" s="195"/>
      <c r="I664" s="195"/>
      <c r="J664" s="195"/>
      <c r="K664" s="195"/>
      <c r="L664" s="195"/>
      <c r="M664" s="195"/>
      <c r="N664" s="195"/>
      <c r="O664" s="195"/>
      <c r="P664" s="195"/>
      <c r="Q664" s="224"/>
      <c r="R664" s="182"/>
      <c r="S664" s="225"/>
      <c r="T664" s="195"/>
      <c r="U664" s="195"/>
      <c r="V664" s="134"/>
    </row>
    <row r="665" spans="1:22" ht="18" hidden="1" customHeight="1">
      <c r="A665" s="226"/>
      <c r="B665" s="227"/>
      <c r="C665" s="227"/>
      <c r="D665" s="227"/>
      <c r="E665" s="227"/>
      <c r="F665" s="227"/>
      <c r="G665" s="227"/>
      <c r="H665" s="227"/>
      <c r="I665" s="227"/>
      <c r="J665" s="227"/>
      <c r="K665" s="227"/>
      <c r="L665" s="227"/>
      <c r="M665" s="227"/>
      <c r="N665" s="227"/>
      <c r="O665" s="227"/>
      <c r="P665" s="227"/>
      <c r="Q665" s="227"/>
      <c r="R665" s="227"/>
      <c r="S665" s="227"/>
      <c r="T665" s="227"/>
      <c r="U665" s="227"/>
      <c r="V665" s="228"/>
    </row>
    <row r="666" spans="1:22" ht="18" hidden="1" customHeight="1">
      <c r="A666" s="184" t="s">
        <v>634</v>
      </c>
      <c r="M666" s="825" t="str">
        <f>R637</f>
        <v>-</v>
      </c>
      <c r="N666" s="826"/>
      <c r="O666" s="30" t="s">
        <v>470</v>
      </c>
      <c r="Q666" s="812" t="e">
        <f>IF(M634="Y",MAX(D652,D662),MAX(D652,D657))</f>
        <v>#VALUE!</v>
      </c>
      <c r="R666" s="820"/>
      <c r="S666" s="30" t="s">
        <v>305</v>
      </c>
      <c r="V666" s="185"/>
    </row>
    <row r="667" spans="1:22" ht="18" hidden="1" customHeight="1">
      <c r="A667" s="184"/>
      <c r="M667" s="247"/>
      <c r="N667" s="247"/>
      <c r="Q667" s="211"/>
      <c r="R667" s="27"/>
      <c r="V667" s="185"/>
    </row>
    <row r="668" spans="1:22" ht="18" hidden="1" customHeight="1">
      <c r="A668" s="248" t="s">
        <v>471</v>
      </c>
      <c r="B668" s="14"/>
      <c r="C668" s="14"/>
      <c r="D668" s="249"/>
      <c r="E668" s="14"/>
      <c r="F668" s="14"/>
      <c r="G668" s="47"/>
      <c r="H668" s="14"/>
      <c r="J668" s="14"/>
      <c r="K668" s="14"/>
      <c r="L668" s="14"/>
      <c r="M668" s="14"/>
      <c r="N668" s="14"/>
      <c r="O668" s="14"/>
      <c r="P668" s="250"/>
      <c r="Q668" s="251"/>
      <c r="R668" s="47"/>
      <c r="S668" s="14"/>
      <c r="V668" s="185"/>
    </row>
    <row r="669" spans="1:22" ht="18" hidden="1" customHeight="1">
      <c r="A669" s="248"/>
      <c r="B669" s="14"/>
      <c r="C669" s="14"/>
      <c r="D669" s="249"/>
      <c r="E669" s="14"/>
      <c r="F669" s="14"/>
      <c r="G669" s="47"/>
      <c r="H669" s="14"/>
      <c r="J669" s="14"/>
      <c r="K669" s="14"/>
      <c r="L669" s="14"/>
      <c r="M669" s="14"/>
      <c r="N669" s="14"/>
      <c r="O669" s="14"/>
      <c r="P669" s="250"/>
      <c r="Q669" s="251"/>
      <c r="R669" s="47"/>
      <c r="S669" s="14"/>
      <c r="V669" s="185"/>
    </row>
    <row r="670" spans="1:22" ht="18" hidden="1" customHeight="1">
      <c r="A670" s="96" t="s">
        <v>500</v>
      </c>
      <c r="V670" s="185"/>
    </row>
    <row r="671" spans="1:22" ht="18" hidden="1" customHeight="1">
      <c r="A671" s="184"/>
      <c r="N671" s="14"/>
      <c r="O671" s="14" t="s">
        <v>473</v>
      </c>
      <c r="P671" s="102" t="s">
        <v>127</v>
      </c>
      <c r="Q671" s="249" t="s">
        <v>474</v>
      </c>
      <c r="R671" s="14"/>
      <c r="S671" s="28" t="s">
        <v>315</v>
      </c>
      <c r="T671" s="28">
        <v>0.8</v>
      </c>
      <c r="V671" s="185"/>
    </row>
    <row r="672" spans="1:22" ht="18" hidden="1" customHeight="1">
      <c r="A672" s="184"/>
      <c r="N672" s="252"/>
      <c r="O672" s="14"/>
      <c r="P672" s="102" t="s">
        <v>127</v>
      </c>
      <c r="Q672" s="829" t="e">
        <f>+Q666</f>
        <v>#VALUE!</v>
      </c>
      <c r="R672" s="1147"/>
      <c r="S672" s="222" t="s">
        <v>315</v>
      </c>
      <c r="T672" s="253">
        <f>+T671</f>
        <v>0.8</v>
      </c>
      <c r="V672" s="185"/>
    </row>
    <row r="673" spans="1:22" ht="18" hidden="1" customHeight="1">
      <c r="A673" s="184"/>
      <c r="O673" s="14"/>
      <c r="P673" s="28" t="s">
        <v>127</v>
      </c>
      <c r="Q673" s="830" t="e">
        <f>Q672*T672</f>
        <v>#VALUE!</v>
      </c>
      <c r="R673" s="1270"/>
      <c r="S673" s="47" t="s">
        <v>305</v>
      </c>
      <c r="T673" s="14"/>
      <c r="V673" s="185"/>
    </row>
    <row r="674" spans="1:22" ht="18" hidden="1" customHeight="1">
      <c r="A674" s="184"/>
      <c r="V674" s="185"/>
    </row>
    <row r="675" spans="1:22" ht="18" hidden="1" customHeight="1">
      <c r="A675" s="184"/>
      <c r="D675" s="30" t="s">
        <v>475</v>
      </c>
      <c r="G675" s="27" t="e">
        <f>IF(E676&gt;H676,"&gt;","&lt;")</f>
        <v>#VALUE!</v>
      </c>
      <c r="H675" s="30" t="s">
        <v>477</v>
      </c>
      <c r="V675" s="185"/>
    </row>
    <row r="676" spans="1:22" ht="18" hidden="1" customHeight="1">
      <c r="A676" s="184"/>
      <c r="E676" s="684" t="str">
        <f>J584</f>
        <v>-</v>
      </c>
      <c r="F676" s="684"/>
      <c r="G676" s="27" t="e">
        <f>G675</f>
        <v>#VALUE!</v>
      </c>
      <c r="H676" s="795" t="e">
        <f>Q673</f>
        <v>#VALUE!</v>
      </c>
      <c r="I676" s="684"/>
      <c r="V676" s="185"/>
    </row>
    <row r="677" spans="1:22" ht="18" hidden="1" customHeight="1">
      <c r="A677" s="184"/>
      <c r="F677" s="244" t="s">
        <v>478</v>
      </c>
      <c r="H677" s="18" t="e">
        <f>IF(G675="&gt;","Suitably Dimensioned","Under Dimensioned")</f>
        <v>#VALUE!</v>
      </c>
      <c r="V677" s="185"/>
    </row>
    <row r="678" spans="1:22" ht="18" hidden="1" customHeight="1">
      <c r="A678" s="184"/>
      <c r="F678" s="244"/>
      <c r="H678" s="18"/>
      <c r="V678" s="185"/>
    </row>
    <row r="679" spans="1:22" ht="18" hidden="1" customHeight="1">
      <c r="A679" s="184"/>
      <c r="F679" s="244"/>
      <c r="H679" s="18"/>
      <c r="V679" s="185"/>
    </row>
    <row r="680" spans="1:22" ht="18" hidden="1" customHeight="1">
      <c r="A680" s="184"/>
      <c r="F680" s="244"/>
      <c r="H680" s="18"/>
      <c r="V680" s="185"/>
    </row>
    <row r="681" spans="1:22" ht="18" hidden="1" customHeight="1">
      <c r="A681" s="184"/>
      <c r="F681" s="244"/>
      <c r="H681" s="18"/>
      <c r="V681" s="185"/>
    </row>
    <row r="682" spans="1:22" ht="18" hidden="1" customHeight="1">
      <c r="A682" s="184"/>
      <c r="F682" s="244"/>
      <c r="H682" s="18"/>
      <c r="V682" s="185"/>
    </row>
    <row r="683" spans="1:22" ht="18" hidden="1" customHeight="1">
      <c r="A683" s="184"/>
      <c r="F683" s="244"/>
      <c r="H683" s="18"/>
      <c r="V683" s="185"/>
    </row>
    <row r="684" spans="1:22" ht="18" hidden="1" customHeight="1">
      <c r="A684" s="184"/>
      <c r="F684" s="244"/>
      <c r="H684" s="18"/>
      <c r="V684" s="185"/>
    </row>
    <row r="685" spans="1:22" ht="18" hidden="1" customHeight="1">
      <c r="A685" s="184"/>
      <c r="F685" s="244"/>
      <c r="H685" s="18"/>
      <c r="V685" s="185"/>
    </row>
    <row r="686" spans="1:22" ht="18" hidden="1" customHeight="1">
      <c r="A686" s="184"/>
      <c r="F686" s="244"/>
      <c r="H686" s="18"/>
      <c r="V686" s="185"/>
    </row>
    <row r="687" spans="1:22" ht="18" hidden="1" customHeight="1">
      <c r="A687" s="184"/>
      <c r="F687" s="244"/>
      <c r="H687" s="18"/>
      <c r="V687" s="185"/>
    </row>
    <row r="688" spans="1:22" ht="18" hidden="1" customHeight="1">
      <c r="A688" s="184"/>
      <c r="F688" s="244"/>
      <c r="H688" s="18"/>
      <c r="V688" s="185"/>
    </row>
    <row r="689" spans="1:22" ht="18" hidden="1" customHeight="1">
      <c r="A689" s="184"/>
      <c r="F689" s="244"/>
      <c r="H689" s="18"/>
      <c r="V689" s="185"/>
    </row>
    <row r="690" spans="1:22" ht="18" hidden="1" customHeight="1">
      <c r="A690" s="184"/>
      <c r="F690" s="244"/>
      <c r="H690" s="18"/>
      <c r="V690" s="185"/>
    </row>
    <row r="691" spans="1:22" ht="18" hidden="1" customHeight="1">
      <c r="A691" s="184"/>
      <c r="F691" s="244"/>
      <c r="H691" s="18"/>
      <c r="V691" s="185"/>
    </row>
    <row r="692" spans="1:22" ht="18" hidden="1" customHeight="1">
      <c r="A692" s="184"/>
      <c r="F692" s="244"/>
      <c r="H692" s="18"/>
      <c r="V692" s="185"/>
    </row>
    <row r="693" spans="1:22" ht="18" hidden="1" customHeight="1">
      <c r="A693" s="184"/>
      <c r="F693" s="244"/>
      <c r="H693" s="18"/>
      <c r="V693" s="185"/>
    </row>
    <row r="694" spans="1:22" ht="18" hidden="1" customHeight="1">
      <c r="A694" s="184"/>
      <c r="F694" s="244"/>
      <c r="H694" s="18"/>
      <c r="V694" s="185"/>
    </row>
    <row r="695" spans="1:22" ht="18" hidden="1" customHeight="1">
      <c r="A695" s="184"/>
      <c r="F695" s="244"/>
      <c r="H695" s="18"/>
      <c r="V695" s="185"/>
    </row>
    <row r="696" spans="1:22" ht="18" hidden="1" customHeight="1">
      <c r="A696" s="184"/>
      <c r="F696" s="244"/>
      <c r="H696" s="18"/>
      <c r="V696" s="185"/>
    </row>
    <row r="697" spans="1:22" ht="18" hidden="1" customHeight="1">
      <c r="A697" s="184"/>
      <c r="F697" s="244"/>
      <c r="H697" s="18"/>
      <c r="V697" s="185"/>
    </row>
    <row r="698" spans="1:22" ht="18" hidden="1" customHeight="1">
      <c r="A698" s="184"/>
      <c r="F698" s="244"/>
      <c r="H698" s="18"/>
      <c r="V698" s="185"/>
    </row>
    <row r="699" spans="1:22" ht="18" hidden="1" customHeight="1">
      <c r="A699" s="184"/>
      <c r="F699" s="244"/>
      <c r="H699" s="18"/>
      <c r="V699" s="185"/>
    </row>
    <row r="700" spans="1:22" ht="18" hidden="1" customHeight="1">
      <c r="A700" s="184"/>
      <c r="F700" s="244"/>
      <c r="H700" s="18"/>
      <c r="V700" s="185"/>
    </row>
    <row r="701" spans="1:22" ht="18" hidden="1" customHeight="1">
      <c r="A701" s="184"/>
      <c r="F701" s="244"/>
      <c r="H701" s="18"/>
      <c r="V701" s="185"/>
    </row>
    <row r="702" spans="1:22" ht="18" hidden="1" customHeight="1">
      <c r="A702" s="184"/>
      <c r="F702" s="244"/>
      <c r="H702" s="18"/>
      <c r="V702" s="185"/>
    </row>
    <row r="703" spans="1:22" s="14" customFormat="1" ht="18" hidden="1" customHeight="1">
      <c r="A703" s="184"/>
      <c r="B703" s="30"/>
      <c r="C703" s="30"/>
      <c r="D703" s="30"/>
      <c r="E703" s="30"/>
      <c r="F703" s="244"/>
      <c r="G703" s="30"/>
      <c r="H703" s="18"/>
      <c r="I703" s="30"/>
      <c r="J703" s="30"/>
      <c r="K703" s="30"/>
      <c r="L703" s="30"/>
      <c r="M703" s="30"/>
      <c r="N703" s="30"/>
      <c r="O703" s="30"/>
      <c r="P703" s="30"/>
      <c r="Q703" s="30"/>
      <c r="R703" s="30"/>
      <c r="S703" s="30"/>
      <c r="T703" s="30"/>
      <c r="U703" s="30"/>
      <c r="V703" s="185"/>
    </row>
    <row r="704" spans="1:22" ht="18" hidden="1" customHeight="1">
      <c r="A704" s="184"/>
      <c r="F704" s="244"/>
      <c r="H704" s="18"/>
      <c r="V704" s="185"/>
    </row>
    <row r="705" spans="1:29" ht="18" hidden="1" customHeight="1">
      <c r="A705" s="184"/>
      <c r="H705" s="18"/>
      <c r="V705" s="185"/>
    </row>
    <row r="706" spans="1:29" ht="18" hidden="1" customHeight="1">
      <c r="A706" s="184"/>
      <c r="H706" s="18"/>
      <c r="V706" s="185"/>
    </row>
    <row r="707" spans="1:29" ht="18" hidden="1" customHeight="1">
      <c r="A707" s="184"/>
      <c r="F707" s="244"/>
      <c r="H707" s="18"/>
      <c r="V707" s="185"/>
    </row>
    <row r="708" spans="1:29" ht="18" hidden="1" customHeight="1">
      <c r="A708" s="194"/>
      <c r="B708" s="195"/>
      <c r="C708" s="195"/>
      <c r="D708" s="195"/>
      <c r="E708" s="195"/>
      <c r="F708" s="195"/>
      <c r="G708" s="195"/>
      <c r="H708" s="195"/>
      <c r="I708" s="195"/>
      <c r="J708" s="195"/>
      <c r="K708" s="195"/>
      <c r="L708" s="195"/>
      <c r="M708" s="195"/>
      <c r="N708" s="195"/>
      <c r="O708" s="195"/>
      <c r="P708" s="195"/>
      <c r="Q708" s="224"/>
      <c r="R708" s="182"/>
      <c r="S708" s="225"/>
      <c r="T708" s="195"/>
      <c r="U708" s="195"/>
      <c r="V708" s="134"/>
    </row>
    <row r="709" spans="1:29" ht="18" hidden="1" customHeight="1">
      <c r="A709" s="226"/>
      <c r="B709" s="227"/>
      <c r="C709" s="227"/>
      <c r="D709" s="227"/>
      <c r="E709" s="227"/>
      <c r="F709" s="227"/>
      <c r="G709" s="227"/>
      <c r="H709" s="227"/>
      <c r="I709" s="227"/>
      <c r="J709" s="227"/>
      <c r="K709" s="227"/>
      <c r="L709" s="227"/>
      <c r="M709" s="227"/>
      <c r="N709" s="227"/>
      <c r="O709" s="227"/>
      <c r="P709" s="227"/>
      <c r="Q709" s="227"/>
      <c r="R709" s="227"/>
      <c r="S709" s="227"/>
      <c r="T709" s="227"/>
      <c r="U709" s="227"/>
      <c r="V709" s="228"/>
    </row>
    <row r="710" spans="1:29" ht="18" hidden="1" customHeight="1">
      <c r="A710" s="184"/>
      <c r="B710" s="854" t="str">
        <f>B578</f>
        <v>BCT13,14,15</v>
      </c>
      <c r="C710" s="831"/>
      <c r="D710" s="855" t="str">
        <f>D578</f>
        <v>Core2</v>
      </c>
      <c r="E710" s="856"/>
      <c r="F710" s="186" t="s">
        <v>636</v>
      </c>
      <c r="H710" s="684" t="str">
        <f>H578</f>
        <v>(Transformer Differential)</v>
      </c>
      <c r="I710" s="684"/>
      <c r="J710" s="684"/>
      <c r="K710" s="684"/>
      <c r="L710" s="684"/>
      <c r="M710" s="684"/>
      <c r="P710" s="186"/>
      <c r="S710" s="187" t="s">
        <v>387</v>
      </c>
      <c r="T710" s="854" t="str">
        <f>T578</f>
        <v>RET670</v>
      </c>
      <c r="U710" s="831"/>
      <c r="V710" s="185"/>
    </row>
    <row r="711" spans="1:29" ht="18" hidden="1" customHeight="1">
      <c r="A711" s="184"/>
      <c r="B711" s="853">
        <f>B579</f>
        <v>0</v>
      </c>
      <c r="C711" s="853"/>
      <c r="D711" s="857"/>
      <c r="E711" s="858"/>
      <c r="F711" s="255"/>
      <c r="T711" s="854">
        <f>T579</f>
        <v>0</v>
      </c>
      <c r="U711" s="831"/>
      <c r="V711" s="185"/>
    </row>
    <row r="712" spans="1:29" ht="18" hidden="1" customHeight="1">
      <c r="A712" s="184"/>
      <c r="H712" s="708" t="s">
        <v>390</v>
      </c>
      <c r="I712" s="708"/>
      <c r="J712" s="708" t="s">
        <v>391</v>
      </c>
      <c r="K712" s="708"/>
      <c r="L712" s="789" t="s">
        <v>392</v>
      </c>
      <c r="M712" s="789"/>
      <c r="T712" s="854">
        <f>T580</f>
        <v>0</v>
      </c>
      <c r="U712" s="831"/>
      <c r="V712" s="185"/>
    </row>
    <row r="713" spans="1:29" ht="18" hidden="1" customHeight="1">
      <c r="A713" s="184"/>
      <c r="B713" s="47" t="s">
        <v>393</v>
      </c>
      <c r="H713" s="854">
        <f>H581</f>
        <v>1200</v>
      </c>
      <c r="I713" s="831"/>
      <c r="J713" s="854" t="str">
        <f>J581</f>
        <v>-</v>
      </c>
      <c r="K713" s="831"/>
      <c r="L713" s="863" t="str">
        <f>L581</f>
        <v>-</v>
      </c>
      <c r="M713" s="864"/>
      <c r="N713" s="102" t="s">
        <v>342</v>
      </c>
      <c r="O713" s="256">
        <f>O581</f>
        <v>1</v>
      </c>
      <c r="P713" s="27" t="s">
        <v>8</v>
      </c>
      <c r="V713" s="185"/>
    </row>
    <row r="714" spans="1:29" ht="18" hidden="1" customHeight="1">
      <c r="A714" s="184"/>
      <c r="B714" s="47" t="s">
        <v>394</v>
      </c>
      <c r="H714" s="14"/>
      <c r="K714" s="14"/>
      <c r="L714" s="854" t="str">
        <f>J582</f>
        <v>TPS</v>
      </c>
      <c r="M714" s="831"/>
      <c r="N714" s="14"/>
      <c r="V714" s="185"/>
    </row>
    <row r="715" spans="1:29" ht="18" hidden="1" customHeight="1">
      <c r="A715" s="184"/>
      <c r="B715" s="47" t="s">
        <v>396</v>
      </c>
      <c r="K715" s="120" t="s">
        <v>497</v>
      </c>
      <c r="L715" s="781" t="s">
        <v>6</v>
      </c>
      <c r="M715" s="782"/>
      <c r="N715" s="192" t="s">
        <v>333</v>
      </c>
      <c r="V715" s="185"/>
    </row>
    <row r="716" spans="1:29" ht="18" hidden="1" customHeight="1">
      <c r="A716" s="184"/>
      <c r="B716" s="47" t="s">
        <v>398</v>
      </c>
      <c r="K716" s="120" t="s">
        <v>498</v>
      </c>
      <c r="L716" s="781" t="s">
        <v>6</v>
      </c>
      <c r="M716" s="782"/>
      <c r="N716" s="14" t="s">
        <v>305</v>
      </c>
      <c r="V716" s="185"/>
      <c r="W716" s="30" t="s">
        <v>400</v>
      </c>
      <c r="AB716" s="785" t="e">
        <f>Q805</f>
        <v>#VALUE!</v>
      </c>
      <c r="AC716" s="786"/>
    </row>
    <row r="717" spans="1:29" ht="18" hidden="1" customHeight="1">
      <c r="A717" s="184"/>
      <c r="B717" s="14" t="s">
        <v>401</v>
      </c>
      <c r="K717" s="120" t="s">
        <v>402</v>
      </c>
      <c r="L717" s="781" t="s">
        <v>6</v>
      </c>
      <c r="M717" s="782"/>
      <c r="N717" s="14" t="s">
        <v>403</v>
      </c>
      <c r="V717" s="185"/>
    </row>
    <row r="718" spans="1:29" ht="18" hidden="1" customHeight="1">
      <c r="A718" s="184"/>
      <c r="V718" s="185"/>
    </row>
    <row r="719" spans="1:29" ht="18" hidden="1" customHeight="1">
      <c r="A719" s="193" t="s">
        <v>404</v>
      </c>
      <c r="V719" s="185"/>
    </row>
    <row r="720" spans="1:29" ht="18" hidden="1" customHeight="1">
      <c r="A720" s="184"/>
      <c r="V720" s="185"/>
    </row>
    <row r="721" spans="1:22" ht="18" hidden="1" customHeight="1">
      <c r="A721" s="184"/>
      <c r="B721" s="194" t="s">
        <v>405</v>
      </c>
      <c r="C721" s="195"/>
      <c r="D721" s="195" t="str">
        <f>T710</f>
        <v>RET670</v>
      </c>
      <c r="E721" s="196"/>
      <c r="F721" s="196"/>
      <c r="G721" s="196"/>
      <c r="H721" s="182" t="s">
        <v>406</v>
      </c>
      <c r="I721" s="183" t="s">
        <v>127</v>
      </c>
      <c r="J721" s="1276">
        <f>J589</f>
        <v>0.02</v>
      </c>
      <c r="K721" s="1144"/>
      <c r="L721" s="3" t="s">
        <v>157</v>
      </c>
      <c r="N721" s="197" t="s">
        <v>407</v>
      </c>
      <c r="V721" s="185"/>
    </row>
    <row r="722" spans="1:22" s="14" customFormat="1" ht="18" hidden="1" customHeight="1">
      <c r="A722" s="184"/>
      <c r="B722" s="96" t="s">
        <v>405</v>
      </c>
      <c r="C722" s="30"/>
      <c r="D722" s="30">
        <f>T711</f>
        <v>0</v>
      </c>
      <c r="E722" s="30"/>
      <c r="F722" s="30"/>
      <c r="G722" s="30"/>
      <c r="H722" s="27"/>
      <c r="I722" s="177"/>
      <c r="J722" s="1274">
        <f>J590</f>
        <v>0</v>
      </c>
      <c r="K722" s="1275"/>
      <c r="L722" s="198" t="s">
        <v>157</v>
      </c>
      <c r="M722" s="30"/>
      <c r="N722" s="30"/>
      <c r="O722" s="30"/>
      <c r="P722" s="30"/>
      <c r="Q722" s="30"/>
      <c r="R722" s="30"/>
      <c r="S722" s="30"/>
      <c r="T722" s="30"/>
      <c r="U722" s="30"/>
      <c r="V722" s="185"/>
    </row>
    <row r="723" spans="1:22" s="14" customFormat="1" ht="18" hidden="1" customHeight="1">
      <c r="A723" s="184"/>
      <c r="B723" s="96" t="s">
        <v>405</v>
      </c>
      <c r="C723" s="30"/>
      <c r="D723" s="30">
        <f>T712</f>
        <v>0</v>
      </c>
      <c r="F723" s="30"/>
      <c r="G723" s="199"/>
      <c r="H723" s="27"/>
      <c r="I723" s="101"/>
      <c r="J723" s="696">
        <f>J591</f>
        <v>0</v>
      </c>
      <c r="K723" s="820"/>
      <c r="L723" s="202" t="s">
        <v>157</v>
      </c>
      <c r="M723" s="30"/>
      <c r="N723" s="30" t="s">
        <v>408</v>
      </c>
      <c r="O723" s="27" t="s">
        <v>127</v>
      </c>
      <c r="P723" s="30" t="s">
        <v>409</v>
      </c>
      <c r="Q723" s="191" t="s">
        <v>410</v>
      </c>
      <c r="R723" s="244" t="s">
        <v>411</v>
      </c>
      <c r="S723" s="27" t="s">
        <v>315</v>
      </c>
      <c r="T723" s="30" t="s">
        <v>411</v>
      </c>
      <c r="U723" s="30" t="s">
        <v>350</v>
      </c>
      <c r="V723" s="185"/>
    </row>
    <row r="724" spans="1:22" s="14" customFormat="1" ht="18" hidden="1" customHeight="1">
      <c r="A724" s="184"/>
      <c r="B724" s="184" t="s">
        <v>412</v>
      </c>
      <c r="C724" s="30"/>
      <c r="D724" s="30"/>
      <c r="E724" s="30"/>
      <c r="F724" s="30"/>
      <c r="G724" s="30"/>
      <c r="H724" s="27" t="s">
        <v>599</v>
      </c>
      <c r="I724" s="177" t="s">
        <v>127</v>
      </c>
      <c r="J724" s="1274">
        <f>J592</f>
        <v>1.1667743100000001</v>
      </c>
      <c r="K724" s="1275"/>
      <c r="L724" s="203" t="s">
        <v>157</v>
      </c>
      <c r="M724" s="30"/>
      <c r="N724" s="30"/>
      <c r="O724" s="27" t="s">
        <v>127</v>
      </c>
      <c r="P724" s="204">
        <f>J725</f>
        <v>1.1667743100000001</v>
      </c>
      <c r="Q724" s="191" t="s">
        <v>410</v>
      </c>
      <c r="R724" s="27">
        <f>O713</f>
        <v>1</v>
      </c>
      <c r="S724" s="27" t="s">
        <v>315</v>
      </c>
      <c r="T724" s="27">
        <f>O713</f>
        <v>1</v>
      </c>
      <c r="U724" s="30" t="s">
        <v>350</v>
      </c>
      <c r="V724" s="185"/>
    </row>
    <row r="725" spans="1:22" s="14" customFormat="1" ht="18" hidden="1" customHeight="1">
      <c r="A725" s="184"/>
      <c r="B725" s="205" t="s">
        <v>413</v>
      </c>
      <c r="C725" s="206"/>
      <c r="D725" s="206"/>
      <c r="E725" s="206"/>
      <c r="F725" s="207"/>
      <c r="G725" s="207"/>
      <c r="H725" s="190" t="s">
        <v>409</v>
      </c>
      <c r="I725" s="208" t="s">
        <v>127</v>
      </c>
      <c r="J725" s="1276">
        <f>J722+J724</f>
        <v>1.1667743100000001</v>
      </c>
      <c r="K725" s="1144"/>
      <c r="L725" s="210" t="s">
        <v>157</v>
      </c>
      <c r="M725" s="30"/>
      <c r="N725" s="30"/>
      <c r="O725" s="27" t="s">
        <v>127</v>
      </c>
      <c r="P725" s="795">
        <f>P724/(R724*T724)</f>
        <v>1.1667743100000001</v>
      </c>
      <c r="Q725" s="795"/>
      <c r="R725" s="192" t="s">
        <v>333</v>
      </c>
      <c r="S725" s="30"/>
      <c r="T725" s="30"/>
      <c r="U725" s="30"/>
      <c r="V725" s="185"/>
    </row>
    <row r="726" spans="1:22" s="14" customFormat="1" ht="18" hidden="1" customHeight="1">
      <c r="A726" s="184"/>
      <c r="B726" s="30"/>
      <c r="C726" s="30"/>
      <c r="D726" s="30"/>
      <c r="E726" s="30"/>
      <c r="F726" s="30"/>
      <c r="G726" s="30"/>
      <c r="H726" s="30"/>
      <c r="I726" s="30"/>
      <c r="J726" s="30"/>
      <c r="K726" s="30"/>
      <c r="L726" s="30"/>
      <c r="M726" s="30"/>
      <c r="N726" s="30"/>
      <c r="O726" s="30"/>
      <c r="P726" s="30"/>
      <c r="Q726" s="30"/>
      <c r="R726" s="30"/>
      <c r="S726" s="30"/>
      <c r="T726" s="30"/>
      <c r="U726" s="30"/>
      <c r="V726" s="185"/>
    </row>
    <row r="727" spans="1:22" s="14" customFormat="1" ht="18" hidden="1" customHeight="1">
      <c r="A727" s="193" t="s">
        <v>600</v>
      </c>
      <c r="B727" s="5"/>
      <c r="C727" s="5"/>
      <c r="D727" s="5"/>
      <c r="E727" s="5"/>
      <c r="F727" s="5"/>
      <c r="G727" s="5"/>
      <c r="H727" s="212"/>
      <c r="I727" s="212"/>
      <c r="J727" s="5"/>
      <c r="K727" s="5"/>
      <c r="L727" s="5"/>
      <c r="M727" s="5"/>
      <c r="N727" s="5"/>
      <c r="O727" s="5"/>
      <c r="P727" s="103"/>
      <c r="Q727" s="212"/>
      <c r="R727" s="213"/>
      <c r="S727" s="214"/>
      <c r="T727" s="18"/>
      <c r="U727" s="18"/>
      <c r="V727" s="97"/>
    </row>
    <row r="728" spans="1:22" s="14" customFormat="1" ht="18" hidden="1" customHeight="1">
      <c r="A728" s="96"/>
      <c r="B728" s="47" t="s">
        <v>601</v>
      </c>
      <c r="C728" s="5"/>
      <c r="D728" s="5"/>
      <c r="E728" s="5"/>
      <c r="I728" s="215"/>
      <c r="M728" s="5"/>
      <c r="O728" s="103" t="s">
        <v>127</v>
      </c>
      <c r="P728" s="853">
        <f>P596</f>
        <v>100</v>
      </c>
      <c r="Q728" s="1271"/>
      <c r="R728" s="14" t="s">
        <v>602</v>
      </c>
      <c r="S728" s="214"/>
      <c r="T728" s="18"/>
      <c r="U728" s="18"/>
      <c r="V728" s="97"/>
    </row>
    <row r="729" spans="1:22" s="14" customFormat="1" ht="18" hidden="1" customHeight="1">
      <c r="A729" s="96"/>
      <c r="B729" s="47" t="s">
        <v>603</v>
      </c>
      <c r="C729" s="5"/>
      <c r="D729" s="5"/>
      <c r="E729" s="5"/>
      <c r="I729" s="215"/>
      <c r="M729" s="5"/>
      <c r="O729" s="103" t="s">
        <v>127</v>
      </c>
      <c r="P729" s="853">
        <f>P597</f>
        <v>25</v>
      </c>
      <c r="Q729" s="1271"/>
      <c r="R729" s="14" t="s">
        <v>604</v>
      </c>
      <c r="S729" s="214"/>
      <c r="T729" s="18"/>
      <c r="U729" s="18"/>
      <c r="V729" s="97"/>
    </row>
    <row r="730" spans="1:22" s="14" customFormat="1" ht="18" hidden="1" customHeight="1">
      <c r="A730" s="96"/>
      <c r="B730" s="47" t="s">
        <v>605</v>
      </c>
      <c r="C730" s="5"/>
      <c r="D730" s="5"/>
      <c r="E730" s="5"/>
      <c r="N730" s="120" t="s">
        <v>606</v>
      </c>
      <c r="O730" s="103" t="s">
        <v>607</v>
      </c>
      <c r="P730" s="854">
        <f>P598</f>
        <v>132</v>
      </c>
      <c r="Q730" s="1270"/>
      <c r="R730" s="14" t="s">
        <v>163</v>
      </c>
      <c r="S730" s="214"/>
      <c r="T730" s="18"/>
      <c r="U730" s="18"/>
      <c r="V730" s="97"/>
    </row>
    <row r="731" spans="1:22" s="14" customFormat="1" ht="18" hidden="1" customHeight="1">
      <c r="A731" s="216"/>
      <c r="B731" s="212"/>
      <c r="C731" s="212"/>
      <c r="D731" s="212"/>
      <c r="E731" s="212"/>
      <c r="T731" s="18"/>
      <c r="U731" s="18"/>
      <c r="V731" s="97"/>
    </row>
    <row r="732" spans="1:22" s="14" customFormat="1" ht="18" hidden="1" customHeight="1">
      <c r="A732" s="96"/>
      <c r="B732" s="14" t="s">
        <v>608</v>
      </c>
      <c r="C732" s="213"/>
      <c r="D732" s="213"/>
      <c r="E732" s="213"/>
      <c r="H732" s="120" t="s">
        <v>609</v>
      </c>
      <c r="I732" s="28" t="s">
        <v>127</v>
      </c>
      <c r="J732" s="689" t="s">
        <v>610</v>
      </c>
      <c r="K732" s="689"/>
      <c r="L732" s="28" t="s">
        <v>315</v>
      </c>
      <c r="M732" s="217">
        <v>1000</v>
      </c>
      <c r="N732" s="102" t="s">
        <v>342</v>
      </c>
      <c r="O732" s="28" t="s">
        <v>611</v>
      </c>
      <c r="P732" s="28" t="s">
        <v>315</v>
      </c>
      <c r="Q732" s="28" t="s">
        <v>606</v>
      </c>
      <c r="R732" s="47"/>
      <c r="T732" s="18"/>
      <c r="U732" s="18"/>
      <c r="V732" s="97"/>
    </row>
    <row r="733" spans="1:22" ht="18" hidden="1" customHeight="1">
      <c r="A733" s="216"/>
      <c r="B733" s="213"/>
      <c r="C733" s="213"/>
      <c r="D733" s="213"/>
      <c r="E733" s="213"/>
      <c r="F733" s="212"/>
      <c r="G733" s="212"/>
      <c r="H733" s="28"/>
      <c r="I733" s="28" t="s">
        <v>127</v>
      </c>
      <c r="J733" s="689">
        <f>P728</f>
        <v>100</v>
      </c>
      <c r="K733" s="689"/>
      <c r="L733" s="28" t="s">
        <v>315</v>
      </c>
      <c r="M733" s="217">
        <v>1000</v>
      </c>
      <c r="N733" s="102" t="s">
        <v>342</v>
      </c>
      <c r="O733" s="28" t="s">
        <v>611</v>
      </c>
      <c r="P733" s="28" t="s">
        <v>315</v>
      </c>
      <c r="Q733" s="28">
        <f>P730</f>
        <v>132</v>
      </c>
      <c r="R733" s="47"/>
      <c r="S733" s="14"/>
      <c r="T733" s="18"/>
      <c r="U733" s="18"/>
      <c r="V733" s="97"/>
    </row>
    <row r="734" spans="1:22" ht="18" hidden="1" customHeight="1">
      <c r="A734" s="216"/>
      <c r="B734" s="212"/>
      <c r="C734" s="212"/>
      <c r="D734" s="212"/>
      <c r="E734" s="212"/>
      <c r="F734" s="212"/>
      <c r="G734" s="212"/>
      <c r="H734" s="14"/>
      <c r="I734" s="28" t="s">
        <v>127</v>
      </c>
      <c r="J734" s="692">
        <f>(P728*1000)/(SQRT(3)*P730)</f>
        <v>437.38656756789834</v>
      </c>
      <c r="K734" s="692"/>
      <c r="L734" s="14" t="s">
        <v>8</v>
      </c>
      <c r="M734" s="120"/>
      <c r="N734" s="120"/>
      <c r="O734" s="120"/>
      <c r="P734" s="14"/>
      <c r="Q734" s="14"/>
      <c r="R734" s="14"/>
      <c r="S734" s="14"/>
      <c r="T734" s="18"/>
      <c r="U734" s="18"/>
      <c r="V734" s="97"/>
    </row>
    <row r="735" spans="1:22" ht="18" hidden="1" customHeight="1">
      <c r="A735" s="216"/>
      <c r="B735" s="212"/>
      <c r="C735" s="212"/>
      <c r="D735" s="212"/>
      <c r="E735" s="212"/>
      <c r="F735" s="14"/>
      <c r="G735" s="212"/>
      <c r="H735" s="28"/>
      <c r="I735" s="103"/>
      <c r="J735" s="28"/>
      <c r="K735" s="14"/>
      <c r="L735" s="14"/>
      <c r="M735" s="212"/>
      <c r="N735" s="219"/>
      <c r="O735" s="212"/>
      <c r="P735" s="14"/>
      <c r="Q735" s="14"/>
      <c r="R735" s="14"/>
      <c r="S735" s="14"/>
      <c r="T735" s="18"/>
      <c r="U735" s="18"/>
      <c r="V735" s="97"/>
    </row>
    <row r="736" spans="1:22" ht="18" hidden="1" customHeight="1">
      <c r="A736" s="147" t="s">
        <v>629</v>
      </c>
      <c r="B736" s="5"/>
      <c r="C736" s="5"/>
      <c r="D736" s="5"/>
      <c r="E736" s="5"/>
      <c r="F736" s="212"/>
      <c r="G736" s="212"/>
      <c r="H736" s="5"/>
      <c r="I736" s="5"/>
      <c r="J736" s="5"/>
      <c r="K736" s="5"/>
      <c r="L736" s="103"/>
      <c r="M736" s="103"/>
      <c r="N736" s="103"/>
      <c r="O736" s="103"/>
      <c r="P736" s="212"/>
      <c r="Q736" s="213"/>
      <c r="R736" s="14"/>
      <c r="S736" s="220"/>
      <c r="T736" s="18"/>
      <c r="U736" s="18"/>
      <c r="V736" s="97"/>
    </row>
    <row r="737" spans="1:22" ht="18" hidden="1" customHeight="1">
      <c r="A737" s="147"/>
      <c r="B737" s="5"/>
      <c r="C737" s="5"/>
      <c r="D737" s="5"/>
      <c r="E737" s="5"/>
      <c r="F737" s="212"/>
      <c r="G737" s="212"/>
      <c r="H737" s="5"/>
      <c r="I737" s="5"/>
      <c r="J737" s="5"/>
      <c r="K737" s="5"/>
      <c r="L737" s="103"/>
      <c r="M737" s="103"/>
      <c r="N737" s="103"/>
      <c r="O737" s="103"/>
      <c r="P737" s="212"/>
      <c r="Q737" s="213"/>
      <c r="R737" s="14"/>
      <c r="S737" s="214"/>
      <c r="T737" s="18"/>
      <c r="U737" s="18"/>
      <c r="V737" s="97"/>
    </row>
    <row r="738" spans="1:22" ht="18" hidden="1" customHeight="1">
      <c r="A738" s="184"/>
      <c r="B738" s="14" t="s">
        <v>612</v>
      </c>
      <c r="C738" s="14"/>
      <c r="D738" s="14"/>
      <c r="E738" s="14"/>
      <c r="M738" s="120" t="s">
        <v>613</v>
      </c>
      <c r="N738" s="28" t="s">
        <v>127</v>
      </c>
      <c r="O738" s="689" t="s">
        <v>609</v>
      </c>
      <c r="P738" s="716"/>
      <c r="Q738" s="221" t="s">
        <v>630</v>
      </c>
      <c r="R738" s="221">
        <v>16</v>
      </c>
      <c r="S738" s="214"/>
      <c r="V738" s="185"/>
    </row>
    <row r="739" spans="1:22" ht="18" hidden="1" customHeight="1">
      <c r="A739" s="96"/>
      <c r="B739" s="5"/>
      <c r="C739" s="5"/>
      <c r="D739" s="5"/>
      <c r="E739" s="5"/>
      <c r="M739" s="250"/>
      <c r="N739" s="28" t="s">
        <v>127</v>
      </c>
      <c r="O739" s="689">
        <f>+J734</f>
        <v>437.38656756789834</v>
      </c>
      <c r="P739" s="716"/>
      <c r="Q739" s="221" t="s">
        <v>630</v>
      </c>
      <c r="R739" s="221">
        <v>16</v>
      </c>
      <c r="S739" s="214"/>
      <c r="V739" s="185"/>
    </row>
    <row r="740" spans="1:22" ht="18" hidden="1" customHeight="1">
      <c r="A740" s="96"/>
      <c r="B740" s="5"/>
      <c r="C740" s="5"/>
      <c r="D740" s="5"/>
      <c r="E740" s="5"/>
      <c r="M740" s="120" t="s">
        <v>613</v>
      </c>
      <c r="N740" s="28" t="s">
        <v>127</v>
      </c>
      <c r="O740" s="689">
        <f>O739*R739</f>
        <v>6998.1850810863734</v>
      </c>
      <c r="P740" s="716"/>
      <c r="Q740" s="241" t="s">
        <v>8</v>
      </c>
      <c r="R740" s="14"/>
      <c r="S740" s="214"/>
      <c r="V740" s="185"/>
    </row>
    <row r="741" spans="1:22" ht="18" hidden="1" customHeight="1">
      <c r="A741" s="96"/>
      <c r="B741" s="5"/>
      <c r="C741" s="5"/>
      <c r="D741" s="5"/>
      <c r="E741" s="5"/>
      <c r="M741" s="212"/>
      <c r="N741" s="212"/>
      <c r="O741" s="103"/>
      <c r="Q741" s="223"/>
      <c r="R741" s="14"/>
      <c r="S741" s="214"/>
      <c r="V741" s="185"/>
    </row>
    <row r="742" spans="1:22" s="14" customFormat="1" ht="18" hidden="1" customHeight="1">
      <c r="A742" s="678" t="s">
        <v>633</v>
      </c>
      <c r="B742" s="1207"/>
      <c r="C742" s="1207"/>
      <c r="D742" s="1207"/>
      <c r="E742" s="1207"/>
      <c r="F742" s="1207"/>
      <c r="G742" s="1207"/>
      <c r="H742" s="1207"/>
      <c r="I742" s="1207"/>
      <c r="J742" s="1207"/>
      <c r="K742" s="1207"/>
      <c r="L742" s="1207"/>
      <c r="M742" s="1207"/>
      <c r="N742" s="1207"/>
      <c r="O742" s="1207"/>
      <c r="P742" s="1207"/>
      <c r="Q742" s="1207"/>
      <c r="R742" s="1207"/>
      <c r="S742" s="1207"/>
      <c r="T742" s="1207"/>
      <c r="U742" s="1207"/>
      <c r="V742" s="1208"/>
    </row>
    <row r="743" spans="1:22" ht="18" hidden="1" customHeight="1">
      <c r="A743" s="1209"/>
      <c r="B743" s="1207"/>
      <c r="C743" s="1207"/>
      <c r="D743" s="1207"/>
      <c r="E743" s="1207"/>
      <c r="F743" s="1207"/>
      <c r="G743" s="1207"/>
      <c r="H743" s="1207"/>
      <c r="I743" s="1207"/>
      <c r="J743" s="1207"/>
      <c r="K743" s="1207"/>
      <c r="L743" s="1207"/>
      <c r="M743" s="1207"/>
      <c r="N743" s="1207"/>
      <c r="O743" s="1207"/>
      <c r="P743" s="1207"/>
      <c r="Q743" s="1207"/>
      <c r="R743" s="1207"/>
      <c r="S743" s="1207"/>
      <c r="T743" s="1207"/>
      <c r="U743" s="1207"/>
      <c r="V743" s="1208"/>
    </row>
    <row r="744" spans="1:22" ht="18" hidden="1" customHeight="1">
      <c r="A744" s="231"/>
      <c r="B744" s="232"/>
      <c r="C744" s="232"/>
      <c r="D744" s="232"/>
      <c r="E744" s="232"/>
      <c r="F744" s="232"/>
      <c r="G744" s="232"/>
      <c r="H744" s="232"/>
      <c r="I744" s="232"/>
      <c r="J744" s="232"/>
      <c r="K744" s="232"/>
      <c r="L744" s="232"/>
      <c r="M744" s="232"/>
      <c r="N744" s="232"/>
      <c r="O744" s="232"/>
      <c r="P744" s="232"/>
      <c r="Q744" s="232"/>
      <c r="R744" s="232"/>
      <c r="S744" s="232"/>
      <c r="T744" s="232"/>
      <c r="U744" s="232"/>
      <c r="V744" s="233"/>
    </row>
    <row r="745" spans="1:22" ht="18" hidden="1" customHeight="1">
      <c r="A745" s="231"/>
      <c r="B745" s="232"/>
      <c r="C745" s="232"/>
      <c r="D745" s="232"/>
      <c r="E745" s="232"/>
      <c r="F745" s="232"/>
      <c r="G745" s="232"/>
      <c r="H745" s="232"/>
      <c r="I745" s="232"/>
      <c r="J745" s="232"/>
      <c r="K745" s="232"/>
      <c r="L745" s="232"/>
      <c r="M745" s="232"/>
      <c r="N745" s="232"/>
      <c r="O745" s="232"/>
      <c r="P745" s="232"/>
      <c r="Q745" s="232"/>
      <c r="R745" s="232"/>
      <c r="S745" s="232"/>
      <c r="T745" s="232"/>
      <c r="U745" s="232"/>
      <c r="V745" s="233"/>
    </row>
    <row r="746" spans="1:22" ht="18" hidden="1" customHeight="1">
      <c r="A746" s="231"/>
      <c r="B746" s="232"/>
      <c r="C746" s="232"/>
      <c r="D746" s="232"/>
      <c r="E746" s="232"/>
      <c r="F746" s="232"/>
      <c r="G746" s="232"/>
      <c r="H746" s="232"/>
      <c r="I746" s="232"/>
      <c r="J746" s="232"/>
      <c r="K746" s="232"/>
      <c r="L746" s="232"/>
      <c r="M746" s="232"/>
      <c r="N746" s="232"/>
      <c r="O746" s="232"/>
      <c r="P746" s="232"/>
      <c r="Q746" s="232"/>
      <c r="R746" s="232"/>
      <c r="S746" s="232"/>
      <c r="T746" s="232"/>
      <c r="U746" s="232"/>
      <c r="V746" s="233"/>
    </row>
    <row r="747" spans="1:22" ht="18" hidden="1" customHeight="1">
      <c r="A747" s="231"/>
      <c r="B747" s="232"/>
      <c r="C747" s="232"/>
      <c r="D747" s="232"/>
      <c r="E747" s="232"/>
      <c r="F747" s="232"/>
      <c r="G747" s="232"/>
      <c r="H747" s="232"/>
      <c r="I747" s="232"/>
      <c r="J747" s="232"/>
      <c r="K747" s="232"/>
      <c r="L747" s="232"/>
      <c r="M747" s="232"/>
      <c r="N747" s="232"/>
      <c r="O747" s="232"/>
      <c r="P747" s="232"/>
      <c r="Q747" s="232"/>
      <c r="R747" s="232"/>
      <c r="S747" s="232"/>
      <c r="T747" s="232"/>
      <c r="U747" s="232"/>
      <c r="V747" s="233"/>
    </row>
    <row r="748" spans="1:22" ht="18" hidden="1" customHeight="1">
      <c r="A748" s="231"/>
      <c r="B748" s="232"/>
      <c r="C748" s="232"/>
      <c r="D748" s="232"/>
      <c r="E748" s="232"/>
      <c r="F748" s="232"/>
      <c r="G748" s="232"/>
      <c r="H748" s="232"/>
      <c r="I748" s="232"/>
      <c r="J748" s="232"/>
      <c r="K748" s="232"/>
      <c r="L748" s="232"/>
      <c r="M748" s="232"/>
      <c r="N748" s="232"/>
      <c r="O748" s="232"/>
      <c r="P748" s="232"/>
      <c r="Q748" s="232"/>
      <c r="R748" s="232"/>
      <c r="S748" s="232"/>
      <c r="T748" s="232"/>
      <c r="U748" s="232"/>
      <c r="V748" s="233"/>
    </row>
    <row r="749" spans="1:22" ht="18" hidden="1" customHeight="1">
      <c r="A749" s="96"/>
      <c r="B749" s="5"/>
      <c r="C749" s="5"/>
      <c r="D749" s="5"/>
      <c r="E749" s="5"/>
      <c r="M749" s="212"/>
      <c r="N749" s="212"/>
      <c r="O749" s="103"/>
      <c r="Q749" s="223"/>
      <c r="R749" s="14"/>
      <c r="S749" s="214"/>
      <c r="V749" s="185"/>
    </row>
    <row r="750" spans="1:22" ht="18" hidden="1" customHeight="1">
      <c r="A750" s="184"/>
      <c r="V750" s="185"/>
    </row>
    <row r="751" spans="1:22" ht="18" hidden="1" customHeight="1">
      <c r="A751" s="184"/>
      <c r="V751" s="185"/>
    </row>
    <row r="752" spans="1:22" ht="18" hidden="1" customHeight="1">
      <c r="A752" s="194"/>
      <c r="B752" s="195"/>
      <c r="C752" s="195"/>
      <c r="D752" s="195"/>
      <c r="E752" s="195"/>
      <c r="F752" s="195"/>
      <c r="G752" s="195"/>
      <c r="H752" s="195"/>
      <c r="I752" s="195"/>
      <c r="J752" s="195"/>
      <c r="K752" s="195"/>
      <c r="L752" s="195"/>
      <c r="M752" s="195"/>
      <c r="N752" s="195"/>
      <c r="O752" s="195"/>
      <c r="P752" s="195"/>
      <c r="Q752" s="224"/>
      <c r="R752" s="182"/>
      <c r="S752" s="225"/>
      <c r="T752" s="195"/>
      <c r="U752" s="195"/>
      <c r="V752" s="134"/>
    </row>
    <row r="753" spans="1:22" ht="18" hidden="1" customHeight="1">
      <c r="A753" s="226"/>
      <c r="B753" s="227"/>
      <c r="C753" s="227"/>
      <c r="D753" s="227"/>
      <c r="E753" s="227"/>
      <c r="F753" s="227"/>
      <c r="G753" s="227"/>
      <c r="H753" s="227"/>
      <c r="I753" s="227"/>
      <c r="J753" s="227"/>
      <c r="K753" s="227"/>
      <c r="L753" s="227"/>
      <c r="M753" s="227"/>
      <c r="N753" s="227"/>
      <c r="O753" s="227"/>
      <c r="P753" s="227"/>
      <c r="Q753" s="227"/>
      <c r="R753" s="227"/>
      <c r="S753" s="227"/>
      <c r="T753" s="227"/>
      <c r="U753" s="227"/>
      <c r="V753" s="228"/>
    </row>
    <row r="754" spans="1:22" ht="18" hidden="1" customHeight="1">
      <c r="A754" s="799" t="s">
        <v>417</v>
      </c>
      <c r="B754" s="802"/>
      <c r="C754" s="802"/>
      <c r="D754" s="689">
        <v>30</v>
      </c>
      <c r="E754" s="689" t="s">
        <v>315</v>
      </c>
      <c r="F754" s="689" t="s">
        <v>609</v>
      </c>
      <c r="G754" s="684"/>
      <c r="H754" s="689" t="s">
        <v>315</v>
      </c>
      <c r="I754" s="708" t="s">
        <v>411</v>
      </c>
      <c r="J754" s="828"/>
      <c r="K754" s="689" t="s">
        <v>315</v>
      </c>
      <c r="L754" s="802" t="s">
        <v>419</v>
      </c>
      <c r="M754" s="716" t="s">
        <v>420</v>
      </c>
      <c r="N754" s="729" t="s">
        <v>347</v>
      </c>
      <c r="O754" s="716" t="s">
        <v>408</v>
      </c>
      <c r="P754" s="689" t="s">
        <v>347</v>
      </c>
      <c r="Q754" s="759" t="s">
        <v>421</v>
      </c>
      <c r="R754" s="797"/>
      <c r="S754" s="797"/>
      <c r="T754" s="798" t="s">
        <v>350</v>
      </c>
      <c r="U754" s="230" t="s">
        <v>422</v>
      </c>
      <c r="V754" s="97"/>
    </row>
    <row r="755" spans="1:22" ht="18" hidden="1" customHeight="1">
      <c r="A755" s="827"/>
      <c r="B755" s="802"/>
      <c r="C755" s="802"/>
      <c r="D755" s="689"/>
      <c r="E755" s="689"/>
      <c r="F755" s="684"/>
      <c r="G755" s="684"/>
      <c r="H755" s="689"/>
      <c r="I755" s="689" t="s">
        <v>423</v>
      </c>
      <c r="J755" s="723"/>
      <c r="K755" s="689"/>
      <c r="L755" s="802"/>
      <c r="M755" s="716"/>
      <c r="N755" s="729"/>
      <c r="O755" s="716"/>
      <c r="P755" s="689"/>
      <c r="Q755" s="28" t="s">
        <v>146</v>
      </c>
      <c r="R755" s="28" t="s">
        <v>315</v>
      </c>
      <c r="S755" s="28" t="s">
        <v>146</v>
      </c>
      <c r="T755" s="798"/>
      <c r="U755" s="14"/>
      <c r="V755" s="97"/>
    </row>
    <row r="756" spans="1:22" ht="18" hidden="1" customHeight="1">
      <c r="A756" s="184"/>
      <c r="V756" s="185"/>
    </row>
    <row r="757" spans="1:22" ht="18" hidden="1" customHeight="1">
      <c r="A757" s="799" t="s">
        <v>417</v>
      </c>
      <c r="B757" s="802"/>
      <c r="C757" s="802"/>
      <c r="D757" s="689">
        <v>2</v>
      </c>
      <c r="E757" s="689" t="s">
        <v>315</v>
      </c>
      <c r="F757" s="689" t="s">
        <v>613</v>
      </c>
      <c r="G757" s="684"/>
      <c r="H757" s="689" t="s">
        <v>315</v>
      </c>
      <c r="I757" s="708" t="s">
        <v>411</v>
      </c>
      <c r="J757" s="828"/>
      <c r="K757" s="689" t="s">
        <v>315</v>
      </c>
      <c r="L757" s="802" t="s">
        <v>419</v>
      </c>
      <c r="M757" s="716" t="s">
        <v>420</v>
      </c>
      <c r="N757" s="729" t="s">
        <v>347</v>
      </c>
      <c r="O757" s="716" t="s">
        <v>408</v>
      </c>
      <c r="P757" s="689" t="s">
        <v>347</v>
      </c>
      <c r="Q757" s="759" t="s">
        <v>421</v>
      </c>
      <c r="R757" s="797"/>
      <c r="S757" s="797"/>
      <c r="T757" s="798" t="s">
        <v>350</v>
      </c>
      <c r="U757" s="230" t="s">
        <v>426</v>
      </c>
      <c r="V757" s="97"/>
    </row>
    <row r="758" spans="1:22" ht="18" hidden="1" customHeight="1">
      <c r="A758" s="827"/>
      <c r="B758" s="802"/>
      <c r="C758" s="802"/>
      <c r="D758" s="689"/>
      <c r="E758" s="689"/>
      <c r="F758" s="684"/>
      <c r="G758" s="684"/>
      <c r="H758" s="689"/>
      <c r="I758" s="689" t="s">
        <v>423</v>
      </c>
      <c r="J758" s="723"/>
      <c r="K758" s="689"/>
      <c r="L758" s="802"/>
      <c r="M758" s="716"/>
      <c r="N758" s="729"/>
      <c r="O758" s="716"/>
      <c r="P758" s="689"/>
      <c r="Q758" s="28" t="s">
        <v>146</v>
      </c>
      <c r="R758" s="28" t="s">
        <v>315</v>
      </c>
      <c r="S758" s="28" t="s">
        <v>146</v>
      </c>
      <c r="T758" s="798"/>
      <c r="U758" s="14"/>
      <c r="V758" s="97"/>
    </row>
    <row r="759" spans="1:22" ht="18" hidden="1" customHeight="1">
      <c r="A759" s="184"/>
      <c r="V759" s="185"/>
    </row>
    <row r="760" spans="1:22" ht="18" hidden="1" customHeight="1">
      <c r="A760" s="678" t="s">
        <v>616</v>
      </c>
      <c r="B760" s="1207"/>
      <c r="C760" s="1207"/>
      <c r="D760" s="1207"/>
      <c r="E760" s="1207"/>
      <c r="F760" s="1207"/>
      <c r="G760" s="1207"/>
      <c r="H760" s="1207"/>
      <c r="I760" s="1207"/>
      <c r="J760" s="1207"/>
      <c r="K760" s="1207"/>
      <c r="L760" s="1207"/>
      <c r="M760" s="1207"/>
      <c r="N760" s="1207"/>
      <c r="O760" s="1207"/>
      <c r="P760" s="1207"/>
      <c r="Q760" s="1207"/>
      <c r="R760" s="1207"/>
      <c r="S760" s="1207"/>
      <c r="T760" s="1207"/>
      <c r="U760" s="1207"/>
      <c r="V760" s="1208"/>
    </row>
    <row r="761" spans="1:22" ht="18" hidden="1" customHeight="1">
      <c r="A761" s="1209"/>
      <c r="B761" s="1207"/>
      <c r="C761" s="1207"/>
      <c r="D761" s="1207"/>
      <c r="E761" s="1207"/>
      <c r="F761" s="1207"/>
      <c r="G761" s="1207"/>
      <c r="H761" s="1207"/>
      <c r="I761" s="1207"/>
      <c r="J761" s="1207"/>
      <c r="K761" s="1207"/>
      <c r="L761" s="1207"/>
      <c r="M761" s="1207"/>
      <c r="N761" s="1207"/>
      <c r="O761" s="1207"/>
      <c r="P761" s="1207"/>
      <c r="Q761" s="1207"/>
      <c r="R761" s="1207"/>
      <c r="S761" s="1207"/>
      <c r="T761" s="1207"/>
      <c r="U761" s="1207"/>
      <c r="V761" s="1208"/>
    </row>
    <row r="762" spans="1:22" ht="18" hidden="1" customHeight="1">
      <c r="A762" s="231"/>
      <c r="B762" s="232"/>
      <c r="C762" s="232"/>
      <c r="D762" s="232"/>
      <c r="E762" s="232"/>
      <c r="F762" s="232"/>
      <c r="G762" s="232"/>
      <c r="H762" s="232"/>
      <c r="I762" s="232"/>
      <c r="J762" s="232"/>
      <c r="K762" s="232"/>
      <c r="L762" s="232"/>
      <c r="M762" s="232"/>
      <c r="N762" s="232"/>
      <c r="O762" s="232"/>
      <c r="P762" s="232"/>
      <c r="Q762" s="232"/>
      <c r="R762" s="232"/>
      <c r="S762" s="232"/>
      <c r="T762" s="232"/>
      <c r="U762" s="232"/>
      <c r="V762" s="233"/>
    </row>
    <row r="763" spans="1:22" ht="18" hidden="1" customHeight="1">
      <c r="A763" s="799" t="s">
        <v>417</v>
      </c>
      <c r="B763" s="802"/>
      <c r="C763" s="802"/>
      <c r="D763" s="689"/>
      <c r="E763" s="689"/>
      <c r="F763" s="689" t="s">
        <v>617</v>
      </c>
      <c r="G763" s="684"/>
      <c r="H763" s="689" t="s">
        <v>315</v>
      </c>
      <c r="I763" s="708" t="s">
        <v>411</v>
      </c>
      <c r="J763" s="828"/>
      <c r="K763" s="689" t="s">
        <v>315</v>
      </c>
      <c r="L763" s="802" t="s">
        <v>419</v>
      </c>
      <c r="M763" s="716" t="s">
        <v>420</v>
      </c>
      <c r="N763" s="729" t="s">
        <v>347</v>
      </c>
      <c r="O763" s="716" t="s">
        <v>408</v>
      </c>
      <c r="P763" s="689" t="s">
        <v>347</v>
      </c>
      <c r="Q763" s="759" t="s">
        <v>421</v>
      </c>
      <c r="R763" s="797"/>
      <c r="S763" s="797"/>
      <c r="T763" s="798" t="s">
        <v>350</v>
      </c>
      <c r="U763" s="230" t="s">
        <v>618</v>
      </c>
      <c r="V763" s="97"/>
    </row>
    <row r="764" spans="1:22" ht="18" hidden="1" customHeight="1">
      <c r="A764" s="827"/>
      <c r="B764" s="802"/>
      <c r="C764" s="802"/>
      <c r="D764" s="689"/>
      <c r="E764" s="689"/>
      <c r="F764" s="684"/>
      <c r="G764" s="684"/>
      <c r="H764" s="689"/>
      <c r="I764" s="689" t="s">
        <v>423</v>
      </c>
      <c r="J764" s="723"/>
      <c r="K764" s="689"/>
      <c r="L764" s="802"/>
      <c r="M764" s="716"/>
      <c r="N764" s="729"/>
      <c r="O764" s="716"/>
      <c r="P764" s="689"/>
      <c r="Q764" s="28" t="s">
        <v>146</v>
      </c>
      <c r="R764" s="28" t="s">
        <v>315</v>
      </c>
      <c r="S764" s="28" t="s">
        <v>146</v>
      </c>
      <c r="T764" s="798"/>
      <c r="U764" s="14"/>
      <c r="V764" s="97"/>
    </row>
    <row r="765" spans="1:22" ht="18" hidden="1" customHeight="1">
      <c r="A765" s="96"/>
      <c r="B765" s="14"/>
      <c r="C765" s="14"/>
      <c r="D765" s="28"/>
      <c r="E765" s="28"/>
      <c r="F765" s="27"/>
      <c r="G765" s="27"/>
      <c r="H765" s="28"/>
      <c r="I765" s="28"/>
      <c r="K765" s="28"/>
      <c r="L765" s="120"/>
      <c r="M765" s="14"/>
      <c r="N765" s="102"/>
      <c r="O765" s="14"/>
      <c r="P765" s="28"/>
      <c r="Q765" s="28"/>
      <c r="R765" s="28"/>
      <c r="S765" s="28"/>
      <c r="T765" s="40"/>
      <c r="U765" s="14"/>
      <c r="V765" s="97"/>
    </row>
    <row r="766" spans="1:22" ht="18" hidden="1" customHeight="1">
      <c r="A766" s="184"/>
      <c r="H766" s="30" t="s">
        <v>619</v>
      </c>
      <c r="M766" s="854" t="str">
        <f>M634</f>
        <v>N</v>
      </c>
      <c r="N766" s="831"/>
      <c r="V766" s="185"/>
    </row>
    <row r="767" spans="1:22" ht="18" hidden="1" customHeight="1">
      <c r="A767" s="96"/>
      <c r="B767" s="14"/>
      <c r="C767" s="14"/>
      <c r="D767" s="28"/>
      <c r="E767" s="28"/>
      <c r="F767" s="27"/>
      <c r="G767" s="27"/>
      <c r="H767" s="28"/>
      <c r="I767" s="28"/>
      <c r="K767" s="28"/>
      <c r="L767" s="120"/>
      <c r="M767" s="14"/>
      <c r="N767" s="102"/>
      <c r="O767" s="14"/>
      <c r="P767" s="28"/>
      <c r="Q767" s="28"/>
      <c r="R767" s="28"/>
      <c r="S767" s="28"/>
      <c r="T767" s="40"/>
      <c r="U767" s="14"/>
      <c r="V767" s="97"/>
    </row>
    <row r="768" spans="1:22" ht="18" hidden="1" customHeight="1">
      <c r="A768" s="184"/>
      <c r="B768" s="14" t="s">
        <v>427</v>
      </c>
      <c r="C768" s="14"/>
      <c r="D768" s="103"/>
      <c r="E768" s="103"/>
      <c r="F768" s="14"/>
      <c r="G768" s="14"/>
      <c r="H768" s="5"/>
      <c r="I768" s="5"/>
      <c r="J768" s="5"/>
      <c r="P768" s="120" t="s">
        <v>428</v>
      </c>
      <c r="V768" s="185"/>
    </row>
    <row r="769" spans="1:22" ht="18" hidden="1" customHeight="1">
      <c r="A769" s="184"/>
      <c r="B769" s="14" t="s">
        <v>429</v>
      </c>
      <c r="C769" s="14"/>
      <c r="D769" s="103"/>
      <c r="E769" s="103"/>
      <c r="F769" s="14"/>
      <c r="G769" s="14"/>
      <c r="H769" s="5"/>
      <c r="I769" s="5"/>
      <c r="J769" s="5"/>
      <c r="P769" s="120" t="s">
        <v>430</v>
      </c>
      <c r="Q769" s="234" t="s">
        <v>127</v>
      </c>
      <c r="R769" s="684" t="str">
        <f>L713</f>
        <v>-</v>
      </c>
      <c r="S769" s="684"/>
      <c r="T769" s="14" t="s">
        <v>8</v>
      </c>
      <c r="V769" s="185"/>
    </row>
    <row r="770" spans="1:22" ht="18" hidden="1" customHeight="1">
      <c r="A770" s="184"/>
      <c r="B770" s="14" t="s">
        <v>621</v>
      </c>
      <c r="C770" s="14"/>
      <c r="D770" s="14"/>
      <c r="E770" s="14"/>
      <c r="F770" s="14"/>
      <c r="G770" s="14"/>
      <c r="H770" s="14"/>
      <c r="I770" s="14"/>
      <c r="J770" s="14"/>
      <c r="P770" s="120" t="s">
        <v>609</v>
      </c>
      <c r="Q770" s="234" t="s">
        <v>127</v>
      </c>
      <c r="R770" s="684">
        <f>J734</f>
        <v>437.38656756789834</v>
      </c>
      <c r="S770" s="684"/>
      <c r="T770" s="14" t="s">
        <v>8</v>
      </c>
      <c r="V770" s="185"/>
    </row>
    <row r="771" spans="1:22" ht="18" hidden="1" customHeight="1">
      <c r="A771" s="184"/>
      <c r="B771" s="14" t="s">
        <v>622</v>
      </c>
      <c r="C771" s="14"/>
      <c r="D771" s="14"/>
      <c r="E771" s="14"/>
      <c r="F771" s="14"/>
      <c r="G771" s="14"/>
      <c r="H771" s="14"/>
      <c r="I771" s="14"/>
      <c r="J771" s="14"/>
      <c r="P771" s="120" t="s">
        <v>613</v>
      </c>
      <c r="Q771" s="234" t="s">
        <v>127</v>
      </c>
      <c r="R771" s="684">
        <f>O740</f>
        <v>6998.1850810863734</v>
      </c>
      <c r="S771" s="684"/>
      <c r="T771" s="14" t="s">
        <v>8</v>
      </c>
      <c r="V771" s="185"/>
    </row>
    <row r="772" spans="1:22" ht="18" hidden="1" customHeight="1">
      <c r="A772" s="184"/>
      <c r="B772" s="235" t="s">
        <v>623</v>
      </c>
      <c r="C772" s="14"/>
      <c r="D772" s="14"/>
      <c r="E772" s="14"/>
      <c r="F772" s="14"/>
      <c r="G772" s="14"/>
      <c r="H772" s="14"/>
      <c r="I772" s="14"/>
      <c r="J772" s="14"/>
      <c r="P772" s="120"/>
      <c r="Q772" s="236"/>
      <c r="R772" s="27"/>
      <c r="S772" s="27"/>
      <c r="T772" s="14"/>
      <c r="V772" s="185"/>
    </row>
    <row r="773" spans="1:22" ht="18" hidden="1" customHeight="1">
      <c r="A773" s="184"/>
      <c r="B773" s="14" t="s">
        <v>622</v>
      </c>
      <c r="C773" s="14"/>
      <c r="D773" s="14"/>
      <c r="E773" s="14"/>
      <c r="F773" s="14"/>
      <c r="G773" s="14"/>
      <c r="H773" s="14"/>
      <c r="I773" s="14"/>
      <c r="J773" s="14"/>
      <c r="P773" s="120" t="s">
        <v>617</v>
      </c>
      <c r="Q773" s="234" t="s">
        <v>127</v>
      </c>
      <c r="R773" s="684" t="str">
        <f>R641</f>
        <v>-</v>
      </c>
      <c r="S773" s="684"/>
      <c r="T773" s="14" t="s">
        <v>8</v>
      </c>
      <c r="V773" s="185"/>
    </row>
    <row r="774" spans="1:22" ht="18" hidden="1" customHeight="1">
      <c r="A774" s="184"/>
      <c r="B774" s="235" t="s">
        <v>645</v>
      </c>
      <c r="C774" s="14"/>
      <c r="D774" s="14"/>
      <c r="E774" s="14"/>
      <c r="F774" s="14"/>
      <c r="G774" s="14"/>
      <c r="H774" s="14"/>
      <c r="I774" s="14"/>
      <c r="J774" s="14"/>
      <c r="R774" s="27"/>
      <c r="S774" s="27"/>
      <c r="T774" s="14"/>
      <c r="V774" s="185"/>
    </row>
    <row r="775" spans="1:22" ht="18" hidden="1" customHeight="1">
      <c r="A775" s="184"/>
      <c r="B775" s="14" t="s">
        <v>435</v>
      </c>
      <c r="C775" s="14"/>
      <c r="D775" s="103"/>
      <c r="E775" s="103"/>
      <c r="F775" s="14"/>
      <c r="G775" s="14"/>
      <c r="H775" s="5"/>
      <c r="I775" s="5"/>
      <c r="J775" s="5"/>
      <c r="P775" s="120" t="s">
        <v>436</v>
      </c>
      <c r="Q775" s="234" t="s">
        <v>127</v>
      </c>
      <c r="R775" s="684">
        <f>O713</f>
        <v>1</v>
      </c>
      <c r="S775" s="684"/>
      <c r="T775" s="14" t="s">
        <v>8</v>
      </c>
      <c r="V775" s="185"/>
    </row>
    <row r="776" spans="1:22" ht="18" hidden="1" customHeight="1">
      <c r="A776" s="184"/>
      <c r="B776" s="14" t="s">
        <v>437</v>
      </c>
      <c r="C776" s="14"/>
      <c r="D776" s="103"/>
      <c r="E776" s="103"/>
      <c r="F776" s="14"/>
      <c r="G776" s="14"/>
      <c r="H776" s="5"/>
      <c r="I776" s="5"/>
      <c r="J776" s="5"/>
      <c r="P776" s="120" t="s">
        <v>438</v>
      </c>
      <c r="Q776" s="234" t="s">
        <v>127</v>
      </c>
      <c r="R776" s="684">
        <f>R644</f>
        <v>1</v>
      </c>
      <c r="S776" s="684"/>
      <c r="T776" s="14" t="s">
        <v>8</v>
      </c>
      <c r="V776" s="185"/>
    </row>
    <row r="777" spans="1:22" ht="18" hidden="1" customHeight="1">
      <c r="A777" s="184"/>
      <c r="B777" s="14" t="s">
        <v>439</v>
      </c>
      <c r="C777" s="14"/>
      <c r="D777" s="103"/>
      <c r="E777" s="103"/>
      <c r="F777" s="14"/>
      <c r="G777" s="14"/>
      <c r="H777" s="5"/>
      <c r="I777" s="5"/>
      <c r="J777" s="5"/>
      <c r="P777" s="120" t="s">
        <v>440</v>
      </c>
      <c r="Q777" s="234" t="s">
        <v>127</v>
      </c>
      <c r="R777" s="684" t="str">
        <f>L715</f>
        <v>-</v>
      </c>
      <c r="S777" s="684"/>
      <c r="T777" s="192" t="s">
        <v>333</v>
      </c>
      <c r="V777" s="185"/>
    </row>
    <row r="778" spans="1:22" ht="18" hidden="1" customHeight="1">
      <c r="A778" s="184"/>
      <c r="B778" s="14" t="s">
        <v>625</v>
      </c>
      <c r="C778" s="14"/>
      <c r="D778" s="14"/>
      <c r="E778" s="14"/>
      <c r="F778" s="14"/>
      <c r="G778" s="14"/>
      <c r="H778" s="14"/>
      <c r="I778" s="14"/>
      <c r="J778" s="14"/>
      <c r="P778" s="237" t="s">
        <v>441</v>
      </c>
      <c r="Q778" s="234" t="s">
        <v>127</v>
      </c>
      <c r="R778" s="795">
        <f>P725</f>
        <v>1.1667743100000001</v>
      </c>
      <c r="S778" s="684"/>
      <c r="T778" s="192" t="s">
        <v>333</v>
      </c>
      <c r="V778" s="185"/>
    </row>
    <row r="779" spans="1:22" ht="18" hidden="1" customHeight="1">
      <c r="A779" s="184"/>
      <c r="B779" s="40" t="s">
        <v>442</v>
      </c>
      <c r="C779" s="14"/>
      <c r="D779" s="14"/>
      <c r="E779" s="14"/>
      <c r="F779" s="14"/>
      <c r="G779" s="14"/>
      <c r="H779" s="5"/>
      <c r="I779" s="5"/>
      <c r="J779" s="5"/>
      <c r="P779" s="237" t="s">
        <v>443</v>
      </c>
      <c r="Q779" s="234" t="s">
        <v>127</v>
      </c>
      <c r="R779" s="795">
        <f>J721</f>
        <v>0.02</v>
      </c>
      <c r="S779" s="684"/>
      <c r="T779" s="14" t="s">
        <v>157</v>
      </c>
      <c r="V779" s="185"/>
    </row>
    <row r="780" spans="1:22" ht="18" hidden="1" customHeight="1">
      <c r="A780" s="184"/>
      <c r="V780" s="185"/>
    </row>
    <row r="781" spans="1:22" ht="18" hidden="1" customHeight="1">
      <c r="A781" s="799" t="s">
        <v>417</v>
      </c>
      <c r="B781" s="802"/>
      <c r="C781" s="802"/>
      <c r="D781" s="689">
        <v>30</v>
      </c>
      <c r="E781" s="689" t="s">
        <v>315</v>
      </c>
      <c r="F781" s="689">
        <f>R770</f>
        <v>437.38656756789834</v>
      </c>
      <c r="G781" s="684"/>
      <c r="H781" s="689" t="s">
        <v>315</v>
      </c>
      <c r="I781" s="708">
        <f>R775</f>
        <v>1</v>
      </c>
      <c r="J781" s="828"/>
      <c r="K781" s="689" t="s">
        <v>315</v>
      </c>
      <c r="L781" s="716" t="s">
        <v>419</v>
      </c>
      <c r="M781" s="716" t="str">
        <f>R777</f>
        <v>-</v>
      </c>
      <c r="N781" s="729" t="s">
        <v>347</v>
      </c>
      <c r="O781" s="1214">
        <f>R778</f>
        <v>1.1667743100000001</v>
      </c>
      <c r="P781" s="689" t="s">
        <v>347</v>
      </c>
      <c r="Q781" s="833">
        <f>R779</f>
        <v>0.02</v>
      </c>
      <c r="R781" s="797"/>
      <c r="S781" s="797"/>
      <c r="T781" s="798" t="s">
        <v>350</v>
      </c>
      <c r="U781" s="230" t="s">
        <v>422</v>
      </c>
      <c r="V781" s="97"/>
    </row>
    <row r="782" spans="1:22" ht="18" hidden="1" customHeight="1">
      <c r="A782" s="827"/>
      <c r="B782" s="802"/>
      <c r="C782" s="802"/>
      <c r="D782" s="689"/>
      <c r="E782" s="689"/>
      <c r="F782" s="684"/>
      <c r="G782" s="684"/>
      <c r="H782" s="689"/>
      <c r="I782" s="689" t="str">
        <f>R769</f>
        <v>-</v>
      </c>
      <c r="J782" s="723"/>
      <c r="K782" s="689"/>
      <c r="L782" s="716"/>
      <c r="M782" s="716"/>
      <c r="N782" s="729"/>
      <c r="O782" s="716"/>
      <c r="P782" s="689"/>
      <c r="Q782" s="28">
        <f>R776</f>
        <v>1</v>
      </c>
      <c r="R782" s="28" t="s">
        <v>315</v>
      </c>
      <c r="S782" s="28">
        <f>R776</f>
        <v>1</v>
      </c>
      <c r="T782" s="798"/>
      <c r="U782" s="14"/>
      <c r="V782" s="97"/>
    </row>
    <row r="783" spans="1:22" ht="18" hidden="1" customHeight="1">
      <c r="A783" s="184"/>
      <c r="V783" s="185"/>
    </row>
    <row r="784" spans="1:22" ht="18" hidden="1" customHeight="1">
      <c r="A784" s="184"/>
      <c r="C784" s="30" t="s">
        <v>127</v>
      </c>
      <c r="D784" s="812" t="e">
        <f>D781*F781*(I781/I782)*(M781+O781+(Q781/(Q782*S782)))</f>
        <v>#VALUE!</v>
      </c>
      <c r="E784" s="813"/>
      <c r="F784" s="30" t="s">
        <v>305</v>
      </c>
      <c r="V784" s="185"/>
    </row>
    <row r="785" spans="1:22" ht="18" hidden="1" customHeight="1">
      <c r="A785" s="184"/>
      <c r="V785" s="185"/>
    </row>
    <row r="786" spans="1:22" ht="18" hidden="1" customHeight="1">
      <c r="A786" s="799" t="s">
        <v>417</v>
      </c>
      <c r="B786" s="802"/>
      <c r="C786" s="802"/>
      <c r="D786" s="689">
        <v>2</v>
      </c>
      <c r="E786" s="689" t="s">
        <v>315</v>
      </c>
      <c r="F786" s="689">
        <f>R771</f>
        <v>6998.1850810863734</v>
      </c>
      <c r="G786" s="684"/>
      <c r="H786" s="689" t="s">
        <v>315</v>
      </c>
      <c r="I786" s="708">
        <f>R775</f>
        <v>1</v>
      </c>
      <c r="J786" s="828"/>
      <c r="K786" s="689" t="s">
        <v>315</v>
      </c>
      <c r="L786" s="802" t="s">
        <v>419</v>
      </c>
      <c r="M786" s="716" t="str">
        <f>R777</f>
        <v>-</v>
      </c>
      <c r="N786" s="729" t="s">
        <v>347</v>
      </c>
      <c r="O786" s="1214">
        <f>R778</f>
        <v>1.1667743100000001</v>
      </c>
      <c r="P786" s="689" t="s">
        <v>347</v>
      </c>
      <c r="Q786" s="833">
        <f>R779</f>
        <v>0.02</v>
      </c>
      <c r="R786" s="797"/>
      <c r="S786" s="797"/>
      <c r="T786" s="798" t="s">
        <v>350</v>
      </c>
      <c r="U786" s="230" t="s">
        <v>426</v>
      </c>
      <c r="V786" s="97"/>
    </row>
    <row r="787" spans="1:22" ht="18" hidden="1" customHeight="1">
      <c r="A787" s="827"/>
      <c r="B787" s="802"/>
      <c r="C787" s="802"/>
      <c r="D787" s="689"/>
      <c r="E787" s="689"/>
      <c r="F787" s="684"/>
      <c r="G787" s="684"/>
      <c r="H787" s="689"/>
      <c r="I787" s="689" t="str">
        <f>R769</f>
        <v>-</v>
      </c>
      <c r="J787" s="723"/>
      <c r="K787" s="689"/>
      <c r="L787" s="802"/>
      <c r="M787" s="716"/>
      <c r="N787" s="729"/>
      <c r="O787" s="716"/>
      <c r="P787" s="689"/>
      <c r="Q787" s="28">
        <f>R776</f>
        <v>1</v>
      </c>
      <c r="R787" s="28" t="s">
        <v>315</v>
      </c>
      <c r="S787" s="28">
        <f>R776</f>
        <v>1</v>
      </c>
      <c r="T787" s="798"/>
      <c r="U787" s="14"/>
      <c r="V787" s="97"/>
    </row>
    <row r="788" spans="1:22" ht="18" hidden="1" customHeight="1">
      <c r="A788" s="184"/>
      <c r="L788" s="244"/>
      <c r="V788" s="185"/>
    </row>
    <row r="789" spans="1:22" ht="18" hidden="1" customHeight="1">
      <c r="A789" s="184"/>
      <c r="C789" s="30" t="s">
        <v>127</v>
      </c>
      <c r="D789" s="812" t="e">
        <f>D786*F786*(I786/I787)*(M786+O786+(Q786/(Q787*S787)))</f>
        <v>#VALUE!</v>
      </c>
      <c r="E789" s="813"/>
      <c r="F789" s="30" t="s">
        <v>305</v>
      </c>
      <c r="L789" s="244"/>
      <c r="V789" s="185"/>
    </row>
    <row r="790" spans="1:22" ht="18" hidden="1" customHeight="1">
      <c r="A790" s="184"/>
      <c r="L790" s="244"/>
      <c r="V790" s="185"/>
    </row>
    <row r="791" spans="1:22" s="14" customFormat="1" ht="18" hidden="1" customHeight="1">
      <c r="A791" s="799" t="s">
        <v>417</v>
      </c>
      <c r="B791" s="802"/>
      <c r="C791" s="802"/>
      <c r="D791" s="689"/>
      <c r="E791" s="689"/>
      <c r="F791" s="689" t="str">
        <f>R773</f>
        <v>-</v>
      </c>
      <c r="G791" s="684"/>
      <c r="H791" s="689" t="s">
        <v>315</v>
      </c>
      <c r="I791" s="708">
        <f>R775</f>
        <v>1</v>
      </c>
      <c r="J791" s="828"/>
      <c r="K791" s="689" t="s">
        <v>315</v>
      </c>
      <c r="L791" s="802" t="s">
        <v>419</v>
      </c>
      <c r="M791" s="716" t="str">
        <f>R777</f>
        <v>-</v>
      </c>
      <c r="N791" s="729" t="s">
        <v>347</v>
      </c>
      <c r="O791" s="1214">
        <f>R778</f>
        <v>1.1667743100000001</v>
      </c>
      <c r="P791" s="689" t="s">
        <v>347</v>
      </c>
      <c r="Q791" s="833">
        <f>R779</f>
        <v>0.02</v>
      </c>
      <c r="R791" s="797"/>
      <c r="S791" s="797"/>
      <c r="T791" s="798" t="s">
        <v>350</v>
      </c>
      <c r="U791" s="230" t="s">
        <v>618</v>
      </c>
      <c r="V791" s="97"/>
    </row>
    <row r="792" spans="1:22" ht="18" hidden="1" customHeight="1">
      <c r="A792" s="827"/>
      <c r="B792" s="802"/>
      <c r="C792" s="802"/>
      <c r="D792" s="689"/>
      <c r="E792" s="689"/>
      <c r="F792" s="684"/>
      <c r="G792" s="684"/>
      <c r="H792" s="689"/>
      <c r="I792" s="689" t="str">
        <f>R769</f>
        <v>-</v>
      </c>
      <c r="J792" s="723"/>
      <c r="K792" s="689"/>
      <c r="L792" s="802"/>
      <c r="M792" s="716"/>
      <c r="N792" s="729"/>
      <c r="O792" s="716"/>
      <c r="P792" s="689"/>
      <c r="Q792" s="28">
        <f>R776</f>
        <v>1</v>
      </c>
      <c r="R792" s="28" t="s">
        <v>315</v>
      </c>
      <c r="S792" s="28">
        <f>R776</f>
        <v>1</v>
      </c>
      <c r="T792" s="798"/>
      <c r="U792" s="14"/>
      <c r="V792" s="97"/>
    </row>
    <row r="793" spans="1:22" ht="18" hidden="1" customHeight="1">
      <c r="A793" s="184"/>
      <c r="V793" s="185"/>
    </row>
    <row r="794" spans="1:22" ht="18" hidden="1" customHeight="1">
      <c r="A794" s="184"/>
      <c r="C794" s="30" t="s">
        <v>127</v>
      </c>
      <c r="D794" s="812" t="e">
        <f>F791*(I791/I792)*(M791+O791+(Q791/(Q792*S792)))</f>
        <v>#VALUE!</v>
      </c>
      <c r="E794" s="813"/>
      <c r="F794" s="30" t="s">
        <v>305</v>
      </c>
      <c r="G794" s="187" t="s">
        <v>378</v>
      </c>
      <c r="H794" s="186" t="str">
        <f>IF(M766="y","Applicable","Not applicable")</f>
        <v>Not applicable</v>
      </c>
      <c r="V794" s="185"/>
    </row>
    <row r="795" spans="1:22" ht="18" hidden="1" customHeight="1">
      <c r="A795" s="184"/>
      <c r="V795" s="185"/>
    </row>
    <row r="796" spans="1:22" ht="18" hidden="1" customHeight="1">
      <c r="A796" s="194"/>
      <c r="B796" s="195"/>
      <c r="C796" s="195"/>
      <c r="D796" s="195"/>
      <c r="E796" s="195"/>
      <c r="F796" s="195"/>
      <c r="G796" s="195"/>
      <c r="H796" s="195"/>
      <c r="I796" s="195"/>
      <c r="J796" s="195"/>
      <c r="K796" s="195"/>
      <c r="L796" s="195"/>
      <c r="M796" s="195"/>
      <c r="N796" s="195"/>
      <c r="O796" s="195"/>
      <c r="P796" s="195"/>
      <c r="Q796" s="224"/>
      <c r="R796" s="182"/>
      <c r="S796" s="225"/>
      <c r="T796" s="195"/>
      <c r="U796" s="195"/>
      <c r="V796" s="134"/>
    </row>
    <row r="797" spans="1:22" ht="18" hidden="1" customHeight="1">
      <c r="A797" s="226"/>
      <c r="B797" s="227"/>
      <c r="C797" s="227"/>
      <c r="D797" s="227"/>
      <c r="E797" s="227"/>
      <c r="F797" s="227"/>
      <c r="G797" s="227"/>
      <c r="H797" s="227"/>
      <c r="I797" s="227"/>
      <c r="J797" s="227"/>
      <c r="K797" s="227"/>
      <c r="L797" s="227"/>
      <c r="M797" s="227"/>
      <c r="N797" s="227"/>
      <c r="O797" s="227"/>
      <c r="P797" s="227"/>
      <c r="Q797" s="227"/>
      <c r="R797" s="227"/>
      <c r="S797" s="227"/>
      <c r="T797" s="227"/>
      <c r="U797" s="227"/>
      <c r="V797" s="228"/>
    </row>
    <row r="798" spans="1:22" ht="18" hidden="1" customHeight="1">
      <c r="A798" s="184" t="s">
        <v>634</v>
      </c>
      <c r="M798" s="825" t="str">
        <f>R769</f>
        <v>-</v>
      </c>
      <c r="N798" s="826"/>
      <c r="O798" s="30" t="s">
        <v>470</v>
      </c>
      <c r="Q798" s="812" t="e">
        <f>IF(M766="Y",MAX(D784,D794),MAX(D784,D789))</f>
        <v>#VALUE!</v>
      </c>
      <c r="R798" s="820"/>
      <c r="S798" s="30" t="s">
        <v>305</v>
      </c>
      <c r="V798" s="185"/>
    </row>
    <row r="799" spans="1:22" ht="18" hidden="1" customHeight="1">
      <c r="A799" s="184"/>
      <c r="M799" s="247"/>
      <c r="N799" s="247"/>
      <c r="Q799" s="211"/>
      <c r="R799" s="27"/>
      <c r="V799" s="185"/>
    </row>
    <row r="800" spans="1:22" ht="18" hidden="1" customHeight="1">
      <c r="A800" s="248" t="s">
        <v>471</v>
      </c>
      <c r="B800" s="14"/>
      <c r="C800" s="14"/>
      <c r="D800" s="249"/>
      <c r="E800" s="14"/>
      <c r="F800" s="14"/>
      <c r="G800" s="47"/>
      <c r="H800" s="14"/>
      <c r="J800" s="14"/>
      <c r="K800" s="14"/>
      <c r="L800" s="14"/>
      <c r="M800" s="14"/>
      <c r="N800" s="14"/>
      <c r="O800" s="14"/>
      <c r="P800" s="250"/>
      <c r="Q800" s="251"/>
      <c r="R800" s="47"/>
      <c r="S800" s="14"/>
      <c r="V800" s="185"/>
    </row>
    <row r="801" spans="1:22" ht="18" hidden="1" customHeight="1">
      <c r="A801" s="248"/>
      <c r="B801" s="14"/>
      <c r="C801" s="14"/>
      <c r="D801" s="249"/>
      <c r="E801" s="14"/>
      <c r="F801" s="14"/>
      <c r="G801" s="47"/>
      <c r="H801" s="14"/>
      <c r="J801" s="14"/>
      <c r="K801" s="14"/>
      <c r="L801" s="14"/>
      <c r="M801" s="14"/>
      <c r="N801" s="14"/>
      <c r="O801" s="14"/>
      <c r="P801" s="250"/>
      <c r="Q801" s="251"/>
      <c r="R801" s="47"/>
      <c r="S801" s="14"/>
      <c r="V801" s="185"/>
    </row>
    <row r="802" spans="1:22" ht="18" hidden="1" customHeight="1">
      <c r="A802" s="96" t="s">
        <v>500</v>
      </c>
      <c r="V802" s="185"/>
    </row>
    <row r="803" spans="1:22" ht="18" hidden="1" customHeight="1">
      <c r="A803" s="184"/>
      <c r="N803" s="14"/>
      <c r="O803" s="14" t="s">
        <v>473</v>
      </c>
      <c r="P803" s="102" t="s">
        <v>127</v>
      </c>
      <c r="Q803" s="249" t="s">
        <v>474</v>
      </c>
      <c r="R803" s="14"/>
      <c r="S803" s="28" t="s">
        <v>315</v>
      </c>
      <c r="T803" s="28">
        <v>0.8</v>
      </c>
      <c r="V803" s="185"/>
    </row>
    <row r="804" spans="1:22" ht="18" hidden="1" customHeight="1">
      <c r="A804" s="184"/>
      <c r="N804" s="252"/>
      <c r="O804" s="14"/>
      <c r="P804" s="102" t="s">
        <v>127</v>
      </c>
      <c r="Q804" s="829" t="e">
        <f>+Q798</f>
        <v>#VALUE!</v>
      </c>
      <c r="R804" s="829"/>
      <c r="S804" s="222" t="s">
        <v>315</v>
      </c>
      <c r="T804" s="253">
        <f>+T803</f>
        <v>0.8</v>
      </c>
      <c r="V804" s="185"/>
    </row>
    <row r="805" spans="1:22" ht="18" hidden="1" customHeight="1">
      <c r="A805" s="184"/>
      <c r="O805" s="14"/>
      <c r="P805" s="28" t="s">
        <v>127</v>
      </c>
      <c r="Q805" s="830" t="e">
        <f>Q804*T804</f>
        <v>#VALUE!</v>
      </c>
      <c r="R805" s="1270"/>
      <c r="S805" s="47" t="s">
        <v>305</v>
      </c>
      <c r="T805" s="14"/>
      <c r="V805" s="185"/>
    </row>
    <row r="806" spans="1:22" ht="18" hidden="1" customHeight="1">
      <c r="A806" s="184"/>
      <c r="V806" s="185"/>
    </row>
    <row r="807" spans="1:22" ht="18" hidden="1" customHeight="1">
      <c r="A807" s="184"/>
      <c r="D807" s="30" t="s">
        <v>475</v>
      </c>
      <c r="G807" s="27" t="e">
        <f>IF(E808&gt;H808,"&gt;","&lt;")</f>
        <v>#VALUE!</v>
      </c>
      <c r="H807" s="30" t="s">
        <v>477</v>
      </c>
      <c r="V807" s="185"/>
    </row>
    <row r="808" spans="1:22" ht="18" hidden="1" customHeight="1">
      <c r="A808" s="184"/>
      <c r="E808" s="684" t="str">
        <f>L716</f>
        <v>-</v>
      </c>
      <c r="F808" s="684"/>
      <c r="G808" s="27" t="e">
        <f>G807</f>
        <v>#VALUE!</v>
      </c>
      <c r="H808" s="795" t="e">
        <f>Q805</f>
        <v>#VALUE!</v>
      </c>
      <c r="I808" s="684"/>
      <c r="V808" s="185"/>
    </row>
    <row r="809" spans="1:22" ht="18" hidden="1" customHeight="1">
      <c r="A809" s="184"/>
      <c r="F809" s="244" t="s">
        <v>478</v>
      </c>
      <c r="H809" s="18" t="e">
        <f>IF(G807="&gt;","Suitably Dimensioned","Under Dimensioned")</f>
        <v>#VALUE!</v>
      </c>
      <c r="V809" s="185"/>
    </row>
    <row r="810" spans="1:22" ht="18" hidden="1" customHeight="1">
      <c r="A810" s="184"/>
      <c r="F810" s="244"/>
      <c r="H810" s="18"/>
      <c r="V810" s="185"/>
    </row>
    <row r="811" spans="1:22" ht="18" hidden="1" customHeight="1">
      <c r="A811" s="184"/>
      <c r="F811" s="244"/>
      <c r="H811" s="18"/>
      <c r="V811" s="185"/>
    </row>
    <row r="812" spans="1:22" ht="18" hidden="1" customHeight="1">
      <c r="A812" s="184"/>
      <c r="F812" s="244"/>
      <c r="H812" s="18"/>
      <c r="V812" s="185"/>
    </row>
    <row r="813" spans="1:22" ht="18" hidden="1" customHeight="1">
      <c r="A813" s="184"/>
      <c r="F813" s="244"/>
      <c r="H813" s="18"/>
      <c r="V813" s="185"/>
    </row>
    <row r="814" spans="1:22" ht="18" hidden="1" customHeight="1">
      <c r="A814" s="184"/>
      <c r="F814" s="244"/>
      <c r="H814" s="18"/>
      <c r="V814" s="185"/>
    </row>
    <row r="815" spans="1:22" ht="18" hidden="1" customHeight="1">
      <c r="A815" s="184"/>
      <c r="F815" s="244"/>
      <c r="H815" s="18"/>
      <c r="V815" s="185"/>
    </row>
    <row r="816" spans="1:22" ht="18" hidden="1" customHeight="1">
      <c r="A816" s="184"/>
      <c r="F816" s="244"/>
      <c r="H816" s="18"/>
      <c r="V816" s="185"/>
    </row>
    <row r="817" spans="1:22" ht="18" hidden="1" customHeight="1">
      <c r="A817" s="184"/>
      <c r="F817" s="244"/>
      <c r="H817" s="18"/>
      <c r="V817" s="185"/>
    </row>
    <row r="818" spans="1:22" ht="18" hidden="1" customHeight="1">
      <c r="A818" s="184"/>
      <c r="F818" s="244"/>
      <c r="H818" s="18"/>
      <c r="V818" s="185"/>
    </row>
    <row r="819" spans="1:22" ht="18" hidden="1" customHeight="1">
      <c r="A819" s="184"/>
      <c r="F819" s="244"/>
      <c r="H819" s="18"/>
      <c r="V819" s="185"/>
    </row>
    <row r="820" spans="1:22" ht="18" hidden="1" customHeight="1">
      <c r="A820" s="184"/>
      <c r="F820" s="244"/>
      <c r="H820" s="18"/>
      <c r="V820" s="185"/>
    </row>
    <row r="821" spans="1:22" ht="18" hidden="1" customHeight="1">
      <c r="A821" s="184"/>
      <c r="F821" s="244"/>
      <c r="H821" s="18"/>
      <c r="V821" s="185"/>
    </row>
    <row r="822" spans="1:22" ht="18" hidden="1" customHeight="1">
      <c r="A822" s="184"/>
      <c r="F822" s="244"/>
      <c r="H822" s="18"/>
      <c r="V822" s="185"/>
    </row>
    <row r="823" spans="1:22" ht="18" hidden="1" customHeight="1">
      <c r="A823" s="184"/>
      <c r="F823" s="244"/>
      <c r="H823" s="18"/>
      <c r="V823" s="185"/>
    </row>
    <row r="824" spans="1:22" ht="18" hidden="1" customHeight="1">
      <c r="A824" s="184"/>
      <c r="F824" s="244"/>
      <c r="H824" s="18"/>
      <c r="V824" s="185"/>
    </row>
    <row r="825" spans="1:22" ht="18" hidden="1" customHeight="1">
      <c r="A825" s="184"/>
      <c r="F825" s="244"/>
      <c r="H825" s="18"/>
      <c r="V825" s="185"/>
    </row>
    <row r="826" spans="1:22" ht="18" hidden="1" customHeight="1">
      <c r="A826" s="184"/>
      <c r="F826" s="244"/>
      <c r="H826" s="18"/>
      <c r="V826" s="185"/>
    </row>
    <row r="827" spans="1:22" ht="18" hidden="1" customHeight="1">
      <c r="A827" s="184"/>
      <c r="F827" s="244"/>
      <c r="H827" s="18"/>
      <c r="V827" s="185"/>
    </row>
    <row r="828" spans="1:22" ht="18" hidden="1" customHeight="1">
      <c r="A828" s="184"/>
      <c r="F828" s="244"/>
      <c r="H828" s="18"/>
      <c r="V828" s="185"/>
    </row>
    <row r="829" spans="1:22" ht="18" hidden="1" customHeight="1">
      <c r="A829" s="184"/>
      <c r="F829" s="244"/>
      <c r="H829" s="18"/>
      <c r="V829" s="185"/>
    </row>
    <row r="830" spans="1:22" ht="18" hidden="1" customHeight="1">
      <c r="A830" s="184"/>
      <c r="F830" s="244"/>
      <c r="H830" s="18"/>
      <c r="V830" s="185"/>
    </row>
    <row r="831" spans="1:22" ht="18" hidden="1" customHeight="1">
      <c r="A831" s="184"/>
      <c r="F831" s="244"/>
      <c r="H831" s="18"/>
      <c r="V831" s="185"/>
    </row>
    <row r="832" spans="1:22" ht="18" hidden="1" customHeight="1">
      <c r="A832" s="184"/>
      <c r="F832" s="244"/>
      <c r="H832" s="18"/>
      <c r="V832" s="185"/>
    </row>
    <row r="833" spans="1:22" ht="18" hidden="1" customHeight="1">
      <c r="A833" s="184"/>
      <c r="F833" s="244"/>
      <c r="H833" s="18"/>
      <c r="V833" s="185"/>
    </row>
    <row r="834" spans="1:22" ht="18" hidden="1" customHeight="1">
      <c r="A834" s="184"/>
      <c r="F834" s="244"/>
      <c r="H834" s="18"/>
      <c r="V834" s="185"/>
    </row>
    <row r="835" spans="1:22" s="14" customFormat="1" ht="18" hidden="1" customHeight="1">
      <c r="A835" s="184"/>
      <c r="B835" s="30"/>
      <c r="C835" s="30"/>
      <c r="D835" s="30"/>
      <c r="E835" s="30"/>
      <c r="F835" s="244"/>
      <c r="G835" s="30"/>
      <c r="H835" s="18"/>
      <c r="I835" s="30"/>
      <c r="J835" s="30"/>
      <c r="K835" s="30"/>
      <c r="L835" s="30"/>
      <c r="M835" s="30"/>
      <c r="N835" s="30"/>
      <c r="O835" s="30"/>
      <c r="P835" s="30"/>
      <c r="Q835" s="30"/>
      <c r="R835" s="30"/>
      <c r="S835" s="30"/>
      <c r="T835" s="30"/>
      <c r="U835" s="30"/>
      <c r="V835" s="185"/>
    </row>
    <row r="836" spans="1:22" ht="18" hidden="1" customHeight="1">
      <c r="A836" s="184"/>
      <c r="F836" s="244"/>
      <c r="H836" s="18"/>
      <c r="V836" s="185"/>
    </row>
    <row r="837" spans="1:22" ht="18" hidden="1" customHeight="1">
      <c r="A837" s="184"/>
      <c r="F837" s="244"/>
      <c r="H837" s="18"/>
      <c r="V837" s="185"/>
    </row>
    <row r="838" spans="1:22" ht="18" hidden="1" customHeight="1">
      <c r="A838" s="184"/>
      <c r="F838" s="244"/>
      <c r="H838" s="18"/>
      <c r="V838" s="185"/>
    </row>
    <row r="839" spans="1:22" ht="18" hidden="1" customHeight="1">
      <c r="A839" s="184"/>
      <c r="F839" s="244"/>
      <c r="H839" s="18"/>
      <c r="V839" s="185"/>
    </row>
    <row r="840" spans="1:22" ht="18" hidden="1" customHeight="1">
      <c r="A840" s="194"/>
      <c r="B840" s="195"/>
      <c r="C840" s="195"/>
      <c r="D840" s="195"/>
      <c r="E840" s="195"/>
      <c r="F840" s="195"/>
      <c r="G840" s="195"/>
      <c r="H840" s="195"/>
      <c r="I840" s="195"/>
      <c r="J840" s="195"/>
      <c r="K840" s="195"/>
      <c r="L840" s="195"/>
      <c r="M840" s="195"/>
      <c r="N840" s="195"/>
      <c r="O840" s="195"/>
      <c r="P840" s="195"/>
      <c r="Q840" s="224"/>
      <c r="R840" s="182"/>
      <c r="S840" s="225"/>
      <c r="T840" s="195"/>
      <c r="U840" s="195"/>
      <c r="V840" s="134"/>
    </row>
    <row r="841" spans="1:22" ht="18" hidden="1" customHeight="1">
      <c r="A841" s="226"/>
      <c r="B841" s="227"/>
      <c r="C841" s="227"/>
      <c r="D841" s="227"/>
      <c r="E841" s="227"/>
      <c r="F841" s="227"/>
      <c r="G841" s="227"/>
      <c r="H841" s="227"/>
      <c r="I841" s="227"/>
      <c r="J841" s="227"/>
      <c r="K841" s="227"/>
      <c r="L841" s="227"/>
      <c r="M841" s="227"/>
      <c r="N841" s="227"/>
      <c r="O841" s="227"/>
      <c r="P841" s="227"/>
      <c r="Q841" s="227"/>
      <c r="R841" s="227"/>
      <c r="S841" s="227"/>
      <c r="T841" s="227"/>
      <c r="U841" s="227"/>
      <c r="V841" s="228"/>
    </row>
    <row r="842" spans="1:22" ht="18" hidden="1" customHeight="1">
      <c r="A842" s="262" t="s">
        <v>501</v>
      </c>
      <c r="B842" s="14"/>
      <c r="C842" s="14"/>
      <c r="D842" s="120"/>
      <c r="E842" s="120"/>
      <c r="F842" s="18"/>
      <c r="G842" s="18"/>
      <c r="H842" s="14"/>
      <c r="I842" s="14"/>
      <c r="J842" s="14"/>
      <c r="K842" s="14"/>
      <c r="L842" s="14"/>
      <c r="M842" s="14"/>
      <c r="N842" s="14"/>
      <c r="O842" s="14"/>
      <c r="P842" s="28"/>
      <c r="Q842" s="120"/>
      <c r="R842" s="47"/>
      <c r="S842" s="206"/>
      <c r="T842" s="259"/>
      <c r="U842" s="14"/>
      <c r="V842" s="97"/>
    </row>
    <row r="843" spans="1:22" ht="18" hidden="1" customHeight="1">
      <c r="A843" s="955" t="s">
        <v>85</v>
      </c>
      <c r="B843" s="956"/>
      <c r="C843" s="1132"/>
      <c r="D843" s="955" t="s">
        <v>86</v>
      </c>
      <c r="E843" s="1146"/>
      <c r="F843" s="1146"/>
      <c r="G843" s="1132"/>
      <c r="H843" s="955" t="s">
        <v>87</v>
      </c>
      <c r="I843" s="957"/>
      <c r="J843" s="955" t="s">
        <v>88</v>
      </c>
      <c r="K843" s="1132"/>
      <c r="L843" s="955" t="s">
        <v>502</v>
      </c>
      <c r="M843" s="956"/>
      <c r="N843" s="957" t="s">
        <v>556</v>
      </c>
      <c r="O843" s="955" t="s">
        <v>503</v>
      </c>
      <c r="P843" s="956"/>
      <c r="Q843" s="1132"/>
      <c r="R843" s="955" t="s">
        <v>646</v>
      </c>
      <c r="S843" s="1277"/>
      <c r="T843" s="1278"/>
      <c r="U843" s="955" t="s">
        <v>505</v>
      </c>
      <c r="V843" s="1139"/>
    </row>
    <row r="844" spans="1:22" ht="18" hidden="1" customHeight="1">
      <c r="A844" s="1125"/>
      <c r="B844" s="983"/>
      <c r="C844" s="1133"/>
      <c r="D844" s="1136"/>
      <c r="E844" s="1135"/>
      <c r="F844" s="1135"/>
      <c r="G844" s="1133"/>
      <c r="H844" s="1125"/>
      <c r="I844" s="1126"/>
      <c r="J844" s="1136"/>
      <c r="K844" s="1133"/>
      <c r="L844" s="1125"/>
      <c r="M844" s="983"/>
      <c r="N844" s="1126"/>
      <c r="O844" s="1125"/>
      <c r="P844" s="983"/>
      <c r="Q844" s="1133"/>
      <c r="R844" s="1279"/>
      <c r="S844" s="1277"/>
      <c r="T844" s="1278"/>
      <c r="U844" s="1140"/>
      <c r="V844" s="1141"/>
    </row>
    <row r="845" spans="1:22" ht="18" hidden="1" customHeight="1">
      <c r="A845" s="1047"/>
      <c r="B845" s="1048"/>
      <c r="C845" s="1134"/>
      <c r="D845" s="1137"/>
      <c r="E845" s="1138"/>
      <c r="F845" s="1138"/>
      <c r="G845" s="1134"/>
      <c r="H845" s="1047"/>
      <c r="I845" s="1049"/>
      <c r="J845" s="1137"/>
      <c r="K845" s="1134"/>
      <c r="L845" s="1047"/>
      <c r="M845" s="1048"/>
      <c r="N845" s="1049"/>
      <c r="O845" s="1047"/>
      <c r="P845" s="1048"/>
      <c r="Q845" s="1134"/>
      <c r="R845" s="1280"/>
      <c r="S845" s="1281"/>
      <c r="T845" s="1282"/>
      <c r="U845" s="1142"/>
      <c r="V845" s="1143"/>
    </row>
    <row r="846" spans="1:22" ht="18" hidden="1" customHeight="1">
      <c r="A846" s="1283" t="str">
        <f>B710</f>
        <v>BCT13,14,15</v>
      </c>
      <c r="B846" s="1284">
        <f>B711</f>
        <v>0</v>
      </c>
      <c r="C846" s="871" t="str">
        <f>D710</f>
        <v>Core2</v>
      </c>
      <c r="D846" s="871">
        <f>H581</f>
        <v>1200</v>
      </c>
      <c r="E846" s="871" t="str">
        <f>J581</f>
        <v>-</v>
      </c>
      <c r="F846" s="871" t="str">
        <f>L713</f>
        <v>-</v>
      </c>
      <c r="G846" s="871">
        <f>O581</f>
        <v>1</v>
      </c>
      <c r="H846" s="871">
        <f>'CT-VT Burdens'!S21</f>
        <v>120</v>
      </c>
      <c r="I846" s="1036">
        <f>'CT-VT Burdens'!S10</f>
        <v>6</v>
      </c>
      <c r="J846" s="869" t="str">
        <f>J582</f>
        <v>TPS</v>
      </c>
      <c r="K846" s="869"/>
      <c r="L846" s="871">
        <f>H456</f>
        <v>5</v>
      </c>
      <c r="M846" s="871" t="str">
        <f>J583</f>
        <v>-</v>
      </c>
      <c r="N846" s="871" t="str">
        <f>L715</f>
        <v>-</v>
      </c>
      <c r="O846" s="871">
        <f>H457</f>
        <v>430</v>
      </c>
      <c r="P846" s="871" t="str">
        <f>J584</f>
        <v>-</v>
      </c>
      <c r="Q846" s="871" t="str">
        <f>L716</f>
        <v>-</v>
      </c>
      <c r="R846" s="871">
        <f>H458</f>
        <v>20</v>
      </c>
      <c r="S846" s="871" t="str">
        <f>J585</f>
        <v>-</v>
      </c>
      <c r="T846" s="871" t="str">
        <f>L717</f>
        <v>-</v>
      </c>
      <c r="U846" s="869" t="str">
        <f>D589</f>
        <v>RET670</v>
      </c>
      <c r="V846" s="869"/>
    </row>
    <row r="847" spans="1:22" ht="18" hidden="1" customHeight="1">
      <c r="A847" s="765">
        <f>B711</f>
        <v>0</v>
      </c>
      <c r="B847" s="1144">
        <f>A712</f>
        <v>0</v>
      </c>
      <c r="C847" s="1130"/>
      <c r="D847" s="1130"/>
      <c r="E847" s="1130"/>
      <c r="F847" s="1130"/>
      <c r="G847" s="1130"/>
      <c r="H847" s="1130"/>
      <c r="I847" s="1130"/>
      <c r="J847" s="1129"/>
      <c r="K847" s="1129"/>
      <c r="L847" s="1130"/>
      <c r="M847" s="1130"/>
      <c r="N847" s="1130"/>
      <c r="O847" s="1130"/>
      <c r="P847" s="1130"/>
      <c r="Q847" s="1130"/>
      <c r="R847" s="1130"/>
      <c r="S847" s="1130"/>
      <c r="T847" s="1130"/>
      <c r="U847" s="1129"/>
      <c r="V847" s="1129"/>
    </row>
    <row r="848" spans="1:22" ht="18" hidden="1" customHeight="1">
      <c r="A848" s="765">
        <f>A712</f>
        <v>0</v>
      </c>
      <c r="B848" s="1144" t="str">
        <f>B713</f>
        <v>CT Ratio:</v>
      </c>
      <c r="C848" s="1131"/>
      <c r="D848" s="1131"/>
      <c r="E848" s="1131"/>
      <c r="F848" s="1131"/>
      <c r="G848" s="1131"/>
      <c r="H848" s="1131"/>
      <c r="I848" s="1131"/>
      <c r="J848" s="1129"/>
      <c r="K848" s="1129"/>
      <c r="L848" s="1131"/>
      <c r="M848" s="1131"/>
      <c r="N848" s="1131"/>
      <c r="O848" s="1131"/>
      <c r="P848" s="1131"/>
      <c r="Q848" s="1131"/>
      <c r="R848" s="1131"/>
      <c r="S848" s="1131"/>
      <c r="T848" s="1131"/>
      <c r="U848" s="1129"/>
      <c r="V848" s="1129"/>
    </row>
    <row r="849" spans="1:22" ht="18" hidden="1" customHeight="1">
      <c r="A849" s="184"/>
      <c r="V849" s="185"/>
    </row>
    <row r="850" spans="1:22" ht="18" hidden="1" customHeight="1">
      <c r="A850" s="184"/>
      <c r="V850" s="185"/>
    </row>
    <row r="851" spans="1:22" ht="18" hidden="1" customHeight="1">
      <c r="A851" s="184"/>
      <c r="V851" s="185"/>
    </row>
    <row r="852" spans="1:22" ht="18" hidden="1" customHeight="1">
      <c r="A852" s="184"/>
      <c r="V852" s="185"/>
    </row>
    <row r="853" spans="1:22" ht="18" hidden="1" customHeight="1">
      <c r="A853" s="184"/>
      <c r="V853" s="185"/>
    </row>
    <row r="854" spans="1:22" ht="18" hidden="1" customHeight="1">
      <c r="A854" s="184"/>
      <c r="V854" s="185"/>
    </row>
    <row r="855" spans="1:22" ht="18" hidden="1" customHeight="1">
      <c r="A855" s="184"/>
      <c r="V855" s="185"/>
    </row>
    <row r="856" spans="1:22" ht="18" hidden="1" customHeight="1">
      <c r="A856" s="184"/>
      <c r="V856" s="185"/>
    </row>
    <row r="857" spans="1:22" ht="18" hidden="1" customHeight="1">
      <c r="A857" s="184"/>
      <c r="V857" s="185"/>
    </row>
    <row r="858" spans="1:22" ht="18" hidden="1" customHeight="1">
      <c r="A858" s="184"/>
      <c r="V858" s="185"/>
    </row>
    <row r="859" spans="1:22" ht="18" hidden="1" customHeight="1">
      <c r="A859" s="184"/>
      <c r="V859" s="185"/>
    </row>
    <row r="860" spans="1:22" ht="18" hidden="1" customHeight="1">
      <c r="A860" s="184"/>
      <c r="V860" s="185"/>
    </row>
    <row r="861" spans="1:22" ht="18" hidden="1" customHeight="1">
      <c r="A861" s="184"/>
      <c r="V861" s="185"/>
    </row>
    <row r="862" spans="1:22" ht="18" hidden="1" customHeight="1">
      <c r="A862" s="184"/>
      <c r="V862" s="185"/>
    </row>
    <row r="863" spans="1:22" ht="18" hidden="1" customHeight="1">
      <c r="A863" s="184"/>
      <c r="V863" s="185"/>
    </row>
    <row r="864" spans="1:22" ht="18" hidden="1" customHeight="1">
      <c r="A864" s="184"/>
      <c r="V864" s="185"/>
    </row>
    <row r="865" spans="1:22" ht="18" hidden="1" customHeight="1">
      <c r="A865" s="184"/>
      <c r="V865" s="185"/>
    </row>
    <row r="866" spans="1:22" ht="18" hidden="1" customHeight="1">
      <c r="A866" s="184"/>
      <c r="V866" s="185"/>
    </row>
    <row r="867" spans="1:22" ht="18" hidden="1" customHeight="1">
      <c r="A867" s="184"/>
      <c r="V867" s="185"/>
    </row>
    <row r="868" spans="1:22" ht="18" hidden="1" customHeight="1">
      <c r="A868" s="184"/>
      <c r="V868" s="185"/>
    </row>
    <row r="869" spans="1:22" ht="18" hidden="1" customHeight="1">
      <c r="A869" s="184"/>
      <c r="V869" s="185"/>
    </row>
    <row r="870" spans="1:22" ht="18" hidden="1" customHeight="1">
      <c r="A870" s="184"/>
      <c r="V870" s="185"/>
    </row>
    <row r="871" spans="1:22" ht="18" hidden="1" customHeight="1">
      <c r="A871" s="184"/>
      <c r="V871" s="185"/>
    </row>
    <row r="872" spans="1:22" ht="18" hidden="1" customHeight="1">
      <c r="A872" s="184"/>
      <c r="V872" s="185"/>
    </row>
    <row r="873" spans="1:22" ht="18" hidden="1" customHeight="1">
      <c r="A873" s="184"/>
      <c r="V873" s="185"/>
    </row>
    <row r="874" spans="1:22" ht="18" hidden="1" customHeight="1">
      <c r="A874" s="184"/>
      <c r="V874" s="185"/>
    </row>
    <row r="875" spans="1:22" ht="18" hidden="1" customHeight="1">
      <c r="A875" s="184"/>
      <c r="V875" s="185"/>
    </row>
    <row r="876" spans="1:22" ht="18" hidden="1" customHeight="1">
      <c r="A876" s="184"/>
      <c r="V876" s="185"/>
    </row>
    <row r="877" spans="1:22" ht="18" hidden="1" customHeight="1">
      <c r="A877" s="184"/>
      <c r="V877" s="185"/>
    </row>
    <row r="878" spans="1:22" ht="18" hidden="1" customHeight="1">
      <c r="A878" s="184"/>
      <c r="V878" s="185"/>
    </row>
    <row r="879" spans="1:22" s="14" customFormat="1" ht="18" hidden="1" customHeight="1">
      <c r="A879" s="184"/>
      <c r="B879" s="30"/>
      <c r="C879" s="30"/>
      <c r="D879" s="30"/>
      <c r="E879" s="30"/>
      <c r="F879" s="30"/>
      <c r="G879" s="30"/>
      <c r="H879" s="30"/>
      <c r="I879" s="30"/>
      <c r="J879" s="30"/>
      <c r="K879" s="30"/>
      <c r="L879" s="30"/>
      <c r="M879" s="30"/>
      <c r="N879" s="30"/>
      <c r="O879" s="30"/>
      <c r="P879" s="30"/>
      <c r="Q879" s="30"/>
      <c r="R879" s="30"/>
      <c r="S879" s="30"/>
      <c r="T879" s="30"/>
      <c r="U879" s="30"/>
      <c r="V879" s="185"/>
    </row>
    <row r="880" spans="1:22" ht="18" hidden="1" customHeight="1">
      <c r="A880" s="184"/>
      <c r="V880" s="185"/>
    </row>
    <row r="881" spans="1:22" ht="18" hidden="1" customHeight="1">
      <c r="A881" s="184"/>
      <c r="V881" s="185"/>
    </row>
    <row r="882" spans="1:22" ht="18" hidden="1" customHeight="1">
      <c r="A882" s="184"/>
      <c r="V882" s="185"/>
    </row>
    <row r="883" spans="1:22" ht="18" hidden="1" customHeight="1">
      <c r="A883" s="184"/>
      <c r="V883" s="185"/>
    </row>
    <row r="884" spans="1:22" ht="18" hidden="1" customHeight="1">
      <c r="A884" s="194"/>
      <c r="B884" s="195"/>
      <c r="C884" s="195"/>
      <c r="D884" s="195"/>
      <c r="E884" s="195"/>
      <c r="F884" s="195"/>
      <c r="G884" s="195"/>
      <c r="H884" s="195"/>
      <c r="I884" s="195"/>
      <c r="J884" s="195"/>
      <c r="K884" s="195"/>
      <c r="L884" s="195"/>
      <c r="M884" s="195"/>
      <c r="N884" s="195"/>
      <c r="O884" s="195"/>
      <c r="P884" s="195"/>
      <c r="Q884" s="224"/>
      <c r="R884" s="182"/>
      <c r="S884" s="225"/>
      <c r="T884" s="195"/>
      <c r="U884" s="195"/>
      <c r="V884" s="134"/>
    </row>
  </sheetData>
  <mergeCells count="963">
    <mergeCell ref="U843:V845"/>
    <mergeCell ref="A846:B846"/>
    <mergeCell ref="C846:C848"/>
    <mergeCell ref="D846:D848"/>
    <mergeCell ref="E846:E848"/>
    <mergeCell ref="F846:F848"/>
    <mergeCell ref="G846:G848"/>
    <mergeCell ref="H846:H848"/>
    <mergeCell ref="I846:I848"/>
    <mergeCell ref="Q846:Q848"/>
    <mergeCell ref="R846:R848"/>
    <mergeCell ref="S846:S848"/>
    <mergeCell ref="T846:T848"/>
    <mergeCell ref="U846:V848"/>
    <mergeCell ref="A847:B847"/>
    <mergeCell ref="A848:B848"/>
    <mergeCell ref="J846:K848"/>
    <mergeCell ref="L846:L848"/>
    <mergeCell ref="M846:M848"/>
    <mergeCell ref="N846:N848"/>
    <mergeCell ref="O846:O848"/>
    <mergeCell ref="P846:P848"/>
    <mergeCell ref="Q804:R804"/>
    <mergeCell ref="Q805:R805"/>
    <mergeCell ref="E808:F808"/>
    <mergeCell ref="H808:I808"/>
    <mergeCell ref="A843:C845"/>
    <mergeCell ref="D843:G845"/>
    <mergeCell ref="H843:I845"/>
    <mergeCell ref="J843:K845"/>
    <mergeCell ref="L843:N845"/>
    <mergeCell ref="O843:Q845"/>
    <mergeCell ref="R843:T845"/>
    <mergeCell ref="Q791:S791"/>
    <mergeCell ref="T791:T792"/>
    <mergeCell ref="I792:J792"/>
    <mergeCell ref="D794:E794"/>
    <mergeCell ref="I787:J787"/>
    <mergeCell ref="D789:E789"/>
    <mergeCell ref="M798:N798"/>
    <mergeCell ref="Q798:R798"/>
    <mergeCell ref="K791:K792"/>
    <mergeCell ref="L791:L792"/>
    <mergeCell ref="M791:M792"/>
    <mergeCell ref="N791:N792"/>
    <mergeCell ref="O791:O792"/>
    <mergeCell ref="P791:P792"/>
    <mergeCell ref="A791:C792"/>
    <mergeCell ref="D791:D792"/>
    <mergeCell ref="E791:E792"/>
    <mergeCell ref="F791:G792"/>
    <mergeCell ref="H791:H792"/>
    <mergeCell ref="I791:J791"/>
    <mergeCell ref="K786:K787"/>
    <mergeCell ref="Q781:S781"/>
    <mergeCell ref="T781:T782"/>
    <mergeCell ref="I782:J782"/>
    <mergeCell ref="D784:E784"/>
    <mergeCell ref="A786:C787"/>
    <mergeCell ref="D786:D787"/>
    <mergeCell ref="E786:E787"/>
    <mergeCell ref="F786:G787"/>
    <mergeCell ref="H786:H787"/>
    <mergeCell ref="I786:J786"/>
    <mergeCell ref="K781:K782"/>
    <mergeCell ref="L781:L782"/>
    <mergeCell ref="M781:M782"/>
    <mergeCell ref="N781:N782"/>
    <mergeCell ref="O781:O782"/>
    <mergeCell ref="P781:P782"/>
    <mergeCell ref="A781:C782"/>
    <mergeCell ref="D781:D782"/>
    <mergeCell ref="E781:E782"/>
    <mergeCell ref="F781:G782"/>
    <mergeCell ref="H781:H782"/>
    <mergeCell ref="I781:J781"/>
    <mergeCell ref="Q786:S786"/>
    <mergeCell ref="T786:T787"/>
    <mergeCell ref="R773:S773"/>
    <mergeCell ref="R775:S775"/>
    <mergeCell ref="R776:S776"/>
    <mergeCell ref="R777:S777"/>
    <mergeCell ref="R778:S778"/>
    <mergeCell ref="R779:S779"/>
    <mergeCell ref="L786:L787"/>
    <mergeCell ref="M786:M787"/>
    <mergeCell ref="N786:N787"/>
    <mergeCell ref="O786:O787"/>
    <mergeCell ref="P786:P787"/>
    <mergeCell ref="M766:N766"/>
    <mergeCell ref="R769:S769"/>
    <mergeCell ref="R770:S770"/>
    <mergeCell ref="R771:S771"/>
    <mergeCell ref="L763:L764"/>
    <mergeCell ref="M763:M764"/>
    <mergeCell ref="N763:N764"/>
    <mergeCell ref="O763:O764"/>
    <mergeCell ref="P763:P764"/>
    <mergeCell ref="Q763:S763"/>
    <mergeCell ref="A760:V761"/>
    <mergeCell ref="A763:C764"/>
    <mergeCell ref="D763:D764"/>
    <mergeCell ref="E763:E764"/>
    <mergeCell ref="F763:G764"/>
    <mergeCell ref="H763:H764"/>
    <mergeCell ref="I763:J763"/>
    <mergeCell ref="K763:K764"/>
    <mergeCell ref="L757:L758"/>
    <mergeCell ref="M757:M758"/>
    <mergeCell ref="N757:N758"/>
    <mergeCell ref="O757:O758"/>
    <mergeCell ref="P757:P758"/>
    <mergeCell ref="Q757:S757"/>
    <mergeCell ref="T763:T764"/>
    <mergeCell ref="I764:J764"/>
    <mergeCell ref="Q754:S754"/>
    <mergeCell ref="T754:T755"/>
    <mergeCell ref="I755:J755"/>
    <mergeCell ref="A757:C758"/>
    <mergeCell ref="D757:D758"/>
    <mergeCell ref="E757:E758"/>
    <mergeCell ref="F757:G758"/>
    <mergeCell ref="H757:H758"/>
    <mergeCell ref="I757:J757"/>
    <mergeCell ref="K757:K758"/>
    <mergeCell ref="K754:K755"/>
    <mergeCell ref="L754:L755"/>
    <mergeCell ref="M754:M755"/>
    <mergeCell ref="N754:N755"/>
    <mergeCell ref="O754:O755"/>
    <mergeCell ref="P754:P755"/>
    <mergeCell ref="A754:C755"/>
    <mergeCell ref="D754:D755"/>
    <mergeCell ref="E754:E755"/>
    <mergeCell ref="F754:G755"/>
    <mergeCell ref="H754:H755"/>
    <mergeCell ref="I754:J754"/>
    <mergeCell ref="T757:T758"/>
    <mergeCell ref="I758:J758"/>
    <mergeCell ref="J733:K733"/>
    <mergeCell ref="J734:K734"/>
    <mergeCell ref="O738:P738"/>
    <mergeCell ref="O739:P739"/>
    <mergeCell ref="O740:P740"/>
    <mergeCell ref="A742:V743"/>
    <mergeCell ref="J725:K725"/>
    <mergeCell ref="P725:Q725"/>
    <mergeCell ref="P728:Q728"/>
    <mergeCell ref="P729:Q729"/>
    <mergeCell ref="P730:Q730"/>
    <mergeCell ref="J732:K732"/>
    <mergeCell ref="AB716:AC716"/>
    <mergeCell ref="L717:M717"/>
    <mergeCell ref="J721:K721"/>
    <mergeCell ref="J722:K722"/>
    <mergeCell ref="J723:K723"/>
    <mergeCell ref="J724:K724"/>
    <mergeCell ref="H713:I713"/>
    <mergeCell ref="J713:K713"/>
    <mergeCell ref="L713:M713"/>
    <mergeCell ref="L714:M714"/>
    <mergeCell ref="L715:M715"/>
    <mergeCell ref="L716:M716"/>
    <mergeCell ref="T710:U710"/>
    <mergeCell ref="B711:C711"/>
    <mergeCell ref="T711:U711"/>
    <mergeCell ref="H712:I712"/>
    <mergeCell ref="J712:K712"/>
    <mergeCell ref="L712:M712"/>
    <mergeCell ref="T712:U712"/>
    <mergeCell ref="Q672:R672"/>
    <mergeCell ref="Q673:R673"/>
    <mergeCell ref="E676:F676"/>
    <mergeCell ref="H676:I676"/>
    <mergeCell ref="B710:C710"/>
    <mergeCell ref="D710:E711"/>
    <mergeCell ref="H710:M710"/>
    <mergeCell ref="Q659:S659"/>
    <mergeCell ref="T659:T660"/>
    <mergeCell ref="I660:J660"/>
    <mergeCell ref="D662:E662"/>
    <mergeCell ref="I655:J655"/>
    <mergeCell ref="D657:E657"/>
    <mergeCell ref="M666:N666"/>
    <mergeCell ref="Q666:R666"/>
    <mergeCell ref="K659:K660"/>
    <mergeCell ref="L659:L660"/>
    <mergeCell ref="M659:M660"/>
    <mergeCell ref="N659:N660"/>
    <mergeCell ref="O659:O660"/>
    <mergeCell ref="P659:P660"/>
    <mergeCell ref="A659:C660"/>
    <mergeCell ref="D659:D660"/>
    <mergeCell ref="E659:E660"/>
    <mergeCell ref="F659:G660"/>
    <mergeCell ref="H659:H660"/>
    <mergeCell ref="I659:J659"/>
    <mergeCell ref="K654:K655"/>
    <mergeCell ref="Q649:S649"/>
    <mergeCell ref="T649:T650"/>
    <mergeCell ref="I650:J650"/>
    <mergeCell ref="D652:E652"/>
    <mergeCell ref="A654:C655"/>
    <mergeCell ref="D654:D655"/>
    <mergeCell ref="E654:E655"/>
    <mergeCell ref="F654:G655"/>
    <mergeCell ref="H654:H655"/>
    <mergeCell ref="I654:J654"/>
    <mergeCell ref="K649:K650"/>
    <mergeCell ref="L649:L650"/>
    <mergeCell ref="M649:M650"/>
    <mergeCell ref="N649:N650"/>
    <mergeCell ref="O649:O650"/>
    <mergeCell ref="P649:P650"/>
    <mergeCell ref="A649:C650"/>
    <mergeCell ref="D649:D650"/>
    <mergeCell ref="E649:E650"/>
    <mergeCell ref="F649:G650"/>
    <mergeCell ref="H649:H650"/>
    <mergeCell ref="I649:J649"/>
    <mergeCell ref="Q654:S654"/>
    <mergeCell ref="T654:T655"/>
    <mergeCell ref="R641:S641"/>
    <mergeCell ref="R643:S643"/>
    <mergeCell ref="R644:S644"/>
    <mergeCell ref="R645:S645"/>
    <mergeCell ref="R646:S646"/>
    <mergeCell ref="R647:S647"/>
    <mergeCell ref="L654:L655"/>
    <mergeCell ref="M654:M655"/>
    <mergeCell ref="N654:N655"/>
    <mergeCell ref="O654:O655"/>
    <mergeCell ref="P654:P655"/>
    <mergeCell ref="M634:N634"/>
    <mergeCell ref="R637:S637"/>
    <mergeCell ref="R638:S638"/>
    <mergeCell ref="R639:S639"/>
    <mergeCell ref="L631:L632"/>
    <mergeCell ref="M631:M632"/>
    <mergeCell ref="N631:N632"/>
    <mergeCell ref="O631:O632"/>
    <mergeCell ref="P631:P632"/>
    <mergeCell ref="Q631:S631"/>
    <mergeCell ref="A628:V629"/>
    <mergeCell ref="A631:C632"/>
    <mergeCell ref="D631:D632"/>
    <mergeCell ref="E631:E632"/>
    <mergeCell ref="F631:G632"/>
    <mergeCell ref="H631:H632"/>
    <mergeCell ref="I631:J631"/>
    <mergeCell ref="K631:K632"/>
    <mergeCell ref="L625:L626"/>
    <mergeCell ref="M625:M626"/>
    <mergeCell ref="N625:N626"/>
    <mergeCell ref="O625:O626"/>
    <mergeCell ref="P625:P626"/>
    <mergeCell ref="Q625:S625"/>
    <mergeCell ref="T631:T632"/>
    <mergeCell ref="I632:J632"/>
    <mergeCell ref="Q622:S622"/>
    <mergeCell ref="T622:T623"/>
    <mergeCell ref="I623:J623"/>
    <mergeCell ref="A625:C626"/>
    <mergeCell ref="D625:D626"/>
    <mergeCell ref="E625:E626"/>
    <mergeCell ref="F625:G626"/>
    <mergeCell ref="H625:H626"/>
    <mergeCell ref="I625:J625"/>
    <mergeCell ref="K625:K626"/>
    <mergeCell ref="K622:K623"/>
    <mergeCell ref="L622:L623"/>
    <mergeCell ref="M622:M623"/>
    <mergeCell ref="N622:N623"/>
    <mergeCell ref="O622:O623"/>
    <mergeCell ref="P622:P623"/>
    <mergeCell ref="A622:C623"/>
    <mergeCell ref="D622:D623"/>
    <mergeCell ref="E622:E623"/>
    <mergeCell ref="F622:G623"/>
    <mergeCell ref="H622:H623"/>
    <mergeCell ref="I622:J622"/>
    <mergeCell ref="T625:T626"/>
    <mergeCell ref="I626:J626"/>
    <mergeCell ref="J601:K601"/>
    <mergeCell ref="J602:K602"/>
    <mergeCell ref="O606:P606"/>
    <mergeCell ref="O607:P607"/>
    <mergeCell ref="O608:P608"/>
    <mergeCell ref="A610:V611"/>
    <mergeCell ref="J593:K593"/>
    <mergeCell ref="P593:Q593"/>
    <mergeCell ref="P596:Q596"/>
    <mergeCell ref="P597:Q597"/>
    <mergeCell ref="P598:Q598"/>
    <mergeCell ref="J600:K600"/>
    <mergeCell ref="AB584:AC584"/>
    <mergeCell ref="J585:K585"/>
    <mergeCell ref="J589:K589"/>
    <mergeCell ref="J590:K590"/>
    <mergeCell ref="J591:K591"/>
    <mergeCell ref="J592:K592"/>
    <mergeCell ref="H581:I581"/>
    <mergeCell ref="J581:K581"/>
    <mergeCell ref="L581:M581"/>
    <mergeCell ref="J582:K582"/>
    <mergeCell ref="J583:K583"/>
    <mergeCell ref="J584:K584"/>
    <mergeCell ref="T578:U578"/>
    <mergeCell ref="B579:C579"/>
    <mergeCell ref="T579:U579"/>
    <mergeCell ref="H580:I580"/>
    <mergeCell ref="J580:K580"/>
    <mergeCell ref="L580:M580"/>
    <mergeCell ref="T580:U580"/>
    <mergeCell ref="Q540:R540"/>
    <mergeCell ref="Q541:R541"/>
    <mergeCell ref="E544:F544"/>
    <mergeCell ref="H544:I544"/>
    <mergeCell ref="B578:C578"/>
    <mergeCell ref="D578:E579"/>
    <mergeCell ref="H578:M578"/>
    <mergeCell ref="P527:P528"/>
    <mergeCell ref="Q527:S527"/>
    <mergeCell ref="T527:T528"/>
    <mergeCell ref="I528:J528"/>
    <mergeCell ref="D530:E530"/>
    <mergeCell ref="M534:N534"/>
    <mergeCell ref="Q534:R534"/>
    <mergeCell ref="I527:J527"/>
    <mergeCell ref="K527:K528"/>
    <mergeCell ref="L527:L528"/>
    <mergeCell ref="M527:M528"/>
    <mergeCell ref="N527:N528"/>
    <mergeCell ref="O527:O528"/>
    <mergeCell ref="D525:E525"/>
    <mergeCell ref="A527:C528"/>
    <mergeCell ref="D527:D528"/>
    <mergeCell ref="E527:E528"/>
    <mergeCell ref="F527:G528"/>
    <mergeCell ref="H527:H528"/>
    <mergeCell ref="I522:J522"/>
    <mergeCell ref="K522:K523"/>
    <mergeCell ref="L522:L523"/>
    <mergeCell ref="T517:T518"/>
    <mergeCell ref="I518:J518"/>
    <mergeCell ref="D520:E520"/>
    <mergeCell ref="A522:C523"/>
    <mergeCell ref="D522:D523"/>
    <mergeCell ref="E522:E523"/>
    <mergeCell ref="F522:G523"/>
    <mergeCell ref="H522:H523"/>
    <mergeCell ref="I517:J517"/>
    <mergeCell ref="K517:K518"/>
    <mergeCell ref="L517:L518"/>
    <mergeCell ref="M517:M518"/>
    <mergeCell ref="N517:N518"/>
    <mergeCell ref="O517:O518"/>
    <mergeCell ref="P522:P523"/>
    <mergeCell ref="Q522:S522"/>
    <mergeCell ref="T522:T523"/>
    <mergeCell ref="I523:J523"/>
    <mergeCell ref="M522:M523"/>
    <mergeCell ref="N522:N523"/>
    <mergeCell ref="O522:O523"/>
    <mergeCell ref="R511:S511"/>
    <mergeCell ref="R512:S512"/>
    <mergeCell ref="R513:S513"/>
    <mergeCell ref="R514:S514"/>
    <mergeCell ref="R515:S515"/>
    <mergeCell ref="A517:C518"/>
    <mergeCell ref="D517:D518"/>
    <mergeCell ref="E517:E518"/>
    <mergeCell ref="F517:G518"/>
    <mergeCell ref="H517:H518"/>
    <mergeCell ref="P517:P518"/>
    <mergeCell ref="Q517:S517"/>
    <mergeCell ref="M502:N502"/>
    <mergeCell ref="R505:S505"/>
    <mergeCell ref="R506:S506"/>
    <mergeCell ref="R507:S507"/>
    <mergeCell ref="R509:S509"/>
    <mergeCell ref="M499:M500"/>
    <mergeCell ref="N499:N500"/>
    <mergeCell ref="O499:O500"/>
    <mergeCell ref="P499:P500"/>
    <mergeCell ref="Q499:S499"/>
    <mergeCell ref="T499:T500"/>
    <mergeCell ref="I494:J494"/>
    <mergeCell ref="A496:V497"/>
    <mergeCell ref="A499:C500"/>
    <mergeCell ref="D499:D500"/>
    <mergeCell ref="E499:E500"/>
    <mergeCell ref="F499:G500"/>
    <mergeCell ref="H499:H500"/>
    <mergeCell ref="I499:J499"/>
    <mergeCell ref="K499:K500"/>
    <mergeCell ref="L499:L500"/>
    <mergeCell ref="M493:M494"/>
    <mergeCell ref="N493:N494"/>
    <mergeCell ref="O493:O494"/>
    <mergeCell ref="P493:P494"/>
    <mergeCell ref="Q493:S493"/>
    <mergeCell ref="T493:T494"/>
    <mergeCell ref="I500:J500"/>
    <mergeCell ref="A493:C494"/>
    <mergeCell ref="D493:D494"/>
    <mergeCell ref="E493:E494"/>
    <mergeCell ref="F493:G494"/>
    <mergeCell ref="H493:H494"/>
    <mergeCell ref="I493:J493"/>
    <mergeCell ref="K493:K494"/>
    <mergeCell ref="L493:L494"/>
    <mergeCell ref="L490:L491"/>
    <mergeCell ref="O480:P480"/>
    <mergeCell ref="O481:P481"/>
    <mergeCell ref="A483:V484"/>
    <mergeCell ref="A490:C491"/>
    <mergeCell ref="D490:D491"/>
    <mergeCell ref="E490:E491"/>
    <mergeCell ref="F490:G491"/>
    <mergeCell ref="H490:H491"/>
    <mergeCell ref="I490:J490"/>
    <mergeCell ref="K490:K491"/>
    <mergeCell ref="T490:T491"/>
    <mergeCell ref="I491:J491"/>
    <mergeCell ref="M490:M491"/>
    <mergeCell ref="N490:N491"/>
    <mergeCell ref="O490:O491"/>
    <mergeCell ref="P490:P491"/>
    <mergeCell ref="Q490:S490"/>
    <mergeCell ref="P470:Q470"/>
    <mergeCell ref="P471:Q471"/>
    <mergeCell ref="J473:K473"/>
    <mergeCell ref="J474:K474"/>
    <mergeCell ref="J475:K475"/>
    <mergeCell ref="O479:P479"/>
    <mergeCell ref="J463:K463"/>
    <mergeCell ref="J464:K464"/>
    <mergeCell ref="J465:K465"/>
    <mergeCell ref="J466:K466"/>
    <mergeCell ref="P466:Q466"/>
    <mergeCell ref="P469:Q469"/>
    <mergeCell ref="H455:I455"/>
    <mergeCell ref="H456:I456"/>
    <mergeCell ref="H457:I457"/>
    <mergeCell ref="AB457:AC457"/>
    <mergeCell ref="H458:I458"/>
    <mergeCell ref="J462:K462"/>
    <mergeCell ref="T452:U452"/>
    <mergeCell ref="H453:I453"/>
    <mergeCell ref="J453:K453"/>
    <mergeCell ref="L453:M453"/>
    <mergeCell ref="T453:U453"/>
    <mergeCell ref="H454:I454"/>
    <mergeCell ref="J454:K454"/>
    <mergeCell ref="L454:M454"/>
    <mergeCell ref="A449:B449"/>
    <mergeCell ref="D449:F449"/>
    <mergeCell ref="H449:N449"/>
    <mergeCell ref="O449:Q449"/>
    <mergeCell ref="R449:V449"/>
    <mergeCell ref="B451:C451"/>
    <mergeCell ref="D451:E452"/>
    <mergeCell ref="H451:M451"/>
    <mergeCell ref="T451:U451"/>
    <mergeCell ref="B452:C452"/>
    <mergeCell ref="A447:G448"/>
    <mergeCell ref="H447:N448"/>
    <mergeCell ref="O447:Q447"/>
    <mergeCell ref="R447:V447"/>
    <mergeCell ref="O448:Q448"/>
    <mergeCell ref="R448:V448"/>
    <mergeCell ref="A445:G446"/>
    <mergeCell ref="H445:N445"/>
    <mergeCell ref="O445:Q445"/>
    <mergeCell ref="R445:V445"/>
    <mergeCell ref="H446:N446"/>
    <mergeCell ref="O446:Q446"/>
    <mergeCell ref="R446:V446"/>
    <mergeCell ref="S407:V410"/>
    <mergeCell ref="A411:A413"/>
    <mergeCell ref="B411:C413"/>
    <mergeCell ref="D411:E411"/>
    <mergeCell ref="F411:F413"/>
    <mergeCell ref="G411:G413"/>
    <mergeCell ref="H411:H413"/>
    <mergeCell ref="D412:E412"/>
    <mergeCell ref="K412:L412"/>
    <mergeCell ref="M412:N412"/>
    <mergeCell ref="O412:P412"/>
    <mergeCell ref="S412:V412"/>
    <mergeCell ref="D413:E413"/>
    <mergeCell ref="K413:L413"/>
    <mergeCell ref="M413:N413"/>
    <mergeCell ref="O413:P413"/>
    <mergeCell ref="S413:V413"/>
    <mergeCell ref="I411:J413"/>
    <mergeCell ref="K411:L411"/>
    <mergeCell ref="M411:N411"/>
    <mergeCell ref="O411:P411"/>
    <mergeCell ref="Q411:R413"/>
    <mergeCell ref="S411:V411"/>
    <mergeCell ref="Q367:R367"/>
    <mergeCell ref="Q368:R368"/>
    <mergeCell ref="Q369:R369"/>
    <mergeCell ref="E372:F372"/>
    <mergeCell ref="H372:I372"/>
    <mergeCell ref="A407:C410"/>
    <mergeCell ref="D407:F410"/>
    <mergeCell ref="G407:H410"/>
    <mergeCell ref="I407:J410"/>
    <mergeCell ref="K407:L410"/>
    <mergeCell ref="M407:N410"/>
    <mergeCell ref="O407:P410"/>
    <mergeCell ref="Q407:R410"/>
    <mergeCell ref="Q355:S355"/>
    <mergeCell ref="T355:T356"/>
    <mergeCell ref="I356:J356"/>
    <mergeCell ref="D358:E358"/>
    <mergeCell ref="I351:J351"/>
    <mergeCell ref="D353:E353"/>
    <mergeCell ref="M362:N362"/>
    <mergeCell ref="Q362:R362"/>
    <mergeCell ref="K355:K356"/>
    <mergeCell ref="L355:L356"/>
    <mergeCell ref="M355:M356"/>
    <mergeCell ref="N355:N356"/>
    <mergeCell ref="O355:O356"/>
    <mergeCell ref="P355:P356"/>
    <mergeCell ref="A355:C356"/>
    <mergeCell ref="D355:D356"/>
    <mergeCell ref="E355:E356"/>
    <mergeCell ref="F355:G356"/>
    <mergeCell ref="H355:H356"/>
    <mergeCell ref="I355:J355"/>
    <mergeCell ref="K350:K351"/>
    <mergeCell ref="Q345:S345"/>
    <mergeCell ref="T345:T346"/>
    <mergeCell ref="I346:J346"/>
    <mergeCell ref="D348:E348"/>
    <mergeCell ref="A350:C351"/>
    <mergeCell ref="D350:D351"/>
    <mergeCell ref="E350:E351"/>
    <mergeCell ref="F350:G351"/>
    <mergeCell ref="H350:H351"/>
    <mergeCell ref="I350:J350"/>
    <mergeCell ref="K345:K346"/>
    <mergeCell ref="L345:L346"/>
    <mergeCell ref="M345:M346"/>
    <mergeCell ref="N345:N346"/>
    <mergeCell ref="O345:O346"/>
    <mergeCell ref="P345:P346"/>
    <mergeCell ref="A345:C346"/>
    <mergeCell ref="D345:D346"/>
    <mergeCell ref="E345:E346"/>
    <mergeCell ref="F345:G346"/>
    <mergeCell ref="H345:H346"/>
    <mergeCell ref="I345:J345"/>
    <mergeCell ref="Q350:S350"/>
    <mergeCell ref="T350:T351"/>
    <mergeCell ref="R337:S337"/>
    <mergeCell ref="R339:S339"/>
    <mergeCell ref="R340:S340"/>
    <mergeCell ref="R341:S341"/>
    <mergeCell ref="R342:S342"/>
    <mergeCell ref="R343:S343"/>
    <mergeCell ref="L350:L351"/>
    <mergeCell ref="M350:M351"/>
    <mergeCell ref="N350:N351"/>
    <mergeCell ref="O350:O351"/>
    <mergeCell ref="P350:P351"/>
    <mergeCell ref="M330:N330"/>
    <mergeCell ref="R333:S333"/>
    <mergeCell ref="R334:S334"/>
    <mergeCell ref="R335:S335"/>
    <mergeCell ref="L327:L328"/>
    <mergeCell ref="M327:M328"/>
    <mergeCell ref="N327:N328"/>
    <mergeCell ref="O327:O328"/>
    <mergeCell ref="P327:P328"/>
    <mergeCell ref="Q327:S327"/>
    <mergeCell ref="A324:V325"/>
    <mergeCell ref="A327:C328"/>
    <mergeCell ref="D327:D328"/>
    <mergeCell ref="E327:E328"/>
    <mergeCell ref="F327:G328"/>
    <mergeCell ref="H327:H328"/>
    <mergeCell ref="I327:J327"/>
    <mergeCell ref="K327:K328"/>
    <mergeCell ref="L321:L322"/>
    <mergeCell ref="M321:M322"/>
    <mergeCell ref="N321:N322"/>
    <mergeCell ref="O321:O322"/>
    <mergeCell ref="P321:P322"/>
    <mergeCell ref="Q321:S321"/>
    <mergeCell ref="T327:T328"/>
    <mergeCell ref="I328:J328"/>
    <mergeCell ref="Q318:S318"/>
    <mergeCell ref="T318:T319"/>
    <mergeCell ref="I319:J319"/>
    <mergeCell ref="A321:C322"/>
    <mergeCell ref="D321:D322"/>
    <mergeCell ref="E321:E322"/>
    <mergeCell ref="F321:G322"/>
    <mergeCell ref="H321:H322"/>
    <mergeCell ref="I321:J321"/>
    <mergeCell ref="K321:K322"/>
    <mergeCell ref="K318:K319"/>
    <mergeCell ref="L318:L319"/>
    <mergeCell ref="M318:M319"/>
    <mergeCell ref="N318:N319"/>
    <mergeCell ref="O318:O319"/>
    <mergeCell ref="P318:P319"/>
    <mergeCell ref="A318:C319"/>
    <mergeCell ref="D318:D319"/>
    <mergeCell ref="E318:E319"/>
    <mergeCell ref="F318:G319"/>
    <mergeCell ref="H318:H319"/>
    <mergeCell ref="I318:J318"/>
    <mergeCell ref="T321:T322"/>
    <mergeCell ref="I322:J322"/>
    <mergeCell ref="J297:K297"/>
    <mergeCell ref="J298:K298"/>
    <mergeCell ref="O302:P302"/>
    <mergeCell ref="O303:P303"/>
    <mergeCell ref="O304:P304"/>
    <mergeCell ref="A306:V307"/>
    <mergeCell ref="J289:K289"/>
    <mergeCell ref="P289:Q289"/>
    <mergeCell ref="P292:Q292"/>
    <mergeCell ref="P293:Q293"/>
    <mergeCell ref="P294:Q294"/>
    <mergeCell ref="J296:K296"/>
    <mergeCell ref="AB280:AC280"/>
    <mergeCell ref="L281:M281"/>
    <mergeCell ref="J285:K285"/>
    <mergeCell ref="J286:K286"/>
    <mergeCell ref="J287:K287"/>
    <mergeCell ref="J288:K288"/>
    <mergeCell ref="H277:I277"/>
    <mergeCell ref="J277:K277"/>
    <mergeCell ref="L277:M277"/>
    <mergeCell ref="L278:M278"/>
    <mergeCell ref="L279:M279"/>
    <mergeCell ref="L280:M280"/>
    <mergeCell ref="T274:U274"/>
    <mergeCell ref="B275:C275"/>
    <mergeCell ref="T275:U275"/>
    <mergeCell ref="H276:I276"/>
    <mergeCell ref="J276:K276"/>
    <mergeCell ref="L276:M276"/>
    <mergeCell ref="T276:U276"/>
    <mergeCell ref="Q239:R239"/>
    <mergeCell ref="Q240:R240"/>
    <mergeCell ref="Q241:R241"/>
    <mergeCell ref="E244:F244"/>
    <mergeCell ref="H244:I244"/>
    <mergeCell ref="B274:C274"/>
    <mergeCell ref="D274:E275"/>
    <mergeCell ref="H274:M274"/>
    <mergeCell ref="Q220:S220"/>
    <mergeCell ref="T220:T221"/>
    <mergeCell ref="I221:J221"/>
    <mergeCell ref="D223:E223"/>
    <mergeCell ref="I216:J216"/>
    <mergeCell ref="D218:E218"/>
    <mergeCell ref="M234:N234"/>
    <mergeCell ref="Q234:R234"/>
    <mergeCell ref="K220:K221"/>
    <mergeCell ref="L220:L221"/>
    <mergeCell ref="M220:M221"/>
    <mergeCell ref="N220:N221"/>
    <mergeCell ref="O220:O221"/>
    <mergeCell ref="P220:P221"/>
    <mergeCell ref="A220:C221"/>
    <mergeCell ref="D220:D221"/>
    <mergeCell ref="E220:E221"/>
    <mergeCell ref="F220:G221"/>
    <mergeCell ref="H220:H221"/>
    <mergeCell ref="I220:J220"/>
    <mergeCell ref="K215:K216"/>
    <mergeCell ref="Q210:S210"/>
    <mergeCell ref="T210:T211"/>
    <mergeCell ref="I211:J211"/>
    <mergeCell ref="D213:E213"/>
    <mergeCell ref="A215:C216"/>
    <mergeCell ref="D215:D216"/>
    <mergeCell ref="E215:E216"/>
    <mergeCell ref="F215:G216"/>
    <mergeCell ref="H215:H216"/>
    <mergeCell ref="I215:J215"/>
    <mergeCell ref="K210:K211"/>
    <mergeCell ref="L210:L211"/>
    <mergeCell ref="M210:M211"/>
    <mergeCell ref="N210:N211"/>
    <mergeCell ref="O210:O211"/>
    <mergeCell ref="P210:P211"/>
    <mergeCell ref="A210:C211"/>
    <mergeCell ref="D210:D211"/>
    <mergeCell ref="E210:E211"/>
    <mergeCell ref="F210:G211"/>
    <mergeCell ref="H210:H211"/>
    <mergeCell ref="I210:J210"/>
    <mergeCell ref="Q215:S215"/>
    <mergeCell ref="T215:T216"/>
    <mergeCell ref="R202:S202"/>
    <mergeCell ref="R204:S204"/>
    <mergeCell ref="R205:S205"/>
    <mergeCell ref="R206:S206"/>
    <mergeCell ref="R207:S207"/>
    <mergeCell ref="R208:S208"/>
    <mergeCell ref="L215:L216"/>
    <mergeCell ref="M215:M216"/>
    <mergeCell ref="N215:N216"/>
    <mergeCell ref="O215:O216"/>
    <mergeCell ref="P215:P216"/>
    <mergeCell ref="M195:N195"/>
    <mergeCell ref="R198:S198"/>
    <mergeCell ref="R199:S199"/>
    <mergeCell ref="R200:S200"/>
    <mergeCell ref="L192:L193"/>
    <mergeCell ref="M192:M193"/>
    <mergeCell ref="N192:N193"/>
    <mergeCell ref="O192:O193"/>
    <mergeCell ref="P192:P193"/>
    <mergeCell ref="Q192:S192"/>
    <mergeCell ref="A189:V190"/>
    <mergeCell ref="A192:C193"/>
    <mergeCell ref="D192:D193"/>
    <mergeCell ref="E192:E193"/>
    <mergeCell ref="F192:G193"/>
    <mergeCell ref="H192:H193"/>
    <mergeCell ref="I192:J192"/>
    <mergeCell ref="K192:K193"/>
    <mergeCell ref="L186:L187"/>
    <mergeCell ref="M186:M187"/>
    <mergeCell ref="N186:N187"/>
    <mergeCell ref="O186:O187"/>
    <mergeCell ref="P186:P187"/>
    <mergeCell ref="Q186:S186"/>
    <mergeCell ref="T192:T193"/>
    <mergeCell ref="I193:J193"/>
    <mergeCell ref="Q183:S183"/>
    <mergeCell ref="T183:T184"/>
    <mergeCell ref="I184:J184"/>
    <mergeCell ref="A186:C187"/>
    <mergeCell ref="D186:D187"/>
    <mergeCell ref="E186:E187"/>
    <mergeCell ref="F186:G187"/>
    <mergeCell ref="H186:H187"/>
    <mergeCell ref="I186:J186"/>
    <mergeCell ref="K186:K187"/>
    <mergeCell ref="K183:K184"/>
    <mergeCell ref="L183:L184"/>
    <mergeCell ref="M183:M184"/>
    <mergeCell ref="N183:N184"/>
    <mergeCell ref="O183:O184"/>
    <mergeCell ref="P183:P184"/>
    <mergeCell ref="A183:C184"/>
    <mergeCell ref="D183:D184"/>
    <mergeCell ref="E183:E184"/>
    <mergeCell ref="F183:G184"/>
    <mergeCell ref="H183:H184"/>
    <mergeCell ref="I183:J183"/>
    <mergeCell ref="T186:T187"/>
    <mergeCell ref="I187:J187"/>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T144:U144"/>
    <mergeCell ref="H145:I145"/>
    <mergeCell ref="J145:K145"/>
    <mergeCell ref="L145:M145"/>
    <mergeCell ref="T145:U145"/>
    <mergeCell ref="Q107:R107"/>
    <mergeCell ref="Q108:R108"/>
    <mergeCell ref="Q109:R109"/>
    <mergeCell ref="Q97:S97"/>
    <mergeCell ref="T97:T98"/>
    <mergeCell ref="I98:J98"/>
    <mergeCell ref="D100:E100"/>
    <mergeCell ref="M102:N102"/>
    <mergeCell ref="Q102:R102"/>
    <mergeCell ref="K97:K98"/>
    <mergeCell ref="L97:L98"/>
    <mergeCell ref="M97:M98"/>
    <mergeCell ref="N97:N98"/>
    <mergeCell ref="O97:O98"/>
    <mergeCell ref="P97:P98"/>
    <mergeCell ref="L79:L80"/>
    <mergeCell ref="M79:M80"/>
    <mergeCell ref="N79:N80"/>
    <mergeCell ref="O79:O80"/>
    <mergeCell ref="P79:P80"/>
    <mergeCell ref="E112:F112"/>
    <mergeCell ref="H112:I112"/>
    <mergeCell ref="B143:C143"/>
    <mergeCell ref="D143:E143"/>
    <mergeCell ref="H143:N143"/>
    <mergeCell ref="I80:J80"/>
    <mergeCell ref="D82:E82"/>
    <mergeCell ref="A97:C98"/>
    <mergeCell ref="D97:D98"/>
    <mergeCell ref="E97:E98"/>
    <mergeCell ref="F97:G98"/>
    <mergeCell ref="H97:H98"/>
    <mergeCell ref="I97:J97"/>
    <mergeCell ref="K79:K80"/>
    <mergeCell ref="Q74:S74"/>
    <mergeCell ref="T74:T75"/>
    <mergeCell ref="I75:J75"/>
    <mergeCell ref="D77:E77"/>
    <mergeCell ref="A79:C80"/>
    <mergeCell ref="D79:D80"/>
    <mergeCell ref="E79:E80"/>
    <mergeCell ref="F79:G80"/>
    <mergeCell ref="H79:H80"/>
    <mergeCell ref="I79:J79"/>
    <mergeCell ref="K74:K75"/>
    <mergeCell ref="L74:L75"/>
    <mergeCell ref="M74:M75"/>
    <mergeCell ref="N74:N75"/>
    <mergeCell ref="O74:O75"/>
    <mergeCell ref="P74:P75"/>
    <mergeCell ref="A74:C75"/>
    <mergeCell ref="D74:D75"/>
    <mergeCell ref="E74:E75"/>
    <mergeCell ref="F74:G75"/>
    <mergeCell ref="H74:H75"/>
    <mergeCell ref="I74:J74"/>
    <mergeCell ref="Q79:S79"/>
    <mergeCell ref="T79:T80"/>
    <mergeCell ref="R66:S66"/>
    <mergeCell ref="R68:S68"/>
    <mergeCell ref="R69:S69"/>
    <mergeCell ref="R70:S70"/>
    <mergeCell ref="R71:S71"/>
    <mergeCell ref="R72:S72"/>
    <mergeCell ref="T56:T57"/>
    <mergeCell ref="I57:J57"/>
    <mergeCell ref="M59:N59"/>
    <mergeCell ref="R62:S62"/>
    <mergeCell ref="R63:S63"/>
    <mergeCell ref="R64:S64"/>
    <mergeCell ref="L56:L57"/>
    <mergeCell ref="M56:M57"/>
    <mergeCell ref="N56:N57"/>
    <mergeCell ref="O56:O57"/>
    <mergeCell ref="P56:P57"/>
    <mergeCell ref="Q56:S56"/>
    <mergeCell ref="T50:T51"/>
    <mergeCell ref="I51:J51"/>
    <mergeCell ref="A53:V54"/>
    <mergeCell ref="A56:C57"/>
    <mergeCell ref="D56:D57"/>
    <mergeCell ref="E56:E57"/>
    <mergeCell ref="F56:G57"/>
    <mergeCell ref="H56:H57"/>
    <mergeCell ref="I56:J56"/>
    <mergeCell ref="K56:K57"/>
    <mergeCell ref="L50:L51"/>
    <mergeCell ref="M50:M51"/>
    <mergeCell ref="N50:N51"/>
    <mergeCell ref="O50:O51"/>
    <mergeCell ref="P50:P51"/>
    <mergeCell ref="Q50:S50"/>
    <mergeCell ref="A50:C51"/>
    <mergeCell ref="D50:D51"/>
    <mergeCell ref="E50:E51"/>
    <mergeCell ref="F50:G51"/>
    <mergeCell ref="H50:H51"/>
    <mergeCell ref="I50:J50"/>
    <mergeCell ref="K50:K51"/>
    <mergeCell ref="K47:K48"/>
    <mergeCell ref="L47:L48"/>
    <mergeCell ref="R35:V35"/>
    <mergeCell ref="O36:P36"/>
    <mergeCell ref="O37:P37"/>
    <mergeCell ref="A39:V40"/>
    <mergeCell ref="A47:C48"/>
    <mergeCell ref="D47:D48"/>
    <mergeCell ref="E47:E48"/>
    <mergeCell ref="F47:G48"/>
    <mergeCell ref="H47:H48"/>
    <mergeCell ref="I47:J47"/>
    <mergeCell ref="Q47:S47"/>
    <mergeCell ref="T47:T48"/>
    <mergeCell ref="I48:J48"/>
    <mergeCell ref="M47:M48"/>
    <mergeCell ref="N47:N48"/>
    <mergeCell ref="O47:O48"/>
    <mergeCell ref="P47:P48"/>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3:H138 H245 H373 H545:H565 H677:H697 H809:H829">
    <cfRule type="cellIs" dxfId="169" priority="1" stopIfTrue="1" operator="equal">
      <formula>"Under Dimentioned"</formula>
    </cfRule>
  </conditionalFormatting>
  <dataValidations count="2">
    <dataValidation type="list" allowBlank="1" showInputMessage="1" showErrorMessage="1" sqref="D710 IZ710 SV710 ACR710 AMN710 AWJ710 BGF710 BQB710 BZX710 CJT710 CTP710 DDL710 DNH710 DXD710 EGZ710 EQV710 FAR710 FKN710 FUJ710 GEF710 GOB710 GXX710 HHT710 HRP710 IBL710 ILH710 IVD710 JEZ710 JOV710 JYR710 KIN710 KSJ710 LCF710 LMB710 LVX710 MFT710 MPP710 MZL710 NJH710 NTD710 OCZ710 OMV710 OWR710 PGN710 PQJ710 QAF710 QKB710 QTX710 RDT710 RNP710 RXL710 SHH710 SRD710 TAZ710 TKV710 TUR710 UEN710 UOJ710 UYF710 VIB710 VRX710 WBT710 WLP710 WVL710 D66246 IZ66246 SV66246 ACR66246 AMN66246 AWJ66246 BGF66246 BQB66246 BZX66246 CJT66246 CTP66246 DDL66246 DNH66246 DXD66246 EGZ66246 EQV66246 FAR66246 FKN66246 FUJ66246 GEF66246 GOB66246 GXX66246 HHT66246 HRP66246 IBL66246 ILH66246 IVD66246 JEZ66246 JOV66246 JYR66246 KIN66246 KSJ66246 LCF66246 LMB66246 LVX66246 MFT66246 MPP66246 MZL66246 NJH66246 NTD66246 OCZ66246 OMV66246 OWR66246 PGN66246 PQJ66246 QAF66246 QKB66246 QTX66246 RDT66246 RNP66246 RXL66246 SHH66246 SRD66246 TAZ66246 TKV66246 TUR66246 UEN66246 UOJ66246 UYF66246 VIB66246 VRX66246 WBT66246 WLP66246 WVL66246 D131782 IZ131782 SV131782 ACR131782 AMN131782 AWJ131782 BGF131782 BQB131782 BZX131782 CJT131782 CTP131782 DDL131782 DNH131782 DXD131782 EGZ131782 EQV131782 FAR131782 FKN131782 FUJ131782 GEF131782 GOB131782 GXX131782 HHT131782 HRP131782 IBL131782 ILH131782 IVD131782 JEZ131782 JOV131782 JYR131782 KIN131782 KSJ131782 LCF131782 LMB131782 LVX131782 MFT131782 MPP131782 MZL131782 NJH131782 NTD131782 OCZ131782 OMV131782 OWR131782 PGN131782 PQJ131782 QAF131782 QKB131782 QTX131782 RDT131782 RNP131782 RXL131782 SHH131782 SRD131782 TAZ131782 TKV131782 TUR131782 UEN131782 UOJ131782 UYF131782 VIB131782 VRX131782 WBT131782 WLP131782 WVL131782 D197318 IZ197318 SV197318 ACR197318 AMN197318 AWJ197318 BGF197318 BQB197318 BZX197318 CJT197318 CTP197318 DDL197318 DNH197318 DXD197318 EGZ197318 EQV197318 FAR197318 FKN197318 FUJ197318 GEF197318 GOB197318 GXX197318 HHT197318 HRP197318 IBL197318 ILH197318 IVD197318 JEZ197318 JOV197318 JYR197318 KIN197318 KSJ197318 LCF197318 LMB197318 LVX197318 MFT197318 MPP197318 MZL197318 NJH197318 NTD197318 OCZ197318 OMV197318 OWR197318 PGN197318 PQJ197318 QAF197318 QKB197318 QTX197318 RDT197318 RNP197318 RXL197318 SHH197318 SRD197318 TAZ197318 TKV197318 TUR197318 UEN197318 UOJ197318 UYF197318 VIB197318 VRX197318 WBT197318 WLP197318 WVL197318 D262854 IZ262854 SV262854 ACR262854 AMN262854 AWJ262854 BGF262854 BQB262854 BZX262854 CJT262854 CTP262854 DDL262854 DNH262854 DXD262854 EGZ262854 EQV262854 FAR262854 FKN262854 FUJ262854 GEF262854 GOB262854 GXX262854 HHT262854 HRP262854 IBL262854 ILH262854 IVD262854 JEZ262854 JOV262854 JYR262854 KIN262854 KSJ262854 LCF262854 LMB262854 LVX262854 MFT262854 MPP262854 MZL262854 NJH262854 NTD262854 OCZ262854 OMV262854 OWR262854 PGN262854 PQJ262854 QAF262854 QKB262854 QTX262854 RDT262854 RNP262854 RXL262854 SHH262854 SRD262854 TAZ262854 TKV262854 TUR262854 UEN262854 UOJ262854 UYF262854 VIB262854 VRX262854 WBT262854 WLP262854 WVL262854 D328390 IZ328390 SV328390 ACR328390 AMN328390 AWJ328390 BGF328390 BQB328390 BZX328390 CJT328390 CTP328390 DDL328390 DNH328390 DXD328390 EGZ328390 EQV328390 FAR328390 FKN328390 FUJ328390 GEF328390 GOB328390 GXX328390 HHT328390 HRP328390 IBL328390 ILH328390 IVD328390 JEZ328390 JOV328390 JYR328390 KIN328390 KSJ328390 LCF328390 LMB328390 LVX328390 MFT328390 MPP328390 MZL328390 NJH328390 NTD328390 OCZ328390 OMV328390 OWR328390 PGN328390 PQJ328390 QAF328390 QKB328390 QTX328390 RDT328390 RNP328390 RXL328390 SHH328390 SRD328390 TAZ328390 TKV328390 TUR328390 UEN328390 UOJ328390 UYF328390 VIB328390 VRX328390 WBT328390 WLP328390 WVL328390 D393926 IZ393926 SV393926 ACR393926 AMN393926 AWJ393926 BGF393926 BQB393926 BZX393926 CJT393926 CTP393926 DDL393926 DNH393926 DXD393926 EGZ393926 EQV393926 FAR393926 FKN393926 FUJ393926 GEF393926 GOB393926 GXX393926 HHT393926 HRP393926 IBL393926 ILH393926 IVD393926 JEZ393926 JOV393926 JYR393926 KIN393926 KSJ393926 LCF393926 LMB393926 LVX393926 MFT393926 MPP393926 MZL393926 NJH393926 NTD393926 OCZ393926 OMV393926 OWR393926 PGN393926 PQJ393926 QAF393926 QKB393926 QTX393926 RDT393926 RNP393926 RXL393926 SHH393926 SRD393926 TAZ393926 TKV393926 TUR393926 UEN393926 UOJ393926 UYF393926 VIB393926 VRX393926 WBT393926 WLP393926 WVL393926 D459462 IZ459462 SV459462 ACR459462 AMN459462 AWJ459462 BGF459462 BQB459462 BZX459462 CJT459462 CTP459462 DDL459462 DNH459462 DXD459462 EGZ459462 EQV459462 FAR459462 FKN459462 FUJ459462 GEF459462 GOB459462 GXX459462 HHT459462 HRP459462 IBL459462 ILH459462 IVD459462 JEZ459462 JOV459462 JYR459462 KIN459462 KSJ459462 LCF459462 LMB459462 LVX459462 MFT459462 MPP459462 MZL459462 NJH459462 NTD459462 OCZ459462 OMV459462 OWR459462 PGN459462 PQJ459462 QAF459462 QKB459462 QTX459462 RDT459462 RNP459462 RXL459462 SHH459462 SRD459462 TAZ459462 TKV459462 TUR459462 UEN459462 UOJ459462 UYF459462 VIB459462 VRX459462 WBT459462 WLP459462 WVL459462 D524998 IZ524998 SV524998 ACR524998 AMN524998 AWJ524998 BGF524998 BQB524998 BZX524998 CJT524998 CTP524998 DDL524998 DNH524998 DXD524998 EGZ524998 EQV524998 FAR524998 FKN524998 FUJ524998 GEF524998 GOB524998 GXX524998 HHT524998 HRP524998 IBL524998 ILH524998 IVD524998 JEZ524998 JOV524998 JYR524998 KIN524998 KSJ524998 LCF524998 LMB524998 LVX524998 MFT524998 MPP524998 MZL524998 NJH524998 NTD524998 OCZ524998 OMV524998 OWR524998 PGN524998 PQJ524998 QAF524998 QKB524998 QTX524998 RDT524998 RNP524998 RXL524998 SHH524998 SRD524998 TAZ524998 TKV524998 TUR524998 UEN524998 UOJ524998 UYF524998 VIB524998 VRX524998 WBT524998 WLP524998 WVL524998 D590534 IZ590534 SV590534 ACR590534 AMN590534 AWJ590534 BGF590534 BQB590534 BZX590534 CJT590534 CTP590534 DDL590534 DNH590534 DXD590534 EGZ590534 EQV590534 FAR590534 FKN590534 FUJ590534 GEF590534 GOB590534 GXX590534 HHT590534 HRP590534 IBL590534 ILH590534 IVD590534 JEZ590534 JOV590534 JYR590534 KIN590534 KSJ590534 LCF590534 LMB590534 LVX590534 MFT590534 MPP590534 MZL590534 NJH590534 NTD590534 OCZ590534 OMV590534 OWR590534 PGN590534 PQJ590534 QAF590534 QKB590534 QTX590534 RDT590534 RNP590534 RXL590534 SHH590534 SRD590534 TAZ590534 TKV590534 TUR590534 UEN590534 UOJ590534 UYF590534 VIB590534 VRX590534 WBT590534 WLP590534 WVL590534 D656070 IZ656070 SV656070 ACR656070 AMN656070 AWJ656070 BGF656070 BQB656070 BZX656070 CJT656070 CTP656070 DDL656070 DNH656070 DXD656070 EGZ656070 EQV656070 FAR656070 FKN656070 FUJ656070 GEF656070 GOB656070 GXX656070 HHT656070 HRP656070 IBL656070 ILH656070 IVD656070 JEZ656070 JOV656070 JYR656070 KIN656070 KSJ656070 LCF656070 LMB656070 LVX656070 MFT656070 MPP656070 MZL656070 NJH656070 NTD656070 OCZ656070 OMV656070 OWR656070 PGN656070 PQJ656070 QAF656070 QKB656070 QTX656070 RDT656070 RNP656070 RXL656070 SHH656070 SRD656070 TAZ656070 TKV656070 TUR656070 UEN656070 UOJ656070 UYF656070 VIB656070 VRX656070 WBT656070 WLP656070 WVL656070 D721606 IZ721606 SV721606 ACR721606 AMN721606 AWJ721606 BGF721606 BQB721606 BZX721606 CJT721606 CTP721606 DDL721606 DNH721606 DXD721606 EGZ721606 EQV721606 FAR721606 FKN721606 FUJ721606 GEF721606 GOB721606 GXX721606 HHT721606 HRP721606 IBL721606 ILH721606 IVD721606 JEZ721606 JOV721606 JYR721606 KIN721606 KSJ721606 LCF721606 LMB721606 LVX721606 MFT721606 MPP721606 MZL721606 NJH721606 NTD721606 OCZ721606 OMV721606 OWR721606 PGN721606 PQJ721606 QAF721606 QKB721606 QTX721606 RDT721606 RNP721606 RXL721606 SHH721606 SRD721606 TAZ721606 TKV721606 TUR721606 UEN721606 UOJ721606 UYF721606 VIB721606 VRX721606 WBT721606 WLP721606 WVL721606 D787142 IZ787142 SV787142 ACR787142 AMN787142 AWJ787142 BGF787142 BQB787142 BZX787142 CJT787142 CTP787142 DDL787142 DNH787142 DXD787142 EGZ787142 EQV787142 FAR787142 FKN787142 FUJ787142 GEF787142 GOB787142 GXX787142 HHT787142 HRP787142 IBL787142 ILH787142 IVD787142 JEZ787142 JOV787142 JYR787142 KIN787142 KSJ787142 LCF787142 LMB787142 LVX787142 MFT787142 MPP787142 MZL787142 NJH787142 NTD787142 OCZ787142 OMV787142 OWR787142 PGN787142 PQJ787142 QAF787142 QKB787142 QTX787142 RDT787142 RNP787142 RXL787142 SHH787142 SRD787142 TAZ787142 TKV787142 TUR787142 UEN787142 UOJ787142 UYF787142 VIB787142 VRX787142 WBT787142 WLP787142 WVL787142 D852678 IZ852678 SV852678 ACR852678 AMN852678 AWJ852678 BGF852678 BQB852678 BZX852678 CJT852678 CTP852678 DDL852678 DNH852678 DXD852678 EGZ852678 EQV852678 FAR852678 FKN852678 FUJ852678 GEF852678 GOB852678 GXX852678 HHT852678 HRP852678 IBL852678 ILH852678 IVD852678 JEZ852678 JOV852678 JYR852678 KIN852678 KSJ852678 LCF852678 LMB852678 LVX852678 MFT852678 MPP852678 MZL852678 NJH852678 NTD852678 OCZ852678 OMV852678 OWR852678 PGN852678 PQJ852678 QAF852678 QKB852678 QTX852678 RDT852678 RNP852678 RXL852678 SHH852678 SRD852678 TAZ852678 TKV852678 TUR852678 UEN852678 UOJ852678 UYF852678 VIB852678 VRX852678 WBT852678 WLP852678 WVL852678 D918214 IZ918214 SV918214 ACR918214 AMN918214 AWJ918214 BGF918214 BQB918214 BZX918214 CJT918214 CTP918214 DDL918214 DNH918214 DXD918214 EGZ918214 EQV918214 FAR918214 FKN918214 FUJ918214 GEF918214 GOB918214 GXX918214 HHT918214 HRP918214 IBL918214 ILH918214 IVD918214 JEZ918214 JOV918214 JYR918214 KIN918214 KSJ918214 LCF918214 LMB918214 LVX918214 MFT918214 MPP918214 MZL918214 NJH918214 NTD918214 OCZ918214 OMV918214 OWR918214 PGN918214 PQJ918214 QAF918214 QKB918214 QTX918214 RDT918214 RNP918214 RXL918214 SHH918214 SRD918214 TAZ918214 TKV918214 TUR918214 UEN918214 UOJ918214 UYF918214 VIB918214 VRX918214 WBT918214 WLP918214 WVL918214 D983750 IZ983750 SV983750 ACR983750 AMN983750 AWJ983750 BGF983750 BQB983750 BZX983750 CJT983750 CTP983750 DDL983750 DNH983750 DXD983750 EGZ983750 EQV983750 FAR983750 FKN983750 FUJ983750 GEF983750 GOB983750 GXX983750 HHT983750 HRP983750 IBL983750 ILH983750 IVD983750 JEZ983750 JOV983750 JYR983750 KIN983750 KSJ983750 LCF983750 LMB983750 LVX983750 MFT983750 MPP983750 MZL983750 NJH983750 NTD983750 OCZ983750 OMV983750 OWR983750 PGN983750 PQJ983750 QAF983750 QKB983750 QTX983750 RDT983750 RNP983750 RXL983750 SHH983750 SRD983750 TAZ983750 TKV983750 TUR983750 UEN983750 UOJ983750 UYF983750 VIB983750 VRX983750 WBT983750 WLP983750 WVL983750 D578 IZ578 SV578 ACR578 AMN578 AWJ578 BGF578 BQB578 BZX578 CJT578 CTP578 DDL578 DNH578 DXD578 EGZ578 EQV578 FAR578 FKN578 FUJ578 GEF578 GOB578 GXX578 HHT578 HRP578 IBL578 ILH578 IVD578 JEZ578 JOV578 JYR578 KIN578 KSJ578 LCF578 LMB578 LVX578 MFT578 MPP578 MZL578 NJH578 NTD578 OCZ578 OMV578 OWR578 PGN578 PQJ578 QAF578 QKB578 QTX578 RDT578 RNP578 RXL578 SHH578 SRD578 TAZ578 TKV578 TUR578 UEN578 UOJ578 UYF578 VIB578 VRX578 WBT578 WLP578 WVL578 D66114 IZ66114 SV66114 ACR66114 AMN66114 AWJ66114 BGF66114 BQB66114 BZX66114 CJT66114 CTP66114 DDL66114 DNH66114 DXD66114 EGZ66114 EQV66114 FAR66114 FKN66114 FUJ66114 GEF66114 GOB66114 GXX66114 HHT66114 HRP66114 IBL66114 ILH66114 IVD66114 JEZ66114 JOV66114 JYR66114 KIN66114 KSJ66114 LCF66114 LMB66114 LVX66114 MFT66114 MPP66114 MZL66114 NJH66114 NTD66114 OCZ66114 OMV66114 OWR66114 PGN66114 PQJ66114 QAF66114 QKB66114 QTX66114 RDT66114 RNP66114 RXL66114 SHH66114 SRD66114 TAZ66114 TKV66114 TUR66114 UEN66114 UOJ66114 UYF66114 VIB66114 VRX66114 WBT66114 WLP66114 WVL66114 D131650 IZ131650 SV131650 ACR131650 AMN131650 AWJ131650 BGF131650 BQB131650 BZX131650 CJT131650 CTP131650 DDL131650 DNH131650 DXD131650 EGZ131650 EQV131650 FAR131650 FKN131650 FUJ131650 GEF131650 GOB131650 GXX131650 HHT131650 HRP131650 IBL131650 ILH131650 IVD131650 JEZ131650 JOV131650 JYR131650 KIN131650 KSJ131650 LCF131650 LMB131650 LVX131650 MFT131650 MPP131650 MZL131650 NJH131650 NTD131650 OCZ131650 OMV131650 OWR131650 PGN131650 PQJ131650 QAF131650 QKB131650 QTX131650 RDT131650 RNP131650 RXL131650 SHH131650 SRD131650 TAZ131650 TKV131650 TUR131650 UEN131650 UOJ131650 UYF131650 VIB131650 VRX131650 WBT131650 WLP131650 WVL131650 D197186 IZ197186 SV197186 ACR197186 AMN197186 AWJ197186 BGF197186 BQB197186 BZX197186 CJT197186 CTP197186 DDL197186 DNH197186 DXD197186 EGZ197186 EQV197186 FAR197186 FKN197186 FUJ197186 GEF197186 GOB197186 GXX197186 HHT197186 HRP197186 IBL197186 ILH197186 IVD197186 JEZ197186 JOV197186 JYR197186 KIN197186 KSJ197186 LCF197186 LMB197186 LVX197186 MFT197186 MPP197186 MZL197186 NJH197186 NTD197186 OCZ197186 OMV197186 OWR197186 PGN197186 PQJ197186 QAF197186 QKB197186 QTX197186 RDT197186 RNP197186 RXL197186 SHH197186 SRD197186 TAZ197186 TKV197186 TUR197186 UEN197186 UOJ197186 UYF197186 VIB197186 VRX197186 WBT197186 WLP197186 WVL197186 D262722 IZ262722 SV262722 ACR262722 AMN262722 AWJ262722 BGF262722 BQB262722 BZX262722 CJT262722 CTP262722 DDL262722 DNH262722 DXD262722 EGZ262722 EQV262722 FAR262722 FKN262722 FUJ262722 GEF262722 GOB262722 GXX262722 HHT262722 HRP262722 IBL262722 ILH262722 IVD262722 JEZ262722 JOV262722 JYR262722 KIN262722 KSJ262722 LCF262722 LMB262722 LVX262722 MFT262722 MPP262722 MZL262722 NJH262722 NTD262722 OCZ262722 OMV262722 OWR262722 PGN262722 PQJ262722 QAF262722 QKB262722 QTX262722 RDT262722 RNP262722 RXL262722 SHH262722 SRD262722 TAZ262722 TKV262722 TUR262722 UEN262722 UOJ262722 UYF262722 VIB262722 VRX262722 WBT262722 WLP262722 WVL262722 D328258 IZ328258 SV328258 ACR328258 AMN328258 AWJ328258 BGF328258 BQB328258 BZX328258 CJT328258 CTP328258 DDL328258 DNH328258 DXD328258 EGZ328258 EQV328258 FAR328258 FKN328258 FUJ328258 GEF328258 GOB328258 GXX328258 HHT328258 HRP328258 IBL328258 ILH328258 IVD328258 JEZ328258 JOV328258 JYR328258 KIN328258 KSJ328258 LCF328258 LMB328258 LVX328258 MFT328258 MPP328258 MZL328258 NJH328258 NTD328258 OCZ328258 OMV328258 OWR328258 PGN328258 PQJ328258 QAF328258 QKB328258 QTX328258 RDT328258 RNP328258 RXL328258 SHH328258 SRD328258 TAZ328258 TKV328258 TUR328258 UEN328258 UOJ328258 UYF328258 VIB328258 VRX328258 WBT328258 WLP328258 WVL328258 D393794 IZ393794 SV393794 ACR393794 AMN393794 AWJ393794 BGF393794 BQB393794 BZX393794 CJT393794 CTP393794 DDL393794 DNH393794 DXD393794 EGZ393794 EQV393794 FAR393794 FKN393794 FUJ393794 GEF393794 GOB393794 GXX393794 HHT393794 HRP393794 IBL393794 ILH393794 IVD393794 JEZ393794 JOV393794 JYR393794 KIN393794 KSJ393794 LCF393794 LMB393794 LVX393794 MFT393794 MPP393794 MZL393794 NJH393794 NTD393794 OCZ393794 OMV393794 OWR393794 PGN393794 PQJ393794 QAF393794 QKB393794 QTX393794 RDT393794 RNP393794 RXL393794 SHH393794 SRD393794 TAZ393794 TKV393794 TUR393794 UEN393794 UOJ393794 UYF393794 VIB393794 VRX393794 WBT393794 WLP393794 WVL393794 D459330 IZ459330 SV459330 ACR459330 AMN459330 AWJ459330 BGF459330 BQB459330 BZX459330 CJT459330 CTP459330 DDL459330 DNH459330 DXD459330 EGZ459330 EQV459330 FAR459330 FKN459330 FUJ459330 GEF459330 GOB459330 GXX459330 HHT459330 HRP459330 IBL459330 ILH459330 IVD459330 JEZ459330 JOV459330 JYR459330 KIN459330 KSJ459330 LCF459330 LMB459330 LVX459330 MFT459330 MPP459330 MZL459330 NJH459330 NTD459330 OCZ459330 OMV459330 OWR459330 PGN459330 PQJ459330 QAF459330 QKB459330 QTX459330 RDT459330 RNP459330 RXL459330 SHH459330 SRD459330 TAZ459330 TKV459330 TUR459330 UEN459330 UOJ459330 UYF459330 VIB459330 VRX459330 WBT459330 WLP459330 WVL459330 D524866 IZ524866 SV524866 ACR524866 AMN524866 AWJ524866 BGF524866 BQB524866 BZX524866 CJT524866 CTP524866 DDL524866 DNH524866 DXD524866 EGZ524866 EQV524866 FAR524866 FKN524866 FUJ524866 GEF524866 GOB524866 GXX524866 HHT524866 HRP524866 IBL524866 ILH524866 IVD524866 JEZ524866 JOV524866 JYR524866 KIN524866 KSJ524866 LCF524866 LMB524866 LVX524866 MFT524866 MPP524866 MZL524866 NJH524866 NTD524866 OCZ524866 OMV524866 OWR524866 PGN524866 PQJ524866 QAF524866 QKB524866 QTX524866 RDT524866 RNP524866 RXL524866 SHH524866 SRD524866 TAZ524866 TKV524866 TUR524866 UEN524866 UOJ524866 UYF524866 VIB524866 VRX524866 WBT524866 WLP524866 WVL524866 D590402 IZ590402 SV590402 ACR590402 AMN590402 AWJ590402 BGF590402 BQB590402 BZX590402 CJT590402 CTP590402 DDL590402 DNH590402 DXD590402 EGZ590402 EQV590402 FAR590402 FKN590402 FUJ590402 GEF590402 GOB590402 GXX590402 HHT590402 HRP590402 IBL590402 ILH590402 IVD590402 JEZ590402 JOV590402 JYR590402 KIN590402 KSJ590402 LCF590402 LMB590402 LVX590402 MFT590402 MPP590402 MZL590402 NJH590402 NTD590402 OCZ590402 OMV590402 OWR590402 PGN590402 PQJ590402 QAF590402 QKB590402 QTX590402 RDT590402 RNP590402 RXL590402 SHH590402 SRD590402 TAZ590402 TKV590402 TUR590402 UEN590402 UOJ590402 UYF590402 VIB590402 VRX590402 WBT590402 WLP590402 WVL590402 D655938 IZ655938 SV655938 ACR655938 AMN655938 AWJ655938 BGF655938 BQB655938 BZX655938 CJT655938 CTP655938 DDL655938 DNH655938 DXD655938 EGZ655938 EQV655938 FAR655938 FKN655938 FUJ655938 GEF655938 GOB655938 GXX655938 HHT655938 HRP655938 IBL655938 ILH655938 IVD655938 JEZ655938 JOV655938 JYR655938 KIN655938 KSJ655938 LCF655938 LMB655938 LVX655938 MFT655938 MPP655938 MZL655938 NJH655938 NTD655938 OCZ655938 OMV655938 OWR655938 PGN655938 PQJ655938 QAF655938 QKB655938 QTX655938 RDT655938 RNP655938 RXL655938 SHH655938 SRD655938 TAZ655938 TKV655938 TUR655938 UEN655938 UOJ655938 UYF655938 VIB655938 VRX655938 WBT655938 WLP655938 WVL655938 D721474 IZ721474 SV721474 ACR721474 AMN721474 AWJ721474 BGF721474 BQB721474 BZX721474 CJT721474 CTP721474 DDL721474 DNH721474 DXD721474 EGZ721474 EQV721474 FAR721474 FKN721474 FUJ721474 GEF721474 GOB721474 GXX721474 HHT721474 HRP721474 IBL721474 ILH721474 IVD721474 JEZ721474 JOV721474 JYR721474 KIN721474 KSJ721474 LCF721474 LMB721474 LVX721474 MFT721474 MPP721474 MZL721474 NJH721474 NTD721474 OCZ721474 OMV721474 OWR721474 PGN721474 PQJ721474 QAF721474 QKB721474 QTX721474 RDT721474 RNP721474 RXL721474 SHH721474 SRD721474 TAZ721474 TKV721474 TUR721474 UEN721474 UOJ721474 UYF721474 VIB721474 VRX721474 WBT721474 WLP721474 WVL721474 D787010 IZ787010 SV787010 ACR787010 AMN787010 AWJ787010 BGF787010 BQB787010 BZX787010 CJT787010 CTP787010 DDL787010 DNH787010 DXD787010 EGZ787010 EQV787010 FAR787010 FKN787010 FUJ787010 GEF787010 GOB787010 GXX787010 HHT787010 HRP787010 IBL787010 ILH787010 IVD787010 JEZ787010 JOV787010 JYR787010 KIN787010 KSJ787010 LCF787010 LMB787010 LVX787010 MFT787010 MPP787010 MZL787010 NJH787010 NTD787010 OCZ787010 OMV787010 OWR787010 PGN787010 PQJ787010 QAF787010 QKB787010 QTX787010 RDT787010 RNP787010 RXL787010 SHH787010 SRD787010 TAZ787010 TKV787010 TUR787010 UEN787010 UOJ787010 UYF787010 VIB787010 VRX787010 WBT787010 WLP787010 WVL787010 D852546 IZ852546 SV852546 ACR852546 AMN852546 AWJ852546 BGF852546 BQB852546 BZX852546 CJT852546 CTP852546 DDL852546 DNH852546 DXD852546 EGZ852546 EQV852546 FAR852546 FKN852546 FUJ852546 GEF852546 GOB852546 GXX852546 HHT852546 HRP852546 IBL852546 ILH852546 IVD852546 JEZ852546 JOV852546 JYR852546 KIN852546 KSJ852546 LCF852546 LMB852546 LVX852546 MFT852546 MPP852546 MZL852546 NJH852546 NTD852546 OCZ852546 OMV852546 OWR852546 PGN852546 PQJ852546 QAF852546 QKB852546 QTX852546 RDT852546 RNP852546 RXL852546 SHH852546 SRD852546 TAZ852546 TKV852546 TUR852546 UEN852546 UOJ852546 UYF852546 VIB852546 VRX852546 WBT852546 WLP852546 WVL852546 D918082 IZ918082 SV918082 ACR918082 AMN918082 AWJ918082 BGF918082 BQB918082 BZX918082 CJT918082 CTP918082 DDL918082 DNH918082 DXD918082 EGZ918082 EQV918082 FAR918082 FKN918082 FUJ918082 GEF918082 GOB918082 GXX918082 HHT918082 HRP918082 IBL918082 ILH918082 IVD918082 JEZ918082 JOV918082 JYR918082 KIN918082 KSJ918082 LCF918082 LMB918082 LVX918082 MFT918082 MPP918082 MZL918082 NJH918082 NTD918082 OCZ918082 OMV918082 OWR918082 PGN918082 PQJ918082 QAF918082 QKB918082 QTX918082 RDT918082 RNP918082 RXL918082 SHH918082 SRD918082 TAZ918082 TKV918082 TUR918082 UEN918082 UOJ918082 UYF918082 VIB918082 VRX918082 WBT918082 WLP918082 WVL918082 D983618 IZ983618 SV983618 ACR983618 AMN983618 AWJ983618 BGF983618 BQB983618 BZX983618 CJT983618 CTP983618 DDL983618 DNH983618 DXD983618 EGZ983618 EQV983618 FAR983618 FKN983618 FUJ983618 GEF983618 GOB983618 GXX983618 HHT983618 HRP983618 IBL983618 ILH983618 IVD983618 JEZ983618 JOV983618 JYR983618 KIN983618 KSJ983618 LCF983618 LMB983618 LVX983618 MFT983618 MPP983618 MZL983618 NJH983618 NTD983618 OCZ983618 OMV983618 OWR983618 PGN983618 PQJ983618 QAF983618 QKB983618 QTX983618 RDT983618 RNP983618 RXL983618 SHH983618 SRD983618 TAZ983618 TKV983618 TUR983618 UEN983618 UOJ983618 UYF983618 VIB983618 VRX983618 WBT983618 WLP983618 WVL983618 D274 IZ274 SV274 ACR274 AMN274 AWJ274 BGF274 BQB274 BZX274 CJT274 CTP274 DDL274 DNH274 DXD274 EGZ274 EQV274 FAR274 FKN274 FUJ274 GEF274 GOB274 GXX274 HHT274 HRP274 IBL274 ILH274 IVD274 JEZ274 JOV274 JYR274 KIN274 KSJ274 LCF274 LMB274 LVX274 MFT274 MPP274 MZL274 NJH274 NTD274 OCZ274 OMV274 OWR274 PGN274 PQJ274 QAF274 QKB274 QTX274 RDT274 RNP274 RXL274 SHH274 SRD274 TAZ274 TKV274 TUR274 UEN274 UOJ274 UYF274 VIB274 VRX274 WBT274 WLP274 WVL274 D65810 IZ65810 SV65810 ACR65810 AMN65810 AWJ65810 BGF65810 BQB65810 BZX65810 CJT65810 CTP65810 DDL65810 DNH65810 DXD65810 EGZ65810 EQV65810 FAR65810 FKN65810 FUJ65810 GEF65810 GOB65810 GXX65810 HHT65810 HRP65810 IBL65810 ILH65810 IVD65810 JEZ65810 JOV65810 JYR65810 KIN65810 KSJ65810 LCF65810 LMB65810 LVX65810 MFT65810 MPP65810 MZL65810 NJH65810 NTD65810 OCZ65810 OMV65810 OWR65810 PGN65810 PQJ65810 QAF65810 QKB65810 QTX65810 RDT65810 RNP65810 RXL65810 SHH65810 SRD65810 TAZ65810 TKV65810 TUR65810 UEN65810 UOJ65810 UYF65810 VIB65810 VRX65810 WBT65810 WLP65810 WVL65810 D131346 IZ131346 SV131346 ACR131346 AMN131346 AWJ131346 BGF131346 BQB131346 BZX131346 CJT131346 CTP131346 DDL131346 DNH131346 DXD131346 EGZ131346 EQV131346 FAR131346 FKN131346 FUJ131346 GEF131346 GOB131346 GXX131346 HHT131346 HRP131346 IBL131346 ILH131346 IVD131346 JEZ131346 JOV131346 JYR131346 KIN131346 KSJ131346 LCF131346 LMB131346 LVX131346 MFT131346 MPP131346 MZL131346 NJH131346 NTD131346 OCZ131346 OMV131346 OWR131346 PGN131346 PQJ131346 QAF131346 QKB131346 QTX131346 RDT131346 RNP131346 RXL131346 SHH131346 SRD131346 TAZ131346 TKV131346 TUR131346 UEN131346 UOJ131346 UYF131346 VIB131346 VRX131346 WBT131346 WLP131346 WVL131346 D196882 IZ196882 SV196882 ACR196882 AMN196882 AWJ196882 BGF196882 BQB196882 BZX196882 CJT196882 CTP196882 DDL196882 DNH196882 DXD196882 EGZ196882 EQV196882 FAR196882 FKN196882 FUJ196882 GEF196882 GOB196882 GXX196882 HHT196882 HRP196882 IBL196882 ILH196882 IVD196882 JEZ196882 JOV196882 JYR196882 KIN196882 KSJ196882 LCF196882 LMB196882 LVX196882 MFT196882 MPP196882 MZL196882 NJH196882 NTD196882 OCZ196882 OMV196882 OWR196882 PGN196882 PQJ196882 QAF196882 QKB196882 QTX196882 RDT196882 RNP196882 RXL196882 SHH196882 SRD196882 TAZ196882 TKV196882 TUR196882 UEN196882 UOJ196882 UYF196882 VIB196882 VRX196882 WBT196882 WLP196882 WVL196882 D262418 IZ262418 SV262418 ACR262418 AMN262418 AWJ262418 BGF262418 BQB262418 BZX262418 CJT262418 CTP262418 DDL262418 DNH262418 DXD262418 EGZ262418 EQV262418 FAR262418 FKN262418 FUJ262418 GEF262418 GOB262418 GXX262418 HHT262418 HRP262418 IBL262418 ILH262418 IVD262418 JEZ262418 JOV262418 JYR262418 KIN262418 KSJ262418 LCF262418 LMB262418 LVX262418 MFT262418 MPP262418 MZL262418 NJH262418 NTD262418 OCZ262418 OMV262418 OWR262418 PGN262418 PQJ262418 QAF262418 QKB262418 QTX262418 RDT262418 RNP262418 RXL262418 SHH262418 SRD262418 TAZ262418 TKV262418 TUR262418 UEN262418 UOJ262418 UYF262418 VIB262418 VRX262418 WBT262418 WLP262418 WVL262418 D327954 IZ327954 SV327954 ACR327954 AMN327954 AWJ327954 BGF327954 BQB327954 BZX327954 CJT327954 CTP327954 DDL327954 DNH327954 DXD327954 EGZ327954 EQV327954 FAR327954 FKN327954 FUJ327954 GEF327954 GOB327954 GXX327954 HHT327954 HRP327954 IBL327954 ILH327954 IVD327954 JEZ327954 JOV327954 JYR327954 KIN327954 KSJ327954 LCF327954 LMB327954 LVX327954 MFT327954 MPP327954 MZL327954 NJH327954 NTD327954 OCZ327954 OMV327954 OWR327954 PGN327954 PQJ327954 QAF327954 QKB327954 QTX327954 RDT327954 RNP327954 RXL327954 SHH327954 SRD327954 TAZ327954 TKV327954 TUR327954 UEN327954 UOJ327954 UYF327954 VIB327954 VRX327954 WBT327954 WLP327954 WVL327954 D393490 IZ393490 SV393490 ACR393490 AMN393490 AWJ393490 BGF393490 BQB393490 BZX393490 CJT393490 CTP393490 DDL393490 DNH393490 DXD393490 EGZ393490 EQV393490 FAR393490 FKN393490 FUJ393490 GEF393490 GOB393490 GXX393490 HHT393490 HRP393490 IBL393490 ILH393490 IVD393490 JEZ393490 JOV393490 JYR393490 KIN393490 KSJ393490 LCF393490 LMB393490 LVX393490 MFT393490 MPP393490 MZL393490 NJH393490 NTD393490 OCZ393490 OMV393490 OWR393490 PGN393490 PQJ393490 QAF393490 QKB393490 QTX393490 RDT393490 RNP393490 RXL393490 SHH393490 SRD393490 TAZ393490 TKV393490 TUR393490 UEN393490 UOJ393490 UYF393490 VIB393490 VRX393490 WBT393490 WLP393490 WVL393490 D459026 IZ459026 SV459026 ACR459026 AMN459026 AWJ459026 BGF459026 BQB459026 BZX459026 CJT459026 CTP459026 DDL459026 DNH459026 DXD459026 EGZ459026 EQV459026 FAR459026 FKN459026 FUJ459026 GEF459026 GOB459026 GXX459026 HHT459026 HRP459026 IBL459026 ILH459026 IVD459026 JEZ459026 JOV459026 JYR459026 KIN459026 KSJ459026 LCF459026 LMB459026 LVX459026 MFT459026 MPP459026 MZL459026 NJH459026 NTD459026 OCZ459026 OMV459026 OWR459026 PGN459026 PQJ459026 QAF459026 QKB459026 QTX459026 RDT459026 RNP459026 RXL459026 SHH459026 SRD459026 TAZ459026 TKV459026 TUR459026 UEN459026 UOJ459026 UYF459026 VIB459026 VRX459026 WBT459026 WLP459026 WVL459026 D524562 IZ524562 SV524562 ACR524562 AMN524562 AWJ524562 BGF524562 BQB524562 BZX524562 CJT524562 CTP524562 DDL524562 DNH524562 DXD524562 EGZ524562 EQV524562 FAR524562 FKN524562 FUJ524562 GEF524562 GOB524562 GXX524562 HHT524562 HRP524562 IBL524562 ILH524562 IVD524562 JEZ524562 JOV524562 JYR524562 KIN524562 KSJ524562 LCF524562 LMB524562 LVX524562 MFT524562 MPP524562 MZL524562 NJH524562 NTD524562 OCZ524562 OMV524562 OWR524562 PGN524562 PQJ524562 QAF524562 QKB524562 QTX524562 RDT524562 RNP524562 RXL524562 SHH524562 SRD524562 TAZ524562 TKV524562 TUR524562 UEN524562 UOJ524562 UYF524562 VIB524562 VRX524562 WBT524562 WLP524562 WVL524562 D590098 IZ590098 SV590098 ACR590098 AMN590098 AWJ590098 BGF590098 BQB590098 BZX590098 CJT590098 CTP590098 DDL590098 DNH590098 DXD590098 EGZ590098 EQV590098 FAR590098 FKN590098 FUJ590098 GEF590098 GOB590098 GXX590098 HHT590098 HRP590098 IBL590098 ILH590098 IVD590098 JEZ590098 JOV590098 JYR590098 KIN590098 KSJ590098 LCF590098 LMB590098 LVX590098 MFT590098 MPP590098 MZL590098 NJH590098 NTD590098 OCZ590098 OMV590098 OWR590098 PGN590098 PQJ590098 QAF590098 QKB590098 QTX590098 RDT590098 RNP590098 RXL590098 SHH590098 SRD590098 TAZ590098 TKV590098 TUR590098 UEN590098 UOJ590098 UYF590098 VIB590098 VRX590098 WBT590098 WLP590098 WVL590098 D655634 IZ655634 SV655634 ACR655634 AMN655634 AWJ655634 BGF655634 BQB655634 BZX655634 CJT655634 CTP655634 DDL655634 DNH655634 DXD655634 EGZ655634 EQV655634 FAR655634 FKN655634 FUJ655634 GEF655634 GOB655634 GXX655634 HHT655634 HRP655634 IBL655634 ILH655634 IVD655634 JEZ655634 JOV655634 JYR655634 KIN655634 KSJ655634 LCF655634 LMB655634 LVX655634 MFT655634 MPP655634 MZL655634 NJH655634 NTD655634 OCZ655634 OMV655634 OWR655634 PGN655634 PQJ655634 QAF655634 QKB655634 QTX655634 RDT655634 RNP655634 RXL655634 SHH655634 SRD655634 TAZ655634 TKV655634 TUR655634 UEN655634 UOJ655634 UYF655634 VIB655634 VRX655634 WBT655634 WLP655634 WVL655634 D721170 IZ721170 SV721170 ACR721170 AMN721170 AWJ721170 BGF721170 BQB721170 BZX721170 CJT721170 CTP721170 DDL721170 DNH721170 DXD721170 EGZ721170 EQV721170 FAR721170 FKN721170 FUJ721170 GEF721170 GOB721170 GXX721170 HHT721170 HRP721170 IBL721170 ILH721170 IVD721170 JEZ721170 JOV721170 JYR721170 KIN721170 KSJ721170 LCF721170 LMB721170 LVX721170 MFT721170 MPP721170 MZL721170 NJH721170 NTD721170 OCZ721170 OMV721170 OWR721170 PGN721170 PQJ721170 QAF721170 QKB721170 QTX721170 RDT721170 RNP721170 RXL721170 SHH721170 SRD721170 TAZ721170 TKV721170 TUR721170 UEN721170 UOJ721170 UYF721170 VIB721170 VRX721170 WBT721170 WLP721170 WVL721170 D786706 IZ786706 SV786706 ACR786706 AMN786706 AWJ786706 BGF786706 BQB786706 BZX786706 CJT786706 CTP786706 DDL786706 DNH786706 DXD786706 EGZ786706 EQV786706 FAR786706 FKN786706 FUJ786706 GEF786706 GOB786706 GXX786706 HHT786706 HRP786706 IBL786706 ILH786706 IVD786706 JEZ786706 JOV786706 JYR786706 KIN786706 KSJ786706 LCF786706 LMB786706 LVX786706 MFT786706 MPP786706 MZL786706 NJH786706 NTD786706 OCZ786706 OMV786706 OWR786706 PGN786706 PQJ786706 QAF786706 QKB786706 QTX786706 RDT786706 RNP786706 RXL786706 SHH786706 SRD786706 TAZ786706 TKV786706 TUR786706 UEN786706 UOJ786706 UYF786706 VIB786706 VRX786706 WBT786706 WLP786706 WVL786706 D852242 IZ852242 SV852242 ACR852242 AMN852242 AWJ852242 BGF852242 BQB852242 BZX852242 CJT852242 CTP852242 DDL852242 DNH852242 DXD852242 EGZ852242 EQV852242 FAR852242 FKN852242 FUJ852242 GEF852242 GOB852242 GXX852242 HHT852242 HRP852242 IBL852242 ILH852242 IVD852242 JEZ852242 JOV852242 JYR852242 KIN852242 KSJ852242 LCF852242 LMB852242 LVX852242 MFT852242 MPP852242 MZL852242 NJH852242 NTD852242 OCZ852242 OMV852242 OWR852242 PGN852242 PQJ852242 QAF852242 QKB852242 QTX852242 RDT852242 RNP852242 RXL852242 SHH852242 SRD852242 TAZ852242 TKV852242 TUR852242 UEN852242 UOJ852242 UYF852242 VIB852242 VRX852242 WBT852242 WLP852242 WVL852242 D917778 IZ917778 SV917778 ACR917778 AMN917778 AWJ917778 BGF917778 BQB917778 BZX917778 CJT917778 CTP917778 DDL917778 DNH917778 DXD917778 EGZ917778 EQV917778 FAR917778 FKN917778 FUJ917778 GEF917778 GOB917778 GXX917778 HHT917778 HRP917778 IBL917778 ILH917778 IVD917778 JEZ917778 JOV917778 JYR917778 KIN917778 KSJ917778 LCF917778 LMB917778 LVX917778 MFT917778 MPP917778 MZL917778 NJH917778 NTD917778 OCZ917778 OMV917778 OWR917778 PGN917778 PQJ917778 QAF917778 QKB917778 QTX917778 RDT917778 RNP917778 RXL917778 SHH917778 SRD917778 TAZ917778 TKV917778 TUR917778 UEN917778 UOJ917778 UYF917778 VIB917778 VRX917778 WBT917778 WLP917778 WVL917778 D983314 IZ983314 SV983314 ACR983314 AMN983314 AWJ983314 BGF983314 BQB983314 BZX983314 CJT983314 CTP983314 DDL983314 DNH983314 DXD983314 EGZ983314 EQV983314 FAR983314 FKN983314 FUJ983314 GEF983314 GOB983314 GXX983314 HHT983314 HRP983314 IBL983314 ILH983314 IVD983314 JEZ983314 JOV983314 JYR983314 KIN983314 KSJ983314 LCF983314 LMB983314 LVX983314 MFT983314 MPP983314 MZL983314 NJH983314 NTD983314 OCZ983314 OMV983314 OWR983314 PGN983314 PQJ983314 QAF983314 QKB983314 QTX983314 RDT983314 RNP983314 RXL983314 SHH983314 SRD983314 TAZ983314 TKV983314 TUR983314 UEN983314 UOJ983314 UYF983314 VIB983314 VRX983314 WBT983314 WLP983314 WVL983314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2:D65543 IZ65542:IZ65543 SV65542:SV65543 ACR65542:ACR65543 AMN65542:AMN65543 AWJ65542:AWJ65543 BGF65542:BGF65543 BQB65542:BQB65543 BZX65542:BZX65543 CJT65542:CJT65543 CTP65542:CTP65543 DDL65542:DDL65543 DNH65542:DNH65543 DXD65542:DXD65543 EGZ65542:EGZ65543 EQV65542:EQV65543 FAR65542:FAR65543 FKN65542:FKN65543 FUJ65542:FUJ65543 GEF65542:GEF65543 GOB65542:GOB65543 GXX65542:GXX65543 HHT65542:HHT65543 HRP65542:HRP65543 IBL65542:IBL65543 ILH65542:ILH65543 IVD65542:IVD65543 JEZ65542:JEZ65543 JOV65542:JOV65543 JYR65542:JYR65543 KIN65542:KIN65543 KSJ65542:KSJ65543 LCF65542:LCF65543 LMB65542:LMB65543 LVX65542:LVX65543 MFT65542:MFT65543 MPP65542:MPP65543 MZL65542:MZL65543 NJH65542:NJH65543 NTD65542:NTD65543 OCZ65542:OCZ65543 OMV65542:OMV65543 OWR65542:OWR65543 PGN65542:PGN65543 PQJ65542:PQJ65543 QAF65542:QAF65543 QKB65542:QKB65543 QTX65542:QTX65543 RDT65542:RDT65543 RNP65542:RNP65543 RXL65542:RXL65543 SHH65542:SHH65543 SRD65542:SRD65543 TAZ65542:TAZ65543 TKV65542:TKV65543 TUR65542:TUR65543 UEN65542:UEN65543 UOJ65542:UOJ65543 UYF65542:UYF65543 VIB65542:VIB65543 VRX65542:VRX65543 WBT65542:WBT65543 WLP65542:WLP65543 WVL65542:WVL65543 D131078:D131079 IZ131078:IZ131079 SV131078:SV131079 ACR131078:ACR131079 AMN131078:AMN131079 AWJ131078:AWJ131079 BGF131078:BGF131079 BQB131078:BQB131079 BZX131078:BZX131079 CJT131078:CJT131079 CTP131078:CTP131079 DDL131078:DDL131079 DNH131078:DNH131079 DXD131078:DXD131079 EGZ131078:EGZ131079 EQV131078:EQV131079 FAR131078:FAR131079 FKN131078:FKN131079 FUJ131078:FUJ131079 GEF131078:GEF131079 GOB131078:GOB131079 GXX131078:GXX131079 HHT131078:HHT131079 HRP131078:HRP131079 IBL131078:IBL131079 ILH131078:ILH131079 IVD131078:IVD131079 JEZ131078:JEZ131079 JOV131078:JOV131079 JYR131078:JYR131079 KIN131078:KIN131079 KSJ131078:KSJ131079 LCF131078:LCF131079 LMB131078:LMB131079 LVX131078:LVX131079 MFT131078:MFT131079 MPP131078:MPP131079 MZL131078:MZL131079 NJH131078:NJH131079 NTD131078:NTD131079 OCZ131078:OCZ131079 OMV131078:OMV131079 OWR131078:OWR131079 PGN131078:PGN131079 PQJ131078:PQJ131079 QAF131078:QAF131079 QKB131078:QKB131079 QTX131078:QTX131079 RDT131078:RDT131079 RNP131078:RNP131079 RXL131078:RXL131079 SHH131078:SHH131079 SRD131078:SRD131079 TAZ131078:TAZ131079 TKV131078:TKV131079 TUR131078:TUR131079 UEN131078:UEN131079 UOJ131078:UOJ131079 UYF131078:UYF131079 VIB131078:VIB131079 VRX131078:VRX131079 WBT131078:WBT131079 WLP131078:WLP131079 WVL131078:WVL131079 D196614:D196615 IZ196614:IZ196615 SV196614:SV196615 ACR196614:ACR196615 AMN196614:AMN196615 AWJ196614:AWJ196615 BGF196614:BGF196615 BQB196614:BQB196615 BZX196614:BZX196615 CJT196614:CJT196615 CTP196614:CTP196615 DDL196614:DDL196615 DNH196614:DNH196615 DXD196614:DXD196615 EGZ196614:EGZ196615 EQV196614:EQV196615 FAR196614:FAR196615 FKN196614:FKN196615 FUJ196614:FUJ196615 GEF196614:GEF196615 GOB196614:GOB196615 GXX196614:GXX196615 HHT196614:HHT196615 HRP196614:HRP196615 IBL196614:IBL196615 ILH196614:ILH196615 IVD196614:IVD196615 JEZ196614:JEZ196615 JOV196614:JOV196615 JYR196614:JYR196615 KIN196614:KIN196615 KSJ196614:KSJ196615 LCF196614:LCF196615 LMB196614:LMB196615 LVX196614:LVX196615 MFT196614:MFT196615 MPP196614:MPP196615 MZL196614:MZL196615 NJH196614:NJH196615 NTD196614:NTD196615 OCZ196614:OCZ196615 OMV196614:OMV196615 OWR196614:OWR196615 PGN196614:PGN196615 PQJ196614:PQJ196615 QAF196614:QAF196615 QKB196614:QKB196615 QTX196614:QTX196615 RDT196614:RDT196615 RNP196614:RNP196615 RXL196614:RXL196615 SHH196614:SHH196615 SRD196614:SRD196615 TAZ196614:TAZ196615 TKV196614:TKV196615 TUR196614:TUR196615 UEN196614:UEN196615 UOJ196614:UOJ196615 UYF196614:UYF196615 VIB196614:VIB196615 VRX196614:VRX196615 WBT196614:WBT196615 WLP196614:WLP196615 WVL196614:WVL196615 D262150:D262151 IZ262150:IZ262151 SV262150:SV262151 ACR262150:ACR262151 AMN262150:AMN262151 AWJ262150:AWJ262151 BGF262150:BGF262151 BQB262150:BQB262151 BZX262150:BZX262151 CJT262150:CJT262151 CTP262150:CTP262151 DDL262150:DDL262151 DNH262150:DNH262151 DXD262150:DXD262151 EGZ262150:EGZ262151 EQV262150:EQV262151 FAR262150:FAR262151 FKN262150:FKN262151 FUJ262150:FUJ262151 GEF262150:GEF262151 GOB262150:GOB262151 GXX262150:GXX262151 HHT262150:HHT262151 HRP262150:HRP262151 IBL262150:IBL262151 ILH262150:ILH262151 IVD262150:IVD262151 JEZ262150:JEZ262151 JOV262150:JOV262151 JYR262150:JYR262151 KIN262150:KIN262151 KSJ262150:KSJ262151 LCF262150:LCF262151 LMB262150:LMB262151 LVX262150:LVX262151 MFT262150:MFT262151 MPP262150:MPP262151 MZL262150:MZL262151 NJH262150:NJH262151 NTD262150:NTD262151 OCZ262150:OCZ262151 OMV262150:OMV262151 OWR262150:OWR262151 PGN262150:PGN262151 PQJ262150:PQJ262151 QAF262150:QAF262151 QKB262150:QKB262151 QTX262150:QTX262151 RDT262150:RDT262151 RNP262150:RNP262151 RXL262150:RXL262151 SHH262150:SHH262151 SRD262150:SRD262151 TAZ262150:TAZ262151 TKV262150:TKV262151 TUR262150:TUR262151 UEN262150:UEN262151 UOJ262150:UOJ262151 UYF262150:UYF262151 VIB262150:VIB262151 VRX262150:VRX262151 WBT262150:WBT262151 WLP262150:WLP262151 WVL262150:WVL262151 D327686:D327687 IZ327686:IZ327687 SV327686:SV327687 ACR327686:ACR327687 AMN327686:AMN327687 AWJ327686:AWJ327687 BGF327686:BGF327687 BQB327686:BQB327687 BZX327686:BZX327687 CJT327686:CJT327687 CTP327686:CTP327687 DDL327686:DDL327687 DNH327686:DNH327687 DXD327686:DXD327687 EGZ327686:EGZ327687 EQV327686:EQV327687 FAR327686:FAR327687 FKN327686:FKN327687 FUJ327686:FUJ327687 GEF327686:GEF327687 GOB327686:GOB327687 GXX327686:GXX327687 HHT327686:HHT327687 HRP327686:HRP327687 IBL327686:IBL327687 ILH327686:ILH327687 IVD327686:IVD327687 JEZ327686:JEZ327687 JOV327686:JOV327687 JYR327686:JYR327687 KIN327686:KIN327687 KSJ327686:KSJ327687 LCF327686:LCF327687 LMB327686:LMB327687 LVX327686:LVX327687 MFT327686:MFT327687 MPP327686:MPP327687 MZL327686:MZL327687 NJH327686:NJH327687 NTD327686:NTD327687 OCZ327686:OCZ327687 OMV327686:OMV327687 OWR327686:OWR327687 PGN327686:PGN327687 PQJ327686:PQJ327687 QAF327686:QAF327687 QKB327686:QKB327687 QTX327686:QTX327687 RDT327686:RDT327687 RNP327686:RNP327687 RXL327686:RXL327687 SHH327686:SHH327687 SRD327686:SRD327687 TAZ327686:TAZ327687 TKV327686:TKV327687 TUR327686:TUR327687 UEN327686:UEN327687 UOJ327686:UOJ327687 UYF327686:UYF327687 VIB327686:VIB327687 VRX327686:VRX327687 WBT327686:WBT327687 WLP327686:WLP327687 WVL327686:WVL327687 D393222:D393223 IZ393222:IZ393223 SV393222:SV393223 ACR393222:ACR393223 AMN393222:AMN393223 AWJ393222:AWJ393223 BGF393222:BGF393223 BQB393222:BQB393223 BZX393222:BZX393223 CJT393222:CJT393223 CTP393222:CTP393223 DDL393222:DDL393223 DNH393222:DNH393223 DXD393222:DXD393223 EGZ393222:EGZ393223 EQV393222:EQV393223 FAR393222:FAR393223 FKN393222:FKN393223 FUJ393222:FUJ393223 GEF393222:GEF393223 GOB393222:GOB393223 GXX393222:GXX393223 HHT393222:HHT393223 HRP393222:HRP393223 IBL393222:IBL393223 ILH393222:ILH393223 IVD393222:IVD393223 JEZ393222:JEZ393223 JOV393222:JOV393223 JYR393222:JYR393223 KIN393222:KIN393223 KSJ393222:KSJ393223 LCF393222:LCF393223 LMB393222:LMB393223 LVX393222:LVX393223 MFT393222:MFT393223 MPP393222:MPP393223 MZL393222:MZL393223 NJH393222:NJH393223 NTD393222:NTD393223 OCZ393222:OCZ393223 OMV393222:OMV393223 OWR393222:OWR393223 PGN393222:PGN393223 PQJ393222:PQJ393223 QAF393222:QAF393223 QKB393222:QKB393223 QTX393222:QTX393223 RDT393222:RDT393223 RNP393222:RNP393223 RXL393222:RXL393223 SHH393222:SHH393223 SRD393222:SRD393223 TAZ393222:TAZ393223 TKV393222:TKV393223 TUR393222:TUR393223 UEN393222:UEN393223 UOJ393222:UOJ393223 UYF393222:UYF393223 VIB393222:VIB393223 VRX393222:VRX393223 WBT393222:WBT393223 WLP393222:WLP393223 WVL393222:WVL393223 D458758:D458759 IZ458758:IZ458759 SV458758:SV458759 ACR458758:ACR458759 AMN458758:AMN458759 AWJ458758:AWJ458759 BGF458758:BGF458759 BQB458758:BQB458759 BZX458758:BZX458759 CJT458758:CJT458759 CTP458758:CTP458759 DDL458758:DDL458759 DNH458758:DNH458759 DXD458758:DXD458759 EGZ458758:EGZ458759 EQV458758:EQV458759 FAR458758:FAR458759 FKN458758:FKN458759 FUJ458758:FUJ458759 GEF458758:GEF458759 GOB458758:GOB458759 GXX458758:GXX458759 HHT458758:HHT458759 HRP458758:HRP458759 IBL458758:IBL458759 ILH458758:ILH458759 IVD458758:IVD458759 JEZ458758:JEZ458759 JOV458758:JOV458759 JYR458758:JYR458759 KIN458758:KIN458759 KSJ458758:KSJ458759 LCF458758:LCF458759 LMB458758:LMB458759 LVX458758:LVX458759 MFT458758:MFT458759 MPP458758:MPP458759 MZL458758:MZL458759 NJH458758:NJH458759 NTD458758:NTD458759 OCZ458758:OCZ458759 OMV458758:OMV458759 OWR458758:OWR458759 PGN458758:PGN458759 PQJ458758:PQJ458759 QAF458758:QAF458759 QKB458758:QKB458759 QTX458758:QTX458759 RDT458758:RDT458759 RNP458758:RNP458759 RXL458758:RXL458759 SHH458758:SHH458759 SRD458758:SRD458759 TAZ458758:TAZ458759 TKV458758:TKV458759 TUR458758:TUR458759 UEN458758:UEN458759 UOJ458758:UOJ458759 UYF458758:UYF458759 VIB458758:VIB458759 VRX458758:VRX458759 WBT458758:WBT458759 WLP458758:WLP458759 WVL458758:WVL458759 D524294:D524295 IZ524294:IZ524295 SV524294:SV524295 ACR524294:ACR524295 AMN524294:AMN524295 AWJ524294:AWJ524295 BGF524294:BGF524295 BQB524294:BQB524295 BZX524294:BZX524295 CJT524294:CJT524295 CTP524294:CTP524295 DDL524294:DDL524295 DNH524294:DNH524295 DXD524294:DXD524295 EGZ524294:EGZ524295 EQV524294:EQV524295 FAR524294:FAR524295 FKN524294:FKN524295 FUJ524294:FUJ524295 GEF524294:GEF524295 GOB524294:GOB524295 GXX524294:GXX524295 HHT524294:HHT524295 HRP524294:HRP524295 IBL524294:IBL524295 ILH524294:ILH524295 IVD524294:IVD524295 JEZ524294:JEZ524295 JOV524294:JOV524295 JYR524294:JYR524295 KIN524294:KIN524295 KSJ524294:KSJ524295 LCF524294:LCF524295 LMB524294:LMB524295 LVX524294:LVX524295 MFT524294:MFT524295 MPP524294:MPP524295 MZL524294:MZL524295 NJH524294:NJH524295 NTD524294:NTD524295 OCZ524294:OCZ524295 OMV524294:OMV524295 OWR524294:OWR524295 PGN524294:PGN524295 PQJ524294:PQJ524295 QAF524294:QAF524295 QKB524294:QKB524295 QTX524294:QTX524295 RDT524294:RDT524295 RNP524294:RNP524295 RXL524294:RXL524295 SHH524294:SHH524295 SRD524294:SRD524295 TAZ524294:TAZ524295 TKV524294:TKV524295 TUR524294:TUR524295 UEN524294:UEN524295 UOJ524294:UOJ524295 UYF524294:UYF524295 VIB524294:VIB524295 VRX524294:VRX524295 WBT524294:WBT524295 WLP524294:WLP524295 WVL524294:WVL524295 D589830:D589831 IZ589830:IZ589831 SV589830:SV589831 ACR589830:ACR589831 AMN589830:AMN589831 AWJ589830:AWJ589831 BGF589830:BGF589831 BQB589830:BQB589831 BZX589830:BZX589831 CJT589830:CJT589831 CTP589830:CTP589831 DDL589830:DDL589831 DNH589830:DNH589831 DXD589830:DXD589831 EGZ589830:EGZ589831 EQV589830:EQV589831 FAR589830:FAR589831 FKN589830:FKN589831 FUJ589830:FUJ589831 GEF589830:GEF589831 GOB589830:GOB589831 GXX589830:GXX589831 HHT589830:HHT589831 HRP589830:HRP589831 IBL589830:IBL589831 ILH589830:ILH589831 IVD589830:IVD589831 JEZ589830:JEZ589831 JOV589830:JOV589831 JYR589830:JYR589831 KIN589830:KIN589831 KSJ589830:KSJ589831 LCF589830:LCF589831 LMB589830:LMB589831 LVX589830:LVX589831 MFT589830:MFT589831 MPP589830:MPP589831 MZL589830:MZL589831 NJH589830:NJH589831 NTD589830:NTD589831 OCZ589830:OCZ589831 OMV589830:OMV589831 OWR589830:OWR589831 PGN589830:PGN589831 PQJ589830:PQJ589831 QAF589830:QAF589831 QKB589830:QKB589831 QTX589830:QTX589831 RDT589830:RDT589831 RNP589830:RNP589831 RXL589830:RXL589831 SHH589830:SHH589831 SRD589830:SRD589831 TAZ589830:TAZ589831 TKV589830:TKV589831 TUR589830:TUR589831 UEN589830:UEN589831 UOJ589830:UOJ589831 UYF589830:UYF589831 VIB589830:VIB589831 VRX589830:VRX589831 WBT589830:WBT589831 WLP589830:WLP589831 WVL589830:WVL589831 D655366:D655367 IZ655366:IZ655367 SV655366:SV655367 ACR655366:ACR655367 AMN655366:AMN655367 AWJ655366:AWJ655367 BGF655366:BGF655367 BQB655366:BQB655367 BZX655366:BZX655367 CJT655366:CJT655367 CTP655366:CTP655367 DDL655366:DDL655367 DNH655366:DNH655367 DXD655366:DXD655367 EGZ655366:EGZ655367 EQV655366:EQV655367 FAR655366:FAR655367 FKN655366:FKN655367 FUJ655366:FUJ655367 GEF655366:GEF655367 GOB655366:GOB655367 GXX655366:GXX655367 HHT655366:HHT655367 HRP655366:HRP655367 IBL655366:IBL655367 ILH655366:ILH655367 IVD655366:IVD655367 JEZ655366:JEZ655367 JOV655366:JOV655367 JYR655366:JYR655367 KIN655366:KIN655367 KSJ655366:KSJ655367 LCF655366:LCF655367 LMB655366:LMB655367 LVX655366:LVX655367 MFT655366:MFT655367 MPP655366:MPP655367 MZL655366:MZL655367 NJH655366:NJH655367 NTD655366:NTD655367 OCZ655366:OCZ655367 OMV655366:OMV655367 OWR655366:OWR655367 PGN655366:PGN655367 PQJ655366:PQJ655367 QAF655366:QAF655367 QKB655366:QKB655367 QTX655366:QTX655367 RDT655366:RDT655367 RNP655366:RNP655367 RXL655366:RXL655367 SHH655366:SHH655367 SRD655366:SRD655367 TAZ655366:TAZ655367 TKV655366:TKV655367 TUR655366:TUR655367 UEN655366:UEN655367 UOJ655366:UOJ655367 UYF655366:UYF655367 VIB655366:VIB655367 VRX655366:VRX655367 WBT655366:WBT655367 WLP655366:WLP655367 WVL655366:WVL655367 D720902:D720903 IZ720902:IZ720903 SV720902:SV720903 ACR720902:ACR720903 AMN720902:AMN720903 AWJ720902:AWJ720903 BGF720902:BGF720903 BQB720902:BQB720903 BZX720902:BZX720903 CJT720902:CJT720903 CTP720902:CTP720903 DDL720902:DDL720903 DNH720902:DNH720903 DXD720902:DXD720903 EGZ720902:EGZ720903 EQV720902:EQV720903 FAR720902:FAR720903 FKN720902:FKN720903 FUJ720902:FUJ720903 GEF720902:GEF720903 GOB720902:GOB720903 GXX720902:GXX720903 HHT720902:HHT720903 HRP720902:HRP720903 IBL720902:IBL720903 ILH720902:ILH720903 IVD720902:IVD720903 JEZ720902:JEZ720903 JOV720902:JOV720903 JYR720902:JYR720903 KIN720902:KIN720903 KSJ720902:KSJ720903 LCF720902:LCF720903 LMB720902:LMB720903 LVX720902:LVX720903 MFT720902:MFT720903 MPP720902:MPP720903 MZL720902:MZL720903 NJH720902:NJH720903 NTD720902:NTD720903 OCZ720902:OCZ720903 OMV720902:OMV720903 OWR720902:OWR720903 PGN720902:PGN720903 PQJ720902:PQJ720903 QAF720902:QAF720903 QKB720902:QKB720903 QTX720902:QTX720903 RDT720902:RDT720903 RNP720902:RNP720903 RXL720902:RXL720903 SHH720902:SHH720903 SRD720902:SRD720903 TAZ720902:TAZ720903 TKV720902:TKV720903 TUR720902:TUR720903 UEN720902:UEN720903 UOJ720902:UOJ720903 UYF720902:UYF720903 VIB720902:VIB720903 VRX720902:VRX720903 WBT720902:WBT720903 WLP720902:WLP720903 WVL720902:WVL720903 D786438:D786439 IZ786438:IZ786439 SV786438:SV786439 ACR786438:ACR786439 AMN786438:AMN786439 AWJ786438:AWJ786439 BGF786438:BGF786439 BQB786438:BQB786439 BZX786438:BZX786439 CJT786438:CJT786439 CTP786438:CTP786439 DDL786438:DDL786439 DNH786438:DNH786439 DXD786438:DXD786439 EGZ786438:EGZ786439 EQV786438:EQV786439 FAR786438:FAR786439 FKN786438:FKN786439 FUJ786438:FUJ786439 GEF786438:GEF786439 GOB786438:GOB786439 GXX786438:GXX786439 HHT786438:HHT786439 HRP786438:HRP786439 IBL786438:IBL786439 ILH786438:ILH786439 IVD786438:IVD786439 JEZ786438:JEZ786439 JOV786438:JOV786439 JYR786438:JYR786439 KIN786438:KIN786439 KSJ786438:KSJ786439 LCF786438:LCF786439 LMB786438:LMB786439 LVX786438:LVX786439 MFT786438:MFT786439 MPP786438:MPP786439 MZL786438:MZL786439 NJH786438:NJH786439 NTD786438:NTD786439 OCZ786438:OCZ786439 OMV786438:OMV786439 OWR786438:OWR786439 PGN786438:PGN786439 PQJ786438:PQJ786439 QAF786438:QAF786439 QKB786438:QKB786439 QTX786438:QTX786439 RDT786438:RDT786439 RNP786438:RNP786439 RXL786438:RXL786439 SHH786438:SHH786439 SRD786438:SRD786439 TAZ786438:TAZ786439 TKV786438:TKV786439 TUR786438:TUR786439 UEN786438:UEN786439 UOJ786438:UOJ786439 UYF786438:UYF786439 VIB786438:VIB786439 VRX786438:VRX786439 WBT786438:WBT786439 WLP786438:WLP786439 WVL786438:WVL786439 D851974:D851975 IZ851974:IZ851975 SV851974:SV851975 ACR851974:ACR851975 AMN851974:AMN851975 AWJ851974:AWJ851975 BGF851974:BGF851975 BQB851974:BQB851975 BZX851974:BZX851975 CJT851974:CJT851975 CTP851974:CTP851975 DDL851974:DDL851975 DNH851974:DNH851975 DXD851974:DXD851975 EGZ851974:EGZ851975 EQV851974:EQV851975 FAR851974:FAR851975 FKN851974:FKN851975 FUJ851974:FUJ851975 GEF851974:GEF851975 GOB851974:GOB851975 GXX851974:GXX851975 HHT851974:HHT851975 HRP851974:HRP851975 IBL851974:IBL851975 ILH851974:ILH851975 IVD851974:IVD851975 JEZ851974:JEZ851975 JOV851974:JOV851975 JYR851974:JYR851975 KIN851974:KIN851975 KSJ851974:KSJ851975 LCF851974:LCF851975 LMB851974:LMB851975 LVX851974:LVX851975 MFT851974:MFT851975 MPP851974:MPP851975 MZL851974:MZL851975 NJH851974:NJH851975 NTD851974:NTD851975 OCZ851974:OCZ851975 OMV851974:OMV851975 OWR851974:OWR851975 PGN851974:PGN851975 PQJ851974:PQJ851975 QAF851974:QAF851975 QKB851974:QKB851975 QTX851974:QTX851975 RDT851974:RDT851975 RNP851974:RNP851975 RXL851974:RXL851975 SHH851974:SHH851975 SRD851974:SRD851975 TAZ851974:TAZ851975 TKV851974:TKV851975 TUR851974:TUR851975 UEN851974:UEN851975 UOJ851974:UOJ851975 UYF851974:UYF851975 VIB851974:VIB851975 VRX851974:VRX851975 WBT851974:WBT851975 WLP851974:WLP851975 WVL851974:WVL851975 D917510:D917511 IZ917510:IZ917511 SV917510:SV917511 ACR917510:ACR917511 AMN917510:AMN917511 AWJ917510:AWJ917511 BGF917510:BGF917511 BQB917510:BQB917511 BZX917510:BZX917511 CJT917510:CJT917511 CTP917510:CTP917511 DDL917510:DDL917511 DNH917510:DNH917511 DXD917510:DXD917511 EGZ917510:EGZ917511 EQV917510:EQV917511 FAR917510:FAR917511 FKN917510:FKN917511 FUJ917510:FUJ917511 GEF917510:GEF917511 GOB917510:GOB917511 GXX917510:GXX917511 HHT917510:HHT917511 HRP917510:HRP917511 IBL917510:IBL917511 ILH917510:ILH917511 IVD917510:IVD917511 JEZ917510:JEZ917511 JOV917510:JOV917511 JYR917510:JYR917511 KIN917510:KIN917511 KSJ917510:KSJ917511 LCF917510:LCF917511 LMB917510:LMB917511 LVX917510:LVX917511 MFT917510:MFT917511 MPP917510:MPP917511 MZL917510:MZL917511 NJH917510:NJH917511 NTD917510:NTD917511 OCZ917510:OCZ917511 OMV917510:OMV917511 OWR917510:OWR917511 PGN917510:PGN917511 PQJ917510:PQJ917511 QAF917510:QAF917511 QKB917510:QKB917511 QTX917510:QTX917511 RDT917510:RDT917511 RNP917510:RNP917511 RXL917510:RXL917511 SHH917510:SHH917511 SRD917510:SRD917511 TAZ917510:TAZ917511 TKV917510:TKV917511 TUR917510:TUR917511 UEN917510:UEN917511 UOJ917510:UOJ917511 UYF917510:UYF917511 VIB917510:VIB917511 VRX917510:VRX917511 WBT917510:WBT917511 WLP917510:WLP917511 WVL917510:WVL917511 D983046:D983047 IZ983046:IZ983047 SV983046:SV983047 ACR983046:ACR983047 AMN983046:AMN983047 AWJ983046:AWJ983047 BGF983046:BGF983047 BQB983046:BQB983047 BZX983046:BZX983047 CJT983046:CJT983047 CTP983046:CTP983047 DDL983046:DDL983047 DNH983046:DNH983047 DXD983046:DXD983047 EGZ983046:EGZ983047 EQV983046:EQV983047 FAR983046:FAR983047 FKN983046:FKN983047 FUJ983046:FUJ983047 GEF983046:GEF983047 GOB983046:GOB983047 GXX983046:GXX983047 HHT983046:HHT983047 HRP983046:HRP983047 IBL983046:IBL983047 ILH983046:ILH983047 IVD983046:IVD983047 JEZ983046:JEZ983047 JOV983046:JOV983047 JYR983046:JYR983047 KIN983046:KIN983047 KSJ983046:KSJ983047 LCF983046:LCF983047 LMB983046:LMB983047 LVX983046:LVX983047 MFT983046:MFT983047 MPP983046:MPP983047 MZL983046:MZL983047 NJH983046:NJH983047 NTD983046:NTD983047 OCZ983046:OCZ983047 OMV983046:OMV983047 OWR983046:OWR983047 PGN983046:PGN983047 PQJ983046:PQJ983047 QAF983046:QAF983047 QKB983046:QKB983047 QTX983046:QTX983047 RDT983046:RDT983047 RNP983046:RNP983047 RXL983046:RXL983047 SHH983046:SHH983047 SRD983046:SRD983047 TAZ983046:TAZ983047 TKV983046:TKV983047 TUR983046:TUR983047 UEN983046:UEN983047 UOJ983046:UOJ983047 UYF983046:UYF983047 VIB983046:VIB983047 VRX983046:VRX983047 WBT983046:WBT983047 WLP983046:WLP983047 WVL983046:WVL983047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76 IZ65676 SV65676 ACR65676 AMN65676 AWJ65676 BGF65676 BQB65676 BZX65676 CJT65676 CTP65676 DDL65676 DNH65676 DXD65676 EGZ65676 EQV65676 FAR65676 FKN65676 FUJ65676 GEF65676 GOB65676 GXX65676 HHT65676 HRP65676 IBL65676 ILH65676 IVD65676 JEZ65676 JOV65676 JYR65676 KIN65676 KSJ65676 LCF65676 LMB65676 LVX65676 MFT65676 MPP65676 MZL65676 NJH65676 NTD65676 OCZ65676 OMV65676 OWR65676 PGN65676 PQJ65676 QAF65676 QKB65676 QTX65676 RDT65676 RNP65676 RXL65676 SHH65676 SRD65676 TAZ65676 TKV65676 TUR65676 UEN65676 UOJ65676 UYF65676 VIB65676 VRX65676 WBT65676 WLP65676 WVL65676 D131212 IZ131212 SV131212 ACR131212 AMN131212 AWJ131212 BGF131212 BQB131212 BZX131212 CJT131212 CTP131212 DDL131212 DNH131212 DXD131212 EGZ131212 EQV131212 FAR131212 FKN131212 FUJ131212 GEF131212 GOB131212 GXX131212 HHT131212 HRP131212 IBL131212 ILH131212 IVD131212 JEZ131212 JOV131212 JYR131212 KIN131212 KSJ131212 LCF131212 LMB131212 LVX131212 MFT131212 MPP131212 MZL131212 NJH131212 NTD131212 OCZ131212 OMV131212 OWR131212 PGN131212 PQJ131212 QAF131212 QKB131212 QTX131212 RDT131212 RNP131212 RXL131212 SHH131212 SRD131212 TAZ131212 TKV131212 TUR131212 UEN131212 UOJ131212 UYF131212 VIB131212 VRX131212 WBT131212 WLP131212 WVL131212 D196748 IZ196748 SV196748 ACR196748 AMN196748 AWJ196748 BGF196748 BQB196748 BZX196748 CJT196748 CTP196748 DDL196748 DNH196748 DXD196748 EGZ196748 EQV196748 FAR196748 FKN196748 FUJ196748 GEF196748 GOB196748 GXX196748 HHT196748 HRP196748 IBL196748 ILH196748 IVD196748 JEZ196748 JOV196748 JYR196748 KIN196748 KSJ196748 LCF196748 LMB196748 LVX196748 MFT196748 MPP196748 MZL196748 NJH196748 NTD196748 OCZ196748 OMV196748 OWR196748 PGN196748 PQJ196748 QAF196748 QKB196748 QTX196748 RDT196748 RNP196748 RXL196748 SHH196748 SRD196748 TAZ196748 TKV196748 TUR196748 UEN196748 UOJ196748 UYF196748 VIB196748 VRX196748 WBT196748 WLP196748 WVL196748 D262284 IZ262284 SV262284 ACR262284 AMN262284 AWJ262284 BGF262284 BQB262284 BZX262284 CJT262284 CTP262284 DDL262284 DNH262284 DXD262284 EGZ262284 EQV262284 FAR262284 FKN262284 FUJ262284 GEF262284 GOB262284 GXX262284 HHT262284 HRP262284 IBL262284 ILH262284 IVD262284 JEZ262284 JOV262284 JYR262284 KIN262284 KSJ262284 LCF262284 LMB262284 LVX262284 MFT262284 MPP262284 MZL262284 NJH262284 NTD262284 OCZ262284 OMV262284 OWR262284 PGN262284 PQJ262284 QAF262284 QKB262284 QTX262284 RDT262284 RNP262284 RXL262284 SHH262284 SRD262284 TAZ262284 TKV262284 TUR262284 UEN262284 UOJ262284 UYF262284 VIB262284 VRX262284 WBT262284 WLP262284 WVL262284 D327820 IZ327820 SV327820 ACR327820 AMN327820 AWJ327820 BGF327820 BQB327820 BZX327820 CJT327820 CTP327820 DDL327820 DNH327820 DXD327820 EGZ327820 EQV327820 FAR327820 FKN327820 FUJ327820 GEF327820 GOB327820 GXX327820 HHT327820 HRP327820 IBL327820 ILH327820 IVD327820 JEZ327820 JOV327820 JYR327820 KIN327820 KSJ327820 LCF327820 LMB327820 LVX327820 MFT327820 MPP327820 MZL327820 NJH327820 NTD327820 OCZ327820 OMV327820 OWR327820 PGN327820 PQJ327820 QAF327820 QKB327820 QTX327820 RDT327820 RNP327820 RXL327820 SHH327820 SRD327820 TAZ327820 TKV327820 TUR327820 UEN327820 UOJ327820 UYF327820 VIB327820 VRX327820 WBT327820 WLP327820 WVL327820 D393356 IZ393356 SV393356 ACR393356 AMN393356 AWJ393356 BGF393356 BQB393356 BZX393356 CJT393356 CTP393356 DDL393356 DNH393356 DXD393356 EGZ393356 EQV393356 FAR393356 FKN393356 FUJ393356 GEF393356 GOB393356 GXX393356 HHT393356 HRP393356 IBL393356 ILH393356 IVD393356 JEZ393356 JOV393356 JYR393356 KIN393356 KSJ393356 LCF393356 LMB393356 LVX393356 MFT393356 MPP393356 MZL393356 NJH393356 NTD393356 OCZ393356 OMV393356 OWR393356 PGN393356 PQJ393356 QAF393356 QKB393356 QTX393356 RDT393356 RNP393356 RXL393356 SHH393356 SRD393356 TAZ393356 TKV393356 TUR393356 UEN393356 UOJ393356 UYF393356 VIB393356 VRX393356 WBT393356 WLP393356 WVL393356 D458892 IZ458892 SV458892 ACR458892 AMN458892 AWJ458892 BGF458892 BQB458892 BZX458892 CJT458892 CTP458892 DDL458892 DNH458892 DXD458892 EGZ458892 EQV458892 FAR458892 FKN458892 FUJ458892 GEF458892 GOB458892 GXX458892 HHT458892 HRP458892 IBL458892 ILH458892 IVD458892 JEZ458892 JOV458892 JYR458892 KIN458892 KSJ458892 LCF458892 LMB458892 LVX458892 MFT458892 MPP458892 MZL458892 NJH458892 NTD458892 OCZ458892 OMV458892 OWR458892 PGN458892 PQJ458892 QAF458892 QKB458892 QTX458892 RDT458892 RNP458892 RXL458892 SHH458892 SRD458892 TAZ458892 TKV458892 TUR458892 UEN458892 UOJ458892 UYF458892 VIB458892 VRX458892 WBT458892 WLP458892 WVL458892 D524428 IZ524428 SV524428 ACR524428 AMN524428 AWJ524428 BGF524428 BQB524428 BZX524428 CJT524428 CTP524428 DDL524428 DNH524428 DXD524428 EGZ524428 EQV524428 FAR524428 FKN524428 FUJ524428 GEF524428 GOB524428 GXX524428 HHT524428 HRP524428 IBL524428 ILH524428 IVD524428 JEZ524428 JOV524428 JYR524428 KIN524428 KSJ524428 LCF524428 LMB524428 LVX524428 MFT524428 MPP524428 MZL524428 NJH524428 NTD524428 OCZ524428 OMV524428 OWR524428 PGN524428 PQJ524428 QAF524428 QKB524428 QTX524428 RDT524428 RNP524428 RXL524428 SHH524428 SRD524428 TAZ524428 TKV524428 TUR524428 UEN524428 UOJ524428 UYF524428 VIB524428 VRX524428 WBT524428 WLP524428 WVL524428 D589964 IZ589964 SV589964 ACR589964 AMN589964 AWJ589964 BGF589964 BQB589964 BZX589964 CJT589964 CTP589964 DDL589964 DNH589964 DXD589964 EGZ589964 EQV589964 FAR589964 FKN589964 FUJ589964 GEF589964 GOB589964 GXX589964 HHT589964 HRP589964 IBL589964 ILH589964 IVD589964 JEZ589964 JOV589964 JYR589964 KIN589964 KSJ589964 LCF589964 LMB589964 LVX589964 MFT589964 MPP589964 MZL589964 NJH589964 NTD589964 OCZ589964 OMV589964 OWR589964 PGN589964 PQJ589964 QAF589964 QKB589964 QTX589964 RDT589964 RNP589964 RXL589964 SHH589964 SRD589964 TAZ589964 TKV589964 TUR589964 UEN589964 UOJ589964 UYF589964 VIB589964 VRX589964 WBT589964 WLP589964 WVL589964 D655500 IZ655500 SV655500 ACR655500 AMN655500 AWJ655500 BGF655500 BQB655500 BZX655500 CJT655500 CTP655500 DDL655500 DNH655500 DXD655500 EGZ655500 EQV655500 FAR655500 FKN655500 FUJ655500 GEF655500 GOB655500 GXX655500 HHT655500 HRP655500 IBL655500 ILH655500 IVD655500 JEZ655500 JOV655500 JYR655500 KIN655500 KSJ655500 LCF655500 LMB655500 LVX655500 MFT655500 MPP655500 MZL655500 NJH655500 NTD655500 OCZ655500 OMV655500 OWR655500 PGN655500 PQJ655500 QAF655500 QKB655500 QTX655500 RDT655500 RNP655500 RXL655500 SHH655500 SRD655500 TAZ655500 TKV655500 TUR655500 UEN655500 UOJ655500 UYF655500 VIB655500 VRX655500 WBT655500 WLP655500 WVL655500 D721036 IZ721036 SV721036 ACR721036 AMN721036 AWJ721036 BGF721036 BQB721036 BZX721036 CJT721036 CTP721036 DDL721036 DNH721036 DXD721036 EGZ721036 EQV721036 FAR721036 FKN721036 FUJ721036 GEF721036 GOB721036 GXX721036 HHT721036 HRP721036 IBL721036 ILH721036 IVD721036 JEZ721036 JOV721036 JYR721036 KIN721036 KSJ721036 LCF721036 LMB721036 LVX721036 MFT721036 MPP721036 MZL721036 NJH721036 NTD721036 OCZ721036 OMV721036 OWR721036 PGN721036 PQJ721036 QAF721036 QKB721036 QTX721036 RDT721036 RNP721036 RXL721036 SHH721036 SRD721036 TAZ721036 TKV721036 TUR721036 UEN721036 UOJ721036 UYF721036 VIB721036 VRX721036 WBT721036 WLP721036 WVL721036 D786572 IZ786572 SV786572 ACR786572 AMN786572 AWJ786572 BGF786572 BQB786572 BZX786572 CJT786572 CTP786572 DDL786572 DNH786572 DXD786572 EGZ786572 EQV786572 FAR786572 FKN786572 FUJ786572 GEF786572 GOB786572 GXX786572 HHT786572 HRP786572 IBL786572 ILH786572 IVD786572 JEZ786572 JOV786572 JYR786572 KIN786572 KSJ786572 LCF786572 LMB786572 LVX786572 MFT786572 MPP786572 MZL786572 NJH786572 NTD786572 OCZ786572 OMV786572 OWR786572 PGN786572 PQJ786572 QAF786572 QKB786572 QTX786572 RDT786572 RNP786572 RXL786572 SHH786572 SRD786572 TAZ786572 TKV786572 TUR786572 UEN786572 UOJ786572 UYF786572 VIB786572 VRX786572 WBT786572 WLP786572 WVL786572 D852108 IZ852108 SV852108 ACR852108 AMN852108 AWJ852108 BGF852108 BQB852108 BZX852108 CJT852108 CTP852108 DDL852108 DNH852108 DXD852108 EGZ852108 EQV852108 FAR852108 FKN852108 FUJ852108 GEF852108 GOB852108 GXX852108 HHT852108 HRP852108 IBL852108 ILH852108 IVD852108 JEZ852108 JOV852108 JYR852108 KIN852108 KSJ852108 LCF852108 LMB852108 LVX852108 MFT852108 MPP852108 MZL852108 NJH852108 NTD852108 OCZ852108 OMV852108 OWR852108 PGN852108 PQJ852108 QAF852108 QKB852108 QTX852108 RDT852108 RNP852108 RXL852108 SHH852108 SRD852108 TAZ852108 TKV852108 TUR852108 UEN852108 UOJ852108 UYF852108 VIB852108 VRX852108 WBT852108 WLP852108 WVL852108 D917644 IZ917644 SV917644 ACR917644 AMN917644 AWJ917644 BGF917644 BQB917644 BZX917644 CJT917644 CTP917644 DDL917644 DNH917644 DXD917644 EGZ917644 EQV917644 FAR917644 FKN917644 FUJ917644 GEF917644 GOB917644 GXX917644 HHT917644 HRP917644 IBL917644 ILH917644 IVD917644 JEZ917644 JOV917644 JYR917644 KIN917644 KSJ917644 LCF917644 LMB917644 LVX917644 MFT917644 MPP917644 MZL917644 NJH917644 NTD917644 OCZ917644 OMV917644 OWR917644 PGN917644 PQJ917644 QAF917644 QKB917644 QTX917644 RDT917644 RNP917644 RXL917644 SHH917644 SRD917644 TAZ917644 TKV917644 TUR917644 UEN917644 UOJ917644 UYF917644 VIB917644 VRX917644 WBT917644 WLP917644 WVL917644 D983180 IZ983180 SV983180 ACR983180 AMN983180 AWJ983180 BGF983180 BQB983180 BZX983180 CJT983180 CTP983180 DDL983180 DNH983180 DXD983180 EGZ983180 EQV983180 FAR983180 FKN983180 FUJ983180 GEF983180 GOB983180 GXX983180 HHT983180 HRP983180 IBL983180 ILH983180 IVD983180 JEZ983180 JOV983180 JYR983180 KIN983180 KSJ983180 LCF983180 LMB983180 LVX983180 MFT983180 MPP983180 MZL983180 NJH983180 NTD983180 OCZ983180 OMV983180 OWR983180 PGN983180 PQJ983180 QAF983180 QKB983180 QTX983180 RDT983180 RNP983180 RXL983180 SHH983180 SRD983180 TAZ983180 TKV983180 TUR983180 UEN983180 UOJ983180 UYF983180 VIB983180 VRX983180 WBT983180 WLP983180 WVL983180 D451 IZ451 SV451 ACR451 AMN451 AWJ451 BGF451 BQB451 BZX451 CJT451 CTP451 DDL451 DNH451 DXD451 EGZ451 EQV451 FAR451 FKN451 FUJ451 GEF451 GOB451 GXX451 HHT451 HRP451 IBL451 ILH451 IVD451 JEZ451 JOV451 JYR451 KIN451 KSJ451 LCF451 LMB451 LVX451 MFT451 MPP451 MZL451 NJH451 NTD451 OCZ451 OMV451 OWR451 PGN451 PQJ451 QAF451 QKB451 QTX451 RDT451 RNP451 RXL451 SHH451 SRD451 TAZ451 TKV451 TUR451 UEN451 UOJ451 UYF451 VIB451 VRX451 WBT451 WLP451 WVL451 D65987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523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059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595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131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667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203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739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275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5811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347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6883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419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7955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491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xr:uid="{6F8EB769-0B4D-4585-A1EB-8F408D639CCF}">
      <formula1>"Core1,Core2,Core3"</formula1>
    </dataValidation>
    <dataValidation type="list" allowBlank="1" showInputMessage="1" showErrorMessage="1" sqref="M766:N766 JI766:JJ766 TE766:TF766 ADA766:ADB766 AMW766:AMX766 AWS766:AWT766 BGO766:BGP766 BQK766:BQL766 CAG766:CAH766 CKC766:CKD766 CTY766:CTZ766 DDU766:DDV766 DNQ766:DNR766 DXM766:DXN766 EHI766:EHJ766 ERE766:ERF766 FBA766:FBB766 FKW766:FKX766 FUS766:FUT766 GEO766:GEP766 GOK766:GOL766 GYG766:GYH766 HIC766:HID766 HRY766:HRZ766 IBU766:IBV766 ILQ766:ILR766 IVM766:IVN766 JFI766:JFJ766 JPE766:JPF766 JZA766:JZB766 KIW766:KIX766 KSS766:KST766 LCO766:LCP766 LMK766:LML766 LWG766:LWH766 MGC766:MGD766 MPY766:MPZ766 MZU766:MZV766 NJQ766:NJR766 NTM766:NTN766 ODI766:ODJ766 ONE766:ONF766 OXA766:OXB766 PGW766:PGX766 PQS766:PQT766 QAO766:QAP766 QKK766:QKL766 QUG766:QUH766 REC766:RED766 RNY766:RNZ766 RXU766:RXV766 SHQ766:SHR766 SRM766:SRN766 TBI766:TBJ766 TLE766:TLF766 TVA766:TVB766 UEW766:UEX766 UOS766:UOT766 UYO766:UYP766 VIK766:VIL766 VSG766:VSH766 WCC766:WCD766 WLY766:WLZ766 WVU766:WVV766 M66302:N66302 JI66302:JJ66302 TE66302:TF66302 ADA66302:ADB66302 AMW66302:AMX66302 AWS66302:AWT66302 BGO66302:BGP66302 BQK66302:BQL66302 CAG66302:CAH66302 CKC66302:CKD66302 CTY66302:CTZ66302 DDU66302:DDV66302 DNQ66302:DNR66302 DXM66302:DXN66302 EHI66302:EHJ66302 ERE66302:ERF66302 FBA66302:FBB66302 FKW66302:FKX66302 FUS66302:FUT66302 GEO66302:GEP66302 GOK66302:GOL66302 GYG66302:GYH66302 HIC66302:HID66302 HRY66302:HRZ66302 IBU66302:IBV66302 ILQ66302:ILR66302 IVM66302:IVN66302 JFI66302:JFJ66302 JPE66302:JPF66302 JZA66302:JZB66302 KIW66302:KIX66302 KSS66302:KST66302 LCO66302:LCP66302 LMK66302:LML66302 LWG66302:LWH66302 MGC66302:MGD66302 MPY66302:MPZ66302 MZU66302:MZV66302 NJQ66302:NJR66302 NTM66302:NTN66302 ODI66302:ODJ66302 ONE66302:ONF66302 OXA66302:OXB66302 PGW66302:PGX66302 PQS66302:PQT66302 QAO66302:QAP66302 QKK66302:QKL66302 QUG66302:QUH66302 REC66302:RED66302 RNY66302:RNZ66302 RXU66302:RXV66302 SHQ66302:SHR66302 SRM66302:SRN66302 TBI66302:TBJ66302 TLE66302:TLF66302 TVA66302:TVB66302 UEW66302:UEX66302 UOS66302:UOT66302 UYO66302:UYP66302 VIK66302:VIL66302 VSG66302:VSH66302 WCC66302:WCD66302 WLY66302:WLZ66302 WVU66302:WVV66302 M131838:N131838 JI131838:JJ131838 TE131838:TF131838 ADA131838:ADB131838 AMW131838:AMX131838 AWS131838:AWT131838 BGO131838:BGP131838 BQK131838:BQL131838 CAG131838:CAH131838 CKC131838:CKD131838 CTY131838:CTZ131838 DDU131838:DDV131838 DNQ131838:DNR131838 DXM131838:DXN131838 EHI131838:EHJ131838 ERE131838:ERF131838 FBA131838:FBB131838 FKW131838:FKX131838 FUS131838:FUT131838 GEO131838:GEP131838 GOK131838:GOL131838 GYG131838:GYH131838 HIC131838:HID131838 HRY131838:HRZ131838 IBU131838:IBV131838 ILQ131838:ILR131838 IVM131838:IVN131838 JFI131838:JFJ131838 JPE131838:JPF131838 JZA131838:JZB131838 KIW131838:KIX131838 KSS131838:KST131838 LCO131838:LCP131838 LMK131838:LML131838 LWG131838:LWH131838 MGC131838:MGD131838 MPY131838:MPZ131838 MZU131838:MZV131838 NJQ131838:NJR131838 NTM131838:NTN131838 ODI131838:ODJ131838 ONE131838:ONF131838 OXA131838:OXB131838 PGW131838:PGX131838 PQS131838:PQT131838 QAO131838:QAP131838 QKK131838:QKL131838 QUG131838:QUH131838 REC131838:RED131838 RNY131838:RNZ131838 RXU131838:RXV131838 SHQ131838:SHR131838 SRM131838:SRN131838 TBI131838:TBJ131838 TLE131838:TLF131838 TVA131838:TVB131838 UEW131838:UEX131838 UOS131838:UOT131838 UYO131838:UYP131838 VIK131838:VIL131838 VSG131838:VSH131838 WCC131838:WCD131838 WLY131838:WLZ131838 WVU131838:WVV131838 M197374:N197374 JI197374:JJ197374 TE197374:TF197374 ADA197374:ADB197374 AMW197374:AMX197374 AWS197374:AWT197374 BGO197374:BGP197374 BQK197374:BQL197374 CAG197374:CAH197374 CKC197374:CKD197374 CTY197374:CTZ197374 DDU197374:DDV197374 DNQ197374:DNR197374 DXM197374:DXN197374 EHI197374:EHJ197374 ERE197374:ERF197374 FBA197374:FBB197374 FKW197374:FKX197374 FUS197374:FUT197374 GEO197374:GEP197374 GOK197374:GOL197374 GYG197374:GYH197374 HIC197374:HID197374 HRY197374:HRZ197374 IBU197374:IBV197374 ILQ197374:ILR197374 IVM197374:IVN197374 JFI197374:JFJ197374 JPE197374:JPF197374 JZA197374:JZB197374 KIW197374:KIX197374 KSS197374:KST197374 LCO197374:LCP197374 LMK197374:LML197374 LWG197374:LWH197374 MGC197374:MGD197374 MPY197374:MPZ197374 MZU197374:MZV197374 NJQ197374:NJR197374 NTM197374:NTN197374 ODI197374:ODJ197374 ONE197374:ONF197374 OXA197374:OXB197374 PGW197374:PGX197374 PQS197374:PQT197374 QAO197374:QAP197374 QKK197374:QKL197374 QUG197374:QUH197374 REC197374:RED197374 RNY197374:RNZ197374 RXU197374:RXV197374 SHQ197374:SHR197374 SRM197374:SRN197374 TBI197374:TBJ197374 TLE197374:TLF197374 TVA197374:TVB197374 UEW197374:UEX197374 UOS197374:UOT197374 UYO197374:UYP197374 VIK197374:VIL197374 VSG197374:VSH197374 WCC197374:WCD197374 WLY197374:WLZ197374 WVU197374:WVV197374 M262910:N262910 JI262910:JJ262910 TE262910:TF262910 ADA262910:ADB262910 AMW262910:AMX262910 AWS262910:AWT262910 BGO262910:BGP262910 BQK262910:BQL262910 CAG262910:CAH262910 CKC262910:CKD262910 CTY262910:CTZ262910 DDU262910:DDV262910 DNQ262910:DNR262910 DXM262910:DXN262910 EHI262910:EHJ262910 ERE262910:ERF262910 FBA262910:FBB262910 FKW262910:FKX262910 FUS262910:FUT262910 GEO262910:GEP262910 GOK262910:GOL262910 GYG262910:GYH262910 HIC262910:HID262910 HRY262910:HRZ262910 IBU262910:IBV262910 ILQ262910:ILR262910 IVM262910:IVN262910 JFI262910:JFJ262910 JPE262910:JPF262910 JZA262910:JZB262910 KIW262910:KIX262910 KSS262910:KST262910 LCO262910:LCP262910 LMK262910:LML262910 LWG262910:LWH262910 MGC262910:MGD262910 MPY262910:MPZ262910 MZU262910:MZV262910 NJQ262910:NJR262910 NTM262910:NTN262910 ODI262910:ODJ262910 ONE262910:ONF262910 OXA262910:OXB262910 PGW262910:PGX262910 PQS262910:PQT262910 QAO262910:QAP262910 QKK262910:QKL262910 QUG262910:QUH262910 REC262910:RED262910 RNY262910:RNZ262910 RXU262910:RXV262910 SHQ262910:SHR262910 SRM262910:SRN262910 TBI262910:TBJ262910 TLE262910:TLF262910 TVA262910:TVB262910 UEW262910:UEX262910 UOS262910:UOT262910 UYO262910:UYP262910 VIK262910:VIL262910 VSG262910:VSH262910 WCC262910:WCD262910 WLY262910:WLZ262910 WVU262910:WVV262910 M328446:N328446 JI328446:JJ328446 TE328446:TF328446 ADA328446:ADB328446 AMW328446:AMX328446 AWS328446:AWT328446 BGO328446:BGP328446 BQK328446:BQL328446 CAG328446:CAH328446 CKC328446:CKD328446 CTY328446:CTZ328446 DDU328446:DDV328446 DNQ328446:DNR328446 DXM328446:DXN328446 EHI328446:EHJ328446 ERE328446:ERF328446 FBA328446:FBB328446 FKW328446:FKX328446 FUS328446:FUT328446 GEO328446:GEP328446 GOK328446:GOL328446 GYG328446:GYH328446 HIC328446:HID328446 HRY328446:HRZ328446 IBU328446:IBV328446 ILQ328446:ILR328446 IVM328446:IVN328446 JFI328446:JFJ328446 JPE328446:JPF328446 JZA328446:JZB328446 KIW328446:KIX328446 KSS328446:KST328446 LCO328446:LCP328446 LMK328446:LML328446 LWG328446:LWH328446 MGC328446:MGD328446 MPY328446:MPZ328446 MZU328446:MZV328446 NJQ328446:NJR328446 NTM328446:NTN328446 ODI328446:ODJ328446 ONE328446:ONF328446 OXA328446:OXB328446 PGW328446:PGX328446 PQS328446:PQT328446 QAO328446:QAP328446 QKK328446:QKL328446 QUG328446:QUH328446 REC328446:RED328446 RNY328446:RNZ328446 RXU328446:RXV328446 SHQ328446:SHR328446 SRM328446:SRN328446 TBI328446:TBJ328446 TLE328446:TLF328446 TVA328446:TVB328446 UEW328446:UEX328446 UOS328446:UOT328446 UYO328446:UYP328446 VIK328446:VIL328446 VSG328446:VSH328446 WCC328446:WCD328446 WLY328446:WLZ328446 WVU328446:WVV328446 M393982:N393982 JI393982:JJ393982 TE393982:TF393982 ADA393982:ADB393982 AMW393982:AMX393982 AWS393982:AWT393982 BGO393982:BGP393982 BQK393982:BQL393982 CAG393982:CAH393982 CKC393982:CKD393982 CTY393982:CTZ393982 DDU393982:DDV393982 DNQ393982:DNR393982 DXM393982:DXN393982 EHI393982:EHJ393982 ERE393982:ERF393982 FBA393982:FBB393982 FKW393982:FKX393982 FUS393982:FUT393982 GEO393982:GEP393982 GOK393982:GOL393982 GYG393982:GYH393982 HIC393982:HID393982 HRY393982:HRZ393982 IBU393982:IBV393982 ILQ393982:ILR393982 IVM393982:IVN393982 JFI393982:JFJ393982 JPE393982:JPF393982 JZA393982:JZB393982 KIW393982:KIX393982 KSS393982:KST393982 LCO393982:LCP393982 LMK393982:LML393982 LWG393982:LWH393982 MGC393982:MGD393982 MPY393982:MPZ393982 MZU393982:MZV393982 NJQ393982:NJR393982 NTM393982:NTN393982 ODI393982:ODJ393982 ONE393982:ONF393982 OXA393982:OXB393982 PGW393982:PGX393982 PQS393982:PQT393982 QAO393982:QAP393982 QKK393982:QKL393982 QUG393982:QUH393982 REC393982:RED393982 RNY393982:RNZ393982 RXU393982:RXV393982 SHQ393982:SHR393982 SRM393982:SRN393982 TBI393982:TBJ393982 TLE393982:TLF393982 TVA393982:TVB393982 UEW393982:UEX393982 UOS393982:UOT393982 UYO393982:UYP393982 VIK393982:VIL393982 VSG393982:VSH393982 WCC393982:WCD393982 WLY393982:WLZ393982 WVU393982:WVV393982 M459518:N459518 JI459518:JJ459518 TE459518:TF459518 ADA459518:ADB459518 AMW459518:AMX459518 AWS459518:AWT459518 BGO459518:BGP459518 BQK459518:BQL459518 CAG459518:CAH459518 CKC459518:CKD459518 CTY459518:CTZ459518 DDU459518:DDV459518 DNQ459518:DNR459518 DXM459518:DXN459518 EHI459518:EHJ459518 ERE459518:ERF459518 FBA459518:FBB459518 FKW459518:FKX459518 FUS459518:FUT459518 GEO459518:GEP459518 GOK459518:GOL459518 GYG459518:GYH459518 HIC459518:HID459518 HRY459518:HRZ459518 IBU459518:IBV459518 ILQ459518:ILR459518 IVM459518:IVN459518 JFI459518:JFJ459518 JPE459518:JPF459518 JZA459518:JZB459518 KIW459518:KIX459518 KSS459518:KST459518 LCO459518:LCP459518 LMK459518:LML459518 LWG459518:LWH459518 MGC459518:MGD459518 MPY459518:MPZ459518 MZU459518:MZV459518 NJQ459518:NJR459518 NTM459518:NTN459518 ODI459518:ODJ459518 ONE459518:ONF459518 OXA459518:OXB459518 PGW459518:PGX459518 PQS459518:PQT459518 QAO459518:QAP459518 QKK459518:QKL459518 QUG459518:QUH459518 REC459518:RED459518 RNY459518:RNZ459518 RXU459518:RXV459518 SHQ459518:SHR459518 SRM459518:SRN459518 TBI459518:TBJ459518 TLE459518:TLF459518 TVA459518:TVB459518 UEW459518:UEX459518 UOS459518:UOT459518 UYO459518:UYP459518 VIK459518:VIL459518 VSG459518:VSH459518 WCC459518:WCD459518 WLY459518:WLZ459518 WVU459518:WVV459518 M525054:N525054 JI525054:JJ525054 TE525054:TF525054 ADA525054:ADB525054 AMW525054:AMX525054 AWS525054:AWT525054 BGO525054:BGP525054 BQK525054:BQL525054 CAG525054:CAH525054 CKC525054:CKD525054 CTY525054:CTZ525054 DDU525054:DDV525054 DNQ525054:DNR525054 DXM525054:DXN525054 EHI525054:EHJ525054 ERE525054:ERF525054 FBA525054:FBB525054 FKW525054:FKX525054 FUS525054:FUT525054 GEO525054:GEP525054 GOK525054:GOL525054 GYG525054:GYH525054 HIC525054:HID525054 HRY525054:HRZ525054 IBU525054:IBV525054 ILQ525054:ILR525054 IVM525054:IVN525054 JFI525054:JFJ525054 JPE525054:JPF525054 JZA525054:JZB525054 KIW525054:KIX525054 KSS525054:KST525054 LCO525054:LCP525054 LMK525054:LML525054 LWG525054:LWH525054 MGC525054:MGD525054 MPY525054:MPZ525054 MZU525054:MZV525054 NJQ525054:NJR525054 NTM525054:NTN525054 ODI525054:ODJ525054 ONE525054:ONF525054 OXA525054:OXB525054 PGW525054:PGX525054 PQS525054:PQT525054 QAO525054:QAP525054 QKK525054:QKL525054 QUG525054:QUH525054 REC525054:RED525054 RNY525054:RNZ525054 RXU525054:RXV525054 SHQ525054:SHR525054 SRM525054:SRN525054 TBI525054:TBJ525054 TLE525054:TLF525054 TVA525054:TVB525054 UEW525054:UEX525054 UOS525054:UOT525054 UYO525054:UYP525054 VIK525054:VIL525054 VSG525054:VSH525054 WCC525054:WCD525054 WLY525054:WLZ525054 WVU525054:WVV525054 M590590:N590590 JI590590:JJ590590 TE590590:TF590590 ADA590590:ADB590590 AMW590590:AMX590590 AWS590590:AWT590590 BGO590590:BGP590590 BQK590590:BQL590590 CAG590590:CAH590590 CKC590590:CKD590590 CTY590590:CTZ590590 DDU590590:DDV590590 DNQ590590:DNR590590 DXM590590:DXN590590 EHI590590:EHJ590590 ERE590590:ERF590590 FBA590590:FBB590590 FKW590590:FKX590590 FUS590590:FUT590590 GEO590590:GEP590590 GOK590590:GOL590590 GYG590590:GYH590590 HIC590590:HID590590 HRY590590:HRZ590590 IBU590590:IBV590590 ILQ590590:ILR590590 IVM590590:IVN590590 JFI590590:JFJ590590 JPE590590:JPF590590 JZA590590:JZB590590 KIW590590:KIX590590 KSS590590:KST590590 LCO590590:LCP590590 LMK590590:LML590590 LWG590590:LWH590590 MGC590590:MGD590590 MPY590590:MPZ590590 MZU590590:MZV590590 NJQ590590:NJR590590 NTM590590:NTN590590 ODI590590:ODJ590590 ONE590590:ONF590590 OXA590590:OXB590590 PGW590590:PGX590590 PQS590590:PQT590590 QAO590590:QAP590590 QKK590590:QKL590590 QUG590590:QUH590590 REC590590:RED590590 RNY590590:RNZ590590 RXU590590:RXV590590 SHQ590590:SHR590590 SRM590590:SRN590590 TBI590590:TBJ590590 TLE590590:TLF590590 TVA590590:TVB590590 UEW590590:UEX590590 UOS590590:UOT590590 UYO590590:UYP590590 VIK590590:VIL590590 VSG590590:VSH590590 WCC590590:WCD590590 WLY590590:WLZ590590 WVU590590:WVV590590 M656126:N656126 JI656126:JJ656126 TE656126:TF656126 ADA656126:ADB656126 AMW656126:AMX656126 AWS656126:AWT656126 BGO656126:BGP656126 BQK656126:BQL656126 CAG656126:CAH656126 CKC656126:CKD656126 CTY656126:CTZ656126 DDU656126:DDV656126 DNQ656126:DNR656126 DXM656126:DXN656126 EHI656126:EHJ656126 ERE656126:ERF656126 FBA656126:FBB656126 FKW656126:FKX656126 FUS656126:FUT656126 GEO656126:GEP656126 GOK656126:GOL656126 GYG656126:GYH656126 HIC656126:HID656126 HRY656126:HRZ656126 IBU656126:IBV656126 ILQ656126:ILR656126 IVM656126:IVN656126 JFI656126:JFJ656126 JPE656126:JPF656126 JZA656126:JZB656126 KIW656126:KIX656126 KSS656126:KST656126 LCO656126:LCP656126 LMK656126:LML656126 LWG656126:LWH656126 MGC656126:MGD656126 MPY656126:MPZ656126 MZU656126:MZV656126 NJQ656126:NJR656126 NTM656126:NTN656126 ODI656126:ODJ656126 ONE656126:ONF656126 OXA656126:OXB656126 PGW656126:PGX656126 PQS656126:PQT656126 QAO656126:QAP656126 QKK656126:QKL656126 QUG656126:QUH656126 REC656126:RED656126 RNY656126:RNZ656126 RXU656126:RXV656126 SHQ656126:SHR656126 SRM656126:SRN656126 TBI656126:TBJ656126 TLE656126:TLF656126 TVA656126:TVB656126 UEW656126:UEX656126 UOS656126:UOT656126 UYO656126:UYP656126 VIK656126:VIL656126 VSG656126:VSH656126 WCC656126:WCD656126 WLY656126:WLZ656126 WVU656126:WVV656126 M721662:N721662 JI721662:JJ721662 TE721662:TF721662 ADA721662:ADB721662 AMW721662:AMX721662 AWS721662:AWT721662 BGO721662:BGP721662 BQK721662:BQL721662 CAG721662:CAH721662 CKC721662:CKD721662 CTY721662:CTZ721662 DDU721662:DDV721662 DNQ721662:DNR721662 DXM721662:DXN721662 EHI721662:EHJ721662 ERE721662:ERF721662 FBA721662:FBB721662 FKW721662:FKX721662 FUS721662:FUT721662 GEO721662:GEP721662 GOK721662:GOL721662 GYG721662:GYH721662 HIC721662:HID721662 HRY721662:HRZ721662 IBU721662:IBV721662 ILQ721662:ILR721662 IVM721662:IVN721662 JFI721662:JFJ721662 JPE721662:JPF721662 JZA721662:JZB721662 KIW721662:KIX721662 KSS721662:KST721662 LCO721662:LCP721662 LMK721662:LML721662 LWG721662:LWH721662 MGC721662:MGD721662 MPY721662:MPZ721662 MZU721662:MZV721662 NJQ721662:NJR721662 NTM721662:NTN721662 ODI721662:ODJ721662 ONE721662:ONF721662 OXA721662:OXB721662 PGW721662:PGX721662 PQS721662:PQT721662 QAO721662:QAP721662 QKK721662:QKL721662 QUG721662:QUH721662 REC721662:RED721662 RNY721662:RNZ721662 RXU721662:RXV721662 SHQ721662:SHR721662 SRM721662:SRN721662 TBI721662:TBJ721662 TLE721662:TLF721662 TVA721662:TVB721662 UEW721662:UEX721662 UOS721662:UOT721662 UYO721662:UYP721662 VIK721662:VIL721662 VSG721662:VSH721662 WCC721662:WCD721662 WLY721662:WLZ721662 WVU721662:WVV721662 M787198:N787198 JI787198:JJ787198 TE787198:TF787198 ADA787198:ADB787198 AMW787198:AMX787198 AWS787198:AWT787198 BGO787198:BGP787198 BQK787198:BQL787198 CAG787198:CAH787198 CKC787198:CKD787198 CTY787198:CTZ787198 DDU787198:DDV787198 DNQ787198:DNR787198 DXM787198:DXN787198 EHI787198:EHJ787198 ERE787198:ERF787198 FBA787198:FBB787198 FKW787198:FKX787198 FUS787198:FUT787198 GEO787198:GEP787198 GOK787198:GOL787198 GYG787198:GYH787198 HIC787198:HID787198 HRY787198:HRZ787198 IBU787198:IBV787198 ILQ787198:ILR787198 IVM787198:IVN787198 JFI787198:JFJ787198 JPE787198:JPF787198 JZA787198:JZB787198 KIW787198:KIX787198 KSS787198:KST787198 LCO787198:LCP787198 LMK787198:LML787198 LWG787198:LWH787198 MGC787198:MGD787198 MPY787198:MPZ787198 MZU787198:MZV787198 NJQ787198:NJR787198 NTM787198:NTN787198 ODI787198:ODJ787198 ONE787198:ONF787198 OXA787198:OXB787198 PGW787198:PGX787198 PQS787198:PQT787198 QAO787198:QAP787198 QKK787198:QKL787198 QUG787198:QUH787198 REC787198:RED787198 RNY787198:RNZ787198 RXU787198:RXV787198 SHQ787198:SHR787198 SRM787198:SRN787198 TBI787198:TBJ787198 TLE787198:TLF787198 TVA787198:TVB787198 UEW787198:UEX787198 UOS787198:UOT787198 UYO787198:UYP787198 VIK787198:VIL787198 VSG787198:VSH787198 WCC787198:WCD787198 WLY787198:WLZ787198 WVU787198:WVV787198 M852734:N852734 JI852734:JJ852734 TE852734:TF852734 ADA852734:ADB852734 AMW852734:AMX852734 AWS852734:AWT852734 BGO852734:BGP852734 BQK852734:BQL852734 CAG852734:CAH852734 CKC852734:CKD852734 CTY852734:CTZ852734 DDU852734:DDV852734 DNQ852734:DNR852734 DXM852734:DXN852734 EHI852734:EHJ852734 ERE852734:ERF852734 FBA852734:FBB852734 FKW852734:FKX852734 FUS852734:FUT852734 GEO852734:GEP852734 GOK852734:GOL852734 GYG852734:GYH852734 HIC852734:HID852734 HRY852734:HRZ852734 IBU852734:IBV852734 ILQ852734:ILR852734 IVM852734:IVN852734 JFI852734:JFJ852734 JPE852734:JPF852734 JZA852734:JZB852734 KIW852734:KIX852734 KSS852734:KST852734 LCO852734:LCP852734 LMK852734:LML852734 LWG852734:LWH852734 MGC852734:MGD852734 MPY852734:MPZ852734 MZU852734:MZV852734 NJQ852734:NJR852734 NTM852734:NTN852734 ODI852734:ODJ852734 ONE852734:ONF852734 OXA852734:OXB852734 PGW852734:PGX852734 PQS852734:PQT852734 QAO852734:QAP852734 QKK852734:QKL852734 QUG852734:QUH852734 REC852734:RED852734 RNY852734:RNZ852734 RXU852734:RXV852734 SHQ852734:SHR852734 SRM852734:SRN852734 TBI852734:TBJ852734 TLE852734:TLF852734 TVA852734:TVB852734 UEW852734:UEX852734 UOS852734:UOT852734 UYO852734:UYP852734 VIK852734:VIL852734 VSG852734:VSH852734 WCC852734:WCD852734 WLY852734:WLZ852734 WVU852734:WVV852734 M918270:N918270 JI918270:JJ918270 TE918270:TF918270 ADA918270:ADB918270 AMW918270:AMX918270 AWS918270:AWT918270 BGO918270:BGP918270 BQK918270:BQL918270 CAG918270:CAH918270 CKC918270:CKD918270 CTY918270:CTZ918270 DDU918270:DDV918270 DNQ918270:DNR918270 DXM918270:DXN918270 EHI918270:EHJ918270 ERE918270:ERF918270 FBA918270:FBB918270 FKW918270:FKX918270 FUS918270:FUT918270 GEO918270:GEP918270 GOK918270:GOL918270 GYG918270:GYH918270 HIC918270:HID918270 HRY918270:HRZ918270 IBU918270:IBV918270 ILQ918270:ILR918270 IVM918270:IVN918270 JFI918270:JFJ918270 JPE918270:JPF918270 JZA918270:JZB918270 KIW918270:KIX918270 KSS918270:KST918270 LCO918270:LCP918270 LMK918270:LML918270 LWG918270:LWH918270 MGC918270:MGD918270 MPY918270:MPZ918270 MZU918270:MZV918270 NJQ918270:NJR918270 NTM918270:NTN918270 ODI918270:ODJ918270 ONE918270:ONF918270 OXA918270:OXB918270 PGW918270:PGX918270 PQS918270:PQT918270 QAO918270:QAP918270 QKK918270:QKL918270 QUG918270:QUH918270 REC918270:RED918270 RNY918270:RNZ918270 RXU918270:RXV918270 SHQ918270:SHR918270 SRM918270:SRN918270 TBI918270:TBJ918270 TLE918270:TLF918270 TVA918270:TVB918270 UEW918270:UEX918270 UOS918270:UOT918270 UYO918270:UYP918270 VIK918270:VIL918270 VSG918270:VSH918270 WCC918270:WCD918270 WLY918270:WLZ918270 WVU918270:WVV918270 M983806:N983806 JI983806:JJ983806 TE983806:TF983806 ADA983806:ADB983806 AMW983806:AMX983806 AWS983806:AWT983806 BGO983806:BGP983806 BQK983806:BQL983806 CAG983806:CAH983806 CKC983806:CKD983806 CTY983806:CTZ983806 DDU983806:DDV983806 DNQ983806:DNR983806 DXM983806:DXN983806 EHI983806:EHJ983806 ERE983806:ERF983806 FBA983806:FBB983806 FKW983806:FKX983806 FUS983806:FUT983806 GEO983806:GEP983806 GOK983806:GOL983806 GYG983806:GYH983806 HIC983806:HID983806 HRY983806:HRZ983806 IBU983806:IBV983806 ILQ983806:ILR983806 IVM983806:IVN983806 JFI983806:JFJ983806 JPE983806:JPF983806 JZA983806:JZB983806 KIW983806:KIX983806 KSS983806:KST983806 LCO983806:LCP983806 LMK983806:LML983806 LWG983806:LWH983806 MGC983806:MGD983806 MPY983806:MPZ983806 MZU983806:MZV983806 NJQ983806:NJR983806 NTM983806:NTN983806 ODI983806:ODJ983806 ONE983806:ONF983806 OXA983806:OXB983806 PGW983806:PGX983806 PQS983806:PQT983806 QAO983806:QAP983806 QKK983806:QKL983806 QUG983806:QUH983806 REC983806:RED983806 RNY983806:RNZ983806 RXU983806:RXV983806 SHQ983806:SHR983806 SRM983806:SRN983806 TBI983806:TBJ983806 TLE983806:TLF983806 TVA983806:TVB983806 UEW983806:UEX983806 UOS983806:UOT983806 UYO983806:UYP983806 VIK983806:VIL983806 VSG983806:VSH983806 WCC983806:WCD983806 WLY983806:WLZ983806 WVU983806:WVV983806 M634:N634 JI634:JJ634 TE634:TF634 ADA634:ADB634 AMW634:AMX634 AWS634:AWT634 BGO634:BGP634 BQK634:BQL634 CAG634:CAH634 CKC634:CKD634 CTY634:CTZ634 DDU634:DDV634 DNQ634:DNR634 DXM634:DXN634 EHI634:EHJ634 ERE634:ERF634 FBA634:FBB634 FKW634:FKX634 FUS634:FUT634 GEO634:GEP634 GOK634:GOL634 GYG634:GYH634 HIC634:HID634 HRY634:HRZ634 IBU634:IBV634 ILQ634:ILR634 IVM634:IVN634 JFI634:JFJ634 JPE634:JPF634 JZA634:JZB634 KIW634:KIX634 KSS634:KST634 LCO634:LCP634 LMK634:LML634 LWG634:LWH634 MGC634:MGD634 MPY634:MPZ634 MZU634:MZV634 NJQ634:NJR634 NTM634:NTN634 ODI634:ODJ634 ONE634:ONF634 OXA634:OXB634 PGW634:PGX634 PQS634:PQT634 QAO634:QAP634 QKK634:QKL634 QUG634:QUH634 REC634:RED634 RNY634:RNZ634 RXU634:RXV634 SHQ634:SHR634 SRM634:SRN634 TBI634:TBJ634 TLE634:TLF634 TVA634:TVB634 UEW634:UEX634 UOS634:UOT634 UYO634:UYP634 VIK634:VIL634 VSG634:VSH634 WCC634:WCD634 WLY634:WLZ634 WVU634:WVV634 M66170:N66170 JI66170:JJ66170 TE66170:TF66170 ADA66170:ADB66170 AMW66170:AMX66170 AWS66170:AWT66170 BGO66170:BGP66170 BQK66170:BQL66170 CAG66170:CAH66170 CKC66170:CKD66170 CTY66170:CTZ66170 DDU66170:DDV66170 DNQ66170:DNR66170 DXM66170:DXN66170 EHI66170:EHJ66170 ERE66170:ERF66170 FBA66170:FBB66170 FKW66170:FKX66170 FUS66170:FUT66170 GEO66170:GEP66170 GOK66170:GOL66170 GYG66170:GYH66170 HIC66170:HID66170 HRY66170:HRZ66170 IBU66170:IBV66170 ILQ66170:ILR66170 IVM66170:IVN66170 JFI66170:JFJ66170 JPE66170:JPF66170 JZA66170:JZB66170 KIW66170:KIX66170 KSS66170:KST66170 LCO66170:LCP66170 LMK66170:LML66170 LWG66170:LWH66170 MGC66170:MGD66170 MPY66170:MPZ66170 MZU66170:MZV66170 NJQ66170:NJR66170 NTM66170:NTN66170 ODI66170:ODJ66170 ONE66170:ONF66170 OXA66170:OXB66170 PGW66170:PGX66170 PQS66170:PQT66170 QAO66170:QAP66170 QKK66170:QKL66170 QUG66170:QUH66170 REC66170:RED66170 RNY66170:RNZ66170 RXU66170:RXV66170 SHQ66170:SHR66170 SRM66170:SRN66170 TBI66170:TBJ66170 TLE66170:TLF66170 TVA66170:TVB66170 UEW66170:UEX66170 UOS66170:UOT66170 UYO66170:UYP66170 VIK66170:VIL66170 VSG66170:VSH66170 WCC66170:WCD66170 WLY66170:WLZ66170 WVU66170:WVV66170 M131706:N131706 JI131706:JJ131706 TE131706:TF131706 ADA131706:ADB131706 AMW131706:AMX131706 AWS131706:AWT131706 BGO131706:BGP131706 BQK131706:BQL131706 CAG131706:CAH131706 CKC131706:CKD131706 CTY131706:CTZ131706 DDU131706:DDV131706 DNQ131706:DNR131706 DXM131706:DXN131706 EHI131706:EHJ131706 ERE131706:ERF131706 FBA131706:FBB131706 FKW131706:FKX131706 FUS131706:FUT131706 GEO131706:GEP131706 GOK131706:GOL131706 GYG131706:GYH131706 HIC131706:HID131706 HRY131706:HRZ131706 IBU131706:IBV131706 ILQ131706:ILR131706 IVM131706:IVN131706 JFI131706:JFJ131706 JPE131706:JPF131706 JZA131706:JZB131706 KIW131706:KIX131706 KSS131706:KST131706 LCO131706:LCP131706 LMK131706:LML131706 LWG131706:LWH131706 MGC131706:MGD131706 MPY131706:MPZ131706 MZU131706:MZV131706 NJQ131706:NJR131706 NTM131706:NTN131706 ODI131706:ODJ131706 ONE131706:ONF131706 OXA131706:OXB131706 PGW131706:PGX131706 PQS131706:PQT131706 QAO131706:QAP131706 QKK131706:QKL131706 QUG131706:QUH131706 REC131706:RED131706 RNY131706:RNZ131706 RXU131706:RXV131706 SHQ131706:SHR131706 SRM131706:SRN131706 TBI131706:TBJ131706 TLE131706:TLF131706 TVA131706:TVB131706 UEW131706:UEX131706 UOS131706:UOT131706 UYO131706:UYP131706 VIK131706:VIL131706 VSG131706:VSH131706 WCC131706:WCD131706 WLY131706:WLZ131706 WVU131706:WVV131706 M197242:N197242 JI197242:JJ197242 TE197242:TF197242 ADA197242:ADB197242 AMW197242:AMX197242 AWS197242:AWT197242 BGO197242:BGP197242 BQK197242:BQL197242 CAG197242:CAH197242 CKC197242:CKD197242 CTY197242:CTZ197242 DDU197242:DDV197242 DNQ197242:DNR197242 DXM197242:DXN197242 EHI197242:EHJ197242 ERE197242:ERF197242 FBA197242:FBB197242 FKW197242:FKX197242 FUS197242:FUT197242 GEO197242:GEP197242 GOK197242:GOL197242 GYG197242:GYH197242 HIC197242:HID197242 HRY197242:HRZ197242 IBU197242:IBV197242 ILQ197242:ILR197242 IVM197242:IVN197242 JFI197242:JFJ197242 JPE197242:JPF197242 JZA197242:JZB197242 KIW197242:KIX197242 KSS197242:KST197242 LCO197242:LCP197242 LMK197242:LML197242 LWG197242:LWH197242 MGC197242:MGD197242 MPY197242:MPZ197242 MZU197242:MZV197242 NJQ197242:NJR197242 NTM197242:NTN197242 ODI197242:ODJ197242 ONE197242:ONF197242 OXA197242:OXB197242 PGW197242:PGX197242 PQS197242:PQT197242 QAO197242:QAP197242 QKK197242:QKL197242 QUG197242:QUH197242 REC197242:RED197242 RNY197242:RNZ197242 RXU197242:RXV197242 SHQ197242:SHR197242 SRM197242:SRN197242 TBI197242:TBJ197242 TLE197242:TLF197242 TVA197242:TVB197242 UEW197242:UEX197242 UOS197242:UOT197242 UYO197242:UYP197242 VIK197242:VIL197242 VSG197242:VSH197242 WCC197242:WCD197242 WLY197242:WLZ197242 WVU197242:WVV197242 M262778:N262778 JI262778:JJ262778 TE262778:TF262778 ADA262778:ADB262778 AMW262778:AMX262778 AWS262778:AWT262778 BGO262778:BGP262778 BQK262778:BQL262778 CAG262778:CAH262778 CKC262778:CKD262778 CTY262778:CTZ262778 DDU262778:DDV262778 DNQ262778:DNR262778 DXM262778:DXN262778 EHI262778:EHJ262778 ERE262778:ERF262778 FBA262778:FBB262778 FKW262778:FKX262778 FUS262778:FUT262778 GEO262778:GEP262778 GOK262778:GOL262778 GYG262778:GYH262778 HIC262778:HID262778 HRY262778:HRZ262778 IBU262778:IBV262778 ILQ262778:ILR262778 IVM262778:IVN262778 JFI262778:JFJ262778 JPE262778:JPF262778 JZA262778:JZB262778 KIW262778:KIX262778 KSS262778:KST262778 LCO262778:LCP262778 LMK262778:LML262778 LWG262778:LWH262778 MGC262778:MGD262778 MPY262778:MPZ262778 MZU262778:MZV262778 NJQ262778:NJR262778 NTM262778:NTN262778 ODI262778:ODJ262778 ONE262778:ONF262778 OXA262778:OXB262778 PGW262778:PGX262778 PQS262778:PQT262778 QAO262778:QAP262778 QKK262778:QKL262778 QUG262778:QUH262778 REC262778:RED262778 RNY262778:RNZ262778 RXU262778:RXV262778 SHQ262778:SHR262778 SRM262778:SRN262778 TBI262778:TBJ262778 TLE262778:TLF262778 TVA262778:TVB262778 UEW262778:UEX262778 UOS262778:UOT262778 UYO262778:UYP262778 VIK262778:VIL262778 VSG262778:VSH262778 WCC262778:WCD262778 WLY262778:WLZ262778 WVU262778:WVV262778 M328314:N328314 JI328314:JJ328314 TE328314:TF328314 ADA328314:ADB328314 AMW328314:AMX328314 AWS328314:AWT328314 BGO328314:BGP328314 BQK328314:BQL328314 CAG328314:CAH328314 CKC328314:CKD328314 CTY328314:CTZ328314 DDU328314:DDV328314 DNQ328314:DNR328314 DXM328314:DXN328314 EHI328314:EHJ328314 ERE328314:ERF328314 FBA328314:FBB328314 FKW328314:FKX328314 FUS328314:FUT328314 GEO328314:GEP328314 GOK328314:GOL328314 GYG328314:GYH328314 HIC328314:HID328314 HRY328314:HRZ328314 IBU328314:IBV328314 ILQ328314:ILR328314 IVM328314:IVN328314 JFI328314:JFJ328314 JPE328314:JPF328314 JZA328314:JZB328314 KIW328314:KIX328314 KSS328314:KST328314 LCO328314:LCP328314 LMK328314:LML328314 LWG328314:LWH328314 MGC328314:MGD328314 MPY328314:MPZ328314 MZU328314:MZV328314 NJQ328314:NJR328314 NTM328314:NTN328314 ODI328314:ODJ328314 ONE328314:ONF328314 OXA328314:OXB328314 PGW328314:PGX328314 PQS328314:PQT328314 QAO328314:QAP328314 QKK328314:QKL328314 QUG328314:QUH328314 REC328314:RED328314 RNY328314:RNZ328314 RXU328314:RXV328314 SHQ328314:SHR328314 SRM328314:SRN328314 TBI328314:TBJ328314 TLE328314:TLF328314 TVA328314:TVB328314 UEW328314:UEX328314 UOS328314:UOT328314 UYO328314:UYP328314 VIK328314:VIL328314 VSG328314:VSH328314 WCC328314:WCD328314 WLY328314:WLZ328314 WVU328314:WVV328314 M393850:N393850 JI393850:JJ393850 TE393850:TF393850 ADA393850:ADB393850 AMW393850:AMX393850 AWS393850:AWT393850 BGO393850:BGP393850 BQK393850:BQL393850 CAG393850:CAH393850 CKC393850:CKD393850 CTY393850:CTZ393850 DDU393850:DDV393850 DNQ393850:DNR393850 DXM393850:DXN393850 EHI393850:EHJ393850 ERE393850:ERF393850 FBA393850:FBB393850 FKW393850:FKX393850 FUS393850:FUT393850 GEO393850:GEP393850 GOK393850:GOL393850 GYG393850:GYH393850 HIC393850:HID393850 HRY393850:HRZ393850 IBU393850:IBV393850 ILQ393850:ILR393850 IVM393850:IVN393850 JFI393850:JFJ393850 JPE393850:JPF393850 JZA393850:JZB393850 KIW393850:KIX393850 KSS393850:KST393850 LCO393850:LCP393850 LMK393850:LML393850 LWG393850:LWH393850 MGC393850:MGD393850 MPY393850:MPZ393850 MZU393850:MZV393850 NJQ393850:NJR393850 NTM393850:NTN393850 ODI393850:ODJ393850 ONE393850:ONF393850 OXA393850:OXB393850 PGW393850:PGX393850 PQS393850:PQT393850 QAO393850:QAP393850 QKK393850:QKL393850 QUG393850:QUH393850 REC393850:RED393850 RNY393850:RNZ393850 RXU393850:RXV393850 SHQ393850:SHR393850 SRM393850:SRN393850 TBI393850:TBJ393850 TLE393850:TLF393850 TVA393850:TVB393850 UEW393850:UEX393850 UOS393850:UOT393850 UYO393850:UYP393850 VIK393850:VIL393850 VSG393850:VSH393850 WCC393850:WCD393850 WLY393850:WLZ393850 WVU393850:WVV393850 M459386:N459386 JI459386:JJ459386 TE459386:TF459386 ADA459386:ADB459386 AMW459386:AMX459386 AWS459386:AWT459386 BGO459386:BGP459386 BQK459386:BQL459386 CAG459386:CAH459386 CKC459386:CKD459386 CTY459386:CTZ459386 DDU459386:DDV459386 DNQ459386:DNR459386 DXM459386:DXN459386 EHI459386:EHJ459386 ERE459386:ERF459386 FBA459386:FBB459386 FKW459386:FKX459386 FUS459386:FUT459386 GEO459386:GEP459386 GOK459386:GOL459386 GYG459386:GYH459386 HIC459386:HID459386 HRY459386:HRZ459386 IBU459386:IBV459386 ILQ459386:ILR459386 IVM459386:IVN459386 JFI459386:JFJ459386 JPE459386:JPF459386 JZA459386:JZB459386 KIW459386:KIX459386 KSS459386:KST459386 LCO459386:LCP459386 LMK459386:LML459386 LWG459386:LWH459386 MGC459386:MGD459386 MPY459386:MPZ459386 MZU459386:MZV459386 NJQ459386:NJR459386 NTM459386:NTN459386 ODI459386:ODJ459386 ONE459386:ONF459386 OXA459386:OXB459386 PGW459386:PGX459386 PQS459386:PQT459386 QAO459386:QAP459386 QKK459386:QKL459386 QUG459386:QUH459386 REC459386:RED459386 RNY459386:RNZ459386 RXU459386:RXV459386 SHQ459386:SHR459386 SRM459386:SRN459386 TBI459386:TBJ459386 TLE459386:TLF459386 TVA459386:TVB459386 UEW459386:UEX459386 UOS459386:UOT459386 UYO459386:UYP459386 VIK459386:VIL459386 VSG459386:VSH459386 WCC459386:WCD459386 WLY459386:WLZ459386 WVU459386:WVV459386 M524922:N524922 JI524922:JJ524922 TE524922:TF524922 ADA524922:ADB524922 AMW524922:AMX524922 AWS524922:AWT524922 BGO524922:BGP524922 BQK524922:BQL524922 CAG524922:CAH524922 CKC524922:CKD524922 CTY524922:CTZ524922 DDU524922:DDV524922 DNQ524922:DNR524922 DXM524922:DXN524922 EHI524922:EHJ524922 ERE524922:ERF524922 FBA524922:FBB524922 FKW524922:FKX524922 FUS524922:FUT524922 GEO524922:GEP524922 GOK524922:GOL524922 GYG524922:GYH524922 HIC524922:HID524922 HRY524922:HRZ524922 IBU524922:IBV524922 ILQ524922:ILR524922 IVM524922:IVN524922 JFI524922:JFJ524922 JPE524922:JPF524922 JZA524922:JZB524922 KIW524922:KIX524922 KSS524922:KST524922 LCO524922:LCP524922 LMK524922:LML524922 LWG524922:LWH524922 MGC524922:MGD524922 MPY524922:MPZ524922 MZU524922:MZV524922 NJQ524922:NJR524922 NTM524922:NTN524922 ODI524922:ODJ524922 ONE524922:ONF524922 OXA524922:OXB524922 PGW524922:PGX524922 PQS524922:PQT524922 QAO524922:QAP524922 QKK524922:QKL524922 QUG524922:QUH524922 REC524922:RED524922 RNY524922:RNZ524922 RXU524922:RXV524922 SHQ524922:SHR524922 SRM524922:SRN524922 TBI524922:TBJ524922 TLE524922:TLF524922 TVA524922:TVB524922 UEW524922:UEX524922 UOS524922:UOT524922 UYO524922:UYP524922 VIK524922:VIL524922 VSG524922:VSH524922 WCC524922:WCD524922 WLY524922:WLZ524922 WVU524922:WVV524922 M590458:N590458 JI590458:JJ590458 TE590458:TF590458 ADA590458:ADB590458 AMW590458:AMX590458 AWS590458:AWT590458 BGO590458:BGP590458 BQK590458:BQL590458 CAG590458:CAH590458 CKC590458:CKD590458 CTY590458:CTZ590458 DDU590458:DDV590458 DNQ590458:DNR590458 DXM590458:DXN590458 EHI590458:EHJ590458 ERE590458:ERF590458 FBA590458:FBB590458 FKW590458:FKX590458 FUS590458:FUT590458 GEO590458:GEP590458 GOK590458:GOL590458 GYG590458:GYH590458 HIC590458:HID590458 HRY590458:HRZ590458 IBU590458:IBV590458 ILQ590458:ILR590458 IVM590458:IVN590458 JFI590458:JFJ590458 JPE590458:JPF590458 JZA590458:JZB590458 KIW590458:KIX590458 KSS590458:KST590458 LCO590458:LCP590458 LMK590458:LML590458 LWG590458:LWH590458 MGC590458:MGD590458 MPY590458:MPZ590458 MZU590458:MZV590458 NJQ590458:NJR590458 NTM590458:NTN590458 ODI590458:ODJ590458 ONE590458:ONF590458 OXA590458:OXB590458 PGW590458:PGX590458 PQS590458:PQT590458 QAO590458:QAP590458 QKK590458:QKL590458 QUG590458:QUH590458 REC590458:RED590458 RNY590458:RNZ590458 RXU590458:RXV590458 SHQ590458:SHR590458 SRM590458:SRN590458 TBI590458:TBJ590458 TLE590458:TLF590458 TVA590458:TVB590458 UEW590458:UEX590458 UOS590458:UOT590458 UYO590458:UYP590458 VIK590458:VIL590458 VSG590458:VSH590458 WCC590458:WCD590458 WLY590458:WLZ590458 WVU590458:WVV590458 M655994:N655994 JI655994:JJ655994 TE655994:TF655994 ADA655994:ADB655994 AMW655994:AMX655994 AWS655994:AWT655994 BGO655994:BGP655994 BQK655994:BQL655994 CAG655994:CAH655994 CKC655994:CKD655994 CTY655994:CTZ655994 DDU655994:DDV655994 DNQ655994:DNR655994 DXM655994:DXN655994 EHI655994:EHJ655994 ERE655994:ERF655994 FBA655994:FBB655994 FKW655994:FKX655994 FUS655994:FUT655994 GEO655994:GEP655994 GOK655994:GOL655994 GYG655994:GYH655994 HIC655994:HID655994 HRY655994:HRZ655994 IBU655994:IBV655994 ILQ655994:ILR655994 IVM655994:IVN655994 JFI655994:JFJ655994 JPE655994:JPF655994 JZA655994:JZB655994 KIW655994:KIX655994 KSS655994:KST655994 LCO655994:LCP655994 LMK655994:LML655994 LWG655994:LWH655994 MGC655994:MGD655994 MPY655994:MPZ655994 MZU655994:MZV655994 NJQ655994:NJR655994 NTM655994:NTN655994 ODI655994:ODJ655994 ONE655994:ONF655994 OXA655994:OXB655994 PGW655994:PGX655994 PQS655994:PQT655994 QAO655994:QAP655994 QKK655994:QKL655994 QUG655994:QUH655994 REC655994:RED655994 RNY655994:RNZ655994 RXU655994:RXV655994 SHQ655994:SHR655994 SRM655994:SRN655994 TBI655994:TBJ655994 TLE655994:TLF655994 TVA655994:TVB655994 UEW655994:UEX655994 UOS655994:UOT655994 UYO655994:UYP655994 VIK655994:VIL655994 VSG655994:VSH655994 WCC655994:WCD655994 WLY655994:WLZ655994 WVU655994:WVV655994 M721530:N721530 JI721530:JJ721530 TE721530:TF721530 ADA721530:ADB721530 AMW721530:AMX721530 AWS721530:AWT721530 BGO721530:BGP721530 BQK721530:BQL721530 CAG721530:CAH721530 CKC721530:CKD721530 CTY721530:CTZ721530 DDU721530:DDV721530 DNQ721530:DNR721530 DXM721530:DXN721530 EHI721530:EHJ721530 ERE721530:ERF721530 FBA721530:FBB721530 FKW721530:FKX721530 FUS721530:FUT721530 GEO721530:GEP721530 GOK721530:GOL721530 GYG721530:GYH721530 HIC721530:HID721530 HRY721530:HRZ721530 IBU721530:IBV721530 ILQ721530:ILR721530 IVM721530:IVN721530 JFI721530:JFJ721530 JPE721530:JPF721530 JZA721530:JZB721530 KIW721530:KIX721530 KSS721530:KST721530 LCO721530:LCP721530 LMK721530:LML721530 LWG721530:LWH721530 MGC721530:MGD721530 MPY721530:MPZ721530 MZU721530:MZV721530 NJQ721530:NJR721530 NTM721530:NTN721530 ODI721530:ODJ721530 ONE721530:ONF721530 OXA721530:OXB721530 PGW721530:PGX721530 PQS721530:PQT721530 QAO721530:QAP721530 QKK721530:QKL721530 QUG721530:QUH721530 REC721530:RED721530 RNY721530:RNZ721530 RXU721530:RXV721530 SHQ721530:SHR721530 SRM721530:SRN721530 TBI721530:TBJ721530 TLE721530:TLF721530 TVA721530:TVB721530 UEW721530:UEX721530 UOS721530:UOT721530 UYO721530:UYP721530 VIK721530:VIL721530 VSG721530:VSH721530 WCC721530:WCD721530 WLY721530:WLZ721530 WVU721530:WVV721530 M787066:N787066 JI787066:JJ787066 TE787066:TF787066 ADA787066:ADB787066 AMW787066:AMX787066 AWS787066:AWT787066 BGO787066:BGP787066 BQK787066:BQL787066 CAG787066:CAH787066 CKC787066:CKD787066 CTY787066:CTZ787066 DDU787066:DDV787066 DNQ787066:DNR787066 DXM787066:DXN787066 EHI787066:EHJ787066 ERE787066:ERF787066 FBA787066:FBB787066 FKW787066:FKX787066 FUS787066:FUT787066 GEO787066:GEP787066 GOK787066:GOL787066 GYG787066:GYH787066 HIC787066:HID787066 HRY787066:HRZ787066 IBU787066:IBV787066 ILQ787066:ILR787066 IVM787066:IVN787066 JFI787066:JFJ787066 JPE787066:JPF787066 JZA787066:JZB787066 KIW787066:KIX787066 KSS787066:KST787066 LCO787066:LCP787066 LMK787066:LML787066 LWG787066:LWH787066 MGC787066:MGD787066 MPY787066:MPZ787066 MZU787066:MZV787066 NJQ787066:NJR787066 NTM787066:NTN787066 ODI787066:ODJ787066 ONE787066:ONF787066 OXA787066:OXB787066 PGW787066:PGX787066 PQS787066:PQT787066 QAO787066:QAP787066 QKK787066:QKL787066 QUG787066:QUH787066 REC787066:RED787066 RNY787066:RNZ787066 RXU787066:RXV787066 SHQ787066:SHR787066 SRM787066:SRN787066 TBI787066:TBJ787066 TLE787066:TLF787066 TVA787066:TVB787066 UEW787066:UEX787066 UOS787066:UOT787066 UYO787066:UYP787066 VIK787066:VIL787066 VSG787066:VSH787066 WCC787066:WCD787066 WLY787066:WLZ787066 WVU787066:WVV787066 M852602:N852602 JI852602:JJ852602 TE852602:TF852602 ADA852602:ADB852602 AMW852602:AMX852602 AWS852602:AWT852602 BGO852602:BGP852602 BQK852602:BQL852602 CAG852602:CAH852602 CKC852602:CKD852602 CTY852602:CTZ852602 DDU852602:DDV852602 DNQ852602:DNR852602 DXM852602:DXN852602 EHI852602:EHJ852602 ERE852602:ERF852602 FBA852602:FBB852602 FKW852602:FKX852602 FUS852602:FUT852602 GEO852602:GEP852602 GOK852602:GOL852602 GYG852602:GYH852602 HIC852602:HID852602 HRY852602:HRZ852602 IBU852602:IBV852602 ILQ852602:ILR852602 IVM852602:IVN852602 JFI852602:JFJ852602 JPE852602:JPF852602 JZA852602:JZB852602 KIW852602:KIX852602 KSS852602:KST852602 LCO852602:LCP852602 LMK852602:LML852602 LWG852602:LWH852602 MGC852602:MGD852602 MPY852602:MPZ852602 MZU852602:MZV852602 NJQ852602:NJR852602 NTM852602:NTN852602 ODI852602:ODJ852602 ONE852602:ONF852602 OXA852602:OXB852602 PGW852602:PGX852602 PQS852602:PQT852602 QAO852602:QAP852602 QKK852602:QKL852602 QUG852602:QUH852602 REC852602:RED852602 RNY852602:RNZ852602 RXU852602:RXV852602 SHQ852602:SHR852602 SRM852602:SRN852602 TBI852602:TBJ852602 TLE852602:TLF852602 TVA852602:TVB852602 UEW852602:UEX852602 UOS852602:UOT852602 UYO852602:UYP852602 VIK852602:VIL852602 VSG852602:VSH852602 WCC852602:WCD852602 WLY852602:WLZ852602 WVU852602:WVV852602 M918138:N918138 JI918138:JJ918138 TE918138:TF918138 ADA918138:ADB918138 AMW918138:AMX918138 AWS918138:AWT918138 BGO918138:BGP918138 BQK918138:BQL918138 CAG918138:CAH918138 CKC918138:CKD918138 CTY918138:CTZ918138 DDU918138:DDV918138 DNQ918138:DNR918138 DXM918138:DXN918138 EHI918138:EHJ918138 ERE918138:ERF918138 FBA918138:FBB918138 FKW918138:FKX918138 FUS918138:FUT918138 GEO918138:GEP918138 GOK918138:GOL918138 GYG918138:GYH918138 HIC918138:HID918138 HRY918138:HRZ918138 IBU918138:IBV918138 ILQ918138:ILR918138 IVM918138:IVN918138 JFI918138:JFJ918138 JPE918138:JPF918138 JZA918138:JZB918138 KIW918138:KIX918138 KSS918138:KST918138 LCO918138:LCP918138 LMK918138:LML918138 LWG918138:LWH918138 MGC918138:MGD918138 MPY918138:MPZ918138 MZU918138:MZV918138 NJQ918138:NJR918138 NTM918138:NTN918138 ODI918138:ODJ918138 ONE918138:ONF918138 OXA918138:OXB918138 PGW918138:PGX918138 PQS918138:PQT918138 QAO918138:QAP918138 QKK918138:QKL918138 QUG918138:QUH918138 REC918138:RED918138 RNY918138:RNZ918138 RXU918138:RXV918138 SHQ918138:SHR918138 SRM918138:SRN918138 TBI918138:TBJ918138 TLE918138:TLF918138 TVA918138:TVB918138 UEW918138:UEX918138 UOS918138:UOT918138 UYO918138:UYP918138 VIK918138:VIL918138 VSG918138:VSH918138 WCC918138:WCD918138 WLY918138:WLZ918138 WVU918138:WVV918138 M983674:N983674 JI983674:JJ983674 TE983674:TF983674 ADA983674:ADB983674 AMW983674:AMX983674 AWS983674:AWT983674 BGO983674:BGP983674 BQK983674:BQL983674 CAG983674:CAH983674 CKC983674:CKD983674 CTY983674:CTZ983674 DDU983674:DDV983674 DNQ983674:DNR983674 DXM983674:DXN983674 EHI983674:EHJ983674 ERE983674:ERF983674 FBA983674:FBB983674 FKW983674:FKX983674 FUS983674:FUT983674 GEO983674:GEP983674 GOK983674:GOL983674 GYG983674:GYH983674 HIC983674:HID983674 HRY983674:HRZ983674 IBU983674:IBV983674 ILQ983674:ILR983674 IVM983674:IVN983674 JFI983674:JFJ983674 JPE983674:JPF983674 JZA983674:JZB983674 KIW983674:KIX983674 KSS983674:KST983674 LCO983674:LCP983674 LMK983674:LML983674 LWG983674:LWH983674 MGC983674:MGD983674 MPY983674:MPZ983674 MZU983674:MZV983674 NJQ983674:NJR983674 NTM983674:NTN983674 ODI983674:ODJ983674 ONE983674:ONF983674 OXA983674:OXB983674 PGW983674:PGX983674 PQS983674:PQT983674 QAO983674:QAP983674 QKK983674:QKL983674 QUG983674:QUH983674 REC983674:RED983674 RNY983674:RNZ983674 RXU983674:RXV983674 SHQ983674:SHR983674 SRM983674:SRN983674 TBI983674:TBJ983674 TLE983674:TLF983674 TVA983674:TVB983674 UEW983674:UEX983674 UOS983674:UOT983674 UYO983674:UYP983674 VIK983674:VIL983674 VSG983674:VSH983674 WCC983674:WCD983674 WLY983674:WLZ983674 WVU983674:WVV983674 M330:N330 JI330:JJ330 TE330:TF330 ADA330:ADB330 AMW330:AMX330 AWS330:AWT330 BGO330:BGP330 BQK330:BQL330 CAG330:CAH330 CKC330:CKD330 CTY330:CTZ330 DDU330:DDV330 DNQ330:DNR330 DXM330:DXN330 EHI330:EHJ330 ERE330:ERF330 FBA330:FBB330 FKW330:FKX330 FUS330:FUT330 GEO330:GEP330 GOK330:GOL330 GYG330:GYH330 HIC330:HID330 HRY330:HRZ330 IBU330:IBV330 ILQ330:ILR330 IVM330:IVN330 JFI330:JFJ330 JPE330:JPF330 JZA330:JZB330 KIW330:KIX330 KSS330:KST330 LCO330:LCP330 LMK330:LML330 LWG330:LWH330 MGC330:MGD330 MPY330:MPZ330 MZU330:MZV330 NJQ330:NJR330 NTM330:NTN330 ODI330:ODJ330 ONE330:ONF330 OXA330:OXB330 PGW330:PGX330 PQS330:PQT330 QAO330:QAP330 QKK330:QKL330 QUG330:QUH330 REC330:RED330 RNY330:RNZ330 RXU330:RXV330 SHQ330:SHR330 SRM330:SRN330 TBI330:TBJ330 TLE330:TLF330 TVA330:TVB330 UEW330:UEX330 UOS330:UOT330 UYO330:UYP330 VIK330:VIL330 VSG330:VSH330 WCC330:WCD330 WLY330:WLZ330 WVU330:WVV330 M65866:N65866 JI65866:JJ65866 TE65866:TF65866 ADA65866:ADB65866 AMW65866:AMX65866 AWS65866:AWT65866 BGO65866:BGP65866 BQK65866:BQL65866 CAG65866:CAH65866 CKC65866:CKD65866 CTY65866:CTZ65866 DDU65866:DDV65866 DNQ65866:DNR65866 DXM65866:DXN65866 EHI65866:EHJ65866 ERE65866:ERF65866 FBA65866:FBB65866 FKW65866:FKX65866 FUS65866:FUT65866 GEO65866:GEP65866 GOK65866:GOL65866 GYG65866:GYH65866 HIC65866:HID65866 HRY65866:HRZ65866 IBU65866:IBV65866 ILQ65866:ILR65866 IVM65866:IVN65866 JFI65866:JFJ65866 JPE65866:JPF65866 JZA65866:JZB65866 KIW65866:KIX65866 KSS65866:KST65866 LCO65866:LCP65866 LMK65866:LML65866 LWG65866:LWH65866 MGC65866:MGD65866 MPY65866:MPZ65866 MZU65866:MZV65866 NJQ65866:NJR65866 NTM65866:NTN65866 ODI65866:ODJ65866 ONE65866:ONF65866 OXA65866:OXB65866 PGW65866:PGX65866 PQS65866:PQT65866 QAO65866:QAP65866 QKK65866:QKL65866 QUG65866:QUH65866 REC65866:RED65866 RNY65866:RNZ65866 RXU65866:RXV65866 SHQ65866:SHR65866 SRM65866:SRN65866 TBI65866:TBJ65866 TLE65866:TLF65866 TVA65866:TVB65866 UEW65866:UEX65866 UOS65866:UOT65866 UYO65866:UYP65866 VIK65866:VIL65866 VSG65866:VSH65866 WCC65866:WCD65866 WLY65866:WLZ65866 WVU65866:WVV65866 M131402:N131402 JI131402:JJ131402 TE131402:TF131402 ADA131402:ADB131402 AMW131402:AMX131402 AWS131402:AWT131402 BGO131402:BGP131402 BQK131402:BQL131402 CAG131402:CAH131402 CKC131402:CKD131402 CTY131402:CTZ131402 DDU131402:DDV131402 DNQ131402:DNR131402 DXM131402:DXN131402 EHI131402:EHJ131402 ERE131402:ERF131402 FBA131402:FBB131402 FKW131402:FKX131402 FUS131402:FUT131402 GEO131402:GEP131402 GOK131402:GOL131402 GYG131402:GYH131402 HIC131402:HID131402 HRY131402:HRZ131402 IBU131402:IBV131402 ILQ131402:ILR131402 IVM131402:IVN131402 JFI131402:JFJ131402 JPE131402:JPF131402 JZA131402:JZB131402 KIW131402:KIX131402 KSS131402:KST131402 LCO131402:LCP131402 LMK131402:LML131402 LWG131402:LWH131402 MGC131402:MGD131402 MPY131402:MPZ131402 MZU131402:MZV131402 NJQ131402:NJR131402 NTM131402:NTN131402 ODI131402:ODJ131402 ONE131402:ONF131402 OXA131402:OXB131402 PGW131402:PGX131402 PQS131402:PQT131402 QAO131402:QAP131402 QKK131402:QKL131402 QUG131402:QUH131402 REC131402:RED131402 RNY131402:RNZ131402 RXU131402:RXV131402 SHQ131402:SHR131402 SRM131402:SRN131402 TBI131402:TBJ131402 TLE131402:TLF131402 TVA131402:TVB131402 UEW131402:UEX131402 UOS131402:UOT131402 UYO131402:UYP131402 VIK131402:VIL131402 VSG131402:VSH131402 WCC131402:WCD131402 WLY131402:WLZ131402 WVU131402:WVV131402 M196938:N196938 JI196938:JJ196938 TE196938:TF196938 ADA196938:ADB196938 AMW196938:AMX196938 AWS196938:AWT196938 BGO196938:BGP196938 BQK196938:BQL196938 CAG196938:CAH196938 CKC196938:CKD196938 CTY196938:CTZ196938 DDU196938:DDV196938 DNQ196938:DNR196938 DXM196938:DXN196938 EHI196938:EHJ196938 ERE196938:ERF196938 FBA196938:FBB196938 FKW196938:FKX196938 FUS196938:FUT196938 GEO196938:GEP196938 GOK196938:GOL196938 GYG196938:GYH196938 HIC196938:HID196938 HRY196938:HRZ196938 IBU196938:IBV196938 ILQ196938:ILR196938 IVM196938:IVN196938 JFI196938:JFJ196938 JPE196938:JPF196938 JZA196938:JZB196938 KIW196938:KIX196938 KSS196938:KST196938 LCO196938:LCP196938 LMK196938:LML196938 LWG196938:LWH196938 MGC196938:MGD196938 MPY196938:MPZ196938 MZU196938:MZV196938 NJQ196938:NJR196938 NTM196938:NTN196938 ODI196938:ODJ196938 ONE196938:ONF196938 OXA196938:OXB196938 PGW196938:PGX196938 PQS196938:PQT196938 QAO196938:QAP196938 QKK196938:QKL196938 QUG196938:QUH196938 REC196938:RED196938 RNY196938:RNZ196938 RXU196938:RXV196938 SHQ196938:SHR196938 SRM196938:SRN196938 TBI196938:TBJ196938 TLE196938:TLF196938 TVA196938:TVB196938 UEW196938:UEX196938 UOS196938:UOT196938 UYO196938:UYP196938 VIK196938:VIL196938 VSG196938:VSH196938 WCC196938:WCD196938 WLY196938:WLZ196938 WVU196938:WVV196938 M262474:N262474 JI262474:JJ262474 TE262474:TF262474 ADA262474:ADB262474 AMW262474:AMX262474 AWS262474:AWT262474 BGO262474:BGP262474 BQK262474:BQL262474 CAG262474:CAH262474 CKC262474:CKD262474 CTY262474:CTZ262474 DDU262474:DDV262474 DNQ262474:DNR262474 DXM262474:DXN262474 EHI262474:EHJ262474 ERE262474:ERF262474 FBA262474:FBB262474 FKW262474:FKX262474 FUS262474:FUT262474 GEO262474:GEP262474 GOK262474:GOL262474 GYG262474:GYH262474 HIC262474:HID262474 HRY262474:HRZ262474 IBU262474:IBV262474 ILQ262474:ILR262474 IVM262474:IVN262474 JFI262474:JFJ262474 JPE262474:JPF262474 JZA262474:JZB262474 KIW262474:KIX262474 KSS262474:KST262474 LCO262474:LCP262474 LMK262474:LML262474 LWG262474:LWH262474 MGC262474:MGD262474 MPY262474:MPZ262474 MZU262474:MZV262474 NJQ262474:NJR262474 NTM262474:NTN262474 ODI262474:ODJ262474 ONE262474:ONF262474 OXA262474:OXB262474 PGW262474:PGX262474 PQS262474:PQT262474 QAO262474:QAP262474 QKK262474:QKL262474 QUG262474:QUH262474 REC262474:RED262474 RNY262474:RNZ262474 RXU262474:RXV262474 SHQ262474:SHR262474 SRM262474:SRN262474 TBI262474:TBJ262474 TLE262474:TLF262474 TVA262474:TVB262474 UEW262474:UEX262474 UOS262474:UOT262474 UYO262474:UYP262474 VIK262474:VIL262474 VSG262474:VSH262474 WCC262474:WCD262474 WLY262474:WLZ262474 WVU262474:WVV262474 M328010:N328010 JI328010:JJ328010 TE328010:TF328010 ADA328010:ADB328010 AMW328010:AMX328010 AWS328010:AWT328010 BGO328010:BGP328010 BQK328010:BQL328010 CAG328010:CAH328010 CKC328010:CKD328010 CTY328010:CTZ328010 DDU328010:DDV328010 DNQ328010:DNR328010 DXM328010:DXN328010 EHI328010:EHJ328010 ERE328010:ERF328010 FBA328010:FBB328010 FKW328010:FKX328010 FUS328010:FUT328010 GEO328010:GEP328010 GOK328010:GOL328010 GYG328010:GYH328010 HIC328010:HID328010 HRY328010:HRZ328010 IBU328010:IBV328010 ILQ328010:ILR328010 IVM328010:IVN328010 JFI328010:JFJ328010 JPE328010:JPF328010 JZA328010:JZB328010 KIW328010:KIX328010 KSS328010:KST328010 LCO328010:LCP328010 LMK328010:LML328010 LWG328010:LWH328010 MGC328010:MGD328010 MPY328010:MPZ328010 MZU328010:MZV328010 NJQ328010:NJR328010 NTM328010:NTN328010 ODI328010:ODJ328010 ONE328010:ONF328010 OXA328010:OXB328010 PGW328010:PGX328010 PQS328010:PQT328010 QAO328010:QAP328010 QKK328010:QKL328010 QUG328010:QUH328010 REC328010:RED328010 RNY328010:RNZ328010 RXU328010:RXV328010 SHQ328010:SHR328010 SRM328010:SRN328010 TBI328010:TBJ328010 TLE328010:TLF328010 TVA328010:TVB328010 UEW328010:UEX328010 UOS328010:UOT328010 UYO328010:UYP328010 VIK328010:VIL328010 VSG328010:VSH328010 WCC328010:WCD328010 WLY328010:WLZ328010 WVU328010:WVV328010 M393546:N393546 JI393546:JJ393546 TE393546:TF393546 ADA393546:ADB393546 AMW393546:AMX393546 AWS393546:AWT393546 BGO393546:BGP393546 BQK393546:BQL393546 CAG393546:CAH393546 CKC393546:CKD393546 CTY393546:CTZ393546 DDU393546:DDV393546 DNQ393546:DNR393546 DXM393546:DXN393546 EHI393546:EHJ393546 ERE393546:ERF393546 FBA393546:FBB393546 FKW393546:FKX393546 FUS393546:FUT393546 GEO393546:GEP393546 GOK393546:GOL393546 GYG393546:GYH393546 HIC393546:HID393546 HRY393546:HRZ393546 IBU393546:IBV393546 ILQ393546:ILR393546 IVM393546:IVN393546 JFI393546:JFJ393546 JPE393546:JPF393546 JZA393546:JZB393546 KIW393546:KIX393546 KSS393546:KST393546 LCO393546:LCP393546 LMK393546:LML393546 LWG393546:LWH393546 MGC393546:MGD393546 MPY393546:MPZ393546 MZU393546:MZV393546 NJQ393546:NJR393546 NTM393546:NTN393546 ODI393546:ODJ393546 ONE393546:ONF393546 OXA393546:OXB393546 PGW393546:PGX393546 PQS393546:PQT393546 QAO393546:QAP393546 QKK393546:QKL393546 QUG393546:QUH393546 REC393546:RED393546 RNY393546:RNZ393546 RXU393546:RXV393546 SHQ393546:SHR393546 SRM393546:SRN393546 TBI393546:TBJ393546 TLE393546:TLF393546 TVA393546:TVB393546 UEW393546:UEX393546 UOS393546:UOT393546 UYO393546:UYP393546 VIK393546:VIL393546 VSG393546:VSH393546 WCC393546:WCD393546 WLY393546:WLZ393546 WVU393546:WVV393546 M459082:N459082 JI459082:JJ459082 TE459082:TF459082 ADA459082:ADB459082 AMW459082:AMX459082 AWS459082:AWT459082 BGO459082:BGP459082 BQK459082:BQL459082 CAG459082:CAH459082 CKC459082:CKD459082 CTY459082:CTZ459082 DDU459082:DDV459082 DNQ459082:DNR459082 DXM459082:DXN459082 EHI459082:EHJ459082 ERE459082:ERF459082 FBA459082:FBB459082 FKW459082:FKX459082 FUS459082:FUT459082 GEO459082:GEP459082 GOK459082:GOL459082 GYG459082:GYH459082 HIC459082:HID459082 HRY459082:HRZ459082 IBU459082:IBV459082 ILQ459082:ILR459082 IVM459082:IVN459082 JFI459082:JFJ459082 JPE459082:JPF459082 JZA459082:JZB459082 KIW459082:KIX459082 KSS459082:KST459082 LCO459082:LCP459082 LMK459082:LML459082 LWG459082:LWH459082 MGC459082:MGD459082 MPY459082:MPZ459082 MZU459082:MZV459082 NJQ459082:NJR459082 NTM459082:NTN459082 ODI459082:ODJ459082 ONE459082:ONF459082 OXA459082:OXB459082 PGW459082:PGX459082 PQS459082:PQT459082 QAO459082:QAP459082 QKK459082:QKL459082 QUG459082:QUH459082 REC459082:RED459082 RNY459082:RNZ459082 RXU459082:RXV459082 SHQ459082:SHR459082 SRM459082:SRN459082 TBI459082:TBJ459082 TLE459082:TLF459082 TVA459082:TVB459082 UEW459082:UEX459082 UOS459082:UOT459082 UYO459082:UYP459082 VIK459082:VIL459082 VSG459082:VSH459082 WCC459082:WCD459082 WLY459082:WLZ459082 WVU459082:WVV459082 M524618:N524618 JI524618:JJ524618 TE524618:TF524618 ADA524618:ADB524618 AMW524618:AMX524618 AWS524618:AWT524618 BGO524618:BGP524618 BQK524618:BQL524618 CAG524618:CAH524618 CKC524618:CKD524618 CTY524618:CTZ524618 DDU524618:DDV524618 DNQ524618:DNR524618 DXM524618:DXN524618 EHI524618:EHJ524618 ERE524618:ERF524618 FBA524618:FBB524618 FKW524618:FKX524618 FUS524618:FUT524618 GEO524618:GEP524618 GOK524618:GOL524618 GYG524618:GYH524618 HIC524618:HID524618 HRY524618:HRZ524618 IBU524618:IBV524618 ILQ524618:ILR524618 IVM524618:IVN524618 JFI524618:JFJ524618 JPE524618:JPF524618 JZA524618:JZB524618 KIW524618:KIX524618 KSS524618:KST524618 LCO524618:LCP524618 LMK524618:LML524618 LWG524618:LWH524618 MGC524618:MGD524618 MPY524618:MPZ524618 MZU524618:MZV524618 NJQ524618:NJR524618 NTM524618:NTN524618 ODI524618:ODJ524618 ONE524618:ONF524618 OXA524618:OXB524618 PGW524618:PGX524618 PQS524618:PQT524618 QAO524618:QAP524618 QKK524618:QKL524618 QUG524618:QUH524618 REC524618:RED524618 RNY524618:RNZ524618 RXU524618:RXV524618 SHQ524618:SHR524618 SRM524618:SRN524618 TBI524618:TBJ524618 TLE524618:TLF524618 TVA524618:TVB524618 UEW524618:UEX524618 UOS524618:UOT524618 UYO524618:UYP524618 VIK524618:VIL524618 VSG524618:VSH524618 WCC524618:WCD524618 WLY524618:WLZ524618 WVU524618:WVV524618 M590154:N590154 JI590154:JJ590154 TE590154:TF590154 ADA590154:ADB590154 AMW590154:AMX590154 AWS590154:AWT590154 BGO590154:BGP590154 BQK590154:BQL590154 CAG590154:CAH590154 CKC590154:CKD590154 CTY590154:CTZ590154 DDU590154:DDV590154 DNQ590154:DNR590154 DXM590154:DXN590154 EHI590154:EHJ590154 ERE590154:ERF590154 FBA590154:FBB590154 FKW590154:FKX590154 FUS590154:FUT590154 GEO590154:GEP590154 GOK590154:GOL590154 GYG590154:GYH590154 HIC590154:HID590154 HRY590154:HRZ590154 IBU590154:IBV590154 ILQ590154:ILR590154 IVM590154:IVN590154 JFI590154:JFJ590154 JPE590154:JPF590154 JZA590154:JZB590154 KIW590154:KIX590154 KSS590154:KST590154 LCO590154:LCP590154 LMK590154:LML590154 LWG590154:LWH590154 MGC590154:MGD590154 MPY590154:MPZ590154 MZU590154:MZV590154 NJQ590154:NJR590154 NTM590154:NTN590154 ODI590154:ODJ590154 ONE590154:ONF590154 OXA590154:OXB590154 PGW590154:PGX590154 PQS590154:PQT590154 QAO590154:QAP590154 QKK590154:QKL590154 QUG590154:QUH590154 REC590154:RED590154 RNY590154:RNZ590154 RXU590154:RXV590154 SHQ590154:SHR590154 SRM590154:SRN590154 TBI590154:TBJ590154 TLE590154:TLF590154 TVA590154:TVB590154 UEW590154:UEX590154 UOS590154:UOT590154 UYO590154:UYP590154 VIK590154:VIL590154 VSG590154:VSH590154 WCC590154:WCD590154 WLY590154:WLZ590154 WVU590154:WVV590154 M655690:N655690 JI655690:JJ655690 TE655690:TF655690 ADA655690:ADB655690 AMW655690:AMX655690 AWS655690:AWT655690 BGO655690:BGP655690 BQK655690:BQL655690 CAG655690:CAH655690 CKC655690:CKD655690 CTY655690:CTZ655690 DDU655690:DDV655690 DNQ655690:DNR655690 DXM655690:DXN655690 EHI655690:EHJ655690 ERE655690:ERF655690 FBA655690:FBB655690 FKW655690:FKX655690 FUS655690:FUT655690 GEO655690:GEP655690 GOK655690:GOL655690 GYG655690:GYH655690 HIC655690:HID655690 HRY655690:HRZ655690 IBU655690:IBV655690 ILQ655690:ILR655690 IVM655690:IVN655690 JFI655690:JFJ655690 JPE655690:JPF655690 JZA655690:JZB655690 KIW655690:KIX655690 KSS655690:KST655690 LCO655690:LCP655690 LMK655690:LML655690 LWG655690:LWH655690 MGC655690:MGD655690 MPY655690:MPZ655690 MZU655690:MZV655690 NJQ655690:NJR655690 NTM655690:NTN655690 ODI655690:ODJ655690 ONE655690:ONF655690 OXA655690:OXB655690 PGW655690:PGX655690 PQS655690:PQT655690 QAO655690:QAP655690 QKK655690:QKL655690 QUG655690:QUH655690 REC655690:RED655690 RNY655690:RNZ655690 RXU655690:RXV655690 SHQ655690:SHR655690 SRM655690:SRN655690 TBI655690:TBJ655690 TLE655690:TLF655690 TVA655690:TVB655690 UEW655690:UEX655690 UOS655690:UOT655690 UYO655690:UYP655690 VIK655690:VIL655690 VSG655690:VSH655690 WCC655690:WCD655690 WLY655690:WLZ655690 WVU655690:WVV655690 M721226:N721226 JI721226:JJ721226 TE721226:TF721226 ADA721226:ADB721226 AMW721226:AMX721226 AWS721226:AWT721226 BGO721226:BGP721226 BQK721226:BQL721226 CAG721226:CAH721226 CKC721226:CKD721226 CTY721226:CTZ721226 DDU721226:DDV721226 DNQ721226:DNR721226 DXM721226:DXN721226 EHI721226:EHJ721226 ERE721226:ERF721226 FBA721226:FBB721226 FKW721226:FKX721226 FUS721226:FUT721226 GEO721226:GEP721226 GOK721226:GOL721226 GYG721226:GYH721226 HIC721226:HID721226 HRY721226:HRZ721226 IBU721226:IBV721226 ILQ721226:ILR721226 IVM721226:IVN721226 JFI721226:JFJ721226 JPE721226:JPF721226 JZA721226:JZB721226 KIW721226:KIX721226 KSS721226:KST721226 LCO721226:LCP721226 LMK721226:LML721226 LWG721226:LWH721226 MGC721226:MGD721226 MPY721226:MPZ721226 MZU721226:MZV721226 NJQ721226:NJR721226 NTM721226:NTN721226 ODI721226:ODJ721226 ONE721226:ONF721226 OXA721226:OXB721226 PGW721226:PGX721226 PQS721226:PQT721226 QAO721226:QAP721226 QKK721226:QKL721226 QUG721226:QUH721226 REC721226:RED721226 RNY721226:RNZ721226 RXU721226:RXV721226 SHQ721226:SHR721226 SRM721226:SRN721226 TBI721226:TBJ721226 TLE721226:TLF721226 TVA721226:TVB721226 UEW721226:UEX721226 UOS721226:UOT721226 UYO721226:UYP721226 VIK721226:VIL721226 VSG721226:VSH721226 WCC721226:WCD721226 WLY721226:WLZ721226 WVU721226:WVV721226 M786762:N786762 JI786762:JJ786762 TE786762:TF786762 ADA786762:ADB786762 AMW786762:AMX786762 AWS786762:AWT786762 BGO786762:BGP786762 BQK786762:BQL786762 CAG786762:CAH786762 CKC786762:CKD786762 CTY786762:CTZ786762 DDU786762:DDV786762 DNQ786762:DNR786762 DXM786762:DXN786762 EHI786762:EHJ786762 ERE786762:ERF786762 FBA786762:FBB786762 FKW786762:FKX786762 FUS786762:FUT786762 GEO786762:GEP786762 GOK786762:GOL786762 GYG786762:GYH786762 HIC786762:HID786762 HRY786762:HRZ786762 IBU786762:IBV786762 ILQ786762:ILR786762 IVM786762:IVN786762 JFI786762:JFJ786762 JPE786762:JPF786762 JZA786762:JZB786762 KIW786762:KIX786762 KSS786762:KST786762 LCO786762:LCP786762 LMK786762:LML786762 LWG786762:LWH786762 MGC786762:MGD786762 MPY786762:MPZ786762 MZU786762:MZV786762 NJQ786762:NJR786762 NTM786762:NTN786762 ODI786762:ODJ786762 ONE786762:ONF786762 OXA786762:OXB786762 PGW786762:PGX786762 PQS786762:PQT786762 QAO786762:QAP786762 QKK786762:QKL786762 QUG786762:QUH786762 REC786762:RED786762 RNY786762:RNZ786762 RXU786762:RXV786762 SHQ786762:SHR786762 SRM786762:SRN786762 TBI786762:TBJ786762 TLE786762:TLF786762 TVA786762:TVB786762 UEW786762:UEX786762 UOS786762:UOT786762 UYO786762:UYP786762 VIK786762:VIL786762 VSG786762:VSH786762 WCC786762:WCD786762 WLY786762:WLZ786762 WVU786762:WVV786762 M852298:N852298 JI852298:JJ852298 TE852298:TF852298 ADA852298:ADB852298 AMW852298:AMX852298 AWS852298:AWT852298 BGO852298:BGP852298 BQK852298:BQL852298 CAG852298:CAH852298 CKC852298:CKD852298 CTY852298:CTZ852298 DDU852298:DDV852298 DNQ852298:DNR852298 DXM852298:DXN852298 EHI852298:EHJ852298 ERE852298:ERF852298 FBA852298:FBB852298 FKW852298:FKX852298 FUS852298:FUT852298 GEO852298:GEP852298 GOK852298:GOL852298 GYG852298:GYH852298 HIC852298:HID852298 HRY852298:HRZ852298 IBU852298:IBV852298 ILQ852298:ILR852298 IVM852298:IVN852298 JFI852298:JFJ852298 JPE852298:JPF852298 JZA852298:JZB852298 KIW852298:KIX852298 KSS852298:KST852298 LCO852298:LCP852298 LMK852298:LML852298 LWG852298:LWH852298 MGC852298:MGD852298 MPY852298:MPZ852298 MZU852298:MZV852298 NJQ852298:NJR852298 NTM852298:NTN852298 ODI852298:ODJ852298 ONE852298:ONF852298 OXA852298:OXB852298 PGW852298:PGX852298 PQS852298:PQT852298 QAO852298:QAP852298 QKK852298:QKL852298 QUG852298:QUH852298 REC852298:RED852298 RNY852298:RNZ852298 RXU852298:RXV852298 SHQ852298:SHR852298 SRM852298:SRN852298 TBI852298:TBJ852298 TLE852298:TLF852298 TVA852298:TVB852298 UEW852298:UEX852298 UOS852298:UOT852298 UYO852298:UYP852298 VIK852298:VIL852298 VSG852298:VSH852298 WCC852298:WCD852298 WLY852298:WLZ852298 WVU852298:WVV852298 M917834:N917834 JI917834:JJ917834 TE917834:TF917834 ADA917834:ADB917834 AMW917834:AMX917834 AWS917834:AWT917834 BGO917834:BGP917834 BQK917834:BQL917834 CAG917834:CAH917834 CKC917834:CKD917834 CTY917834:CTZ917834 DDU917834:DDV917834 DNQ917834:DNR917834 DXM917834:DXN917834 EHI917834:EHJ917834 ERE917834:ERF917834 FBA917834:FBB917834 FKW917834:FKX917834 FUS917834:FUT917834 GEO917834:GEP917834 GOK917834:GOL917834 GYG917834:GYH917834 HIC917834:HID917834 HRY917834:HRZ917834 IBU917834:IBV917834 ILQ917834:ILR917834 IVM917834:IVN917834 JFI917834:JFJ917834 JPE917834:JPF917834 JZA917834:JZB917834 KIW917834:KIX917834 KSS917834:KST917834 LCO917834:LCP917834 LMK917834:LML917834 LWG917834:LWH917834 MGC917834:MGD917834 MPY917834:MPZ917834 MZU917834:MZV917834 NJQ917834:NJR917834 NTM917834:NTN917834 ODI917834:ODJ917834 ONE917834:ONF917834 OXA917834:OXB917834 PGW917834:PGX917834 PQS917834:PQT917834 QAO917834:QAP917834 QKK917834:QKL917834 QUG917834:QUH917834 REC917834:RED917834 RNY917834:RNZ917834 RXU917834:RXV917834 SHQ917834:SHR917834 SRM917834:SRN917834 TBI917834:TBJ917834 TLE917834:TLF917834 TVA917834:TVB917834 UEW917834:UEX917834 UOS917834:UOT917834 UYO917834:UYP917834 VIK917834:VIL917834 VSG917834:VSH917834 WCC917834:WCD917834 WLY917834:WLZ917834 WVU917834:WVV917834 M983370:N983370 JI983370:JJ983370 TE983370:TF983370 ADA983370:ADB983370 AMW983370:AMX983370 AWS983370:AWT983370 BGO983370:BGP983370 BQK983370:BQL983370 CAG983370:CAH983370 CKC983370:CKD983370 CTY983370:CTZ983370 DDU983370:DDV983370 DNQ983370:DNR983370 DXM983370:DXN983370 EHI983370:EHJ983370 ERE983370:ERF983370 FBA983370:FBB983370 FKW983370:FKX983370 FUS983370:FUT983370 GEO983370:GEP983370 GOK983370:GOL983370 GYG983370:GYH983370 HIC983370:HID983370 HRY983370:HRZ983370 IBU983370:IBV983370 ILQ983370:ILR983370 IVM983370:IVN983370 JFI983370:JFJ983370 JPE983370:JPF983370 JZA983370:JZB983370 KIW983370:KIX983370 KSS983370:KST983370 LCO983370:LCP983370 LMK983370:LML983370 LWG983370:LWH983370 MGC983370:MGD983370 MPY983370:MPZ983370 MZU983370:MZV983370 NJQ983370:NJR983370 NTM983370:NTN983370 ODI983370:ODJ983370 ONE983370:ONF983370 OXA983370:OXB983370 PGW983370:PGX983370 PQS983370:PQT983370 QAO983370:QAP983370 QKK983370:QKL983370 QUG983370:QUH983370 REC983370:RED983370 RNY983370:RNZ983370 RXU983370:RXV983370 SHQ983370:SHR983370 SRM983370:SRN983370 TBI983370:TBJ983370 TLE983370:TLF983370 TVA983370:TVB983370 UEW983370:UEX983370 UOS983370:UOT983370 UYO983370:UYP983370 VIK983370:VIL983370 VSG983370:VSH983370 WCC983370:WCD983370 WLY983370:WLZ983370 WVU983370:WVV983370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594:N65594 JI65594:JJ65594 TE65594:TF65594 ADA65594:ADB65594 AMW65594:AMX65594 AWS65594:AWT65594 BGO65594:BGP65594 BQK65594:BQL65594 CAG65594:CAH65594 CKC65594:CKD65594 CTY65594:CTZ65594 DDU65594:DDV65594 DNQ65594:DNR65594 DXM65594:DXN65594 EHI65594:EHJ65594 ERE65594:ERF65594 FBA65594:FBB65594 FKW65594:FKX65594 FUS65594:FUT65594 GEO65594:GEP65594 GOK65594:GOL65594 GYG65594:GYH65594 HIC65594:HID65594 HRY65594:HRZ65594 IBU65594:IBV65594 ILQ65594:ILR65594 IVM65594:IVN65594 JFI65594:JFJ65594 JPE65594:JPF65594 JZA65594:JZB65594 KIW65594:KIX65594 KSS65594:KST65594 LCO65594:LCP65594 LMK65594:LML65594 LWG65594:LWH65594 MGC65594:MGD65594 MPY65594:MPZ65594 MZU65594:MZV65594 NJQ65594:NJR65594 NTM65594:NTN65594 ODI65594:ODJ65594 ONE65594:ONF65594 OXA65594:OXB65594 PGW65594:PGX65594 PQS65594:PQT65594 QAO65594:QAP65594 QKK65594:QKL65594 QUG65594:QUH65594 REC65594:RED65594 RNY65594:RNZ65594 RXU65594:RXV65594 SHQ65594:SHR65594 SRM65594:SRN65594 TBI65594:TBJ65594 TLE65594:TLF65594 TVA65594:TVB65594 UEW65594:UEX65594 UOS65594:UOT65594 UYO65594:UYP65594 VIK65594:VIL65594 VSG65594:VSH65594 WCC65594:WCD65594 WLY65594:WLZ65594 WVU65594:WVV65594 M131130:N131130 JI131130:JJ131130 TE131130:TF131130 ADA131130:ADB131130 AMW131130:AMX131130 AWS131130:AWT131130 BGO131130:BGP131130 BQK131130:BQL131130 CAG131130:CAH131130 CKC131130:CKD131130 CTY131130:CTZ131130 DDU131130:DDV131130 DNQ131130:DNR131130 DXM131130:DXN131130 EHI131130:EHJ131130 ERE131130:ERF131130 FBA131130:FBB131130 FKW131130:FKX131130 FUS131130:FUT131130 GEO131130:GEP131130 GOK131130:GOL131130 GYG131130:GYH131130 HIC131130:HID131130 HRY131130:HRZ131130 IBU131130:IBV131130 ILQ131130:ILR131130 IVM131130:IVN131130 JFI131130:JFJ131130 JPE131130:JPF131130 JZA131130:JZB131130 KIW131130:KIX131130 KSS131130:KST131130 LCO131130:LCP131130 LMK131130:LML131130 LWG131130:LWH131130 MGC131130:MGD131130 MPY131130:MPZ131130 MZU131130:MZV131130 NJQ131130:NJR131130 NTM131130:NTN131130 ODI131130:ODJ131130 ONE131130:ONF131130 OXA131130:OXB131130 PGW131130:PGX131130 PQS131130:PQT131130 QAO131130:QAP131130 QKK131130:QKL131130 QUG131130:QUH131130 REC131130:RED131130 RNY131130:RNZ131130 RXU131130:RXV131130 SHQ131130:SHR131130 SRM131130:SRN131130 TBI131130:TBJ131130 TLE131130:TLF131130 TVA131130:TVB131130 UEW131130:UEX131130 UOS131130:UOT131130 UYO131130:UYP131130 VIK131130:VIL131130 VSG131130:VSH131130 WCC131130:WCD131130 WLY131130:WLZ131130 WVU131130:WVV131130 M196666:N196666 JI196666:JJ196666 TE196666:TF196666 ADA196666:ADB196666 AMW196666:AMX196666 AWS196666:AWT196666 BGO196666:BGP196666 BQK196666:BQL196666 CAG196666:CAH196666 CKC196666:CKD196666 CTY196666:CTZ196666 DDU196666:DDV196666 DNQ196666:DNR196666 DXM196666:DXN196666 EHI196666:EHJ196666 ERE196666:ERF196666 FBA196666:FBB196666 FKW196666:FKX196666 FUS196666:FUT196666 GEO196666:GEP196666 GOK196666:GOL196666 GYG196666:GYH196666 HIC196666:HID196666 HRY196666:HRZ196666 IBU196666:IBV196666 ILQ196666:ILR196666 IVM196666:IVN196666 JFI196666:JFJ196666 JPE196666:JPF196666 JZA196666:JZB196666 KIW196666:KIX196666 KSS196666:KST196666 LCO196666:LCP196666 LMK196666:LML196666 LWG196666:LWH196666 MGC196666:MGD196666 MPY196666:MPZ196666 MZU196666:MZV196666 NJQ196666:NJR196666 NTM196666:NTN196666 ODI196666:ODJ196666 ONE196666:ONF196666 OXA196666:OXB196666 PGW196666:PGX196666 PQS196666:PQT196666 QAO196666:QAP196666 QKK196666:QKL196666 QUG196666:QUH196666 REC196666:RED196666 RNY196666:RNZ196666 RXU196666:RXV196666 SHQ196666:SHR196666 SRM196666:SRN196666 TBI196666:TBJ196666 TLE196666:TLF196666 TVA196666:TVB196666 UEW196666:UEX196666 UOS196666:UOT196666 UYO196666:UYP196666 VIK196666:VIL196666 VSG196666:VSH196666 WCC196666:WCD196666 WLY196666:WLZ196666 WVU196666:WVV196666 M262202:N262202 JI262202:JJ262202 TE262202:TF262202 ADA262202:ADB262202 AMW262202:AMX262202 AWS262202:AWT262202 BGO262202:BGP262202 BQK262202:BQL262202 CAG262202:CAH262202 CKC262202:CKD262202 CTY262202:CTZ262202 DDU262202:DDV262202 DNQ262202:DNR262202 DXM262202:DXN262202 EHI262202:EHJ262202 ERE262202:ERF262202 FBA262202:FBB262202 FKW262202:FKX262202 FUS262202:FUT262202 GEO262202:GEP262202 GOK262202:GOL262202 GYG262202:GYH262202 HIC262202:HID262202 HRY262202:HRZ262202 IBU262202:IBV262202 ILQ262202:ILR262202 IVM262202:IVN262202 JFI262202:JFJ262202 JPE262202:JPF262202 JZA262202:JZB262202 KIW262202:KIX262202 KSS262202:KST262202 LCO262202:LCP262202 LMK262202:LML262202 LWG262202:LWH262202 MGC262202:MGD262202 MPY262202:MPZ262202 MZU262202:MZV262202 NJQ262202:NJR262202 NTM262202:NTN262202 ODI262202:ODJ262202 ONE262202:ONF262202 OXA262202:OXB262202 PGW262202:PGX262202 PQS262202:PQT262202 QAO262202:QAP262202 QKK262202:QKL262202 QUG262202:QUH262202 REC262202:RED262202 RNY262202:RNZ262202 RXU262202:RXV262202 SHQ262202:SHR262202 SRM262202:SRN262202 TBI262202:TBJ262202 TLE262202:TLF262202 TVA262202:TVB262202 UEW262202:UEX262202 UOS262202:UOT262202 UYO262202:UYP262202 VIK262202:VIL262202 VSG262202:VSH262202 WCC262202:WCD262202 WLY262202:WLZ262202 WVU262202:WVV262202 M327738:N327738 JI327738:JJ327738 TE327738:TF327738 ADA327738:ADB327738 AMW327738:AMX327738 AWS327738:AWT327738 BGO327738:BGP327738 BQK327738:BQL327738 CAG327738:CAH327738 CKC327738:CKD327738 CTY327738:CTZ327738 DDU327738:DDV327738 DNQ327738:DNR327738 DXM327738:DXN327738 EHI327738:EHJ327738 ERE327738:ERF327738 FBA327738:FBB327738 FKW327738:FKX327738 FUS327738:FUT327738 GEO327738:GEP327738 GOK327738:GOL327738 GYG327738:GYH327738 HIC327738:HID327738 HRY327738:HRZ327738 IBU327738:IBV327738 ILQ327738:ILR327738 IVM327738:IVN327738 JFI327738:JFJ327738 JPE327738:JPF327738 JZA327738:JZB327738 KIW327738:KIX327738 KSS327738:KST327738 LCO327738:LCP327738 LMK327738:LML327738 LWG327738:LWH327738 MGC327738:MGD327738 MPY327738:MPZ327738 MZU327738:MZV327738 NJQ327738:NJR327738 NTM327738:NTN327738 ODI327738:ODJ327738 ONE327738:ONF327738 OXA327738:OXB327738 PGW327738:PGX327738 PQS327738:PQT327738 QAO327738:QAP327738 QKK327738:QKL327738 QUG327738:QUH327738 REC327738:RED327738 RNY327738:RNZ327738 RXU327738:RXV327738 SHQ327738:SHR327738 SRM327738:SRN327738 TBI327738:TBJ327738 TLE327738:TLF327738 TVA327738:TVB327738 UEW327738:UEX327738 UOS327738:UOT327738 UYO327738:UYP327738 VIK327738:VIL327738 VSG327738:VSH327738 WCC327738:WCD327738 WLY327738:WLZ327738 WVU327738:WVV327738 M393274:N393274 JI393274:JJ393274 TE393274:TF393274 ADA393274:ADB393274 AMW393274:AMX393274 AWS393274:AWT393274 BGO393274:BGP393274 BQK393274:BQL393274 CAG393274:CAH393274 CKC393274:CKD393274 CTY393274:CTZ393274 DDU393274:DDV393274 DNQ393274:DNR393274 DXM393274:DXN393274 EHI393274:EHJ393274 ERE393274:ERF393274 FBA393274:FBB393274 FKW393274:FKX393274 FUS393274:FUT393274 GEO393274:GEP393274 GOK393274:GOL393274 GYG393274:GYH393274 HIC393274:HID393274 HRY393274:HRZ393274 IBU393274:IBV393274 ILQ393274:ILR393274 IVM393274:IVN393274 JFI393274:JFJ393274 JPE393274:JPF393274 JZA393274:JZB393274 KIW393274:KIX393274 KSS393274:KST393274 LCO393274:LCP393274 LMK393274:LML393274 LWG393274:LWH393274 MGC393274:MGD393274 MPY393274:MPZ393274 MZU393274:MZV393274 NJQ393274:NJR393274 NTM393274:NTN393274 ODI393274:ODJ393274 ONE393274:ONF393274 OXA393274:OXB393274 PGW393274:PGX393274 PQS393274:PQT393274 QAO393274:QAP393274 QKK393274:QKL393274 QUG393274:QUH393274 REC393274:RED393274 RNY393274:RNZ393274 RXU393274:RXV393274 SHQ393274:SHR393274 SRM393274:SRN393274 TBI393274:TBJ393274 TLE393274:TLF393274 TVA393274:TVB393274 UEW393274:UEX393274 UOS393274:UOT393274 UYO393274:UYP393274 VIK393274:VIL393274 VSG393274:VSH393274 WCC393274:WCD393274 WLY393274:WLZ393274 WVU393274:WVV393274 M458810:N458810 JI458810:JJ458810 TE458810:TF458810 ADA458810:ADB458810 AMW458810:AMX458810 AWS458810:AWT458810 BGO458810:BGP458810 BQK458810:BQL458810 CAG458810:CAH458810 CKC458810:CKD458810 CTY458810:CTZ458810 DDU458810:DDV458810 DNQ458810:DNR458810 DXM458810:DXN458810 EHI458810:EHJ458810 ERE458810:ERF458810 FBA458810:FBB458810 FKW458810:FKX458810 FUS458810:FUT458810 GEO458810:GEP458810 GOK458810:GOL458810 GYG458810:GYH458810 HIC458810:HID458810 HRY458810:HRZ458810 IBU458810:IBV458810 ILQ458810:ILR458810 IVM458810:IVN458810 JFI458810:JFJ458810 JPE458810:JPF458810 JZA458810:JZB458810 KIW458810:KIX458810 KSS458810:KST458810 LCO458810:LCP458810 LMK458810:LML458810 LWG458810:LWH458810 MGC458810:MGD458810 MPY458810:MPZ458810 MZU458810:MZV458810 NJQ458810:NJR458810 NTM458810:NTN458810 ODI458810:ODJ458810 ONE458810:ONF458810 OXA458810:OXB458810 PGW458810:PGX458810 PQS458810:PQT458810 QAO458810:QAP458810 QKK458810:QKL458810 QUG458810:QUH458810 REC458810:RED458810 RNY458810:RNZ458810 RXU458810:RXV458810 SHQ458810:SHR458810 SRM458810:SRN458810 TBI458810:TBJ458810 TLE458810:TLF458810 TVA458810:TVB458810 UEW458810:UEX458810 UOS458810:UOT458810 UYO458810:UYP458810 VIK458810:VIL458810 VSG458810:VSH458810 WCC458810:WCD458810 WLY458810:WLZ458810 WVU458810:WVV458810 M524346:N524346 JI524346:JJ524346 TE524346:TF524346 ADA524346:ADB524346 AMW524346:AMX524346 AWS524346:AWT524346 BGO524346:BGP524346 BQK524346:BQL524346 CAG524346:CAH524346 CKC524346:CKD524346 CTY524346:CTZ524346 DDU524346:DDV524346 DNQ524346:DNR524346 DXM524346:DXN524346 EHI524346:EHJ524346 ERE524346:ERF524346 FBA524346:FBB524346 FKW524346:FKX524346 FUS524346:FUT524346 GEO524346:GEP524346 GOK524346:GOL524346 GYG524346:GYH524346 HIC524346:HID524346 HRY524346:HRZ524346 IBU524346:IBV524346 ILQ524346:ILR524346 IVM524346:IVN524346 JFI524346:JFJ524346 JPE524346:JPF524346 JZA524346:JZB524346 KIW524346:KIX524346 KSS524346:KST524346 LCO524346:LCP524346 LMK524346:LML524346 LWG524346:LWH524346 MGC524346:MGD524346 MPY524346:MPZ524346 MZU524346:MZV524346 NJQ524346:NJR524346 NTM524346:NTN524346 ODI524346:ODJ524346 ONE524346:ONF524346 OXA524346:OXB524346 PGW524346:PGX524346 PQS524346:PQT524346 QAO524346:QAP524346 QKK524346:QKL524346 QUG524346:QUH524346 REC524346:RED524346 RNY524346:RNZ524346 RXU524346:RXV524346 SHQ524346:SHR524346 SRM524346:SRN524346 TBI524346:TBJ524346 TLE524346:TLF524346 TVA524346:TVB524346 UEW524346:UEX524346 UOS524346:UOT524346 UYO524346:UYP524346 VIK524346:VIL524346 VSG524346:VSH524346 WCC524346:WCD524346 WLY524346:WLZ524346 WVU524346:WVV524346 M589882:N589882 JI589882:JJ589882 TE589882:TF589882 ADA589882:ADB589882 AMW589882:AMX589882 AWS589882:AWT589882 BGO589882:BGP589882 BQK589882:BQL589882 CAG589882:CAH589882 CKC589882:CKD589882 CTY589882:CTZ589882 DDU589882:DDV589882 DNQ589882:DNR589882 DXM589882:DXN589882 EHI589882:EHJ589882 ERE589882:ERF589882 FBA589882:FBB589882 FKW589882:FKX589882 FUS589882:FUT589882 GEO589882:GEP589882 GOK589882:GOL589882 GYG589882:GYH589882 HIC589882:HID589882 HRY589882:HRZ589882 IBU589882:IBV589882 ILQ589882:ILR589882 IVM589882:IVN589882 JFI589882:JFJ589882 JPE589882:JPF589882 JZA589882:JZB589882 KIW589882:KIX589882 KSS589882:KST589882 LCO589882:LCP589882 LMK589882:LML589882 LWG589882:LWH589882 MGC589882:MGD589882 MPY589882:MPZ589882 MZU589882:MZV589882 NJQ589882:NJR589882 NTM589882:NTN589882 ODI589882:ODJ589882 ONE589882:ONF589882 OXA589882:OXB589882 PGW589882:PGX589882 PQS589882:PQT589882 QAO589882:QAP589882 QKK589882:QKL589882 QUG589882:QUH589882 REC589882:RED589882 RNY589882:RNZ589882 RXU589882:RXV589882 SHQ589882:SHR589882 SRM589882:SRN589882 TBI589882:TBJ589882 TLE589882:TLF589882 TVA589882:TVB589882 UEW589882:UEX589882 UOS589882:UOT589882 UYO589882:UYP589882 VIK589882:VIL589882 VSG589882:VSH589882 WCC589882:WCD589882 WLY589882:WLZ589882 WVU589882:WVV589882 M655418:N655418 JI655418:JJ655418 TE655418:TF655418 ADA655418:ADB655418 AMW655418:AMX655418 AWS655418:AWT655418 BGO655418:BGP655418 BQK655418:BQL655418 CAG655418:CAH655418 CKC655418:CKD655418 CTY655418:CTZ655418 DDU655418:DDV655418 DNQ655418:DNR655418 DXM655418:DXN655418 EHI655418:EHJ655418 ERE655418:ERF655418 FBA655418:FBB655418 FKW655418:FKX655418 FUS655418:FUT655418 GEO655418:GEP655418 GOK655418:GOL655418 GYG655418:GYH655418 HIC655418:HID655418 HRY655418:HRZ655418 IBU655418:IBV655418 ILQ655418:ILR655418 IVM655418:IVN655418 JFI655418:JFJ655418 JPE655418:JPF655418 JZA655418:JZB655418 KIW655418:KIX655418 KSS655418:KST655418 LCO655418:LCP655418 LMK655418:LML655418 LWG655418:LWH655418 MGC655418:MGD655418 MPY655418:MPZ655418 MZU655418:MZV655418 NJQ655418:NJR655418 NTM655418:NTN655418 ODI655418:ODJ655418 ONE655418:ONF655418 OXA655418:OXB655418 PGW655418:PGX655418 PQS655418:PQT655418 QAO655418:QAP655418 QKK655418:QKL655418 QUG655418:QUH655418 REC655418:RED655418 RNY655418:RNZ655418 RXU655418:RXV655418 SHQ655418:SHR655418 SRM655418:SRN655418 TBI655418:TBJ655418 TLE655418:TLF655418 TVA655418:TVB655418 UEW655418:UEX655418 UOS655418:UOT655418 UYO655418:UYP655418 VIK655418:VIL655418 VSG655418:VSH655418 WCC655418:WCD655418 WLY655418:WLZ655418 WVU655418:WVV655418 M720954:N720954 JI720954:JJ720954 TE720954:TF720954 ADA720954:ADB720954 AMW720954:AMX720954 AWS720954:AWT720954 BGO720954:BGP720954 BQK720954:BQL720954 CAG720954:CAH720954 CKC720954:CKD720954 CTY720954:CTZ720954 DDU720954:DDV720954 DNQ720954:DNR720954 DXM720954:DXN720954 EHI720954:EHJ720954 ERE720954:ERF720954 FBA720954:FBB720954 FKW720954:FKX720954 FUS720954:FUT720954 GEO720954:GEP720954 GOK720954:GOL720954 GYG720954:GYH720954 HIC720954:HID720954 HRY720954:HRZ720954 IBU720954:IBV720954 ILQ720954:ILR720954 IVM720954:IVN720954 JFI720954:JFJ720954 JPE720954:JPF720954 JZA720954:JZB720954 KIW720954:KIX720954 KSS720954:KST720954 LCO720954:LCP720954 LMK720954:LML720954 LWG720954:LWH720954 MGC720954:MGD720954 MPY720954:MPZ720954 MZU720954:MZV720954 NJQ720954:NJR720954 NTM720954:NTN720954 ODI720954:ODJ720954 ONE720954:ONF720954 OXA720954:OXB720954 PGW720954:PGX720954 PQS720954:PQT720954 QAO720954:QAP720954 QKK720954:QKL720954 QUG720954:QUH720954 REC720954:RED720954 RNY720954:RNZ720954 RXU720954:RXV720954 SHQ720954:SHR720954 SRM720954:SRN720954 TBI720954:TBJ720954 TLE720954:TLF720954 TVA720954:TVB720954 UEW720954:UEX720954 UOS720954:UOT720954 UYO720954:UYP720954 VIK720954:VIL720954 VSG720954:VSH720954 WCC720954:WCD720954 WLY720954:WLZ720954 WVU720954:WVV720954 M786490:N786490 JI786490:JJ786490 TE786490:TF786490 ADA786490:ADB786490 AMW786490:AMX786490 AWS786490:AWT786490 BGO786490:BGP786490 BQK786490:BQL786490 CAG786490:CAH786490 CKC786490:CKD786490 CTY786490:CTZ786490 DDU786490:DDV786490 DNQ786490:DNR786490 DXM786490:DXN786490 EHI786490:EHJ786490 ERE786490:ERF786490 FBA786490:FBB786490 FKW786490:FKX786490 FUS786490:FUT786490 GEO786490:GEP786490 GOK786490:GOL786490 GYG786490:GYH786490 HIC786490:HID786490 HRY786490:HRZ786490 IBU786490:IBV786490 ILQ786490:ILR786490 IVM786490:IVN786490 JFI786490:JFJ786490 JPE786490:JPF786490 JZA786490:JZB786490 KIW786490:KIX786490 KSS786490:KST786490 LCO786490:LCP786490 LMK786490:LML786490 LWG786490:LWH786490 MGC786490:MGD786490 MPY786490:MPZ786490 MZU786490:MZV786490 NJQ786490:NJR786490 NTM786490:NTN786490 ODI786490:ODJ786490 ONE786490:ONF786490 OXA786490:OXB786490 PGW786490:PGX786490 PQS786490:PQT786490 QAO786490:QAP786490 QKK786490:QKL786490 QUG786490:QUH786490 REC786490:RED786490 RNY786490:RNZ786490 RXU786490:RXV786490 SHQ786490:SHR786490 SRM786490:SRN786490 TBI786490:TBJ786490 TLE786490:TLF786490 TVA786490:TVB786490 UEW786490:UEX786490 UOS786490:UOT786490 UYO786490:UYP786490 VIK786490:VIL786490 VSG786490:VSH786490 WCC786490:WCD786490 WLY786490:WLZ786490 WVU786490:WVV786490 M852026:N852026 JI852026:JJ852026 TE852026:TF852026 ADA852026:ADB852026 AMW852026:AMX852026 AWS852026:AWT852026 BGO852026:BGP852026 BQK852026:BQL852026 CAG852026:CAH852026 CKC852026:CKD852026 CTY852026:CTZ852026 DDU852026:DDV852026 DNQ852026:DNR852026 DXM852026:DXN852026 EHI852026:EHJ852026 ERE852026:ERF852026 FBA852026:FBB852026 FKW852026:FKX852026 FUS852026:FUT852026 GEO852026:GEP852026 GOK852026:GOL852026 GYG852026:GYH852026 HIC852026:HID852026 HRY852026:HRZ852026 IBU852026:IBV852026 ILQ852026:ILR852026 IVM852026:IVN852026 JFI852026:JFJ852026 JPE852026:JPF852026 JZA852026:JZB852026 KIW852026:KIX852026 KSS852026:KST852026 LCO852026:LCP852026 LMK852026:LML852026 LWG852026:LWH852026 MGC852026:MGD852026 MPY852026:MPZ852026 MZU852026:MZV852026 NJQ852026:NJR852026 NTM852026:NTN852026 ODI852026:ODJ852026 ONE852026:ONF852026 OXA852026:OXB852026 PGW852026:PGX852026 PQS852026:PQT852026 QAO852026:QAP852026 QKK852026:QKL852026 QUG852026:QUH852026 REC852026:RED852026 RNY852026:RNZ852026 RXU852026:RXV852026 SHQ852026:SHR852026 SRM852026:SRN852026 TBI852026:TBJ852026 TLE852026:TLF852026 TVA852026:TVB852026 UEW852026:UEX852026 UOS852026:UOT852026 UYO852026:UYP852026 VIK852026:VIL852026 VSG852026:VSH852026 WCC852026:WCD852026 WLY852026:WLZ852026 WVU852026:WVV852026 M917562:N917562 JI917562:JJ917562 TE917562:TF917562 ADA917562:ADB917562 AMW917562:AMX917562 AWS917562:AWT917562 BGO917562:BGP917562 BQK917562:BQL917562 CAG917562:CAH917562 CKC917562:CKD917562 CTY917562:CTZ917562 DDU917562:DDV917562 DNQ917562:DNR917562 DXM917562:DXN917562 EHI917562:EHJ917562 ERE917562:ERF917562 FBA917562:FBB917562 FKW917562:FKX917562 FUS917562:FUT917562 GEO917562:GEP917562 GOK917562:GOL917562 GYG917562:GYH917562 HIC917562:HID917562 HRY917562:HRZ917562 IBU917562:IBV917562 ILQ917562:ILR917562 IVM917562:IVN917562 JFI917562:JFJ917562 JPE917562:JPF917562 JZA917562:JZB917562 KIW917562:KIX917562 KSS917562:KST917562 LCO917562:LCP917562 LMK917562:LML917562 LWG917562:LWH917562 MGC917562:MGD917562 MPY917562:MPZ917562 MZU917562:MZV917562 NJQ917562:NJR917562 NTM917562:NTN917562 ODI917562:ODJ917562 ONE917562:ONF917562 OXA917562:OXB917562 PGW917562:PGX917562 PQS917562:PQT917562 QAO917562:QAP917562 QKK917562:QKL917562 QUG917562:QUH917562 REC917562:RED917562 RNY917562:RNZ917562 RXU917562:RXV917562 SHQ917562:SHR917562 SRM917562:SRN917562 TBI917562:TBJ917562 TLE917562:TLF917562 TVA917562:TVB917562 UEW917562:UEX917562 UOS917562:UOT917562 UYO917562:UYP917562 VIK917562:VIL917562 VSG917562:VSH917562 WCC917562:WCD917562 WLY917562:WLZ917562 WVU917562:WVV917562 M983098:N983098 JI983098:JJ983098 TE983098:TF983098 ADA983098:ADB983098 AMW983098:AMX983098 AWS983098:AWT983098 BGO983098:BGP983098 BQK983098:BQL983098 CAG983098:CAH983098 CKC983098:CKD983098 CTY983098:CTZ983098 DDU983098:DDV983098 DNQ983098:DNR983098 DXM983098:DXN983098 EHI983098:EHJ983098 ERE983098:ERF983098 FBA983098:FBB983098 FKW983098:FKX983098 FUS983098:FUT983098 GEO983098:GEP983098 GOK983098:GOL983098 GYG983098:GYH983098 HIC983098:HID983098 HRY983098:HRZ983098 IBU983098:IBV983098 ILQ983098:ILR983098 IVM983098:IVN983098 JFI983098:JFJ983098 JPE983098:JPF983098 JZA983098:JZB983098 KIW983098:KIX983098 KSS983098:KST983098 LCO983098:LCP983098 LMK983098:LML983098 LWG983098:LWH983098 MGC983098:MGD983098 MPY983098:MPZ983098 MZU983098:MZV983098 NJQ983098:NJR983098 NTM983098:NTN983098 ODI983098:ODJ983098 ONE983098:ONF983098 OXA983098:OXB983098 PGW983098:PGX983098 PQS983098:PQT983098 QAO983098:QAP983098 QKK983098:QKL983098 QUG983098:QUH983098 REC983098:RED983098 RNY983098:RNZ983098 RXU983098:RXV983098 SHQ983098:SHR983098 SRM983098:SRN983098 TBI983098:TBJ983098 TLE983098:TLF983098 TVA983098:TVB983098 UEW983098:UEX983098 UOS983098:UOT983098 UYO983098:UYP983098 VIK983098:VIL983098 VSG983098:VSH983098 WCC983098:WCD983098 WLY983098:WLZ983098 WVU983098:WVV983098 M195:N195 JI195:JJ195 TE195:TF195 ADA195:ADB195 AMW195:AMX195 AWS195:AWT195 BGO195:BGP195 BQK195:BQL195 CAG195:CAH195 CKC195:CKD195 CTY195:CTZ195 DDU195:DDV195 DNQ195:DNR195 DXM195:DXN195 EHI195:EHJ195 ERE195:ERF195 FBA195:FBB195 FKW195:FKX195 FUS195:FUT195 GEO195:GEP195 GOK195:GOL195 GYG195:GYH195 HIC195:HID195 HRY195:HRZ195 IBU195:IBV195 ILQ195:ILR195 IVM195:IVN195 JFI195:JFJ195 JPE195:JPF195 JZA195:JZB195 KIW195:KIX195 KSS195:KST195 LCO195:LCP195 LMK195:LML195 LWG195:LWH195 MGC195:MGD195 MPY195:MPZ195 MZU195:MZV195 NJQ195:NJR195 NTM195:NTN195 ODI195:ODJ195 ONE195:ONF195 OXA195:OXB195 PGW195:PGX195 PQS195:PQT195 QAO195:QAP195 QKK195:QKL195 QUG195:QUH195 REC195:RED195 RNY195:RNZ195 RXU195:RXV195 SHQ195:SHR195 SRM195:SRN195 TBI195:TBJ195 TLE195:TLF195 TVA195:TVB195 UEW195:UEX195 UOS195:UOT195 UYO195:UYP195 VIK195:VIL195 VSG195:VSH195 WCC195:WCD195 WLY195:WLZ195 WVU195:WVV195 M65728:N65728 JI65728:JJ65728 TE65728:TF65728 ADA65728:ADB65728 AMW65728:AMX65728 AWS65728:AWT65728 BGO65728:BGP65728 BQK65728:BQL65728 CAG65728:CAH65728 CKC65728:CKD65728 CTY65728:CTZ65728 DDU65728:DDV65728 DNQ65728:DNR65728 DXM65728:DXN65728 EHI65728:EHJ65728 ERE65728:ERF65728 FBA65728:FBB65728 FKW65728:FKX65728 FUS65728:FUT65728 GEO65728:GEP65728 GOK65728:GOL65728 GYG65728:GYH65728 HIC65728:HID65728 HRY65728:HRZ65728 IBU65728:IBV65728 ILQ65728:ILR65728 IVM65728:IVN65728 JFI65728:JFJ65728 JPE65728:JPF65728 JZA65728:JZB65728 KIW65728:KIX65728 KSS65728:KST65728 LCO65728:LCP65728 LMK65728:LML65728 LWG65728:LWH65728 MGC65728:MGD65728 MPY65728:MPZ65728 MZU65728:MZV65728 NJQ65728:NJR65728 NTM65728:NTN65728 ODI65728:ODJ65728 ONE65728:ONF65728 OXA65728:OXB65728 PGW65728:PGX65728 PQS65728:PQT65728 QAO65728:QAP65728 QKK65728:QKL65728 QUG65728:QUH65728 REC65728:RED65728 RNY65728:RNZ65728 RXU65728:RXV65728 SHQ65728:SHR65728 SRM65728:SRN65728 TBI65728:TBJ65728 TLE65728:TLF65728 TVA65728:TVB65728 UEW65728:UEX65728 UOS65728:UOT65728 UYO65728:UYP65728 VIK65728:VIL65728 VSG65728:VSH65728 WCC65728:WCD65728 WLY65728:WLZ65728 WVU65728:WVV65728 M131264:N131264 JI131264:JJ131264 TE131264:TF131264 ADA131264:ADB131264 AMW131264:AMX131264 AWS131264:AWT131264 BGO131264:BGP131264 BQK131264:BQL131264 CAG131264:CAH131264 CKC131264:CKD131264 CTY131264:CTZ131264 DDU131264:DDV131264 DNQ131264:DNR131264 DXM131264:DXN131264 EHI131264:EHJ131264 ERE131264:ERF131264 FBA131264:FBB131264 FKW131264:FKX131264 FUS131264:FUT131264 GEO131264:GEP131264 GOK131264:GOL131264 GYG131264:GYH131264 HIC131264:HID131264 HRY131264:HRZ131264 IBU131264:IBV131264 ILQ131264:ILR131264 IVM131264:IVN131264 JFI131264:JFJ131264 JPE131264:JPF131264 JZA131264:JZB131264 KIW131264:KIX131264 KSS131264:KST131264 LCO131264:LCP131264 LMK131264:LML131264 LWG131264:LWH131264 MGC131264:MGD131264 MPY131264:MPZ131264 MZU131264:MZV131264 NJQ131264:NJR131264 NTM131264:NTN131264 ODI131264:ODJ131264 ONE131264:ONF131264 OXA131264:OXB131264 PGW131264:PGX131264 PQS131264:PQT131264 QAO131264:QAP131264 QKK131264:QKL131264 QUG131264:QUH131264 REC131264:RED131264 RNY131264:RNZ131264 RXU131264:RXV131264 SHQ131264:SHR131264 SRM131264:SRN131264 TBI131264:TBJ131264 TLE131264:TLF131264 TVA131264:TVB131264 UEW131264:UEX131264 UOS131264:UOT131264 UYO131264:UYP131264 VIK131264:VIL131264 VSG131264:VSH131264 WCC131264:WCD131264 WLY131264:WLZ131264 WVU131264:WVV131264 M196800:N196800 JI196800:JJ196800 TE196800:TF196800 ADA196800:ADB196800 AMW196800:AMX196800 AWS196800:AWT196800 BGO196800:BGP196800 BQK196800:BQL196800 CAG196800:CAH196800 CKC196800:CKD196800 CTY196800:CTZ196800 DDU196800:DDV196800 DNQ196800:DNR196800 DXM196800:DXN196800 EHI196800:EHJ196800 ERE196800:ERF196800 FBA196800:FBB196800 FKW196800:FKX196800 FUS196800:FUT196800 GEO196800:GEP196800 GOK196800:GOL196800 GYG196800:GYH196800 HIC196800:HID196800 HRY196800:HRZ196800 IBU196800:IBV196800 ILQ196800:ILR196800 IVM196800:IVN196800 JFI196800:JFJ196800 JPE196800:JPF196800 JZA196800:JZB196800 KIW196800:KIX196800 KSS196800:KST196800 LCO196800:LCP196800 LMK196800:LML196800 LWG196800:LWH196800 MGC196800:MGD196800 MPY196800:MPZ196800 MZU196800:MZV196800 NJQ196800:NJR196800 NTM196800:NTN196800 ODI196800:ODJ196800 ONE196800:ONF196800 OXA196800:OXB196800 PGW196800:PGX196800 PQS196800:PQT196800 QAO196800:QAP196800 QKK196800:QKL196800 QUG196800:QUH196800 REC196800:RED196800 RNY196800:RNZ196800 RXU196800:RXV196800 SHQ196800:SHR196800 SRM196800:SRN196800 TBI196800:TBJ196800 TLE196800:TLF196800 TVA196800:TVB196800 UEW196800:UEX196800 UOS196800:UOT196800 UYO196800:UYP196800 VIK196800:VIL196800 VSG196800:VSH196800 WCC196800:WCD196800 WLY196800:WLZ196800 WVU196800:WVV196800 M262336:N262336 JI262336:JJ262336 TE262336:TF262336 ADA262336:ADB262336 AMW262336:AMX262336 AWS262336:AWT262336 BGO262336:BGP262336 BQK262336:BQL262336 CAG262336:CAH262336 CKC262336:CKD262336 CTY262336:CTZ262336 DDU262336:DDV262336 DNQ262336:DNR262336 DXM262336:DXN262336 EHI262336:EHJ262336 ERE262336:ERF262336 FBA262336:FBB262336 FKW262336:FKX262336 FUS262336:FUT262336 GEO262336:GEP262336 GOK262336:GOL262336 GYG262336:GYH262336 HIC262336:HID262336 HRY262336:HRZ262336 IBU262336:IBV262336 ILQ262336:ILR262336 IVM262336:IVN262336 JFI262336:JFJ262336 JPE262336:JPF262336 JZA262336:JZB262336 KIW262336:KIX262336 KSS262336:KST262336 LCO262336:LCP262336 LMK262336:LML262336 LWG262336:LWH262336 MGC262336:MGD262336 MPY262336:MPZ262336 MZU262336:MZV262336 NJQ262336:NJR262336 NTM262336:NTN262336 ODI262336:ODJ262336 ONE262336:ONF262336 OXA262336:OXB262336 PGW262336:PGX262336 PQS262336:PQT262336 QAO262336:QAP262336 QKK262336:QKL262336 QUG262336:QUH262336 REC262336:RED262336 RNY262336:RNZ262336 RXU262336:RXV262336 SHQ262336:SHR262336 SRM262336:SRN262336 TBI262336:TBJ262336 TLE262336:TLF262336 TVA262336:TVB262336 UEW262336:UEX262336 UOS262336:UOT262336 UYO262336:UYP262336 VIK262336:VIL262336 VSG262336:VSH262336 WCC262336:WCD262336 WLY262336:WLZ262336 WVU262336:WVV262336 M327872:N327872 JI327872:JJ327872 TE327872:TF327872 ADA327872:ADB327872 AMW327872:AMX327872 AWS327872:AWT327872 BGO327872:BGP327872 BQK327872:BQL327872 CAG327872:CAH327872 CKC327872:CKD327872 CTY327872:CTZ327872 DDU327872:DDV327872 DNQ327872:DNR327872 DXM327872:DXN327872 EHI327872:EHJ327872 ERE327872:ERF327872 FBA327872:FBB327872 FKW327872:FKX327872 FUS327872:FUT327872 GEO327872:GEP327872 GOK327872:GOL327872 GYG327872:GYH327872 HIC327872:HID327872 HRY327872:HRZ327872 IBU327872:IBV327872 ILQ327872:ILR327872 IVM327872:IVN327872 JFI327872:JFJ327872 JPE327872:JPF327872 JZA327872:JZB327872 KIW327872:KIX327872 KSS327872:KST327872 LCO327872:LCP327872 LMK327872:LML327872 LWG327872:LWH327872 MGC327872:MGD327872 MPY327872:MPZ327872 MZU327872:MZV327872 NJQ327872:NJR327872 NTM327872:NTN327872 ODI327872:ODJ327872 ONE327872:ONF327872 OXA327872:OXB327872 PGW327872:PGX327872 PQS327872:PQT327872 QAO327872:QAP327872 QKK327872:QKL327872 QUG327872:QUH327872 REC327872:RED327872 RNY327872:RNZ327872 RXU327872:RXV327872 SHQ327872:SHR327872 SRM327872:SRN327872 TBI327872:TBJ327872 TLE327872:TLF327872 TVA327872:TVB327872 UEW327872:UEX327872 UOS327872:UOT327872 UYO327872:UYP327872 VIK327872:VIL327872 VSG327872:VSH327872 WCC327872:WCD327872 WLY327872:WLZ327872 WVU327872:WVV327872 M393408:N393408 JI393408:JJ393408 TE393408:TF393408 ADA393408:ADB393408 AMW393408:AMX393408 AWS393408:AWT393408 BGO393408:BGP393408 BQK393408:BQL393408 CAG393408:CAH393408 CKC393408:CKD393408 CTY393408:CTZ393408 DDU393408:DDV393408 DNQ393408:DNR393408 DXM393408:DXN393408 EHI393408:EHJ393408 ERE393408:ERF393408 FBA393408:FBB393408 FKW393408:FKX393408 FUS393408:FUT393408 GEO393408:GEP393408 GOK393408:GOL393408 GYG393408:GYH393408 HIC393408:HID393408 HRY393408:HRZ393408 IBU393408:IBV393408 ILQ393408:ILR393408 IVM393408:IVN393408 JFI393408:JFJ393408 JPE393408:JPF393408 JZA393408:JZB393408 KIW393408:KIX393408 KSS393408:KST393408 LCO393408:LCP393408 LMK393408:LML393408 LWG393408:LWH393408 MGC393408:MGD393408 MPY393408:MPZ393408 MZU393408:MZV393408 NJQ393408:NJR393408 NTM393408:NTN393408 ODI393408:ODJ393408 ONE393408:ONF393408 OXA393408:OXB393408 PGW393408:PGX393408 PQS393408:PQT393408 QAO393408:QAP393408 QKK393408:QKL393408 QUG393408:QUH393408 REC393408:RED393408 RNY393408:RNZ393408 RXU393408:RXV393408 SHQ393408:SHR393408 SRM393408:SRN393408 TBI393408:TBJ393408 TLE393408:TLF393408 TVA393408:TVB393408 UEW393408:UEX393408 UOS393408:UOT393408 UYO393408:UYP393408 VIK393408:VIL393408 VSG393408:VSH393408 WCC393408:WCD393408 WLY393408:WLZ393408 WVU393408:WVV393408 M458944:N458944 JI458944:JJ458944 TE458944:TF458944 ADA458944:ADB458944 AMW458944:AMX458944 AWS458944:AWT458944 BGO458944:BGP458944 BQK458944:BQL458944 CAG458944:CAH458944 CKC458944:CKD458944 CTY458944:CTZ458944 DDU458944:DDV458944 DNQ458944:DNR458944 DXM458944:DXN458944 EHI458944:EHJ458944 ERE458944:ERF458944 FBA458944:FBB458944 FKW458944:FKX458944 FUS458944:FUT458944 GEO458944:GEP458944 GOK458944:GOL458944 GYG458944:GYH458944 HIC458944:HID458944 HRY458944:HRZ458944 IBU458944:IBV458944 ILQ458944:ILR458944 IVM458944:IVN458944 JFI458944:JFJ458944 JPE458944:JPF458944 JZA458944:JZB458944 KIW458944:KIX458944 KSS458944:KST458944 LCO458944:LCP458944 LMK458944:LML458944 LWG458944:LWH458944 MGC458944:MGD458944 MPY458944:MPZ458944 MZU458944:MZV458944 NJQ458944:NJR458944 NTM458944:NTN458944 ODI458944:ODJ458944 ONE458944:ONF458944 OXA458944:OXB458944 PGW458944:PGX458944 PQS458944:PQT458944 QAO458944:QAP458944 QKK458944:QKL458944 QUG458944:QUH458944 REC458944:RED458944 RNY458944:RNZ458944 RXU458944:RXV458944 SHQ458944:SHR458944 SRM458944:SRN458944 TBI458944:TBJ458944 TLE458944:TLF458944 TVA458944:TVB458944 UEW458944:UEX458944 UOS458944:UOT458944 UYO458944:UYP458944 VIK458944:VIL458944 VSG458944:VSH458944 WCC458944:WCD458944 WLY458944:WLZ458944 WVU458944:WVV458944 M524480:N524480 JI524480:JJ524480 TE524480:TF524480 ADA524480:ADB524480 AMW524480:AMX524480 AWS524480:AWT524480 BGO524480:BGP524480 BQK524480:BQL524480 CAG524480:CAH524480 CKC524480:CKD524480 CTY524480:CTZ524480 DDU524480:DDV524480 DNQ524480:DNR524480 DXM524480:DXN524480 EHI524480:EHJ524480 ERE524480:ERF524480 FBA524480:FBB524480 FKW524480:FKX524480 FUS524480:FUT524480 GEO524480:GEP524480 GOK524480:GOL524480 GYG524480:GYH524480 HIC524480:HID524480 HRY524480:HRZ524480 IBU524480:IBV524480 ILQ524480:ILR524480 IVM524480:IVN524480 JFI524480:JFJ524480 JPE524480:JPF524480 JZA524480:JZB524480 KIW524480:KIX524480 KSS524480:KST524480 LCO524480:LCP524480 LMK524480:LML524480 LWG524480:LWH524480 MGC524480:MGD524480 MPY524480:MPZ524480 MZU524480:MZV524480 NJQ524480:NJR524480 NTM524480:NTN524480 ODI524480:ODJ524480 ONE524480:ONF524480 OXA524480:OXB524480 PGW524480:PGX524480 PQS524480:PQT524480 QAO524480:QAP524480 QKK524480:QKL524480 QUG524480:QUH524480 REC524480:RED524480 RNY524480:RNZ524480 RXU524480:RXV524480 SHQ524480:SHR524480 SRM524480:SRN524480 TBI524480:TBJ524480 TLE524480:TLF524480 TVA524480:TVB524480 UEW524480:UEX524480 UOS524480:UOT524480 UYO524480:UYP524480 VIK524480:VIL524480 VSG524480:VSH524480 WCC524480:WCD524480 WLY524480:WLZ524480 WVU524480:WVV524480 M590016:N590016 JI590016:JJ590016 TE590016:TF590016 ADA590016:ADB590016 AMW590016:AMX590016 AWS590016:AWT590016 BGO590016:BGP590016 BQK590016:BQL590016 CAG590016:CAH590016 CKC590016:CKD590016 CTY590016:CTZ590016 DDU590016:DDV590016 DNQ590016:DNR590016 DXM590016:DXN590016 EHI590016:EHJ590016 ERE590016:ERF590016 FBA590016:FBB590016 FKW590016:FKX590016 FUS590016:FUT590016 GEO590016:GEP590016 GOK590016:GOL590016 GYG590016:GYH590016 HIC590016:HID590016 HRY590016:HRZ590016 IBU590016:IBV590016 ILQ590016:ILR590016 IVM590016:IVN590016 JFI590016:JFJ590016 JPE590016:JPF590016 JZA590016:JZB590016 KIW590016:KIX590016 KSS590016:KST590016 LCO590016:LCP590016 LMK590016:LML590016 LWG590016:LWH590016 MGC590016:MGD590016 MPY590016:MPZ590016 MZU590016:MZV590016 NJQ590016:NJR590016 NTM590016:NTN590016 ODI590016:ODJ590016 ONE590016:ONF590016 OXA590016:OXB590016 PGW590016:PGX590016 PQS590016:PQT590016 QAO590016:QAP590016 QKK590016:QKL590016 QUG590016:QUH590016 REC590016:RED590016 RNY590016:RNZ590016 RXU590016:RXV590016 SHQ590016:SHR590016 SRM590016:SRN590016 TBI590016:TBJ590016 TLE590016:TLF590016 TVA590016:TVB590016 UEW590016:UEX590016 UOS590016:UOT590016 UYO590016:UYP590016 VIK590016:VIL590016 VSG590016:VSH590016 WCC590016:WCD590016 WLY590016:WLZ590016 WVU590016:WVV590016 M655552:N655552 JI655552:JJ655552 TE655552:TF655552 ADA655552:ADB655552 AMW655552:AMX655552 AWS655552:AWT655552 BGO655552:BGP655552 BQK655552:BQL655552 CAG655552:CAH655552 CKC655552:CKD655552 CTY655552:CTZ655552 DDU655552:DDV655552 DNQ655552:DNR655552 DXM655552:DXN655552 EHI655552:EHJ655552 ERE655552:ERF655552 FBA655552:FBB655552 FKW655552:FKX655552 FUS655552:FUT655552 GEO655552:GEP655552 GOK655552:GOL655552 GYG655552:GYH655552 HIC655552:HID655552 HRY655552:HRZ655552 IBU655552:IBV655552 ILQ655552:ILR655552 IVM655552:IVN655552 JFI655552:JFJ655552 JPE655552:JPF655552 JZA655552:JZB655552 KIW655552:KIX655552 KSS655552:KST655552 LCO655552:LCP655552 LMK655552:LML655552 LWG655552:LWH655552 MGC655552:MGD655552 MPY655552:MPZ655552 MZU655552:MZV655552 NJQ655552:NJR655552 NTM655552:NTN655552 ODI655552:ODJ655552 ONE655552:ONF655552 OXA655552:OXB655552 PGW655552:PGX655552 PQS655552:PQT655552 QAO655552:QAP655552 QKK655552:QKL655552 QUG655552:QUH655552 REC655552:RED655552 RNY655552:RNZ655552 RXU655552:RXV655552 SHQ655552:SHR655552 SRM655552:SRN655552 TBI655552:TBJ655552 TLE655552:TLF655552 TVA655552:TVB655552 UEW655552:UEX655552 UOS655552:UOT655552 UYO655552:UYP655552 VIK655552:VIL655552 VSG655552:VSH655552 WCC655552:WCD655552 WLY655552:WLZ655552 WVU655552:WVV655552 M721088:N721088 JI721088:JJ721088 TE721088:TF721088 ADA721088:ADB721088 AMW721088:AMX721088 AWS721088:AWT721088 BGO721088:BGP721088 BQK721088:BQL721088 CAG721088:CAH721088 CKC721088:CKD721088 CTY721088:CTZ721088 DDU721088:DDV721088 DNQ721088:DNR721088 DXM721088:DXN721088 EHI721088:EHJ721088 ERE721088:ERF721088 FBA721088:FBB721088 FKW721088:FKX721088 FUS721088:FUT721088 GEO721088:GEP721088 GOK721088:GOL721088 GYG721088:GYH721088 HIC721088:HID721088 HRY721088:HRZ721088 IBU721088:IBV721088 ILQ721088:ILR721088 IVM721088:IVN721088 JFI721088:JFJ721088 JPE721088:JPF721088 JZA721088:JZB721088 KIW721088:KIX721088 KSS721088:KST721088 LCO721088:LCP721088 LMK721088:LML721088 LWG721088:LWH721088 MGC721088:MGD721088 MPY721088:MPZ721088 MZU721088:MZV721088 NJQ721088:NJR721088 NTM721088:NTN721088 ODI721088:ODJ721088 ONE721088:ONF721088 OXA721088:OXB721088 PGW721088:PGX721088 PQS721088:PQT721088 QAO721088:QAP721088 QKK721088:QKL721088 QUG721088:QUH721088 REC721088:RED721088 RNY721088:RNZ721088 RXU721088:RXV721088 SHQ721088:SHR721088 SRM721088:SRN721088 TBI721088:TBJ721088 TLE721088:TLF721088 TVA721088:TVB721088 UEW721088:UEX721088 UOS721088:UOT721088 UYO721088:UYP721088 VIK721088:VIL721088 VSG721088:VSH721088 WCC721088:WCD721088 WLY721088:WLZ721088 WVU721088:WVV721088 M786624:N786624 JI786624:JJ786624 TE786624:TF786624 ADA786624:ADB786624 AMW786624:AMX786624 AWS786624:AWT786624 BGO786624:BGP786624 BQK786624:BQL786624 CAG786624:CAH786624 CKC786624:CKD786624 CTY786624:CTZ786624 DDU786624:DDV786624 DNQ786624:DNR786624 DXM786624:DXN786624 EHI786624:EHJ786624 ERE786624:ERF786624 FBA786624:FBB786624 FKW786624:FKX786624 FUS786624:FUT786624 GEO786624:GEP786624 GOK786624:GOL786624 GYG786624:GYH786624 HIC786624:HID786624 HRY786624:HRZ786624 IBU786624:IBV786624 ILQ786624:ILR786624 IVM786624:IVN786624 JFI786624:JFJ786624 JPE786624:JPF786624 JZA786624:JZB786624 KIW786624:KIX786624 KSS786624:KST786624 LCO786624:LCP786624 LMK786624:LML786624 LWG786624:LWH786624 MGC786624:MGD786624 MPY786624:MPZ786624 MZU786624:MZV786624 NJQ786624:NJR786624 NTM786624:NTN786624 ODI786624:ODJ786624 ONE786624:ONF786624 OXA786624:OXB786624 PGW786624:PGX786624 PQS786624:PQT786624 QAO786624:QAP786624 QKK786624:QKL786624 QUG786624:QUH786624 REC786624:RED786624 RNY786624:RNZ786624 RXU786624:RXV786624 SHQ786624:SHR786624 SRM786624:SRN786624 TBI786624:TBJ786624 TLE786624:TLF786624 TVA786624:TVB786624 UEW786624:UEX786624 UOS786624:UOT786624 UYO786624:UYP786624 VIK786624:VIL786624 VSG786624:VSH786624 WCC786624:WCD786624 WLY786624:WLZ786624 WVU786624:WVV786624 M852160:N852160 JI852160:JJ852160 TE852160:TF852160 ADA852160:ADB852160 AMW852160:AMX852160 AWS852160:AWT852160 BGO852160:BGP852160 BQK852160:BQL852160 CAG852160:CAH852160 CKC852160:CKD852160 CTY852160:CTZ852160 DDU852160:DDV852160 DNQ852160:DNR852160 DXM852160:DXN852160 EHI852160:EHJ852160 ERE852160:ERF852160 FBA852160:FBB852160 FKW852160:FKX852160 FUS852160:FUT852160 GEO852160:GEP852160 GOK852160:GOL852160 GYG852160:GYH852160 HIC852160:HID852160 HRY852160:HRZ852160 IBU852160:IBV852160 ILQ852160:ILR852160 IVM852160:IVN852160 JFI852160:JFJ852160 JPE852160:JPF852160 JZA852160:JZB852160 KIW852160:KIX852160 KSS852160:KST852160 LCO852160:LCP852160 LMK852160:LML852160 LWG852160:LWH852160 MGC852160:MGD852160 MPY852160:MPZ852160 MZU852160:MZV852160 NJQ852160:NJR852160 NTM852160:NTN852160 ODI852160:ODJ852160 ONE852160:ONF852160 OXA852160:OXB852160 PGW852160:PGX852160 PQS852160:PQT852160 QAO852160:QAP852160 QKK852160:QKL852160 QUG852160:QUH852160 REC852160:RED852160 RNY852160:RNZ852160 RXU852160:RXV852160 SHQ852160:SHR852160 SRM852160:SRN852160 TBI852160:TBJ852160 TLE852160:TLF852160 TVA852160:TVB852160 UEW852160:UEX852160 UOS852160:UOT852160 UYO852160:UYP852160 VIK852160:VIL852160 VSG852160:VSH852160 WCC852160:WCD852160 WLY852160:WLZ852160 WVU852160:WVV852160 M917696:N917696 JI917696:JJ917696 TE917696:TF917696 ADA917696:ADB917696 AMW917696:AMX917696 AWS917696:AWT917696 BGO917696:BGP917696 BQK917696:BQL917696 CAG917696:CAH917696 CKC917696:CKD917696 CTY917696:CTZ917696 DDU917696:DDV917696 DNQ917696:DNR917696 DXM917696:DXN917696 EHI917696:EHJ917696 ERE917696:ERF917696 FBA917696:FBB917696 FKW917696:FKX917696 FUS917696:FUT917696 GEO917696:GEP917696 GOK917696:GOL917696 GYG917696:GYH917696 HIC917696:HID917696 HRY917696:HRZ917696 IBU917696:IBV917696 ILQ917696:ILR917696 IVM917696:IVN917696 JFI917696:JFJ917696 JPE917696:JPF917696 JZA917696:JZB917696 KIW917696:KIX917696 KSS917696:KST917696 LCO917696:LCP917696 LMK917696:LML917696 LWG917696:LWH917696 MGC917696:MGD917696 MPY917696:MPZ917696 MZU917696:MZV917696 NJQ917696:NJR917696 NTM917696:NTN917696 ODI917696:ODJ917696 ONE917696:ONF917696 OXA917696:OXB917696 PGW917696:PGX917696 PQS917696:PQT917696 QAO917696:QAP917696 QKK917696:QKL917696 QUG917696:QUH917696 REC917696:RED917696 RNY917696:RNZ917696 RXU917696:RXV917696 SHQ917696:SHR917696 SRM917696:SRN917696 TBI917696:TBJ917696 TLE917696:TLF917696 TVA917696:TVB917696 UEW917696:UEX917696 UOS917696:UOT917696 UYO917696:UYP917696 VIK917696:VIL917696 VSG917696:VSH917696 WCC917696:WCD917696 WLY917696:WLZ917696 WVU917696:WVV917696 M983232:N983232 JI983232:JJ983232 TE983232:TF983232 ADA983232:ADB983232 AMW983232:AMX983232 AWS983232:AWT983232 BGO983232:BGP983232 BQK983232:BQL983232 CAG983232:CAH983232 CKC983232:CKD983232 CTY983232:CTZ983232 DDU983232:DDV983232 DNQ983232:DNR983232 DXM983232:DXN983232 EHI983232:EHJ983232 ERE983232:ERF983232 FBA983232:FBB983232 FKW983232:FKX983232 FUS983232:FUT983232 GEO983232:GEP983232 GOK983232:GOL983232 GYG983232:GYH983232 HIC983232:HID983232 HRY983232:HRZ983232 IBU983232:IBV983232 ILQ983232:ILR983232 IVM983232:IVN983232 JFI983232:JFJ983232 JPE983232:JPF983232 JZA983232:JZB983232 KIW983232:KIX983232 KSS983232:KST983232 LCO983232:LCP983232 LMK983232:LML983232 LWG983232:LWH983232 MGC983232:MGD983232 MPY983232:MPZ983232 MZU983232:MZV983232 NJQ983232:NJR983232 NTM983232:NTN983232 ODI983232:ODJ983232 ONE983232:ONF983232 OXA983232:OXB983232 PGW983232:PGX983232 PQS983232:PQT983232 QAO983232:QAP983232 QKK983232:QKL983232 QUG983232:QUH983232 REC983232:RED983232 RNY983232:RNZ983232 RXU983232:RXV983232 SHQ983232:SHR983232 SRM983232:SRN983232 TBI983232:TBJ983232 TLE983232:TLF983232 TVA983232:TVB983232 UEW983232:UEX983232 UOS983232:UOT983232 UYO983232:UYP983232 VIK983232:VIL983232 VSG983232:VSH983232 WCC983232:WCD983232 WLY983232:WLZ983232 WVU983232:WVV983232 M502:N502 JI502:JJ502 TE502:TF502 ADA502:ADB502 AMW502:AMX502 AWS502:AWT502 BGO502:BGP502 BQK502:BQL502 CAG502:CAH502 CKC502:CKD502 CTY502:CTZ502 DDU502:DDV502 DNQ502:DNR502 DXM502:DXN502 EHI502:EHJ502 ERE502:ERF502 FBA502:FBB502 FKW502:FKX502 FUS502:FUT502 GEO502:GEP502 GOK502:GOL502 GYG502:GYH502 HIC502:HID502 HRY502:HRZ502 IBU502:IBV502 ILQ502:ILR502 IVM502:IVN502 JFI502:JFJ502 JPE502:JPF502 JZA502:JZB502 KIW502:KIX502 KSS502:KST502 LCO502:LCP502 LMK502:LML502 LWG502:LWH502 MGC502:MGD502 MPY502:MPZ502 MZU502:MZV502 NJQ502:NJR502 NTM502:NTN502 ODI502:ODJ502 ONE502:ONF502 OXA502:OXB502 PGW502:PGX502 PQS502:PQT502 QAO502:QAP502 QKK502:QKL502 QUG502:QUH502 REC502:RED502 RNY502:RNZ502 RXU502:RXV502 SHQ502:SHR502 SRM502:SRN502 TBI502:TBJ502 TLE502:TLF502 TVA502:TVB502 UEW502:UEX502 UOS502:UOT502 UYO502:UYP502 VIK502:VIL502 VSG502:VSH502 WCC502:WCD502 WLY502:WLZ502 WVU502:WVV502 M66038:N66038 JI66038:JJ66038 TE66038:TF66038 ADA66038:ADB66038 AMW66038:AMX66038 AWS66038:AWT66038 BGO66038:BGP66038 BQK66038:BQL66038 CAG66038:CAH66038 CKC66038:CKD66038 CTY66038:CTZ66038 DDU66038:DDV66038 DNQ66038:DNR66038 DXM66038:DXN66038 EHI66038:EHJ66038 ERE66038:ERF66038 FBA66038:FBB66038 FKW66038:FKX66038 FUS66038:FUT66038 GEO66038:GEP66038 GOK66038:GOL66038 GYG66038:GYH66038 HIC66038:HID66038 HRY66038:HRZ66038 IBU66038:IBV66038 ILQ66038:ILR66038 IVM66038:IVN66038 JFI66038:JFJ66038 JPE66038:JPF66038 JZA66038:JZB66038 KIW66038:KIX66038 KSS66038:KST66038 LCO66038:LCP66038 LMK66038:LML66038 LWG66038:LWH66038 MGC66038:MGD66038 MPY66038:MPZ66038 MZU66038:MZV66038 NJQ66038:NJR66038 NTM66038:NTN66038 ODI66038:ODJ66038 ONE66038:ONF66038 OXA66038:OXB66038 PGW66038:PGX66038 PQS66038:PQT66038 QAO66038:QAP66038 QKK66038:QKL66038 QUG66038:QUH66038 REC66038:RED66038 RNY66038:RNZ66038 RXU66038:RXV66038 SHQ66038:SHR66038 SRM66038:SRN66038 TBI66038:TBJ66038 TLE66038:TLF66038 TVA66038:TVB66038 UEW66038:UEX66038 UOS66038:UOT66038 UYO66038:UYP66038 VIK66038:VIL66038 VSG66038:VSH66038 WCC66038:WCD66038 WLY66038:WLZ66038 WVU66038:WVV66038 M131574:N131574 JI131574:JJ131574 TE131574:TF131574 ADA131574:ADB131574 AMW131574:AMX131574 AWS131574:AWT131574 BGO131574:BGP131574 BQK131574:BQL131574 CAG131574:CAH131574 CKC131574:CKD131574 CTY131574:CTZ131574 DDU131574:DDV131574 DNQ131574:DNR131574 DXM131574:DXN131574 EHI131574:EHJ131574 ERE131574:ERF131574 FBA131574:FBB131574 FKW131574:FKX131574 FUS131574:FUT131574 GEO131574:GEP131574 GOK131574:GOL131574 GYG131574:GYH131574 HIC131574:HID131574 HRY131574:HRZ131574 IBU131574:IBV131574 ILQ131574:ILR131574 IVM131574:IVN131574 JFI131574:JFJ131574 JPE131574:JPF131574 JZA131574:JZB131574 KIW131574:KIX131574 KSS131574:KST131574 LCO131574:LCP131574 LMK131574:LML131574 LWG131574:LWH131574 MGC131574:MGD131574 MPY131574:MPZ131574 MZU131574:MZV131574 NJQ131574:NJR131574 NTM131574:NTN131574 ODI131574:ODJ131574 ONE131574:ONF131574 OXA131574:OXB131574 PGW131574:PGX131574 PQS131574:PQT131574 QAO131574:QAP131574 QKK131574:QKL131574 QUG131574:QUH131574 REC131574:RED131574 RNY131574:RNZ131574 RXU131574:RXV131574 SHQ131574:SHR131574 SRM131574:SRN131574 TBI131574:TBJ131574 TLE131574:TLF131574 TVA131574:TVB131574 UEW131574:UEX131574 UOS131574:UOT131574 UYO131574:UYP131574 VIK131574:VIL131574 VSG131574:VSH131574 WCC131574:WCD131574 WLY131574:WLZ131574 WVU131574:WVV131574 M197110:N197110 JI197110:JJ197110 TE197110:TF197110 ADA197110:ADB197110 AMW197110:AMX197110 AWS197110:AWT197110 BGO197110:BGP197110 BQK197110:BQL197110 CAG197110:CAH197110 CKC197110:CKD197110 CTY197110:CTZ197110 DDU197110:DDV197110 DNQ197110:DNR197110 DXM197110:DXN197110 EHI197110:EHJ197110 ERE197110:ERF197110 FBA197110:FBB197110 FKW197110:FKX197110 FUS197110:FUT197110 GEO197110:GEP197110 GOK197110:GOL197110 GYG197110:GYH197110 HIC197110:HID197110 HRY197110:HRZ197110 IBU197110:IBV197110 ILQ197110:ILR197110 IVM197110:IVN197110 JFI197110:JFJ197110 JPE197110:JPF197110 JZA197110:JZB197110 KIW197110:KIX197110 KSS197110:KST197110 LCO197110:LCP197110 LMK197110:LML197110 LWG197110:LWH197110 MGC197110:MGD197110 MPY197110:MPZ197110 MZU197110:MZV197110 NJQ197110:NJR197110 NTM197110:NTN197110 ODI197110:ODJ197110 ONE197110:ONF197110 OXA197110:OXB197110 PGW197110:PGX197110 PQS197110:PQT197110 QAO197110:QAP197110 QKK197110:QKL197110 QUG197110:QUH197110 REC197110:RED197110 RNY197110:RNZ197110 RXU197110:RXV197110 SHQ197110:SHR197110 SRM197110:SRN197110 TBI197110:TBJ197110 TLE197110:TLF197110 TVA197110:TVB197110 UEW197110:UEX197110 UOS197110:UOT197110 UYO197110:UYP197110 VIK197110:VIL197110 VSG197110:VSH197110 WCC197110:WCD197110 WLY197110:WLZ197110 WVU197110:WVV197110 M262646:N262646 JI262646:JJ262646 TE262646:TF262646 ADA262646:ADB262646 AMW262646:AMX262646 AWS262646:AWT262646 BGO262646:BGP262646 BQK262646:BQL262646 CAG262646:CAH262646 CKC262646:CKD262646 CTY262646:CTZ262646 DDU262646:DDV262646 DNQ262646:DNR262646 DXM262646:DXN262646 EHI262646:EHJ262646 ERE262646:ERF262646 FBA262646:FBB262646 FKW262646:FKX262646 FUS262646:FUT262646 GEO262646:GEP262646 GOK262646:GOL262646 GYG262646:GYH262646 HIC262646:HID262646 HRY262646:HRZ262646 IBU262646:IBV262646 ILQ262646:ILR262646 IVM262646:IVN262646 JFI262646:JFJ262646 JPE262646:JPF262646 JZA262646:JZB262646 KIW262646:KIX262646 KSS262646:KST262646 LCO262646:LCP262646 LMK262646:LML262646 LWG262646:LWH262646 MGC262646:MGD262646 MPY262646:MPZ262646 MZU262646:MZV262646 NJQ262646:NJR262646 NTM262646:NTN262646 ODI262646:ODJ262646 ONE262646:ONF262646 OXA262646:OXB262646 PGW262646:PGX262646 PQS262646:PQT262646 QAO262646:QAP262646 QKK262646:QKL262646 QUG262646:QUH262646 REC262646:RED262646 RNY262646:RNZ262646 RXU262646:RXV262646 SHQ262646:SHR262646 SRM262646:SRN262646 TBI262646:TBJ262646 TLE262646:TLF262646 TVA262646:TVB262646 UEW262646:UEX262646 UOS262646:UOT262646 UYO262646:UYP262646 VIK262646:VIL262646 VSG262646:VSH262646 WCC262646:WCD262646 WLY262646:WLZ262646 WVU262646:WVV262646 M328182:N328182 JI328182:JJ328182 TE328182:TF328182 ADA328182:ADB328182 AMW328182:AMX328182 AWS328182:AWT328182 BGO328182:BGP328182 BQK328182:BQL328182 CAG328182:CAH328182 CKC328182:CKD328182 CTY328182:CTZ328182 DDU328182:DDV328182 DNQ328182:DNR328182 DXM328182:DXN328182 EHI328182:EHJ328182 ERE328182:ERF328182 FBA328182:FBB328182 FKW328182:FKX328182 FUS328182:FUT328182 GEO328182:GEP328182 GOK328182:GOL328182 GYG328182:GYH328182 HIC328182:HID328182 HRY328182:HRZ328182 IBU328182:IBV328182 ILQ328182:ILR328182 IVM328182:IVN328182 JFI328182:JFJ328182 JPE328182:JPF328182 JZA328182:JZB328182 KIW328182:KIX328182 KSS328182:KST328182 LCO328182:LCP328182 LMK328182:LML328182 LWG328182:LWH328182 MGC328182:MGD328182 MPY328182:MPZ328182 MZU328182:MZV328182 NJQ328182:NJR328182 NTM328182:NTN328182 ODI328182:ODJ328182 ONE328182:ONF328182 OXA328182:OXB328182 PGW328182:PGX328182 PQS328182:PQT328182 QAO328182:QAP328182 QKK328182:QKL328182 QUG328182:QUH328182 REC328182:RED328182 RNY328182:RNZ328182 RXU328182:RXV328182 SHQ328182:SHR328182 SRM328182:SRN328182 TBI328182:TBJ328182 TLE328182:TLF328182 TVA328182:TVB328182 UEW328182:UEX328182 UOS328182:UOT328182 UYO328182:UYP328182 VIK328182:VIL328182 VSG328182:VSH328182 WCC328182:WCD328182 WLY328182:WLZ328182 WVU328182:WVV328182 M393718:N393718 JI393718:JJ393718 TE393718:TF393718 ADA393718:ADB393718 AMW393718:AMX393718 AWS393718:AWT393718 BGO393718:BGP393718 BQK393718:BQL393718 CAG393718:CAH393718 CKC393718:CKD393718 CTY393718:CTZ393718 DDU393718:DDV393718 DNQ393718:DNR393718 DXM393718:DXN393718 EHI393718:EHJ393718 ERE393718:ERF393718 FBA393718:FBB393718 FKW393718:FKX393718 FUS393718:FUT393718 GEO393718:GEP393718 GOK393718:GOL393718 GYG393718:GYH393718 HIC393718:HID393718 HRY393718:HRZ393718 IBU393718:IBV393718 ILQ393718:ILR393718 IVM393718:IVN393718 JFI393718:JFJ393718 JPE393718:JPF393718 JZA393718:JZB393718 KIW393718:KIX393718 KSS393718:KST393718 LCO393718:LCP393718 LMK393718:LML393718 LWG393718:LWH393718 MGC393718:MGD393718 MPY393718:MPZ393718 MZU393718:MZV393718 NJQ393718:NJR393718 NTM393718:NTN393718 ODI393718:ODJ393718 ONE393718:ONF393718 OXA393718:OXB393718 PGW393718:PGX393718 PQS393718:PQT393718 QAO393718:QAP393718 QKK393718:QKL393718 QUG393718:QUH393718 REC393718:RED393718 RNY393718:RNZ393718 RXU393718:RXV393718 SHQ393718:SHR393718 SRM393718:SRN393718 TBI393718:TBJ393718 TLE393718:TLF393718 TVA393718:TVB393718 UEW393718:UEX393718 UOS393718:UOT393718 UYO393718:UYP393718 VIK393718:VIL393718 VSG393718:VSH393718 WCC393718:WCD393718 WLY393718:WLZ393718 WVU393718:WVV393718 M459254:N459254 JI459254:JJ459254 TE459254:TF459254 ADA459254:ADB459254 AMW459254:AMX459254 AWS459254:AWT459254 BGO459254:BGP459254 BQK459254:BQL459254 CAG459254:CAH459254 CKC459254:CKD459254 CTY459254:CTZ459254 DDU459254:DDV459254 DNQ459254:DNR459254 DXM459254:DXN459254 EHI459254:EHJ459254 ERE459254:ERF459254 FBA459254:FBB459254 FKW459254:FKX459254 FUS459254:FUT459254 GEO459254:GEP459254 GOK459254:GOL459254 GYG459254:GYH459254 HIC459254:HID459254 HRY459254:HRZ459254 IBU459254:IBV459254 ILQ459254:ILR459254 IVM459254:IVN459254 JFI459254:JFJ459254 JPE459254:JPF459254 JZA459254:JZB459254 KIW459254:KIX459254 KSS459254:KST459254 LCO459254:LCP459254 LMK459254:LML459254 LWG459254:LWH459254 MGC459254:MGD459254 MPY459254:MPZ459254 MZU459254:MZV459254 NJQ459254:NJR459254 NTM459254:NTN459254 ODI459254:ODJ459254 ONE459254:ONF459254 OXA459254:OXB459254 PGW459254:PGX459254 PQS459254:PQT459254 QAO459254:QAP459254 QKK459254:QKL459254 QUG459254:QUH459254 REC459254:RED459254 RNY459254:RNZ459254 RXU459254:RXV459254 SHQ459254:SHR459254 SRM459254:SRN459254 TBI459254:TBJ459254 TLE459254:TLF459254 TVA459254:TVB459254 UEW459254:UEX459254 UOS459254:UOT459254 UYO459254:UYP459254 VIK459254:VIL459254 VSG459254:VSH459254 WCC459254:WCD459254 WLY459254:WLZ459254 WVU459254:WVV459254 M524790:N524790 JI524790:JJ524790 TE524790:TF524790 ADA524790:ADB524790 AMW524790:AMX524790 AWS524790:AWT524790 BGO524790:BGP524790 BQK524790:BQL524790 CAG524790:CAH524790 CKC524790:CKD524790 CTY524790:CTZ524790 DDU524790:DDV524790 DNQ524790:DNR524790 DXM524790:DXN524790 EHI524790:EHJ524790 ERE524790:ERF524790 FBA524790:FBB524790 FKW524790:FKX524790 FUS524790:FUT524790 GEO524790:GEP524790 GOK524790:GOL524790 GYG524790:GYH524790 HIC524790:HID524790 HRY524790:HRZ524790 IBU524790:IBV524790 ILQ524790:ILR524790 IVM524790:IVN524790 JFI524790:JFJ524790 JPE524790:JPF524790 JZA524790:JZB524790 KIW524790:KIX524790 KSS524790:KST524790 LCO524790:LCP524790 LMK524790:LML524790 LWG524790:LWH524790 MGC524790:MGD524790 MPY524790:MPZ524790 MZU524790:MZV524790 NJQ524790:NJR524790 NTM524790:NTN524790 ODI524790:ODJ524790 ONE524790:ONF524790 OXA524790:OXB524790 PGW524790:PGX524790 PQS524790:PQT524790 QAO524790:QAP524790 QKK524790:QKL524790 QUG524790:QUH524790 REC524790:RED524790 RNY524790:RNZ524790 RXU524790:RXV524790 SHQ524790:SHR524790 SRM524790:SRN524790 TBI524790:TBJ524790 TLE524790:TLF524790 TVA524790:TVB524790 UEW524790:UEX524790 UOS524790:UOT524790 UYO524790:UYP524790 VIK524790:VIL524790 VSG524790:VSH524790 WCC524790:WCD524790 WLY524790:WLZ524790 WVU524790:WVV524790 M590326:N590326 JI590326:JJ590326 TE590326:TF590326 ADA590326:ADB590326 AMW590326:AMX590326 AWS590326:AWT590326 BGO590326:BGP590326 BQK590326:BQL590326 CAG590326:CAH590326 CKC590326:CKD590326 CTY590326:CTZ590326 DDU590326:DDV590326 DNQ590326:DNR590326 DXM590326:DXN590326 EHI590326:EHJ590326 ERE590326:ERF590326 FBA590326:FBB590326 FKW590326:FKX590326 FUS590326:FUT590326 GEO590326:GEP590326 GOK590326:GOL590326 GYG590326:GYH590326 HIC590326:HID590326 HRY590326:HRZ590326 IBU590326:IBV590326 ILQ590326:ILR590326 IVM590326:IVN590326 JFI590326:JFJ590326 JPE590326:JPF590326 JZA590326:JZB590326 KIW590326:KIX590326 KSS590326:KST590326 LCO590326:LCP590326 LMK590326:LML590326 LWG590326:LWH590326 MGC590326:MGD590326 MPY590326:MPZ590326 MZU590326:MZV590326 NJQ590326:NJR590326 NTM590326:NTN590326 ODI590326:ODJ590326 ONE590326:ONF590326 OXA590326:OXB590326 PGW590326:PGX590326 PQS590326:PQT590326 QAO590326:QAP590326 QKK590326:QKL590326 QUG590326:QUH590326 REC590326:RED590326 RNY590326:RNZ590326 RXU590326:RXV590326 SHQ590326:SHR590326 SRM590326:SRN590326 TBI590326:TBJ590326 TLE590326:TLF590326 TVA590326:TVB590326 UEW590326:UEX590326 UOS590326:UOT590326 UYO590326:UYP590326 VIK590326:VIL590326 VSG590326:VSH590326 WCC590326:WCD590326 WLY590326:WLZ590326 WVU590326:WVV590326 M655862:N655862 JI655862:JJ655862 TE655862:TF655862 ADA655862:ADB655862 AMW655862:AMX655862 AWS655862:AWT655862 BGO655862:BGP655862 BQK655862:BQL655862 CAG655862:CAH655862 CKC655862:CKD655862 CTY655862:CTZ655862 DDU655862:DDV655862 DNQ655862:DNR655862 DXM655862:DXN655862 EHI655862:EHJ655862 ERE655862:ERF655862 FBA655862:FBB655862 FKW655862:FKX655862 FUS655862:FUT655862 GEO655862:GEP655862 GOK655862:GOL655862 GYG655862:GYH655862 HIC655862:HID655862 HRY655862:HRZ655862 IBU655862:IBV655862 ILQ655862:ILR655862 IVM655862:IVN655862 JFI655862:JFJ655862 JPE655862:JPF655862 JZA655862:JZB655862 KIW655862:KIX655862 KSS655862:KST655862 LCO655862:LCP655862 LMK655862:LML655862 LWG655862:LWH655862 MGC655862:MGD655862 MPY655862:MPZ655862 MZU655862:MZV655862 NJQ655862:NJR655862 NTM655862:NTN655862 ODI655862:ODJ655862 ONE655862:ONF655862 OXA655862:OXB655862 PGW655862:PGX655862 PQS655862:PQT655862 QAO655862:QAP655862 QKK655862:QKL655862 QUG655862:QUH655862 REC655862:RED655862 RNY655862:RNZ655862 RXU655862:RXV655862 SHQ655862:SHR655862 SRM655862:SRN655862 TBI655862:TBJ655862 TLE655862:TLF655862 TVA655862:TVB655862 UEW655862:UEX655862 UOS655862:UOT655862 UYO655862:UYP655862 VIK655862:VIL655862 VSG655862:VSH655862 WCC655862:WCD655862 WLY655862:WLZ655862 WVU655862:WVV655862 M721398:N721398 JI721398:JJ721398 TE721398:TF721398 ADA721398:ADB721398 AMW721398:AMX721398 AWS721398:AWT721398 BGO721398:BGP721398 BQK721398:BQL721398 CAG721398:CAH721398 CKC721398:CKD721398 CTY721398:CTZ721398 DDU721398:DDV721398 DNQ721398:DNR721398 DXM721398:DXN721398 EHI721398:EHJ721398 ERE721398:ERF721398 FBA721398:FBB721398 FKW721398:FKX721398 FUS721398:FUT721398 GEO721398:GEP721398 GOK721398:GOL721398 GYG721398:GYH721398 HIC721398:HID721398 HRY721398:HRZ721398 IBU721398:IBV721398 ILQ721398:ILR721398 IVM721398:IVN721398 JFI721398:JFJ721398 JPE721398:JPF721398 JZA721398:JZB721398 KIW721398:KIX721398 KSS721398:KST721398 LCO721398:LCP721398 LMK721398:LML721398 LWG721398:LWH721398 MGC721398:MGD721398 MPY721398:MPZ721398 MZU721398:MZV721398 NJQ721398:NJR721398 NTM721398:NTN721398 ODI721398:ODJ721398 ONE721398:ONF721398 OXA721398:OXB721398 PGW721398:PGX721398 PQS721398:PQT721398 QAO721398:QAP721398 QKK721398:QKL721398 QUG721398:QUH721398 REC721398:RED721398 RNY721398:RNZ721398 RXU721398:RXV721398 SHQ721398:SHR721398 SRM721398:SRN721398 TBI721398:TBJ721398 TLE721398:TLF721398 TVA721398:TVB721398 UEW721398:UEX721398 UOS721398:UOT721398 UYO721398:UYP721398 VIK721398:VIL721398 VSG721398:VSH721398 WCC721398:WCD721398 WLY721398:WLZ721398 WVU721398:WVV721398 M786934:N786934 JI786934:JJ786934 TE786934:TF786934 ADA786934:ADB786934 AMW786934:AMX786934 AWS786934:AWT786934 BGO786934:BGP786934 BQK786934:BQL786934 CAG786934:CAH786934 CKC786934:CKD786934 CTY786934:CTZ786934 DDU786934:DDV786934 DNQ786934:DNR786934 DXM786934:DXN786934 EHI786934:EHJ786934 ERE786934:ERF786934 FBA786934:FBB786934 FKW786934:FKX786934 FUS786934:FUT786934 GEO786934:GEP786934 GOK786934:GOL786934 GYG786934:GYH786934 HIC786934:HID786934 HRY786934:HRZ786934 IBU786934:IBV786934 ILQ786934:ILR786934 IVM786934:IVN786934 JFI786934:JFJ786934 JPE786934:JPF786934 JZA786934:JZB786934 KIW786934:KIX786934 KSS786934:KST786934 LCO786934:LCP786934 LMK786934:LML786934 LWG786934:LWH786934 MGC786934:MGD786934 MPY786934:MPZ786934 MZU786934:MZV786934 NJQ786934:NJR786934 NTM786934:NTN786934 ODI786934:ODJ786934 ONE786934:ONF786934 OXA786934:OXB786934 PGW786934:PGX786934 PQS786934:PQT786934 QAO786934:QAP786934 QKK786934:QKL786934 QUG786934:QUH786934 REC786934:RED786934 RNY786934:RNZ786934 RXU786934:RXV786934 SHQ786934:SHR786934 SRM786934:SRN786934 TBI786934:TBJ786934 TLE786934:TLF786934 TVA786934:TVB786934 UEW786934:UEX786934 UOS786934:UOT786934 UYO786934:UYP786934 VIK786934:VIL786934 VSG786934:VSH786934 WCC786934:WCD786934 WLY786934:WLZ786934 WVU786934:WVV786934 M852470:N852470 JI852470:JJ852470 TE852470:TF852470 ADA852470:ADB852470 AMW852470:AMX852470 AWS852470:AWT852470 BGO852470:BGP852470 BQK852470:BQL852470 CAG852470:CAH852470 CKC852470:CKD852470 CTY852470:CTZ852470 DDU852470:DDV852470 DNQ852470:DNR852470 DXM852470:DXN852470 EHI852470:EHJ852470 ERE852470:ERF852470 FBA852470:FBB852470 FKW852470:FKX852470 FUS852470:FUT852470 GEO852470:GEP852470 GOK852470:GOL852470 GYG852470:GYH852470 HIC852470:HID852470 HRY852470:HRZ852470 IBU852470:IBV852470 ILQ852470:ILR852470 IVM852470:IVN852470 JFI852470:JFJ852470 JPE852470:JPF852470 JZA852470:JZB852470 KIW852470:KIX852470 KSS852470:KST852470 LCO852470:LCP852470 LMK852470:LML852470 LWG852470:LWH852470 MGC852470:MGD852470 MPY852470:MPZ852470 MZU852470:MZV852470 NJQ852470:NJR852470 NTM852470:NTN852470 ODI852470:ODJ852470 ONE852470:ONF852470 OXA852470:OXB852470 PGW852470:PGX852470 PQS852470:PQT852470 QAO852470:QAP852470 QKK852470:QKL852470 QUG852470:QUH852470 REC852470:RED852470 RNY852470:RNZ852470 RXU852470:RXV852470 SHQ852470:SHR852470 SRM852470:SRN852470 TBI852470:TBJ852470 TLE852470:TLF852470 TVA852470:TVB852470 UEW852470:UEX852470 UOS852470:UOT852470 UYO852470:UYP852470 VIK852470:VIL852470 VSG852470:VSH852470 WCC852470:WCD852470 WLY852470:WLZ852470 WVU852470:WVV852470 M918006:N918006 JI918006:JJ918006 TE918006:TF918006 ADA918006:ADB918006 AMW918006:AMX918006 AWS918006:AWT918006 BGO918006:BGP918006 BQK918006:BQL918006 CAG918006:CAH918006 CKC918006:CKD918006 CTY918006:CTZ918006 DDU918006:DDV918006 DNQ918006:DNR918006 DXM918006:DXN918006 EHI918006:EHJ918006 ERE918006:ERF918006 FBA918006:FBB918006 FKW918006:FKX918006 FUS918006:FUT918006 GEO918006:GEP918006 GOK918006:GOL918006 GYG918006:GYH918006 HIC918006:HID918006 HRY918006:HRZ918006 IBU918006:IBV918006 ILQ918006:ILR918006 IVM918006:IVN918006 JFI918006:JFJ918006 JPE918006:JPF918006 JZA918006:JZB918006 KIW918006:KIX918006 KSS918006:KST918006 LCO918006:LCP918006 LMK918006:LML918006 LWG918006:LWH918006 MGC918006:MGD918006 MPY918006:MPZ918006 MZU918006:MZV918006 NJQ918006:NJR918006 NTM918006:NTN918006 ODI918006:ODJ918006 ONE918006:ONF918006 OXA918006:OXB918006 PGW918006:PGX918006 PQS918006:PQT918006 QAO918006:QAP918006 QKK918006:QKL918006 QUG918006:QUH918006 REC918006:RED918006 RNY918006:RNZ918006 RXU918006:RXV918006 SHQ918006:SHR918006 SRM918006:SRN918006 TBI918006:TBJ918006 TLE918006:TLF918006 TVA918006:TVB918006 UEW918006:UEX918006 UOS918006:UOT918006 UYO918006:UYP918006 VIK918006:VIL918006 VSG918006:VSH918006 WCC918006:WCD918006 WLY918006:WLZ918006 WVU918006:WVV918006 M983542:N983542 JI983542:JJ983542 TE983542:TF983542 ADA983542:ADB983542 AMW983542:AMX983542 AWS983542:AWT983542 BGO983542:BGP983542 BQK983542:BQL983542 CAG983542:CAH983542 CKC983542:CKD983542 CTY983542:CTZ983542 DDU983542:DDV983542 DNQ983542:DNR983542 DXM983542:DXN983542 EHI983542:EHJ983542 ERE983542:ERF983542 FBA983542:FBB983542 FKW983542:FKX983542 FUS983542:FUT983542 GEO983542:GEP983542 GOK983542:GOL983542 GYG983542:GYH983542 HIC983542:HID983542 HRY983542:HRZ983542 IBU983542:IBV983542 ILQ983542:ILR983542 IVM983542:IVN983542 JFI983542:JFJ983542 JPE983542:JPF983542 JZA983542:JZB983542 KIW983542:KIX983542 KSS983542:KST983542 LCO983542:LCP983542 LMK983542:LML983542 LWG983542:LWH983542 MGC983542:MGD983542 MPY983542:MPZ983542 MZU983542:MZV983542 NJQ983542:NJR983542 NTM983542:NTN983542 ODI983542:ODJ983542 ONE983542:ONF983542 OXA983542:OXB983542 PGW983542:PGX983542 PQS983542:PQT983542 QAO983542:QAP983542 QKK983542:QKL983542 QUG983542:QUH983542 REC983542:RED983542 RNY983542:RNZ983542 RXU983542:RXV983542 SHQ983542:SHR983542 SRM983542:SRN983542 TBI983542:TBJ983542 TLE983542:TLF983542 TVA983542:TVB983542 UEW983542:UEX983542 UOS983542:UOT983542 UYO983542:UYP983542 VIK983542:VIL983542 VSG983542:VSH983542 WCC983542:WCD983542 WLY983542:WLZ983542 WVU983542:WVV983542" xr:uid="{8A3E7E3F-F508-42EA-A56F-6674145D6578}">
      <formula1>"Y,N"</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96" max="21" man="1"/>
    <brk id="141" max="21" man="1"/>
    <brk id="181" max="21" man="1"/>
    <brk id="232" max="21" man="1"/>
    <brk id="404" max="21"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490D-7787-4C4E-B203-0B3594296348}">
  <sheetPr codeName="Sheet17">
    <tabColor rgb="FF00B050"/>
  </sheetPr>
  <dimension ref="A1:AC661"/>
  <sheetViews>
    <sheetView showZeros="0" view="pageBreakPreview" topLeftCell="A119" zoomScale="115" zoomScaleNormal="100" zoomScaleSheetLayoutView="115" workbookViewId="0">
      <selection activeCell="A315" sqref="A315:C318"/>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920" t="s">
        <v>0</v>
      </c>
      <c r="B1" s="921"/>
      <c r="C1" s="921"/>
      <c r="D1" s="921"/>
      <c r="E1" s="921"/>
      <c r="F1" s="921"/>
      <c r="G1" s="922"/>
      <c r="H1" s="906" t="str">
        <f>[6]Title!H1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[6]Title!A5</f>
        <v>Prep. By</v>
      </c>
      <c r="B5" s="943"/>
      <c r="C5" s="25" t="str">
        <f>[6]Title!C5</f>
        <v>PK</v>
      </c>
      <c r="D5" s="880" t="str">
        <f>[6]Title!D5</f>
        <v>Checked By</v>
      </c>
      <c r="E5" s="881"/>
      <c r="F5" s="943"/>
      <c r="G5" s="25" t="str">
        <f>[6]Title!G5</f>
        <v>RN</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9" ht="18" customHeight="1">
      <c r="A7" s="184"/>
      <c r="B7" s="781" t="s">
        <v>962</v>
      </c>
      <c r="C7" s="782"/>
      <c r="D7" s="781" t="s">
        <v>385</v>
      </c>
      <c r="E7" s="782"/>
      <c r="F7" s="186"/>
      <c r="H7" s="689" t="s">
        <v>594</v>
      </c>
      <c r="I7" s="689"/>
      <c r="J7" s="689"/>
      <c r="K7" s="689"/>
      <c r="L7" s="689"/>
      <c r="M7" s="689"/>
      <c r="N7" s="689"/>
      <c r="P7" s="186"/>
      <c r="S7" s="187" t="s">
        <v>387</v>
      </c>
      <c r="T7" s="1161" t="s">
        <v>205</v>
      </c>
      <c r="U7" s="1162"/>
      <c r="V7" s="185"/>
    </row>
    <row r="8" spans="1:29" ht="18" customHeight="1">
      <c r="A8" s="184"/>
      <c r="B8" s="1228"/>
      <c r="C8" s="1228"/>
      <c r="D8" s="1228"/>
      <c r="E8" s="1228"/>
      <c r="F8" s="255"/>
      <c r="T8" s="1161"/>
      <c r="U8" s="1162"/>
      <c r="V8" s="185"/>
    </row>
    <row r="9" spans="1:29" ht="18" customHeight="1">
      <c r="A9" s="1191"/>
      <c r="B9" s="1192"/>
      <c r="C9" s="1192"/>
      <c r="D9" s="684"/>
      <c r="H9" s="789" t="s">
        <v>390</v>
      </c>
      <c r="I9" s="789"/>
      <c r="J9" s="708" t="s">
        <v>391</v>
      </c>
      <c r="K9" s="708"/>
      <c r="L9" s="708" t="s">
        <v>392</v>
      </c>
      <c r="M9" s="708"/>
      <c r="T9" s="1161"/>
      <c r="U9" s="1162"/>
      <c r="V9" s="185"/>
    </row>
    <row r="10" spans="1:29" ht="18" customHeight="1">
      <c r="A10" s="184"/>
      <c r="B10" s="47" t="s">
        <v>393</v>
      </c>
      <c r="H10" s="791">
        <v>2500</v>
      </c>
      <c r="I10" s="792"/>
      <c r="J10" s="781" t="s">
        <v>6</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5</v>
      </c>
      <c r="I12" s="782"/>
      <c r="J12" s="192" t="s">
        <v>333</v>
      </c>
      <c r="V12" s="185"/>
    </row>
    <row r="13" spans="1:29" ht="18" customHeight="1">
      <c r="A13" s="184"/>
      <c r="B13" s="47" t="s">
        <v>398</v>
      </c>
      <c r="G13" s="120" t="s">
        <v>498</v>
      </c>
      <c r="H13" s="781">
        <v>400</v>
      </c>
      <c r="I13" s="782"/>
      <c r="J13" s="14" t="s">
        <v>305</v>
      </c>
      <c r="V13" s="185"/>
      <c r="W13" s="30" t="s">
        <v>400</v>
      </c>
      <c r="AB13" s="785">
        <f>D58</f>
        <v>50.14</v>
      </c>
      <c r="AC13" s="786"/>
    </row>
    <row r="14" spans="1:29" ht="18" customHeight="1">
      <c r="A14" s="184"/>
      <c r="B14" s="14" t="s">
        <v>401</v>
      </c>
      <c r="G14" s="120" t="s">
        <v>402</v>
      </c>
      <c r="H14" s="781">
        <v>20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7UT85</v>
      </c>
      <c r="E18" s="196"/>
      <c r="F18" s="196"/>
      <c r="G18" s="196"/>
      <c r="H18" s="182" t="s">
        <v>406</v>
      </c>
      <c r="I18" s="183" t="s">
        <v>127</v>
      </c>
      <c r="J18" s="1193">
        <f>'CT-VT Burdens'!Q119</f>
        <v>0.1</v>
      </c>
      <c r="K18" s="1105"/>
      <c r="L18" s="3" t="s">
        <v>157</v>
      </c>
      <c r="V18" s="185"/>
    </row>
    <row r="19" spans="1:22" ht="18" customHeight="1">
      <c r="A19" s="184"/>
      <c r="B19" s="184" t="s">
        <v>405</v>
      </c>
      <c r="D19" s="30">
        <f>T8</f>
        <v>0</v>
      </c>
      <c r="H19" s="27"/>
      <c r="I19" s="177" t="s">
        <v>127</v>
      </c>
      <c r="J19" s="1194"/>
      <c r="K19" s="1107"/>
      <c r="L19" s="198" t="s">
        <v>157</v>
      </c>
      <c r="V19" s="185"/>
    </row>
    <row r="20" spans="1:22" ht="18" customHeight="1">
      <c r="A20" s="184"/>
      <c r="B20" s="184" t="s">
        <v>405</v>
      </c>
      <c r="D20" s="30">
        <f>T9</f>
        <v>0</v>
      </c>
      <c r="E20" s="14"/>
      <c r="G20" s="199"/>
      <c r="H20" s="27"/>
      <c r="I20" s="177" t="s">
        <v>127</v>
      </c>
      <c r="J20" s="1108"/>
      <c r="K20" s="788"/>
      <c r="L20" s="202" t="s">
        <v>157</v>
      </c>
      <c r="V20" s="185"/>
    </row>
    <row r="21" spans="1:22" ht="18" customHeight="1">
      <c r="A21" s="184"/>
      <c r="B21" s="184" t="s">
        <v>412</v>
      </c>
      <c r="H21" s="27" t="s">
        <v>599</v>
      </c>
      <c r="I21" s="177" t="s">
        <v>127</v>
      </c>
      <c r="J21" s="793">
        <f>'CT-VT Burdens'!S30</f>
        <v>1.1667743100000001</v>
      </c>
      <c r="K21" s="1156"/>
      <c r="L21" s="203" t="s">
        <v>157</v>
      </c>
      <c r="V21" s="185"/>
    </row>
    <row r="22" spans="1:22" ht="18" customHeight="1">
      <c r="A22" s="184"/>
      <c r="B22" s="205" t="s">
        <v>413</v>
      </c>
      <c r="C22" s="206"/>
      <c r="D22" s="206"/>
      <c r="E22" s="206"/>
      <c r="F22" s="207"/>
      <c r="G22" s="207"/>
      <c r="H22" s="190" t="s">
        <v>409</v>
      </c>
      <c r="I22" s="208" t="s">
        <v>127</v>
      </c>
      <c r="J22" s="766">
        <f>J19+J21</f>
        <v>1.1667743100000001</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S54</f>
        <v>1</v>
      </c>
      <c r="G26" s="27" t="s">
        <v>315</v>
      </c>
      <c r="H26" s="27">
        <f>S54</f>
        <v>1</v>
      </c>
      <c r="I26" s="30" t="s">
        <v>350</v>
      </c>
      <c r="J26" s="199"/>
      <c r="L26" s="47"/>
      <c r="N26" s="27" t="s">
        <v>127</v>
      </c>
      <c r="O26" s="204">
        <f>J22</f>
        <v>1.1667743100000001</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1.1667743100000001</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t="s">
        <v>668</v>
      </c>
      <c r="C29" s="47"/>
      <c r="D29" s="47"/>
      <c r="E29" s="47"/>
      <c r="H29" s="27"/>
      <c r="I29" s="28"/>
      <c r="J29" s="199"/>
      <c r="L29" s="28" t="s">
        <v>127</v>
      </c>
      <c r="M29" s="795">
        <f>D27</f>
        <v>0.1</v>
      </c>
      <c r="N29" s="795"/>
      <c r="O29" s="27" t="s">
        <v>347</v>
      </c>
      <c r="P29" s="795">
        <f>O27</f>
        <v>1.1667743100000001</v>
      </c>
      <c r="Q29" s="795"/>
      <c r="R29" s="211" t="s">
        <v>127</v>
      </c>
      <c r="S29" s="795">
        <f>M29+P29</f>
        <v>1.2667743100000002</v>
      </c>
      <c r="T29" s="795"/>
      <c r="U29" s="192" t="s">
        <v>333</v>
      </c>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2" s="14" customFormat="1" ht="18" customHeight="1">
      <c r="A33" s="96"/>
      <c r="B33" s="47" t="s">
        <v>605</v>
      </c>
      <c r="C33" s="5"/>
      <c r="D33" s="5"/>
      <c r="E33" s="5"/>
      <c r="M33" s="120" t="s">
        <v>606</v>
      </c>
      <c r="N33" s="103" t="s">
        <v>607</v>
      </c>
      <c r="O33" s="1154">
        <v>132</v>
      </c>
      <c r="P33" s="831"/>
      <c r="Q33" s="14" t="s">
        <v>163</v>
      </c>
      <c r="S33" s="214"/>
      <c r="T33" s="18"/>
      <c r="U33" s="18"/>
      <c r="V33" s="97"/>
    </row>
    <row r="34" spans="1:22" s="14" customFormat="1" ht="18" customHeight="1">
      <c r="A34" s="216"/>
      <c r="B34" s="212"/>
      <c r="C34" s="212"/>
      <c r="D34" s="212"/>
      <c r="E34" s="212"/>
      <c r="T34" s="18"/>
      <c r="U34" s="18"/>
      <c r="V34" s="97"/>
    </row>
    <row r="35" spans="1:22"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2"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132</v>
      </c>
      <c r="R36" s="47" t="s">
        <v>350</v>
      </c>
      <c r="T36" s="18"/>
      <c r="U36" s="18"/>
      <c r="V36" s="97"/>
    </row>
    <row r="37" spans="1:22" s="14" customFormat="1" ht="18" customHeight="1">
      <c r="A37" s="216"/>
      <c r="B37" s="212"/>
      <c r="C37" s="212"/>
      <c r="D37" s="212"/>
      <c r="E37" s="212"/>
      <c r="F37" s="212"/>
      <c r="G37" s="212"/>
      <c r="I37" s="28" t="s">
        <v>127</v>
      </c>
      <c r="J37" s="692">
        <f>(O31*1000)/(SQRT(3)*O33)</f>
        <v>437.38656756789834</v>
      </c>
      <c r="K37" s="692"/>
      <c r="L37" s="14" t="s">
        <v>8</v>
      </c>
      <c r="M37" s="120"/>
      <c r="N37" s="120"/>
      <c r="O37" s="120"/>
      <c r="T37" s="18"/>
      <c r="U37" s="18"/>
      <c r="V37" s="97"/>
    </row>
    <row r="38" spans="1:22" s="14" customFormat="1" ht="18" customHeight="1">
      <c r="A38" s="216"/>
      <c r="B38" s="212"/>
      <c r="C38" s="212"/>
      <c r="D38" s="212"/>
      <c r="E38" s="212"/>
      <c r="G38" s="212"/>
      <c r="H38" s="28"/>
      <c r="I38" s="103"/>
      <c r="J38" s="28"/>
      <c r="M38" s="212"/>
      <c r="N38" s="219"/>
      <c r="O38" s="212"/>
      <c r="T38" s="18"/>
      <c r="U38" s="18"/>
      <c r="V38" s="97"/>
    </row>
    <row r="39" spans="1:22" s="14" customFormat="1" ht="18" customHeight="1">
      <c r="A39" s="147" t="s">
        <v>669</v>
      </c>
      <c r="B39" s="5"/>
      <c r="C39" s="5"/>
      <c r="D39" s="5"/>
      <c r="E39" s="5"/>
      <c r="F39" s="212"/>
      <c r="G39" s="212"/>
      <c r="H39" s="5"/>
      <c r="I39" s="5"/>
      <c r="J39" s="5"/>
      <c r="K39" s="5"/>
      <c r="L39" s="103"/>
      <c r="M39" s="103"/>
      <c r="N39" s="103"/>
      <c r="O39" s="103"/>
      <c r="P39" s="212"/>
      <c r="Q39" s="213"/>
      <c r="U39" s="18"/>
      <c r="V39" s="97"/>
    </row>
    <row r="40" spans="1:22" s="14" customFormat="1" ht="18" customHeight="1">
      <c r="A40" s="147"/>
      <c r="B40" s="5"/>
      <c r="C40" s="5"/>
      <c r="D40" s="5"/>
      <c r="E40" s="5"/>
      <c r="F40" s="212"/>
      <c r="G40" s="212"/>
      <c r="H40" s="5"/>
      <c r="I40" s="5"/>
      <c r="J40" s="5"/>
      <c r="K40" s="5"/>
      <c r="L40" s="103"/>
      <c r="M40" s="103"/>
      <c r="N40" s="103"/>
      <c r="O40" s="103"/>
      <c r="P40" s="212"/>
      <c r="Q40" s="213"/>
      <c r="S40" s="214"/>
      <c r="T40" s="18"/>
      <c r="U40" s="18"/>
      <c r="V40" s="97"/>
    </row>
    <row r="41" spans="1:22" ht="18" customHeight="1">
      <c r="A41" s="184" t="s">
        <v>670</v>
      </c>
      <c r="B41" s="14"/>
      <c r="C41" s="14"/>
      <c r="D41" s="14"/>
      <c r="E41" s="14"/>
      <c r="M41" s="120"/>
      <c r="N41" s="27" t="s">
        <v>127</v>
      </c>
      <c r="O41" s="689">
        <v>50000</v>
      </c>
      <c r="P41" s="716"/>
      <c r="Q41" s="461" t="s">
        <v>8</v>
      </c>
      <c r="R41" s="221"/>
      <c r="S41" s="214"/>
      <c r="V41" s="185"/>
    </row>
    <row r="42" spans="1:22" ht="18" customHeight="1">
      <c r="A42" s="184"/>
      <c r="B42" s="14"/>
      <c r="C42" s="14"/>
      <c r="D42" s="14"/>
      <c r="E42" s="14"/>
      <c r="M42" s="120"/>
      <c r="N42" s="27"/>
      <c r="O42" s="28"/>
      <c r="P42" s="14"/>
      <c r="Q42" s="461"/>
      <c r="R42" s="221"/>
      <c r="S42" s="214"/>
      <c r="V42" s="185"/>
    </row>
    <row r="43" spans="1:22" ht="18" customHeight="1">
      <c r="A43" s="184"/>
      <c r="B43" s="689" t="s">
        <v>473</v>
      </c>
      <c r="C43" s="1150" t="s">
        <v>652</v>
      </c>
      <c r="D43" s="279"/>
      <c r="E43" s="279"/>
      <c r="F43" s="279"/>
      <c r="G43" s="802">
        <v>0.4</v>
      </c>
      <c r="H43" s="1153" t="s">
        <v>315</v>
      </c>
      <c r="I43" s="790" t="s">
        <v>671</v>
      </c>
      <c r="J43" s="1147"/>
      <c r="K43" s="1147"/>
      <c r="L43" s="1147"/>
      <c r="M43" s="1147"/>
      <c r="N43" s="689" t="s">
        <v>672</v>
      </c>
      <c r="O43" s="708" t="s">
        <v>420</v>
      </c>
      <c r="P43" s="689" t="s">
        <v>347</v>
      </c>
      <c r="Q43" s="790" t="s">
        <v>673</v>
      </c>
      <c r="R43" s="708" t="s">
        <v>674</v>
      </c>
      <c r="S43" s="790" t="s">
        <v>482</v>
      </c>
      <c r="T43" s="14"/>
      <c r="U43" s="729" t="s">
        <v>653</v>
      </c>
      <c r="V43" s="185"/>
    </row>
    <row r="44" spans="1:22" ht="18" customHeight="1">
      <c r="A44" s="96"/>
      <c r="B44" s="689"/>
      <c r="C44" s="689"/>
      <c r="D44" s="279"/>
      <c r="E44" s="279"/>
      <c r="F44" s="279"/>
      <c r="G44" s="802"/>
      <c r="H44" s="689"/>
      <c r="I44" s="1190" t="s">
        <v>483</v>
      </c>
      <c r="J44" s="1189"/>
      <c r="K44" s="1189"/>
      <c r="L44" s="1189"/>
      <c r="M44" s="1189"/>
      <c r="N44" s="689"/>
      <c r="O44" s="689"/>
      <c r="P44" s="689"/>
      <c r="Q44" s="689"/>
      <c r="R44" s="689"/>
      <c r="S44" s="689"/>
      <c r="T44" s="14"/>
      <c r="U44" s="689"/>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84"/>
      <c r="V47" s="185"/>
    </row>
    <row r="48" spans="1:22" ht="18" customHeight="1">
      <c r="A48" s="184"/>
      <c r="B48" s="47" t="s">
        <v>675</v>
      </c>
      <c r="C48" s="14"/>
      <c r="D48" s="14"/>
      <c r="E48" s="14"/>
      <c r="F48" s="18"/>
      <c r="G48" s="18"/>
      <c r="H48" s="14"/>
      <c r="I48" s="120"/>
      <c r="J48" s="14"/>
      <c r="K48" s="14"/>
      <c r="M48" s="14"/>
      <c r="N48" s="14"/>
      <c r="P48" s="30" t="s">
        <v>483</v>
      </c>
      <c r="R48" s="234" t="s">
        <v>127</v>
      </c>
      <c r="S48" s="684">
        <f>H10</f>
        <v>2500</v>
      </c>
      <c r="T48" s="684"/>
      <c r="U48" s="30" t="s">
        <v>8</v>
      </c>
      <c r="V48" s="185"/>
    </row>
    <row r="49" spans="1:22" ht="18" customHeight="1">
      <c r="A49" s="184"/>
      <c r="B49" s="47" t="s">
        <v>655</v>
      </c>
      <c r="C49" s="14"/>
      <c r="D49" s="14"/>
      <c r="E49" s="14"/>
      <c r="F49" s="18"/>
      <c r="G49" s="18"/>
      <c r="H49" s="14"/>
      <c r="I49" s="120"/>
      <c r="J49" s="14"/>
      <c r="K49" s="14"/>
      <c r="M49" s="14"/>
      <c r="N49" s="14"/>
      <c r="P49" s="14" t="s">
        <v>420</v>
      </c>
      <c r="R49" s="234" t="s">
        <v>127</v>
      </c>
      <c r="S49" s="684">
        <f>H12</f>
        <v>5</v>
      </c>
      <c r="T49" s="684"/>
      <c r="U49" s="192" t="s">
        <v>333</v>
      </c>
      <c r="V49" s="185"/>
    </row>
    <row r="50" spans="1:22" ht="18" customHeight="1">
      <c r="A50" s="184"/>
      <c r="B50" s="47" t="s">
        <v>676</v>
      </c>
      <c r="C50" s="14"/>
      <c r="D50" s="14"/>
      <c r="E50" s="14"/>
      <c r="F50" s="18"/>
      <c r="G50" s="18"/>
      <c r="H50" s="14"/>
      <c r="I50" s="120"/>
      <c r="J50" s="14"/>
      <c r="K50" s="14"/>
      <c r="M50" s="14"/>
      <c r="N50" s="14"/>
      <c r="P50" s="30" t="s">
        <v>673</v>
      </c>
      <c r="R50" s="234" t="s">
        <v>127</v>
      </c>
      <c r="S50" s="795">
        <f>S29</f>
        <v>1.2667743100000002</v>
      </c>
      <c r="T50" s="795"/>
      <c r="U50" s="192" t="s">
        <v>333</v>
      </c>
      <c r="V50" s="185"/>
    </row>
    <row r="51" spans="1:22" ht="18" customHeight="1">
      <c r="A51" s="184"/>
      <c r="B51" s="296" t="s">
        <v>677</v>
      </c>
      <c r="C51" s="14"/>
      <c r="D51" s="14"/>
      <c r="E51" s="14"/>
      <c r="F51" s="14"/>
      <c r="G51" s="14"/>
      <c r="H51" s="14"/>
      <c r="I51" s="120"/>
      <c r="J51" s="14"/>
      <c r="K51" s="14"/>
      <c r="M51" s="14"/>
      <c r="N51" s="14"/>
      <c r="P51" s="14" t="s">
        <v>411</v>
      </c>
      <c r="R51" s="234" t="s">
        <v>127</v>
      </c>
      <c r="S51" s="684">
        <f>O10</f>
        <v>1</v>
      </c>
      <c r="T51" s="684"/>
      <c r="U51" s="30" t="s">
        <v>8</v>
      </c>
      <c r="V51" s="185"/>
    </row>
    <row r="52" spans="1:22" ht="18" customHeight="1">
      <c r="A52" s="184"/>
      <c r="B52" s="47" t="s">
        <v>678</v>
      </c>
      <c r="C52" s="14"/>
      <c r="D52" s="14"/>
      <c r="E52" s="14"/>
      <c r="F52" s="14"/>
      <c r="G52" s="14"/>
      <c r="H52" s="14"/>
      <c r="I52" s="120"/>
      <c r="J52" s="14"/>
      <c r="K52" s="14"/>
      <c r="M52" s="14"/>
      <c r="N52" s="14"/>
      <c r="P52" s="244" t="s">
        <v>671</v>
      </c>
      <c r="R52" s="234" t="s">
        <v>127</v>
      </c>
      <c r="S52" s="684">
        <f>O41</f>
        <v>50000</v>
      </c>
      <c r="T52" s="684"/>
      <c r="U52" s="30" t="s">
        <v>8</v>
      </c>
      <c r="V52" s="185"/>
    </row>
    <row r="53" spans="1:22" ht="18" customHeight="1">
      <c r="A53" s="184"/>
      <c r="B53" s="296" t="s">
        <v>679</v>
      </c>
      <c r="C53" s="14"/>
      <c r="D53" s="14"/>
      <c r="E53" s="14"/>
      <c r="F53" s="14"/>
      <c r="G53" s="14"/>
      <c r="H53" s="14"/>
      <c r="I53" s="120"/>
      <c r="J53" s="14"/>
      <c r="K53" s="14"/>
      <c r="M53" s="14"/>
      <c r="N53" s="14"/>
      <c r="P53" s="120" t="s">
        <v>680</v>
      </c>
      <c r="R53" s="234" t="s">
        <v>127</v>
      </c>
      <c r="S53" s="795">
        <f>J37</f>
        <v>437.38656756789834</v>
      </c>
      <c r="T53" s="684"/>
      <c r="U53" s="30" t="s">
        <v>8</v>
      </c>
      <c r="V53" s="185"/>
    </row>
    <row r="54" spans="1:22" ht="18" customHeight="1">
      <c r="A54" s="184"/>
      <c r="B54" s="47" t="s">
        <v>659</v>
      </c>
      <c r="C54" s="14"/>
      <c r="D54" s="14"/>
      <c r="E54" s="14"/>
      <c r="F54" s="14"/>
      <c r="G54" s="14"/>
      <c r="H54" s="14"/>
      <c r="I54" s="120"/>
      <c r="J54" s="14"/>
      <c r="K54" s="14"/>
      <c r="M54" s="14"/>
      <c r="N54" s="14"/>
      <c r="P54" s="120" t="s">
        <v>660</v>
      </c>
      <c r="R54" s="234" t="s">
        <v>127</v>
      </c>
      <c r="S54" s="684">
        <f>'[6]CT-VT Burdens'!S18</f>
        <v>1</v>
      </c>
      <c r="T54" s="684"/>
      <c r="U54" s="30" t="s">
        <v>8</v>
      </c>
      <c r="V54" s="185"/>
    </row>
    <row r="55" spans="1:22" ht="18" customHeight="1">
      <c r="A55" s="96"/>
      <c r="B55" s="14"/>
      <c r="C55" s="14"/>
      <c r="D55" s="235"/>
      <c r="E55" s="14"/>
      <c r="F55" s="28"/>
      <c r="G55" s="249"/>
      <c r="H55" s="28"/>
      <c r="I55" s="251"/>
      <c r="J55" s="14"/>
      <c r="K55" s="280"/>
      <c r="M55" s="47"/>
      <c r="N55" s="268"/>
      <c r="P55" s="281"/>
      <c r="R55" s="234"/>
      <c r="S55" s="1148"/>
      <c r="T55" s="723"/>
      <c r="V55" s="185"/>
    </row>
    <row r="56" spans="1:22" s="279" customFormat="1" ht="18" customHeight="1">
      <c r="A56" s="277"/>
      <c r="B56" s="689" t="s">
        <v>473</v>
      </c>
      <c r="C56" s="1150" t="s">
        <v>652</v>
      </c>
      <c r="G56" s="802">
        <f>G43</f>
        <v>0.4</v>
      </c>
      <c r="H56" s="1151" t="s">
        <v>315</v>
      </c>
      <c r="I56" s="829">
        <f>O41</f>
        <v>50000</v>
      </c>
      <c r="J56" s="1152"/>
      <c r="K56" s="1152"/>
      <c r="L56" s="1152"/>
      <c r="M56" s="1152"/>
      <c r="N56" s="689" t="s">
        <v>672</v>
      </c>
      <c r="O56" s="708">
        <f>S49</f>
        <v>5</v>
      </c>
      <c r="P56" s="689" t="s">
        <v>347</v>
      </c>
      <c r="Q56" s="829">
        <f>S50</f>
        <v>1.2667743100000002</v>
      </c>
      <c r="R56" s="708" t="s">
        <v>674</v>
      </c>
      <c r="S56" s="708">
        <f>S51</f>
        <v>1</v>
      </c>
      <c r="T56" s="14"/>
      <c r="U56" s="729" t="s">
        <v>653</v>
      </c>
      <c r="V56" s="185"/>
    </row>
    <row r="57" spans="1:22" s="279" customFormat="1" ht="18" customHeight="1">
      <c r="A57" s="277"/>
      <c r="B57" s="689"/>
      <c r="C57" s="689"/>
      <c r="G57" s="802"/>
      <c r="H57" s="684"/>
      <c r="I57" s="1189">
        <f>H10</f>
        <v>2500</v>
      </c>
      <c r="J57" s="1189"/>
      <c r="K57" s="1189"/>
      <c r="L57" s="1189"/>
      <c r="M57" s="1189"/>
      <c r="N57" s="689"/>
      <c r="O57" s="689"/>
      <c r="P57" s="689"/>
      <c r="Q57" s="689"/>
      <c r="R57" s="689"/>
      <c r="S57" s="689"/>
      <c r="T57" s="14"/>
      <c r="U57" s="689"/>
      <c r="V57" s="185"/>
    </row>
    <row r="58" spans="1:22" ht="18" customHeight="1">
      <c r="A58" s="96"/>
      <c r="B58" s="14"/>
      <c r="C58" s="27" t="s">
        <v>127</v>
      </c>
      <c r="D58" s="812">
        <f>ROUNDUP(G56*(I56/(I57)*(O56+Q56)*S56),2)</f>
        <v>50.14</v>
      </c>
      <c r="E58" s="813"/>
      <c r="F58" s="30" t="s">
        <v>305</v>
      </c>
      <c r="G58" s="14"/>
      <c r="H58" s="14"/>
      <c r="I58" s="14"/>
      <c r="J58" s="14"/>
      <c r="K58" s="14"/>
      <c r="L58" s="14"/>
      <c r="M58" s="14"/>
      <c r="N58" s="14"/>
      <c r="R58" s="234"/>
      <c r="S58" s="204"/>
      <c r="V58" s="185"/>
    </row>
    <row r="59" spans="1:22" ht="18" customHeight="1">
      <c r="A59" s="96"/>
      <c r="B59" s="14"/>
      <c r="G59" s="14"/>
      <c r="H59" s="14"/>
      <c r="I59" s="14"/>
      <c r="J59" s="14"/>
      <c r="K59" s="14"/>
      <c r="L59" s="14"/>
      <c r="M59" s="14"/>
      <c r="N59" s="14"/>
      <c r="R59" s="234"/>
      <c r="S59" s="204"/>
      <c r="V59" s="185"/>
    </row>
    <row r="60" spans="1:22" ht="18" hidden="1" customHeight="1">
      <c r="A60" s="96"/>
      <c r="B60" s="14"/>
      <c r="G60" s="27"/>
      <c r="M60" s="14"/>
      <c r="N60" s="14"/>
      <c r="R60" s="234"/>
      <c r="S60" s="204"/>
      <c r="V60" s="185"/>
    </row>
    <row r="61" spans="1:22" ht="18" hidden="1" customHeight="1">
      <c r="A61" s="96"/>
      <c r="B61" s="14"/>
      <c r="G61" s="27"/>
      <c r="H61" s="204"/>
      <c r="M61" s="14"/>
      <c r="N61" s="14"/>
      <c r="R61" s="234"/>
      <c r="S61" s="204"/>
      <c r="V61" s="185"/>
    </row>
    <row r="62" spans="1:22" ht="18" hidden="1" customHeight="1">
      <c r="A62" s="96"/>
      <c r="B62" s="14"/>
      <c r="F62" s="244"/>
      <c r="H62" s="18"/>
      <c r="M62" s="14"/>
      <c r="N62" s="14"/>
      <c r="R62" s="234"/>
      <c r="S62" s="204"/>
      <c r="V62" s="185"/>
    </row>
    <row r="63" spans="1:22" ht="18" hidden="1" customHeight="1">
      <c r="A63" s="96"/>
      <c r="B63" s="14"/>
      <c r="G63" s="14"/>
      <c r="H63" s="14"/>
      <c r="I63" s="14"/>
      <c r="J63" s="14"/>
      <c r="K63" s="14"/>
      <c r="L63" s="14"/>
      <c r="M63" s="14"/>
      <c r="N63" s="14"/>
      <c r="R63" s="234"/>
      <c r="S63" s="204"/>
      <c r="V63" s="185"/>
    </row>
    <row r="64" spans="1:22" ht="18" customHeight="1">
      <c r="A64" s="184" t="s">
        <v>612</v>
      </c>
      <c r="B64" s="14"/>
      <c r="C64" s="14"/>
      <c r="D64" s="14"/>
      <c r="E64" s="14"/>
      <c r="M64" s="120" t="s">
        <v>613</v>
      </c>
      <c r="N64" s="28" t="s">
        <v>127</v>
      </c>
      <c r="O64" s="689" t="s">
        <v>609</v>
      </c>
      <c r="P64" s="716"/>
      <c r="Q64" s="245" t="s">
        <v>681</v>
      </c>
      <c r="R64" s="805" t="str">
        <f>B32</f>
        <v>Percentage Impedance</v>
      </c>
      <c r="S64" s="805"/>
      <c r="T64" s="805"/>
      <c r="U64" s="805"/>
      <c r="V64" s="968"/>
    </row>
    <row r="65" spans="1:22" ht="18" customHeight="1">
      <c r="A65" s="96"/>
      <c r="B65" s="5"/>
      <c r="C65" s="5"/>
      <c r="D65" s="5"/>
      <c r="E65" s="5"/>
      <c r="M65" s="250"/>
      <c r="N65" s="28" t="s">
        <v>127</v>
      </c>
      <c r="O65" s="692">
        <f>J37</f>
        <v>437.38656756789834</v>
      </c>
      <c r="P65" s="716"/>
      <c r="Q65" s="245" t="s">
        <v>342</v>
      </c>
      <c r="R65" s="221">
        <f>O32%</f>
        <v>0.25</v>
      </c>
      <c r="S65" s="214"/>
      <c r="V65" s="185"/>
    </row>
    <row r="66" spans="1:22" ht="18" customHeight="1">
      <c r="A66" s="96"/>
      <c r="B66" s="5"/>
      <c r="C66" s="5"/>
      <c r="D66" s="5"/>
      <c r="E66" s="5"/>
      <c r="M66" s="120" t="s">
        <v>613</v>
      </c>
      <c r="N66" s="28" t="s">
        <v>127</v>
      </c>
      <c r="O66" s="689">
        <f>O65/R65</f>
        <v>1749.5462702715934</v>
      </c>
      <c r="P66" s="716"/>
      <c r="Q66" s="241" t="s">
        <v>8</v>
      </c>
      <c r="R66" s="14"/>
      <c r="S66" s="214"/>
      <c r="V66" s="185"/>
    </row>
    <row r="67" spans="1:22" ht="18" customHeight="1">
      <c r="A67" s="96"/>
      <c r="B67" s="5"/>
      <c r="C67" s="5"/>
      <c r="D67" s="5"/>
      <c r="E67" s="5"/>
      <c r="M67" s="120"/>
      <c r="N67" s="28"/>
      <c r="O67" s="28"/>
      <c r="P67" s="14"/>
      <c r="Q67" s="241"/>
      <c r="R67" s="14"/>
      <c r="S67" s="214"/>
      <c r="V67" s="185"/>
    </row>
    <row r="68" spans="1:22" s="279" customFormat="1" ht="18" customHeight="1">
      <c r="A68" s="277"/>
      <c r="B68" s="689" t="s">
        <v>473</v>
      </c>
      <c r="C68" s="1150" t="s">
        <v>652</v>
      </c>
      <c r="G68" s="802">
        <v>1.6</v>
      </c>
      <c r="H68" s="1153" t="s">
        <v>315</v>
      </c>
      <c r="I68" s="790" t="s">
        <v>682</v>
      </c>
      <c r="J68" s="1147"/>
      <c r="K68" s="1147"/>
      <c r="L68" s="1147"/>
      <c r="M68" s="1147"/>
      <c r="N68" s="689" t="s">
        <v>672</v>
      </c>
      <c r="O68" s="708" t="s">
        <v>420</v>
      </c>
      <c r="P68" s="689" t="s">
        <v>347</v>
      </c>
      <c r="Q68" s="790" t="s">
        <v>673</v>
      </c>
      <c r="R68" s="708" t="s">
        <v>674</v>
      </c>
      <c r="S68" s="790" t="s">
        <v>482</v>
      </c>
      <c r="T68" s="14"/>
      <c r="U68" s="726" t="s">
        <v>683</v>
      </c>
      <c r="V68" s="185"/>
    </row>
    <row r="69" spans="1:22" s="279" customFormat="1" ht="18" customHeight="1">
      <c r="A69" s="277"/>
      <c r="B69" s="689"/>
      <c r="C69" s="689"/>
      <c r="G69" s="802"/>
      <c r="H69" s="689"/>
      <c r="I69" s="1190" t="s">
        <v>483</v>
      </c>
      <c r="J69" s="1189"/>
      <c r="K69" s="1189"/>
      <c r="L69" s="1189"/>
      <c r="M69" s="1189"/>
      <c r="N69" s="689"/>
      <c r="O69" s="689"/>
      <c r="P69" s="689"/>
      <c r="Q69" s="689"/>
      <c r="R69" s="689"/>
      <c r="S69" s="689"/>
      <c r="T69" s="14"/>
      <c r="U69" s="689"/>
      <c r="V69" s="185"/>
    </row>
    <row r="70" spans="1:22" ht="18" customHeight="1">
      <c r="A70" s="184"/>
      <c r="V70" s="185"/>
    </row>
    <row r="71" spans="1:22" ht="18" customHeight="1">
      <c r="A71" s="184"/>
      <c r="B71" s="47" t="s">
        <v>675</v>
      </c>
      <c r="C71" s="14"/>
      <c r="D71" s="14"/>
      <c r="E71" s="14"/>
      <c r="F71" s="18"/>
      <c r="G71" s="18"/>
      <c r="H71" s="14"/>
      <c r="I71" s="120"/>
      <c r="J71" s="14"/>
      <c r="K71" s="14"/>
      <c r="M71" s="14"/>
      <c r="N71" s="14"/>
      <c r="P71" s="30" t="s">
        <v>483</v>
      </c>
      <c r="R71" s="234" t="s">
        <v>127</v>
      </c>
      <c r="S71" s="684">
        <f>H10</f>
        <v>2500</v>
      </c>
      <c r="T71" s="684"/>
      <c r="U71" s="30" t="s">
        <v>8</v>
      </c>
      <c r="V71" s="185"/>
    </row>
    <row r="72" spans="1:22" ht="18" customHeight="1">
      <c r="A72" s="184"/>
      <c r="B72" s="47" t="s">
        <v>655</v>
      </c>
      <c r="C72" s="14"/>
      <c r="D72" s="14"/>
      <c r="E72" s="14"/>
      <c r="F72" s="18"/>
      <c r="G72" s="18"/>
      <c r="H72" s="14"/>
      <c r="I72" s="120"/>
      <c r="J72" s="14"/>
      <c r="K72" s="14"/>
      <c r="M72" s="14"/>
      <c r="N72" s="14"/>
      <c r="P72" s="14" t="s">
        <v>420</v>
      </c>
      <c r="R72" s="234" t="s">
        <v>127</v>
      </c>
      <c r="S72" s="684">
        <f>H12</f>
        <v>5</v>
      </c>
      <c r="T72" s="684"/>
      <c r="U72" s="192" t="s">
        <v>333</v>
      </c>
      <c r="V72" s="185"/>
    </row>
    <row r="73" spans="1:22" ht="18" customHeight="1">
      <c r="A73" s="184"/>
      <c r="B73" s="47" t="s">
        <v>676</v>
      </c>
      <c r="C73" s="14"/>
      <c r="D73" s="14"/>
      <c r="E73" s="14"/>
      <c r="F73" s="18"/>
      <c r="G73" s="18"/>
      <c r="H73" s="14"/>
      <c r="I73" s="120"/>
      <c r="J73" s="14"/>
      <c r="K73" s="14"/>
      <c r="M73" s="14"/>
      <c r="N73" s="14"/>
      <c r="P73" s="30" t="s">
        <v>673</v>
      </c>
      <c r="R73" s="234" t="s">
        <v>127</v>
      </c>
      <c r="S73" s="795">
        <f>S29</f>
        <v>1.2667743100000002</v>
      </c>
      <c r="T73" s="795"/>
      <c r="U73" s="192" t="s">
        <v>333</v>
      </c>
      <c r="V73" s="185"/>
    </row>
    <row r="74" spans="1:22" ht="18" customHeight="1">
      <c r="A74" s="184"/>
      <c r="B74" s="296" t="s">
        <v>677</v>
      </c>
      <c r="C74" s="14"/>
      <c r="D74" s="14"/>
      <c r="E74" s="14"/>
      <c r="F74" s="14"/>
      <c r="G74" s="14"/>
      <c r="H74" s="14"/>
      <c r="I74" s="120"/>
      <c r="J74" s="14"/>
      <c r="K74" s="14"/>
      <c r="M74" s="14"/>
      <c r="N74" s="14"/>
      <c r="P74" s="14" t="s">
        <v>411</v>
      </c>
      <c r="R74" s="234" t="s">
        <v>127</v>
      </c>
      <c r="S74" s="684">
        <f>O10</f>
        <v>1</v>
      </c>
      <c r="T74" s="684"/>
      <c r="U74" s="30" t="s">
        <v>8</v>
      </c>
      <c r="V74" s="185"/>
    </row>
    <row r="75" spans="1:22" ht="18" customHeight="1">
      <c r="A75" s="184"/>
      <c r="B75" s="47" t="s">
        <v>678</v>
      </c>
      <c r="C75" s="14"/>
      <c r="D75" s="14"/>
      <c r="E75" s="14"/>
      <c r="F75" s="14"/>
      <c r="G75" s="14"/>
      <c r="H75" s="14"/>
      <c r="I75" s="120"/>
      <c r="J75" s="14"/>
      <c r="K75" s="14"/>
      <c r="M75" s="14"/>
      <c r="N75" s="14"/>
      <c r="P75" s="244" t="s">
        <v>682</v>
      </c>
      <c r="R75" s="234" t="s">
        <v>127</v>
      </c>
      <c r="S75" s="684">
        <f>O66</f>
        <v>1749.5462702715934</v>
      </c>
      <c r="T75" s="684"/>
      <c r="U75" s="30" t="s">
        <v>8</v>
      </c>
      <c r="V75" s="185"/>
    </row>
    <row r="76" spans="1:22" ht="18" customHeight="1">
      <c r="A76" s="184"/>
      <c r="B76" s="296" t="s">
        <v>679</v>
      </c>
      <c r="C76" s="14"/>
      <c r="D76" s="14"/>
      <c r="E76" s="14"/>
      <c r="F76" s="14"/>
      <c r="G76" s="14"/>
      <c r="H76" s="14"/>
      <c r="I76" s="120"/>
      <c r="J76" s="14"/>
      <c r="K76" s="14"/>
      <c r="M76" s="14"/>
      <c r="N76" s="14"/>
      <c r="P76" s="120" t="s">
        <v>680</v>
      </c>
      <c r="R76" s="234" t="s">
        <v>127</v>
      </c>
      <c r="S76" s="795">
        <f>J37</f>
        <v>437.38656756789834</v>
      </c>
      <c r="T76" s="684"/>
      <c r="U76" s="30" t="s">
        <v>8</v>
      </c>
      <c r="V76" s="185"/>
    </row>
    <row r="77" spans="1:22" ht="18" customHeight="1">
      <c r="A77" s="184"/>
      <c r="B77" s="47" t="s">
        <v>659</v>
      </c>
      <c r="C77" s="14"/>
      <c r="D77" s="14"/>
      <c r="E77" s="14"/>
      <c r="F77" s="14"/>
      <c r="G77" s="14"/>
      <c r="H77" s="14"/>
      <c r="I77" s="120"/>
      <c r="J77" s="14"/>
      <c r="K77" s="14"/>
      <c r="M77" s="14"/>
      <c r="N77" s="14"/>
      <c r="P77" s="120" t="s">
        <v>660</v>
      </c>
      <c r="R77" s="234" t="s">
        <v>127</v>
      </c>
      <c r="S77" s="684">
        <f>O10</f>
        <v>1</v>
      </c>
      <c r="T77" s="684"/>
      <c r="U77" s="30" t="s">
        <v>8</v>
      </c>
      <c r="V77" s="185"/>
    </row>
    <row r="78" spans="1:22" ht="18" customHeight="1">
      <c r="A78" s="96"/>
      <c r="B78" s="14"/>
      <c r="C78" s="14"/>
      <c r="D78" s="235"/>
      <c r="E78" s="14"/>
      <c r="F78" s="28"/>
      <c r="G78" s="249"/>
      <c r="H78" s="28"/>
      <c r="I78" s="251"/>
      <c r="J78" s="14"/>
      <c r="K78" s="280"/>
      <c r="M78" s="47"/>
      <c r="N78" s="268"/>
      <c r="P78" s="281"/>
      <c r="R78" s="234"/>
      <c r="S78" s="1148"/>
      <c r="T78" s="723"/>
      <c r="V78" s="185"/>
    </row>
    <row r="79" spans="1:22" s="279" customFormat="1" ht="18" customHeight="1">
      <c r="A79" s="277"/>
      <c r="B79" s="689" t="s">
        <v>473</v>
      </c>
      <c r="C79" s="1150" t="s">
        <v>652</v>
      </c>
      <c r="G79" s="802">
        <f>G68</f>
        <v>1.6</v>
      </c>
      <c r="H79" s="1151" t="s">
        <v>315</v>
      </c>
      <c r="I79" s="829">
        <f>O66</f>
        <v>1749.5462702715934</v>
      </c>
      <c r="J79" s="1152"/>
      <c r="K79" s="1152"/>
      <c r="L79" s="1152"/>
      <c r="M79" s="1152"/>
      <c r="N79" s="689" t="s">
        <v>672</v>
      </c>
      <c r="O79" s="708">
        <f>S72</f>
        <v>5</v>
      </c>
      <c r="P79" s="689" t="s">
        <v>347</v>
      </c>
      <c r="Q79" s="829">
        <f>S73</f>
        <v>1.2667743100000002</v>
      </c>
      <c r="R79" s="708" t="s">
        <v>674</v>
      </c>
      <c r="S79" s="708">
        <f>S74</f>
        <v>1</v>
      </c>
      <c r="T79" s="14"/>
      <c r="U79" s="726" t="s">
        <v>683</v>
      </c>
      <c r="V79" s="185"/>
    </row>
    <row r="80" spans="1:22" s="279" customFormat="1" ht="18" customHeight="1">
      <c r="A80" s="277"/>
      <c r="B80" s="689"/>
      <c r="C80" s="689"/>
      <c r="G80" s="802"/>
      <c r="H80" s="684"/>
      <c r="I80" s="1189">
        <f>H10</f>
        <v>2500</v>
      </c>
      <c r="J80" s="1189"/>
      <c r="K80" s="1189"/>
      <c r="L80" s="1189"/>
      <c r="M80" s="1189"/>
      <c r="N80" s="689"/>
      <c r="O80" s="689"/>
      <c r="P80" s="689"/>
      <c r="Q80" s="689"/>
      <c r="R80" s="689"/>
      <c r="S80" s="689"/>
      <c r="T80" s="14"/>
      <c r="U80" s="689"/>
      <c r="V80" s="185"/>
    </row>
    <row r="81" spans="1:22" ht="18" customHeight="1">
      <c r="A81" s="96"/>
      <c r="B81" s="14"/>
      <c r="C81" s="27" t="s">
        <v>127</v>
      </c>
      <c r="D81" s="812">
        <f>ROUNDUP(G79*(I79/(I80)*(O79+Q79)*S79),2)</f>
        <v>7.02</v>
      </c>
      <c r="E81" s="813"/>
      <c r="F81" s="30" t="s">
        <v>305</v>
      </c>
      <c r="G81" s="14"/>
      <c r="H81" s="14"/>
      <c r="I81" s="14"/>
      <c r="J81" s="14"/>
      <c r="K81" s="14"/>
      <c r="L81" s="14"/>
      <c r="M81" s="14"/>
      <c r="N81" s="14"/>
      <c r="R81" s="234"/>
      <c r="S81" s="204"/>
      <c r="V81" s="185"/>
    </row>
    <row r="82" spans="1:22" ht="18" customHeight="1">
      <c r="A82" s="96"/>
      <c r="B82" s="14"/>
      <c r="C82" s="27"/>
      <c r="D82" s="211"/>
      <c r="E82" s="211"/>
      <c r="G82" s="14"/>
      <c r="H82" s="14"/>
      <c r="I82" s="14"/>
      <c r="J82" s="14"/>
      <c r="K82" s="14"/>
      <c r="L82" s="14"/>
      <c r="M82" s="14"/>
      <c r="N82" s="14"/>
      <c r="R82" s="234"/>
      <c r="S82" s="204"/>
      <c r="V82" s="185"/>
    </row>
    <row r="83" spans="1:22" ht="18" customHeight="1">
      <c r="A83" s="96"/>
      <c r="B83" s="14"/>
      <c r="C83" s="27"/>
      <c r="D83" s="211"/>
      <c r="E83" s="211"/>
      <c r="G83" s="14"/>
      <c r="H83" s="14"/>
      <c r="I83" s="14"/>
      <c r="J83" s="14"/>
      <c r="K83" s="14"/>
      <c r="L83" s="14"/>
      <c r="M83" s="14"/>
      <c r="N83" s="14"/>
      <c r="R83" s="234"/>
      <c r="S83" s="204"/>
      <c r="V83" s="185"/>
    </row>
    <row r="84" spans="1:22" ht="18" customHeight="1">
      <c r="A84" s="96"/>
      <c r="B84" s="14"/>
      <c r="C84" s="27"/>
      <c r="D84" s="211"/>
      <c r="E84" s="211"/>
      <c r="G84" s="14"/>
      <c r="H84" s="14"/>
      <c r="I84" s="14"/>
      <c r="J84" s="14"/>
      <c r="K84" s="14"/>
      <c r="L84" s="14"/>
      <c r="M84" s="14"/>
      <c r="N84" s="14"/>
      <c r="R84" s="234"/>
      <c r="S84" s="204"/>
      <c r="V84" s="185"/>
    </row>
    <row r="85" spans="1:22" ht="18" customHeight="1">
      <c r="A85" s="96"/>
      <c r="B85" s="14"/>
      <c r="C85" s="27"/>
      <c r="D85" s="211"/>
      <c r="E85" s="211"/>
      <c r="G85" s="14"/>
      <c r="H85" s="14"/>
      <c r="I85" s="14"/>
      <c r="J85" s="14"/>
      <c r="K85" s="14"/>
      <c r="L85" s="14"/>
      <c r="M85" s="14"/>
      <c r="N85" s="14"/>
      <c r="R85" s="234"/>
      <c r="S85" s="204"/>
      <c r="V85" s="185"/>
    </row>
    <row r="86" spans="1:22" ht="18" customHeight="1">
      <c r="A86" s="96"/>
      <c r="B86" s="14"/>
      <c r="C86" s="27"/>
      <c r="D86" s="211"/>
      <c r="E86" s="211"/>
      <c r="G86" s="14"/>
      <c r="H86" s="14"/>
      <c r="I86" s="14"/>
      <c r="J86" s="14"/>
      <c r="K86" s="14"/>
      <c r="L86" s="14"/>
      <c r="M86" s="14"/>
      <c r="N86" s="14"/>
      <c r="R86" s="234"/>
      <c r="S86" s="204"/>
      <c r="V86" s="185"/>
    </row>
    <row r="87" spans="1:22" ht="18" customHeight="1">
      <c r="A87" s="96"/>
      <c r="B87" s="14"/>
      <c r="C87" s="27"/>
      <c r="D87" s="211"/>
      <c r="E87" s="211"/>
      <c r="G87" s="14"/>
      <c r="H87" s="14"/>
      <c r="I87" s="14"/>
      <c r="J87" s="14"/>
      <c r="K87" s="14"/>
      <c r="L87" s="14"/>
      <c r="M87" s="14"/>
      <c r="N87" s="14"/>
      <c r="R87" s="234"/>
      <c r="S87" s="204"/>
      <c r="V87" s="185"/>
    </row>
    <row r="88" spans="1:22" ht="18" customHeight="1">
      <c r="A88" s="96"/>
      <c r="B88" s="14"/>
      <c r="C88" s="27"/>
      <c r="D88" s="211"/>
      <c r="E88" s="211"/>
      <c r="G88" s="14"/>
      <c r="H88" s="14"/>
      <c r="I88" s="14"/>
      <c r="J88" s="14"/>
      <c r="K88" s="14"/>
      <c r="L88" s="14"/>
      <c r="M88" s="14"/>
      <c r="N88" s="14"/>
      <c r="R88" s="234"/>
      <c r="S88" s="204"/>
      <c r="V88" s="185"/>
    </row>
    <row r="89" spans="1:22" ht="18" customHeight="1">
      <c r="A89" s="194"/>
      <c r="B89" s="195"/>
      <c r="C89" s="196"/>
      <c r="D89" s="196"/>
      <c r="E89" s="196"/>
      <c r="F89" s="196"/>
      <c r="G89" s="195"/>
      <c r="H89" s="195"/>
      <c r="I89" s="195"/>
      <c r="J89" s="195"/>
      <c r="K89" s="195"/>
      <c r="L89" s="195"/>
      <c r="M89" s="195"/>
      <c r="N89" s="195"/>
      <c r="O89" s="196"/>
      <c r="P89" s="196"/>
      <c r="Q89" s="196"/>
      <c r="R89" s="591"/>
      <c r="S89" s="518"/>
      <c r="T89" s="196"/>
      <c r="U89" s="196"/>
      <c r="V89" s="291"/>
    </row>
    <row r="90" spans="1:22" ht="18" customHeight="1">
      <c r="A90" s="96"/>
      <c r="B90" s="14"/>
      <c r="G90" s="14"/>
      <c r="H90" s="14"/>
      <c r="I90" s="14"/>
      <c r="J90" s="14"/>
      <c r="K90" s="14"/>
      <c r="L90" s="14"/>
      <c r="M90" s="14"/>
      <c r="N90" s="14"/>
      <c r="R90" s="234"/>
      <c r="S90" s="204"/>
      <c r="V90" s="185"/>
    </row>
    <row r="91" spans="1:22" ht="18" customHeight="1">
      <c r="A91" s="184" t="s">
        <v>684</v>
      </c>
      <c r="B91" s="14"/>
      <c r="G91" s="14"/>
      <c r="H91" s="14"/>
      <c r="I91" s="14"/>
      <c r="J91" s="14"/>
      <c r="K91" s="14"/>
      <c r="L91" s="14"/>
      <c r="M91" s="14"/>
      <c r="N91" s="14"/>
      <c r="R91" s="234"/>
      <c r="S91" s="204"/>
      <c r="U91" s="726" t="s">
        <v>685</v>
      </c>
      <c r="V91" s="185"/>
    </row>
    <row r="92" spans="1:22" ht="18" customHeight="1">
      <c r="A92" s="184"/>
      <c r="E92" s="30" t="s">
        <v>473</v>
      </c>
      <c r="F92" s="278" t="s">
        <v>652</v>
      </c>
      <c r="G92" s="28">
        <v>20</v>
      </c>
      <c r="H92" s="27" t="s">
        <v>315</v>
      </c>
      <c r="I92" s="27" t="s">
        <v>482</v>
      </c>
      <c r="J92" s="27" t="s">
        <v>372</v>
      </c>
      <c r="K92" s="27" t="s">
        <v>420</v>
      </c>
      <c r="L92" s="27" t="s">
        <v>347</v>
      </c>
      <c r="M92" s="27" t="s">
        <v>673</v>
      </c>
      <c r="N92" s="27" t="s">
        <v>350</v>
      </c>
      <c r="R92" s="234"/>
      <c r="S92" s="204"/>
      <c r="U92" s="689"/>
      <c r="V92" s="185"/>
    </row>
    <row r="93" spans="1:22" ht="18" customHeight="1">
      <c r="A93" s="184"/>
      <c r="B93" s="47" t="s">
        <v>655</v>
      </c>
      <c r="C93" s="14"/>
      <c r="D93" s="14"/>
      <c r="E93" s="14"/>
      <c r="F93" s="18"/>
      <c r="G93" s="18"/>
      <c r="H93" s="14"/>
      <c r="I93" s="120"/>
      <c r="J93" s="14"/>
      <c r="K93" s="14"/>
      <c r="M93" s="14"/>
      <c r="N93" s="14"/>
      <c r="P93" s="14" t="s">
        <v>420</v>
      </c>
      <c r="R93" s="234" t="s">
        <v>127</v>
      </c>
      <c r="S93" s="684">
        <f>H12</f>
        <v>5</v>
      </c>
      <c r="T93" s="684"/>
      <c r="U93" s="192" t="s">
        <v>333</v>
      </c>
      <c r="V93" s="185"/>
    </row>
    <row r="94" spans="1:22" ht="18" customHeight="1">
      <c r="A94" s="184"/>
      <c r="B94" s="47" t="s">
        <v>676</v>
      </c>
      <c r="C94" s="14"/>
      <c r="D94" s="14"/>
      <c r="E94" s="14"/>
      <c r="F94" s="18"/>
      <c r="G94" s="18"/>
      <c r="H94" s="14"/>
      <c r="I94" s="120"/>
      <c r="J94" s="14"/>
      <c r="K94" s="14"/>
      <c r="M94" s="14"/>
      <c r="N94" s="14"/>
      <c r="P94" s="30" t="s">
        <v>673</v>
      </c>
      <c r="R94" s="234" t="s">
        <v>127</v>
      </c>
      <c r="S94" s="795">
        <f>S29</f>
        <v>1.2667743100000002</v>
      </c>
      <c r="T94" s="795"/>
      <c r="U94" s="192" t="s">
        <v>333</v>
      </c>
      <c r="V94" s="185"/>
    </row>
    <row r="95" spans="1:22" ht="18" customHeight="1">
      <c r="A95" s="184"/>
      <c r="B95" s="296" t="s">
        <v>677</v>
      </c>
      <c r="C95" s="14"/>
      <c r="D95" s="14"/>
      <c r="E95" s="14"/>
      <c r="F95" s="14"/>
      <c r="G95" s="14"/>
      <c r="H95" s="14"/>
      <c r="I95" s="120"/>
      <c r="J95" s="14"/>
      <c r="K95" s="14"/>
      <c r="M95" s="14"/>
      <c r="N95" s="14"/>
      <c r="P95" s="30" t="s">
        <v>482</v>
      </c>
      <c r="R95" s="234" t="s">
        <v>127</v>
      </c>
      <c r="S95" s="684">
        <v>1</v>
      </c>
      <c r="T95" s="684"/>
      <c r="U95" s="30" t="s">
        <v>8</v>
      </c>
      <c r="V95" s="185"/>
    </row>
    <row r="96" spans="1:22" ht="18" customHeight="1">
      <c r="A96" s="184"/>
      <c r="B96" s="296"/>
      <c r="C96" s="14"/>
      <c r="D96" s="14"/>
      <c r="E96" s="14"/>
      <c r="F96" s="14"/>
      <c r="G96" s="14"/>
      <c r="H96" s="14"/>
      <c r="I96" s="120"/>
      <c r="J96" s="14"/>
      <c r="K96" s="14"/>
      <c r="M96" s="14"/>
      <c r="N96" s="14"/>
      <c r="R96" s="234"/>
      <c r="S96" s="27"/>
      <c r="T96" s="27"/>
      <c r="V96" s="185"/>
    </row>
    <row r="97" spans="1:27" ht="18" customHeight="1">
      <c r="A97" s="193"/>
      <c r="B97" s="14"/>
      <c r="E97" s="30" t="s">
        <v>473</v>
      </c>
      <c r="F97" s="278" t="s">
        <v>652</v>
      </c>
      <c r="G97" s="28">
        <f>G92</f>
        <v>20</v>
      </c>
      <c r="H97" s="28" t="str">
        <f>H92</f>
        <v>x</v>
      </c>
      <c r="I97" s="28">
        <f>S95</f>
        <v>1</v>
      </c>
      <c r="J97" s="27" t="s">
        <v>372</v>
      </c>
      <c r="K97" s="28">
        <f>S93</f>
        <v>5</v>
      </c>
      <c r="L97" s="27" t="s">
        <v>347</v>
      </c>
      <c r="M97" s="218">
        <f>S94</f>
        <v>1.2667743100000002</v>
      </c>
      <c r="N97" s="28" t="str">
        <f>N92</f>
        <v>)</v>
      </c>
      <c r="R97" s="234"/>
      <c r="S97" s="204"/>
      <c r="V97" s="185"/>
    </row>
    <row r="98" spans="1:27" ht="18" customHeight="1">
      <c r="A98" s="193"/>
      <c r="B98" s="14"/>
      <c r="C98" s="278"/>
      <c r="G98" s="28"/>
      <c r="H98" s="28"/>
      <c r="I98" s="28"/>
      <c r="J98" s="27"/>
      <c r="K98" s="28"/>
      <c r="L98" s="27"/>
      <c r="M98" s="218"/>
      <c r="N98" s="28"/>
      <c r="R98" s="234"/>
      <c r="S98" s="204"/>
      <c r="V98" s="185"/>
    </row>
    <row r="99" spans="1:27" ht="18" customHeight="1">
      <c r="A99" s="193"/>
      <c r="B99" s="14"/>
      <c r="C99" s="278"/>
      <c r="F99" s="30" t="s">
        <v>127</v>
      </c>
      <c r="G99" s="1188">
        <f>ROUNDUP(G97*I97*(K97+M97),2)</f>
        <v>125.34</v>
      </c>
      <c r="H99" s="1188"/>
      <c r="I99" s="28"/>
      <c r="J99" s="27"/>
      <c r="K99" s="28"/>
      <c r="L99" s="27"/>
      <c r="M99" s="218"/>
      <c r="N99" s="28"/>
      <c r="R99" s="234"/>
      <c r="S99" s="204"/>
      <c r="V99" s="185"/>
    </row>
    <row r="100" spans="1:27" ht="18" customHeight="1">
      <c r="A100" s="193"/>
      <c r="B100" s="14"/>
      <c r="C100" s="278"/>
      <c r="G100" s="281"/>
      <c r="H100" s="281"/>
      <c r="I100" s="28"/>
      <c r="J100" s="27"/>
      <c r="K100" s="28"/>
      <c r="L100" s="27"/>
      <c r="M100" s="218"/>
      <c r="N100" s="28"/>
      <c r="R100" s="234"/>
      <c r="S100" s="204"/>
      <c r="V100" s="185"/>
    </row>
    <row r="101" spans="1:27" ht="18" customHeight="1">
      <c r="A101" s="193"/>
      <c r="B101" s="14"/>
      <c r="C101" s="278"/>
      <c r="G101" s="28"/>
      <c r="H101" s="28"/>
      <c r="I101" s="28"/>
      <c r="J101" s="27"/>
      <c r="K101" s="28"/>
      <c r="L101" s="27"/>
      <c r="M101" s="218"/>
      <c r="N101" s="28"/>
      <c r="R101" s="234"/>
      <c r="S101" s="204"/>
      <c r="V101" s="185"/>
    </row>
    <row r="102" spans="1:27" ht="18" customHeight="1">
      <c r="A102" s="96"/>
      <c r="B102" s="14"/>
      <c r="D102" s="30" t="s">
        <v>527</v>
      </c>
      <c r="E102" s="14"/>
      <c r="F102" s="279"/>
      <c r="G102" s="14"/>
      <c r="H102" s="14"/>
      <c r="I102" s="279"/>
      <c r="J102" s="14"/>
      <c r="K102" s="14"/>
      <c r="L102" s="30" t="s">
        <v>473</v>
      </c>
      <c r="M102" s="505" t="s">
        <v>529</v>
      </c>
      <c r="N102" s="30" t="str">
        <f>CONCATENATE(Y102,X102,D58,Z102,D81,Z102,G99,AA102)</f>
        <v>max(50.14,7.02,125.34)</v>
      </c>
      <c r="R102" s="234"/>
      <c r="S102" s="204"/>
      <c r="V102" s="185"/>
      <c r="X102" s="30" t="s">
        <v>419</v>
      </c>
      <c r="Y102" s="30" t="s">
        <v>530</v>
      </c>
      <c r="Z102" s="30" t="s">
        <v>531</v>
      </c>
      <c r="AA102" s="30" t="s">
        <v>350</v>
      </c>
    </row>
    <row r="103" spans="1:27" ht="18" customHeight="1">
      <c r="A103" s="96"/>
      <c r="B103" s="14"/>
      <c r="D103" s="14"/>
      <c r="E103" s="14"/>
      <c r="F103" s="279"/>
      <c r="G103" s="14"/>
      <c r="H103" s="14"/>
      <c r="I103" s="279"/>
      <c r="J103" s="14"/>
      <c r="K103" s="14"/>
      <c r="L103" s="30" t="s">
        <v>473</v>
      </c>
      <c r="M103" s="505" t="s">
        <v>529</v>
      </c>
      <c r="N103" s="795">
        <f>MAX(D81,D58,G99)</f>
        <v>125.34</v>
      </c>
      <c r="O103" s="795"/>
      <c r="R103" s="234"/>
      <c r="S103" s="204"/>
      <c r="V103" s="185"/>
    </row>
    <row r="104" spans="1:27" ht="18" customHeight="1">
      <c r="A104" s="96"/>
      <c r="B104" s="14"/>
      <c r="G104" s="14"/>
      <c r="H104" s="14"/>
      <c r="I104" s="14"/>
      <c r="J104" s="14"/>
      <c r="K104" s="14"/>
      <c r="L104" s="296">
        <f>H13</f>
        <v>400</v>
      </c>
      <c r="M104" s="505" t="s">
        <v>529</v>
      </c>
      <c r="N104" s="795">
        <f>N103</f>
        <v>125.34</v>
      </c>
      <c r="O104" s="795"/>
      <c r="R104" s="234"/>
      <c r="S104" s="204"/>
      <c r="V104" s="185"/>
    </row>
    <row r="105" spans="1:27" ht="18" customHeight="1">
      <c r="A105" s="96"/>
      <c r="B105" s="14"/>
      <c r="F105" s="14"/>
      <c r="G105" s="14"/>
      <c r="H105" s="14"/>
      <c r="I105" s="14"/>
      <c r="J105" s="14"/>
      <c r="K105" s="14"/>
      <c r="L105" s="14"/>
      <c r="M105" s="14"/>
      <c r="N105" s="14"/>
      <c r="O105" s="154"/>
      <c r="P105" s="14"/>
      <c r="R105" s="234"/>
      <c r="S105" s="204"/>
      <c r="V105" s="185"/>
    </row>
    <row r="106" spans="1:27" ht="18" customHeight="1">
      <c r="A106" s="96"/>
      <c r="B106" s="14"/>
      <c r="D106"/>
      <c r="E106"/>
      <c r="F106" s="244" t="s">
        <v>478</v>
      </c>
      <c r="G106"/>
      <c r="H106" s="18" t="str">
        <f>IF(L104&gt;N104,"Suitably Dimensioned","Under Dimensioned")</f>
        <v>Suitably Dimensioned</v>
      </c>
      <c r="I106"/>
      <c r="J106"/>
      <c r="K106"/>
      <c r="L106"/>
      <c r="N106" s="14"/>
      <c r="R106" s="234"/>
      <c r="S106" s="204"/>
      <c r="V106" s="185"/>
    </row>
    <row r="107" spans="1:27" ht="18" customHeight="1">
      <c r="A107" s="96"/>
      <c r="B107" s="14"/>
      <c r="D107"/>
      <c r="E107"/>
      <c r="F107" s="244"/>
      <c r="G107"/>
      <c r="H107" s="18"/>
      <c r="I107"/>
      <c r="J107"/>
      <c r="K107"/>
      <c r="L107"/>
      <c r="N107" s="14"/>
      <c r="R107" s="234"/>
      <c r="S107" s="204"/>
      <c r="V107" s="185"/>
    </row>
    <row r="108" spans="1:27" ht="18" customHeight="1">
      <c r="A108" s="96"/>
      <c r="B108" s="14"/>
      <c r="D108"/>
      <c r="E108"/>
      <c r="F108" s="244"/>
      <c r="G108"/>
      <c r="H108" s="18"/>
      <c r="I108"/>
      <c r="J108"/>
      <c r="K108"/>
      <c r="L108"/>
      <c r="N108" s="14"/>
      <c r="R108" s="234"/>
      <c r="S108" s="204"/>
      <c r="V108" s="185"/>
    </row>
    <row r="109" spans="1:27" ht="18" customHeight="1">
      <c r="A109" s="96"/>
      <c r="B109" s="14"/>
      <c r="D109"/>
      <c r="E109"/>
      <c r="F109" s="244"/>
      <c r="G109"/>
      <c r="H109" s="18"/>
      <c r="I109"/>
      <c r="J109"/>
      <c r="K109"/>
      <c r="L109"/>
      <c r="N109" s="14"/>
      <c r="R109" s="234"/>
      <c r="S109" s="204"/>
      <c r="V109" s="185"/>
    </row>
    <row r="110" spans="1:27" ht="18" customHeight="1">
      <c r="A110" s="96"/>
      <c r="B110" s="14"/>
      <c r="D110"/>
      <c r="E110"/>
      <c r="F110" s="244"/>
      <c r="G110"/>
      <c r="H110" s="18"/>
      <c r="I110"/>
      <c r="J110"/>
      <c r="K110"/>
      <c r="L110"/>
      <c r="N110" s="14"/>
      <c r="R110" s="234"/>
      <c r="S110" s="204"/>
      <c r="V110" s="185"/>
    </row>
    <row r="111" spans="1:27" ht="18" customHeight="1">
      <c r="A111" s="96"/>
      <c r="B111" s="14"/>
      <c r="D111"/>
      <c r="E111"/>
      <c r="F111" s="244"/>
      <c r="G111"/>
      <c r="H111" s="18"/>
      <c r="I111"/>
      <c r="J111"/>
      <c r="K111"/>
      <c r="L111"/>
      <c r="N111" s="14"/>
      <c r="R111" s="234"/>
      <c r="S111" s="204"/>
      <c r="V111" s="185"/>
    </row>
    <row r="112" spans="1:27" ht="18" customHeight="1">
      <c r="A112" s="96"/>
      <c r="B112" s="14"/>
      <c r="D112"/>
      <c r="E112"/>
      <c r="F112" s="244"/>
      <c r="G112"/>
      <c r="H112" s="18"/>
      <c r="I112"/>
      <c r="J112"/>
      <c r="K112"/>
      <c r="L112"/>
      <c r="N112" s="14"/>
      <c r="R112" s="234"/>
      <c r="S112" s="204"/>
      <c r="V112" s="185"/>
    </row>
    <row r="113" spans="1:22" ht="18" customHeight="1">
      <c r="A113" s="96"/>
      <c r="B113" s="14"/>
      <c r="D113"/>
      <c r="E113"/>
      <c r="F113" s="244"/>
      <c r="G113"/>
      <c r="H113" s="18"/>
      <c r="I113"/>
      <c r="J113"/>
      <c r="K113"/>
      <c r="L113"/>
      <c r="N113" s="14"/>
      <c r="R113" s="234"/>
      <c r="S113" s="204"/>
      <c r="V113" s="185"/>
    </row>
    <row r="114" spans="1:22" ht="18" customHeight="1">
      <c r="A114" s="96"/>
      <c r="B114" s="14"/>
      <c r="D114"/>
      <c r="E114"/>
      <c r="F114" s="244"/>
      <c r="G114"/>
      <c r="H114" s="18"/>
      <c r="I114"/>
      <c r="J114"/>
      <c r="K114"/>
      <c r="L114"/>
      <c r="N114" s="14"/>
      <c r="R114" s="234"/>
      <c r="S114" s="204"/>
      <c r="V114" s="185"/>
    </row>
    <row r="115" spans="1:22" ht="18" customHeight="1">
      <c r="A115" s="96"/>
      <c r="B115" s="14"/>
      <c r="D115"/>
      <c r="E115"/>
      <c r="F115" s="244"/>
      <c r="G115"/>
      <c r="H115" s="18"/>
      <c r="I115"/>
      <c r="J115"/>
      <c r="K115"/>
      <c r="L115"/>
      <c r="N115" s="14"/>
      <c r="R115" s="234"/>
      <c r="S115" s="204"/>
      <c r="V115" s="185"/>
    </row>
    <row r="116" spans="1:22" ht="18" customHeight="1">
      <c r="A116" s="96"/>
      <c r="B116" s="14"/>
      <c r="D116"/>
      <c r="E116"/>
      <c r="F116" s="244"/>
      <c r="G116"/>
      <c r="H116" s="18"/>
      <c r="I116"/>
      <c r="J116"/>
      <c r="K116"/>
      <c r="L116"/>
      <c r="N116" s="14"/>
      <c r="R116" s="234"/>
      <c r="S116" s="204"/>
      <c r="V116" s="185"/>
    </row>
    <row r="117" spans="1:22" ht="18" customHeight="1">
      <c r="A117" s="96"/>
      <c r="B117" s="14"/>
      <c r="D117"/>
      <c r="E117"/>
      <c r="F117" s="244"/>
      <c r="G117"/>
      <c r="H117" s="18"/>
      <c r="I117"/>
      <c r="J117"/>
      <c r="K117"/>
      <c r="L117"/>
      <c r="N117" s="14"/>
      <c r="R117" s="234"/>
      <c r="S117" s="204"/>
      <c r="V117" s="185"/>
    </row>
    <row r="118" spans="1:22" ht="18" customHeight="1">
      <c r="A118" s="96"/>
      <c r="B118" s="14"/>
      <c r="D118"/>
      <c r="E118"/>
      <c r="F118" s="244"/>
      <c r="G118"/>
      <c r="H118" s="18"/>
      <c r="I118"/>
      <c r="J118"/>
      <c r="K118"/>
      <c r="L118"/>
      <c r="N118" s="14"/>
      <c r="R118" s="234"/>
      <c r="S118" s="204"/>
      <c r="V118" s="185"/>
    </row>
    <row r="119" spans="1:22" ht="18" customHeight="1">
      <c r="A119" s="96"/>
      <c r="B119" s="14"/>
      <c r="D119"/>
      <c r="E119"/>
      <c r="F119" s="244"/>
      <c r="G119"/>
      <c r="H119" s="18"/>
      <c r="I119"/>
      <c r="J119"/>
      <c r="K119"/>
      <c r="L119"/>
      <c r="N119" s="14"/>
      <c r="R119" s="234"/>
      <c r="S119" s="204"/>
      <c r="V119" s="185"/>
    </row>
    <row r="120" spans="1:22" ht="18" customHeight="1">
      <c r="A120" s="96"/>
      <c r="B120" s="14"/>
      <c r="D120"/>
      <c r="E120"/>
      <c r="F120" s="244"/>
      <c r="G120"/>
      <c r="H120" s="18"/>
      <c r="I120"/>
      <c r="J120"/>
      <c r="K120"/>
      <c r="L120"/>
      <c r="N120" s="14"/>
      <c r="R120" s="234"/>
      <c r="S120" s="204"/>
      <c r="V120" s="185"/>
    </row>
    <row r="121" spans="1:22" ht="18" customHeight="1">
      <c r="A121" s="96"/>
      <c r="B121" s="14"/>
      <c r="D121"/>
      <c r="E121"/>
      <c r="F121" s="244"/>
      <c r="G121"/>
      <c r="H121" s="18"/>
      <c r="I121"/>
      <c r="J121"/>
      <c r="K121"/>
      <c r="L121"/>
      <c r="N121" s="14"/>
      <c r="R121" s="234"/>
      <c r="S121" s="204"/>
      <c r="V121" s="185"/>
    </row>
    <row r="122" spans="1:22" ht="18" customHeight="1">
      <c r="A122" s="96"/>
      <c r="B122" s="14"/>
      <c r="D122"/>
      <c r="E122"/>
      <c r="F122" s="244"/>
      <c r="G122"/>
      <c r="H122" s="18"/>
      <c r="I122"/>
      <c r="J122"/>
      <c r="K122"/>
      <c r="L122"/>
      <c r="N122" s="14"/>
      <c r="R122" s="234"/>
      <c r="S122" s="204"/>
      <c r="V122" s="185"/>
    </row>
    <row r="123" spans="1:22" ht="18" customHeight="1">
      <c r="A123" s="96"/>
      <c r="B123" s="14"/>
      <c r="D123"/>
      <c r="E123"/>
      <c r="F123" s="244"/>
      <c r="G123"/>
      <c r="H123" s="18"/>
      <c r="I123"/>
      <c r="J123"/>
      <c r="K123"/>
      <c r="L123"/>
      <c r="N123" s="14"/>
      <c r="R123" s="234"/>
      <c r="S123" s="204"/>
      <c r="V123" s="185"/>
    </row>
    <row r="124" spans="1:22" ht="18" customHeight="1">
      <c r="A124" s="96"/>
      <c r="B124" s="14"/>
      <c r="D124"/>
      <c r="E124"/>
      <c r="F124" s="244"/>
      <c r="G124"/>
      <c r="H124" s="18"/>
      <c r="I124"/>
      <c r="J124"/>
      <c r="K124"/>
      <c r="L124"/>
      <c r="N124" s="14"/>
      <c r="R124" s="234"/>
      <c r="S124" s="204"/>
      <c r="V124" s="185"/>
    </row>
    <row r="125" spans="1:22" ht="18" customHeight="1">
      <c r="A125" s="96"/>
      <c r="B125" s="14"/>
      <c r="D125"/>
      <c r="E125"/>
      <c r="F125" s="244"/>
      <c r="G125"/>
      <c r="H125" s="18"/>
      <c r="I125"/>
      <c r="J125"/>
      <c r="K125"/>
      <c r="L125"/>
      <c r="N125" s="14"/>
      <c r="R125" s="234"/>
      <c r="S125" s="204"/>
      <c r="V125" s="185"/>
    </row>
    <row r="126" spans="1:22" ht="18" customHeight="1">
      <c r="A126" s="96"/>
      <c r="B126" s="14"/>
      <c r="D126"/>
      <c r="E126"/>
      <c r="F126" s="244"/>
      <c r="G126"/>
      <c r="H126" s="18"/>
      <c r="I126"/>
      <c r="J126"/>
      <c r="K126"/>
      <c r="L126"/>
      <c r="N126" s="14"/>
      <c r="R126" s="234"/>
      <c r="S126" s="204"/>
      <c r="V126" s="185"/>
    </row>
    <row r="127" spans="1:22" ht="18" customHeight="1">
      <c r="A127" s="96"/>
      <c r="B127" s="14"/>
      <c r="D127"/>
      <c r="E127"/>
      <c r="F127" s="244"/>
      <c r="G127"/>
      <c r="H127" s="18"/>
      <c r="I127"/>
      <c r="J127"/>
      <c r="K127"/>
      <c r="L127"/>
      <c r="N127" s="14"/>
      <c r="R127" s="234"/>
      <c r="S127" s="204"/>
      <c r="V127" s="185"/>
    </row>
    <row r="128" spans="1:22" ht="18" customHeight="1">
      <c r="A128" s="96"/>
      <c r="B128" s="14"/>
      <c r="D128"/>
      <c r="E128"/>
      <c r="F128" s="244"/>
      <c r="G128"/>
      <c r="H128" s="18"/>
      <c r="I128"/>
      <c r="J128"/>
      <c r="K128"/>
      <c r="L128"/>
      <c r="N128" s="14"/>
      <c r="R128" s="234"/>
      <c r="S128" s="204"/>
      <c r="V128" s="185"/>
    </row>
    <row r="129" spans="1:29"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9" ht="18" hidden="1" customHeight="1">
      <c r="A130" s="226"/>
      <c r="B130" s="227"/>
      <c r="C130" s="227"/>
      <c r="D130" s="227"/>
      <c r="E130" s="227"/>
      <c r="F130" s="227"/>
      <c r="G130" s="227"/>
      <c r="H130" s="227"/>
      <c r="I130" s="227"/>
      <c r="J130" s="227"/>
      <c r="K130" s="227"/>
      <c r="L130" s="227"/>
      <c r="M130" s="227"/>
      <c r="N130" s="227"/>
      <c r="O130" s="227"/>
      <c r="P130" s="227"/>
      <c r="Q130" s="227"/>
      <c r="R130" s="227"/>
      <c r="S130" s="227"/>
      <c r="T130" s="227"/>
      <c r="U130" s="227"/>
      <c r="V130" s="228"/>
    </row>
    <row r="131" spans="1:29" ht="18" hidden="1" customHeight="1">
      <c r="A131" s="184"/>
      <c r="B131" s="781" t="s">
        <v>108</v>
      </c>
      <c r="C131" s="782"/>
      <c r="D131" s="781" t="s">
        <v>506</v>
      </c>
      <c r="E131" s="782"/>
      <c r="F131" s="186" t="s">
        <v>631</v>
      </c>
      <c r="H131" s="684" t="str">
        <f>H7</f>
        <v>(Transformer Differential)</v>
      </c>
      <c r="I131" s="684"/>
      <c r="J131" s="684"/>
      <c r="K131" s="684"/>
      <c r="L131" s="684"/>
      <c r="M131" s="684"/>
      <c r="P131" s="186"/>
      <c r="S131" s="187" t="s">
        <v>387</v>
      </c>
      <c r="T131" s="1154" t="str">
        <f>T7</f>
        <v>7UT85</v>
      </c>
      <c r="U131" s="1155"/>
      <c r="V131" s="185"/>
    </row>
    <row r="132" spans="1:29" ht="18" hidden="1" customHeight="1">
      <c r="A132" s="184"/>
      <c r="B132" s="18"/>
      <c r="C132" s="18"/>
      <c r="D132" s="14"/>
      <c r="E132" s="14"/>
      <c r="F132" s="287"/>
      <c r="T132" s="1154">
        <f>T8</f>
        <v>0</v>
      </c>
      <c r="U132" s="1155"/>
      <c r="V132" s="185"/>
    </row>
    <row r="133" spans="1:29" ht="18" hidden="1" customHeight="1">
      <c r="A133" s="184"/>
      <c r="H133" s="708" t="s">
        <v>390</v>
      </c>
      <c r="I133" s="708"/>
      <c r="J133" s="789" t="s">
        <v>391</v>
      </c>
      <c r="K133" s="789"/>
      <c r="L133" s="708" t="s">
        <v>392</v>
      </c>
      <c r="M133" s="708"/>
      <c r="T133" s="1154">
        <f>T9</f>
        <v>0</v>
      </c>
      <c r="U133" s="1155"/>
      <c r="V133" s="185"/>
    </row>
    <row r="134" spans="1:29" ht="18" hidden="1" customHeight="1">
      <c r="A134" s="184"/>
      <c r="B134" s="47" t="s">
        <v>393</v>
      </c>
      <c r="H134" s="854">
        <f>H10</f>
        <v>2500</v>
      </c>
      <c r="I134" s="831"/>
      <c r="J134" s="863" t="str">
        <f>J10</f>
        <v>-</v>
      </c>
      <c r="K134" s="864"/>
      <c r="L134" s="854" t="str">
        <f>L10</f>
        <v>-</v>
      </c>
      <c r="M134" s="831"/>
      <c r="N134" s="102" t="s">
        <v>342</v>
      </c>
      <c r="O134" s="256">
        <f>O10</f>
        <v>1</v>
      </c>
      <c r="P134" s="27" t="s">
        <v>8</v>
      </c>
      <c r="V134" s="185"/>
    </row>
    <row r="135" spans="1:29" ht="18" hidden="1" customHeight="1">
      <c r="A135" s="184"/>
      <c r="B135" s="47" t="s">
        <v>394</v>
      </c>
      <c r="H135" s="14"/>
      <c r="I135" s="14"/>
      <c r="J135" s="854" t="str">
        <f>H11</f>
        <v>PX</v>
      </c>
      <c r="K135" s="776"/>
      <c r="L135" s="14"/>
      <c r="M135" s="14"/>
      <c r="V135" s="185"/>
    </row>
    <row r="136" spans="1:29" ht="18" hidden="1" customHeight="1">
      <c r="A136" s="184"/>
      <c r="B136" s="47" t="s">
        <v>396</v>
      </c>
      <c r="I136" s="120" t="s">
        <v>497</v>
      </c>
      <c r="J136" s="781">
        <v>2.7</v>
      </c>
      <c r="K136" s="782"/>
      <c r="L136" s="192" t="s">
        <v>333</v>
      </c>
      <c r="V136" s="185"/>
    </row>
    <row r="137" spans="1:29" ht="18" hidden="1" customHeight="1">
      <c r="A137" s="184"/>
      <c r="B137" s="47" t="s">
        <v>398</v>
      </c>
      <c r="I137" s="120" t="s">
        <v>498</v>
      </c>
      <c r="J137" s="781">
        <v>900</v>
      </c>
      <c r="K137" s="782"/>
      <c r="L137" s="14" t="s">
        <v>305</v>
      </c>
      <c r="V137" s="185"/>
      <c r="W137" s="30" t="s">
        <v>400</v>
      </c>
      <c r="AB137" s="785" t="e">
        <f>D188</f>
        <v>#VALUE!</v>
      </c>
      <c r="AC137" s="786"/>
    </row>
    <row r="138" spans="1:29" ht="18" hidden="1" customHeight="1">
      <c r="A138" s="184"/>
      <c r="B138" s="14" t="s">
        <v>401</v>
      </c>
      <c r="I138" s="120" t="s">
        <v>402</v>
      </c>
      <c r="J138" s="781">
        <v>10</v>
      </c>
      <c r="K138" s="782"/>
      <c r="L138" s="30" t="s">
        <v>403</v>
      </c>
      <c r="V138" s="185"/>
    </row>
    <row r="139" spans="1:29" ht="18" hidden="1" customHeight="1">
      <c r="A139" s="96"/>
      <c r="V139" s="185"/>
    </row>
    <row r="140" spans="1:29" ht="18" hidden="1" customHeight="1">
      <c r="A140" s="193" t="s">
        <v>404</v>
      </c>
      <c r="V140" s="185"/>
    </row>
    <row r="141" spans="1:29" ht="18" hidden="1" customHeight="1">
      <c r="A141" s="184"/>
      <c r="V141" s="185"/>
    </row>
    <row r="142" spans="1:29" ht="18" hidden="1" customHeight="1">
      <c r="A142" s="184"/>
      <c r="B142" s="194" t="s">
        <v>405</v>
      </c>
      <c r="C142" s="195"/>
      <c r="D142" s="195" t="str">
        <f>T131</f>
        <v>7UT85</v>
      </c>
      <c r="E142" s="196"/>
      <c r="F142" s="196"/>
      <c r="G142" s="196"/>
      <c r="H142" s="182" t="s">
        <v>406</v>
      </c>
      <c r="I142" s="183" t="s">
        <v>127</v>
      </c>
      <c r="J142" s="766">
        <f>J18</f>
        <v>0.1</v>
      </c>
      <c r="K142" s="958"/>
      <c r="L142" s="3" t="s">
        <v>157</v>
      </c>
      <c r="V142" s="185"/>
    </row>
    <row r="143" spans="1:29" ht="18" hidden="1" customHeight="1">
      <c r="A143" s="184"/>
      <c r="B143" s="184" t="s">
        <v>405</v>
      </c>
      <c r="D143" s="30">
        <f>T132</f>
        <v>0</v>
      </c>
      <c r="H143" s="27"/>
      <c r="I143" s="177" t="s">
        <v>127</v>
      </c>
      <c r="J143" s="861">
        <f>J19</f>
        <v>0</v>
      </c>
      <c r="K143" s="989"/>
      <c r="L143" s="198" t="s">
        <v>157</v>
      </c>
      <c r="V143" s="185"/>
    </row>
    <row r="144" spans="1:29" ht="18" hidden="1" customHeight="1">
      <c r="A144" s="184"/>
      <c r="B144" s="184" t="s">
        <v>405</v>
      </c>
      <c r="D144" s="30">
        <f>T133</f>
        <v>0</v>
      </c>
      <c r="E144" s="14"/>
      <c r="G144" s="199"/>
      <c r="H144" s="27"/>
      <c r="I144" s="177" t="s">
        <v>127</v>
      </c>
      <c r="J144" s="696">
        <f>J20</f>
        <v>0</v>
      </c>
      <c r="K144" s="820"/>
      <c r="L144" s="202" t="s">
        <v>157</v>
      </c>
      <c r="V144" s="185"/>
    </row>
    <row r="145" spans="1:22" ht="18" hidden="1" customHeight="1">
      <c r="A145" s="184"/>
      <c r="B145" s="184" t="s">
        <v>412</v>
      </c>
      <c r="H145" s="27" t="s">
        <v>599</v>
      </c>
      <c r="I145" s="177" t="s">
        <v>127</v>
      </c>
      <c r="J145" s="861">
        <f>J21</f>
        <v>1.1667743100000001</v>
      </c>
      <c r="K145" s="989"/>
      <c r="L145" s="203" t="s">
        <v>157</v>
      </c>
      <c r="V145" s="185"/>
    </row>
    <row r="146" spans="1:22" ht="18" hidden="1" customHeight="1">
      <c r="A146" s="184"/>
      <c r="B146" s="205" t="s">
        <v>413</v>
      </c>
      <c r="C146" s="206"/>
      <c r="D146" s="206"/>
      <c r="E146" s="206"/>
      <c r="F146" s="207"/>
      <c r="G146" s="207"/>
      <c r="H146" s="190" t="s">
        <v>409</v>
      </c>
      <c r="I146" s="208" t="s">
        <v>127</v>
      </c>
      <c r="J146" s="766">
        <f>J143+J145</f>
        <v>1.1667743100000001</v>
      </c>
      <c r="K146" s="958"/>
      <c r="L146" s="210" t="s">
        <v>157</v>
      </c>
      <c r="V146" s="185"/>
    </row>
    <row r="147" spans="1:22" ht="18" hidden="1" customHeight="1">
      <c r="A147" s="184"/>
      <c r="B147" s="47"/>
      <c r="C147" s="47"/>
      <c r="D147" s="47"/>
      <c r="E147" s="47"/>
      <c r="H147" s="27"/>
      <c r="I147" s="28"/>
      <c r="J147" s="199"/>
      <c r="L147" s="47"/>
      <c r="O147" s="27"/>
      <c r="P147" s="211"/>
      <c r="Q147" s="211"/>
      <c r="R147" s="192"/>
      <c r="V147" s="185"/>
    </row>
    <row r="148" spans="1:22" ht="18" hidden="1" customHeight="1">
      <c r="A148" s="184"/>
      <c r="B148" s="197" t="s">
        <v>648</v>
      </c>
      <c r="L148" s="47"/>
      <c r="M148" s="197" t="s">
        <v>407</v>
      </c>
      <c r="V148" s="185"/>
    </row>
    <row r="149" spans="1:22" ht="18" hidden="1" customHeight="1">
      <c r="A149" s="184"/>
      <c r="B149" s="27" t="s">
        <v>649</v>
      </c>
      <c r="C149" s="27" t="s">
        <v>127</v>
      </c>
      <c r="D149" s="30" t="s">
        <v>406</v>
      </c>
      <c r="E149" s="271" t="s">
        <v>410</v>
      </c>
      <c r="F149" s="27" t="s">
        <v>146</v>
      </c>
      <c r="G149" s="28" t="s">
        <v>315</v>
      </c>
      <c r="H149" s="218" t="s">
        <v>146</v>
      </c>
      <c r="I149" s="30" t="s">
        <v>350</v>
      </c>
      <c r="J149" s="199"/>
      <c r="L149" s="47"/>
      <c r="M149" s="30" t="s">
        <v>408</v>
      </c>
      <c r="N149" s="27" t="s">
        <v>127</v>
      </c>
      <c r="O149" s="30" t="s">
        <v>409</v>
      </c>
      <c r="P149" s="191" t="s">
        <v>410</v>
      </c>
      <c r="Q149" s="244" t="s">
        <v>411</v>
      </c>
      <c r="R149" s="27" t="s">
        <v>315</v>
      </c>
      <c r="S149" s="30" t="s">
        <v>411</v>
      </c>
      <c r="T149" s="30" t="s">
        <v>350</v>
      </c>
      <c r="V149" s="185"/>
    </row>
    <row r="150" spans="1:22" ht="18" hidden="1" customHeight="1">
      <c r="A150" s="184"/>
      <c r="B150" s="47"/>
      <c r="C150" s="27" t="s">
        <v>127</v>
      </c>
      <c r="D150" s="204">
        <f>J142</f>
        <v>0.1</v>
      </c>
      <c r="E150" s="191" t="s">
        <v>410</v>
      </c>
      <c r="F150" s="27">
        <f>F26</f>
        <v>1</v>
      </c>
      <c r="G150" s="27" t="s">
        <v>315</v>
      </c>
      <c r="H150" s="27">
        <f>H26</f>
        <v>1</v>
      </c>
      <c r="I150" s="30" t="s">
        <v>350</v>
      </c>
      <c r="J150" s="199"/>
      <c r="L150" s="47"/>
      <c r="N150" s="27" t="s">
        <v>127</v>
      </c>
      <c r="O150" s="204">
        <f>J146</f>
        <v>1.1667743100000001</v>
      </c>
      <c r="P150" s="191" t="s">
        <v>410</v>
      </c>
      <c r="Q150" s="27">
        <f>O134</f>
        <v>1</v>
      </c>
      <c r="R150" s="27" t="s">
        <v>315</v>
      </c>
      <c r="S150" s="27">
        <f>O134</f>
        <v>1</v>
      </c>
      <c r="T150" s="30" t="s">
        <v>350</v>
      </c>
      <c r="V150" s="185"/>
    </row>
    <row r="151" spans="1:22" ht="18" hidden="1" customHeight="1">
      <c r="A151" s="184"/>
      <c r="B151" s="47"/>
      <c r="C151" s="27" t="s">
        <v>127</v>
      </c>
      <c r="D151" s="795">
        <f>D150/(F150*H150)</f>
        <v>0.1</v>
      </c>
      <c r="E151" s="795"/>
      <c r="F151" s="192" t="s">
        <v>333</v>
      </c>
      <c r="J151" s="199"/>
      <c r="L151" s="47"/>
      <c r="N151" s="27" t="s">
        <v>127</v>
      </c>
      <c r="O151" s="795">
        <f>O150/(Q150*S150)</f>
        <v>1.1667743100000001</v>
      </c>
      <c r="P151" s="795"/>
      <c r="Q151" s="192" t="s">
        <v>333</v>
      </c>
      <c r="V151" s="185"/>
    </row>
    <row r="152" spans="1:22" ht="18" hidden="1" customHeight="1">
      <c r="A152" s="184"/>
      <c r="B152" s="47"/>
      <c r="C152" s="47"/>
      <c r="D152" s="47"/>
      <c r="E152" s="47"/>
      <c r="H152" s="27"/>
      <c r="I152" s="28"/>
      <c r="J152" s="199"/>
      <c r="L152" s="47"/>
      <c r="O152" s="27"/>
      <c r="P152" s="211"/>
      <c r="Q152" s="211"/>
      <c r="R152" s="192"/>
      <c r="V152" s="185"/>
    </row>
    <row r="153" spans="1:22" ht="18" hidden="1" customHeight="1">
      <c r="A153" s="184"/>
      <c r="B153" s="47" t="s">
        <v>668</v>
      </c>
      <c r="C153" s="47"/>
      <c r="D153" s="47"/>
      <c r="E153" s="47"/>
      <c r="H153" s="27"/>
      <c r="I153" s="28"/>
      <c r="J153" s="199"/>
      <c r="L153" s="28" t="s">
        <v>127</v>
      </c>
      <c r="M153" s="795">
        <f>D151</f>
        <v>0.1</v>
      </c>
      <c r="N153" s="795"/>
      <c r="O153" s="27" t="s">
        <v>347</v>
      </c>
      <c r="P153" s="795">
        <f>O151</f>
        <v>1.1667743100000001</v>
      </c>
      <c r="Q153" s="795"/>
      <c r="R153" s="211" t="s">
        <v>127</v>
      </c>
      <c r="S153" s="795">
        <f>M153+P153</f>
        <v>1.2667743100000002</v>
      </c>
      <c r="T153" s="795"/>
      <c r="U153" s="192" t="s">
        <v>333</v>
      </c>
      <c r="V153" s="185"/>
    </row>
    <row r="154" spans="1:22" s="14" customFormat="1" ht="18" hidden="1" customHeight="1">
      <c r="A154" s="193" t="s">
        <v>600</v>
      </c>
      <c r="B154" s="5"/>
      <c r="C154" s="5"/>
      <c r="D154" s="5"/>
      <c r="E154" s="5"/>
      <c r="F154" s="5"/>
      <c r="G154" s="5"/>
      <c r="H154" s="212"/>
      <c r="I154" s="212"/>
      <c r="J154" s="5"/>
      <c r="K154" s="5"/>
      <c r="L154" s="5"/>
      <c r="M154" s="5"/>
      <c r="N154" s="5"/>
      <c r="O154" s="5"/>
      <c r="P154" s="103"/>
      <c r="Q154" s="212"/>
      <c r="R154" s="213"/>
      <c r="S154" s="214"/>
      <c r="T154" s="18"/>
      <c r="U154" s="18"/>
      <c r="V154" s="97"/>
    </row>
    <row r="155" spans="1:22" s="14" customFormat="1" ht="18" hidden="1" customHeight="1">
      <c r="A155" s="96"/>
      <c r="B155" s="47" t="s">
        <v>601</v>
      </c>
      <c r="C155" s="5"/>
      <c r="D155" s="5"/>
      <c r="E155" s="5"/>
      <c r="I155" s="215"/>
      <c r="M155" s="5"/>
      <c r="N155" s="103" t="s">
        <v>127</v>
      </c>
      <c r="O155" s="1154">
        <v>100</v>
      </c>
      <c r="P155" s="831"/>
      <c r="Q155" s="14" t="s">
        <v>602</v>
      </c>
      <c r="S155" s="214"/>
      <c r="T155" s="18"/>
      <c r="U155" s="18"/>
      <c r="V155" s="97"/>
    </row>
    <row r="156" spans="1:22" s="14" customFormat="1" ht="18" hidden="1" customHeight="1">
      <c r="A156" s="96"/>
      <c r="B156" s="47" t="s">
        <v>603</v>
      </c>
      <c r="C156" s="5"/>
      <c r="D156" s="5"/>
      <c r="E156" s="5"/>
      <c r="I156" s="215"/>
      <c r="M156" s="5"/>
      <c r="N156" s="103" t="s">
        <v>127</v>
      </c>
      <c r="O156" s="1154">
        <f>O32</f>
        <v>25</v>
      </c>
      <c r="P156" s="831"/>
      <c r="Q156" s="14" t="s">
        <v>604</v>
      </c>
      <c r="S156" s="214"/>
      <c r="T156" s="18"/>
      <c r="U156" s="18"/>
      <c r="V156" s="97"/>
    </row>
    <row r="157" spans="1:22" s="14" customFormat="1" ht="18" hidden="1" customHeight="1">
      <c r="A157" s="96"/>
      <c r="B157" s="47" t="s">
        <v>605</v>
      </c>
      <c r="C157" s="5"/>
      <c r="D157" s="5"/>
      <c r="E157" s="5"/>
      <c r="M157" s="120" t="s">
        <v>606</v>
      </c>
      <c r="N157" s="103" t="s">
        <v>607</v>
      </c>
      <c r="O157" s="1154">
        <f>O33</f>
        <v>132</v>
      </c>
      <c r="P157" s="831"/>
      <c r="Q157" s="14" t="s">
        <v>163</v>
      </c>
      <c r="S157" s="214"/>
      <c r="T157" s="18"/>
      <c r="U157" s="18"/>
      <c r="V157" s="97"/>
    </row>
    <row r="158" spans="1:22" s="14" customFormat="1" ht="18" hidden="1" customHeight="1">
      <c r="A158" s="216"/>
      <c r="B158" s="212"/>
      <c r="C158" s="212"/>
      <c r="D158" s="212"/>
      <c r="E158" s="212"/>
      <c r="T158" s="18"/>
      <c r="U158" s="18"/>
      <c r="V158" s="97"/>
    </row>
    <row r="159" spans="1:22" s="14" customFormat="1" ht="18" hidden="1" customHeight="1">
      <c r="A159" s="272" t="s">
        <v>608</v>
      </c>
      <c r="B159" s="213"/>
      <c r="C159" s="213"/>
      <c r="D159" s="213"/>
      <c r="E159" s="213"/>
      <c r="H159" s="120" t="s">
        <v>609</v>
      </c>
      <c r="I159" s="28" t="s">
        <v>127</v>
      </c>
      <c r="J159" s="689" t="s">
        <v>610</v>
      </c>
      <c r="K159" s="689"/>
      <c r="L159" s="28" t="s">
        <v>315</v>
      </c>
      <c r="M159" s="217">
        <v>1000</v>
      </c>
      <c r="N159" s="102" t="s">
        <v>342</v>
      </c>
      <c r="O159" s="28" t="s">
        <v>611</v>
      </c>
      <c r="P159" s="28" t="s">
        <v>315</v>
      </c>
      <c r="Q159" s="28" t="s">
        <v>606</v>
      </c>
      <c r="R159" s="47" t="s">
        <v>350</v>
      </c>
      <c r="T159" s="18"/>
      <c r="U159" s="18"/>
      <c r="V159" s="97"/>
    </row>
    <row r="160" spans="1:22" s="14" customFormat="1" ht="18" hidden="1" customHeight="1">
      <c r="A160" s="216"/>
      <c r="B160" s="213"/>
      <c r="C160" s="213"/>
      <c r="D160" s="213"/>
      <c r="E160" s="213"/>
      <c r="F160" s="212"/>
      <c r="G160" s="212"/>
      <c r="H160" s="28"/>
      <c r="I160" s="28" t="s">
        <v>127</v>
      </c>
      <c r="J160" s="689">
        <f>O155</f>
        <v>100</v>
      </c>
      <c r="K160" s="689"/>
      <c r="L160" s="28" t="s">
        <v>315</v>
      </c>
      <c r="M160" s="217">
        <v>1000</v>
      </c>
      <c r="N160" s="102" t="s">
        <v>342</v>
      </c>
      <c r="O160" s="28" t="s">
        <v>611</v>
      </c>
      <c r="P160" s="28" t="s">
        <v>315</v>
      </c>
      <c r="Q160" s="28">
        <f>O157</f>
        <v>132</v>
      </c>
      <c r="R160" s="47" t="s">
        <v>350</v>
      </c>
      <c r="T160" s="18"/>
      <c r="U160" s="18"/>
      <c r="V160" s="97"/>
    </row>
    <row r="161" spans="1:22" s="14" customFormat="1" ht="18" hidden="1" customHeight="1">
      <c r="A161" s="216"/>
      <c r="B161" s="212"/>
      <c r="C161" s="212"/>
      <c r="D161" s="212"/>
      <c r="E161" s="212"/>
      <c r="F161" s="212"/>
      <c r="G161" s="212"/>
      <c r="I161" s="28" t="s">
        <v>127</v>
      </c>
      <c r="J161" s="692">
        <f>(O155*1000)/(SQRT(3)*O157)</f>
        <v>437.38656756789834</v>
      </c>
      <c r="K161" s="692"/>
      <c r="L161" s="14" t="s">
        <v>8</v>
      </c>
      <c r="M161" s="120"/>
      <c r="N161" s="120"/>
      <c r="O161" s="120"/>
      <c r="T161" s="18"/>
      <c r="U161" s="18"/>
      <c r="V161" s="97"/>
    </row>
    <row r="162" spans="1:22" s="14" customFormat="1" ht="18" hidden="1" customHeight="1">
      <c r="A162" s="216"/>
      <c r="B162" s="212"/>
      <c r="C162" s="212"/>
      <c r="D162" s="212"/>
      <c r="E162" s="212"/>
      <c r="G162" s="212"/>
      <c r="H162" s="28"/>
      <c r="I162" s="103"/>
      <c r="J162" s="28"/>
      <c r="M162" s="212"/>
      <c r="N162" s="219"/>
      <c r="O162" s="212"/>
      <c r="T162" s="18"/>
      <c r="U162" s="18"/>
      <c r="V162" s="97"/>
    </row>
    <row r="163" spans="1:22" s="14" customFormat="1" ht="18" hidden="1" customHeight="1">
      <c r="A163" s="147" t="s">
        <v>629</v>
      </c>
      <c r="B163" s="5"/>
      <c r="C163" s="5"/>
      <c r="D163" s="5"/>
      <c r="E163" s="5"/>
      <c r="F163" s="212"/>
      <c r="G163" s="212"/>
      <c r="H163" s="5"/>
      <c r="I163" s="5"/>
      <c r="J163" s="5"/>
      <c r="K163" s="5"/>
      <c r="L163" s="103"/>
      <c r="M163" s="103"/>
      <c r="N163" s="103"/>
      <c r="O163" s="103"/>
      <c r="P163" s="212"/>
      <c r="Q163" s="213"/>
      <c r="S163" s="220"/>
      <c r="T163" s="18"/>
      <c r="U163" s="18"/>
      <c r="V163" s="97"/>
    </row>
    <row r="164" spans="1:22" s="14" customFormat="1" ht="18" hidden="1" customHeight="1">
      <c r="A164" s="147"/>
      <c r="B164" s="5"/>
      <c r="C164" s="5"/>
      <c r="D164" s="5"/>
      <c r="E164" s="5"/>
      <c r="F164" s="212"/>
      <c r="G164" s="212"/>
      <c r="H164" s="5"/>
      <c r="I164" s="5"/>
      <c r="J164" s="5"/>
      <c r="K164" s="5"/>
      <c r="L164" s="103"/>
      <c r="M164" s="103"/>
      <c r="N164" s="103"/>
      <c r="O164" s="103"/>
      <c r="P164" s="212"/>
      <c r="Q164" s="213"/>
      <c r="S164" s="214"/>
      <c r="T164" s="18"/>
      <c r="U164" s="18"/>
      <c r="V164" s="97"/>
    </row>
    <row r="165" spans="1:22" ht="18" hidden="1" customHeight="1">
      <c r="A165" s="96" t="s">
        <v>632</v>
      </c>
      <c r="B165" s="14"/>
      <c r="C165" s="14"/>
      <c r="D165" s="14"/>
      <c r="E165" s="14"/>
      <c r="M165" s="120" t="s">
        <v>613</v>
      </c>
      <c r="N165" s="28" t="s">
        <v>127</v>
      </c>
      <c r="O165" s="689" t="s">
        <v>609</v>
      </c>
      <c r="P165" s="716"/>
      <c r="Q165" s="221" t="s">
        <v>630</v>
      </c>
      <c r="R165" s="221">
        <v>16</v>
      </c>
      <c r="S165" s="186"/>
      <c r="V165" s="185"/>
    </row>
    <row r="166" spans="1:22" ht="18" hidden="1" customHeight="1">
      <c r="A166" s="96"/>
      <c r="B166" s="5"/>
      <c r="C166" s="5"/>
      <c r="D166" s="5"/>
      <c r="E166" s="5"/>
      <c r="M166" s="250"/>
      <c r="N166" s="28" t="s">
        <v>127</v>
      </c>
      <c r="O166" s="689">
        <f>+J161</f>
        <v>437.38656756789834</v>
      </c>
      <c r="P166" s="716"/>
      <c r="Q166" s="221" t="s">
        <v>630</v>
      </c>
      <c r="R166" s="221">
        <v>16</v>
      </c>
      <c r="S166" s="186"/>
      <c r="V166" s="185"/>
    </row>
    <row r="167" spans="1:22" ht="18" hidden="1" customHeight="1">
      <c r="A167" s="96"/>
      <c r="B167" s="5"/>
      <c r="C167" s="5"/>
      <c r="D167" s="5"/>
      <c r="E167" s="5"/>
      <c r="M167" s="120" t="s">
        <v>613</v>
      </c>
      <c r="N167" s="28" t="s">
        <v>127</v>
      </c>
      <c r="O167" s="689">
        <f>O166*R166</f>
        <v>6998.1850810863734</v>
      </c>
      <c r="P167" s="716"/>
      <c r="Q167" s="241" t="s">
        <v>8</v>
      </c>
      <c r="R167" s="14"/>
      <c r="S167" s="186"/>
      <c r="V167" s="185"/>
    </row>
    <row r="168" spans="1:22" ht="18" hidden="1" customHeight="1">
      <c r="A168" s="96"/>
      <c r="B168" s="5"/>
      <c r="C168" s="5"/>
      <c r="D168" s="5"/>
      <c r="E168" s="5"/>
      <c r="M168" s="120"/>
      <c r="N168" s="28"/>
      <c r="O168" s="28"/>
      <c r="P168" s="14"/>
      <c r="Q168" s="241"/>
      <c r="R168" s="14"/>
      <c r="S168" s="186"/>
      <c r="V168" s="185"/>
    </row>
    <row r="169" spans="1:22" s="14" customFormat="1" ht="18" hidden="1"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s="14" customFormat="1" ht="18" hidden="1" customHeight="1">
      <c r="A170" s="135"/>
      <c r="B170" s="273"/>
      <c r="C170" s="273"/>
      <c r="D170" s="273"/>
      <c r="E170" s="273"/>
      <c r="F170" s="273"/>
      <c r="G170" s="273"/>
      <c r="H170" s="273"/>
      <c r="I170" s="273"/>
      <c r="J170" s="273"/>
      <c r="K170" s="273"/>
      <c r="L170" s="273"/>
      <c r="M170" s="273"/>
      <c r="N170" s="273"/>
      <c r="O170" s="273"/>
      <c r="P170" s="273"/>
      <c r="Q170" s="274"/>
      <c r="R170" s="138"/>
      <c r="S170" s="275"/>
      <c r="T170" s="273"/>
      <c r="U170" s="273"/>
      <c r="V170" s="276"/>
    </row>
    <row r="171" spans="1:22" ht="18" hidden="1" customHeight="1">
      <c r="A171" s="96" t="s">
        <v>686</v>
      </c>
      <c r="V171" s="185"/>
    </row>
    <row r="172" spans="1:22" ht="18" hidden="1" customHeight="1">
      <c r="A172" s="184"/>
      <c r="V172" s="185"/>
    </row>
    <row r="173" spans="1:22" s="279" customFormat="1" ht="18" hidden="1" customHeight="1">
      <c r="A173" s="277"/>
      <c r="B173" s="689" t="s">
        <v>473</v>
      </c>
      <c r="C173" s="1150" t="s">
        <v>652</v>
      </c>
      <c r="G173" s="802" t="s">
        <v>687</v>
      </c>
      <c r="H173" s="1153" t="s">
        <v>315</v>
      </c>
      <c r="I173" s="708" t="s">
        <v>688</v>
      </c>
      <c r="J173" s="1147"/>
      <c r="K173" s="1147"/>
      <c r="L173" s="1147"/>
      <c r="M173" s="1147"/>
      <c r="N173" s="689" t="s">
        <v>672</v>
      </c>
      <c r="O173" s="708" t="s">
        <v>420</v>
      </c>
      <c r="P173" s="689" t="s">
        <v>347</v>
      </c>
      <c r="Q173" s="708" t="s">
        <v>689</v>
      </c>
      <c r="R173" s="708" t="s">
        <v>674</v>
      </c>
      <c r="S173" s="708" t="s">
        <v>411</v>
      </c>
      <c r="T173" s="14"/>
      <c r="U173" s="729" t="s">
        <v>653</v>
      </c>
      <c r="V173" s="185"/>
    </row>
    <row r="174" spans="1:22" s="279" customFormat="1" ht="18" hidden="1" customHeight="1">
      <c r="A174" s="277"/>
      <c r="B174" s="689"/>
      <c r="C174" s="689"/>
      <c r="G174" s="802"/>
      <c r="H174" s="689"/>
      <c r="I174" s="689">
        <v>1.3</v>
      </c>
      <c r="J174" s="689"/>
      <c r="K174" s="28" t="s">
        <v>315</v>
      </c>
      <c r="L174" s="689" t="s">
        <v>423</v>
      </c>
      <c r="M174" s="689"/>
      <c r="N174" s="689"/>
      <c r="O174" s="689"/>
      <c r="P174" s="689"/>
      <c r="Q174" s="689"/>
      <c r="R174" s="689"/>
      <c r="S174" s="689"/>
      <c r="T174" s="14"/>
      <c r="U174" s="689"/>
      <c r="V174" s="185"/>
    </row>
    <row r="175" spans="1:22" ht="18" hidden="1" customHeight="1">
      <c r="A175" s="184"/>
      <c r="V175" s="185"/>
    </row>
    <row r="176" spans="1:22" ht="18" hidden="1" customHeight="1">
      <c r="A176" s="184"/>
      <c r="B176" s="47" t="s">
        <v>654</v>
      </c>
      <c r="C176" s="14"/>
      <c r="D176" s="14"/>
      <c r="E176" s="14"/>
      <c r="F176" s="18"/>
      <c r="G176" s="18"/>
      <c r="H176" s="14"/>
      <c r="I176" s="120"/>
      <c r="J176" s="14"/>
      <c r="K176" s="14"/>
      <c r="M176" s="14"/>
      <c r="N176" s="14"/>
      <c r="P176" s="14" t="s">
        <v>423</v>
      </c>
      <c r="R176" s="234" t="s">
        <v>127</v>
      </c>
      <c r="S176" s="684" t="str">
        <f>J134</f>
        <v>-</v>
      </c>
      <c r="T176" s="684"/>
      <c r="U176" s="30" t="s">
        <v>8</v>
      </c>
      <c r="V176" s="185"/>
    </row>
    <row r="177" spans="1:22" ht="18" hidden="1" customHeight="1">
      <c r="A177" s="184"/>
      <c r="B177" s="47" t="s">
        <v>655</v>
      </c>
      <c r="C177" s="14"/>
      <c r="D177" s="14"/>
      <c r="E177" s="14"/>
      <c r="F177" s="18"/>
      <c r="G177" s="18"/>
      <c r="H177" s="14"/>
      <c r="I177" s="120"/>
      <c r="J177" s="14"/>
      <c r="K177" s="14"/>
      <c r="M177" s="14"/>
      <c r="N177" s="14"/>
      <c r="P177" s="14" t="s">
        <v>420</v>
      </c>
      <c r="R177" s="234" t="s">
        <v>127</v>
      </c>
      <c r="S177" s="684">
        <f>J136</f>
        <v>2.7</v>
      </c>
      <c r="T177" s="684"/>
      <c r="U177" s="192" t="s">
        <v>333</v>
      </c>
      <c r="V177" s="185"/>
    </row>
    <row r="178" spans="1:22" ht="18" hidden="1" customHeight="1">
      <c r="A178" s="184"/>
      <c r="B178" s="47" t="s">
        <v>676</v>
      </c>
      <c r="C178" s="14"/>
      <c r="D178" s="14"/>
      <c r="E178" s="14"/>
      <c r="F178" s="18"/>
      <c r="G178" s="18"/>
      <c r="H178" s="14"/>
      <c r="I178" s="120"/>
      <c r="J178" s="14"/>
      <c r="K178" s="14"/>
      <c r="M178" s="14"/>
      <c r="N178" s="14"/>
      <c r="P178" s="14" t="s">
        <v>690</v>
      </c>
      <c r="R178" s="234" t="s">
        <v>127</v>
      </c>
      <c r="S178" s="795">
        <f>S153</f>
        <v>1.2667743100000002</v>
      </c>
      <c r="T178" s="795"/>
      <c r="U178" s="192" t="s">
        <v>333</v>
      </c>
      <c r="V178" s="185"/>
    </row>
    <row r="179" spans="1:22" ht="18" hidden="1" customHeight="1">
      <c r="A179" s="184"/>
      <c r="B179" s="47" t="s">
        <v>691</v>
      </c>
      <c r="C179" s="14"/>
      <c r="D179" s="14"/>
      <c r="E179" s="14"/>
      <c r="F179" s="14"/>
      <c r="G179" s="14"/>
      <c r="H179" s="14"/>
      <c r="I179" s="120"/>
      <c r="J179" s="14"/>
      <c r="K179" s="14"/>
      <c r="M179" s="14"/>
      <c r="N179" s="14"/>
      <c r="P179" s="14" t="s">
        <v>411</v>
      </c>
      <c r="R179" s="234" t="s">
        <v>127</v>
      </c>
      <c r="S179" s="684">
        <f>O134</f>
        <v>1</v>
      </c>
      <c r="T179" s="684"/>
      <c r="U179" s="30" t="s">
        <v>8</v>
      </c>
      <c r="V179" s="185"/>
    </row>
    <row r="180" spans="1:22" ht="18" hidden="1" customHeight="1">
      <c r="A180" s="184"/>
      <c r="B180" s="47" t="s">
        <v>678</v>
      </c>
      <c r="C180" s="14"/>
      <c r="D180" s="14"/>
      <c r="E180" s="14"/>
      <c r="F180" s="14"/>
      <c r="G180" s="14"/>
      <c r="H180" s="14"/>
      <c r="I180" s="120"/>
      <c r="J180" s="14"/>
      <c r="K180" s="14"/>
      <c r="M180" s="14"/>
      <c r="N180" s="14"/>
      <c r="P180" s="120" t="s">
        <v>688</v>
      </c>
      <c r="R180" s="234" t="s">
        <v>127</v>
      </c>
      <c r="S180" s="684">
        <f>O167</f>
        <v>6998.1850810863734</v>
      </c>
      <c r="T180" s="684"/>
      <c r="U180" s="30" t="s">
        <v>8</v>
      </c>
      <c r="V180" s="185"/>
    </row>
    <row r="181" spans="1:22" ht="18" hidden="1" customHeight="1">
      <c r="A181" s="184"/>
      <c r="B181" s="47" t="s">
        <v>692</v>
      </c>
      <c r="C181" s="14"/>
      <c r="D181" s="14"/>
      <c r="E181" s="14"/>
      <c r="F181" s="14"/>
      <c r="G181" s="14"/>
      <c r="H181" s="14"/>
      <c r="I181" s="120"/>
      <c r="J181" s="14"/>
      <c r="K181" s="14"/>
      <c r="M181" s="14"/>
      <c r="N181" s="14"/>
      <c r="P181" s="120" t="s">
        <v>680</v>
      </c>
      <c r="R181" s="234" t="s">
        <v>127</v>
      </c>
      <c r="S181" s="795">
        <f>J161</f>
        <v>437.38656756789834</v>
      </c>
      <c r="T181" s="684"/>
      <c r="U181" s="30" t="s">
        <v>8</v>
      </c>
      <c r="V181" s="185"/>
    </row>
    <row r="182" spans="1:22" ht="18" hidden="1" customHeight="1">
      <c r="A182" s="184"/>
      <c r="B182" s="47" t="s">
        <v>659</v>
      </c>
      <c r="C182" s="14"/>
      <c r="D182" s="14"/>
      <c r="E182" s="14"/>
      <c r="F182" s="14"/>
      <c r="G182" s="14"/>
      <c r="H182" s="14"/>
      <c r="I182" s="120"/>
      <c r="J182" s="14"/>
      <c r="K182" s="14"/>
      <c r="M182" s="14"/>
      <c r="N182" s="14"/>
      <c r="P182" s="120" t="s">
        <v>660</v>
      </c>
      <c r="R182" s="234" t="s">
        <v>127</v>
      </c>
      <c r="S182" s="684">
        <f>S54</f>
        <v>1</v>
      </c>
      <c r="T182" s="684"/>
      <c r="U182" s="30" t="s">
        <v>8</v>
      </c>
      <c r="V182" s="185"/>
    </row>
    <row r="183" spans="1:22" ht="18" hidden="1" customHeight="1">
      <c r="A183" s="96"/>
      <c r="B183" s="14"/>
      <c r="C183" s="14"/>
      <c r="D183" s="235"/>
      <c r="E183" s="14"/>
      <c r="F183" s="28"/>
      <c r="G183" s="249"/>
      <c r="H183" s="28"/>
      <c r="I183" s="251"/>
      <c r="J183" s="14"/>
      <c r="K183" s="280"/>
      <c r="M183" s="47"/>
      <c r="N183" s="268"/>
      <c r="P183" s="281"/>
      <c r="R183" s="234"/>
      <c r="S183" s="1148"/>
      <c r="T183" s="723"/>
      <c r="V183" s="185"/>
    </row>
    <row r="184" spans="1:22" ht="18" hidden="1" customHeight="1">
      <c r="A184" s="272" t="s">
        <v>693</v>
      </c>
      <c r="B184" s="14"/>
      <c r="C184" s="14"/>
      <c r="D184" s="14"/>
      <c r="E184" s="14"/>
      <c r="F184" s="14"/>
      <c r="G184" s="14"/>
      <c r="H184" s="28">
        <v>3</v>
      </c>
      <c r="I184" s="47" t="s">
        <v>694</v>
      </c>
      <c r="J184" s="14"/>
      <c r="K184" s="14"/>
      <c r="M184" s="14" t="s">
        <v>337</v>
      </c>
      <c r="N184" s="14"/>
      <c r="P184" s="120"/>
      <c r="R184" s="234"/>
      <c r="S184" s="1149"/>
      <c r="T184" s="723"/>
      <c r="V184" s="185"/>
    </row>
    <row r="185" spans="1:22" ht="18" hidden="1" customHeight="1">
      <c r="A185" s="272"/>
      <c r="B185" s="14"/>
      <c r="C185" s="14"/>
      <c r="D185" s="14"/>
      <c r="E185" s="14"/>
      <c r="F185" s="14"/>
      <c r="G185" s="14"/>
      <c r="H185" s="28"/>
      <c r="I185" s="47"/>
      <c r="J185" s="14"/>
      <c r="K185" s="14"/>
      <c r="M185" s="14"/>
      <c r="N185" s="14"/>
      <c r="P185" s="120"/>
      <c r="R185" s="234"/>
      <c r="S185" s="282"/>
      <c r="V185" s="185"/>
    </row>
    <row r="186" spans="1:22" s="279" customFormat="1" ht="18" hidden="1" customHeight="1">
      <c r="A186" s="277"/>
      <c r="B186" s="689" t="s">
        <v>473</v>
      </c>
      <c r="C186" s="1150" t="s">
        <v>652</v>
      </c>
      <c r="G186" s="802">
        <f>H184</f>
        <v>3</v>
      </c>
      <c r="H186" s="1151" t="s">
        <v>315</v>
      </c>
      <c r="I186" s="829">
        <f>S180</f>
        <v>6998.1850810863734</v>
      </c>
      <c r="J186" s="1152"/>
      <c r="K186" s="1152"/>
      <c r="L186" s="1152"/>
      <c r="M186" s="1152"/>
      <c r="N186" s="689" t="s">
        <v>672</v>
      </c>
      <c r="O186" s="708">
        <f>S177</f>
        <v>2.7</v>
      </c>
      <c r="P186" s="689" t="s">
        <v>347</v>
      </c>
      <c r="Q186" s="829">
        <f>S178</f>
        <v>1.2667743100000002</v>
      </c>
      <c r="R186" s="708" t="s">
        <v>674</v>
      </c>
      <c r="S186" s="708">
        <f>S179</f>
        <v>1</v>
      </c>
      <c r="T186" s="14"/>
      <c r="U186" s="729" t="s">
        <v>653</v>
      </c>
      <c r="V186" s="185"/>
    </row>
    <row r="187" spans="1:22" s="279" customFormat="1" ht="18" hidden="1" customHeight="1">
      <c r="A187" s="277"/>
      <c r="B187" s="689"/>
      <c r="C187" s="689"/>
      <c r="G187" s="802"/>
      <c r="H187" s="684"/>
      <c r="I187" s="689">
        <v>1.3</v>
      </c>
      <c r="J187" s="684"/>
      <c r="K187" s="28" t="s">
        <v>315</v>
      </c>
      <c r="L187" s="689" t="str">
        <f>S176</f>
        <v>-</v>
      </c>
      <c r="M187" s="684"/>
      <c r="N187" s="689"/>
      <c r="O187" s="689"/>
      <c r="P187" s="689"/>
      <c r="Q187" s="689"/>
      <c r="R187" s="689"/>
      <c r="S187" s="689"/>
      <c r="T187" s="14"/>
      <c r="U187" s="689"/>
      <c r="V187" s="185"/>
    </row>
    <row r="188" spans="1:22" ht="18" hidden="1" customHeight="1">
      <c r="A188" s="96"/>
      <c r="B188" s="14"/>
      <c r="C188" s="27" t="s">
        <v>127</v>
      </c>
      <c r="D188" s="812" t="e">
        <f>G186*(I186/(I187*L187)*(O186+Q186)*S186)</f>
        <v>#VALUE!</v>
      </c>
      <c r="E188" s="813"/>
      <c r="F188" s="30" t="s">
        <v>305</v>
      </c>
      <c r="G188" s="14"/>
      <c r="H188" s="14"/>
      <c r="I188" s="14"/>
      <c r="J188" s="14"/>
      <c r="K188" s="14"/>
      <c r="L188" s="14"/>
      <c r="M188" s="14"/>
      <c r="N188" s="14"/>
      <c r="R188" s="234"/>
      <c r="S188" s="204"/>
      <c r="V188" s="185"/>
    </row>
    <row r="189" spans="1:22" ht="18" hidden="1" customHeight="1">
      <c r="A189" s="96"/>
      <c r="B189" s="14"/>
      <c r="G189" s="14"/>
      <c r="H189" s="14"/>
      <c r="I189" s="14"/>
      <c r="J189" s="14"/>
      <c r="K189" s="14"/>
      <c r="L189" s="14"/>
      <c r="M189" s="14"/>
      <c r="N189" s="14"/>
      <c r="R189" s="234"/>
      <c r="S189" s="204"/>
      <c r="V189" s="185"/>
    </row>
    <row r="190" spans="1:22" ht="18" hidden="1" customHeight="1">
      <c r="A190" s="96"/>
      <c r="B190" s="14"/>
      <c r="D190" s="30" t="s">
        <v>475</v>
      </c>
      <c r="G190" s="27" t="e">
        <f>IF(E191&gt;H191,"&gt;","&lt;")</f>
        <v>#VALUE!</v>
      </c>
      <c r="H190" s="30" t="s">
        <v>477</v>
      </c>
      <c r="M190" s="14"/>
      <c r="N190" s="14"/>
      <c r="R190" s="234"/>
      <c r="S190" s="204"/>
      <c r="V190" s="185"/>
    </row>
    <row r="191" spans="1:22" ht="18" hidden="1" customHeight="1">
      <c r="A191" s="96"/>
      <c r="B191" s="14"/>
      <c r="E191" s="684">
        <f>J137</f>
        <v>900</v>
      </c>
      <c r="F191" s="684"/>
      <c r="G191" s="27" t="e">
        <f>G190</f>
        <v>#VALUE!</v>
      </c>
      <c r="H191" s="795" t="e">
        <f>D188</f>
        <v>#VALUE!</v>
      </c>
      <c r="I191" s="684"/>
      <c r="M191" s="14"/>
      <c r="N191" s="14"/>
      <c r="R191" s="234"/>
      <c r="S191" s="204"/>
      <c r="V191" s="185"/>
    </row>
    <row r="192" spans="1:22" ht="18" hidden="1" customHeight="1">
      <c r="A192" s="96"/>
      <c r="B192" s="14"/>
      <c r="F192" s="244" t="s">
        <v>478</v>
      </c>
      <c r="H192" s="18" t="e">
        <f>IF(G190="&gt;","Suitably Dimentioned","Under Dimentioned")</f>
        <v>#VALUE!</v>
      </c>
      <c r="M192" s="14"/>
      <c r="N192" s="14"/>
      <c r="R192" s="234"/>
      <c r="S192" s="204"/>
      <c r="V192" s="185"/>
    </row>
    <row r="193" spans="1:22" ht="18" hidden="1" customHeight="1">
      <c r="A193" s="96"/>
      <c r="B193" s="14"/>
      <c r="G193" s="14"/>
      <c r="H193" s="14"/>
      <c r="I193" s="14"/>
      <c r="J193" s="14"/>
      <c r="K193" s="14"/>
      <c r="L193" s="14"/>
      <c r="M193" s="14"/>
      <c r="N193" s="14"/>
      <c r="R193" s="234"/>
      <c r="S193" s="204"/>
      <c r="V193" s="185"/>
    </row>
    <row r="194" spans="1:22" ht="18" hidden="1" customHeight="1">
      <c r="A194" s="193" t="s">
        <v>695</v>
      </c>
      <c r="B194" s="14"/>
      <c r="G194" s="14"/>
      <c r="H194" s="14"/>
      <c r="I194" s="14"/>
      <c r="J194" s="14"/>
      <c r="K194" s="14"/>
      <c r="L194" s="14"/>
      <c r="M194" s="14"/>
      <c r="N194" s="14"/>
      <c r="R194" s="234"/>
      <c r="S194" s="204"/>
      <c r="V194" s="185"/>
    </row>
    <row r="195" spans="1:22" ht="18" hidden="1" customHeight="1">
      <c r="A195" s="96"/>
      <c r="B195" s="14"/>
      <c r="D195" s="802" t="s">
        <v>696</v>
      </c>
      <c r="E195" s="716"/>
      <c r="F195" s="689" t="s">
        <v>127</v>
      </c>
      <c r="G195" s="708" t="s">
        <v>423</v>
      </c>
      <c r="H195" s="1147"/>
      <c r="I195" s="689" t="s">
        <v>315</v>
      </c>
      <c r="J195" s="708" t="s">
        <v>697</v>
      </c>
      <c r="K195" s="1147"/>
      <c r="L195" s="14"/>
      <c r="M195" s="14"/>
      <c r="N195" s="14"/>
      <c r="R195" s="234"/>
      <c r="S195" s="204"/>
      <c r="V195" s="185"/>
    </row>
    <row r="196" spans="1:22" ht="18" hidden="1" customHeight="1">
      <c r="A196" s="96"/>
      <c r="B196" s="14"/>
      <c r="D196" s="716"/>
      <c r="E196" s="716"/>
      <c r="F196" s="689"/>
      <c r="G196" s="689" t="s">
        <v>680</v>
      </c>
      <c r="H196" s="716"/>
      <c r="I196" s="689"/>
      <c r="J196" s="689" t="s">
        <v>411</v>
      </c>
      <c r="K196" s="716"/>
      <c r="L196" s="14"/>
      <c r="M196" s="14"/>
      <c r="N196" s="14"/>
      <c r="R196" s="234"/>
      <c r="S196" s="204"/>
      <c r="V196" s="185"/>
    </row>
    <row r="197" spans="1:22" ht="18" hidden="1" customHeight="1">
      <c r="A197" s="96"/>
      <c r="B197" s="14"/>
      <c r="G197" s="14"/>
      <c r="H197" s="14"/>
      <c r="I197" s="14"/>
      <c r="J197" s="14"/>
      <c r="K197" s="14"/>
      <c r="L197" s="14"/>
      <c r="M197" s="14"/>
      <c r="N197" s="14"/>
      <c r="R197" s="234"/>
      <c r="S197" s="204"/>
      <c r="V197" s="185"/>
    </row>
    <row r="198" spans="1:22" ht="18" hidden="1" customHeight="1">
      <c r="A198" s="96"/>
      <c r="B198" s="14"/>
      <c r="F198" s="689" t="s">
        <v>127</v>
      </c>
      <c r="G198" s="708" t="str">
        <f>S176</f>
        <v>-</v>
      </c>
      <c r="H198" s="1147"/>
      <c r="I198" s="689" t="s">
        <v>315</v>
      </c>
      <c r="J198" s="708">
        <f>S182</f>
        <v>1</v>
      </c>
      <c r="K198" s="1147"/>
      <c r="L198" s="14"/>
      <c r="M198" s="14"/>
      <c r="N198" s="14"/>
      <c r="R198" s="234"/>
      <c r="S198" s="204"/>
      <c r="V198" s="185"/>
    </row>
    <row r="199" spans="1:22" ht="18" hidden="1" customHeight="1">
      <c r="A199" s="96"/>
      <c r="B199" s="14"/>
      <c r="F199" s="689"/>
      <c r="G199" s="692">
        <f>J161</f>
        <v>437.38656756789834</v>
      </c>
      <c r="H199" s="716"/>
      <c r="I199" s="689"/>
      <c r="J199" s="689">
        <f>S179</f>
        <v>1</v>
      </c>
      <c r="K199" s="716"/>
      <c r="L199" s="14"/>
      <c r="M199" s="14"/>
      <c r="N199" s="14"/>
      <c r="R199" s="234"/>
      <c r="S199" s="204"/>
      <c r="V199" s="185"/>
    </row>
    <row r="200" spans="1:22" ht="18" hidden="1" customHeight="1">
      <c r="A200" s="96"/>
      <c r="B200" s="14"/>
      <c r="G200" s="14"/>
      <c r="H200" s="14"/>
      <c r="I200" s="14"/>
      <c r="J200" s="14"/>
      <c r="K200" s="14"/>
      <c r="L200" s="14"/>
      <c r="M200" s="14"/>
      <c r="N200" s="14"/>
      <c r="R200" s="234"/>
      <c r="S200" s="204"/>
      <c r="V200" s="185"/>
    </row>
    <row r="201" spans="1:22" ht="18" hidden="1" customHeight="1">
      <c r="A201" s="96"/>
      <c r="B201" s="14"/>
      <c r="F201" s="27" t="s">
        <v>127</v>
      </c>
      <c r="G201" s="716" t="e">
        <f>(G198/G199)*(J198/J199)</f>
        <v>#VALUE!</v>
      </c>
      <c r="H201" s="716"/>
      <c r="I201" s="14"/>
      <c r="J201" s="14"/>
      <c r="K201" s="14"/>
      <c r="L201" s="14"/>
      <c r="M201" s="14"/>
      <c r="N201" s="14"/>
      <c r="R201" s="234"/>
      <c r="S201" s="204"/>
      <c r="V201" s="185"/>
    </row>
    <row r="202" spans="1:22" ht="18" hidden="1" customHeight="1">
      <c r="A202" s="96"/>
      <c r="B202" s="14"/>
      <c r="G202" s="14"/>
      <c r="H202" s="14"/>
      <c r="I202" s="14"/>
      <c r="J202" s="14"/>
      <c r="K202" s="14"/>
      <c r="L202" s="14"/>
      <c r="M202" s="14"/>
      <c r="N202" s="14"/>
      <c r="R202" s="234"/>
      <c r="S202" s="204"/>
      <c r="V202" s="185"/>
    </row>
    <row r="203" spans="1:22" ht="18" hidden="1" customHeight="1">
      <c r="A203" s="96"/>
      <c r="B203" s="14"/>
      <c r="D203" s="283" t="s">
        <v>698</v>
      </c>
      <c r="E203" s="284" t="s">
        <v>699</v>
      </c>
      <c r="F203" s="689" t="s">
        <v>696</v>
      </c>
      <c r="G203" s="716"/>
      <c r="H203" s="716"/>
      <c r="I203" s="284" t="s">
        <v>699</v>
      </c>
      <c r="J203" s="28">
        <v>4</v>
      </c>
      <c r="L203" s="279"/>
      <c r="M203" s="120" t="s">
        <v>700</v>
      </c>
      <c r="N203" s="47" t="s">
        <v>701</v>
      </c>
      <c r="O203" s="279"/>
      <c r="P203" s="236"/>
      <c r="Q203" s="236"/>
      <c r="R203" s="234"/>
      <c r="S203" s="204"/>
      <c r="V203" s="185"/>
    </row>
    <row r="204" spans="1:22" ht="18" hidden="1" customHeight="1">
      <c r="A204" s="96"/>
      <c r="B204" s="14"/>
      <c r="D204" s="218">
        <v>0.25</v>
      </c>
      <c r="E204" s="284" t="e">
        <f>IF(D204&lt;=G201,"≤","&gt;")</f>
        <v>#VALUE!</v>
      </c>
      <c r="F204" s="688" t="e">
        <f>G201</f>
        <v>#VALUE!</v>
      </c>
      <c r="G204" s="1145"/>
      <c r="H204" s="688"/>
      <c r="I204" s="284" t="e">
        <f>IF(G201&lt;=J203,"≤","&gt;")</f>
        <v>#VALUE!</v>
      </c>
      <c r="J204" s="28">
        <f>J203</f>
        <v>4</v>
      </c>
      <c r="L204" s="279"/>
      <c r="M204" s="120"/>
      <c r="N204" s="213"/>
      <c r="O204" s="279"/>
      <c r="P204" s="236"/>
      <c r="Q204" s="236"/>
      <c r="R204" s="234"/>
      <c r="S204" s="204"/>
      <c r="V204" s="185"/>
    </row>
    <row r="205" spans="1:22" ht="18" hidden="1" customHeight="1">
      <c r="A205" s="96"/>
      <c r="B205" s="14"/>
      <c r="G205" s="14"/>
      <c r="H205" s="14"/>
      <c r="I205" s="14"/>
      <c r="J205" s="14"/>
      <c r="K205" s="14"/>
      <c r="L205" s="14"/>
      <c r="M205" s="14"/>
      <c r="N205" s="14"/>
      <c r="R205" s="234"/>
      <c r="S205" s="204"/>
      <c r="V205" s="185"/>
    </row>
    <row r="206" spans="1:22" ht="18" hidden="1" customHeight="1">
      <c r="A206" s="96"/>
      <c r="B206" s="14" t="s">
        <v>702</v>
      </c>
      <c r="G206" s="14"/>
      <c r="H206" s="18" t="e">
        <f>IF(AND(E204="≤",I204="≤")=TRUE,"OK","Not OK")</f>
        <v>#VALUE!</v>
      </c>
      <c r="I206" s="14"/>
      <c r="J206" s="14"/>
      <c r="K206" s="14"/>
      <c r="L206" s="14"/>
      <c r="M206" s="14"/>
      <c r="N206" s="14"/>
      <c r="R206" s="234"/>
      <c r="S206" s="204"/>
      <c r="V206" s="185"/>
    </row>
    <row r="207" spans="1:22" ht="18" hidden="1" customHeight="1">
      <c r="A207" s="96"/>
      <c r="B207" s="14"/>
      <c r="G207" s="14"/>
      <c r="H207" s="18"/>
      <c r="I207" s="14"/>
      <c r="J207" s="14"/>
      <c r="K207" s="14"/>
      <c r="L207" s="14"/>
      <c r="M207" s="14"/>
      <c r="N207" s="14"/>
      <c r="R207" s="234"/>
      <c r="S207" s="204"/>
      <c r="V207" s="185"/>
    </row>
    <row r="208" spans="1:22" ht="18" hidden="1" customHeight="1">
      <c r="A208" s="96"/>
      <c r="B208" s="14"/>
      <c r="G208" s="14"/>
      <c r="H208" s="18"/>
      <c r="I208" s="14"/>
      <c r="J208" s="14"/>
      <c r="K208" s="14"/>
      <c r="L208" s="14"/>
      <c r="M208" s="14"/>
      <c r="N208" s="14"/>
      <c r="R208" s="234"/>
      <c r="S208" s="204"/>
      <c r="V208" s="185"/>
    </row>
    <row r="209" spans="1:22" ht="18" hidden="1" customHeight="1">
      <c r="A209" s="96"/>
      <c r="B209" s="14"/>
      <c r="G209" s="14"/>
      <c r="H209" s="18"/>
      <c r="I209" s="14"/>
      <c r="J209" s="14"/>
      <c r="K209" s="14"/>
      <c r="L209" s="14"/>
      <c r="M209" s="14"/>
      <c r="N209" s="14"/>
      <c r="R209" s="234"/>
      <c r="S209" s="204"/>
      <c r="V209" s="185"/>
    </row>
    <row r="210" spans="1:22" ht="18" hidden="1" customHeight="1">
      <c r="A210" s="96"/>
      <c r="B210" s="14"/>
      <c r="G210" s="14"/>
      <c r="H210" s="18"/>
      <c r="I210" s="14"/>
      <c r="J210" s="14"/>
      <c r="K210" s="14"/>
      <c r="L210" s="14"/>
      <c r="M210" s="14"/>
      <c r="N210" s="14"/>
      <c r="R210" s="234"/>
      <c r="S210" s="204"/>
      <c r="V210" s="185"/>
    </row>
    <row r="211" spans="1:22" ht="18" hidden="1" customHeight="1">
      <c r="A211" s="96"/>
      <c r="B211" s="14"/>
      <c r="G211" s="14"/>
      <c r="H211" s="18"/>
      <c r="I211" s="14"/>
      <c r="J211" s="14"/>
      <c r="K211" s="14"/>
      <c r="L211" s="14"/>
      <c r="M211" s="14"/>
      <c r="N211" s="14"/>
      <c r="R211" s="234"/>
      <c r="S211" s="204"/>
      <c r="V211" s="185"/>
    </row>
    <row r="212" spans="1:22" ht="18" hidden="1" customHeight="1">
      <c r="A212" s="96"/>
      <c r="B212" s="14"/>
      <c r="G212" s="14"/>
      <c r="H212" s="18"/>
      <c r="I212" s="14"/>
      <c r="J212" s="14"/>
      <c r="K212" s="14"/>
      <c r="L212" s="14"/>
      <c r="M212" s="14"/>
      <c r="N212" s="14"/>
      <c r="R212" s="234"/>
      <c r="S212" s="204"/>
      <c r="V212" s="185"/>
    </row>
    <row r="213" spans="1:22" ht="18" hidden="1" customHeight="1">
      <c r="A213" s="96"/>
      <c r="B213" s="14"/>
      <c r="G213" s="14"/>
      <c r="H213" s="18"/>
      <c r="I213" s="14"/>
      <c r="J213" s="14"/>
      <c r="K213" s="14"/>
      <c r="L213" s="14"/>
      <c r="M213" s="14"/>
      <c r="N213" s="14"/>
      <c r="R213" s="234"/>
      <c r="S213" s="204"/>
      <c r="V213" s="185"/>
    </row>
    <row r="214" spans="1:22" ht="18" hidden="1" customHeight="1">
      <c r="A214" s="96"/>
      <c r="B214" s="14"/>
      <c r="G214" s="14"/>
      <c r="H214" s="18"/>
      <c r="I214" s="14"/>
      <c r="J214" s="14"/>
      <c r="K214" s="14"/>
      <c r="L214" s="14"/>
      <c r="M214" s="14"/>
      <c r="N214" s="14"/>
      <c r="R214" s="234"/>
      <c r="S214" s="204"/>
      <c r="V214" s="185"/>
    </row>
    <row r="215" spans="1:22" ht="18" hidden="1" customHeight="1">
      <c r="A215" s="96"/>
      <c r="B215" s="14"/>
      <c r="G215" s="14"/>
      <c r="H215" s="18"/>
      <c r="I215" s="14"/>
      <c r="J215" s="14"/>
      <c r="K215" s="14"/>
      <c r="L215" s="14"/>
      <c r="M215" s="14"/>
      <c r="N215" s="14"/>
      <c r="R215" s="234"/>
      <c r="S215" s="204"/>
      <c r="V215" s="185"/>
    </row>
    <row r="216" spans="1:22" ht="18" hidden="1" customHeight="1">
      <c r="A216" s="96"/>
      <c r="B216" s="14"/>
      <c r="G216" s="14"/>
      <c r="H216" s="18"/>
      <c r="I216" s="14"/>
      <c r="J216" s="14"/>
      <c r="K216" s="14"/>
      <c r="L216" s="14"/>
      <c r="M216" s="14"/>
      <c r="N216" s="14"/>
      <c r="R216" s="234"/>
      <c r="S216" s="204"/>
      <c r="V216" s="185"/>
    </row>
    <row r="217" spans="1:22" ht="18" hidden="1" customHeight="1">
      <c r="A217" s="96"/>
      <c r="B217" s="14"/>
      <c r="G217" s="14"/>
      <c r="H217" s="18"/>
      <c r="I217" s="14"/>
      <c r="J217" s="14"/>
      <c r="K217" s="14"/>
      <c r="L217" s="14"/>
      <c r="M217" s="14"/>
      <c r="N217" s="14"/>
      <c r="R217" s="234"/>
      <c r="S217" s="204"/>
      <c r="V217" s="185"/>
    </row>
    <row r="218" spans="1:22" ht="18" hidden="1" customHeight="1">
      <c r="A218" s="96"/>
      <c r="B218" s="14"/>
      <c r="G218" s="14"/>
      <c r="H218" s="18"/>
      <c r="I218" s="14"/>
      <c r="J218" s="14"/>
      <c r="K218" s="14"/>
      <c r="L218" s="14"/>
      <c r="M218" s="14"/>
      <c r="N218" s="14"/>
      <c r="R218" s="234"/>
      <c r="S218" s="204"/>
      <c r="V218" s="185"/>
    </row>
    <row r="219" spans="1:22" ht="18" hidden="1" customHeight="1">
      <c r="A219" s="96"/>
      <c r="B219" s="14"/>
      <c r="G219" s="14"/>
      <c r="H219" s="18"/>
      <c r="I219" s="14"/>
      <c r="J219" s="14"/>
      <c r="K219" s="14"/>
      <c r="L219" s="14"/>
      <c r="M219" s="14"/>
      <c r="N219" s="14"/>
      <c r="R219" s="234"/>
      <c r="S219" s="204"/>
      <c r="V219" s="185"/>
    </row>
    <row r="220" spans="1:22" ht="18" hidden="1" customHeight="1">
      <c r="A220" s="96"/>
      <c r="B220" s="14"/>
      <c r="G220" s="14"/>
      <c r="H220" s="18"/>
      <c r="I220" s="14"/>
      <c r="J220" s="14"/>
      <c r="K220" s="14"/>
      <c r="L220" s="14"/>
      <c r="M220" s="14"/>
      <c r="N220" s="14"/>
      <c r="R220" s="234"/>
      <c r="S220" s="204"/>
      <c r="V220" s="185"/>
    </row>
    <row r="221" spans="1:22" ht="18" hidden="1" customHeight="1">
      <c r="A221" s="96"/>
      <c r="B221" s="14"/>
      <c r="G221" s="14"/>
      <c r="H221" s="18"/>
      <c r="I221" s="14"/>
      <c r="J221" s="14"/>
      <c r="K221" s="14"/>
      <c r="L221" s="14"/>
      <c r="M221" s="14"/>
      <c r="N221" s="14"/>
      <c r="R221" s="234"/>
      <c r="S221" s="204"/>
      <c r="V221" s="185"/>
    </row>
    <row r="222" spans="1:22" ht="18" hidden="1" customHeight="1">
      <c r="A222" s="96"/>
      <c r="B222" s="14"/>
      <c r="G222" s="14"/>
      <c r="H222" s="14"/>
      <c r="I222" s="14"/>
      <c r="J222" s="14"/>
      <c r="K222" s="14"/>
      <c r="L222" s="14"/>
      <c r="M222" s="14"/>
      <c r="N222" s="14"/>
      <c r="R222" s="234"/>
      <c r="S222" s="204"/>
      <c r="V222" s="185"/>
    </row>
    <row r="223" spans="1:22" s="14" customFormat="1" ht="18" hidden="1" customHeight="1">
      <c r="A223" s="194"/>
      <c r="B223" s="195"/>
      <c r="C223" s="195"/>
      <c r="D223" s="195"/>
      <c r="E223" s="195"/>
      <c r="F223" s="195"/>
      <c r="G223" s="195"/>
      <c r="H223" s="195"/>
      <c r="I223" s="195"/>
      <c r="J223" s="195"/>
      <c r="K223" s="195"/>
      <c r="L223" s="195"/>
      <c r="M223" s="195"/>
      <c r="N223" s="195"/>
      <c r="O223" s="195"/>
      <c r="P223" s="195"/>
      <c r="Q223" s="224"/>
      <c r="R223" s="182"/>
      <c r="S223" s="225"/>
      <c r="T223" s="195"/>
      <c r="U223" s="195"/>
      <c r="V223" s="134"/>
    </row>
    <row r="224" spans="1:22" ht="18" hidden="1" customHeight="1">
      <c r="A224" s="226"/>
      <c r="B224" s="227"/>
      <c r="C224" s="227"/>
      <c r="D224" s="227"/>
      <c r="E224" s="227"/>
      <c r="F224" s="227"/>
      <c r="G224" s="227"/>
      <c r="H224" s="227"/>
      <c r="I224" s="227"/>
      <c r="J224" s="227"/>
      <c r="K224" s="227"/>
      <c r="L224" s="227"/>
      <c r="M224" s="227"/>
      <c r="N224" s="227"/>
      <c r="O224" s="227"/>
      <c r="P224" s="227"/>
      <c r="Q224" s="227"/>
      <c r="R224" s="227"/>
      <c r="S224" s="227"/>
      <c r="T224" s="227"/>
      <c r="U224" s="227"/>
      <c r="V224" s="228"/>
    </row>
    <row r="225" spans="1:29" ht="18" hidden="1" customHeight="1">
      <c r="A225" s="184"/>
      <c r="B225" s="854" t="str">
        <f>B131</f>
        <v>T1</v>
      </c>
      <c r="C225" s="831"/>
      <c r="D225" s="855" t="str">
        <f>D131</f>
        <v>Core2</v>
      </c>
      <c r="E225" s="856"/>
      <c r="F225" s="186" t="s">
        <v>631</v>
      </c>
      <c r="H225" s="684" t="str">
        <f>H131</f>
        <v>(Transformer Differential)</v>
      </c>
      <c r="I225" s="684"/>
      <c r="J225" s="684"/>
      <c r="K225" s="684"/>
      <c r="L225" s="684"/>
      <c r="M225" s="684"/>
      <c r="P225" s="186"/>
      <c r="S225" s="187" t="s">
        <v>387</v>
      </c>
      <c r="T225" s="1154" t="str">
        <f>T131</f>
        <v>7UT85</v>
      </c>
      <c r="U225" s="1155"/>
      <c r="V225" s="185"/>
    </row>
    <row r="226" spans="1:29" ht="18" hidden="1" customHeight="1">
      <c r="A226" s="184"/>
      <c r="B226" s="853">
        <f>B132</f>
        <v>0</v>
      </c>
      <c r="C226" s="853"/>
      <c r="D226" s="857"/>
      <c r="E226" s="858"/>
      <c r="F226" s="287"/>
      <c r="T226" s="1154">
        <f>T132</f>
        <v>0</v>
      </c>
      <c r="U226" s="1155"/>
      <c r="V226" s="185"/>
    </row>
    <row r="227" spans="1:29" ht="18" hidden="1" customHeight="1">
      <c r="A227" s="184"/>
      <c r="H227" s="708" t="s">
        <v>390</v>
      </c>
      <c r="I227" s="708"/>
      <c r="J227" s="708" t="s">
        <v>391</v>
      </c>
      <c r="K227" s="708"/>
      <c r="L227" s="789" t="s">
        <v>392</v>
      </c>
      <c r="M227" s="789"/>
      <c r="T227" s="1154">
        <f>T133</f>
        <v>0</v>
      </c>
      <c r="U227" s="1155"/>
      <c r="V227" s="185"/>
    </row>
    <row r="228" spans="1:29" ht="18" hidden="1" customHeight="1">
      <c r="A228" s="184"/>
      <c r="B228" s="47" t="s">
        <v>393</v>
      </c>
      <c r="H228" s="854">
        <f>H134</f>
        <v>2500</v>
      </c>
      <c r="I228" s="831"/>
      <c r="J228" s="854" t="str">
        <f>J134</f>
        <v>-</v>
      </c>
      <c r="K228" s="831"/>
      <c r="L228" s="863" t="str">
        <f>L134</f>
        <v>-</v>
      </c>
      <c r="M228" s="864"/>
      <c r="N228" s="102" t="s">
        <v>342</v>
      </c>
      <c r="O228" s="256">
        <f>O134</f>
        <v>1</v>
      </c>
      <c r="P228" s="27" t="s">
        <v>8</v>
      </c>
      <c r="V228" s="185"/>
    </row>
    <row r="229" spans="1:29" ht="18" hidden="1" customHeight="1">
      <c r="A229" s="184"/>
      <c r="B229" s="47" t="s">
        <v>394</v>
      </c>
      <c r="H229" s="14"/>
      <c r="I229" s="14"/>
      <c r="L229" s="854" t="str">
        <f>J135</f>
        <v>PX</v>
      </c>
      <c r="M229" s="776"/>
      <c r="V229" s="185"/>
    </row>
    <row r="230" spans="1:29" ht="18" hidden="1" customHeight="1">
      <c r="A230" s="184"/>
      <c r="B230" s="47" t="s">
        <v>396</v>
      </c>
      <c r="K230" s="120" t="s">
        <v>497</v>
      </c>
      <c r="L230" s="781">
        <v>3</v>
      </c>
      <c r="M230" s="782"/>
      <c r="N230" s="192" t="s">
        <v>333</v>
      </c>
      <c r="V230" s="185"/>
    </row>
    <row r="231" spans="1:29" ht="18" hidden="1" customHeight="1">
      <c r="A231" s="184"/>
      <c r="B231" s="47" t="s">
        <v>398</v>
      </c>
      <c r="K231" s="120" t="s">
        <v>498</v>
      </c>
      <c r="L231" s="781">
        <v>200</v>
      </c>
      <c r="M231" s="782"/>
      <c r="N231" s="14" t="s">
        <v>305</v>
      </c>
      <c r="V231" s="185"/>
      <c r="W231" s="30" t="s">
        <v>400</v>
      </c>
      <c r="AB231" s="785" t="e">
        <f>D286</f>
        <v>#VALUE!</v>
      </c>
      <c r="AC231" s="786"/>
    </row>
    <row r="232" spans="1:29" ht="18" hidden="1" customHeight="1">
      <c r="A232" s="184"/>
      <c r="B232" s="14" t="s">
        <v>401</v>
      </c>
      <c r="K232" s="120" t="s">
        <v>402</v>
      </c>
      <c r="L232" s="781">
        <v>50</v>
      </c>
      <c r="M232" s="782"/>
      <c r="N232" s="30" t="s">
        <v>403</v>
      </c>
      <c r="V232" s="185"/>
    </row>
    <row r="233" spans="1:29" ht="18" hidden="1" customHeight="1">
      <c r="A233" s="96"/>
      <c r="V233" s="185"/>
    </row>
    <row r="234" spans="1:29" ht="18" hidden="1" customHeight="1">
      <c r="A234" s="193" t="s">
        <v>404</v>
      </c>
      <c r="V234" s="185"/>
    </row>
    <row r="235" spans="1:29" ht="18" hidden="1" customHeight="1">
      <c r="A235" s="184"/>
      <c r="V235" s="185"/>
    </row>
    <row r="236" spans="1:29" ht="18" hidden="1" customHeight="1">
      <c r="A236" s="184"/>
      <c r="B236" s="194" t="s">
        <v>405</v>
      </c>
      <c r="C236" s="195"/>
      <c r="D236" s="195" t="str">
        <f>T225</f>
        <v>7UT85</v>
      </c>
      <c r="E236" s="196"/>
      <c r="F236" s="196"/>
      <c r="G236" s="196"/>
      <c r="H236" s="182" t="s">
        <v>406</v>
      </c>
      <c r="I236" s="183" t="s">
        <v>127</v>
      </c>
      <c r="J236" s="766">
        <f>J142</f>
        <v>0.1</v>
      </c>
      <c r="K236" s="958"/>
      <c r="L236" s="3" t="s">
        <v>157</v>
      </c>
      <c r="V236" s="185"/>
    </row>
    <row r="237" spans="1:29" ht="18" hidden="1" customHeight="1">
      <c r="A237" s="184"/>
      <c r="B237" s="184" t="s">
        <v>405</v>
      </c>
      <c r="D237" s="30">
        <f>T226</f>
        <v>0</v>
      </c>
      <c r="H237" s="27"/>
      <c r="I237" s="177" t="s">
        <v>127</v>
      </c>
      <c r="J237" s="861">
        <f>J143</f>
        <v>0</v>
      </c>
      <c r="K237" s="989"/>
      <c r="L237" s="198" t="s">
        <v>157</v>
      </c>
      <c r="V237" s="185"/>
    </row>
    <row r="238" spans="1:29" ht="18" hidden="1" customHeight="1">
      <c r="A238" s="184"/>
      <c r="B238" s="184" t="s">
        <v>405</v>
      </c>
      <c r="D238" s="30">
        <f>T227</f>
        <v>0</v>
      </c>
      <c r="E238" s="14"/>
      <c r="G238" s="199"/>
      <c r="H238" s="27"/>
      <c r="I238" s="177" t="s">
        <v>127</v>
      </c>
      <c r="J238" s="696">
        <f>J144</f>
        <v>0</v>
      </c>
      <c r="K238" s="820"/>
      <c r="L238" s="202" t="s">
        <v>157</v>
      </c>
      <c r="V238" s="185"/>
    </row>
    <row r="239" spans="1:29" ht="18" hidden="1" customHeight="1">
      <c r="A239" s="184"/>
      <c r="B239" s="184" t="s">
        <v>412</v>
      </c>
      <c r="H239" s="27" t="s">
        <v>599</v>
      </c>
      <c r="I239" s="177" t="s">
        <v>127</v>
      </c>
      <c r="J239" s="861">
        <f>J145</f>
        <v>1.1667743100000001</v>
      </c>
      <c r="K239" s="989"/>
      <c r="L239" s="203" t="s">
        <v>157</v>
      </c>
      <c r="V239" s="185"/>
    </row>
    <row r="240" spans="1:29" ht="18" hidden="1" customHeight="1">
      <c r="A240" s="184"/>
      <c r="B240" s="205" t="s">
        <v>413</v>
      </c>
      <c r="C240" s="206"/>
      <c r="D240" s="206"/>
      <c r="E240" s="206"/>
      <c r="F240" s="207"/>
      <c r="G240" s="207"/>
      <c r="H240" s="190" t="s">
        <v>409</v>
      </c>
      <c r="I240" s="208" t="s">
        <v>127</v>
      </c>
      <c r="J240" s="766">
        <f>J237+J239</f>
        <v>1.1667743100000001</v>
      </c>
      <c r="K240" s="958"/>
      <c r="L240" s="210" t="s">
        <v>157</v>
      </c>
      <c r="V240" s="185"/>
    </row>
    <row r="241" spans="1:22" ht="18" hidden="1" customHeight="1">
      <c r="A241" s="184"/>
      <c r="B241" s="47"/>
      <c r="C241" s="47"/>
      <c r="D241" s="47"/>
      <c r="E241" s="47"/>
      <c r="H241" s="27"/>
      <c r="I241" s="28"/>
      <c r="J241" s="199"/>
      <c r="L241" s="47"/>
      <c r="O241" s="27"/>
      <c r="P241" s="211"/>
      <c r="Q241" s="211"/>
      <c r="R241" s="192"/>
      <c r="V241" s="185"/>
    </row>
    <row r="242" spans="1:22" ht="18" hidden="1" customHeight="1">
      <c r="A242" s="184"/>
      <c r="B242" s="197" t="s">
        <v>648</v>
      </c>
      <c r="L242" s="47"/>
      <c r="M242" s="197" t="s">
        <v>407</v>
      </c>
      <c r="V242" s="185"/>
    </row>
    <row r="243" spans="1:22" ht="18" hidden="1" customHeight="1">
      <c r="A243" s="184"/>
      <c r="B243" s="27" t="s">
        <v>649</v>
      </c>
      <c r="C243" s="27" t="s">
        <v>127</v>
      </c>
      <c r="D243" s="30" t="s">
        <v>406</v>
      </c>
      <c r="E243" s="271" t="s">
        <v>410</v>
      </c>
      <c r="F243" s="27" t="s">
        <v>146</v>
      </c>
      <c r="G243" s="28" t="s">
        <v>315</v>
      </c>
      <c r="H243" s="218" t="s">
        <v>146</v>
      </c>
      <c r="I243" s="30" t="s">
        <v>350</v>
      </c>
      <c r="J243" s="199"/>
      <c r="L243" s="47"/>
      <c r="M243" s="30" t="s">
        <v>408</v>
      </c>
      <c r="N243" s="27" t="s">
        <v>127</v>
      </c>
      <c r="O243" s="30" t="s">
        <v>409</v>
      </c>
      <c r="P243" s="191" t="s">
        <v>410</v>
      </c>
      <c r="Q243" s="244" t="s">
        <v>411</v>
      </c>
      <c r="R243" s="27" t="s">
        <v>315</v>
      </c>
      <c r="S243" s="30" t="s">
        <v>411</v>
      </c>
      <c r="T243" s="30" t="s">
        <v>350</v>
      </c>
      <c r="V243" s="185"/>
    </row>
    <row r="244" spans="1:22" ht="18" hidden="1" customHeight="1">
      <c r="A244" s="184"/>
      <c r="B244" s="47"/>
      <c r="C244" s="27" t="s">
        <v>127</v>
      </c>
      <c r="D244" s="204">
        <f>J236</f>
        <v>0.1</v>
      </c>
      <c r="E244" s="191" t="s">
        <v>410</v>
      </c>
      <c r="F244" s="27">
        <f>F150</f>
        <v>1</v>
      </c>
      <c r="G244" s="27" t="s">
        <v>315</v>
      </c>
      <c r="H244" s="27">
        <f>H150</f>
        <v>1</v>
      </c>
      <c r="I244" s="30" t="s">
        <v>350</v>
      </c>
      <c r="J244" s="199"/>
      <c r="L244" s="47"/>
      <c r="N244" s="27" t="s">
        <v>127</v>
      </c>
      <c r="O244" s="204">
        <f>J240</f>
        <v>1.1667743100000001</v>
      </c>
      <c r="P244" s="191" t="s">
        <v>410</v>
      </c>
      <c r="Q244" s="27">
        <f>O228</f>
        <v>1</v>
      </c>
      <c r="R244" s="27" t="s">
        <v>315</v>
      </c>
      <c r="S244" s="27">
        <f>O228</f>
        <v>1</v>
      </c>
      <c r="T244" s="30" t="s">
        <v>350</v>
      </c>
      <c r="V244" s="185"/>
    </row>
    <row r="245" spans="1:22" ht="18" hidden="1" customHeight="1">
      <c r="A245" s="184"/>
      <c r="B245" s="47"/>
      <c r="C245" s="27" t="s">
        <v>127</v>
      </c>
      <c r="D245" s="795">
        <f>D244/(F244*H244)</f>
        <v>0.1</v>
      </c>
      <c r="E245" s="795"/>
      <c r="F245" s="192" t="s">
        <v>333</v>
      </c>
      <c r="J245" s="199"/>
      <c r="L245" s="47"/>
      <c r="N245" s="27" t="s">
        <v>127</v>
      </c>
      <c r="O245" s="795">
        <f>O244/(Q244*S244)</f>
        <v>1.1667743100000001</v>
      </c>
      <c r="P245" s="795"/>
      <c r="Q245" s="192" t="s">
        <v>333</v>
      </c>
      <c r="V245" s="185"/>
    </row>
    <row r="246" spans="1:22" ht="18" hidden="1" customHeight="1">
      <c r="A246" s="184"/>
      <c r="B246" s="47"/>
      <c r="C246" s="47"/>
      <c r="D246" s="47"/>
      <c r="E246" s="47"/>
      <c r="H246" s="27"/>
      <c r="I246" s="28"/>
      <c r="J246" s="199"/>
      <c r="L246" s="47"/>
      <c r="O246" s="27"/>
      <c r="P246" s="211"/>
      <c r="Q246" s="211"/>
      <c r="R246" s="192"/>
      <c r="V246" s="185"/>
    </row>
    <row r="247" spans="1:22" ht="18" hidden="1" customHeight="1">
      <c r="A247" s="184"/>
      <c r="B247" s="47" t="s">
        <v>668</v>
      </c>
      <c r="C247" s="47"/>
      <c r="D247" s="47"/>
      <c r="E247" s="47"/>
      <c r="H247" s="27"/>
      <c r="I247" s="28"/>
      <c r="J247" s="199"/>
      <c r="L247" s="28" t="s">
        <v>127</v>
      </c>
      <c r="M247" s="795">
        <f>D245</f>
        <v>0.1</v>
      </c>
      <c r="N247" s="795"/>
      <c r="O247" s="27" t="s">
        <v>347</v>
      </c>
      <c r="P247" s="795">
        <f>O245</f>
        <v>1.1667743100000001</v>
      </c>
      <c r="Q247" s="795"/>
      <c r="R247" s="211" t="s">
        <v>127</v>
      </c>
      <c r="S247" s="795">
        <f>M247+P247</f>
        <v>1.2667743100000002</v>
      </c>
      <c r="T247" s="795"/>
      <c r="U247" s="192" t="s">
        <v>333</v>
      </c>
      <c r="V247" s="185"/>
    </row>
    <row r="248" spans="1:22" s="14" customFormat="1" ht="18" hidden="1" customHeight="1">
      <c r="A248" s="193" t="s">
        <v>600</v>
      </c>
      <c r="B248" s="5"/>
      <c r="C248" s="5"/>
      <c r="D248" s="5"/>
      <c r="E248" s="5"/>
      <c r="F248" s="5"/>
      <c r="G248" s="5"/>
      <c r="H248" s="212"/>
      <c r="I248" s="212"/>
      <c r="J248" s="5"/>
      <c r="K248" s="5"/>
      <c r="L248" s="5"/>
      <c r="M248" s="5"/>
      <c r="N248" s="5"/>
      <c r="O248" s="5"/>
      <c r="P248" s="103"/>
      <c r="Q248" s="212"/>
      <c r="R248" s="213"/>
      <c r="S248" s="214"/>
      <c r="T248" s="18"/>
      <c r="U248" s="18"/>
      <c r="V248" s="97"/>
    </row>
    <row r="249" spans="1:22" s="14" customFormat="1" ht="18" hidden="1" customHeight="1">
      <c r="A249" s="96"/>
      <c r="B249" s="47" t="s">
        <v>601</v>
      </c>
      <c r="C249" s="5"/>
      <c r="D249" s="5"/>
      <c r="E249" s="5"/>
      <c r="I249" s="215"/>
      <c r="M249" s="5"/>
      <c r="N249" s="103" t="s">
        <v>127</v>
      </c>
      <c r="O249" s="1154">
        <f>O155</f>
        <v>100</v>
      </c>
      <c r="P249" s="831"/>
      <c r="Q249" s="14" t="s">
        <v>602</v>
      </c>
      <c r="S249" s="214"/>
      <c r="T249" s="18"/>
      <c r="U249" s="18"/>
      <c r="V249" s="97"/>
    </row>
    <row r="250" spans="1:22" s="14" customFormat="1" ht="18" hidden="1" customHeight="1">
      <c r="A250" s="96"/>
      <c r="B250" s="47" t="s">
        <v>603</v>
      </c>
      <c r="C250" s="5"/>
      <c r="D250" s="5"/>
      <c r="E250" s="5"/>
      <c r="I250" s="215"/>
      <c r="M250" s="5"/>
      <c r="N250" s="103" t="s">
        <v>127</v>
      </c>
      <c r="O250" s="1154">
        <f>O156</f>
        <v>25</v>
      </c>
      <c r="P250" s="831"/>
      <c r="Q250" s="14" t="s">
        <v>604</v>
      </c>
      <c r="S250" s="214"/>
      <c r="T250" s="18"/>
      <c r="U250" s="18"/>
      <c r="V250" s="97"/>
    </row>
    <row r="251" spans="1:22" s="14" customFormat="1" ht="18" hidden="1" customHeight="1">
      <c r="A251" s="96"/>
      <c r="B251" s="47" t="s">
        <v>605</v>
      </c>
      <c r="C251" s="5"/>
      <c r="D251" s="5"/>
      <c r="E251" s="5"/>
      <c r="M251" s="120" t="s">
        <v>606</v>
      </c>
      <c r="N251" s="103" t="s">
        <v>607</v>
      </c>
      <c r="O251" s="1154">
        <f>O157</f>
        <v>132</v>
      </c>
      <c r="P251" s="831"/>
      <c r="Q251" s="14" t="s">
        <v>163</v>
      </c>
      <c r="S251" s="214"/>
      <c r="T251" s="18"/>
      <c r="U251" s="18"/>
      <c r="V251" s="97"/>
    </row>
    <row r="252" spans="1:22" s="14" customFormat="1" ht="18" hidden="1" customHeight="1">
      <c r="A252" s="216"/>
      <c r="B252" s="212"/>
      <c r="C252" s="212"/>
      <c r="D252" s="212"/>
      <c r="E252" s="212"/>
      <c r="T252" s="18"/>
      <c r="U252" s="18"/>
      <c r="V252" s="97"/>
    </row>
    <row r="253" spans="1:22" s="14" customFormat="1" ht="18" hidden="1" customHeight="1">
      <c r="A253" s="272" t="s">
        <v>608</v>
      </c>
      <c r="B253" s="213"/>
      <c r="C253" s="213"/>
      <c r="D253" s="213"/>
      <c r="E253" s="213"/>
      <c r="H253" s="120" t="s">
        <v>609</v>
      </c>
      <c r="I253" s="28" t="s">
        <v>127</v>
      </c>
      <c r="J253" s="689" t="s">
        <v>610</v>
      </c>
      <c r="K253" s="689"/>
      <c r="L253" s="28" t="s">
        <v>315</v>
      </c>
      <c r="M253" s="217">
        <v>1000</v>
      </c>
      <c r="N253" s="102" t="s">
        <v>342</v>
      </c>
      <c r="O253" s="28" t="s">
        <v>611</v>
      </c>
      <c r="P253" s="28" t="s">
        <v>315</v>
      </c>
      <c r="Q253" s="28" t="s">
        <v>606</v>
      </c>
      <c r="R253" s="47" t="s">
        <v>350</v>
      </c>
      <c r="T253" s="18"/>
      <c r="U253" s="18"/>
      <c r="V253" s="97"/>
    </row>
    <row r="254" spans="1:22" s="14" customFormat="1" ht="18" hidden="1" customHeight="1">
      <c r="A254" s="216"/>
      <c r="B254" s="213"/>
      <c r="C254" s="213"/>
      <c r="D254" s="213"/>
      <c r="E254" s="213"/>
      <c r="F254" s="212"/>
      <c r="G254" s="212"/>
      <c r="H254" s="28"/>
      <c r="I254" s="28" t="s">
        <v>127</v>
      </c>
      <c r="J254" s="689">
        <f>O249</f>
        <v>100</v>
      </c>
      <c r="K254" s="689"/>
      <c r="L254" s="28" t="s">
        <v>315</v>
      </c>
      <c r="M254" s="217">
        <v>1000</v>
      </c>
      <c r="N254" s="102" t="s">
        <v>342</v>
      </c>
      <c r="O254" s="28" t="s">
        <v>611</v>
      </c>
      <c r="P254" s="28" t="s">
        <v>315</v>
      </c>
      <c r="Q254" s="28">
        <f>O251</f>
        <v>132</v>
      </c>
      <c r="R254" s="47" t="s">
        <v>350</v>
      </c>
      <c r="T254" s="18"/>
      <c r="U254" s="18"/>
      <c r="V254" s="97"/>
    </row>
    <row r="255" spans="1:22" s="14" customFormat="1" ht="18" hidden="1" customHeight="1">
      <c r="A255" s="216"/>
      <c r="B255" s="212"/>
      <c r="C255" s="212"/>
      <c r="D255" s="212"/>
      <c r="E255" s="212"/>
      <c r="F255" s="212"/>
      <c r="G255" s="212"/>
      <c r="I255" s="28" t="s">
        <v>127</v>
      </c>
      <c r="J255" s="692">
        <f>(O249*1000)/(SQRT(3)*O251)</f>
        <v>437.38656756789834</v>
      </c>
      <c r="K255" s="692"/>
      <c r="L255" s="14" t="s">
        <v>8</v>
      </c>
      <c r="M255" s="120"/>
      <c r="N255" s="120"/>
      <c r="O255" s="120"/>
      <c r="T255" s="18"/>
      <c r="U255" s="18"/>
      <c r="V255" s="97"/>
    </row>
    <row r="256" spans="1:22" s="14" customFormat="1" ht="18" hidden="1" customHeight="1">
      <c r="A256" s="216"/>
      <c r="B256" s="212"/>
      <c r="C256" s="212"/>
      <c r="D256" s="212"/>
      <c r="E256" s="212"/>
      <c r="G256" s="212"/>
      <c r="H256" s="28"/>
      <c r="I256" s="103"/>
      <c r="J256" s="28"/>
      <c r="M256" s="212"/>
      <c r="N256" s="219"/>
      <c r="O256" s="212"/>
      <c r="T256" s="18"/>
      <c r="U256" s="18"/>
      <c r="V256" s="97"/>
    </row>
    <row r="257" spans="1:22" s="14" customFormat="1" ht="18" hidden="1" customHeight="1">
      <c r="A257" s="147" t="s">
        <v>629</v>
      </c>
      <c r="B257" s="5"/>
      <c r="C257" s="5"/>
      <c r="D257" s="5"/>
      <c r="E257" s="5"/>
      <c r="F257" s="212"/>
      <c r="G257" s="212"/>
      <c r="H257" s="5"/>
      <c r="I257" s="5"/>
      <c r="J257" s="5"/>
      <c r="K257" s="5"/>
      <c r="L257" s="103"/>
      <c r="M257" s="103"/>
      <c r="N257" s="103"/>
      <c r="O257" s="103"/>
      <c r="P257" s="212"/>
      <c r="Q257" s="213"/>
      <c r="S257" s="220"/>
      <c r="T257" s="18"/>
      <c r="U257" s="18"/>
      <c r="V257" s="97"/>
    </row>
    <row r="258" spans="1:22" s="14" customFormat="1" ht="18" hidden="1" customHeight="1">
      <c r="A258" s="147"/>
      <c r="B258" s="5"/>
      <c r="C258" s="5"/>
      <c r="D258" s="5"/>
      <c r="E258" s="5"/>
      <c r="F258" s="212"/>
      <c r="G258" s="212"/>
      <c r="H258" s="5"/>
      <c r="I258" s="5"/>
      <c r="J258" s="5"/>
      <c r="K258" s="5"/>
      <c r="L258" s="103"/>
      <c r="M258" s="103"/>
      <c r="N258" s="103"/>
      <c r="O258" s="103"/>
      <c r="P258" s="212"/>
      <c r="Q258" s="213"/>
      <c r="S258" s="214"/>
      <c r="T258" s="18"/>
      <c r="U258" s="18"/>
      <c r="V258" s="97"/>
    </row>
    <row r="259" spans="1:22" ht="18" hidden="1" customHeight="1">
      <c r="A259" s="96" t="s">
        <v>632</v>
      </c>
      <c r="B259" s="14"/>
      <c r="C259" s="14"/>
      <c r="D259" s="14"/>
      <c r="E259" s="14"/>
      <c r="M259" s="120" t="s">
        <v>613</v>
      </c>
      <c r="N259" s="28" t="s">
        <v>127</v>
      </c>
      <c r="O259" s="689" t="s">
        <v>609</v>
      </c>
      <c r="P259" s="716"/>
      <c r="Q259" s="221" t="s">
        <v>630</v>
      </c>
      <c r="R259" s="221">
        <v>16</v>
      </c>
      <c r="S259" s="214"/>
      <c r="V259" s="185"/>
    </row>
    <row r="260" spans="1:22" ht="18" hidden="1" customHeight="1">
      <c r="A260" s="96"/>
      <c r="B260" s="5"/>
      <c r="C260" s="5"/>
      <c r="D260" s="5"/>
      <c r="E260" s="5"/>
      <c r="M260" s="250"/>
      <c r="N260" s="28" t="s">
        <v>127</v>
      </c>
      <c r="O260" s="689">
        <f>+J255</f>
        <v>437.38656756789834</v>
      </c>
      <c r="P260" s="716"/>
      <c r="Q260" s="221" t="s">
        <v>630</v>
      </c>
      <c r="R260" s="221">
        <v>16</v>
      </c>
      <c r="S260" s="214"/>
      <c r="V260" s="185"/>
    </row>
    <row r="261" spans="1:22" ht="18" hidden="1" customHeight="1">
      <c r="A261" s="96"/>
      <c r="B261" s="5"/>
      <c r="C261" s="5"/>
      <c r="D261" s="5"/>
      <c r="E261" s="5"/>
      <c r="M261" s="120" t="s">
        <v>613</v>
      </c>
      <c r="N261" s="28" t="s">
        <v>127</v>
      </c>
      <c r="O261" s="689">
        <f>O260*R260</f>
        <v>6998.1850810863734</v>
      </c>
      <c r="P261" s="716"/>
      <c r="Q261" s="241" t="s">
        <v>8</v>
      </c>
      <c r="R261" s="14"/>
      <c r="S261" s="214"/>
      <c r="V261" s="185"/>
    </row>
    <row r="262" spans="1:22" ht="18" hidden="1" customHeight="1">
      <c r="A262" s="96"/>
      <c r="B262" s="5"/>
      <c r="C262" s="5"/>
      <c r="D262" s="5"/>
      <c r="E262" s="5"/>
      <c r="M262" s="120"/>
      <c r="N262" s="28"/>
      <c r="O262" s="28"/>
      <c r="P262" s="14"/>
      <c r="Q262" s="241"/>
      <c r="R262" s="14"/>
      <c r="S262" s="214"/>
      <c r="V262" s="185"/>
    </row>
    <row r="263" spans="1:22" ht="18" hidden="1" customHeight="1">
      <c r="A263" s="96"/>
      <c r="B263" s="5"/>
      <c r="C263" s="5"/>
      <c r="D263" s="5"/>
      <c r="E263" s="5"/>
      <c r="M263" s="120"/>
      <c r="N263" s="28"/>
      <c r="O263" s="28"/>
      <c r="P263" s="14"/>
      <c r="Q263" s="241"/>
      <c r="R263" s="14"/>
      <c r="S263" s="214"/>
      <c r="V263" s="185"/>
    </row>
    <row r="264" spans="1:22" ht="18" hidden="1" customHeight="1">
      <c r="A264" s="96"/>
      <c r="B264" s="5"/>
      <c r="C264" s="5"/>
      <c r="D264" s="5"/>
      <c r="E264" s="5"/>
      <c r="M264" s="120"/>
      <c r="N264" s="28"/>
      <c r="O264" s="28"/>
      <c r="P264" s="14"/>
      <c r="Q264" s="241"/>
      <c r="R264" s="14"/>
      <c r="S264" s="214"/>
      <c r="V264" s="185"/>
    </row>
    <row r="265" spans="1:22" ht="18" hidden="1" customHeight="1">
      <c r="A265" s="96"/>
      <c r="B265" s="5"/>
      <c r="C265" s="5"/>
      <c r="D265" s="5"/>
      <c r="E265" s="5"/>
      <c r="M265" s="120"/>
      <c r="N265" s="28"/>
      <c r="O265" s="28"/>
      <c r="P265" s="14"/>
      <c r="Q265" s="241"/>
      <c r="R265" s="14"/>
      <c r="S265" s="214"/>
      <c r="V265" s="185"/>
    </row>
    <row r="266" spans="1:22" ht="18" hidden="1" customHeight="1">
      <c r="A266" s="96"/>
      <c r="B266" s="5"/>
      <c r="C266" s="5"/>
      <c r="D266" s="5"/>
      <c r="E266" s="5"/>
      <c r="M266" s="120"/>
      <c r="N266" s="28"/>
      <c r="O266" s="28"/>
      <c r="P266" s="14"/>
      <c r="Q266" s="241"/>
      <c r="R266" s="14"/>
      <c r="S266" s="214"/>
      <c r="V266" s="185"/>
    </row>
    <row r="267" spans="1:22" s="14" customFormat="1" ht="18" hidden="1" customHeight="1">
      <c r="A267" s="194"/>
      <c r="B267" s="195"/>
      <c r="C267" s="195"/>
      <c r="D267" s="195"/>
      <c r="E267" s="195"/>
      <c r="F267" s="195"/>
      <c r="G267" s="195"/>
      <c r="H267" s="195"/>
      <c r="I267" s="195"/>
      <c r="J267" s="195"/>
      <c r="K267" s="195"/>
      <c r="L267" s="195"/>
      <c r="M267" s="195"/>
      <c r="N267" s="195"/>
      <c r="O267" s="195"/>
      <c r="P267" s="195"/>
      <c r="Q267" s="224"/>
      <c r="R267" s="182"/>
      <c r="S267" s="225"/>
      <c r="T267" s="195"/>
      <c r="U267" s="195"/>
      <c r="V267" s="134" t="s">
        <v>552</v>
      </c>
    </row>
    <row r="268" spans="1:22" s="14" customFormat="1" ht="18" hidden="1" customHeight="1">
      <c r="A268" s="135"/>
      <c r="B268" s="273"/>
      <c r="C268" s="273"/>
      <c r="D268" s="273"/>
      <c r="E268" s="273"/>
      <c r="F268" s="273"/>
      <c r="G268" s="273"/>
      <c r="H268" s="273"/>
      <c r="I268" s="273"/>
      <c r="J268" s="273"/>
      <c r="K268" s="273"/>
      <c r="L268" s="273"/>
      <c r="M268" s="273"/>
      <c r="N268" s="273"/>
      <c r="O268" s="273"/>
      <c r="P268" s="273"/>
      <c r="Q268" s="274"/>
      <c r="R268" s="138"/>
      <c r="S268" s="275"/>
      <c r="T268" s="273"/>
      <c r="U268" s="273"/>
      <c r="V268" s="276"/>
    </row>
    <row r="269" spans="1:22" ht="18" hidden="1" customHeight="1">
      <c r="A269" s="96" t="s">
        <v>686</v>
      </c>
      <c r="V269" s="185"/>
    </row>
    <row r="270" spans="1:22" ht="18" hidden="1" customHeight="1">
      <c r="A270" s="184"/>
      <c r="V270" s="185"/>
    </row>
    <row r="271" spans="1:22" s="279" customFormat="1" ht="18" hidden="1" customHeight="1">
      <c r="A271" s="277"/>
      <c r="B271" s="689" t="s">
        <v>473</v>
      </c>
      <c r="C271" s="1150" t="s">
        <v>652</v>
      </c>
      <c r="G271" s="802" t="s">
        <v>687</v>
      </c>
      <c r="H271" s="1153" t="s">
        <v>315</v>
      </c>
      <c r="I271" s="708" t="s">
        <v>688</v>
      </c>
      <c r="J271" s="1147"/>
      <c r="K271" s="1147"/>
      <c r="L271" s="1147"/>
      <c r="M271" s="1147"/>
      <c r="N271" s="689" t="s">
        <v>672</v>
      </c>
      <c r="O271" s="708" t="s">
        <v>420</v>
      </c>
      <c r="P271" s="689" t="s">
        <v>347</v>
      </c>
      <c r="Q271" s="708" t="s">
        <v>689</v>
      </c>
      <c r="R271" s="708" t="s">
        <v>674</v>
      </c>
      <c r="S271" s="708" t="s">
        <v>411</v>
      </c>
      <c r="T271" s="14"/>
      <c r="U271" s="729" t="s">
        <v>653</v>
      </c>
      <c r="V271" s="185"/>
    </row>
    <row r="272" spans="1:22" s="279" customFormat="1" ht="18" hidden="1" customHeight="1">
      <c r="A272" s="277"/>
      <c r="B272" s="689"/>
      <c r="C272" s="689"/>
      <c r="G272" s="802"/>
      <c r="H272" s="689"/>
      <c r="I272" s="689">
        <v>1.3</v>
      </c>
      <c r="J272" s="689"/>
      <c r="K272" s="28" t="s">
        <v>315</v>
      </c>
      <c r="L272" s="689" t="s">
        <v>423</v>
      </c>
      <c r="M272" s="689"/>
      <c r="N272" s="689"/>
      <c r="O272" s="689"/>
      <c r="P272" s="689"/>
      <c r="Q272" s="689"/>
      <c r="R272" s="689"/>
      <c r="S272" s="689"/>
      <c r="T272" s="14"/>
      <c r="U272" s="689"/>
      <c r="V272" s="185"/>
    </row>
    <row r="273" spans="1:22" ht="18" hidden="1" customHeight="1">
      <c r="A273" s="184"/>
      <c r="V273" s="185"/>
    </row>
    <row r="274" spans="1:22" ht="18" hidden="1" customHeight="1">
      <c r="A274" s="184"/>
      <c r="B274" s="47" t="s">
        <v>654</v>
      </c>
      <c r="C274" s="14"/>
      <c r="D274" s="14"/>
      <c r="E274" s="14"/>
      <c r="F274" s="18"/>
      <c r="G274" s="18"/>
      <c r="H274" s="14"/>
      <c r="I274" s="120"/>
      <c r="J274" s="14"/>
      <c r="K274" s="14"/>
      <c r="M274" s="14"/>
      <c r="N274" s="14"/>
      <c r="P274" s="14" t="s">
        <v>423</v>
      </c>
      <c r="R274" s="234" t="s">
        <v>127</v>
      </c>
      <c r="S274" s="684" t="str">
        <f>L228</f>
        <v>-</v>
      </c>
      <c r="T274" s="684"/>
      <c r="U274" s="30" t="s">
        <v>8</v>
      </c>
      <c r="V274" s="185"/>
    </row>
    <row r="275" spans="1:22" ht="18" hidden="1" customHeight="1">
      <c r="A275" s="184"/>
      <c r="B275" s="47" t="s">
        <v>655</v>
      </c>
      <c r="C275" s="14"/>
      <c r="D275" s="14"/>
      <c r="E275" s="14"/>
      <c r="F275" s="18"/>
      <c r="G275" s="18"/>
      <c r="H275" s="14"/>
      <c r="I275" s="120"/>
      <c r="J275" s="14"/>
      <c r="K275" s="14"/>
      <c r="M275" s="14"/>
      <c r="N275" s="14"/>
      <c r="P275" s="14" t="s">
        <v>420</v>
      </c>
      <c r="R275" s="234" t="s">
        <v>127</v>
      </c>
      <c r="S275" s="684">
        <f>L230</f>
        <v>3</v>
      </c>
      <c r="T275" s="684"/>
      <c r="U275" s="192" t="s">
        <v>333</v>
      </c>
      <c r="V275" s="185"/>
    </row>
    <row r="276" spans="1:22" ht="18" hidden="1" customHeight="1">
      <c r="A276" s="184"/>
      <c r="B276" s="47" t="s">
        <v>676</v>
      </c>
      <c r="C276" s="14"/>
      <c r="D276" s="14"/>
      <c r="E276" s="14"/>
      <c r="F276" s="18"/>
      <c r="G276" s="18"/>
      <c r="H276" s="14"/>
      <c r="I276" s="120"/>
      <c r="J276" s="14"/>
      <c r="K276" s="14"/>
      <c r="M276" s="14"/>
      <c r="N276" s="14"/>
      <c r="P276" s="14" t="s">
        <v>689</v>
      </c>
      <c r="R276" s="234" t="s">
        <v>127</v>
      </c>
      <c r="S276" s="795">
        <f>S247</f>
        <v>1.2667743100000002</v>
      </c>
      <c r="T276" s="795"/>
      <c r="U276" s="192" t="s">
        <v>333</v>
      </c>
      <c r="V276" s="185"/>
    </row>
    <row r="277" spans="1:22" ht="18" hidden="1" customHeight="1">
      <c r="A277" s="184"/>
      <c r="B277" s="47" t="s">
        <v>691</v>
      </c>
      <c r="C277" s="14"/>
      <c r="D277" s="14"/>
      <c r="E277" s="14"/>
      <c r="F277" s="14"/>
      <c r="G277" s="14"/>
      <c r="H277" s="14"/>
      <c r="I277" s="120"/>
      <c r="J277" s="14"/>
      <c r="K277" s="14"/>
      <c r="M277" s="14"/>
      <c r="N277" s="14"/>
      <c r="P277" s="14" t="s">
        <v>411</v>
      </c>
      <c r="R277" s="234" t="s">
        <v>127</v>
      </c>
      <c r="S277" s="684">
        <f>O228</f>
        <v>1</v>
      </c>
      <c r="T277" s="684"/>
      <c r="U277" s="30" t="s">
        <v>8</v>
      </c>
      <c r="V277" s="185"/>
    </row>
    <row r="278" spans="1:22" ht="18" hidden="1" customHeight="1">
      <c r="A278" s="184"/>
      <c r="B278" s="47" t="s">
        <v>678</v>
      </c>
      <c r="C278" s="14"/>
      <c r="D278" s="14"/>
      <c r="E278" s="14"/>
      <c r="F278" s="14"/>
      <c r="G278" s="14"/>
      <c r="H278" s="14"/>
      <c r="I278" s="120"/>
      <c r="J278" s="14"/>
      <c r="K278" s="14"/>
      <c r="M278" s="14"/>
      <c r="N278" s="14"/>
      <c r="P278" s="120" t="s">
        <v>688</v>
      </c>
      <c r="R278" s="234" t="s">
        <v>127</v>
      </c>
      <c r="S278" s="684">
        <f>O261</f>
        <v>6998.1850810863734</v>
      </c>
      <c r="T278" s="684"/>
      <c r="U278" s="30" t="s">
        <v>8</v>
      </c>
      <c r="V278" s="185"/>
    </row>
    <row r="279" spans="1:22" ht="18" hidden="1" customHeight="1">
      <c r="A279" s="184"/>
      <c r="B279" s="47" t="s">
        <v>692</v>
      </c>
      <c r="C279" s="14"/>
      <c r="D279" s="14"/>
      <c r="E279" s="14"/>
      <c r="F279" s="14"/>
      <c r="G279" s="14"/>
      <c r="H279" s="14"/>
      <c r="I279" s="120"/>
      <c r="J279" s="14"/>
      <c r="K279" s="14"/>
      <c r="M279" s="14"/>
      <c r="N279" s="14"/>
      <c r="P279" s="120" t="s">
        <v>680</v>
      </c>
      <c r="R279" s="234" t="s">
        <v>127</v>
      </c>
      <c r="S279" s="795">
        <f>J255</f>
        <v>437.38656756789834</v>
      </c>
      <c r="T279" s="684"/>
      <c r="U279" s="30" t="s">
        <v>8</v>
      </c>
      <c r="V279" s="185"/>
    </row>
    <row r="280" spans="1:22" ht="18" hidden="1" customHeight="1">
      <c r="A280" s="184"/>
      <c r="B280" s="47" t="s">
        <v>659</v>
      </c>
      <c r="C280" s="14"/>
      <c r="D280" s="14"/>
      <c r="E280" s="14"/>
      <c r="F280" s="14"/>
      <c r="G280" s="14"/>
      <c r="H280" s="14"/>
      <c r="I280" s="120"/>
      <c r="J280" s="14"/>
      <c r="K280" s="14"/>
      <c r="M280" s="14"/>
      <c r="N280" s="14"/>
      <c r="P280" s="120" t="s">
        <v>660</v>
      </c>
      <c r="R280" s="234" t="s">
        <v>127</v>
      </c>
      <c r="S280" s="684">
        <f>S182</f>
        <v>1</v>
      </c>
      <c r="T280" s="684"/>
      <c r="U280" s="30" t="s">
        <v>8</v>
      </c>
      <c r="V280" s="185"/>
    </row>
    <row r="281" spans="1:22" ht="18" hidden="1" customHeight="1">
      <c r="A281" s="96"/>
      <c r="B281" s="14"/>
      <c r="C281" s="14"/>
      <c r="D281" s="235"/>
      <c r="E281" s="14"/>
      <c r="F281" s="28"/>
      <c r="G281" s="249"/>
      <c r="H281" s="28"/>
      <c r="I281" s="251"/>
      <c r="J281" s="14"/>
      <c r="K281" s="280"/>
      <c r="M281" s="47"/>
      <c r="N281" s="268"/>
      <c r="P281" s="281"/>
      <c r="R281" s="234"/>
      <c r="S281" s="1148"/>
      <c r="T281" s="723"/>
      <c r="V281" s="185"/>
    </row>
    <row r="282" spans="1:22" ht="18" hidden="1" customHeight="1">
      <c r="A282" s="272" t="s">
        <v>693</v>
      </c>
      <c r="B282" s="14"/>
      <c r="C282" s="14"/>
      <c r="D282" s="14"/>
      <c r="E282" s="14"/>
      <c r="F282" s="14"/>
      <c r="G282" s="14"/>
      <c r="H282" s="28">
        <v>3</v>
      </c>
      <c r="I282" s="47" t="s">
        <v>694</v>
      </c>
      <c r="J282" s="14"/>
      <c r="K282" s="14"/>
      <c r="M282" s="14" t="s">
        <v>337</v>
      </c>
      <c r="N282" s="14"/>
      <c r="P282" s="120"/>
      <c r="R282" s="234"/>
      <c r="S282" s="1149"/>
      <c r="T282" s="723"/>
      <c r="V282" s="185"/>
    </row>
    <row r="283" spans="1:22" ht="18" hidden="1" customHeight="1">
      <c r="A283" s="272"/>
      <c r="B283" s="14"/>
      <c r="C283" s="14"/>
      <c r="D283" s="14"/>
      <c r="E283" s="14"/>
      <c r="F283" s="14"/>
      <c r="G283" s="14"/>
      <c r="H283" s="28"/>
      <c r="I283" s="47"/>
      <c r="J283" s="14"/>
      <c r="K283" s="14"/>
      <c r="M283" s="14"/>
      <c r="N283" s="14"/>
      <c r="P283" s="120"/>
      <c r="R283" s="234"/>
      <c r="S283" s="282"/>
      <c r="V283" s="185"/>
    </row>
    <row r="284" spans="1:22" s="279" customFormat="1" ht="18" hidden="1" customHeight="1">
      <c r="A284" s="277"/>
      <c r="B284" s="689" t="s">
        <v>703</v>
      </c>
      <c r="C284" s="1150" t="s">
        <v>652</v>
      </c>
      <c r="G284" s="802">
        <f>H282</f>
        <v>3</v>
      </c>
      <c r="H284" s="1151" t="s">
        <v>315</v>
      </c>
      <c r="I284" s="829">
        <f>S278</f>
        <v>6998.1850810863734</v>
      </c>
      <c r="J284" s="1152"/>
      <c r="K284" s="1152"/>
      <c r="L284" s="1152"/>
      <c r="M284" s="1152"/>
      <c r="N284" s="689" t="s">
        <v>672</v>
      </c>
      <c r="O284" s="708">
        <f>S275</f>
        <v>3</v>
      </c>
      <c r="P284" s="689" t="s">
        <v>347</v>
      </c>
      <c r="Q284" s="829">
        <f>S276</f>
        <v>1.2667743100000002</v>
      </c>
      <c r="R284" s="708" t="s">
        <v>674</v>
      </c>
      <c r="S284" s="708">
        <f>S277</f>
        <v>1</v>
      </c>
      <c r="T284" s="14"/>
      <c r="U284" s="729" t="s">
        <v>653</v>
      </c>
      <c r="V284" s="185"/>
    </row>
    <row r="285" spans="1:22" s="279" customFormat="1" ht="18" hidden="1" customHeight="1">
      <c r="A285" s="277"/>
      <c r="B285" s="689"/>
      <c r="C285" s="689"/>
      <c r="G285" s="802"/>
      <c r="H285" s="684"/>
      <c r="I285" s="689">
        <v>1.3</v>
      </c>
      <c r="J285" s="684"/>
      <c r="K285" s="28" t="s">
        <v>315</v>
      </c>
      <c r="L285" s="689" t="str">
        <f>S274</f>
        <v>-</v>
      </c>
      <c r="M285" s="684"/>
      <c r="N285" s="689"/>
      <c r="O285" s="689"/>
      <c r="P285" s="689"/>
      <c r="Q285" s="689"/>
      <c r="R285" s="689"/>
      <c r="S285" s="689"/>
      <c r="T285" s="14"/>
      <c r="U285" s="689"/>
      <c r="V285" s="185"/>
    </row>
    <row r="286" spans="1:22" ht="18" hidden="1" customHeight="1">
      <c r="A286" s="96"/>
      <c r="B286" s="14"/>
      <c r="C286" s="27" t="s">
        <v>127</v>
      </c>
      <c r="D286" s="812" t="e">
        <f>G284*(I284/(I285*L285)*(O284+Q284)*S284)</f>
        <v>#VALUE!</v>
      </c>
      <c r="E286" s="813"/>
      <c r="F286" s="30" t="s">
        <v>305</v>
      </c>
      <c r="G286" s="14"/>
      <c r="H286" s="14"/>
      <c r="I286" s="14"/>
      <c r="J286" s="14"/>
      <c r="K286" s="14"/>
      <c r="L286" s="14"/>
      <c r="M286" s="14"/>
      <c r="N286" s="14"/>
      <c r="R286" s="234"/>
      <c r="S286" s="204"/>
      <c r="V286" s="185"/>
    </row>
    <row r="287" spans="1:22" ht="18" hidden="1" customHeight="1">
      <c r="A287" s="96"/>
      <c r="B287" s="14"/>
      <c r="G287" s="14"/>
      <c r="H287" s="14"/>
      <c r="I287" s="14"/>
      <c r="J287" s="14"/>
      <c r="K287" s="14"/>
      <c r="L287" s="14"/>
      <c r="M287" s="14"/>
      <c r="N287" s="14"/>
      <c r="R287" s="234"/>
      <c r="S287" s="204"/>
      <c r="V287" s="185"/>
    </row>
    <row r="288" spans="1:22" ht="18" hidden="1" customHeight="1">
      <c r="A288" s="96"/>
      <c r="B288" s="14"/>
      <c r="D288" s="30" t="s">
        <v>475</v>
      </c>
      <c r="G288" s="27" t="e">
        <f>IF(E289&gt;H289,"&gt;","&lt;")</f>
        <v>#VALUE!</v>
      </c>
      <c r="H288" s="30" t="s">
        <v>477</v>
      </c>
      <c r="M288" s="14"/>
      <c r="N288" s="14"/>
      <c r="R288" s="234"/>
      <c r="S288" s="204"/>
      <c r="V288" s="185"/>
    </row>
    <row r="289" spans="1:22" ht="18" hidden="1" customHeight="1">
      <c r="A289" s="96"/>
      <c r="B289" s="14"/>
      <c r="E289" s="684">
        <f>L231</f>
        <v>200</v>
      </c>
      <c r="F289" s="684"/>
      <c r="G289" s="27" t="e">
        <f>G288</f>
        <v>#VALUE!</v>
      </c>
      <c r="H289" s="795" t="e">
        <f>D286</f>
        <v>#VALUE!</v>
      </c>
      <c r="I289" s="684"/>
      <c r="M289" s="14"/>
      <c r="N289" s="14"/>
      <c r="R289" s="234"/>
      <c r="S289" s="204"/>
      <c r="V289" s="185"/>
    </row>
    <row r="290" spans="1:22" ht="18" hidden="1" customHeight="1">
      <c r="A290" s="96"/>
      <c r="B290" s="14"/>
      <c r="F290" s="244" t="s">
        <v>478</v>
      </c>
      <c r="H290" s="18" t="e">
        <f>IF(G288="&gt;","Suitably Dimentioned","Under Dimentioned")</f>
        <v>#VALUE!</v>
      </c>
      <c r="M290" s="14"/>
      <c r="N290" s="14"/>
      <c r="R290" s="234"/>
      <c r="S290" s="204"/>
      <c r="V290" s="185"/>
    </row>
    <row r="291" spans="1:22" ht="18" hidden="1" customHeight="1">
      <c r="A291" s="96"/>
      <c r="B291" s="14"/>
      <c r="G291" s="14"/>
      <c r="H291" s="14"/>
      <c r="I291" s="14"/>
      <c r="J291" s="14"/>
      <c r="K291" s="14"/>
      <c r="L291" s="14"/>
      <c r="M291" s="14"/>
      <c r="N291" s="14"/>
      <c r="R291" s="234"/>
      <c r="S291" s="204"/>
      <c r="V291" s="185"/>
    </row>
    <row r="292" spans="1:22" ht="18" hidden="1" customHeight="1">
      <c r="A292" s="193" t="s">
        <v>695</v>
      </c>
      <c r="B292" s="14"/>
      <c r="G292" s="14"/>
      <c r="H292" s="14"/>
      <c r="I292" s="14"/>
      <c r="J292" s="14"/>
      <c r="K292" s="14"/>
      <c r="L292" s="14"/>
      <c r="M292" s="14"/>
      <c r="N292" s="14"/>
      <c r="R292" s="234"/>
      <c r="S292" s="204"/>
      <c r="V292" s="185"/>
    </row>
    <row r="293" spans="1:22" ht="18" hidden="1" customHeight="1">
      <c r="A293" s="96"/>
      <c r="B293" s="14"/>
      <c r="D293" s="802" t="s">
        <v>696</v>
      </c>
      <c r="E293" s="716"/>
      <c r="F293" s="689" t="s">
        <v>127</v>
      </c>
      <c r="G293" s="708" t="s">
        <v>423</v>
      </c>
      <c r="H293" s="1147"/>
      <c r="I293" s="689" t="s">
        <v>315</v>
      </c>
      <c r="J293" s="708" t="s">
        <v>697</v>
      </c>
      <c r="K293" s="1147"/>
      <c r="L293" s="14"/>
      <c r="M293" s="14"/>
      <c r="N293" s="14"/>
      <c r="R293" s="234"/>
      <c r="S293" s="204"/>
      <c r="V293" s="185"/>
    </row>
    <row r="294" spans="1:22" ht="18" hidden="1" customHeight="1">
      <c r="A294" s="96"/>
      <c r="B294" s="14"/>
      <c r="D294" s="716"/>
      <c r="E294" s="716"/>
      <c r="F294" s="689"/>
      <c r="G294" s="689" t="s">
        <v>680</v>
      </c>
      <c r="H294" s="716"/>
      <c r="I294" s="689"/>
      <c r="J294" s="689" t="s">
        <v>411</v>
      </c>
      <c r="K294" s="716"/>
      <c r="L294" s="14"/>
      <c r="M294" s="14"/>
      <c r="N294" s="14"/>
      <c r="R294" s="234"/>
      <c r="S294" s="204"/>
      <c r="V294" s="185"/>
    </row>
    <row r="295" spans="1:22" ht="18" hidden="1" customHeight="1">
      <c r="A295" s="96"/>
      <c r="B295" s="14"/>
      <c r="D295" s="14"/>
      <c r="E295" s="14"/>
      <c r="F295" s="14"/>
      <c r="G295" s="14"/>
      <c r="H295" s="14"/>
      <c r="I295" s="14"/>
      <c r="J295" s="14"/>
      <c r="K295" s="14"/>
      <c r="L295" s="14"/>
      <c r="M295" s="14"/>
      <c r="N295" s="14"/>
      <c r="R295" s="234"/>
      <c r="S295" s="204"/>
      <c r="V295" s="185"/>
    </row>
    <row r="296" spans="1:22" ht="18" hidden="1" customHeight="1">
      <c r="A296" s="96"/>
      <c r="B296" s="14"/>
      <c r="D296" s="14"/>
      <c r="E296" s="14"/>
      <c r="F296" s="689" t="s">
        <v>127</v>
      </c>
      <c r="G296" s="708" t="str">
        <f>S274</f>
        <v>-</v>
      </c>
      <c r="H296" s="1147"/>
      <c r="I296" s="689" t="s">
        <v>315</v>
      </c>
      <c r="J296" s="708">
        <f>S280</f>
        <v>1</v>
      </c>
      <c r="K296" s="1147"/>
      <c r="L296" s="14"/>
      <c r="M296" s="14"/>
      <c r="N296" s="14"/>
      <c r="R296" s="234"/>
      <c r="S296" s="204"/>
      <c r="V296" s="185"/>
    </row>
    <row r="297" spans="1:22" ht="18" hidden="1" customHeight="1">
      <c r="A297" s="96"/>
      <c r="B297" s="14"/>
      <c r="D297" s="14"/>
      <c r="E297" s="14"/>
      <c r="F297" s="689"/>
      <c r="G297" s="692">
        <f>J255</f>
        <v>437.38656756789834</v>
      </c>
      <c r="H297" s="716"/>
      <c r="I297" s="689"/>
      <c r="J297" s="689">
        <f>S277</f>
        <v>1</v>
      </c>
      <c r="K297" s="716"/>
      <c r="L297" s="14"/>
      <c r="M297" s="14"/>
      <c r="N297" s="14"/>
      <c r="R297" s="234"/>
      <c r="S297" s="204"/>
      <c r="V297" s="185"/>
    </row>
    <row r="298" spans="1:22" ht="18" hidden="1" customHeight="1">
      <c r="A298" s="96"/>
      <c r="B298" s="14"/>
      <c r="D298" s="14"/>
      <c r="E298" s="14"/>
      <c r="F298" s="14"/>
      <c r="G298" s="14"/>
      <c r="H298" s="14"/>
      <c r="I298" s="14"/>
      <c r="J298" s="14"/>
      <c r="K298" s="14"/>
      <c r="L298" s="14"/>
      <c r="M298" s="14"/>
      <c r="N298" s="14"/>
      <c r="R298" s="234"/>
      <c r="S298" s="204"/>
      <c r="V298" s="185"/>
    </row>
    <row r="299" spans="1:22" ht="18" hidden="1" customHeight="1">
      <c r="A299" s="96"/>
      <c r="B299" s="14"/>
      <c r="D299" s="14"/>
      <c r="E299" s="14"/>
      <c r="F299" s="28" t="s">
        <v>127</v>
      </c>
      <c r="G299" s="716" t="e">
        <f>(G296/G297)*(J296/J297)</f>
        <v>#VALUE!</v>
      </c>
      <c r="H299" s="716"/>
      <c r="I299" s="14"/>
      <c r="J299" s="14"/>
      <c r="K299" s="14"/>
      <c r="L299" s="14"/>
      <c r="M299" s="14"/>
      <c r="N299" s="14"/>
      <c r="R299" s="234"/>
      <c r="S299" s="204"/>
      <c r="V299" s="185"/>
    </row>
    <row r="300" spans="1:22" ht="18" hidden="1" customHeight="1">
      <c r="A300" s="96"/>
      <c r="B300" s="14"/>
      <c r="G300" s="14"/>
      <c r="H300" s="14"/>
      <c r="I300" s="14"/>
      <c r="J300" s="14"/>
      <c r="K300" s="14"/>
      <c r="L300" s="14"/>
      <c r="M300" s="14"/>
      <c r="N300" s="14"/>
      <c r="R300" s="234"/>
      <c r="S300" s="204"/>
      <c r="V300" s="185"/>
    </row>
    <row r="301" spans="1:22" ht="18" hidden="1" customHeight="1">
      <c r="A301" s="96"/>
      <c r="B301" s="14"/>
      <c r="D301" s="283" t="s">
        <v>698</v>
      </c>
      <c r="E301" s="284" t="s">
        <v>699</v>
      </c>
      <c r="F301" s="689" t="s">
        <v>696</v>
      </c>
      <c r="G301" s="716"/>
      <c r="H301" s="716"/>
      <c r="I301" s="284" t="s">
        <v>699</v>
      </c>
      <c r="J301" s="28">
        <v>4</v>
      </c>
      <c r="L301" s="279"/>
      <c r="M301" s="120" t="s">
        <v>700</v>
      </c>
      <c r="N301" s="47" t="s">
        <v>701</v>
      </c>
      <c r="O301" s="279"/>
      <c r="P301" s="236"/>
      <c r="Q301" s="236"/>
      <c r="R301" s="234"/>
      <c r="S301" s="204"/>
      <c r="V301" s="185"/>
    </row>
    <row r="302" spans="1:22" ht="18" hidden="1" customHeight="1">
      <c r="A302" s="96"/>
      <c r="B302" s="14"/>
      <c r="D302" s="218">
        <v>0.25</v>
      </c>
      <c r="E302" s="284" t="e">
        <f>IF(D302&lt;=G299,"≤","&gt;")</f>
        <v>#VALUE!</v>
      </c>
      <c r="F302" s="688" t="e">
        <f>G299</f>
        <v>#VALUE!</v>
      </c>
      <c r="G302" s="1145"/>
      <c r="H302" s="688"/>
      <c r="I302" s="284" t="e">
        <f>IF(G299&lt;=J301,"≤","&gt;")</f>
        <v>#VALUE!</v>
      </c>
      <c r="J302" s="28">
        <f>J301</f>
        <v>4</v>
      </c>
      <c r="L302" s="279"/>
      <c r="M302" s="120"/>
      <c r="N302" s="213"/>
      <c r="O302" s="279"/>
      <c r="P302" s="236"/>
      <c r="Q302" s="236"/>
      <c r="R302" s="234"/>
      <c r="S302" s="204"/>
      <c r="V302" s="185"/>
    </row>
    <row r="303" spans="1:22" ht="18" hidden="1" customHeight="1">
      <c r="A303" s="96"/>
      <c r="B303" s="14"/>
      <c r="G303" s="14"/>
      <c r="H303" s="14"/>
      <c r="I303" s="14"/>
      <c r="J303" s="14"/>
      <c r="K303" s="14"/>
      <c r="L303" s="14"/>
      <c r="M303" s="14"/>
      <c r="N303" s="14"/>
      <c r="R303" s="234"/>
      <c r="S303" s="204"/>
      <c r="V303" s="185"/>
    </row>
    <row r="304" spans="1:22" ht="18" hidden="1" customHeight="1">
      <c r="A304" s="96"/>
      <c r="B304" s="14" t="s">
        <v>702</v>
      </c>
      <c r="G304" s="14"/>
      <c r="H304" s="18" t="e">
        <f>IF(AND(E302="≤",I302="≤")=TRUE,"OK","Not OK")</f>
        <v>#VALUE!</v>
      </c>
      <c r="I304" s="14"/>
      <c r="J304" s="14"/>
      <c r="K304" s="14"/>
      <c r="L304" s="14"/>
      <c r="M304" s="14"/>
      <c r="N304" s="14"/>
      <c r="R304" s="234"/>
      <c r="S304" s="204"/>
      <c r="V304" s="185"/>
    </row>
    <row r="305" spans="1:22" ht="18" hidden="1" customHeight="1">
      <c r="A305" s="96"/>
      <c r="B305" s="14"/>
      <c r="G305" s="14"/>
      <c r="H305" s="18"/>
      <c r="I305" s="14"/>
      <c r="J305" s="14"/>
      <c r="K305" s="14"/>
      <c r="L305" s="14"/>
      <c r="M305" s="14"/>
      <c r="N305" s="14"/>
      <c r="R305" s="234"/>
      <c r="S305" s="204"/>
      <c r="V305" s="185"/>
    </row>
    <row r="306" spans="1:22" ht="18" hidden="1" customHeight="1">
      <c r="A306" s="96"/>
      <c r="B306" s="14"/>
      <c r="G306" s="14"/>
      <c r="H306" s="18"/>
      <c r="I306" s="14"/>
      <c r="J306" s="14"/>
      <c r="K306" s="14"/>
      <c r="L306" s="14"/>
      <c r="M306" s="14"/>
      <c r="N306" s="14"/>
      <c r="R306" s="234"/>
      <c r="S306" s="204"/>
      <c r="V306" s="185"/>
    </row>
    <row r="307" spans="1:22" ht="18" hidden="1" customHeight="1">
      <c r="A307" s="96"/>
      <c r="B307" s="14"/>
      <c r="G307" s="14"/>
      <c r="H307" s="18"/>
      <c r="I307" s="14"/>
      <c r="J307" s="14"/>
      <c r="K307" s="14"/>
      <c r="L307" s="14"/>
      <c r="M307" s="14"/>
      <c r="N307" s="14"/>
      <c r="R307" s="234"/>
      <c r="S307" s="204"/>
      <c r="V307" s="185"/>
    </row>
    <row r="308" spans="1:22" ht="18" hidden="1" customHeight="1">
      <c r="A308" s="96"/>
      <c r="B308" s="14"/>
      <c r="G308" s="14"/>
      <c r="H308" s="18"/>
      <c r="I308" s="14"/>
      <c r="J308" s="14"/>
      <c r="K308" s="14"/>
      <c r="L308" s="14"/>
      <c r="M308" s="14"/>
      <c r="N308" s="14"/>
      <c r="R308" s="234"/>
      <c r="S308" s="204"/>
      <c r="V308" s="185"/>
    </row>
    <row r="309" spans="1:22" ht="18" hidden="1" customHeight="1">
      <c r="A309" s="96"/>
      <c r="B309" s="14"/>
      <c r="G309" s="14"/>
      <c r="H309" s="18"/>
      <c r="I309" s="14"/>
      <c r="J309" s="14"/>
      <c r="K309" s="14"/>
      <c r="L309" s="14"/>
      <c r="M309" s="14"/>
      <c r="N309" s="14"/>
      <c r="R309" s="234"/>
      <c r="S309" s="204"/>
      <c r="V309" s="185"/>
    </row>
    <row r="310" spans="1:22" ht="18" hidden="1" customHeight="1">
      <c r="A310" s="96"/>
      <c r="B310" s="14"/>
      <c r="G310" s="14"/>
      <c r="H310" s="14"/>
      <c r="I310" s="14"/>
      <c r="J310" s="14"/>
      <c r="K310" s="14"/>
      <c r="L310" s="14"/>
      <c r="M310" s="14"/>
      <c r="N310" s="14"/>
      <c r="R310" s="234"/>
      <c r="S310" s="204"/>
      <c r="V310" s="185"/>
    </row>
    <row r="311" spans="1:22" s="14" customFormat="1" ht="18" hidden="1" customHeight="1">
      <c r="A311" s="194"/>
      <c r="B311" s="195"/>
      <c r="C311" s="195"/>
      <c r="D311" s="195"/>
      <c r="E311" s="195"/>
      <c r="F311" s="195"/>
      <c r="G311" s="195"/>
      <c r="H311" s="195"/>
      <c r="I311" s="195"/>
      <c r="J311" s="195"/>
      <c r="K311" s="195"/>
      <c r="L311" s="195"/>
      <c r="M311" s="195"/>
      <c r="N311" s="195"/>
      <c r="O311" s="195"/>
      <c r="P311" s="195"/>
      <c r="Q311" s="224"/>
      <c r="R311" s="182"/>
      <c r="S311" s="225"/>
      <c r="T311" s="195"/>
      <c r="U311" s="195"/>
      <c r="V311" s="134" t="s">
        <v>552</v>
      </c>
    </row>
    <row r="312" spans="1:22" s="14" customFormat="1" ht="18" hidden="1" customHeight="1">
      <c r="A312" s="96"/>
      <c r="Q312" s="120"/>
      <c r="R312" s="28"/>
      <c r="S312" s="204"/>
      <c r="T312" s="204"/>
      <c r="V312" s="381"/>
    </row>
    <row r="313" spans="1:22" s="14" customFormat="1" ht="18" customHeight="1">
      <c r="A313" s="96"/>
      <c r="Q313" s="120"/>
      <c r="R313" s="28"/>
      <c r="S313" s="204"/>
      <c r="T313" s="204"/>
      <c r="V313" s="381"/>
    </row>
    <row r="314" spans="1:22" ht="18" customHeight="1">
      <c r="A314" s="262" t="s">
        <v>532</v>
      </c>
      <c r="B314" s="14"/>
      <c r="C314" s="14"/>
      <c r="D314" s="120"/>
      <c r="E314" s="120"/>
      <c r="F314" s="18"/>
      <c r="G314" s="18"/>
      <c r="H314" s="14"/>
      <c r="I314" s="14"/>
      <c r="J314" s="14"/>
      <c r="K314" s="14"/>
      <c r="L314" s="14"/>
      <c r="M314" s="14"/>
      <c r="N314" s="14"/>
      <c r="O314" s="14"/>
      <c r="P314" s="28"/>
      <c r="Q314" s="120"/>
      <c r="R314" s="47"/>
      <c r="S314" s="206"/>
      <c r="T314" s="259"/>
      <c r="U314" s="14"/>
      <c r="V314" s="97"/>
    </row>
    <row r="315" spans="1:22" ht="18" customHeight="1">
      <c r="A315" s="868" t="s">
        <v>85</v>
      </c>
      <c r="B315" s="868"/>
      <c r="C315" s="869"/>
      <c r="D315" s="868" t="s">
        <v>86</v>
      </c>
      <c r="E315" s="868"/>
      <c r="F315" s="868"/>
      <c r="G315" s="868" t="s">
        <v>87</v>
      </c>
      <c r="H315" s="868"/>
      <c r="I315" s="868" t="s">
        <v>88</v>
      </c>
      <c r="J315" s="868"/>
      <c r="K315" s="868" t="s">
        <v>502</v>
      </c>
      <c r="L315" s="868"/>
      <c r="M315" s="868" t="s">
        <v>503</v>
      </c>
      <c r="N315" s="868"/>
      <c r="O315" s="868" t="s">
        <v>504</v>
      </c>
      <c r="P315" s="868"/>
      <c r="Q315" s="868" t="s">
        <v>505</v>
      </c>
      <c r="R315" s="868"/>
      <c r="S315" s="868" t="s">
        <v>93</v>
      </c>
      <c r="T315" s="868"/>
      <c r="U315" s="868"/>
      <c r="V315" s="868"/>
    </row>
    <row r="316" spans="1:22" ht="18" customHeight="1">
      <c r="A316" s="868"/>
      <c r="B316" s="868"/>
      <c r="C316" s="869"/>
      <c r="D316" s="868"/>
      <c r="E316" s="868"/>
      <c r="F316" s="868"/>
      <c r="G316" s="868"/>
      <c r="H316" s="868"/>
      <c r="I316" s="868"/>
      <c r="J316" s="868"/>
      <c r="K316" s="868"/>
      <c r="L316" s="868"/>
      <c r="M316" s="868"/>
      <c r="N316" s="868"/>
      <c r="O316" s="868"/>
      <c r="P316" s="868"/>
      <c r="Q316" s="868"/>
      <c r="R316" s="868"/>
      <c r="S316" s="868"/>
      <c r="T316" s="868"/>
      <c r="U316" s="868"/>
      <c r="V316" s="868"/>
    </row>
    <row r="317" spans="1:22" ht="18" customHeight="1">
      <c r="A317" s="868"/>
      <c r="B317" s="868"/>
      <c r="C317" s="869"/>
      <c r="D317" s="868"/>
      <c r="E317" s="868"/>
      <c r="F317" s="868"/>
      <c r="G317" s="868"/>
      <c r="H317" s="868"/>
      <c r="I317" s="868"/>
      <c r="J317" s="868"/>
      <c r="K317" s="868"/>
      <c r="L317" s="868"/>
      <c r="M317" s="868"/>
      <c r="N317" s="868"/>
      <c r="O317" s="868"/>
      <c r="P317" s="868"/>
      <c r="Q317" s="868"/>
      <c r="R317" s="868"/>
      <c r="S317" s="868"/>
      <c r="T317" s="868"/>
      <c r="U317" s="868"/>
      <c r="V317" s="868"/>
    </row>
    <row r="318" spans="1:22" ht="18" customHeight="1">
      <c r="A318" s="868"/>
      <c r="B318" s="868"/>
      <c r="C318" s="869"/>
      <c r="D318" s="868"/>
      <c r="E318" s="868"/>
      <c r="F318" s="868"/>
      <c r="G318" s="868"/>
      <c r="H318" s="868"/>
      <c r="I318" s="868"/>
      <c r="J318" s="868"/>
      <c r="K318" s="868"/>
      <c r="L318" s="868"/>
      <c r="M318" s="868"/>
      <c r="N318" s="868"/>
      <c r="O318" s="868"/>
      <c r="P318" s="868"/>
      <c r="Q318" s="868"/>
      <c r="R318" s="868"/>
      <c r="S318" s="868"/>
      <c r="T318" s="868"/>
      <c r="U318" s="868"/>
      <c r="V318" s="868"/>
    </row>
    <row r="319" spans="1:22" ht="18" customHeight="1">
      <c r="A319" s="765" t="str">
        <f>B7</f>
        <v>T5</v>
      </c>
      <c r="B319" s="765" t="str">
        <f>D7</f>
        <v>Core1</v>
      </c>
      <c r="C319" s="765"/>
      <c r="D319" s="870">
        <f>H10</f>
        <v>2500</v>
      </c>
      <c r="E319" s="870"/>
      <c r="F319" s="871">
        <f>O10</f>
        <v>1</v>
      </c>
      <c r="G319" s="870">
        <f>'CT-VT Burdens'!S21</f>
        <v>120</v>
      </c>
      <c r="H319" s="874">
        <f>'CT-VT Burdens'!S10</f>
        <v>6</v>
      </c>
      <c r="I319" s="874" t="str">
        <f>H11</f>
        <v>PX</v>
      </c>
      <c r="J319" s="874"/>
      <c r="K319" s="869">
        <f>H12</f>
        <v>5</v>
      </c>
      <c r="L319" s="869"/>
      <c r="M319" s="869">
        <f>H13</f>
        <v>400</v>
      </c>
      <c r="N319" s="869"/>
      <c r="O319" s="870">
        <f>H14</f>
        <v>20</v>
      </c>
      <c r="P319" s="870"/>
      <c r="Q319" s="879" t="str">
        <f>CONCATENATE(T7)</f>
        <v>7UT85</v>
      </c>
      <c r="R319" s="879"/>
      <c r="S319" s="876" t="str">
        <f>H106</f>
        <v>Suitably Dimensioned</v>
      </c>
      <c r="T319" s="870"/>
      <c r="U319" s="870"/>
      <c r="V319" s="870"/>
    </row>
    <row r="320" spans="1:22" ht="18" customHeight="1">
      <c r="A320" s="765"/>
      <c r="B320" s="765"/>
      <c r="C320" s="765"/>
      <c r="D320" s="876" t="str">
        <f>J134</f>
        <v>-</v>
      </c>
      <c r="E320" s="870"/>
      <c r="F320" s="872"/>
      <c r="G320" s="870"/>
      <c r="H320" s="870"/>
      <c r="I320" s="874"/>
      <c r="J320" s="874"/>
      <c r="K320" s="875" t="s">
        <v>6</v>
      </c>
      <c r="L320" s="869"/>
      <c r="M320" s="875" t="s">
        <v>6</v>
      </c>
      <c r="N320" s="869"/>
      <c r="O320" s="876" t="s">
        <v>6</v>
      </c>
      <c r="P320" s="870"/>
      <c r="Q320" s="879"/>
      <c r="R320" s="879"/>
      <c r="S320" s="876" t="s">
        <v>6</v>
      </c>
      <c r="T320" s="870"/>
      <c r="U320" s="870"/>
      <c r="V320" s="870"/>
    </row>
    <row r="321" spans="1:22" ht="18" customHeight="1">
      <c r="A321" s="765"/>
      <c r="B321" s="765"/>
      <c r="C321" s="765"/>
      <c r="D321" s="876" t="s">
        <v>6</v>
      </c>
      <c r="E321" s="870"/>
      <c r="F321" s="873"/>
      <c r="G321" s="870"/>
      <c r="H321" s="870"/>
      <c r="I321" s="874"/>
      <c r="J321" s="874"/>
      <c r="K321" s="875" t="s">
        <v>6</v>
      </c>
      <c r="L321" s="869"/>
      <c r="M321" s="875" t="s">
        <v>6</v>
      </c>
      <c r="N321" s="869"/>
      <c r="O321" s="876" t="s">
        <v>6</v>
      </c>
      <c r="P321" s="870"/>
      <c r="Q321" s="879"/>
      <c r="R321" s="879"/>
      <c r="S321" s="870" t="s">
        <v>6</v>
      </c>
      <c r="T321" s="870"/>
      <c r="U321" s="870"/>
      <c r="V321" s="870"/>
    </row>
    <row r="322" spans="1:22" ht="18" customHeight="1">
      <c r="A322" s="184"/>
      <c r="V322" s="185"/>
    </row>
    <row r="323" spans="1:22" ht="18" customHeight="1">
      <c r="A323" s="184"/>
      <c r="V323" s="185"/>
    </row>
    <row r="324" spans="1:22" ht="18" customHeight="1">
      <c r="A324" s="184"/>
      <c r="V324" s="185"/>
    </row>
    <row r="325" spans="1:22" ht="18" customHeight="1">
      <c r="A325" s="184"/>
      <c r="V325" s="185"/>
    </row>
    <row r="326" spans="1:22" ht="18" customHeight="1">
      <c r="A326" s="184"/>
      <c r="V326" s="185"/>
    </row>
    <row r="327" spans="1:22" ht="18" customHeight="1">
      <c r="A327" s="184"/>
      <c r="V327" s="185"/>
    </row>
    <row r="328" spans="1:22" ht="18" customHeight="1">
      <c r="A328" s="184"/>
      <c r="V328" s="185"/>
    </row>
    <row r="329" spans="1:22" ht="18" customHeight="1">
      <c r="A329" s="184"/>
      <c r="V329" s="185"/>
    </row>
    <row r="330" spans="1:22" ht="18" customHeight="1">
      <c r="A330" s="184"/>
      <c r="V330" s="185"/>
    </row>
    <row r="331" spans="1:22" ht="18" customHeight="1">
      <c r="A331" s="184"/>
      <c r="V331" s="185"/>
    </row>
    <row r="332" spans="1:22" ht="18" customHeight="1">
      <c r="A332" s="184"/>
      <c r="V332" s="185"/>
    </row>
    <row r="333" spans="1:22" ht="18" customHeight="1">
      <c r="A333" s="184"/>
      <c r="V333" s="185"/>
    </row>
    <row r="334" spans="1:22" ht="18" customHeight="1">
      <c r="A334" s="184"/>
      <c r="V334" s="185"/>
    </row>
    <row r="335" spans="1:22" ht="18" customHeight="1">
      <c r="A335" s="184"/>
      <c r="V335" s="185"/>
    </row>
    <row r="336" spans="1:22" ht="18" customHeight="1">
      <c r="A336" s="184"/>
      <c r="V336" s="185"/>
    </row>
    <row r="337" spans="1:22" ht="18" customHeight="1">
      <c r="A337" s="184"/>
      <c r="V337" s="185"/>
    </row>
    <row r="338" spans="1:22" ht="18" customHeight="1">
      <c r="A338" s="184"/>
      <c r="V338" s="185"/>
    </row>
    <row r="339" spans="1:22" ht="18" customHeight="1">
      <c r="A339" s="184"/>
      <c r="V339" s="185"/>
    </row>
    <row r="340" spans="1:22" ht="18" customHeight="1">
      <c r="A340" s="184"/>
      <c r="V340" s="185"/>
    </row>
    <row r="341" spans="1:22" ht="18" customHeight="1">
      <c r="A341" s="184"/>
      <c r="V341" s="185"/>
    </row>
    <row r="342" spans="1:22" ht="18" customHeight="1">
      <c r="A342" s="184"/>
      <c r="V342" s="185"/>
    </row>
    <row r="343" spans="1:22" ht="18" customHeight="1">
      <c r="A343" s="184"/>
      <c r="V343" s="185"/>
    </row>
    <row r="344" spans="1:22" ht="18" customHeight="1">
      <c r="A344" s="184"/>
      <c r="V344" s="185"/>
    </row>
    <row r="345" spans="1:22" ht="18" customHeight="1">
      <c r="A345" s="184"/>
      <c r="V345" s="185"/>
    </row>
    <row r="346" spans="1:22" ht="18" customHeight="1">
      <c r="A346" s="184"/>
      <c r="V346" s="185"/>
    </row>
    <row r="347" spans="1:22" ht="18" customHeight="1">
      <c r="A347" s="184"/>
      <c r="V347" s="185"/>
    </row>
    <row r="348" spans="1:22" ht="18" customHeight="1">
      <c r="A348" s="184"/>
      <c r="V348" s="185"/>
    </row>
    <row r="349" spans="1:22" ht="18" customHeight="1">
      <c r="A349" s="184"/>
      <c r="V349" s="185"/>
    </row>
    <row r="350" spans="1:22" ht="18" customHeight="1">
      <c r="A350" s="184"/>
      <c r="V350" s="185"/>
    </row>
    <row r="351" spans="1:22" ht="13.8" customHeight="1">
      <c r="A351" s="184"/>
      <c r="V351" s="185"/>
    </row>
    <row r="352" spans="1:22" ht="18" customHeight="1">
      <c r="A352" s="290"/>
      <c r="B352" s="196"/>
      <c r="C352" s="196"/>
      <c r="D352" s="196"/>
      <c r="E352" s="196"/>
      <c r="F352" s="196"/>
      <c r="G352" s="196"/>
      <c r="H352" s="196"/>
      <c r="I352" s="196"/>
      <c r="J352" s="196"/>
      <c r="K352" s="196"/>
      <c r="L352" s="196"/>
      <c r="M352" s="196"/>
      <c r="N352" s="196"/>
      <c r="O352" s="196"/>
      <c r="P352" s="196"/>
      <c r="Q352" s="196"/>
      <c r="R352" s="196"/>
      <c r="S352" s="196"/>
      <c r="T352" s="196"/>
      <c r="U352" s="196"/>
      <c r="V352" s="291"/>
    </row>
    <row r="353" spans="1:29" s="14" customFormat="1" ht="18" hidden="1" customHeight="1">
      <c r="A353" s="194"/>
      <c r="B353" s="195"/>
      <c r="C353" s="195"/>
      <c r="D353" s="195"/>
      <c r="E353" s="195"/>
      <c r="F353" s="195"/>
      <c r="G353" s="195"/>
      <c r="H353" s="195"/>
      <c r="I353" s="195"/>
      <c r="J353" s="195"/>
      <c r="K353" s="195"/>
      <c r="L353" s="195"/>
      <c r="M353" s="195"/>
      <c r="N353" s="195"/>
      <c r="O353" s="195"/>
      <c r="P353" s="195"/>
      <c r="Q353" s="224"/>
      <c r="R353" s="182"/>
      <c r="S353" s="225"/>
      <c r="T353" s="195"/>
      <c r="U353" s="195"/>
      <c r="V353" s="134"/>
    </row>
    <row r="354" spans="1:29" ht="18" hidden="1" customHeight="1">
      <c r="A354" s="1178" t="str">
        <f>A1</f>
        <v>HITACHI</v>
      </c>
      <c r="B354" s="1179"/>
      <c r="C354" s="1179"/>
      <c r="D354" s="1179"/>
      <c r="E354" s="1179"/>
      <c r="F354" s="1179"/>
      <c r="G354" s="1180"/>
      <c r="H354" s="906" t="str">
        <f>H1</f>
        <v>CT / VT</v>
      </c>
      <c r="I354" s="929"/>
      <c r="J354" s="929"/>
      <c r="K354" s="929"/>
      <c r="L354" s="929"/>
      <c r="M354" s="929"/>
      <c r="N354" s="930"/>
      <c r="O354" s="885" t="str">
        <f>O1</f>
        <v>Contract No.</v>
      </c>
      <c r="P354" s="886"/>
      <c r="Q354" s="887"/>
      <c r="R354" s="1166" t="str">
        <f>R1</f>
        <v>N-19957.2-DF4W</v>
      </c>
      <c r="S354" s="1167"/>
      <c r="T354" s="1167"/>
      <c r="U354" s="1167"/>
      <c r="V354" s="1168"/>
    </row>
    <row r="355" spans="1:29" ht="18" hidden="1" customHeight="1">
      <c r="A355" s="1181"/>
      <c r="B355" s="1182"/>
      <c r="C355" s="1182"/>
      <c r="D355" s="1182"/>
      <c r="E355" s="1182"/>
      <c r="F355" s="1182"/>
      <c r="G355" s="1183"/>
      <c r="H355" s="909" t="str">
        <f>H2</f>
        <v>ADEQUACY CHECK</v>
      </c>
      <c r="I355" s="934"/>
      <c r="J355" s="934"/>
      <c r="K355" s="934"/>
      <c r="L355" s="934"/>
      <c r="M355" s="934"/>
      <c r="N355" s="935"/>
      <c r="O355" s="885" t="str">
        <f>O2</f>
        <v>Date</v>
      </c>
      <c r="P355" s="886"/>
      <c r="Q355" s="887"/>
      <c r="R355" s="1166">
        <f>R2</f>
        <v>46134</v>
      </c>
      <c r="S355" s="1167"/>
      <c r="T355" s="1167"/>
      <c r="U355" s="1167"/>
      <c r="V355" s="1168"/>
    </row>
    <row r="356" spans="1:29" ht="18" hidden="1" customHeight="1">
      <c r="A356" s="955">
        <f>A3</f>
        <v>0</v>
      </c>
      <c r="B356" s="956"/>
      <c r="C356" s="956"/>
      <c r="D356" s="956"/>
      <c r="E356" s="956"/>
      <c r="F356" s="956"/>
      <c r="G356" s="957"/>
      <c r="H356" s="1172" t="str">
        <f>H3</f>
        <v xml:space="preserve">132/33kV SUBSTATION DF4W    AT AL DHAFRA AREA </v>
      </c>
      <c r="I356" s="1173"/>
      <c r="J356" s="1173"/>
      <c r="K356" s="1173"/>
      <c r="L356" s="1173"/>
      <c r="M356" s="1173"/>
      <c r="N356" s="1174"/>
      <c r="O356" s="885" t="str">
        <f>O3</f>
        <v>Document No.</v>
      </c>
      <c r="P356" s="886"/>
      <c r="Q356" s="887"/>
      <c r="R356" s="1166" t="str">
        <f>R3</f>
        <v>-</v>
      </c>
      <c r="S356" s="1167"/>
      <c r="T356" s="1167"/>
      <c r="U356" s="1167"/>
      <c r="V356" s="1168"/>
    </row>
    <row r="357" spans="1:29" ht="18" hidden="1" customHeight="1">
      <c r="A357" s="1047"/>
      <c r="B357" s="1048"/>
      <c r="C357" s="1048"/>
      <c r="D357" s="1048"/>
      <c r="E357" s="1048"/>
      <c r="F357" s="1048"/>
      <c r="G357" s="1049"/>
      <c r="H357" s="1175"/>
      <c r="I357" s="1176"/>
      <c r="J357" s="1176"/>
      <c r="K357" s="1176"/>
      <c r="L357" s="1176"/>
      <c r="M357" s="1176"/>
      <c r="N357" s="1177"/>
      <c r="O357" s="885" t="str">
        <f>O4</f>
        <v>Revision No.</v>
      </c>
      <c r="P357" s="886"/>
      <c r="Q357" s="887"/>
      <c r="R357" s="1166" t="str">
        <f>R4</f>
        <v>A</v>
      </c>
      <c r="S357" s="1167"/>
      <c r="T357" s="1167"/>
      <c r="U357" s="1167"/>
      <c r="V357" s="1168"/>
    </row>
    <row r="358" spans="1:29" ht="18" hidden="1" customHeight="1">
      <c r="A358" s="880" t="str">
        <f>A5</f>
        <v>Prep. By</v>
      </c>
      <c r="B358" s="943"/>
      <c r="C358" s="292" t="str">
        <f>C5</f>
        <v>PK</v>
      </c>
      <c r="D358" s="880" t="str">
        <f>D5</f>
        <v>Checked By</v>
      </c>
      <c r="E358" s="881"/>
      <c r="F358" s="943"/>
      <c r="G358" s="292" t="str">
        <f>G5</f>
        <v>RN</v>
      </c>
      <c r="H358" s="1163" t="str">
        <f>H5</f>
        <v>132kV_100MVA TR. FEEDERS</v>
      </c>
      <c r="I358" s="1164"/>
      <c r="J358" s="1164"/>
      <c r="K358" s="1164"/>
      <c r="L358" s="1164"/>
      <c r="M358" s="1164"/>
      <c r="N358" s="1165"/>
      <c r="O358" s="947" t="str">
        <f>O5</f>
        <v>Contractor</v>
      </c>
      <c r="P358" s="948"/>
      <c r="Q358" s="949"/>
      <c r="R358" s="1166" t="str">
        <f>R5</f>
        <v>HITACHI</v>
      </c>
      <c r="S358" s="1167"/>
      <c r="T358" s="1167"/>
      <c r="U358" s="1167"/>
      <c r="V358" s="1168"/>
    </row>
    <row r="359" spans="1:29" ht="18" hidden="1" customHeight="1">
      <c r="A359" s="226"/>
      <c r="B359" s="227"/>
      <c r="C359" s="227"/>
      <c r="D359" s="227"/>
      <c r="E359" s="227"/>
      <c r="F359" s="227"/>
      <c r="G359" s="227"/>
      <c r="H359" s="227"/>
      <c r="I359" s="227"/>
      <c r="J359" s="227"/>
      <c r="K359" s="227"/>
      <c r="L359" s="227"/>
      <c r="M359" s="227"/>
      <c r="N359" s="227"/>
      <c r="O359" s="227"/>
      <c r="P359" s="227"/>
      <c r="Q359" s="227"/>
      <c r="R359" s="227"/>
      <c r="S359" s="227"/>
      <c r="T359" s="227"/>
      <c r="U359" s="227"/>
      <c r="V359" s="228"/>
    </row>
    <row r="360" spans="1:29" ht="18" hidden="1" customHeight="1">
      <c r="A360" s="184"/>
      <c r="B360" s="781" t="s">
        <v>663</v>
      </c>
      <c r="C360" s="782"/>
      <c r="D360" s="1099" t="s">
        <v>109</v>
      </c>
      <c r="E360" s="1169"/>
      <c r="F360" s="186" t="s">
        <v>636</v>
      </c>
      <c r="H360" s="684" t="str">
        <f>H225</f>
        <v>(Transformer Differential)</v>
      </c>
      <c r="I360" s="684"/>
      <c r="J360" s="684"/>
      <c r="K360" s="684"/>
      <c r="L360" s="684"/>
      <c r="M360" s="684"/>
      <c r="P360" s="186"/>
      <c r="S360" s="187" t="s">
        <v>387</v>
      </c>
      <c r="T360" s="1161" t="str">
        <f>T225</f>
        <v>7UT85</v>
      </c>
      <c r="U360" s="1162"/>
      <c r="V360" s="185"/>
    </row>
    <row r="361" spans="1:29" ht="18" hidden="1" customHeight="1">
      <c r="A361" s="184"/>
      <c r="B361" s="743" t="s">
        <v>664</v>
      </c>
      <c r="C361" s="743"/>
      <c r="D361" s="1170"/>
      <c r="E361" s="1171"/>
      <c r="F361" s="255"/>
      <c r="T361" s="1161"/>
      <c r="U361" s="1162"/>
      <c r="V361" s="185"/>
    </row>
    <row r="362" spans="1:29" ht="18" hidden="1" customHeight="1">
      <c r="A362" s="184"/>
      <c r="H362" s="789" t="s">
        <v>390</v>
      </c>
      <c r="I362" s="789"/>
      <c r="J362" s="708" t="s">
        <v>391</v>
      </c>
      <c r="K362" s="708"/>
      <c r="L362" s="708" t="s">
        <v>392</v>
      </c>
      <c r="M362" s="708"/>
      <c r="T362" s="1161"/>
      <c r="U362" s="1162"/>
      <c r="V362" s="185"/>
    </row>
    <row r="363" spans="1:29" ht="18" hidden="1" customHeight="1">
      <c r="A363" s="184"/>
      <c r="B363" s="47" t="s">
        <v>393</v>
      </c>
      <c r="H363" s="791">
        <v>5000</v>
      </c>
      <c r="I363" s="792"/>
      <c r="J363" s="781">
        <v>4000</v>
      </c>
      <c r="K363" s="782"/>
      <c r="L363" s="781">
        <v>3000</v>
      </c>
      <c r="M363" s="782"/>
      <c r="N363" s="191" t="s">
        <v>342</v>
      </c>
      <c r="O363" s="125">
        <v>1</v>
      </c>
      <c r="P363" s="27" t="s">
        <v>8</v>
      </c>
      <c r="V363" s="185"/>
    </row>
    <row r="364" spans="1:29" ht="18" hidden="1" customHeight="1">
      <c r="A364" s="184"/>
      <c r="B364" s="47" t="s">
        <v>394</v>
      </c>
      <c r="H364" s="781" t="s">
        <v>395</v>
      </c>
      <c r="I364" s="788"/>
      <c r="V364" s="185"/>
    </row>
    <row r="365" spans="1:29" ht="18" hidden="1" customHeight="1">
      <c r="A365" s="184"/>
      <c r="B365" s="47" t="s">
        <v>396</v>
      </c>
      <c r="G365" s="120" t="s">
        <v>497</v>
      </c>
      <c r="H365" s="781">
        <v>20</v>
      </c>
      <c r="I365" s="782"/>
      <c r="J365" s="192" t="s">
        <v>333</v>
      </c>
      <c r="V365" s="185"/>
    </row>
    <row r="366" spans="1:29" ht="18" hidden="1" customHeight="1">
      <c r="A366" s="184"/>
      <c r="B366" s="47" t="s">
        <v>398</v>
      </c>
      <c r="G366" s="120" t="s">
        <v>498</v>
      </c>
      <c r="H366" s="781">
        <v>1000</v>
      </c>
      <c r="I366" s="782"/>
      <c r="J366" s="14" t="s">
        <v>305</v>
      </c>
      <c r="V366" s="185"/>
      <c r="W366" s="30" t="s">
        <v>400</v>
      </c>
      <c r="AB366" s="785">
        <f>D416</f>
        <v>68.690225861110591</v>
      </c>
      <c r="AC366" s="786"/>
    </row>
    <row r="367" spans="1:29" ht="18" hidden="1" customHeight="1">
      <c r="A367" s="184"/>
      <c r="B367" s="14" t="s">
        <v>401</v>
      </c>
      <c r="G367" s="120" t="s">
        <v>402</v>
      </c>
      <c r="H367" s="781">
        <v>20</v>
      </c>
      <c r="I367" s="782"/>
      <c r="J367" s="30" t="s">
        <v>403</v>
      </c>
      <c r="V367" s="185"/>
    </row>
    <row r="368" spans="1:29" ht="18" hidden="1" customHeight="1">
      <c r="A368" s="96"/>
      <c r="V368" s="185"/>
    </row>
    <row r="369" spans="1:22" ht="18" hidden="1" customHeight="1">
      <c r="A369" s="193" t="s">
        <v>404</v>
      </c>
      <c r="V369" s="185"/>
    </row>
    <row r="370" spans="1:22" ht="18" hidden="1" customHeight="1">
      <c r="A370" s="184"/>
      <c r="V370" s="185"/>
    </row>
    <row r="371" spans="1:22" ht="18" hidden="1" customHeight="1">
      <c r="A371" s="184"/>
      <c r="B371" s="194" t="s">
        <v>405</v>
      </c>
      <c r="C371" s="195"/>
      <c r="D371" s="195" t="str">
        <f>T360</f>
        <v>7UT85</v>
      </c>
      <c r="E371" s="196"/>
      <c r="F371" s="196"/>
      <c r="G371" s="196"/>
      <c r="H371" s="182" t="s">
        <v>406</v>
      </c>
      <c r="I371" s="183" t="s">
        <v>127</v>
      </c>
      <c r="J371" s="1159">
        <f>J236</f>
        <v>0.1</v>
      </c>
      <c r="K371" s="1160"/>
      <c r="L371" s="3" t="s">
        <v>157</v>
      </c>
      <c r="V371" s="185"/>
    </row>
    <row r="372" spans="1:22" ht="18" hidden="1" customHeight="1">
      <c r="A372" s="184"/>
      <c r="B372" s="184" t="s">
        <v>405</v>
      </c>
      <c r="D372" s="30">
        <f>T361</f>
        <v>0</v>
      </c>
      <c r="H372" s="27"/>
      <c r="I372" s="177" t="s">
        <v>127</v>
      </c>
      <c r="J372" s="793"/>
      <c r="K372" s="1156"/>
      <c r="L372" s="198" t="s">
        <v>157</v>
      </c>
      <c r="V372" s="185"/>
    </row>
    <row r="373" spans="1:22" ht="18" hidden="1" customHeight="1">
      <c r="A373" s="184"/>
      <c r="B373" s="184" t="s">
        <v>405</v>
      </c>
      <c r="D373" s="30">
        <f>T362</f>
        <v>0</v>
      </c>
      <c r="E373" s="14"/>
      <c r="G373" s="199"/>
      <c r="H373" s="27"/>
      <c r="I373" s="177" t="s">
        <v>127</v>
      </c>
      <c r="J373" s="1157"/>
      <c r="K373" s="1158"/>
      <c r="L373" s="202" t="s">
        <v>157</v>
      </c>
      <c r="V373" s="185"/>
    </row>
    <row r="374" spans="1:22" ht="18" hidden="1" customHeight="1">
      <c r="A374" s="184"/>
      <c r="B374" s="184" t="s">
        <v>412</v>
      </c>
      <c r="H374" s="27" t="s">
        <v>599</v>
      </c>
      <c r="I374" s="177" t="s">
        <v>127</v>
      </c>
      <c r="J374" s="861">
        <f>J239</f>
        <v>1.1667743100000001</v>
      </c>
      <c r="K374" s="989"/>
      <c r="L374" s="203" t="s">
        <v>157</v>
      </c>
      <c r="V374" s="185"/>
    </row>
    <row r="375" spans="1:22" ht="18" hidden="1" customHeight="1">
      <c r="A375" s="184"/>
      <c r="B375" s="205" t="s">
        <v>413</v>
      </c>
      <c r="C375" s="206"/>
      <c r="D375" s="206"/>
      <c r="E375" s="206"/>
      <c r="F375" s="207"/>
      <c r="G375" s="207"/>
      <c r="H375" s="190" t="s">
        <v>409</v>
      </c>
      <c r="I375" s="208" t="s">
        <v>127</v>
      </c>
      <c r="J375" s="766">
        <f>J372+J374</f>
        <v>1.1667743100000001</v>
      </c>
      <c r="K375" s="958"/>
      <c r="L375" s="210" t="s">
        <v>157</v>
      </c>
      <c r="V375" s="185"/>
    </row>
    <row r="376" spans="1:22" ht="18" hidden="1" customHeight="1">
      <c r="A376" s="184"/>
      <c r="B376" s="47"/>
      <c r="C376" s="47"/>
      <c r="D376" s="47"/>
      <c r="E376" s="47"/>
      <c r="H376" s="27"/>
      <c r="I376" s="28"/>
      <c r="J376" s="199"/>
      <c r="L376" s="47"/>
      <c r="O376" s="27"/>
      <c r="P376" s="211"/>
      <c r="Q376" s="211"/>
      <c r="R376" s="192"/>
      <c r="V376" s="185"/>
    </row>
    <row r="377" spans="1:22" ht="18" hidden="1" customHeight="1">
      <c r="A377" s="184"/>
      <c r="B377" s="197" t="s">
        <v>648</v>
      </c>
      <c r="L377" s="47"/>
      <c r="M377" s="197" t="s">
        <v>407</v>
      </c>
      <c r="V377" s="185"/>
    </row>
    <row r="378" spans="1:22" s="14" customFormat="1" ht="18" hidden="1" customHeight="1">
      <c r="A378" s="184"/>
      <c r="B378" s="27" t="s">
        <v>649</v>
      </c>
      <c r="C378" s="27" t="s">
        <v>127</v>
      </c>
      <c r="D378" s="30" t="s">
        <v>406</v>
      </c>
      <c r="E378" s="271" t="s">
        <v>410</v>
      </c>
      <c r="F378" s="27" t="s">
        <v>146</v>
      </c>
      <c r="G378" s="28" t="s">
        <v>315</v>
      </c>
      <c r="H378" s="218" t="s">
        <v>146</v>
      </c>
      <c r="I378" s="30" t="s">
        <v>350</v>
      </c>
      <c r="J378" s="199"/>
      <c r="K378" s="30"/>
      <c r="L378" s="47"/>
      <c r="M378" s="30" t="s">
        <v>408</v>
      </c>
      <c r="N378" s="27" t="s">
        <v>127</v>
      </c>
      <c r="O378" s="30" t="s">
        <v>409</v>
      </c>
      <c r="P378" s="191" t="s">
        <v>410</v>
      </c>
      <c r="Q378" s="244" t="s">
        <v>411</v>
      </c>
      <c r="R378" s="27" t="s">
        <v>315</v>
      </c>
      <c r="S378" s="30" t="s">
        <v>411</v>
      </c>
      <c r="T378" s="30" t="s">
        <v>350</v>
      </c>
      <c r="U378" s="30"/>
      <c r="V378" s="185"/>
    </row>
    <row r="379" spans="1:22" s="14" customFormat="1" ht="18" hidden="1" customHeight="1">
      <c r="A379" s="184"/>
      <c r="B379" s="47"/>
      <c r="C379" s="27" t="s">
        <v>127</v>
      </c>
      <c r="D379" s="204">
        <f>J371</f>
        <v>0.1</v>
      </c>
      <c r="E379" s="191" t="s">
        <v>410</v>
      </c>
      <c r="F379" s="27">
        <f>F150</f>
        <v>1</v>
      </c>
      <c r="G379" s="27" t="s">
        <v>315</v>
      </c>
      <c r="H379" s="27">
        <f>H150</f>
        <v>1</v>
      </c>
      <c r="I379" s="30" t="s">
        <v>350</v>
      </c>
      <c r="J379" s="199"/>
      <c r="K379" s="30"/>
      <c r="L379" s="47"/>
      <c r="M379" s="30"/>
      <c r="N379" s="27" t="s">
        <v>127</v>
      </c>
      <c r="O379" s="204">
        <f>J375</f>
        <v>1.1667743100000001</v>
      </c>
      <c r="P379" s="191" t="s">
        <v>410</v>
      </c>
      <c r="Q379" s="27">
        <f>O363</f>
        <v>1</v>
      </c>
      <c r="R379" s="27" t="s">
        <v>315</v>
      </c>
      <c r="S379" s="27">
        <f>O363</f>
        <v>1</v>
      </c>
      <c r="T379" s="30" t="s">
        <v>350</v>
      </c>
      <c r="U379" s="30"/>
      <c r="V379" s="185"/>
    </row>
    <row r="380" spans="1:22" s="14" customFormat="1" ht="18" hidden="1" customHeight="1">
      <c r="A380" s="184"/>
      <c r="B380" s="47"/>
      <c r="C380" s="27" t="s">
        <v>127</v>
      </c>
      <c r="D380" s="795">
        <f>D379/(F379*H379)</f>
        <v>0.1</v>
      </c>
      <c r="E380" s="795"/>
      <c r="F380" s="192" t="s">
        <v>333</v>
      </c>
      <c r="G380" s="30"/>
      <c r="H380" s="30"/>
      <c r="I380" s="30"/>
      <c r="J380" s="199"/>
      <c r="K380" s="30"/>
      <c r="L380" s="47"/>
      <c r="M380" s="30"/>
      <c r="N380" s="27" t="s">
        <v>127</v>
      </c>
      <c r="O380" s="795">
        <f>O379/(Q379*S379)</f>
        <v>1.1667743100000001</v>
      </c>
      <c r="P380" s="795"/>
      <c r="Q380" s="192" t="s">
        <v>333</v>
      </c>
      <c r="R380" s="30"/>
      <c r="S380" s="30"/>
      <c r="T380" s="30"/>
      <c r="U380" s="30"/>
      <c r="V380" s="185"/>
    </row>
    <row r="381" spans="1:22" s="14" customFormat="1" ht="18" hidden="1" customHeight="1">
      <c r="A381" s="184"/>
      <c r="B381" s="47"/>
      <c r="C381" s="47"/>
      <c r="D381" s="47"/>
      <c r="E381" s="47"/>
      <c r="F381" s="30"/>
      <c r="G381" s="30"/>
      <c r="H381" s="27"/>
      <c r="I381" s="28"/>
      <c r="J381" s="199"/>
      <c r="K381" s="30"/>
      <c r="L381" s="47"/>
      <c r="M381" s="30"/>
      <c r="N381" s="30"/>
      <c r="O381" s="27"/>
      <c r="P381" s="211"/>
      <c r="Q381" s="211"/>
      <c r="R381" s="192"/>
      <c r="S381" s="30"/>
      <c r="T381" s="30"/>
      <c r="U381" s="30"/>
      <c r="V381" s="185"/>
    </row>
    <row r="382" spans="1:22" s="14" customFormat="1" ht="18" hidden="1" customHeight="1">
      <c r="A382" s="184"/>
      <c r="B382" s="47" t="s">
        <v>668</v>
      </c>
      <c r="C382" s="47"/>
      <c r="D382" s="47"/>
      <c r="E382" s="47"/>
      <c r="F382" s="30"/>
      <c r="G382" s="30"/>
      <c r="H382" s="27"/>
      <c r="I382" s="28"/>
      <c r="J382" s="199"/>
      <c r="K382" s="30"/>
      <c r="L382" s="47" t="s">
        <v>127</v>
      </c>
      <c r="M382" s="204">
        <f>D380</f>
        <v>0.1</v>
      </c>
      <c r="N382" s="27" t="s">
        <v>347</v>
      </c>
      <c r="O382" s="211">
        <f>O380</f>
        <v>1.1667743100000001</v>
      </c>
      <c r="P382" s="211" t="s">
        <v>127</v>
      </c>
      <c r="Q382" s="211">
        <f>M382+O382</f>
        <v>1.2667743100000002</v>
      </c>
      <c r="R382" s="192" t="s">
        <v>333</v>
      </c>
      <c r="S382" s="30"/>
      <c r="T382" s="30"/>
      <c r="U382" s="30"/>
      <c r="V382" s="185"/>
    </row>
    <row r="383" spans="1:22" s="14" customFormat="1" ht="18" hidden="1" customHeight="1">
      <c r="A383" s="193" t="s">
        <v>600</v>
      </c>
      <c r="B383" s="5"/>
      <c r="C383" s="5"/>
      <c r="D383" s="5"/>
      <c r="E383" s="5"/>
      <c r="F383" s="5"/>
      <c r="G383" s="5"/>
      <c r="H383" s="212"/>
      <c r="I383" s="212"/>
      <c r="J383" s="5"/>
      <c r="K383" s="5"/>
      <c r="L383" s="5"/>
      <c r="M383" s="5"/>
      <c r="N383" s="5"/>
      <c r="O383" s="5"/>
      <c r="P383" s="103"/>
      <c r="Q383" s="212"/>
      <c r="R383" s="213"/>
      <c r="S383" s="214"/>
      <c r="T383" s="18"/>
      <c r="U383" s="18"/>
      <c r="V383" s="97"/>
    </row>
    <row r="384" spans="1:22" s="14" customFormat="1" ht="18" hidden="1" customHeight="1">
      <c r="A384" s="96"/>
      <c r="B384" s="47" t="s">
        <v>601</v>
      </c>
      <c r="C384" s="5"/>
      <c r="D384" s="5"/>
      <c r="E384" s="5"/>
      <c r="I384" s="215"/>
      <c r="M384" s="5"/>
      <c r="N384" s="103" t="s">
        <v>127</v>
      </c>
      <c r="O384" s="1154">
        <f>O155</f>
        <v>100</v>
      </c>
      <c r="P384" s="831"/>
      <c r="Q384" s="14" t="s">
        <v>602</v>
      </c>
      <c r="S384" s="214"/>
      <c r="T384" s="18"/>
      <c r="U384" s="18"/>
      <c r="V384" s="97"/>
    </row>
    <row r="385" spans="1:22" s="14" customFormat="1" ht="18" hidden="1" customHeight="1">
      <c r="A385" s="96"/>
      <c r="B385" s="47" t="s">
        <v>603</v>
      </c>
      <c r="C385" s="5"/>
      <c r="D385" s="5"/>
      <c r="E385" s="5"/>
      <c r="I385" s="215"/>
      <c r="M385" s="5"/>
      <c r="N385" s="103" t="s">
        <v>127</v>
      </c>
      <c r="O385" s="1154">
        <f>O156</f>
        <v>25</v>
      </c>
      <c r="P385" s="831"/>
      <c r="Q385" s="14" t="s">
        <v>604</v>
      </c>
      <c r="S385" s="214"/>
      <c r="T385" s="18"/>
      <c r="U385" s="18"/>
      <c r="V385" s="97"/>
    </row>
    <row r="386" spans="1:22" s="14" customFormat="1" ht="18" hidden="1" customHeight="1">
      <c r="A386" s="96"/>
      <c r="B386" s="47" t="s">
        <v>605</v>
      </c>
      <c r="C386" s="5"/>
      <c r="D386" s="5"/>
      <c r="E386" s="5"/>
      <c r="M386" s="120" t="s">
        <v>606</v>
      </c>
      <c r="N386" s="103" t="s">
        <v>607</v>
      </c>
      <c r="O386" s="1154">
        <f>'[6]Parameters &amp; Fault Cal.'!Q12</f>
        <v>132</v>
      </c>
      <c r="P386" s="831"/>
      <c r="Q386" s="14" t="s">
        <v>163</v>
      </c>
      <c r="S386" s="214"/>
      <c r="T386" s="18"/>
      <c r="U386" s="18"/>
      <c r="V386" s="97"/>
    </row>
    <row r="387" spans="1:22" s="14" customFormat="1" ht="18" hidden="1" customHeight="1">
      <c r="A387" s="216"/>
      <c r="B387" s="212"/>
      <c r="C387" s="212"/>
      <c r="D387" s="212"/>
      <c r="E387" s="212"/>
      <c r="T387" s="18"/>
      <c r="U387" s="18"/>
      <c r="V387" s="97"/>
    </row>
    <row r="388" spans="1:22" s="14" customFormat="1" ht="18" hidden="1" customHeight="1">
      <c r="A388" s="272" t="s">
        <v>608</v>
      </c>
      <c r="B388" s="213"/>
      <c r="C388" s="213"/>
      <c r="D388" s="213"/>
      <c r="E388" s="213"/>
      <c r="H388" s="120" t="s">
        <v>609</v>
      </c>
      <c r="I388" s="28" t="s">
        <v>127</v>
      </c>
      <c r="J388" s="689" t="s">
        <v>610</v>
      </c>
      <c r="K388" s="689"/>
      <c r="L388" s="28" t="s">
        <v>315</v>
      </c>
      <c r="M388" s="217">
        <v>1000</v>
      </c>
      <c r="N388" s="102" t="s">
        <v>342</v>
      </c>
      <c r="O388" s="28" t="s">
        <v>611</v>
      </c>
      <c r="P388" s="28" t="s">
        <v>315</v>
      </c>
      <c r="Q388" s="28" t="s">
        <v>606</v>
      </c>
      <c r="R388" s="47" t="s">
        <v>350</v>
      </c>
      <c r="T388" s="18"/>
      <c r="U388" s="18"/>
      <c r="V388" s="97"/>
    </row>
    <row r="389" spans="1:22" ht="18" hidden="1" customHeight="1">
      <c r="A389" s="216"/>
      <c r="B389" s="213"/>
      <c r="C389" s="213"/>
      <c r="D389" s="213"/>
      <c r="E389" s="213"/>
      <c r="F389" s="212"/>
      <c r="G389" s="212"/>
      <c r="H389" s="28"/>
      <c r="I389" s="28" t="s">
        <v>127</v>
      </c>
      <c r="J389" s="689">
        <f>O384</f>
        <v>100</v>
      </c>
      <c r="K389" s="689"/>
      <c r="L389" s="28" t="s">
        <v>315</v>
      </c>
      <c r="M389" s="217">
        <v>1000</v>
      </c>
      <c r="N389" s="102" t="s">
        <v>342</v>
      </c>
      <c r="O389" s="28" t="s">
        <v>611</v>
      </c>
      <c r="P389" s="28" t="s">
        <v>315</v>
      </c>
      <c r="Q389" s="28">
        <f>O386</f>
        <v>132</v>
      </c>
      <c r="R389" s="47" t="s">
        <v>350</v>
      </c>
      <c r="S389" s="14"/>
      <c r="T389" s="18"/>
      <c r="U389" s="18"/>
      <c r="V389" s="97"/>
    </row>
    <row r="390" spans="1:22" ht="18" hidden="1" customHeight="1">
      <c r="A390" s="216"/>
      <c r="B390" s="212"/>
      <c r="C390" s="212"/>
      <c r="D390" s="212"/>
      <c r="E390" s="212"/>
      <c r="F390" s="212"/>
      <c r="G390" s="212"/>
      <c r="H390" s="14"/>
      <c r="I390" s="28" t="s">
        <v>127</v>
      </c>
      <c r="J390" s="692">
        <f>(O384*1000)/(SQRT(3)*O386)</f>
        <v>437.38656756789834</v>
      </c>
      <c r="K390" s="692"/>
      <c r="L390" s="14" t="s">
        <v>8</v>
      </c>
      <c r="M390" s="120"/>
      <c r="N390" s="120"/>
      <c r="O390" s="120"/>
      <c r="P390" s="14"/>
      <c r="Q390" s="14"/>
      <c r="R390" s="14"/>
      <c r="S390" s="14"/>
      <c r="T390" s="18"/>
      <c r="U390" s="18"/>
      <c r="V390" s="97"/>
    </row>
    <row r="391" spans="1:22" ht="18" hidden="1" customHeight="1">
      <c r="A391" s="216"/>
      <c r="B391" s="212"/>
      <c r="C391" s="212"/>
      <c r="D391" s="212"/>
      <c r="E391" s="212"/>
      <c r="F391" s="14"/>
      <c r="G391" s="212"/>
      <c r="H391" s="28"/>
      <c r="I391" s="103"/>
      <c r="J391" s="28"/>
      <c r="K391" s="14"/>
      <c r="L391" s="14"/>
      <c r="M391" s="212"/>
      <c r="N391" s="219"/>
      <c r="O391" s="212"/>
      <c r="P391" s="14"/>
      <c r="Q391" s="14"/>
      <c r="R391" s="14"/>
      <c r="S391" s="14"/>
      <c r="T391" s="18"/>
      <c r="U391" s="18"/>
      <c r="V391" s="97"/>
    </row>
    <row r="392" spans="1:22" s="14" customFormat="1" ht="18" hidden="1" customHeight="1">
      <c r="A392" s="147" t="s">
        <v>629</v>
      </c>
      <c r="B392" s="5"/>
      <c r="C392" s="5"/>
      <c r="D392" s="5"/>
      <c r="E392" s="5"/>
      <c r="F392" s="212"/>
      <c r="G392" s="212"/>
      <c r="H392" s="5"/>
      <c r="I392" s="5"/>
      <c r="J392" s="5"/>
      <c r="K392" s="5"/>
      <c r="L392" s="103"/>
      <c r="M392" s="103"/>
      <c r="N392" s="103"/>
      <c r="O392" s="103"/>
      <c r="P392" s="212"/>
      <c r="Q392" s="213"/>
      <c r="S392" s="220"/>
      <c r="T392" s="18"/>
      <c r="U392" s="18"/>
      <c r="V392" s="97"/>
    </row>
    <row r="393" spans="1:22" s="14" customFormat="1" ht="18" hidden="1" customHeight="1">
      <c r="A393" s="147"/>
      <c r="B393" s="5"/>
      <c r="C393" s="5"/>
      <c r="D393" s="5"/>
      <c r="E393" s="5"/>
      <c r="F393" s="212"/>
      <c r="G393" s="212"/>
      <c r="H393" s="5"/>
      <c r="I393" s="5"/>
      <c r="J393" s="5"/>
      <c r="K393" s="5"/>
      <c r="L393" s="103"/>
      <c r="M393" s="103"/>
      <c r="N393" s="103"/>
      <c r="O393" s="103"/>
      <c r="P393" s="212"/>
      <c r="Q393" s="213"/>
      <c r="S393" s="214"/>
      <c r="T393" s="18"/>
      <c r="U393" s="18"/>
      <c r="V393" s="97"/>
    </row>
    <row r="394" spans="1:22" ht="18" hidden="1" customHeight="1">
      <c r="A394" s="96" t="s">
        <v>612</v>
      </c>
      <c r="B394" s="14"/>
      <c r="C394" s="14"/>
      <c r="D394" s="14"/>
      <c r="E394" s="14"/>
      <c r="M394" s="120" t="s">
        <v>613</v>
      </c>
      <c r="N394" s="28" t="s">
        <v>127</v>
      </c>
      <c r="O394" s="689" t="s">
        <v>609</v>
      </c>
      <c r="P394" s="716"/>
      <c r="Q394" s="221" t="s">
        <v>630</v>
      </c>
      <c r="R394" s="221">
        <v>16</v>
      </c>
      <c r="S394" s="186"/>
      <c r="V394" s="185"/>
    </row>
    <row r="395" spans="1:22" ht="18" hidden="1" customHeight="1">
      <c r="A395" s="96"/>
      <c r="B395" s="5"/>
      <c r="C395" s="5"/>
      <c r="D395" s="5"/>
      <c r="E395" s="5"/>
      <c r="M395" s="250"/>
      <c r="N395" s="28" t="s">
        <v>127</v>
      </c>
      <c r="O395" s="689">
        <f>+J390</f>
        <v>437.38656756789834</v>
      </c>
      <c r="P395" s="716"/>
      <c r="Q395" s="221" t="s">
        <v>630</v>
      </c>
      <c r="R395" s="221">
        <v>16</v>
      </c>
      <c r="S395" s="186"/>
      <c r="V395" s="185"/>
    </row>
    <row r="396" spans="1:22" s="279" customFormat="1" ht="18" hidden="1" customHeight="1">
      <c r="A396" s="96"/>
      <c r="B396" s="5"/>
      <c r="C396" s="5"/>
      <c r="D396" s="5"/>
      <c r="E396" s="5"/>
      <c r="F396" s="30"/>
      <c r="G396" s="30"/>
      <c r="H396" s="30"/>
      <c r="I396" s="30"/>
      <c r="J396" s="30"/>
      <c r="K396" s="30"/>
      <c r="L396" s="30"/>
      <c r="M396" s="120" t="s">
        <v>613</v>
      </c>
      <c r="N396" s="28" t="s">
        <v>127</v>
      </c>
      <c r="O396" s="689">
        <f>O395*R395</f>
        <v>6998.1850810863734</v>
      </c>
      <c r="P396" s="716"/>
      <c r="Q396" s="241" t="s">
        <v>8</v>
      </c>
      <c r="R396" s="14"/>
      <c r="S396" s="186"/>
      <c r="T396" s="30"/>
      <c r="U396" s="30"/>
      <c r="V396" s="185"/>
    </row>
    <row r="397" spans="1:22" s="279" customFormat="1" ht="18" hidden="1" customHeight="1">
      <c r="A397" s="194"/>
      <c r="B397" s="195"/>
      <c r="C397" s="195"/>
      <c r="D397" s="195"/>
      <c r="E397" s="195"/>
      <c r="F397" s="195"/>
      <c r="G397" s="195"/>
      <c r="H397" s="195"/>
      <c r="I397" s="195"/>
      <c r="J397" s="195"/>
      <c r="K397" s="195"/>
      <c r="L397" s="195"/>
      <c r="M397" s="195"/>
      <c r="N397" s="195"/>
      <c r="O397" s="195"/>
      <c r="P397" s="195"/>
      <c r="Q397" s="224"/>
      <c r="R397" s="182"/>
      <c r="S397" s="225"/>
      <c r="T397" s="195"/>
      <c r="U397" s="195"/>
      <c r="V397" s="134" t="s">
        <v>552</v>
      </c>
    </row>
    <row r="398" spans="1:22" ht="18" hidden="1" customHeight="1">
      <c r="A398" s="135"/>
      <c r="B398" s="273"/>
      <c r="C398" s="273"/>
      <c r="D398" s="273"/>
      <c r="E398" s="273"/>
      <c r="F398" s="273"/>
      <c r="G398" s="273"/>
      <c r="H398" s="273"/>
      <c r="I398" s="273"/>
      <c r="J398" s="273"/>
      <c r="K398" s="273"/>
      <c r="L398" s="273"/>
      <c r="M398" s="273"/>
      <c r="N398" s="273"/>
      <c r="O398" s="273"/>
      <c r="P398" s="273"/>
      <c r="Q398" s="274"/>
      <c r="R398" s="138"/>
      <c r="S398" s="275"/>
      <c r="T398" s="273"/>
      <c r="U398" s="273"/>
      <c r="V398" s="276"/>
    </row>
    <row r="399" spans="1:22" ht="18" hidden="1" customHeight="1">
      <c r="A399" s="96" t="s">
        <v>686</v>
      </c>
      <c r="V399" s="185"/>
    </row>
    <row r="400" spans="1:22" ht="18" hidden="1" customHeight="1">
      <c r="A400" s="184"/>
      <c r="V400" s="185"/>
    </row>
    <row r="401" spans="1:22" ht="18" hidden="1" customHeight="1">
      <c r="A401" s="277"/>
      <c r="B401" s="689" t="s">
        <v>473</v>
      </c>
      <c r="C401" s="1150" t="s">
        <v>652</v>
      </c>
      <c r="D401" s="279"/>
      <c r="E401" s="279"/>
      <c r="F401" s="279"/>
      <c r="G401" s="802" t="s">
        <v>687</v>
      </c>
      <c r="H401" s="1153" t="s">
        <v>315</v>
      </c>
      <c r="I401" s="708" t="s">
        <v>688</v>
      </c>
      <c r="J401" s="1147"/>
      <c r="K401" s="1147"/>
      <c r="L401" s="1147"/>
      <c r="M401" s="1147"/>
      <c r="N401" s="689" t="s">
        <v>672</v>
      </c>
      <c r="O401" s="708" t="s">
        <v>420</v>
      </c>
      <c r="P401" s="689" t="s">
        <v>347</v>
      </c>
      <c r="Q401" s="708" t="s">
        <v>689</v>
      </c>
      <c r="R401" s="708" t="s">
        <v>674</v>
      </c>
      <c r="S401" s="708" t="s">
        <v>411</v>
      </c>
      <c r="T401" s="14"/>
      <c r="U401" s="729" t="s">
        <v>653</v>
      </c>
      <c r="V401" s="185"/>
    </row>
    <row r="402" spans="1:22" ht="18" hidden="1" customHeight="1">
      <c r="A402" s="277"/>
      <c r="B402" s="689"/>
      <c r="C402" s="689"/>
      <c r="D402" s="279"/>
      <c r="E402" s="279"/>
      <c r="F402" s="279"/>
      <c r="G402" s="802"/>
      <c r="H402" s="689"/>
      <c r="I402" s="689">
        <v>1.3</v>
      </c>
      <c r="J402" s="689"/>
      <c r="K402" s="28" t="s">
        <v>315</v>
      </c>
      <c r="L402" s="689" t="s">
        <v>423</v>
      </c>
      <c r="M402" s="689"/>
      <c r="N402" s="689"/>
      <c r="O402" s="689"/>
      <c r="P402" s="689"/>
      <c r="Q402" s="689"/>
      <c r="R402" s="689"/>
      <c r="S402" s="689"/>
      <c r="T402" s="14"/>
      <c r="U402" s="689"/>
      <c r="V402" s="185"/>
    </row>
    <row r="403" spans="1:22" ht="18" hidden="1" customHeight="1">
      <c r="A403" s="184"/>
      <c r="V403" s="185"/>
    </row>
    <row r="404" spans="1:22" ht="18" hidden="1" customHeight="1">
      <c r="A404" s="184"/>
      <c r="B404" s="47" t="s">
        <v>654</v>
      </c>
      <c r="C404" s="14"/>
      <c r="D404" s="14"/>
      <c r="E404" s="14"/>
      <c r="F404" s="18"/>
      <c r="G404" s="18"/>
      <c r="H404" s="14"/>
      <c r="I404" s="120"/>
      <c r="J404" s="14"/>
      <c r="K404" s="14"/>
      <c r="M404" s="14"/>
      <c r="N404" s="14"/>
      <c r="P404" s="14" t="s">
        <v>423</v>
      </c>
      <c r="R404" s="234" t="s">
        <v>127</v>
      </c>
      <c r="S404" s="684">
        <f>H363</f>
        <v>5000</v>
      </c>
      <c r="T404" s="684"/>
      <c r="U404" s="30" t="s">
        <v>8</v>
      </c>
      <c r="V404" s="185"/>
    </row>
    <row r="405" spans="1:22" ht="18" hidden="1" customHeight="1">
      <c r="A405" s="184"/>
      <c r="B405" s="47" t="s">
        <v>655</v>
      </c>
      <c r="C405" s="14"/>
      <c r="D405" s="14"/>
      <c r="E405" s="14"/>
      <c r="F405" s="18"/>
      <c r="G405" s="18"/>
      <c r="H405" s="14"/>
      <c r="I405" s="120"/>
      <c r="J405" s="14"/>
      <c r="K405" s="14"/>
      <c r="M405" s="14"/>
      <c r="N405" s="14"/>
      <c r="P405" s="14" t="s">
        <v>420</v>
      </c>
      <c r="R405" s="234" t="s">
        <v>127</v>
      </c>
      <c r="S405" s="684">
        <f>H365</f>
        <v>20</v>
      </c>
      <c r="T405" s="684"/>
      <c r="U405" s="192" t="s">
        <v>333</v>
      </c>
      <c r="V405" s="185"/>
    </row>
    <row r="406" spans="1:22" ht="18" hidden="1" customHeight="1">
      <c r="A406" s="184"/>
      <c r="B406" s="47" t="s">
        <v>676</v>
      </c>
      <c r="C406" s="14"/>
      <c r="D406" s="14"/>
      <c r="E406" s="14"/>
      <c r="F406" s="18"/>
      <c r="G406" s="18"/>
      <c r="H406" s="14"/>
      <c r="I406" s="120"/>
      <c r="J406" s="14"/>
      <c r="K406" s="14"/>
      <c r="M406" s="14"/>
      <c r="N406" s="14"/>
      <c r="P406" s="14" t="s">
        <v>690</v>
      </c>
      <c r="R406" s="234" t="s">
        <v>127</v>
      </c>
      <c r="S406" s="795">
        <f>Q382</f>
        <v>1.2667743100000002</v>
      </c>
      <c r="T406" s="795"/>
      <c r="U406" s="192" t="s">
        <v>333</v>
      </c>
      <c r="V406" s="185"/>
    </row>
    <row r="407" spans="1:22" ht="18" hidden="1" customHeight="1">
      <c r="A407" s="184"/>
      <c r="B407" s="47" t="s">
        <v>691</v>
      </c>
      <c r="C407" s="14"/>
      <c r="D407" s="14"/>
      <c r="E407" s="14"/>
      <c r="F407" s="14"/>
      <c r="G407" s="14"/>
      <c r="H407" s="14"/>
      <c r="I407" s="120"/>
      <c r="J407" s="14"/>
      <c r="K407" s="14"/>
      <c r="M407" s="14"/>
      <c r="N407" s="14"/>
      <c r="P407" s="14" t="s">
        <v>411</v>
      </c>
      <c r="R407" s="234" t="s">
        <v>127</v>
      </c>
      <c r="S407" s="684">
        <f>O363</f>
        <v>1</v>
      </c>
      <c r="T407" s="684"/>
      <c r="U407" s="30" t="s">
        <v>8</v>
      </c>
      <c r="V407" s="185"/>
    </row>
    <row r="408" spans="1:22" ht="18" hidden="1" customHeight="1">
      <c r="A408" s="184"/>
      <c r="B408" s="47" t="s">
        <v>678</v>
      </c>
      <c r="C408" s="14"/>
      <c r="D408" s="14"/>
      <c r="E408" s="14"/>
      <c r="F408" s="14"/>
      <c r="G408" s="14"/>
      <c r="H408" s="14"/>
      <c r="I408" s="120"/>
      <c r="J408" s="14"/>
      <c r="K408" s="14"/>
      <c r="M408" s="14"/>
      <c r="N408" s="14"/>
      <c r="P408" s="120" t="s">
        <v>688</v>
      </c>
      <c r="R408" s="234" t="s">
        <v>127</v>
      </c>
      <c r="S408" s="684">
        <f>O396</f>
        <v>6998.1850810863734</v>
      </c>
      <c r="T408" s="684"/>
      <c r="U408" s="30" t="s">
        <v>8</v>
      </c>
      <c r="V408" s="185"/>
    </row>
    <row r="409" spans="1:22" s="279" customFormat="1" ht="18" hidden="1" customHeight="1">
      <c r="A409" s="184"/>
      <c r="B409" s="47" t="s">
        <v>692</v>
      </c>
      <c r="C409" s="14"/>
      <c r="D409" s="14"/>
      <c r="E409" s="14"/>
      <c r="F409" s="14"/>
      <c r="G409" s="14"/>
      <c r="H409" s="14"/>
      <c r="I409" s="120"/>
      <c r="J409" s="14"/>
      <c r="K409" s="14"/>
      <c r="L409" s="30"/>
      <c r="M409" s="14"/>
      <c r="N409" s="14"/>
      <c r="O409" s="30"/>
      <c r="P409" s="120" t="s">
        <v>680</v>
      </c>
      <c r="Q409" s="30"/>
      <c r="R409" s="234" t="s">
        <v>127</v>
      </c>
      <c r="S409" s="795">
        <f>J390</f>
        <v>437.38656756789834</v>
      </c>
      <c r="T409" s="684"/>
      <c r="U409" s="30" t="s">
        <v>8</v>
      </c>
      <c r="V409" s="185"/>
    </row>
    <row r="410" spans="1:22" s="279" customFormat="1" ht="18" hidden="1" customHeight="1">
      <c r="A410" s="184"/>
      <c r="B410" s="47" t="s">
        <v>659</v>
      </c>
      <c r="C410" s="14"/>
      <c r="D410" s="14"/>
      <c r="E410" s="14"/>
      <c r="F410" s="14"/>
      <c r="G410" s="14"/>
      <c r="H410" s="14"/>
      <c r="I410" s="120"/>
      <c r="J410" s="14"/>
      <c r="K410" s="14"/>
      <c r="L410" s="30"/>
      <c r="M410" s="14"/>
      <c r="N410" s="14"/>
      <c r="O410" s="30"/>
      <c r="P410" s="120" t="s">
        <v>660</v>
      </c>
      <c r="Q410" s="30"/>
      <c r="R410" s="234" t="s">
        <v>127</v>
      </c>
      <c r="S410" s="684">
        <f>S182</f>
        <v>1</v>
      </c>
      <c r="T410" s="684"/>
      <c r="U410" s="30" t="s">
        <v>8</v>
      </c>
      <c r="V410" s="185"/>
    </row>
    <row r="411" spans="1:22" ht="18" hidden="1" customHeight="1">
      <c r="A411" s="96"/>
      <c r="B411" s="14"/>
      <c r="C411" s="14"/>
      <c r="D411" s="235"/>
      <c r="E411" s="14"/>
      <c r="F411" s="28"/>
      <c r="G411" s="249"/>
      <c r="H411" s="28"/>
      <c r="I411" s="251"/>
      <c r="J411" s="14"/>
      <c r="K411" s="280"/>
      <c r="M411" s="47"/>
      <c r="N411" s="268"/>
      <c r="P411" s="281"/>
      <c r="R411" s="234"/>
      <c r="S411" s="1148"/>
      <c r="T411" s="723"/>
      <c r="V411" s="185"/>
    </row>
    <row r="412" spans="1:22" ht="18" hidden="1" customHeight="1">
      <c r="A412" s="272" t="s">
        <v>693</v>
      </c>
      <c r="B412" s="14"/>
      <c r="C412" s="14"/>
      <c r="D412" s="14"/>
      <c r="E412" s="14"/>
      <c r="F412" s="14"/>
      <c r="G412" s="14"/>
      <c r="H412" s="28">
        <v>3</v>
      </c>
      <c r="I412" s="47" t="s">
        <v>694</v>
      </c>
      <c r="J412" s="14"/>
      <c r="K412" s="14"/>
      <c r="M412" s="14" t="s">
        <v>337</v>
      </c>
      <c r="N412" s="14"/>
      <c r="P412" s="120"/>
      <c r="R412" s="234"/>
      <c r="S412" s="1149"/>
      <c r="T412" s="723"/>
      <c r="V412" s="185"/>
    </row>
    <row r="413" spans="1:22" ht="18" hidden="1" customHeight="1">
      <c r="A413" s="272"/>
      <c r="B413" s="14"/>
      <c r="C413" s="14"/>
      <c r="D413" s="14"/>
      <c r="E413" s="14"/>
      <c r="F413" s="14"/>
      <c r="G413" s="14"/>
      <c r="H413" s="28"/>
      <c r="I413" s="47"/>
      <c r="J413" s="14"/>
      <c r="K413" s="14"/>
      <c r="M413" s="14"/>
      <c r="N413" s="14"/>
      <c r="P413" s="120"/>
      <c r="R413" s="234"/>
      <c r="S413" s="282"/>
      <c r="V413" s="185"/>
    </row>
    <row r="414" spans="1:22" ht="18" hidden="1" customHeight="1">
      <c r="A414" s="277"/>
      <c r="B414" s="689" t="s">
        <v>703</v>
      </c>
      <c r="C414" s="1150" t="s">
        <v>652</v>
      </c>
      <c r="D414" s="279"/>
      <c r="E414" s="279"/>
      <c r="F414" s="279"/>
      <c r="G414" s="802">
        <f>H412</f>
        <v>3</v>
      </c>
      <c r="H414" s="1151" t="s">
        <v>315</v>
      </c>
      <c r="I414" s="829">
        <f>S408</f>
        <v>6998.1850810863734</v>
      </c>
      <c r="J414" s="1152"/>
      <c r="K414" s="1152"/>
      <c r="L414" s="1152"/>
      <c r="M414" s="1152"/>
      <c r="N414" s="689" t="s">
        <v>672</v>
      </c>
      <c r="O414" s="708">
        <f>S405</f>
        <v>20</v>
      </c>
      <c r="P414" s="689" t="s">
        <v>347</v>
      </c>
      <c r="Q414" s="829">
        <f>S406</f>
        <v>1.2667743100000002</v>
      </c>
      <c r="R414" s="708" t="s">
        <v>674</v>
      </c>
      <c r="S414" s="708">
        <f>S407</f>
        <v>1</v>
      </c>
      <c r="T414" s="14"/>
      <c r="U414" s="729" t="s">
        <v>653</v>
      </c>
      <c r="V414" s="185"/>
    </row>
    <row r="415" spans="1:22" ht="18" hidden="1" customHeight="1">
      <c r="A415" s="277"/>
      <c r="B415" s="689"/>
      <c r="C415" s="689"/>
      <c r="D415" s="279"/>
      <c r="E415" s="279"/>
      <c r="F415" s="279"/>
      <c r="G415" s="802"/>
      <c r="H415" s="684"/>
      <c r="I415" s="689">
        <v>1.3</v>
      </c>
      <c r="J415" s="684"/>
      <c r="K415" s="28" t="s">
        <v>315</v>
      </c>
      <c r="L415" s="689">
        <f>S404</f>
        <v>5000</v>
      </c>
      <c r="M415" s="684"/>
      <c r="N415" s="689"/>
      <c r="O415" s="689"/>
      <c r="P415" s="689"/>
      <c r="Q415" s="689"/>
      <c r="R415" s="689"/>
      <c r="S415" s="689"/>
      <c r="T415" s="14"/>
      <c r="U415" s="689"/>
      <c r="V415" s="185"/>
    </row>
    <row r="416" spans="1:22" ht="18" hidden="1" customHeight="1">
      <c r="A416" s="96"/>
      <c r="B416" s="14"/>
      <c r="C416" s="27" t="s">
        <v>127</v>
      </c>
      <c r="D416" s="812">
        <f>G414*(I414/(I415*L415)*(O414+Q414)*S414)</f>
        <v>68.690225861110591</v>
      </c>
      <c r="E416" s="813"/>
      <c r="F416" s="30" t="s">
        <v>305</v>
      </c>
      <c r="G416" s="14"/>
      <c r="H416" s="14"/>
      <c r="I416" s="14"/>
      <c r="J416" s="14"/>
      <c r="K416" s="14"/>
      <c r="L416" s="14"/>
      <c r="M416" s="14"/>
      <c r="N416" s="14"/>
      <c r="R416" s="234"/>
      <c r="S416" s="204"/>
      <c r="V416" s="185"/>
    </row>
    <row r="417" spans="1:22" ht="18" hidden="1" customHeight="1">
      <c r="A417" s="96"/>
      <c r="B417" s="14"/>
      <c r="G417" s="14"/>
      <c r="H417" s="14"/>
      <c r="I417" s="14"/>
      <c r="J417" s="14"/>
      <c r="K417" s="14"/>
      <c r="L417" s="14"/>
      <c r="M417" s="14"/>
      <c r="N417" s="14"/>
      <c r="R417" s="234"/>
      <c r="S417" s="204"/>
      <c r="V417" s="185"/>
    </row>
    <row r="418" spans="1:22" ht="18" hidden="1" customHeight="1">
      <c r="A418" s="96"/>
      <c r="B418" s="14"/>
      <c r="D418" s="30" t="s">
        <v>475</v>
      </c>
      <c r="G418" s="27" t="str">
        <f>IF(E419&gt;H419,"&gt;","&lt;")</f>
        <v>&gt;</v>
      </c>
      <c r="H418" s="30" t="s">
        <v>477</v>
      </c>
      <c r="M418" s="14"/>
      <c r="N418" s="14"/>
      <c r="R418" s="234"/>
      <c r="S418" s="204"/>
      <c r="V418" s="185"/>
    </row>
    <row r="419" spans="1:22" ht="18" hidden="1" customHeight="1">
      <c r="A419" s="96"/>
      <c r="B419" s="14"/>
      <c r="E419" s="684">
        <f>H366</f>
        <v>1000</v>
      </c>
      <c r="F419" s="684"/>
      <c r="G419" s="27" t="str">
        <f>G418</f>
        <v>&gt;</v>
      </c>
      <c r="H419" s="795">
        <f>D416</f>
        <v>68.690225861110591</v>
      </c>
      <c r="I419" s="684"/>
      <c r="M419" s="14"/>
      <c r="N419" s="14"/>
      <c r="R419" s="234"/>
      <c r="S419" s="204"/>
      <c r="V419" s="185"/>
    </row>
    <row r="420" spans="1:22" ht="18" hidden="1" customHeight="1">
      <c r="A420" s="96"/>
      <c r="B420" s="14"/>
      <c r="F420" s="244" t="s">
        <v>478</v>
      </c>
      <c r="H420" s="18" t="str">
        <f>IF(G418="&gt;","Suitably Dimentioned","Under Dimentioned")</f>
        <v>Suitably Dimentioned</v>
      </c>
      <c r="M420" s="14"/>
      <c r="N420" s="14"/>
      <c r="R420" s="234"/>
      <c r="S420" s="204"/>
      <c r="V420" s="185"/>
    </row>
    <row r="421" spans="1:22" ht="18" hidden="1" customHeight="1">
      <c r="A421" s="96"/>
      <c r="B421" s="14"/>
      <c r="G421" s="14"/>
      <c r="H421" s="14"/>
      <c r="I421" s="14"/>
      <c r="J421" s="14"/>
      <c r="K421" s="14"/>
      <c r="L421" s="14"/>
      <c r="M421" s="14"/>
      <c r="N421" s="14"/>
      <c r="R421" s="234"/>
      <c r="S421" s="204"/>
      <c r="V421" s="185"/>
    </row>
    <row r="422" spans="1:22" ht="18" hidden="1" customHeight="1">
      <c r="A422" s="193" t="s">
        <v>695</v>
      </c>
      <c r="B422" s="14"/>
      <c r="G422" s="14"/>
      <c r="H422" s="14"/>
      <c r="I422" s="14"/>
      <c r="J422" s="14"/>
      <c r="K422" s="14"/>
      <c r="L422" s="14"/>
      <c r="M422" s="14"/>
      <c r="N422" s="14"/>
      <c r="R422" s="234"/>
      <c r="S422" s="204"/>
      <c r="V422" s="185"/>
    </row>
    <row r="423" spans="1:22" ht="18" hidden="1" customHeight="1">
      <c r="A423" s="96"/>
      <c r="B423" s="14"/>
      <c r="D423" s="802" t="s">
        <v>696</v>
      </c>
      <c r="E423" s="716"/>
      <c r="F423" s="689" t="s">
        <v>127</v>
      </c>
      <c r="G423" s="708" t="s">
        <v>423</v>
      </c>
      <c r="H423" s="1147"/>
      <c r="I423" s="689" t="s">
        <v>315</v>
      </c>
      <c r="J423" s="708" t="s">
        <v>697</v>
      </c>
      <c r="K423" s="1147"/>
      <c r="L423" s="14"/>
      <c r="M423" s="14"/>
      <c r="N423" s="14"/>
      <c r="R423" s="234"/>
      <c r="S423" s="204"/>
      <c r="V423" s="185"/>
    </row>
    <row r="424" spans="1:22" ht="18" hidden="1" customHeight="1">
      <c r="A424" s="96"/>
      <c r="B424" s="14"/>
      <c r="D424" s="716"/>
      <c r="E424" s="716"/>
      <c r="F424" s="689"/>
      <c r="G424" s="689" t="s">
        <v>680</v>
      </c>
      <c r="H424" s="716"/>
      <c r="I424" s="689"/>
      <c r="J424" s="689" t="s">
        <v>411</v>
      </c>
      <c r="K424" s="716"/>
      <c r="L424" s="14"/>
      <c r="M424" s="14"/>
      <c r="N424" s="14"/>
      <c r="R424" s="234"/>
      <c r="S424" s="204"/>
      <c r="V424" s="185"/>
    </row>
    <row r="425" spans="1:22" ht="18" hidden="1" customHeight="1">
      <c r="A425" s="96"/>
      <c r="B425" s="14"/>
      <c r="D425" s="14"/>
      <c r="E425" s="14"/>
      <c r="F425" s="14"/>
      <c r="G425" s="14"/>
      <c r="H425" s="14"/>
      <c r="I425" s="14"/>
      <c r="J425" s="14"/>
      <c r="K425" s="14"/>
      <c r="L425" s="14"/>
      <c r="M425" s="14"/>
      <c r="N425" s="14"/>
      <c r="R425" s="234"/>
      <c r="S425" s="204"/>
      <c r="V425" s="185"/>
    </row>
    <row r="426" spans="1:22" ht="18" hidden="1" customHeight="1">
      <c r="A426" s="96"/>
      <c r="B426" s="14"/>
      <c r="D426" s="14"/>
      <c r="E426" s="14"/>
      <c r="F426" s="689" t="s">
        <v>127</v>
      </c>
      <c r="G426" s="708">
        <f>S404</f>
        <v>5000</v>
      </c>
      <c r="H426" s="1147"/>
      <c r="I426" s="689" t="s">
        <v>315</v>
      </c>
      <c r="J426" s="708">
        <f>S410</f>
        <v>1</v>
      </c>
      <c r="K426" s="1147"/>
      <c r="L426" s="14"/>
      <c r="M426" s="14"/>
      <c r="N426" s="14"/>
      <c r="R426" s="234"/>
      <c r="S426" s="204"/>
      <c r="V426" s="185"/>
    </row>
    <row r="427" spans="1:22" ht="18" hidden="1" customHeight="1">
      <c r="A427" s="96"/>
      <c r="B427" s="14"/>
      <c r="D427" s="14"/>
      <c r="E427" s="14"/>
      <c r="F427" s="689"/>
      <c r="G427" s="692">
        <f>J390</f>
        <v>437.38656756789834</v>
      </c>
      <c r="H427" s="716"/>
      <c r="I427" s="689"/>
      <c r="J427" s="689">
        <f>S407</f>
        <v>1</v>
      </c>
      <c r="K427" s="716"/>
      <c r="L427" s="14"/>
      <c r="M427" s="14"/>
      <c r="N427" s="14"/>
      <c r="R427" s="234"/>
      <c r="S427" s="204"/>
      <c r="V427" s="185"/>
    </row>
    <row r="428" spans="1:22" ht="18" hidden="1" customHeight="1">
      <c r="A428" s="96"/>
      <c r="B428" s="14"/>
      <c r="D428" s="14"/>
      <c r="E428" s="14"/>
      <c r="F428" s="14"/>
      <c r="G428" s="14"/>
      <c r="H428" s="14"/>
      <c r="I428" s="14"/>
      <c r="J428" s="14"/>
      <c r="K428" s="14"/>
      <c r="L428" s="14"/>
      <c r="M428" s="14"/>
      <c r="N428" s="14"/>
      <c r="R428" s="234"/>
      <c r="S428" s="204"/>
      <c r="V428" s="185"/>
    </row>
    <row r="429" spans="1:22" ht="18" hidden="1" customHeight="1">
      <c r="A429" s="96"/>
      <c r="B429" s="14"/>
      <c r="D429" s="14"/>
      <c r="E429" s="14"/>
      <c r="F429" s="28" t="s">
        <v>127</v>
      </c>
      <c r="G429" s="716">
        <f>(G426/G427)*(J426/J427)</f>
        <v>11.43153532995459</v>
      </c>
      <c r="H429" s="716"/>
      <c r="I429" s="14"/>
      <c r="J429" s="14"/>
      <c r="K429" s="14"/>
      <c r="L429" s="14"/>
      <c r="M429" s="14"/>
      <c r="N429" s="14"/>
      <c r="R429" s="234"/>
      <c r="S429" s="204"/>
      <c r="V429" s="185"/>
    </row>
    <row r="430" spans="1:22" ht="18" hidden="1" customHeight="1">
      <c r="A430" s="96"/>
      <c r="B430" s="14"/>
      <c r="G430" s="14"/>
      <c r="H430" s="14"/>
      <c r="I430" s="14"/>
      <c r="J430" s="14"/>
      <c r="K430" s="14"/>
      <c r="L430" s="14"/>
      <c r="M430" s="14"/>
      <c r="N430" s="14"/>
      <c r="R430" s="234"/>
      <c r="S430" s="204"/>
      <c r="V430" s="185"/>
    </row>
    <row r="431" spans="1:22" s="14" customFormat="1" ht="18" hidden="1" customHeight="1">
      <c r="A431" s="96"/>
      <c r="C431" s="30"/>
      <c r="D431" s="283" t="s">
        <v>698</v>
      </c>
      <c r="E431" s="284" t="s">
        <v>699</v>
      </c>
      <c r="F431" s="689" t="s">
        <v>696</v>
      </c>
      <c r="G431" s="716"/>
      <c r="H431" s="716"/>
      <c r="I431" s="284" t="s">
        <v>699</v>
      </c>
      <c r="J431" s="28">
        <v>4</v>
      </c>
      <c r="K431" s="30"/>
      <c r="L431" s="279"/>
      <c r="M431" s="120" t="s">
        <v>700</v>
      </c>
      <c r="N431" s="47" t="s">
        <v>701</v>
      </c>
      <c r="O431" s="279"/>
      <c r="P431" s="236"/>
      <c r="Q431" s="236"/>
      <c r="R431" s="234"/>
      <c r="S431" s="204"/>
      <c r="T431" s="30"/>
      <c r="U431" s="30"/>
      <c r="V431" s="185"/>
    </row>
    <row r="432" spans="1:22" ht="18" hidden="1" customHeight="1">
      <c r="A432" s="96"/>
      <c r="B432" s="14"/>
      <c r="D432" s="218">
        <v>0.25</v>
      </c>
      <c r="E432" s="284" t="str">
        <f>IF(D432&lt;=G429,"≤","&gt;")</f>
        <v>≤</v>
      </c>
      <c r="F432" s="688">
        <f>G429</f>
        <v>11.43153532995459</v>
      </c>
      <c r="G432" s="1145"/>
      <c r="H432" s="688"/>
      <c r="I432" s="284" t="str">
        <f>IF(G429&lt;=J431,"≤","&gt;")</f>
        <v>&gt;</v>
      </c>
      <c r="J432" s="28">
        <f>J431</f>
        <v>4</v>
      </c>
      <c r="L432" s="279"/>
      <c r="M432" s="120"/>
      <c r="N432" s="213"/>
      <c r="O432" s="279"/>
      <c r="P432" s="236"/>
      <c r="Q432" s="236"/>
      <c r="R432" s="234"/>
      <c r="S432" s="204"/>
      <c r="V432" s="185"/>
    </row>
    <row r="433" spans="1:22" ht="18" hidden="1" customHeight="1">
      <c r="A433" s="96"/>
      <c r="B433" s="14"/>
      <c r="G433" s="14"/>
      <c r="H433" s="14"/>
      <c r="I433" s="14"/>
      <c r="J433" s="14"/>
      <c r="K433" s="14"/>
      <c r="L433" s="14"/>
      <c r="M433" s="14"/>
      <c r="N433" s="14"/>
      <c r="R433" s="234"/>
      <c r="S433" s="204"/>
      <c r="V433" s="185"/>
    </row>
    <row r="434" spans="1:22" ht="18" hidden="1" customHeight="1">
      <c r="A434" s="96"/>
      <c r="B434" s="14" t="s">
        <v>702</v>
      </c>
      <c r="G434" s="14"/>
      <c r="H434" s="18" t="str">
        <f>IF(AND(E432="≤",I432="≤")=TRUE,"OK","Not OK")</f>
        <v>Not OK</v>
      </c>
      <c r="I434" s="14"/>
      <c r="J434" s="14"/>
      <c r="K434" s="14"/>
      <c r="L434" s="14"/>
      <c r="M434" s="14"/>
      <c r="N434" s="14"/>
      <c r="R434" s="234"/>
      <c r="S434" s="204"/>
      <c r="V434" s="185"/>
    </row>
    <row r="435" spans="1:22" ht="18" hidden="1" customHeight="1">
      <c r="A435" s="96"/>
      <c r="B435" s="14"/>
      <c r="G435" s="14"/>
      <c r="H435" s="18"/>
      <c r="I435" s="14"/>
      <c r="J435" s="14"/>
      <c r="K435" s="14"/>
      <c r="L435" s="14"/>
      <c r="M435" s="14"/>
      <c r="N435" s="14"/>
      <c r="R435" s="234"/>
      <c r="S435" s="204"/>
      <c r="V435" s="185"/>
    </row>
    <row r="436" spans="1:22" ht="18" hidden="1" customHeight="1">
      <c r="A436" s="96"/>
      <c r="B436" s="14"/>
      <c r="G436" s="14"/>
      <c r="H436" s="18"/>
      <c r="I436" s="14"/>
      <c r="J436" s="14"/>
      <c r="K436" s="14"/>
      <c r="L436" s="14"/>
      <c r="M436" s="14"/>
      <c r="N436" s="14"/>
      <c r="R436" s="234"/>
      <c r="S436" s="204"/>
      <c r="V436" s="185"/>
    </row>
    <row r="437" spans="1:22" ht="18" hidden="1" customHeight="1">
      <c r="A437" s="96"/>
      <c r="B437" s="14"/>
      <c r="G437" s="14"/>
      <c r="H437" s="18"/>
      <c r="I437" s="14"/>
      <c r="J437" s="14"/>
      <c r="K437" s="14"/>
      <c r="L437" s="14"/>
      <c r="M437" s="14"/>
      <c r="N437" s="14"/>
      <c r="R437" s="234"/>
      <c r="S437" s="204"/>
      <c r="V437" s="185"/>
    </row>
    <row r="438" spans="1:22" ht="18" hidden="1" customHeight="1">
      <c r="A438" s="96"/>
      <c r="B438" s="14"/>
      <c r="G438" s="14"/>
      <c r="H438" s="18"/>
      <c r="I438" s="14"/>
      <c r="J438" s="14"/>
      <c r="K438" s="14"/>
      <c r="L438" s="14"/>
      <c r="M438" s="14"/>
      <c r="N438" s="14"/>
      <c r="R438" s="234"/>
      <c r="S438" s="204"/>
      <c r="V438" s="185"/>
    </row>
    <row r="439" spans="1:22" ht="18" hidden="1" customHeight="1">
      <c r="A439" s="96"/>
      <c r="B439" s="14"/>
      <c r="G439" s="14"/>
      <c r="H439" s="18"/>
      <c r="I439" s="14"/>
      <c r="J439" s="14"/>
      <c r="K439" s="14"/>
      <c r="L439" s="14"/>
      <c r="M439" s="14"/>
      <c r="N439" s="14"/>
      <c r="R439" s="234"/>
      <c r="S439" s="204"/>
      <c r="V439" s="185"/>
    </row>
    <row r="440" spans="1:22" ht="18" hidden="1" customHeight="1">
      <c r="A440" s="96"/>
      <c r="B440" s="14"/>
      <c r="G440" s="14"/>
      <c r="H440" s="14"/>
      <c r="I440" s="14"/>
      <c r="J440" s="14"/>
      <c r="K440" s="14"/>
      <c r="L440" s="14"/>
      <c r="M440" s="14"/>
      <c r="N440" s="14"/>
      <c r="R440" s="234"/>
      <c r="S440" s="204"/>
      <c r="V440" s="185"/>
    </row>
    <row r="441" spans="1:22" ht="18" hidden="1" customHeight="1">
      <c r="A441" s="194"/>
      <c r="B441" s="195"/>
      <c r="C441" s="195"/>
      <c r="D441" s="195"/>
      <c r="E441" s="195"/>
      <c r="F441" s="195"/>
      <c r="G441" s="195"/>
      <c r="H441" s="195"/>
      <c r="I441" s="195"/>
      <c r="J441" s="195"/>
      <c r="K441" s="195"/>
      <c r="L441" s="195"/>
      <c r="M441" s="195"/>
      <c r="N441" s="195"/>
      <c r="O441" s="195"/>
      <c r="P441" s="195"/>
      <c r="Q441" s="224"/>
      <c r="R441" s="182"/>
      <c r="S441" s="225"/>
      <c r="T441" s="195"/>
      <c r="U441" s="195"/>
      <c r="V441" s="134" t="s">
        <v>552</v>
      </c>
    </row>
    <row r="442" spans="1:22" ht="18" hidden="1" customHeight="1">
      <c r="A442" s="226"/>
      <c r="B442" s="227"/>
      <c r="C442" s="227"/>
      <c r="D442" s="227"/>
      <c r="E442" s="227"/>
      <c r="F442" s="227"/>
      <c r="G442" s="227"/>
      <c r="H442" s="227"/>
      <c r="I442" s="227"/>
      <c r="J442" s="227"/>
      <c r="K442" s="227"/>
      <c r="L442" s="227"/>
      <c r="M442" s="227"/>
      <c r="N442" s="227"/>
      <c r="O442" s="227"/>
      <c r="P442" s="227"/>
      <c r="Q442" s="227"/>
      <c r="R442" s="227"/>
      <c r="S442" s="227"/>
      <c r="T442" s="227"/>
      <c r="U442" s="227"/>
      <c r="V442" s="228"/>
    </row>
    <row r="443" spans="1:22" ht="18" hidden="1" customHeight="1">
      <c r="A443" s="184"/>
      <c r="B443" s="854" t="str">
        <f>B360</f>
        <v>CT1L1</v>
      </c>
      <c r="C443" s="831"/>
      <c r="D443" s="855" t="str">
        <f>D360</f>
        <v>Core3</v>
      </c>
      <c r="E443" s="856"/>
      <c r="F443" s="186" t="s">
        <v>636</v>
      </c>
      <c r="H443" s="684" t="str">
        <f>H360</f>
        <v>(Transformer Differential)</v>
      </c>
      <c r="I443" s="684"/>
      <c r="J443" s="684"/>
      <c r="K443" s="684"/>
      <c r="L443" s="684"/>
      <c r="M443" s="684"/>
      <c r="P443" s="186"/>
      <c r="S443" s="187" t="s">
        <v>387</v>
      </c>
      <c r="T443" s="1154" t="str">
        <f>T360</f>
        <v>7UT85</v>
      </c>
      <c r="U443" s="1155"/>
      <c r="V443" s="185"/>
    </row>
    <row r="444" spans="1:22" ht="18" hidden="1" customHeight="1">
      <c r="A444" s="184"/>
      <c r="B444" s="853" t="str">
        <f>B361</f>
        <v>CT1L2</v>
      </c>
      <c r="C444" s="853"/>
      <c r="D444" s="857"/>
      <c r="E444" s="858"/>
      <c r="F444" s="255"/>
      <c r="T444" s="1154">
        <f>T361</f>
        <v>0</v>
      </c>
      <c r="U444" s="1155"/>
      <c r="V444" s="185"/>
    </row>
    <row r="445" spans="1:22" ht="18" hidden="1" customHeight="1">
      <c r="A445" s="184"/>
      <c r="H445" s="708" t="s">
        <v>390</v>
      </c>
      <c r="I445" s="708"/>
      <c r="J445" s="789" t="s">
        <v>391</v>
      </c>
      <c r="K445" s="789"/>
      <c r="L445" s="708" t="s">
        <v>392</v>
      </c>
      <c r="M445" s="708"/>
      <c r="T445" s="1154">
        <f>T362</f>
        <v>0</v>
      </c>
      <c r="U445" s="1155"/>
      <c r="V445" s="185"/>
    </row>
    <row r="446" spans="1:22" ht="18" hidden="1" customHeight="1">
      <c r="A446" s="184"/>
      <c r="B446" s="47" t="s">
        <v>393</v>
      </c>
      <c r="H446" s="854">
        <f>H363</f>
        <v>5000</v>
      </c>
      <c r="I446" s="831"/>
      <c r="J446" s="863">
        <f>J363</f>
        <v>4000</v>
      </c>
      <c r="K446" s="864"/>
      <c r="L446" s="854">
        <f>L363</f>
        <v>3000</v>
      </c>
      <c r="M446" s="831"/>
      <c r="N446" s="102" t="s">
        <v>342</v>
      </c>
      <c r="O446" s="256">
        <f>O363</f>
        <v>1</v>
      </c>
      <c r="P446" s="27" t="s">
        <v>8</v>
      </c>
      <c r="V446" s="185"/>
    </row>
    <row r="447" spans="1:22" ht="18" hidden="1" customHeight="1">
      <c r="A447" s="184"/>
      <c r="B447" s="47" t="s">
        <v>394</v>
      </c>
      <c r="H447" s="14"/>
      <c r="I447" s="14"/>
      <c r="J447" s="854" t="str">
        <f>H364</f>
        <v>PX</v>
      </c>
      <c r="K447" s="776"/>
      <c r="L447" s="14"/>
      <c r="M447" s="14"/>
      <c r="V447" s="185"/>
    </row>
    <row r="448" spans="1:22" ht="18" hidden="1" customHeight="1">
      <c r="A448" s="184"/>
      <c r="B448" s="47" t="s">
        <v>396</v>
      </c>
      <c r="I448" s="120" t="s">
        <v>497</v>
      </c>
      <c r="J448" s="781">
        <v>15</v>
      </c>
      <c r="K448" s="782"/>
      <c r="L448" s="192" t="s">
        <v>333</v>
      </c>
      <c r="V448" s="185"/>
    </row>
    <row r="449" spans="1:29" ht="18" hidden="1" customHeight="1">
      <c r="A449" s="184"/>
      <c r="B449" s="47" t="s">
        <v>398</v>
      </c>
      <c r="I449" s="120" t="s">
        <v>498</v>
      </c>
      <c r="J449" s="781">
        <v>800</v>
      </c>
      <c r="K449" s="782"/>
      <c r="L449" s="14" t="s">
        <v>305</v>
      </c>
      <c r="V449" s="185"/>
      <c r="W449" s="30" t="s">
        <v>400</v>
      </c>
      <c r="AB449" s="785">
        <f>D504</f>
        <v>65.675709977100624</v>
      </c>
      <c r="AC449" s="786"/>
    </row>
    <row r="450" spans="1:29" ht="18" hidden="1" customHeight="1">
      <c r="A450" s="184"/>
      <c r="B450" s="14" t="s">
        <v>401</v>
      </c>
      <c r="I450" s="120" t="s">
        <v>402</v>
      </c>
      <c r="J450" s="781">
        <v>40</v>
      </c>
      <c r="K450" s="782"/>
      <c r="L450" s="30" t="s">
        <v>403</v>
      </c>
      <c r="V450" s="185"/>
    </row>
    <row r="451" spans="1:29" ht="18" hidden="1" customHeight="1">
      <c r="A451" s="96"/>
      <c r="V451" s="185"/>
    </row>
    <row r="452" spans="1:29" ht="18" hidden="1" customHeight="1">
      <c r="A452" s="193" t="s">
        <v>404</v>
      </c>
      <c r="V452" s="185"/>
    </row>
    <row r="453" spans="1:29" ht="18" hidden="1" customHeight="1">
      <c r="A453" s="184"/>
      <c r="V453" s="185"/>
    </row>
    <row r="454" spans="1:29" ht="18" hidden="1" customHeight="1">
      <c r="A454" s="184"/>
      <c r="B454" s="194" t="s">
        <v>405</v>
      </c>
      <c r="C454" s="195"/>
      <c r="D454" s="195" t="str">
        <f>T443</f>
        <v>7UT85</v>
      </c>
      <c r="E454" s="196"/>
      <c r="F454" s="196"/>
      <c r="G454" s="196"/>
      <c r="H454" s="182" t="s">
        <v>406</v>
      </c>
      <c r="I454" s="183" t="s">
        <v>127</v>
      </c>
      <c r="J454" s="766">
        <f>J371</f>
        <v>0.1</v>
      </c>
      <c r="K454" s="958"/>
      <c r="L454" s="3" t="s">
        <v>157</v>
      </c>
      <c r="V454" s="185"/>
    </row>
    <row r="455" spans="1:29" ht="18" hidden="1" customHeight="1">
      <c r="A455" s="184"/>
      <c r="B455" s="184" t="s">
        <v>405</v>
      </c>
      <c r="D455" s="30">
        <f>T444</f>
        <v>0</v>
      </c>
      <c r="H455" s="27"/>
      <c r="I455" s="177" t="s">
        <v>127</v>
      </c>
      <c r="J455" s="766">
        <f>J372</f>
        <v>0</v>
      </c>
      <c r="K455" s="958"/>
      <c r="L455" s="198" t="s">
        <v>157</v>
      </c>
      <c r="V455" s="185"/>
    </row>
    <row r="456" spans="1:29" ht="18" hidden="1" customHeight="1">
      <c r="A456" s="184"/>
      <c r="B456" s="184" t="s">
        <v>405</v>
      </c>
      <c r="D456" s="30">
        <f>T445</f>
        <v>0</v>
      </c>
      <c r="E456" s="14"/>
      <c r="G456" s="199"/>
      <c r="H456" s="27"/>
      <c r="I456" s="177" t="s">
        <v>127</v>
      </c>
      <c r="J456" s="766">
        <f>J373</f>
        <v>0</v>
      </c>
      <c r="K456" s="958"/>
      <c r="L456" s="202" t="s">
        <v>157</v>
      </c>
      <c r="V456" s="185"/>
    </row>
    <row r="457" spans="1:29" ht="18" hidden="1" customHeight="1">
      <c r="A457" s="184"/>
      <c r="B457" s="184" t="s">
        <v>412</v>
      </c>
      <c r="H457" s="27" t="s">
        <v>599</v>
      </c>
      <c r="I457" s="177" t="s">
        <v>127</v>
      </c>
      <c r="J457" s="766">
        <f>J374</f>
        <v>1.1667743100000001</v>
      </c>
      <c r="K457" s="958"/>
      <c r="L457" s="203" t="s">
        <v>157</v>
      </c>
      <c r="V457" s="185"/>
    </row>
    <row r="458" spans="1:29" ht="18" hidden="1" customHeight="1">
      <c r="A458" s="184"/>
      <c r="B458" s="205" t="s">
        <v>413</v>
      </c>
      <c r="C458" s="206"/>
      <c r="D458" s="206"/>
      <c r="E458" s="206"/>
      <c r="F458" s="207"/>
      <c r="G458" s="207"/>
      <c r="H458" s="190" t="s">
        <v>409</v>
      </c>
      <c r="I458" s="208" t="s">
        <v>127</v>
      </c>
      <c r="J458" s="766">
        <f>J455+J457</f>
        <v>1.1667743100000001</v>
      </c>
      <c r="K458" s="958"/>
      <c r="L458" s="210" t="s">
        <v>157</v>
      </c>
      <c r="V458" s="185"/>
    </row>
    <row r="459" spans="1:29" ht="18" hidden="1" customHeight="1">
      <c r="A459" s="184"/>
      <c r="B459" s="47"/>
      <c r="C459" s="47"/>
      <c r="D459" s="47"/>
      <c r="E459" s="47"/>
      <c r="H459" s="27"/>
      <c r="I459" s="28"/>
      <c r="J459" s="199"/>
      <c r="L459" s="47"/>
      <c r="O459" s="27"/>
      <c r="P459" s="211"/>
      <c r="Q459" s="211"/>
      <c r="R459" s="192"/>
      <c r="V459" s="185"/>
    </row>
    <row r="460" spans="1:29" ht="18" hidden="1" customHeight="1">
      <c r="A460" s="184"/>
      <c r="B460" s="197" t="s">
        <v>648</v>
      </c>
      <c r="L460" s="47"/>
      <c r="M460" s="197" t="s">
        <v>407</v>
      </c>
      <c r="V460" s="185"/>
    </row>
    <row r="461" spans="1:29" s="14" customFormat="1" ht="18" hidden="1" customHeight="1">
      <c r="A461" s="184"/>
      <c r="B461" s="27" t="s">
        <v>649</v>
      </c>
      <c r="C461" s="27" t="s">
        <v>127</v>
      </c>
      <c r="D461" s="30" t="s">
        <v>406</v>
      </c>
      <c r="E461" s="271" t="s">
        <v>410</v>
      </c>
      <c r="F461" s="27" t="s">
        <v>146</v>
      </c>
      <c r="G461" s="28" t="s">
        <v>315</v>
      </c>
      <c r="H461" s="218" t="s">
        <v>146</v>
      </c>
      <c r="I461" s="30" t="s">
        <v>350</v>
      </c>
      <c r="J461" s="199"/>
      <c r="K461" s="30"/>
      <c r="L461" s="47"/>
      <c r="M461" s="30" t="s">
        <v>408</v>
      </c>
      <c r="N461" s="27" t="s">
        <v>127</v>
      </c>
      <c r="O461" s="30" t="s">
        <v>409</v>
      </c>
      <c r="P461" s="191" t="s">
        <v>410</v>
      </c>
      <c r="Q461" s="244" t="s">
        <v>411</v>
      </c>
      <c r="R461" s="27" t="s">
        <v>315</v>
      </c>
      <c r="S461" s="30" t="s">
        <v>411</v>
      </c>
      <c r="T461" s="30" t="s">
        <v>350</v>
      </c>
      <c r="U461" s="30"/>
      <c r="V461" s="185"/>
    </row>
    <row r="462" spans="1:29" s="14" customFormat="1" ht="18" hidden="1" customHeight="1">
      <c r="A462" s="184"/>
      <c r="B462" s="47"/>
      <c r="C462" s="27" t="s">
        <v>127</v>
      </c>
      <c r="D462" s="204">
        <f>J454</f>
        <v>0.1</v>
      </c>
      <c r="E462" s="191" t="s">
        <v>410</v>
      </c>
      <c r="F462" s="27">
        <f>F379</f>
        <v>1</v>
      </c>
      <c r="G462" s="27" t="s">
        <v>315</v>
      </c>
      <c r="H462" s="27">
        <f>H379</f>
        <v>1</v>
      </c>
      <c r="I462" s="30" t="s">
        <v>350</v>
      </c>
      <c r="J462" s="199"/>
      <c r="K462" s="30"/>
      <c r="L462" s="47"/>
      <c r="M462" s="30"/>
      <c r="N462" s="27" t="s">
        <v>127</v>
      </c>
      <c r="O462" s="204">
        <f>J458</f>
        <v>1.1667743100000001</v>
      </c>
      <c r="P462" s="191" t="s">
        <v>410</v>
      </c>
      <c r="Q462" s="27">
        <f>O446</f>
        <v>1</v>
      </c>
      <c r="R462" s="27" t="s">
        <v>315</v>
      </c>
      <c r="S462" s="27">
        <f>O446</f>
        <v>1</v>
      </c>
      <c r="T462" s="30" t="s">
        <v>350</v>
      </c>
      <c r="U462" s="30"/>
      <c r="V462" s="185"/>
    </row>
    <row r="463" spans="1:29" s="14" customFormat="1" ht="18" hidden="1" customHeight="1">
      <c r="A463" s="184"/>
      <c r="B463" s="47"/>
      <c r="C463" s="27" t="s">
        <v>127</v>
      </c>
      <c r="D463" s="795">
        <f>D462/(F462*H462)</f>
        <v>0.1</v>
      </c>
      <c r="E463" s="795"/>
      <c r="F463" s="192" t="s">
        <v>333</v>
      </c>
      <c r="G463" s="30"/>
      <c r="H463" s="30"/>
      <c r="I463" s="30"/>
      <c r="J463" s="199"/>
      <c r="K463" s="30"/>
      <c r="L463" s="47"/>
      <c r="M463" s="30"/>
      <c r="N463" s="27" t="s">
        <v>127</v>
      </c>
      <c r="O463" s="795">
        <f>O462/(Q462*S462)</f>
        <v>1.1667743100000001</v>
      </c>
      <c r="P463" s="795"/>
      <c r="Q463" s="192" t="s">
        <v>333</v>
      </c>
      <c r="R463" s="30"/>
      <c r="S463" s="30"/>
      <c r="T463" s="30"/>
      <c r="U463" s="30"/>
      <c r="V463" s="185"/>
    </row>
    <row r="464" spans="1:29" s="14" customFormat="1" ht="18" hidden="1" customHeight="1">
      <c r="A464" s="184"/>
      <c r="B464" s="47"/>
      <c r="C464" s="47"/>
      <c r="D464" s="47"/>
      <c r="E464" s="47"/>
      <c r="F464" s="30"/>
      <c r="G464" s="30"/>
      <c r="H464" s="27"/>
      <c r="I464" s="28"/>
      <c r="J464" s="199"/>
      <c r="K464" s="30"/>
      <c r="L464" s="47"/>
      <c r="M464" s="30"/>
      <c r="N464" s="30"/>
      <c r="O464" s="27"/>
      <c r="P464" s="211"/>
      <c r="Q464" s="211"/>
      <c r="R464" s="192"/>
      <c r="S464" s="30"/>
      <c r="T464" s="30"/>
      <c r="U464" s="30"/>
      <c r="V464" s="185"/>
    </row>
    <row r="465" spans="1:22" s="14" customFormat="1" ht="18" hidden="1" customHeight="1">
      <c r="A465" s="184"/>
      <c r="B465" s="47" t="s">
        <v>668</v>
      </c>
      <c r="C465" s="47"/>
      <c r="D465" s="47"/>
      <c r="E465" s="47"/>
      <c r="F465" s="30"/>
      <c r="G465" s="30"/>
      <c r="H465" s="27"/>
      <c r="I465" s="28"/>
      <c r="J465" s="199"/>
      <c r="K465" s="30"/>
      <c r="L465" s="47" t="s">
        <v>127</v>
      </c>
      <c r="M465" s="204">
        <f>D463</f>
        <v>0.1</v>
      </c>
      <c r="N465" s="27" t="s">
        <v>347</v>
      </c>
      <c r="O465" s="211">
        <f>O463</f>
        <v>1.1667743100000001</v>
      </c>
      <c r="P465" s="211" t="s">
        <v>127</v>
      </c>
      <c r="Q465" s="211">
        <f>M465+O465</f>
        <v>1.2667743100000002</v>
      </c>
      <c r="R465" s="192" t="s">
        <v>333</v>
      </c>
      <c r="S465" s="30"/>
      <c r="T465" s="30"/>
      <c r="U465" s="30"/>
      <c r="V465" s="185"/>
    </row>
    <row r="466" spans="1:22" s="14" customFormat="1" ht="18" hidden="1" customHeight="1">
      <c r="A466" s="193" t="s">
        <v>600</v>
      </c>
      <c r="B466" s="5"/>
      <c r="C466" s="5"/>
      <c r="D466" s="5"/>
      <c r="E466" s="5"/>
      <c r="F466" s="5"/>
      <c r="G466" s="5"/>
      <c r="H466" s="212"/>
      <c r="I466" s="212"/>
      <c r="J466" s="5"/>
      <c r="K466" s="5"/>
      <c r="L466" s="5"/>
      <c r="M466" s="5"/>
      <c r="N466" s="5"/>
      <c r="O466" s="5"/>
      <c r="P466" s="103"/>
      <c r="Q466" s="212"/>
      <c r="R466" s="213"/>
      <c r="S466" s="214"/>
      <c r="T466" s="18"/>
      <c r="U466" s="18"/>
      <c r="V466" s="97"/>
    </row>
    <row r="467" spans="1:22" s="14" customFormat="1" ht="18" hidden="1" customHeight="1">
      <c r="A467" s="96"/>
      <c r="B467" s="47" t="s">
        <v>601</v>
      </c>
      <c r="C467" s="5"/>
      <c r="D467" s="5"/>
      <c r="E467" s="5"/>
      <c r="I467" s="215"/>
      <c r="M467" s="5"/>
      <c r="N467" s="103" t="s">
        <v>127</v>
      </c>
      <c r="O467" s="1154">
        <f>O384</f>
        <v>100</v>
      </c>
      <c r="P467" s="831"/>
      <c r="Q467" s="14" t="s">
        <v>602</v>
      </c>
      <c r="S467" s="214"/>
      <c r="T467" s="18"/>
      <c r="U467" s="18"/>
      <c r="V467" s="97"/>
    </row>
    <row r="468" spans="1:22" s="14" customFormat="1" ht="18" hidden="1" customHeight="1">
      <c r="A468" s="96"/>
      <c r="B468" s="47" t="s">
        <v>603</v>
      </c>
      <c r="C468" s="5"/>
      <c r="D468" s="5"/>
      <c r="E468" s="5"/>
      <c r="I468" s="215"/>
      <c r="M468" s="5"/>
      <c r="N468" s="103" t="s">
        <v>127</v>
      </c>
      <c r="O468" s="1154">
        <f>O385</f>
        <v>25</v>
      </c>
      <c r="P468" s="831"/>
      <c r="Q468" s="14" t="s">
        <v>604</v>
      </c>
      <c r="S468" s="214"/>
      <c r="T468" s="18"/>
      <c r="U468" s="18"/>
      <c r="V468" s="97"/>
    </row>
    <row r="469" spans="1:22" s="14" customFormat="1" ht="18" hidden="1" customHeight="1">
      <c r="A469" s="96"/>
      <c r="B469" s="47" t="s">
        <v>605</v>
      </c>
      <c r="C469" s="5"/>
      <c r="D469" s="5"/>
      <c r="E469" s="5"/>
      <c r="M469" s="120" t="s">
        <v>606</v>
      </c>
      <c r="N469" s="103" t="s">
        <v>607</v>
      </c>
      <c r="O469" s="1154">
        <f>O386</f>
        <v>132</v>
      </c>
      <c r="P469" s="831"/>
      <c r="Q469" s="14" t="s">
        <v>163</v>
      </c>
      <c r="S469" s="214"/>
      <c r="T469" s="18"/>
      <c r="U469" s="18"/>
      <c r="V469" s="97"/>
    </row>
    <row r="470" spans="1:22" s="14" customFormat="1" ht="18" hidden="1" customHeight="1">
      <c r="A470" s="216"/>
      <c r="B470" s="212"/>
      <c r="C470" s="212"/>
      <c r="D470" s="212"/>
      <c r="E470" s="212"/>
      <c r="T470" s="18"/>
      <c r="U470" s="18"/>
      <c r="V470" s="97"/>
    </row>
    <row r="471" spans="1:22" s="14" customFormat="1" ht="18" hidden="1" customHeight="1">
      <c r="A471" s="272" t="s">
        <v>608</v>
      </c>
      <c r="B471" s="213"/>
      <c r="C471" s="213"/>
      <c r="D471" s="213"/>
      <c r="E471" s="213"/>
      <c r="H471" s="120" t="s">
        <v>609</v>
      </c>
      <c r="I471" s="28" t="s">
        <v>127</v>
      </c>
      <c r="J471" s="689" t="s">
        <v>610</v>
      </c>
      <c r="K471" s="689"/>
      <c r="L471" s="28" t="s">
        <v>315</v>
      </c>
      <c r="M471" s="217">
        <v>1000</v>
      </c>
      <c r="N471" s="102" t="s">
        <v>342</v>
      </c>
      <c r="O471" s="28" t="s">
        <v>611</v>
      </c>
      <c r="P471" s="28" t="s">
        <v>315</v>
      </c>
      <c r="Q471" s="28" t="s">
        <v>606</v>
      </c>
      <c r="R471" s="47" t="s">
        <v>350</v>
      </c>
      <c r="T471" s="18"/>
      <c r="U471" s="18"/>
      <c r="V471" s="97"/>
    </row>
    <row r="472" spans="1:22" ht="18" hidden="1" customHeight="1">
      <c r="A472" s="216"/>
      <c r="B472" s="213"/>
      <c r="C472" s="213"/>
      <c r="D472" s="213"/>
      <c r="E472" s="213"/>
      <c r="F472" s="212"/>
      <c r="G472" s="212"/>
      <c r="H472" s="28"/>
      <c r="I472" s="28" t="s">
        <v>127</v>
      </c>
      <c r="J472" s="689">
        <f>O467</f>
        <v>100</v>
      </c>
      <c r="K472" s="689"/>
      <c r="L472" s="28" t="s">
        <v>315</v>
      </c>
      <c r="M472" s="217">
        <v>1000</v>
      </c>
      <c r="N472" s="102" t="s">
        <v>342</v>
      </c>
      <c r="O472" s="28" t="s">
        <v>611</v>
      </c>
      <c r="P472" s="28" t="s">
        <v>315</v>
      </c>
      <c r="Q472" s="28">
        <f>O469</f>
        <v>132</v>
      </c>
      <c r="R472" s="47" t="s">
        <v>350</v>
      </c>
      <c r="S472" s="14"/>
      <c r="T472" s="18"/>
      <c r="U472" s="18"/>
      <c r="V472" s="97"/>
    </row>
    <row r="473" spans="1:22" ht="18" hidden="1" customHeight="1">
      <c r="A473" s="216"/>
      <c r="B473" s="212"/>
      <c r="C473" s="212"/>
      <c r="D473" s="212"/>
      <c r="E473" s="212"/>
      <c r="F473" s="212"/>
      <c r="G473" s="212"/>
      <c r="H473" s="14"/>
      <c r="I473" s="28" t="s">
        <v>127</v>
      </c>
      <c r="J473" s="692">
        <f>(O467*1000)/(SQRT(3)*O469)</f>
        <v>437.38656756789834</v>
      </c>
      <c r="K473" s="692"/>
      <c r="L473" s="14" t="s">
        <v>8</v>
      </c>
      <c r="M473" s="120"/>
      <c r="N473" s="120"/>
      <c r="O473" s="120"/>
      <c r="P473" s="14"/>
      <c r="Q473" s="14"/>
      <c r="R473" s="14"/>
      <c r="S473" s="14"/>
      <c r="T473" s="18"/>
      <c r="U473" s="18"/>
      <c r="V473" s="97"/>
    </row>
    <row r="474" spans="1:22" ht="18" hidden="1" customHeight="1">
      <c r="A474" s="216"/>
      <c r="B474" s="212"/>
      <c r="C474" s="212"/>
      <c r="D474" s="212"/>
      <c r="E474" s="212"/>
      <c r="F474" s="14"/>
      <c r="G474" s="212"/>
      <c r="H474" s="28"/>
      <c r="I474" s="103"/>
      <c r="J474" s="28"/>
      <c r="K474" s="14"/>
      <c r="L474" s="14"/>
      <c r="M474" s="212"/>
      <c r="N474" s="219"/>
      <c r="O474" s="212"/>
      <c r="P474" s="14"/>
      <c r="Q474" s="14"/>
      <c r="R474" s="14"/>
      <c r="S474" s="14"/>
      <c r="T474" s="18"/>
      <c r="U474" s="18"/>
      <c r="V474" s="97"/>
    </row>
    <row r="475" spans="1:22" s="14" customFormat="1" ht="18" hidden="1" customHeight="1">
      <c r="A475" s="147" t="s">
        <v>629</v>
      </c>
      <c r="B475" s="5"/>
      <c r="C475" s="5"/>
      <c r="D475" s="5"/>
      <c r="E475" s="5"/>
      <c r="F475" s="212"/>
      <c r="G475" s="212"/>
      <c r="H475" s="5"/>
      <c r="I475" s="5"/>
      <c r="J475" s="5"/>
      <c r="K475" s="5"/>
      <c r="L475" s="103"/>
      <c r="M475" s="103"/>
      <c r="N475" s="103"/>
      <c r="O475" s="103"/>
      <c r="P475" s="212"/>
      <c r="Q475" s="213"/>
      <c r="S475" s="220"/>
      <c r="T475" s="18"/>
      <c r="U475" s="18"/>
      <c r="V475" s="97"/>
    </row>
    <row r="476" spans="1:22" s="14" customFormat="1" ht="18" hidden="1" customHeight="1">
      <c r="A476" s="147"/>
      <c r="B476" s="5"/>
      <c r="C476" s="5"/>
      <c r="D476" s="5"/>
      <c r="E476" s="5"/>
      <c r="F476" s="212"/>
      <c r="G476" s="212"/>
      <c r="H476" s="5"/>
      <c r="I476" s="5"/>
      <c r="J476" s="5"/>
      <c r="K476" s="5"/>
      <c r="L476" s="103"/>
      <c r="M476" s="103"/>
      <c r="N476" s="103"/>
      <c r="O476" s="103"/>
      <c r="P476" s="212"/>
      <c r="Q476" s="213"/>
      <c r="S476" s="214"/>
      <c r="T476" s="18"/>
      <c r="U476" s="18"/>
      <c r="V476" s="97"/>
    </row>
    <row r="477" spans="1:22" ht="18" hidden="1" customHeight="1">
      <c r="A477" s="96" t="s">
        <v>612</v>
      </c>
      <c r="B477" s="14"/>
      <c r="C477" s="14"/>
      <c r="D477" s="14"/>
      <c r="E477" s="14"/>
      <c r="M477" s="120" t="s">
        <v>613</v>
      </c>
      <c r="N477" s="28" t="s">
        <v>127</v>
      </c>
      <c r="O477" s="689" t="s">
        <v>609</v>
      </c>
      <c r="P477" s="716"/>
      <c r="Q477" s="221" t="s">
        <v>630</v>
      </c>
      <c r="R477" s="221">
        <v>16</v>
      </c>
      <c r="S477" s="214"/>
      <c r="V477" s="185"/>
    </row>
    <row r="478" spans="1:22" ht="18" hidden="1" customHeight="1">
      <c r="A478" s="96"/>
      <c r="B478" s="5"/>
      <c r="C478" s="5"/>
      <c r="D478" s="5"/>
      <c r="E478" s="5"/>
      <c r="M478" s="250"/>
      <c r="N478" s="28" t="s">
        <v>127</v>
      </c>
      <c r="O478" s="689">
        <f>+J473</f>
        <v>437.38656756789834</v>
      </c>
      <c r="P478" s="716"/>
      <c r="Q478" s="221" t="s">
        <v>630</v>
      </c>
      <c r="R478" s="221">
        <v>16</v>
      </c>
      <c r="S478" s="214"/>
      <c r="V478" s="185"/>
    </row>
    <row r="479" spans="1:22" s="279" customFormat="1" ht="18" hidden="1" customHeight="1">
      <c r="A479" s="96"/>
      <c r="B479" s="5"/>
      <c r="C479" s="5"/>
      <c r="D479" s="5"/>
      <c r="E479" s="5"/>
      <c r="F479" s="30"/>
      <c r="G479" s="30"/>
      <c r="H479" s="30"/>
      <c r="I479" s="30"/>
      <c r="J479" s="30"/>
      <c r="K479" s="30"/>
      <c r="L479" s="30"/>
      <c r="M479" s="120" t="s">
        <v>613</v>
      </c>
      <c r="N479" s="28" t="s">
        <v>127</v>
      </c>
      <c r="O479" s="689">
        <f>O478*R478</f>
        <v>6998.1850810863734</v>
      </c>
      <c r="P479" s="716"/>
      <c r="Q479" s="241" t="s">
        <v>8</v>
      </c>
      <c r="R479" s="14"/>
      <c r="S479" s="214"/>
      <c r="T479" s="30"/>
      <c r="U479" s="30"/>
      <c r="V479" s="185"/>
    </row>
    <row r="480" spans="1:22" s="279" customFormat="1" ht="18" hidden="1" customHeight="1">
      <c r="A480" s="96"/>
      <c r="B480" s="5"/>
      <c r="C480" s="5"/>
      <c r="D480" s="5"/>
      <c r="E480" s="5"/>
      <c r="F480" s="30"/>
      <c r="G480" s="30"/>
      <c r="H480" s="30"/>
      <c r="I480" s="30"/>
      <c r="J480" s="30"/>
      <c r="K480" s="30"/>
      <c r="L480" s="30"/>
      <c r="M480" s="120"/>
      <c r="N480" s="28"/>
      <c r="O480" s="28"/>
      <c r="P480" s="14"/>
      <c r="Q480" s="241"/>
      <c r="R480" s="14"/>
      <c r="S480" s="214"/>
      <c r="T480" s="30"/>
      <c r="U480" s="30"/>
      <c r="V480" s="185"/>
    </row>
    <row r="481" spans="1:22" s="279" customFormat="1" ht="18" hidden="1" customHeight="1">
      <c r="A481" s="96"/>
      <c r="B481" s="5"/>
      <c r="C481" s="5"/>
      <c r="D481" s="5"/>
      <c r="E481" s="5"/>
      <c r="F481" s="30"/>
      <c r="G481" s="30"/>
      <c r="H481" s="30"/>
      <c r="I481" s="30"/>
      <c r="J481" s="30"/>
      <c r="K481" s="30"/>
      <c r="L481" s="30"/>
      <c r="M481" s="120"/>
      <c r="N481" s="28"/>
      <c r="O481" s="28"/>
      <c r="P481" s="14"/>
      <c r="Q481" s="241"/>
      <c r="R481" s="14"/>
      <c r="S481" s="214"/>
      <c r="T481" s="30"/>
      <c r="U481" s="30"/>
      <c r="V481" s="185"/>
    </row>
    <row r="482" spans="1:22" s="279" customFormat="1" ht="18" hidden="1" customHeight="1">
      <c r="A482" s="96"/>
      <c r="B482" s="5"/>
      <c r="C482" s="5"/>
      <c r="D482" s="5"/>
      <c r="E482" s="5"/>
      <c r="F482" s="30"/>
      <c r="G482" s="30"/>
      <c r="H482" s="30"/>
      <c r="I482" s="30"/>
      <c r="J482" s="30"/>
      <c r="K482" s="30"/>
      <c r="L482" s="30"/>
      <c r="M482" s="120"/>
      <c r="N482" s="28"/>
      <c r="O482" s="28"/>
      <c r="P482" s="14"/>
      <c r="Q482" s="241"/>
      <c r="R482" s="14"/>
      <c r="S482" s="214"/>
      <c r="T482" s="30"/>
      <c r="U482" s="30"/>
      <c r="V482" s="185"/>
    </row>
    <row r="483" spans="1:22" s="279" customFormat="1" ht="18" hidden="1" customHeight="1">
      <c r="A483" s="96"/>
      <c r="B483" s="5"/>
      <c r="C483" s="5"/>
      <c r="D483" s="5"/>
      <c r="E483" s="5"/>
      <c r="F483" s="30"/>
      <c r="G483" s="30"/>
      <c r="H483" s="30"/>
      <c r="I483" s="30"/>
      <c r="J483" s="30"/>
      <c r="K483" s="30"/>
      <c r="L483" s="30"/>
      <c r="M483" s="120"/>
      <c r="N483" s="28"/>
      <c r="O483" s="28"/>
      <c r="P483" s="14"/>
      <c r="Q483" s="241"/>
      <c r="R483" s="14"/>
      <c r="S483" s="214"/>
      <c r="T483" s="30"/>
      <c r="U483" s="30"/>
      <c r="V483" s="185"/>
    </row>
    <row r="484" spans="1:22" s="279" customFormat="1" ht="18" hidden="1" customHeight="1">
      <c r="A484" s="96"/>
      <c r="B484" s="5"/>
      <c r="C484" s="5"/>
      <c r="D484" s="5"/>
      <c r="E484" s="5"/>
      <c r="F484" s="30"/>
      <c r="G484" s="30"/>
      <c r="H484" s="30"/>
      <c r="I484" s="30"/>
      <c r="J484" s="30"/>
      <c r="K484" s="30"/>
      <c r="L484" s="30"/>
      <c r="M484" s="120"/>
      <c r="N484" s="28"/>
      <c r="O484" s="28"/>
      <c r="P484" s="14"/>
      <c r="Q484" s="241"/>
      <c r="R484" s="14"/>
      <c r="S484" s="214"/>
      <c r="T484" s="30"/>
      <c r="U484" s="30"/>
      <c r="V484" s="185"/>
    </row>
    <row r="485" spans="1:22" s="279" customFormat="1" ht="18" hidden="1" customHeight="1">
      <c r="A485" s="194"/>
      <c r="B485" s="195"/>
      <c r="C485" s="195"/>
      <c r="D485" s="195"/>
      <c r="E485" s="195"/>
      <c r="F485" s="195"/>
      <c r="G485" s="195"/>
      <c r="H485" s="195"/>
      <c r="I485" s="195"/>
      <c r="J485" s="195"/>
      <c r="K485" s="195"/>
      <c r="L485" s="195"/>
      <c r="M485" s="195"/>
      <c r="N485" s="195"/>
      <c r="O485" s="195"/>
      <c r="P485" s="195"/>
      <c r="Q485" s="224"/>
      <c r="R485" s="182"/>
      <c r="S485" s="225"/>
      <c r="T485" s="195"/>
      <c r="U485" s="195"/>
      <c r="V485" s="134" t="s">
        <v>552</v>
      </c>
    </row>
    <row r="486" spans="1:22" ht="18" hidden="1" customHeight="1">
      <c r="A486" s="135"/>
      <c r="B486" s="273"/>
      <c r="C486" s="273"/>
      <c r="D486" s="273"/>
      <c r="E486" s="273"/>
      <c r="F486" s="273"/>
      <c r="G486" s="273"/>
      <c r="H486" s="273"/>
      <c r="I486" s="273"/>
      <c r="J486" s="273"/>
      <c r="K486" s="273"/>
      <c r="L486" s="273"/>
      <c r="M486" s="273"/>
      <c r="N486" s="273"/>
      <c r="O486" s="273"/>
      <c r="P486" s="273"/>
      <c r="Q486" s="274"/>
      <c r="R486" s="138"/>
      <c r="S486" s="275"/>
      <c r="T486" s="273"/>
      <c r="U486" s="273"/>
      <c r="V486" s="276"/>
    </row>
    <row r="487" spans="1:22" ht="18" hidden="1" customHeight="1">
      <c r="A487" s="96" t="s">
        <v>686</v>
      </c>
      <c r="V487" s="185"/>
    </row>
    <row r="488" spans="1:22" ht="18" hidden="1" customHeight="1">
      <c r="A488" s="184"/>
      <c r="V488" s="185"/>
    </row>
    <row r="489" spans="1:22" ht="18" hidden="1" customHeight="1">
      <c r="A489" s="277"/>
      <c r="B489" s="689" t="s">
        <v>473</v>
      </c>
      <c r="C489" s="1150" t="s">
        <v>652</v>
      </c>
      <c r="D489" s="279"/>
      <c r="E489" s="279"/>
      <c r="F489" s="279"/>
      <c r="G489" s="802" t="s">
        <v>687</v>
      </c>
      <c r="H489" s="1153" t="s">
        <v>315</v>
      </c>
      <c r="I489" s="708" t="s">
        <v>688</v>
      </c>
      <c r="J489" s="1147"/>
      <c r="K489" s="1147"/>
      <c r="L489" s="1147"/>
      <c r="M489" s="1147"/>
      <c r="N489" s="689" t="s">
        <v>672</v>
      </c>
      <c r="O489" s="708" t="s">
        <v>420</v>
      </c>
      <c r="P489" s="689" t="s">
        <v>347</v>
      </c>
      <c r="Q489" s="708" t="s">
        <v>689</v>
      </c>
      <c r="R489" s="708" t="s">
        <v>674</v>
      </c>
      <c r="S489" s="708" t="s">
        <v>411</v>
      </c>
      <c r="T489" s="14"/>
      <c r="U489" s="729" t="s">
        <v>653</v>
      </c>
      <c r="V489" s="185"/>
    </row>
    <row r="490" spans="1:22" ht="18" hidden="1" customHeight="1">
      <c r="A490" s="277"/>
      <c r="B490" s="689"/>
      <c r="C490" s="689"/>
      <c r="D490" s="279"/>
      <c r="E490" s="279"/>
      <c r="F490" s="279"/>
      <c r="G490" s="802"/>
      <c r="H490" s="689"/>
      <c r="I490" s="689">
        <v>1.3</v>
      </c>
      <c r="J490" s="689"/>
      <c r="K490" s="28" t="s">
        <v>315</v>
      </c>
      <c r="L490" s="689" t="s">
        <v>423</v>
      </c>
      <c r="M490" s="689"/>
      <c r="N490" s="689"/>
      <c r="O490" s="689"/>
      <c r="P490" s="689"/>
      <c r="Q490" s="689"/>
      <c r="R490" s="689"/>
      <c r="S490" s="689"/>
      <c r="T490" s="14"/>
      <c r="U490" s="689"/>
      <c r="V490" s="185"/>
    </row>
    <row r="491" spans="1:22" ht="18" hidden="1" customHeight="1">
      <c r="A491" s="184"/>
      <c r="V491" s="185"/>
    </row>
    <row r="492" spans="1:22" ht="18" hidden="1" customHeight="1">
      <c r="A492" s="184"/>
      <c r="B492" s="47" t="s">
        <v>654</v>
      </c>
      <c r="C492" s="14"/>
      <c r="D492" s="14"/>
      <c r="E492" s="14"/>
      <c r="F492" s="18"/>
      <c r="G492" s="18"/>
      <c r="H492" s="14"/>
      <c r="I492" s="120"/>
      <c r="J492" s="14"/>
      <c r="K492" s="14"/>
      <c r="M492" s="14"/>
      <c r="N492" s="14"/>
      <c r="P492" s="14" t="s">
        <v>423</v>
      </c>
      <c r="R492" s="234" t="s">
        <v>127</v>
      </c>
      <c r="S492" s="684">
        <f>J446</f>
        <v>4000</v>
      </c>
      <c r="T492" s="684"/>
      <c r="U492" s="30" t="s">
        <v>8</v>
      </c>
      <c r="V492" s="185"/>
    </row>
    <row r="493" spans="1:22" ht="18" hidden="1" customHeight="1">
      <c r="A493" s="184"/>
      <c r="B493" s="47" t="s">
        <v>655</v>
      </c>
      <c r="C493" s="14"/>
      <c r="D493" s="14"/>
      <c r="E493" s="14"/>
      <c r="F493" s="18"/>
      <c r="G493" s="18"/>
      <c r="H493" s="14"/>
      <c r="I493" s="120"/>
      <c r="J493" s="14"/>
      <c r="K493" s="14"/>
      <c r="M493" s="14"/>
      <c r="N493" s="14"/>
      <c r="P493" s="14" t="s">
        <v>420</v>
      </c>
      <c r="R493" s="234" t="s">
        <v>127</v>
      </c>
      <c r="S493" s="684">
        <f>J448</f>
        <v>15</v>
      </c>
      <c r="T493" s="684"/>
      <c r="U493" s="192" t="s">
        <v>333</v>
      </c>
      <c r="V493" s="185"/>
    </row>
    <row r="494" spans="1:22" ht="18" hidden="1" customHeight="1">
      <c r="A494" s="184"/>
      <c r="B494" s="47" t="s">
        <v>676</v>
      </c>
      <c r="C494" s="14"/>
      <c r="D494" s="14"/>
      <c r="E494" s="14"/>
      <c r="F494" s="18"/>
      <c r="G494" s="18"/>
      <c r="H494" s="14"/>
      <c r="I494" s="120"/>
      <c r="J494" s="14"/>
      <c r="K494" s="14"/>
      <c r="M494" s="14"/>
      <c r="N494" s="14"/>
      <c r="P494" s="14" t="s">
        <v>690</v>
      </c>
      <c r="R494" s="234" t="s">
        <v>127</v>
      </c>
      <c r="S494" s="795">
        <f>Q465</f>
        <v>1.2667743100000002</v>
      </c>
      <c r="T494" s="795"/>
      <c r="U494" s="192" t="s">
        <v>333</v>
      </c>
      <c r="V494" s="185"/>
    </row>
    <row r="495" spans="1:22" ht="18" hidden="1" customHeight="1">
      <c r="A495" s="184"/>
      <c r="B495" s="47" t="s">
        <v>691</v>
      </c>
      <c r="C495" s="14"/>
      <c r="D495" s="14"/>
      <c r="E495" s="14"/>
      <c r="F495" s="14"/>
      <c r="G495" s="14"/>
      <c r="H495" s="14"/>
      <c r="I495" s="120"/>
      <c r="J495" s="14"/>
      <c r="K495" s="14"/>
      <c r="M495" s="14"/>
      <c r="N495" s="14"/>
      <c r="P495" s="14" t="s">
        <v>411</v>
      </c>
      <c r="R495" s="234" t="s">
        <v>127</v>
      </c>
      <c r="S495" s="684">
        <f>O446</f>
        <v>1</v>
      </c>
      <c r="T495" s="684"/>
      <c r="U495" s="30" t="s">
        <v>8</v>
      </c>
      <c r="V495" s="185"/>
    </row>
    <row r="496" spans="1:22" ht="18" hidden="1" customHeight="1">
      <c r="A496" s="184"/>
      <c r="B496" s="47" t="s">
        <v>678</v>
      </c>
      <c r="C496" s="14"/>
      <c r="D496" s="14"/>
      <c r="E496" s="14"/>
      <c r="F496" s="14"/>
      <c r="G496" s="14"/>
      <c r="H496" s="14"/>
      <c r="I496" s="120"/>
      <c r="J496" s="14"/>
      <c r="K496" s="14"/>
      <c r="M496" s="14"/>
      <c r="N496" s="14"/>
      <c r="P496" s="120" t="s">
        <v>688</v>
      </c>
      <c r="R496" s="234" t="s">
        <v>127</v>
      </c>
      <c r="S496" s="684">
        <f>O479</f>
        <v>6998.1850810863734</v>
      </c>
      <c r="T496" s="684"/>
      <c r="U496" s="30" t="s">
        <v>8</v>
      </c>
      <c r="V496" s="185"/>
    </row>
    <row r="497" spans="1:22" s="279" customFormat="1" ht="18" hidden="1" customHeight="1">
      <c r="A497" s="184"/>
      <c r="B497" s="47" t="s">
        <v>692</v>
      </c>
      <c r="C497" s="14"/>
      <c r="D497" s="14"/>
      <c r="E497" s="14"/>
      <c r="F497" s="14"/>
      <c r="G497" s="14"/>
      <c r="H497" s="14"/>
      <c r="I497" s="120"/>
      <c r="J497" s="14"/>
      <c r="K497" s="14"/>
      <c r="L497" s="30"/>
      <c r="M497" s="14"/>
      <c r="N497" s="14"/>
      <c r="O497" s="30"/>
      <c r="P497" s="120" t="s">
        <v>680</v>
      </c>
      <c r="Q497" s="30"/>
      <c r="R497" s="234" t="s">
        <v>127</v>
      </c>
      <c r="S497" s="795">
        <f>J473</f>
        <v>437.38656756789834</v>
      </c>
      <c r="T497" s="684"/>
      <c r="U497" s="30" t="s">
        <v>8</v>
      </c>
      <c r="V497" s="185"/>
    </row>
    <row r="498" spans="1:22" s="279" customFormat="1" ht="18" hidden="1" customHeight="1">
      <c r="A498" s="184"/>
      <c r="B498" s="47" t="s">
        <v>659</v>
      </c>
      <c r="C498" s="14"/>
      <c r="D498" s="14"/>
      <c r="E498" s="14"/>
      <c r="F498" s="14"/>
      <c r="G498" s="14"/>
      <c r="H498" s="14"/>
      <c r="I498" s="120"/>
      <c r="J498" s="14"/>
      <c r="K498" s="14"/>
      <c r="L498" s="30"/>
      <c r="M498" s="14"/>
      <c r="N498" s="14"/>
      <c r="O498" s="30"/>
      <c r="P498" s="120" t="s">
        <v>660</v>
      </c>
      <c r="Q498" s="30"/>
      <c r="R498" s="234" t="s">
        <v>127</v>
      </c>
      <c r="S498" s="684">
        <f>S410</f>
        <v>1</v>
      </c>
      <c r="T498" s="684"/>
      <c r="U498" s="30" t="s">
        <v>8</v>
      </c>
      <c r="V498" s="185"/>
    </row>
    <row r="499" spans="1:22" ht="18" hidden="1" customHeight="1">
      <c r="A499" s="96"/>
      <c r="B499" s="14"/>
      <c r="C499" s="14"/>
      <c r="D499" s="235"/>
      <c r="E499" s="14"/>
      <c r="F499" s="28"/>
      <c r="G499" s="249"/>
      <c r="H499" s="28"/>
      <c r="I499" s="251"/>
      <c r="J499" s="14"/>
      <c r="K499" s="280"/>
      <c r="M499" s="47"/>
      <c r="N499" s="268"/>
      <c r="P499" s="281"/>
      <c r="R499" s="234"/>
      <c r="S499" s="1148"/>
      <c r="T499" s="723"/>
      <c r="V499" s="185"/>
    </row>
    <row r="500" spans="1:22" ht="18" hidden="1" customHeight="1">
      <c r="A500" s="272" t="s">
        <v>693</v>
      </c>
      <c r="B500" s="14"/>
      <c r="C500" s="14"/>
      <c r="D500" s="14"/>
      <c r="E500" s="14"/>
      <c r="F500" s="14"/>
      <c r="G500" s="14"/>
      <c r="H500" s="28">
        <v>3</v>
      </c>
      <c r="I500" s="47" t="s">
        <v>694</v>
      </c>
      <c r="J500" s="14"/>
      <c r="K500" s="14"/>
      <c r="M500" s="14" t="s">
        <v>337</v>
      </c>
      <c r="N500" s="14"/>
      <c r="P500" s="120"/>
      <c r="R500" s="234"/>
      <c r="S500" s="1149"/>
      <c r="T500" s="723"/>
      <c r="V500" s="185"/>
    </row>
    <row r="501" spans="1:22" ht="18" hidden="1" customHeight="1">
      <c r="A501" s="272"/>
      <c r="B501" s="14"/>
      <c r="C501" s="14"/>
      <c r="D501" s="14"/>
      <c r="E501" s="14"/>
      <c r="F501" s="14"/>
      <c r="G501" s="14"/>
      <c r="H501" s="28"/>
      <c r="I501" s="47"/>
      <c r="J501" s="14"/>
      <c r="K501" s="14"/>
      <c r="M501" s="14"/>
      <c r="N501" s="14"/>
      <c r="P501" s="120"/>
      <c r="R501" s="234"/>
      <c r="S501" s="282"/>
      <c r="V501" s="185"/>
    </row>
    <row r="502" spans="1:22" ht="18" hidden="1" customHeight="1">
      <c r="A502" s="277"/>
      <c r="B502" s="689" t="s">
        <v>473</v>
      </c>
      <c r="C502" s="1150" t="s">
        <v>652</v>
      </c>
      <c r="D502" s="279"/>
      <c r="E502" s="279"/>
      <c r="F502" s="279"/>
      <c r="G502" s="802">
        <f>H500</f>
        <v>3</v>
      </c>
      <c r="H502" s="1151" t="s">
        <v>315</v>
      </c>
      <c r="I502" s="829">
        <f>S496</f>
        <v>6998.1850810863734</v>
      </c>
      <c r="J502" s="1152"/>
      <c r="K502" s="1152"/>
      <c r="L502" s="1152"/>
      <c r="M502" s="1152"/>
      <c r="N502" s="689" t="s">
        <v>672</v>
      </c>
      <c r="O502" s="708">
        <f>S493</f>
        <v>15</v>
      </c>
      <c r="P502" s="689" t="s">
        <v>347</v>
      </c>
      <c r="Q502" s="829">
        <f>S494</f>
        <v>1.2667743100000002</v>
      </c>
      <c r="R502" s="708" t="s">
        <v>674</v>
      </c>
      <c r="S502" s="708">
        <f>S495</f>
        <v>1</v>
      </c>
      <c r="T502" s="14"/>
      <c r="U502" s="729" t="s">
        <v>653</v>
      </c>
      <c r="V502" s="185"/>
    </row>
    <row r="503" spans="1:22" ht="18" hidden="1" customHeight="1">
      <c r="A503" s="277"/>
      <c r="B503" s="689"/>
      <c r="C503" s="689"/>
      <c r="D503" s="279"/>
      <c r="E503" s="279"/>
      <c r="F503" s="279"/>
      <c r="G503" s="802"/>
      <c r="H503" s="684"/>
      <c r="I503" s="689">
        <v>1.3</v>
      </c>
      <c r="J503" s="684"/>
      <c r="K503" s="28" t="s">
        <v>315</v>
      </c>
      <c r="L503" s="689">
        <f>S492</f>
        <v>4000</v>
      </c>
      <c r="M503" s="684"/>
      <c r="N503" s="689"/>
      <c r="O503" s="689"/>
      <c r="P503" s="689"/>
      <c r="Q503" s="689"/>
      <c r="R503" s="689"/>
      <c r="S503" s="689"/>
      <c r="T503" s="14"/>
      <c r="U503" s="689"/>
      <c r="V503" s="185"/>
    </row>
    <row r="504" spans="1:22" ht="18" hidden="1" customHeight="1">
      <c r="A504" s="96"/>
      <c r="B504" s="14"/>
      <c r="C504" s="27" t="s">
        <v>127</v>
      </c>
      <c r="D504" s="812">
        <f>G502*(I502/(I503*L503)*(O502+Q502)*S502)</f>
        <v>65.675709977100624</v>
      </c>
      <c r="E504" s="813"/>
      <c r="F504" s="30" t="s">
        <v>305</v>
      </c>
      <c r="G504" s="14"/>
      <c r="H504" s="14"/>
      <c r="I504" s="14"/>
      <c r="J504" s="14"/>
      <c r="K504" s="14"/>
      <c r="L504" s="14"/>
      <c r="M504" s="14"/>
      <c r="N504" s="14"/>
      <c r="R504" s="234"/>
      <c r="S504" s="204"/>
      <c r="V504" s="185"/>
    </row>
    <row r="505" spans="1:22" ht="18" hidden="1" customHeight="1">
      <c r="A505" s="96"/>
      <c r="B505" s="14"/>
      <c r="G505" s="14"/>
      <c r="H505" s="14"/>
      <c r="I505" s="14"/>
      <c r="J505" s="14"/>
      <c r="K505" s="14"/>
      <c r="L505" s="14"/>
      <c r="M505" s="14"/>
      <c r="N505" s="14"/>
      <c r="R505" s="234"/>
      <c r="S505" s="204"/>
      <c r="V505" s="185"/>
    </row>
    <row r="506" spans="1:22" ht="18" hidden="1" customHeight="1">
      <c r="A506" s="96"/>
      <c r="B506" s="14"/>
      <c r="D506" s="30" t="s">
        <v>475</v>
      </c>
      <c r="G506" s="27" t="str">
        <f>IF(E507&gt;H507,"&gt;","&lt;")</f>
        <v>&gt;</v>
      </c>
      <c r="H506" s="30" t="s">
        <v>477</v>
      </c>
      <c r="M506" s="14"/>
      <c r="N506" s="14"/>
      <c r="R506" s="234"/>
      <c r="S506" s="204"/>
      <c r="V506" s="185"/>
    </row>
    <row r="507" spans="1:22" ht="18" hidden="1" customHeight="1">
      <c r="A507" s="96"/>
      <c r="B507" s="14"/>
      <c r="E507" s="684">
        <f>J449</f>
        <v>800</v>
      </c>
      <c r="F507" s="684"/>
      <c r="G507" s="27" t="str">
        <f>G506</f>
        <v>&gt;</v>
      </c>
      <c r="H507" s="795">
        <f>D504</f>
        <v>65.675709977100624</v>
      </c>
      <c r="I507" s="684"/>
      <c r="M507" s="14"/>
      <c r="N507" s="14"/>
      <c r="R507" s="234"/>
      <c r="S507" s="204"/>
      <c r="V507" s="185"/>
    </row>
    <row r="508" spans="1:22" ht="18" hidden="1" customHeight="1">
      <c r="A508" s="96"/>
      <c r="B508" s="14"/>
      <c r="F508" s="244" t="s">
        <v>478</v>
      </c>
      <c r="H508" s="18" t="str">
        <f>IF(G506="&gt;","Suitably Dimentioned","Under Dimentioned")</f>
        <v>Suitably Dimentioned</v>
      </c>
      <c r="M508" s="14"/>
      <c r="N508" s="14"/>
      <c r="R508" s="234"/>
      <c r="S508" s="204"/>
      <c r="V508" s="185"/>
    </row>
    <row r="509" spans="1:22" ht="18" hidden="1" customHeight="1">
      <c r="A509" s="96"/>
      <c r="B509" s="14"/>
      <c r="G509" s="14"/>
      <c r="H509" s="14"/>
      <c r="I509" s="14"/>
      <c r="J509" s="14"/>
      <c r="K509" s="14"/>
      <c r="L509" s="14"/>
      <c r="M509" s="14"/>
      <c r="N509" s="14"/>
      <c r="R509" s="234"/>
      <c r="S509" s="204"/>
      <c r="V509" s="185"/>
    </row>
    <row r="510" spans="1:22" ht="18" hidden="1" customHeight="1">
      <c r="A510" s="193" t="s">
        <v>695</v>
      </c>
      <c r="B510" s="14"/>
      <c r="G510" s="14"/>
      <c r="H510" s="14"/>
      <c r="I510" s="14"/>
      <c r="J510" s="14"/>
      <c r="K510" s="14"/>
      <c r="L510" s="14"/>
      <c r="M510" s="14"/>
      <c r="N510" s="14"/>
      <c r="R510" s="234"/>
      <c r="S510" s="204"/>
      <c r="V510" s="185"/>
    </row>
    <row r="511" spans="1:22" ht="18" hidden="1" customHeight="1">
      <c r="A511" s="96"/>
      <c r="B511" s="14"/>
      <c r="D511" s="802" t="s">
        <v>696</v>
      </c>
      <c r="E511" s="716"/>
      <c r="F511" s="689" t="s">
        <v>127</v>
      </c>
      <c r="G511" s="708" t="s">
        <v>423</v>
      </c>
      <c r="H511" s="1147"/>
      <c r="I511" s="689" t="s">
        <v>315</v>
      </c>
      <c r="J511" s="708" t="s">
        <v>697</v>
      </c>
      <c r="K511" s="1147"/>
      <c r="L511" s="14"/>
      <c r="M511" s="14"/>
      <c r="N511" s="14"/>
      <c r="R511" s="234"/>
      <c r="S511" s="204"/>
      <c r="V511" s="185"/>
    </row>
    <row r="512" spans="1:22" ht="18" hidden="1" customHeight="1">
      <c r="A512" s="96"/>
      <c r="B512" s="14"/>
      <c r="D512" s="716"/>
      <c r="E512" s="716"/>
      <c r="F512" s="689"/>
      <c r="G512" s="689" t="s">
        <v>680</v>
      </c>
      <c r="H512" s="716"/>
      <c r="I512" s="689"/>
      <c r="J512" s="689" t="s">
        <v>411</v>
      </c>
      <c r="K512" s="716"/>
      <c r="L512" s="14"/>
      <c r="M512" s="14"/>
      <c r="N512" s="14"/>
      <c r="R512" s="234"/>
      <c r="S512" s="204"/>
      <c r="V512" s="185"/>
    </row>
    <row r="513" spans="1:22" ht="18" hidden="1" customHeight="1">
      <c r="A513" s="96"/>
      <c r="B513" s="14"/>
      <c r="D513" s="14"/>
      <c r="E513" s="14"/>
      <c r="F513" s="14"/>
      <c r="G513" s="14"/>
      <c r="H513" s="14"/>
      <c r="I513" s="14"/>
      <c r="J513" s="14"/>
      <c r="K513" s="14"/>
      <c r="L513" s="14"/>
      <c r="M513" s="14"/>
      <c r="N513" s="14"/>
      <c r="R513" s="234"/>
      <c r="S513" s="204"/>
      <c r="V513" s="185"/>
    </row>
    <row r="514" spans="1:22" ht="18" hidden="1" customHeight="1">
      <c r="A514" s="96"/>
      <c r="B514" s="14"/>
      <c r="D514" s="14"/>
      <c r="E514" s="14"/>
      <c r="F514" s="689" t="s">
        <v>127</v>
      </c>
      <c r="G514" s="708">
        <f>S492</f>
        <v>4000</v>
      </c>
      <c r="H514" s="1147"/>
      <c r="I514" s="689" t="s">
        <v>315</v>
      </c>
      <c r="J514" s="708">
        <f>S498</f>
        <v>1</v>
      </c>
      <c r="K514" s="1147"/>
      <c r="L514" s="14"/>
      <c r="M514" s="14"/>
      <c r="N514" s="14"/>
      <c r="R514" s="234"/>
      <c r="S514" s="204"/>
      <c r="V514" s="185"/>
    </row>
    <row r="515" spans="1:22" ht="18" hidden="1" customHeight="1">
      <c r="A515" s="96"/>
      <c r="B515" s="14"/>
      <c r="D515" s="14"/>
      <c r="E515" s="14"/>
      <c r="F515" s="689"/>
      <c r="G515" s="692">
        <f>J473</f>
        <v>437.38656756789834</v>
      </c>
      <c r="H515" s="716"/>
      <c r="I515" s="689"/>
      <c r="J515" s="689">
        <f>S495</f>
        <v>1</v>
      </c>
      <c r="K515" s="716"/>
      <c r="L515" s="14"/>
      <c r="M515" s="14"/>
      <c r="N515" s="14"/>
      <c r="R515" s="234"/>
      <c r="S515" s="204"/>
      <c r="V515" s="185"/>
    </row>
    <row r="516" spans="1:22" ht="18" hidden="1" customHeight="1">
      <c r="A516" s="96"/>
      <c r="B516" s="14"/>
      <c r="D516" s="14"/>
      <c r="E516" s="14"/>
      <c r="F516" s="14"/>
      <c r="G516" s="14"/>
      <c r="H516" s="14"/>
      <c r="I516" s="14"/>
      <c r="J516" s="14"/>
      <c r="K516" s="14"/>
      <c r="L516" s="14"/>
      <c r="M516" s="14"/>
      <c r="N516" s="14"/>
      <c r="R516" s="234"/>
      <c r="S516" s="204"/>
      <c r="V516" s="185"/>
    </row>
    <row r="517" spans="1:22" ht="18" hidden="1" customHeight="1">
      <c r="A517" s="96"/>
      <c r="B517" s="14"/>
      <c r="D517" s="14"/>
      <c r="E517" s="14"/>
      <c r="F517" s="28" t="s">
        <v>127</v>
      </c>
      <c r="G517" s="716">
        <f>(G514/G515)*(J514/J515)</f>
        <v>9.1452282639636717</v>
      </c>
      <c r="H517" s="716"/>
      <c r="I517" s="14"/>
      <c r="J517" s="14"/>
      <c r="K517" s="14"/>
      <c r="L517" s="14"/>
      <c r="M517" s="14"/>
      <c r="N517" s="14"/>
      <c r="R517" s="234"/>
      <c r="S517" s="204"/>
      <c r="V517" s="185"/>
    </row>
    <row r="518" spans="1:22" ht="18" hidden="1" customHeight="1">
      <c r="A518" s="96"/>
      <c r="B518" s="14"/>
      <c r="G518" s="14"/>
      <c r="H518" s="14"/>
      <c r="I518" s="14"/>
      <c r="J518" s="14"/>
      <c r="K518" s="14"/>
      <c r="L518" s="14"/>
      <c r="M518" s="14"/>
      <c r="N518" s="14"/>
      <c r="R518" s="234"/>
      <c r="S518" s="204"/>
      <c r="V518" s="185"/>
    </row>
    <row r="519" spans="1:22" s="14" customFormat="1" ht="18" hidden="1" customHeight="1">
      <c r="A519" s="96"/>
      <c r="C519" s="30"/>
      <c r="D519" s="283" t="s">
        <v>698</v>
      </c>
      <c r="E519" s="284" t="s">
        <v>699</v>
      </c>
      <c r="F519" s="689" t="s">
        <v>696</v>
      </c>
      <c r="G519" s="716"/>
      <c r="H519" s="716"/>
      <c r="I519" s="284" t="s">
        <v>699</v>
      </c>
      <c r="J519" s="28">
        <v>4</v>
      </c>
      <c r="K519" s="30"/>
      <c r="L519" s="279"/>
      <c r="M519" s="120" t="s">
        <v>700</v>
      </c>
      <c r="N519" s="47" t="s">
        <v>701</v>
      </c>
      <c r="O519" s="279"/>
      <c r="P519" s="236"/>
      <c r="Q519" s="236"/>
      <c r="R519" s="234"/>
      <c r="S519" s="204"/>
      <c r="T519" s="30"/>
      <c r="U519" s="30"/>
      <c r="V519" s="185"/>
    </row>
    <row r="520" spans="1:22" ht="18" hidden="1" customHeight="1">
      <c r="A520" s="96"/>
      <c r="B520" s="14"/>
      <c r="D520" s="218">
        <v>0.25</v>
      </c>
      <c r="E520" s="284" t="str">
        <f>IF(D520&lt;=G517,"≤","&gt;")</f>
        <v>≤</v>
      </c>
      <c r="F520" s="688">
        <f>G517</f>
        <v>9.1452282639636717</v>
      </c>
      <c r="G520" s="1145"/>
      <c r="H520" s="688"/>
      <c r="I520" s="284" t="str">
        <f>IF(G517&lt;=J519,"≤","&gt;")</f>
        <v>&gt;</v>
      </c>
      <c r="J520" s="28">
        <f>J519</f>
        <v>4</v>
      </c>
      <c r="L520" s="279"/>
      <c r="M520" s="120"/>
      <c r="N520" s="213"/>
      <c r="O520" s="279"/>
      <c r="P520" s="236"/>
      <c r="Q520" s="236"/>
      <c r="R520" s="234"/>
      <c r="S520" s="204"/>
      <c r="V520" s="185"/>
    </row>
    <row r="521" spans="1:22" ht="18" hidden="1" customHeight="1">
      <c r="A521" s="96"/>
      <c r="B521" s="14"/>
      <c r="G521" s="14"/>
      <c r="H521" s="14"/>
      <c r="I521" s="14"/>
      <c r="J521" s="14"/>
      <c r="K521" s="14"/>
      <c r="L521" s="14"/>
      <c r="M521" s="14"/>
      <c r="N521" s="14"/>
      <c r="R521" s="234"/>
      <c r="S521" s="204"/>
      <c r="V521" s="185"/>
    </row>
    <row r="522" spans="1:22" ht="18" hidden="1" customHeight="1">
      <c r="A522" s="96"/>
      <c r="B522" s="14" t="s">
        <v>702</v>
      </c>
      <c r="G522" s="14"/>
      <c r="H522" s="18" t="str">
        <f>IF(AND(E520="≤",I520="≤")=TRUE,"OK","Not OK")</f>
        <v>Not OK</v>
      </c>
      <c r="I522" s="14"/>
      <c r="J522" s="14"/>
      <c r="K522" s="14"/>
      <c r="L522" s="14"/>
      <c r="M522" s="14"/>
      <c r="N522" s="14"/>
      <c r="R522" s="234"/>
      <c r="S522" s="204"/>
      <c r="V522" s="185"/>
    </row>
    <row r="523" spans="1:22" ht="18" hidden="1" customHeight="1">
      <c r="A523" s="96"/>
      <c r="B523" s="14"/>
      <c r="G523" s="14"/>
      <c r="H523" s="18"/>
      <c r="I523" s="14"/>
      <c r="J523" s="14"/>
      <c r="K523" s="14"/>
      <c r="L523" s="14"/>
      <c r="M523" s="14"/>
      <c r="N523" s="14"/>
      <c r="R523" s="234"/>
      <c r="S523" s="204"/>
      <c r="V523" s="185"/>
    </row>
    <row r="524" spans="1:22" ht="18" hidden="1" customHeight="1">
      <c r="A524" s="96"/>
      <c r="B524" s="14"/>
      <c r="G524" s="14"/>
      <c r="H524" s="18"/>
      <c r="I524" s="14"/>
      <c r="J524" s="14"/>
      <c r="K524" s="14"/>
      <c r="L524" s="14"/>
      <c r="M524" s="14"/>
      <c r="N524" s="14"/>
      <c r="R524" s="234"/>
      <c r="S524" s="204"/>
      <c r="V524" s="185"/>
    </row>
    <row r="525" spans="1:22" ht="18" hidden="1" customHeight="1">
      <c r="A525" s="96"/>
      <c r="B525" s="14"/>
      <c r="G525" s="14"/>
      <c r="H525" s="18"/>
      <c r="I525" s="14"/>
      <c r="J525" s="14"/>
      <c r="K525" s="14"/>
      <c r="L525" s="14"/>
      <c r="M525" s="14"/>
      <c r="N525" s="14"/>
      <c r="R525" s="234"/>
      <c r="S525" s="204"/>
      <c r="V525" s="185"/>
    </row>
    <row r="526" spans="1:22" ht="18" hidden="1" customHeight="1">
      <c r="A526" s="96"/>
      <c r="B526" s="14"/>
      <c r="G526" s="14"/>
      <c r="H526" s="18"/>
      <c r="I526" s="14"/>
      <c r="J526" s="14"/>
      <c r="K526" s="14"/>
      <c r="L526" s="14"/>
      <c r="M526" s="14"/>
      <c r="N526" s="14"/>
      <c r="R526" s="234"/>
      <c r="S526" s="204"/>
      <c r="V526" s="185"/>
    </row>
    <row r="527" spans="1:22" ht="18" hidden="1" customHeight="1">
      <c r="A527" s="96"/>
      <c r="B527" s="14"/>
      <c r="G527" s="14"/>
      <c r="H527" s="18"/>
      <c r="I527" s="14"/>
      <c r="J527" s="14"/>
      <c r="K527" s="14"/>
      <c r="L527" s="14"/>
      <c r="M527" s="14"/>
      <c r="N527" s="14"/>
      <c r="R527" s="234"/>
      <c r="S527" s="204"/>
      <c r="V527" s="185"/>
    </row>
    <row r="528" spans="1:22" ht="18" hidden="1" customHeight="1">
      <c r="A528" s="96"/>
      <c r="B528" s="14"/>
      <c r="G528" s="14"/>
      <c r="H528" s="14"/>
      <c r="I528" s="14"/>
      <c r="J528" s="14"/>
      <c r="K528" s="14"/>
      <c r="L528" s="14"/>
      <c r="M528" s="14"/>
      <c r="N528" s="14"/>
      <c r="R528" s="234"/>
      <c r="S528" s="204"/>
      <c r="V528" s="185"/>
    </row>
    <row r="529" spans="1:29" ht="18" hidden="1" customHeight="1">
      <c r="A529" s="194"/>
      <c r="B529" s="195"/>
      <c r="C529" s="195"/>
      <c r="D529" s="195"/>
      <c r="E529" s="195"/>
      <c r="F529" s="195"/>
      <c r="G529" s="195"/>
      <c r="H529" s="195"/>
      <c r="I529" s="195"/>
      <c r="J529" s="195"/>
      <c r="K529" s="195"/>
      <c r="L529" s="195"/>
      <c r="M529" s="195"/>
      <c r="N529" s="195"/>
      <c r="O529" s="195"/>
      <c r="P529" s="195"/>
      <c r="Q529" s="224"/>
      <c r="R529" s="182"/>
      <c r="S529" s="225"/>
      <c r="T529" s="195"/>
      <c r="U529" s="195"/>
      <c r="V529" s="134" t="s">
        <v>552</v>
      </c>
    </row>
    <row r="530" spans="1:29" ht="18" hidden="1" customHeight="1">
      <c r="A530" s="226"/>
      <c r="B530" s="227"/>
      <c r="C530" s="227"/>
      <c r="D530" s="227"/>
      <c r="E530" s="227"/>
      <c r="F530" s="227"/>
      <c r="G530" s="227"/>
      <c r="H530" s="227"/>
      <c r="I530" s="227"/>
      <c r="J530" s="227"/>
      <c r="K530" s="227"/>
      <c r="L530" s="227"/>
      <c r="M530" s="227"/>
      <c r="N530" s="227"/>
      <c r="O530" s="227"/>
      <c r="P530" s="227"/>
      <c r="Q530" s="227"/>
      <c r="R530" s="227"/>
      <c r="S530" s="227"/>
      <c r="T530" s="227"/>
      <c r="U530" s="227"/>
      <c r="V530" s="228"/>
    </row>
    <row r="531" spans="1:29" ht="18" hidden="1" customHeight="1">
      <c r="A531" s="184"/>
      <c r="B531" s="854" t="str">
        <f>B443</f>
        <v>CT1L1</v>
      </c>
      <c r="C531" s="831"/>
      <c r="D531" s="855" t="str">
        <f>D443</f>
        <v>Core3</v>
      </c>
      <c r="E531" s="856"/>
      <c r="F531" s="186" t="s">
        <v>636</v>
      </c>
      <c r="H531" s="684" t="str">
        <f>H443</f>
        <v>(Transformer Differential)</v>
      </c>
      <c r="I531" s="684"/>
      <c r="J531" s="684"/>
      <c r="K531" s="684"/>
      <c r="L531" s="684"/>
      <c r="M531" s="684"/>
      <c r="P531" s="186"/>
      <c r="S531" s="187" t="s">
        <v>387</v>
      </c>
      <c r="T531" s="1154" t="str">
        <f>T443</f>
        <v>7UT85</v>
      </c>
      <c r="U531" s="1155"/>
      <c r="V531" s="185"/>
    </row>
    <row r="532" spans="1:29" ht="18" hidden="1" customHeight="1">
      <c r="A532" s="184"/>
      <c r="B532" s="853" t="str">
        <f>B444</f>
        <v>CT1L2</v>
      </c>
      <c r="C532" s="853"/>
      <c r="D532" s="857"/>
      <c r="E532" s="858"/>
      <c r="F532" s="255"/>
      <c r="T532" s="1154">
        <f>T444</f>
        <v>0</v>
      </c>
      <c r="U532" s="1155"/>
      <c r="V532" s="185"/>
    </row>
    <row r="533" spans="1:29" ht="18" hidden="1" customHeight="1">
      <c r="A533" s="184"/>
      <c r="H533" s="708" t="s">
        <v>390</v>
      </c>
      <c r="I533" s="708"/>
      <c r="J533" s="708" t="s">
        <v>391</v>
      </c>
      <c r="K533" s="708"/>
      <c r="L533" s="789" t="s">
        <v>392</v>
      </c>
      <c r="M533" s="789"/>
      <c r="T533" s="1154">
        <f>T445</f>
        <v>0</v>
      </c>
      <c r="U533" s="1155"/>
      <c r="V533" s="185"/>
    </row>
    <row r="534" spans="1:29" ht="18" hidden="1" customHeight="1">
      <c r="A534" s="184"/>
      <c r="B534" s="47" t="s">
        <v>393</v>
      </c>
      <c r="H534" s="854">
        <f>H446</f>
        <v>5000</v>
      </c>
      <c r="I534" s="831"/>
      <c r="J534" s="854">
        <f>J446</f>
        <v>4000</v>
      </c>
      <c r="K534" s="831"/>
      <c r="L534" s="863">
        <f>L446</f>
        <v>3000</v>
      </c>
      <c r="M534" s="864"/>
      <c r="N534" s="102" t="s">
        <v>342</v>
      </c>
      <c r="O534" s="256">
        <f>O446</f>
        <v>1</v>
      </c>
      <c r="P534" s="27" t="s">
        <v>8</v>
      </c>
      <c r="V534" s="185"/>
    </row>
    <row r="535" spans="1:29" ht="18" hidden="1" customHeight="1">
      <c r="A535" s="184"/>
      <c r="B535" s="47" t="s">
        <v>394</v>
      </c>
      <c r="H535" s="14"/>
      <c r="I535" s="14"/>
      <c r="L535" s="854" t="str">
        <f>J447</f>
        <v>PX</v>
      </c>
      <c r="M535" s="776"/>
      <c r="V535" s="185"/>
    </row>
    <row r="536" spans="1:29" ht="18" hidden="1" customHeight="1">
      <c r="A536" s="184"/>
      <c r="B536" s="47" t="s">
        <v>396</v>
      </c>
      <c r="K536" s="120" t="s">
        <v>497</v>
      </c>
      <c r="L536" s="781">
        <v>10</v>
      </c>
      <c r="M536" s="782"/>
      <c r="N536" s="192" t="s">
        <v>333</v>
      </c>
      <c r="V536" s="185"/>
    </row>
    <row r="537" spans="1:29" ht="18" hidden="1" customHeight="1">
      <c r="A537" s="184"/>
      <c r="B537" s="47" t="s">
        <v>398</v>
      </c>
      <c r="K537" s="120" t="s">
        <v>498</v>
      </c>
      <c r="L537" s="781">
        <v>800</v>
      </c>
      <c r="M537" s="782"/>
      <c r="N537" s="14" t="s">
        <v>305</v>
      </c>
      <c r="V537" s="185"/>
      <c r="W537" s="30" t="s">
        <v>400</v>
      </c>
      <c r="AB537" s="785">
        <f>D592</f>
        <v>60.651516837084017</v>
      </c>
      <c r="AC537" s="786"/>
    </row>
    <row r="538" spans="1:29" ht="18" hidden="1" customHeight="1">
      <c r="A538" s="184"/>
      <c r="B538" s="14" t="s">
        <v>401</v>
      </c>
      <c r="K538" s="120" t="s">
        <v>402</v>
      </c>
      <c r="L538" s="781">
        <v>50</v>
      </c>
      <c r="M538" s="782"/>
      <c r="N538" s="30" t="s">
        <v>403</v>
      </c>
      <c r="V538" s="185"/>
    </row>
    <row r="539" spans="1:29" ht="18" hidden="1" customHeight="1">
      <c r="A539" s="96"/>
      <c r="V539" s="185"/>
    </row>
    <row r="540" spans="1:29" ht="18" hidden="1" customHeight="1">
      <c r="A540" s="193" t="s">
        <v>404</v>
      </c>
      <c r="V540" s="185"/>
    </row>
    <row r="541" spans="1:29" ht="18" hidden="1" customHeight="1">
      <c r="A541" s="184"/>
      <c r="V541" s="185"/>
    </row>
    <row r="542" spans="1:29" ht="18" hidden="1" customHeight="1">
      <c r="A542" s="184"/>
      <c r="B542" s="194" t="s">
        <v>405</v>
      </c>
      <c r="C542" s="195"/>
      <c r="D542" s="195" t="str">
        <f>T531</f>
        <v>7UT85</v>
      </c>
      <c r="E542" s="196"/>
      <c r="F542" s="196"/>
      <c r="G542" s="196"/>
      <c r="H542" s="182" t="s">
        <v>406</v>
      </c>
      <c r="I542" s="183" t="s">
        <v>127</v>
      </c>
      <c r="J542" s="766">
        <f>J454</f>
        <v>0.1</v>
      </c>
      <c r="K542" s="958"/>
      <c r="L542" s="3" t="s">
        <v>157</v>
      </c>
      <c r="V542" s="185"/>
    </row>
    <row r="543" spans="1:29" ht="18" hidden="1" customHeight="1">
      <c r="A543" s="184"/>
      <c r="B543" s="184" t="s">
        <v>405</v>
      </c>
      <c r="D543" s="30">
        <f>T532</f>
        <v>0</v>
      </c>
      <c r="H543" s="27"/>
      <c r="I543" s="177" t="s">
        <v>127</v>
      </c>
      <c r="J543" s="766">
        <f>J455</f>
        <v>0</v>
      </c>
      <c r="K543" s="958"/>
      <c r="L543" s="198" t="s">
        <v>157</v>
      </c>
      <c r="V543" s="185"/>
    </row>
    <row r="544" spans="1:29" ht="18" hidden="1" customHeight="1">
      <c r="A544" s="184"/>
      <c r="B544" s="184" t="s">
        <v>405</v>
      </c>
      <c r="D544" s="30">
        <f>T533</f>
        <v>0</v>
      </c>
      <c r="E544" s="14"/>
      <c r="G544" s="199"/>
      <c r="H544" s="27"/>
      <c r="I544" s="177" t="s">
        <v>127</v>
      </c>
      <c r="J544" s="766">
        <f>J456</f>
        <v>0</v>
      </c>
      <c r="K544" s="958"/>
      <c r="L544" s="202" t="s">
        <v>157</v>
      </c>
      <c r="V544" s="185"/>
    </row>
    <row r="545" spans="1:22" ht="18" hidden="1" customHeight="1">
      <c r="A545" s="184"/>
      <c r="B545" s="184" t="s">
        <v>412</v>
      </c>
      <c r="H545" s="27" t="s">
        <v>599</v>
      </c>
      <c r="I545" s="177" t="s">
        <v>127</v>
      </c>
      <c r="J545" s="766">
        <f>J457</f>
        <v>1.1667743100000001</v>
      </c>
      <c r="K545" s="958"/>
      <c r="L545" s="203" t="s">
        <v>157</v>
      </c>
      <c r="V545" s="185"/>
    </row>
    <row r="546" spans="1:22" ht="18" hidden="1" customHeight="1">
      <c r="A546" s="184"/>
      <c r="B546" s="205" t="s">
        <v>413</v>
      </c>
      <c r="C546" s="206"/>
      <c r="D546" s="206"/>
      <c r="E546" s="206"/>
      <c r="F546" s="207"/>
      <c r="G546" s="207"/>
      <c r="H546" s="190" t="s">
        <v>409</v>
      </c>
      <c r="I546" s="208" t="s">
        <v>127</v>
      </c>
      <c r="J546" s="766">
        <f>J543+J545</f>
        <v>1.1667743100000001</v>
      </c>
      <c r="K546" s="958"/>
      <c r="L546" s="210" t="s">
        <v>157</v>
      </c>
      <c r="V546" s="185"/>
    </row>
    <row r="547" spans="1:22" ht="18" hidden="1" customHeight="1">
      <c r="A547" s="184"/>
      <c r="B547" s="47"/>
      <c r="C547" s="47"/>
      <c r="D547" s="47"/>
      <c r="E547" s="47"/>
      <c r="H547" s="27"/>
      <c r="I547" s="28"/>
      <c r="J547" s="199"/>
      <c r="L547" s="47"/>
      <c r="O547" s="27"/>
      <c r="P547" s="211"/>
      <c r="Q547" s="211"/>
      <c r="R547" s="192"/>
      <c r="V547" s="185"/>
    </row>
    <row r="548" spans="1:22" ht="18" hidden="1" customHeight="1">
      <c r="A548" s="184"/>
      <c r="B548" s="197" t="s">
        <v>648</v>
      </c>
      <c r="L548" s="47"/>
      <c r="M548" s="197" t="s">
        <v>407</v>
      </c>
      <c r="V548" s="185"/>
    </row>
    <row r="549" spans="1:22" s="14" customFormat="1" ht="18" hidden="1" customHeight="1">
      <c r="A549" s="184"/>
      <c r="B549" s="27" t="s">
        <v>649</v>
      </c>
      <c r="C549" s="27" t="s">
        <v>127</v>
      </c>
      <c r="D549" s="30" t="s">
        <v>406</v>
      </c>
      <c r="E549" s="271" t="s">
        <v>410</v>
      </c>
      <c r="F549" s="27" t="s">
        <v>146</v>
      </c>
      <c r="G549" s="28" t="s">
        <v>315</v>
      </c>
      <c r="H549" s="218" t="s">
        <v>146</v>
      </c>
      <c r="I549" s="30" t="s">
        <v>350</v>
      </c>
      <c r="J549" s="199"/>
      <c r="K549" s="30"/>
      <c r="L549" s="47"/>
      <c r="M549" s="30" t="s">
        <v>408</v>
      </c>
      <c r="N549" s="27" t="s">
        <v>127</v>
      </c>
      <c r="O549" s="30" t="s">
        <v>409</v>
      </c>
      <c r="P549" s="191" t="s">
        <v>410</v>
      </c>
      <c r="Q549" s="244" t="s">
        <v>411</v>
      </c>
      <c r="R549" s="27" t="s">
        <v>315</v>
      </c>
      <c r="S549" s="30" t="s">
        <v>411</v>
      </c>
      <c r="T549" s="30" t="s">
        <v>350</v>
      </c>
      <c r="U549" s="30"/>
      <c r="V549" s="185"/>
    </row>
    <row r="550" spans="1:22" s="14" customFormat="1" ht="18" hidden="1" customHeight="1">
      <c r="A550" s="184"/>
      <c r="B550" s="47"/>
      <c r="C550" s="27" t="s">
        <v>127</v>
      </c>
      <c r="D550" s="204">
        <f>J542</f>
        <v>0.1</v>
      </c>
      <c r="E550" s="191" t="s">
        <v>410</v>
      </c>
      <c r="F550" s="27">
        <f>F462</f>
        <v>1</v>
      </c>
      <c r="G550" s="27" t="s">
        <v>315</v>
      </c>
      <c r="H550" s="27">
        <f>H462</f>
        <v>1</v>
      </c>
      <c r="I550" s="30" t="s">
        <v>350</v>
      </c>
      <c r="J550" s="199"/>
      <c r="K550" s="30"/>
      <c r="L550" s="47"/>
      <c r="M550" s="30"/>
      <c r="N550" s="27" t="s">
        <v>127</v>
      </c>
      <c r="O550" s="204">
        <f>J546</f>
        <v>1.1667743100000001</v>
      </c>
      <c r="P550" s="191" t="s">
        <v>410</v>
      </c>
      <c r="Q550" s="27">
        <f>O534</f>
        <v>1</v>
      </c>
      <c r="R550" s="27" t="s">
        <v>315</v>
      </c>
      <c r="S550" s="27">
        <f>O534</f>
        <v>1</v>
      </c>
      <c r="T550" s="30" t="s">
        <v>350</v>
      </c>
      <c r="U550" s="30"/>
      <c r="V550" s="185"/>
    </row>
    <row r="551" spans="1:22" s="14" customFormat="1" ht="18" hidden="1" customHeight="1">
      <c r="A551" s="184"/>
      <c r="B551" s="47"/>
      <c r="C551" s="27" t="s">
        <v>127</v>
      </c>
      <c r="D551" s="795">
        <f>D550/(F550*H550)</f>
        <v>0.1</v>
      </c>
      <c r="E551" s="795"/>
      <c r="F551" s="192" t="s">
        <v>333</v>
      </c>
      <c r="G551" s="30"/>
      <c r="H551" s="30"/>
      <c r="I551" s="30"/>
      <c r="J551" s="199"/>
      <c r="K551" s="30"/>
      <c r="L551" s="47"/>
      <c r="M551" s="30"/>
      <c r="N551" s="27" t="s">
        <v>127</v>
      </c>
      <c r="O551" s="795">
        <f>O550/(Q550*S550)</f>
        <v>1.1667743100000001</v>
      </c>
      <c r="P551" s="795"/>
      <c r="Q551" s="192" t="s">
        <v>333</v>
      </c>
      <c r="R551" s="30"/>
      <c r="S551" s="30"/>
      <c r="T551" s="30"/>
      <c r="U551" s="30"/>
      <c r="V551" s="185"/>
    </row>
    <row r="552" spans="1:22" s="14" customFormat="1" ht="18" hidden="1" customHeight="1">
      <c r="A552" s="184"/>
      <c r="B552" s="47"/>
      <c r="C552" s="47"/>
      <c r="D552" s="47"/>
      <c r="E552" s="47"/>
      <c r="F552" s="30"/>
      <c r="G552" s="30"/>
      <c r="H552" s="27"/>
      <c r="I552" s="28"/>
      <c r="J552" s="199"/>
      <c r="K552" s="30"/>
      <c r="L552" s="47"/>
      <c r="M552" s="30"/>
      <c r="N552" s="30"/>
      <c r="O552" s="27"/>
      <c r="P552" s="211"/>
      <c r="Q552" s="211"/>
      <c r="R552" s="192"/>
      <c r="S552" s="30"/>
      <c r="T552" s="30"/>
      <c r="U552" s="30"/>
      <c r="V552" s="185"/>
    </row>
    <row r="553" spans="1:22" s="14" customFormat="1" ht="18" hidden="1" customHeight="1">
      <c r="A553" s="184"/>
      <c r="B553" s="47" t="s">
        <v>668</v>
      </c>
      <c r="C553" s="47"/>
      <c r="D553" s="47"/>
      <c r="E553" s="47"/>
      <c r="F553" s="30"/>
      <c r="G553" s="30"/>
      <c r="H553" s="27"/>
      <c r="I553" s="28"/>
      <c r="J553" s="199"/>
      <c r="K553" s="30"/>
      <c r="L553" s="47" t="s">
        <v>127</v>
      </c>
      <c r="M553" s="204">
        <f>D551</f>
        <v>0.1</v>
      </c>
      <c r="N553" s="27" t="s">
        <v>347</v>
      </c>
      <c r="O553" s="211">
        <f>O551</f>
        <v>1.1667743100000001</v>
      </c>
      <c r="P553" s="211" t="s">
        <v>127</v>
      </c>
      <c r="Q553" s="211">
        <f>M553+O553</f>
        <v>1.2667743100000002</v>
      </c>
      <c r="R553" s="192" t="s">
        <v>333</v>
      </c>
      <c r="S553" s="30"/>
      <c r="T553" s="30"/>
      <c r="U553" s="30"/>
      <c r="V553" s="185"/>
    </row>
    <row r="554" spans="1:22" s="14" customFormat="1" ht="18" hidden="1" customHeight="1">
      <c r="A554" s="193" t="s">
        <v>600</v>
      </c>
      <c r="B554" s="5"/>
      <c r="C554" s="5"/>
      <c r="D554" s="5"/>
      <c r="E554" s="5"/>
      <c r="F554" s="5"/>
      <c r="G554" s="5"/>
      <c r="H554" s="212"/>
      <c r="I554" s="212"/>
      <c r="J554" s="5"/>
      <c r="K554" s="5"/>
      <c r="L554" s="5"/>
      <c r="M554" s="5"/>
      <c r="N554" s="5"/>
      <c r="O554" s="5"/>
      <c r="P554" s="103"/>
      <c r="Q554" s="212"/>
      <c r="R554" s="213"/>
      <c r="S554" s="214"/>
      <c r="T554" s="18"/>
      <c r="U554" s="18"/>
      <c r="V554" s="97"/>
    </row>
    <row r="555" spans="1:22" s="14" customFormat="1" ht="18" hidden="1" customHeight="1">
      <c r="A555" s="96"/>
      <c r="B555" s="47" t="s">
        <v>601</v>
      </c>
      <c r="C555" s="5"/>
      <c r="D555" s="5"/>
      <c r="E555" s="5"/>
      <c r="I555" s="215"/>
      <c r="M555" s="5"/>
      <c r="N555" s="103" t="s">
        <v>127</v>
      </c>
      <c r="O555" s="1154">
        <f>O467</f>
        <v>100</v>
      </c>
      <c r="P555" s="831"/>
      <c r="Q555" s="14" t="s">
        <v>602</v>
      </c>
      <c r="S555" s="214"/>
      <c r="T555" s="18"/>
      <c r="U555" s="18"/>
      <c r="V555" s="97"/>
    </row>
    <row r="556" spans="1:22" s="14" customFormat="1" ht="18" hidden="1" customHeight="1">
      <c r="A556" s="96"/>
      <c r="B556" s="47" t="s">
        <v>603</v>
      </c>
      <c r="C556" s="5"/>
      <c r="D556" s="5"/>
      <c r="E556" s="5"/>
      <c r="I556" s="215"/>
      <c r="M556" s="5"/>
      <c r="N556" s="103" t="s">
        <v>127</v>
      </c>
      <c r="O556" s="1154">
        <f>O468</f>
        <v>25</v>
      </c>
      <c r="P556" s="831"/>
      <c r="Q556" s="14" t="s">
        <v>604</v>
      </c>
      <c r="S556" s="214"/>
      <c r="T556" s="18"/>
      <c r="U556" s="18"/>
      <c r="V556" s="97"/>
    </row>
    <row r="557" spans="1:22" s="14" customFormat="1" ht="18" hidden="1" customHeight="1">
      <c r="A557" s="96"/>
      <c r="B557" s="47" t="s">
        <v>605</v>
      </c>
      <c r="C557" s="5"/>
      <c r="D557" s="5"/>
      <c r="E557" s="5"/>
      <c r="M557" s="120" t="s">
        <v>606</v>
      </c>
      <c r="N557" s="103" t="s">
        <v>607</v>
      </c>
      <c r="O557" s="1154">
        <f>O469</f>
        <v>132</v>
      </c>
      <c r="P557" s="831"/>
      <c r="Q557" s="14" t="s">
        <v>163</v>
      </c>
      <c r="S557" s="214"/>
      <c r="T557" s="18"/>
      <c r="U557" s="18"/>
      <c r="V557" s="97"/>
    </row>
    <row r="558" spans="1:22" s="14" customFormat="1" ht="18" hidden="1" customHeight="1">
      <c r="A558" s="216"/>
      <c r="B558" s="212"/>
      <c r="C558" s="212"/>
      <c r="D558" s="212"/>
      <c r="E558" s="212"/>
      <c r="T558" s="18"/>
      <c r="U558" s="18"/>
      <c r="V558" s="97"/>
    </row>
    <row r="559" spans="1:22" s="14" customFormat="1" ht="18" hidden="1" customHeight="1">
      <c r="A559" s="272" t="s">
        <v>608</v>
      </c>
      <c r="B559" s="213"/>
      <c r="C559" s="213"/>
      <c r="D559" s="213"/>
      <c r="E559" s="213"/>
      <c r="H559" s="120" t="s">
        <v>609</v>
      </c>
      <c r="I559" s="28" t="s">
        <v>127</v>
      </c>
      <c r="J559" s="689" t="s">
        <v>610</v>
      </c>
      <c r="K559" s="689"/>
      <c r="L559" s="28" t="s">
        <v>315</v>
      </c>
      <c r="M559" s="217">
        <v>1000</v>
      </c>
      <c r="N559" s="102" t="s">
        <v>342</v>
      </c>
      <c r="O559" s="28" t="s">
        <v>611</v>
      </c>
      <c r="P559" s="28" t="s">
        <v>315</v>
      </c>
      <c r="Q559" s="28" t="s">
        <v>606</v>
      </c>
      <c r="R559" s="47" t="s">
        <v>350</v>
      </c>
      <c r="T559" s="18"/>
      <c r="U559" s="18"/>
      <c r="V559" s="97"/>
    </row>
    <row r="560" spans="1:22" ht="18" hidden="1" customHeight="1">
      <c r="A560" s="216"/>
      <c r="B560" s="213"/>
      <c r="C560" s="213"/>
      <c r="D560" s="213"/>
      <c r="E560" s="213"/>
      <c r="F560" s="212"/>
      <c r="G560" s="212"/>
      <c r="H560" s="28"/>
      <c r="I560" s="28" t="s">
        <v>127</v>
      </c>
      <c r="J560" s="689">
        <f>O555</f>
        <v>100</v>
      </c>
      <c r="K560" s="689"/>
      <c r="L560" s="28" t="s">
        <v>315</v>
      </c>
      <c r="M560" s="217">
        <v>1000</v>
      </c>
      <c r="N560" s="102" t="s">
        <v>342</v>
      </c>
      <c r="O560" s="28" t="s">
        <v>611</v>
      </c>
      <c r="P560" s="28" t="s">
        <v>315</v>
      </c>
      <c r="Q560" s="28">
        <f>O557</f>
        <v>132</v>
      </c>
      <c r="R560" s="47" t="s">
        <v>350</v>
      </c>
      <c r="S560" s="14"/>
      <c r="T560" s="18"/>
      <c r="U560" s="18"/>
      <c r="V560" s="97"/>
    </row>
    <row r="561" spans="1:22" ht="18" hidden="1" customHeight="1">
      <c r="A561" s="216"/>
      <c r="B561" s="212"/>
      <c r="C561" s="212"/>
      <c r="D561" s="212"/>
      <c r="E561" s="212"/>
      <c r="F561" s="212"/>
      <c r="G561" s="212"/>
      <c r="H561" s="14"/>
      <c r="I561" s="28" t="s">
        <v>127</v>
      </c>
      <c r="J561" s="692">
        <f>(O555*1000)/(SQRT(3)*O557)</f>
        <v>437.38656756789834</v>
      </c>
      <c r="K561" s="692"/>
      <c r="L561" s="14" t="s">
        <v>8</v>
      </c>
      <c r="M561" s="120"/>
      <c r="N561" s="120"/>
      <c r="O561" s="120"/>
      <c r="P561" s="14"/>
      <c r="Q561" s="14"/>
      <c r="R561" s="14"/>
      <c r="S561" s="14"/>
      <c r="T561" s="18"/>
      <c r="U561" s="18"/>
      <c r="V561" s="97"/>
    </row>
    <row r="562" spans="1:22" ht="18" hidden="1" customHeight="1">
      <c r="A562" s="216"/>
      <c r="B562" s="212"/>
      <c r="C562" s="212"/>
      <c r="D562" s="212"/>
      <c r="E562" s="212"/>
      <c r="F562" s="14"/>
      <c r="G562" s="212"/>
      <c r="H562" s="28"/>
      <c r="I562" s="103"/>
      <c r="J562" s="28"/>
      <c r="K562" s="14"/>
      <c r="L562" s="14"/>
      <c r="M562" s="212"/>
      <c r="N562" s="219"/>
      <c r="O562" s="212"/>
      <c r="P562" s="14"/>
      <c r="Q562" s="14"/>
      <c r="R562" s="14"/>
      <c r="S562" s="14"/>
      <c r="T562" s="18"/>
      <c r="U562" s="18"/>
      <c r="V562" s="97"/>
    </row>
    <row r="563" spans="1:22" s="14" customFormat="1" ht="18" hidden="1" customHeight="1">
      <c r="A563" s="147" t="s">
        <v>629</v>
      </c>
      <c r="B563" s="5"/>
      <c r="C563" s="5"/>
      <c r="D563" s="5"/>
      <c r="E563" s="5"/>
      <c r="F563" s="212"/>
      <c r="G563" s="212"/>
      <c r="H563" s="5"/>
      <c r="I563" s="5"/>
      <c r="J563" s="5"/>
      <c r="K563" s="5"/>
      <c r="L563" s="103"/>
      <c r="M563" s="103"/>
      <c r="N563" s="103"/>
      <c r="O563" s="103"/>
      <c r="P563" s="212"/>
      <c r="Q563" s="213"/>
      <c r="S563" s="220"/>
      <c r="T563" s="18"/>
      <c r="U563" s="18"/>
      <c r="V563" s="97"/>
    </row>
    <row r="564" spans="1:22" s="14" customFormat="1" ht="18" hidden="1" customHeight="1">
      <c r="A564" s="147"/>
      <c r="B564" s="5"/>
      <c r="C564" s="5"/>
      <c r="D564" s="5"/>
      <c r="E564" s="5"/>
      <c r="F564" s="212"/>
      <c r="G564" s="212"/>
      <c r="H564" s="5"/>
      <c r="I564" s="5"/>
      <c r="J564" s="5"/>
      <c r="K564" s="5"/>
      <c r="L564" s="103"/>
      <c r="M564" s="103"/>
      <c r="N564" s="103"/>
      <c r="O564" s="103"/>
      <c r="P564" s="212"/>
      <c r="Q564" s="213"/>
      <c r="S564" s="214"/>
      <c r="T564" s="18"/>
      <c r="U564" s="18"/>
      <c r="V564" s="97"/>
    </row>
    <row r="565" spans="1:22" ht="18" hidden="1" customHeight="1">
      <c r="A565" s="96" t="s">
        <v>612</v>
      </c>
      <c r="B565" s="14"/>
      <c r="C565" s="14"/>
      <c r="D565" s="14"/>
      <c r="E565" s="14"/>
      <c r="M565" s="120" t="s">
        <v>613</v>
      </c>
      <c r="N565" s="28" t="s">
        <v>127</v>
      </c>
      <c r="O565" s="689" t="s">
        <v>609</v>
      </c>
      <c r="P565" s="716"/>
      <c r="Q565" s="221" t="s">
        <v>630</v>
      </c>
      <c r="R565" s="221">
        <v>16</v>
      </c>
      <c r="S565" s="186"/>
      <c r="V565" s="185"/>
    </row>
    <row r="566" spans="1:22" ht="18" hidden="1" customHeight="1">
      <c r="A566" s="96"/>
      <c r="B566" s="5"/>
      <c r="C566" s="5"/>
      <c r="D566" s="5"/>
      <c r="E566" s="5"/>
      <c r="M566" s="250"/>
      <c r="N566" s="28" t="s">
        <v>127</v>
      </c>
      <c r="O566" s="689">
        <f>+J561</f>
        <v>437.38656756789834</v>
      </c>
      <c r="P566" s="716"/>
      <c r="Q566" s="221" t="s">
        <v>630</v>
      </c>
      <c r="R566" s="221">
        <v>16</v>
      </c>
      <c r="S566" s="186"/>
      <c r="V566" s="185"/>
    </row>
    <row r="567" spans="1:22" s="279" customFormat="1" ht="18" hidden="1" customHeight="1">
      <c r="A567" s="96"/>
      <c r="B567" s="5"/>
      <c r="C567" s="5"/>
      <c r="D567" s="5"/>
      <c r="E567" s="5"/>
      <c r="F567" s="30"/>
      <c r="G567" s="30"/>
      <c r="H567" s="30"/>
      <c r="I567" s="30"/>
      <c r="J567" s="30"/>
      <c r="K567" s="30"/>
      <c r="L567" s="30"/>
      <c r="M567" s="120" t="s">
        <v>613</v>
      </c>
      <c r="N567" s="28" t="s">
        <v>127</v>
      </c>
      <c r="O567" s="689">
        <f>O566*R566</f>
        <v>6998.1850810863734</v>
      </c>
      <c r="P567" s="716"/>
      <c r="Q567" s="241" t="s">
        <v>8</v>
      </c>
      <c r="R567" s="14"/>
      <c r="S567" s="186"/>
      <c r="T567" s="30"/>
      <c r="U567" s="30"/>
      <c r="V567" s="185"/>
    </row>
    <row r="568" spans="1:22" s="279" customFormat="1" ht="18" hidden="1" customHeight="1">
      <c r="A568" s="96"/>
      <c r="B568" s="5"/>
      <c r="C568" s="5"/>
      <c r="D568" s="5"/>
      <c r="E568" s="5"/>
      <c r="F568" s="30"/>
      <c r="G568" s="30"/>
      <c r="H568" s="30"/>
      <c r="I568" s="30"/>
      <c r="J568" s="30"/>
      <c r="K568" s="30"/>
      <c r="L568" s="30"/>
      <c r="M568" s="120"/>
      <c r="N568" s="28"/>
      <c r="O568" s="28"/>
      <c r="P568" s="14"/>
      <c r="Q568" s="241"/>
      <c r="R568" s="14"/>
      <c r="S568" s="186"/>
      <c r="T568" s="30"/>
      <c r="U568" s="30"/>
      <c r="V568" s="185"/>
    </row>
    <row r="569" spans="1:22" s="279" customFormat="1" ht="18" hidden="1" customHeight="1">
      <c r="A569" s="96"/>
      <c r="B569" s="5"/>
      <c r="C569" s="5"/>
      <c r="D569" s="5"/>
      <c r="E569" s="5"/>
      <c r="F569" s="30"/>
      <c r="G569" s="30"/>
      <c r="H569" s="30"/>
      <c r="I569" s="30"/>
      <c r="J569" s="30"/>
      <c r="K569" s="30"/>
      <c r="L569" s="30"/>
      <c r="M569" s="120"/>
      <c r="N569" s="28"/>
      <c r="O569" s="28"/>
      <c r="P569" s="14"/>
      <c r="Q569" s="241"/>
      <c r="R569" s="14"/>
      <c r="S569" s="186"/>
      <c r="T569" s="30"/>
      <c r="U569" s="30"/>
      <c r="V569" s="185"/>
    </row>
    <row r="570" spans="1:22" s="279" customFormat="1" ht="18" hidden="1" customHeight="1">
      <c r="A570" s="96"/>
      <c r="B570" s="5"/>
      <c r="C570" s="5"/>
      <c r="D570" s="5"/>
      <c r="E570" s="5"/>
      <c r="F570" s="30"/>
      <c r="G570" s="30"/>
      <c r="H570" s="30"/>
      <c r="I570" s="30"/>
      <c r="J570" s="30"/>
      <c r="K570" s="30"/>
      <c r="L570" s="30"/>
      <c r="M570" s="120"/>
      <c r="N570" s="28"/>
      <c r="O570" s="28"/>
      <c r="P570" s="14"/>
      <c r="Q570" s="241"/>
      <c r="R570" s="14"/>
      <c r="S570" s="186"/>
      <c r="T570" s="30"/>
      <c r="U570" s="30"/>
      <c r="V570" s="185"/>
    </row>
    <row r="571" spans="1:22" s="279" customFormat="1" ht="18" hidden="1" customHeight="1">
      <c r="A571" s="96"/>
      <c r="B571" s="5"/>
      <c r="C571" s="5"/>
      <c r="D571" s="5"/>
      <c r="E571" s="5"/>
      <c r="F571" s="30"/>
      <c r="G571" s="30"/>
      <c r="H571" s="30"/>
      <c r="I571" s="30"/>
      <c r="J571" s="30"/>
      <c r="K571" s="30"/>
      <c r="L571" s="30"/>
      <c r="M571" s="120"/>
      <c r="N571" s="28"/>
      <c r="O571" s="28"/>
      <c r="P571" s="14"/>
      <c r="Q571" s="241"/>
      <c r="R571" s="14"/>
      <c r="S571" s="186"/>
      <c r="T571" s="30"/>
      <c r="U571" s="30"/>
      <c r="V571" s="185"/>
    </row>
    <row r="572" spans="1:22" s="279" customFormat="1" ht="18" hidden="1" customHeight="1">
      <c r="A572" s="96"/>
      <c r="B572" s="5"/>
      <c r="C572" s="5"/>
      <c r="D572" s="5"/>
      <c r="E572" s="5"/>
      <c r="F572" s="30"/>
      <c r="G572" s="30"/>
      <c r="H572" s="30"/>
      <c r="I572" s="30"/>
      <c r="J572" s="30"/>
      <c r="K572" s="30"/>
      <c r="L572" s="30"/>
      <c r="M572" s="120"/>
      <c r="N572" s="28"/>
      <c r="O572" s="28"/>
      <c r="P572" s="14"/>
      <c r="Q572" s="241"/>
      <c r="R572" s="14"/>
      <c r="S572" s="186"/>
      <c r="T572" s="30"/>
      <c r="U572" s="30"/>
      <c r="V572" s="185"/>
    </row>
    <row r="573" spans="1:22" s="279" customFormat="1" ht="18" hidden="1" customHeight="1">
      <c r="A573" s="194"/>
      <c r="B573" s="195"/>
      <c r="C573" s="195"/>
      <c r="D573" s="195"/>
      <c r="E573" s="195"/>
      <c r="F573" s="195"/>
      <c r="G573" s="195"/>
      <c r="H573" s="195"/>
      <c r="I573" s="195"/>
      <c r="J573" s="195"/>
      <c r="K573" s="195"/>
      <c r="L573" s="195"/>
      <c r="M573" s="195"/>
      <c r="N573" s="195"/>
      <c r="O573" s="195"/>
      <c r="P573" s="195"/>
      <c r="Q573" s="224"/>
      <c r="R573" s="182"/>
      <c r="S573" s="225"/>
      <c r="T573" s="195"/>
      <c r="U573" s="195"/>
      <c r="V573" s="134" t="s">
        <v>552</v>
      </c>
    </row>
    <row r="574" spans="1:22" ht="18" hidden="1" customHeight="1">
      <c r="A574" s="135"/>
      <c r="B574" s="273"/>
      <c r="C574" s="273"/>
      <c r="D574" s="273"/>
      <c r="E574" s="273"/>
      <c r="F574" s="273"/>
      <c r="G574" s="273"/>
      <c r="H574" s="273"/>
      <c r="I574" s="273"/>
      <c r="J574" s="273"/>
      <c r="K574" s="273"/>
      <c r="L574" s="273"/>
      <c r="M574" s="273"/>
      <c r="N574" s="273"/>
      <c r="O574" s="273"/>
      <c r="P574" s="273"/>
      <c r="Q574" s="274"/>
      <c r="R574" s="138"/>
      <c r="S574" s="275"/>
      <c r="T574" s="273"/>
      <c r="U574" s="273"/>
      <c r="V574" s="276"/>
    </row>
    <row r="575" spans="1:22" ht="18" hidden="1" customHeight="1">
      <c r="A575" s="96" t="s">
        <v>686</v>
      </c>
      <c r="V575" s="185"/>
    </row>
    <row r="576" spans="1:22" ht="18" hidden="1" customHeight="1">
      <c r="A576" s="184"/>
      <c r="V576" s="185"/>
    </row>
    <row r="577" spans="1:22" ht="18" hidden="1" customHeight="1">
      <c r="A577" s="277"/>
      <c r="B577" s="689" t="s">
        <v>473</v>
      </c>
      <c r="C577" s="1150" t="s">
        <v>652</v>
      </c>
      <c r="D577" s="279"/>
      <c r="E577" s="279"/>
      <c r="F577" s="279"/>
      <c r="G577" s="802" t="s">
        <v>687</v>
      </c>
      <c r="H577" s="1153" t="s">
        <v>315</v>
      </c>
      <c r="I577" s="708" t="s">
        <v>688</v>
      </c>
      <c r="J577" s="1147"/>
      <c r="K577" s="1147"/>
      <c r="L577" s="1147"/>
      <c r="M577" s="1147"/>
      <c r="N577" s="689" t="s">
        <v>672</v>
      </c>
      <c r="O577" s="708" t="s">
        <v>420</v>
      </c>
      <c r="P577" s="689" t="s">
        <v>347</v>
      </c>
      <c r="Q577" s="708" t="s">
        <v>689</v>
      </c>
      <c r="R577" s="708" t="s">
        <v>674</v>
      </c>
      <c r="S577" s="708" t="s">
        <v>411</v>
      </c>
      <c r="T577" s="14"/>
      <c r="U577" s="729" t="s">
        <v>653</v>
      </c>
      <c r="V577" s="185"/>
    </row>
    <row r="578" spans="1:22" ht="18" hidden="1" customHeight="1">
      <c r="A578" s="277"/>
      <c r="B578" s="689"/>
      <c r="C578" s="689"/>
      <c r="D578" s="279"/>
      <c r="E578" s="279"/>
      <c r="F578" s="279"/>
      <c r="G578" s="802"/>
      <c r="H578" s="689"/>
      <c r="I578" s="689">
        <v>1.3</v>
      </c>
      <c r="J578" s="689"/>
      <c r="K578" s="28" t="s">
        <v>315</v>
      </c>
      <c r="L578" s="689" t="s">
        <v>423</v>
      </c>
      <c r="M578" s="689"/>
      <c r="N578" s="689"/>
      <c r="O578" s="689"/>
      <c r="P578" s="689"/>
      <c r="Q578" s="689"/>
      <c r="R578" s="689"/>
      <c r="S578" s="689"/>
      <c r="T578" s="14"/>
      <c r="U578" s="689"/>
      <c r="V578" s="185"/>
    </row>
    <row r="579" spans="1:22" ht="18" hidden="1" customHeight="1">
      <c r="A579" s="184"/>
      <c r="V579" s="185"/>
    </row>
    <row r="580" spans="1:22" ht="18" hidden="1" customHeight="1">
      <c r="A580" s="184"/>
      <c r="B580" s="47" t="s">
        <v>654</v>
      </c>
      <c r="C580" s="14"/>
      <c r="D580" s="14"/>
      <c r="E580" s="14"/>
      <c r="F580" s="18"/>
      <c r="G580" s="18"/>
      <c r="H580" s="14"/>
      <c r="I580" s="120"/>
      <c r="J580" s="14"/>
      <c r="K580" s="14"/>
      <c r="M580" s="14"/>
      <c r="N580" s="14"/>
      <c r="P580" s="14" t="s">
        <v>423</v>
      </c>
      <c r="R580" s="234" t="s">
        <v>127</v>
      </c>
      <c r="S580" s="684">
        <f>L534</f>
        <v>3000</v>
      </c>
      <c r="T580" s="684"/>
      <c r="U580" s="30" t="s">
        <v>8</v>
      </c>
      <c r="V580" s="185"/>
    </row>
    <row r="581" spans="1:22" ht="18" hidden="1" customHeight="1">
      <c r="A581" s="184"/>
      <c r="B581" s="47" t="s">
        <v>655</v>
      </c>
      <c r="C581" s="14"/>
      <c r="D581" s="14"/>
      <c r="E581" s="14"/>
      <c r="F581" s="18"/>
      <c r="G581" s="18"/>
      <c r="H581" s="14"/>
      <c r="I581" s="120"/>
      <c r="J581" s="14"/>
      <c r="K581" s="14"/>
      <c r="M581" s="14"/>
      <c r="N581" s="14"/>
      <c r="P581" s="14" t="s">
        <v>420</v>
      </c>
      <c r="R581" s="234" t="s">
        <v>127</v>
      </c>
      <c r="S581" s="684">
        <f>L536</f>
        <v>10</v>
      </c>
      <c r="T581" s="684"/>
      <c r="U581" s="192" t="s">
        <v>333</v>
      </c>
      <c r="V581" s="185"/>
    </row>
    <row r="582" spans="1:22" ht="18" hidden="1" customHeight="1">
      <c r="A582" s="184"/>
      <c r="B582" s="47" t="s">
        <v>676</v>
      </c>
      <c r="C582" s="14"/>
      <c r="D582" s="14"/>
      <c r="E582" s="14"/>
      <c r="F582" s="18"/>
      <c r="G582" s="18"/>
      <c r="H582" s="14"/>
      <c r="I582" s="120"/>
      <c r="J582" s="14"/>
      <c r="K582" s="14"/>
      <c r="M582" s="14"/>
      <c r="N582" s="14"/>
      <c r="P582" s="14" t="s">
        <v>690</v>
      </c>
      <c r="R582" s="234" t="s">
        <v>127</v>
      </c>
      <c r="S582" s="795">
        <f>Q553</f>
        <v>1.2667743100000002</v>
      </c>
      <c r="T582" s="795"/>
      <c r="U582" s="192" t="s">
        <v>333</v>
      </c>
      <c r="V582" s="185"/>
    </row>
    <row r="583" spans="1:22" ht="18" hidden="1" customHeight="1">
      <c r="A583" s="184"/>
      <c r="B583" s="47" t="s">
        <v>691</v>
      </c>
      <c r="C583" s="14"/>
      <c r="D583" s="14"/>
      <c r="E583" s="14"/>
      <c r="F583" s="14"/>
      <c r="G583" s="14"/>
      <c r="H583" s="14"/>
      <c r="I583" s="120"/>
      <c r="J583" s="14"/>
      <c r="K583" s="14"/>
      <c r="M583" s="14"/>
      <c r="N583" s="14"/>
      <c r="P583" s="14" t="s">
        <v>411</v>
      </c>
      <c r="R583" s="234" t="s">
        <v>127</v>
      </c>
      <c r="S583" s="684">
        <f>O534</f>
        <v>1</v>
      </c>
      <c r="T583" s="684"/>
      <c r="U583" s="30" t="s">
        <v>8</v>
      </c>
      <c r="V583" s="185"/>
    </row>
    <row r="584" spans="1:22" ht="18" hidden="1" customHeight="1">
      <c r="A584" s="184"/>
      <c r="B584" s="47" t="s">
        <v>678</v>
      </c>
      <c r="C584" s="14"/>
      <c r="D584" s="14"/>
      <c r="E584" s="14"/>
      <c r="F584" s="14"/>
      <c r="G584" s="14"/>
      <c r="H584" s="14"/>
      <c r="I584" s="120"/>
      <c r="J584" s="14"/>
      <c r="K584" s="14"/>
      <c r="M584" s="14"/>
      <c r="N584" s="14"/>
      <c r="P584" s="120" t="s">
        <v>688</v>
      </c>
      <c r="R584" s="234" t="s">
        <v>127</v>
      </c>
      <c r="S584" s="684">
        <f>O567</f>
        <v>6998.1850810863734</v>
      </c>
      <c r="T584" s="684"/>
      <c r="U584" s="30" t="s">
        <v>8</v>
      </c>
      <c r="V584" s="185"/>
    </row>
    <row r="585" spans="1:22" s="279" customFormat="1" ht="18" hidden="1" customHeight="1">
      <c r="A585" s="184"/>
      <c r="B585" s="47" t="s">
        <v>692</v>
      </c>
      <c r="C585" s="14"/>
      <c r="D585" s="14"/>
      <c r="E585" s="14"/>
      <c r="F585" s="14"/>
      <c r="G585" s="14"/>
      <c r="H585" s="14"/>
      <c r="I585" s="120"/>
      <c r="J585" s="14"/>
      <c r="K585" s="14"/>
      <c r="L585" s="30"/>
      <c r="M585" s="14"/>
      <c r="N585" s="14"/>
      <c r="O585" s="30"/>
      <c r="P585" s="120" t="s">
        <v>680</v>
      </c>
      <c r="Q585" s="30"/>
      <c r="R585" s="234" t="s">
        <v>127</v>
      </c>
      <c r="S585" s="795">
        <f>J561</f>
        <v>437.38656756789834</v>
      </c>
      <c r="T585" s="684"/>
      <c r="U585" s="30" t="s">
        <v>8</v>
      </c>
      <c r="V585" s="185"/>
    </row>
    <row r="586" spans="1:22" s="279" customFormat="1" ht="18" hidden="1" customHeight="1">
      <c r="A586" s="184"/>
      <c r="B586" s="47" t="s">
        <v>659</v>
      </c>
      <c r="C586" s="14"/>
      <c r="D586" s="14"/>
      <c r="E586" s="14"/>
      <c r="F586" s="14"/>
      <c r="G586" s="14"/>
      <c r="H586" s="14"/>
      <c r="I586" s="120"/>
      <c r="J586" s="14"/>
      <c r="K586" s="14"/>
      <c r="L586" s="30"/>
      <c r="M586" s="14"/>
      <c r="N586" s="14"/>
      <c r="O586" s="30"/>
      <c r="P586" s="120" t="s">
        <v>660</v>
      </c>
      <c r="Q586" s="30"/>
      <c r="R586" s="234" t="s">
        <v>127</v>
      </c>
      <c r="S586" s="684">
        <f>S498</f>
        <v>1</v>
      </c>
      <c r="T586" s="684"/>
      <c r="U586" s="30" t="s">
        <v>8</v>
      </c>
      <c r="V586" s="185"/>
    </row>
    <row r="587" spans="1:22" ht="18" hidden="1" customHeight="1">
      <c r="A587" s="96"/>
      <c r="B587" s="14"/>
      <c r="C587" s="14"/>
      <c r="D587" s="235"/>
      <c r="E587" s="14"/>
      <c r="F587" s="28"/>
      <c r="G587" s="249"/>
      <c r="H587" s="28"/>
      <c r="I587" s="251"/>
      <c r="J587" s="14"/>
      <c r="K587" s="280"/>
      <c r="M587" s="47"/>
      <c r="N587" s="268"/>
      <c r="P587" s="281"/>
      <c r="R587" s="234"/>
      <c r="S587" s="1148"/>
      <c r="T587" s="723"/>
      <c r="V587" s="185"/>
    </row>
    <row r="588" spans="1:22" ht="18" hidden="1" customHeight="1">
      <c r="A588" s="272" t="s">
        <v>693</v>
      </c>
      <c r="B588" s="14"/>
      <c r="C588" s="14"/>
      <c r="D588" s="14"/>
      <c r="E588" s="14"/>
      <c r="F588" s="14"/>
      <c r="G588" s="14"/>
      <c r="H588" s="28">
        <v>3</v>
      </c>
      <c r="I588" s="47" t="s">
        <v>694</v>
      </c>
      <c r="J588" s="14"/>
      <c r="K588" s="14"/>
      <c r="M588" s="14" t="s">
        <v>337</v>
      </c>
      <c r="N588" s="14"/>
      <c r="P588" s="120"/>
      <c r="R588" s="234"/>
      <c r="S588" s="1149"/>
      <c r="T588" s="723"/>
      <c r="V588" s="185"/>
    </row>
    <row r="589" spans="1:22" ht="18" hidden="1" customHeight="1">
      <c r="A589" s="272"/>
      <c r="B589" s="14"/>
      <c r="C589" s="14"/>
      <c r="D589" s="14"/>
      <c r="E589" s="14"/>
      <c r="F589" s="14"/>
      <c r="G589" s="14"/>
      <c r="H589" s="28"/>
      <c r="I589" s="47"/>
      <c r="J589" s="14"/>
      <c r="K589" s="14"/>
      <c r="M589" s="14"/>
      <c r="N589" s="14"/>
      <c r="P589" s="120"/>
      <c r="R589" s="234"/>
      <c r="S589" s="282"/>
      <c r="V589" s="185"/>
    </row>
    <row r="590" spans="1:22" ht="18" hidden="1" customHeight="1">
      <c r="A590" s="277"/>
      <c r="B590" s="689" t="s">
        <v>703</v>
      </c>
      <c r="C590" s="1150" t="s">
        <v>652</v>
      </c>
      <c r="D590" s="279"/>
      <c r="E590" s="279"/>
      <c r="F590" s="279"/>
      <c r="G590" s="802">
        <f>H588</f>
        <v>3</v>
      </c>
      <c r="H590" s="1151" t="s">
        <v>315</v>
      </c>
      <c r="I590" s="829">
        <f>S584</f>
        <v>6998.1850810863734</v>
      </c>
      <c r="J590" s="1152"/>
      <c r="K590" s="1152"/>
      <c r="L590" s="1152"/>
      <c r="M590" s="1152"/>
      <c r="N590" s="689" t="s">
        <v>672</v>
      </c>
      <c r="O590" s="708">
        <f>S581</f>
        <v>10</v>
      </c>
      <c r="P590" s="689" t="s">
        <v>347</v>
      </c>
      <c r="Q590" s="829">
        <f>S582</f>
        <v>1.2667743100000002</v>
      </c>
      <c r="R590" s="708" t="s">
        <v>674</v>
      </c>
      <c r="S590" s="708">
        <f>S583</f>
        <v>1</v>
      </c>
      <c r="T590" s="14"/>
      <c r="U590" s="729" t="s">
        <v>653</v>
      </c>
      <c r="V590" s="185"/>
    </row>
    <row r="591" spans="1:22" ht="18" hidden="1" customHeight="1">
      <c r="A591" s="277"/>
      <c r="B591" s="689"/>
      <c r="C591" s="689"/>
      <c r="D591" s="279"/>
      <c r="E591" s="279"/>
      <c r="F591" s="279"/>
      <c r="G591" s="802"/>
      <c r="H591" s="684"/>
      <c r="I591" s="689">
        <v>1.3</v>
      </c>
      <c r="J591" s="684"/>
      <c r="K591" s="28" t="s">
        <v>315</v>
      </c>
      <c r="L591" s="689">
        <f>S580</f>
        <v>3000</v>
      </c>
      <c r="M591" s="684"/>
      <c r="N591" s="689"/>
      <c r="O591" s="689"/>
      <c r="P591" s="689"/>
      <c r="Q591" s="689"/>
      <c r="R591" s="689"/>
      <c r="S591" s="689"/>
      <c r="T591" s="14"/>
      <c r="U591" s="689"/>
      <c r="V591" s="185"/>
    </row>
    <row r="592" spans="1:22" ht="18" hidden="1" customHeight="1">
      <c r="A592" s="96"/>
      <c r="B592" s="14"/>
      <c r="C592" s="27" t="s">
        <v>127</v>
      </c>
      <c r="D592" s="812">
        <f>G590*(I590/(I591*L591)*(O590+Q590)*S590)</f>
        <v>60.651516837084017</v>
      </c>
      <c r="E592" s="813"/>
      <c r="F592" s="30" t="s">
        <v>305</v>
      </c>
      <c r="G592" s="14"/>
      <c r="H592" s="14"/>
      <c r="I592" s="14"/>
      <c r="J592" s="14"/>
      <c r="K592" s="14"/>
      <c r="L592" s="14"/>
      <c r="M592" s="14"/>
      <c r="N592" s="14"/>
      <c r="R592" s="234"/>
      <c r="S592" s="204"/>
      <c r="V592" s="185"/>
    </row>
    <row r="593" spans="1:22" ht="18" hidden="1" customHeight="1">
      <c r="A593" s="96"/>
      <c r="B593" s="14"/>
      <c r="G593" s="14"/>
      <c r="H593" s="14"/>
      <c r="I593" s="14"/>
      <c r="J593" s="14"/>
      <c r="K593" s="14"/>
      <c r="L593" s="14"/>
      <c r="M593" s="14"/>
      <c r="N593" s="14"/>
      <c r="R593" s="234"/>
      <c r="S593" s="204"/>
      <c r="V593" s="185"/>
    </row>
    <row r="594" spans="1:22" ht="18" hidden="1" customHeight="1">
      <c r="A594" s="96"/>
      <c r="B594" s="14"/>
      <c r="D594" s="30" t="s">
        <v>475</v>
      </c>
      <c r="G594" s="27" t="str">
        <f>IF(E595&gt;H595,"&gt;","&lt;")</f>
        <v>&gt;</v>
      </c>
      <c r="H594" s="30" t="s">
        <v>477</v>
      </c>
      <c r="M594" s="14"/>
      <c r="N594" s="14"/>
      <c r="R594" s="234"/>
      <c r="S594" s="204"/>
      <c r="V594" s="185"/>
    </row>
    <row r="595" spans="1:22" ht="18" hidden="1" customHeight="1">
      <c r="A595" s="96"/>
      <c r="B595" s="14"/>
      <c r="E595" s="684">
        <f>L537</f>
        <v>800</v>
      </c>
      <c r="F595" s="684"/>
      <c r="G595" s="27" t="str">
        <f>G594</f>
        <v>&gt;</v>
      </c>
      <c r="H595" s="795">
        <f>D592</f>
        <v>60.651516837084017</v>
      </c>
      <c r="I595" s="684"/>
      <c r="M595" s="14"/>
      <c r="N595" s="14"/>
      <c r="R595" s="234"/>
      <c r="S595" s="204"/>
      <c r="V595" s="185"/>
    </row>
    <row r="596" spans="1:22" ht="18" hidden="1" customHeight="1">
      <c r="A596" s="96"/>
      <c r="B596" s="14"/>
      <c r="F596" s="244" t="s">
        <v>478</v>
      </c>
      <c r="H596" s="18" t="str">
        <f>IF(G594="&gt;","Suitably Dimentioned","Under Dimentioned")</f>
        <v>Suitably Dimentioned</v>
      </c>
      <c r="M596" s="14"/>
      <c r="N596" s="14"/>
      <c r="R596" s="234"/>
      <c r="S596" s="204"/>
      <c r="V596" s="185"/>
    </row>
    <row r="597" spans="1:22" ht="18" hidden="1" customHeight="1">
      <c r="A597" s="96"/>
      <c r="B597" s="14"/>
      <c r="G597" s="14"/>
      <c r="H597" s="14"/>
      <c r="I597" s="14"/>
      <c r="J597" s="14"/>
      <c r="K597" s="14"/>
      <c r="L597" s="14"/>
      <c r="M597" s="14"/>
      <c r="N597" s="14"/>
      <c r="R597" s="234"/>
      <c r="S597" s="204"/>
      <c r="V597" s="185"/>
    </row>
    <row r="598" spans="1:22" ht="18" hidden="1" customHeight="1">
      <c r="A598" s="193" t="s">
        <v>695</v>
      </c>
      <c r="B598" s="14"/>
      <c r="G598" s="14"/>
      <c r="H598" s="14"/>
      <c r="I598" s="14"/>
      <c r="J598" s="14"/>
      <c r="K598" s="14"/>
      <c r="L598" s="14"/>
      <c r="M598" s="14"/>
      <c r="N598" s="14"/>
      <c r="R598" s="234"/>
      <c r="S598" s="204"/>
      <c r="V598" s="185"/>
    </row>
    <row r="599" spans="1:22" ht="18" hidden="1" customHeight="1">
      <c r="A599" s="96"/>
      <c r="B599" s="14"/>
      <c r="D599" s="802" t="s">
        <v>696</v>
      </c>
      <c r="E599" s="716"/>
      <c r="F599" s="689" t="s">
        <v>127</v>
      </c>
      <c r="G599" s="708" t="s">
        <v>423</v>
      </c>
      <c r="H599" s="1147"/>
      <c r="I599" s="689" t="s">
        <v>315</v>
      </c>
      <c r="J599" s="708" t="s">
        <v>697</v>
      </c>
      <c r="K599" s="1147"/>
      <c r="L599" s="14"/>
      <c r="M599" s="14"/>
      <c r="N599" s="14"/>
      <c r="R599" s="234"/>
      <c r="S599" s="204"/>
      <c r="V599" s="185"/>
    </row>
    <row r="600" spans="1:22" ht="18" hidden="1" customHeight="1">
      <c r="A600" s="96"/>
      <c r="B600" s="14"/>
      <c r="D600" s="716"/>
      <c r="E600" s="716"/>
      <c r="F600" s="689"/>
      <c r="G600" s="689" t="s">
        <v>680</v>
      </c>
      <c r="H600" s="716"/>
      <c r="I600" s="689"/>
      <c r="J600" s="689" t="s">
        <v>411</v>
      </c>
      <c r="K600" s="716"/>
      <c r="L600" s="14"/>
      <c r="M600" s="14"/>
      <c r="N600" s="14"/>
      <c r="R600" s="234"/>
      <c r="S600" s="204"/>
      <c r="V600" s="185"/>
    </row>
    <row r="601" spans="1:22" ht="18" hidden="1" customHeight="1">
      <c r="A601" s="96"/>
      <c r="B601" s="14"/>
      <c r="D601" s="14"/>
      <c r="E601" s="14"/>
      <c r="F601" s="14"/>
      <c r="G601" s="14"/>
      <c r="H601" s="14"/>
      <c r="I601" s="14"/>
      <c r="J601" s="14"/>
      <c r="K601" s="14"/>
      <c r="L601" s="14"/>
      <c r="M601" s="14"/>
      <c r="N601" s="14"/>
      <c r="R601" s="234"/>
      <c r="S601" s="204"/>
      <c r="V601" s="185"/>
    </row>
    <row r="602" spans="1:22" ht="18" hidden="1" customHeight="1">
      <c r="A602" s="96"/>
      <c r="B602" s="14"/>
      <c r="D602" s="14"/>
      <c r="E602" s="14"/>
      <c r="F602" s="689" t="s">
        <v>127</v>
      </c>
      <c r="G602" s="708">
        <f>S580</f>
        <v>3000</v>
      </c>
      <c r="H602" s="1147"/>
      <c r="I602" s="689" t="s">
        <v>315</v>
      </c>
      <c r="J602" s="708">
        <f>S586</f>
        <v>1</v>
      </c>
      <c r="K602" s="1147"/>
      <c r="L602" s="14"/>
      <c r="M602" s="14"/>
      <c r="N602" s="14"/>
      <c r="R602" s="234"/>
      <c r="S602" s="204"/>
      <c r="V602" s="185"/>
    </row>
    <row r="603" spans="1:22" ht="18" hidden="1" customHeight="1">
      <c r="A603" s="96"/>
      <c r="B603" s="14"/>
      <c r="D603" s="14"/>
      <c r="E603" s="14"/>
      <c r="F603" s="689"/>
      <c r="G603" s="692">
        <f>J561</f>
        <v>437.38656756789834</v>
      </c>
      <c r="H603" s="716"/>
      <c r="I603" s="689"/>
      <c r="J603" s="689">
        <f>S583</f>
        <v>1</v>
      </c>
      <c r="K603" s="716"/>
      <c r="L603" s="14"/>
      <c r="M603" s="14"/>
      <c r="N603" s="14"/>
      <c r="R603" s="234"/>
      <c r="S603" s="204"/>
      <c r="V603" s="185"/>
    </row>
    <row r="604" spans="1:22" ht="18" hidden="1" customHeight="1">
      <c r="A604" s="96"/>
      <c r="B604" s="14"/>
      <c r="D604" s="14"/>
      <c r="E604" s="14"/>
      <c r="F604" s="14"/>
      <c r="G604" s="14"/>
      <c r="H604" s="14"/>
      <c r="I604" s="14"/>
      <c r="J604" s="14"/>
      <c r="K604" s="14"/>
      <c r="L604" s="14"/>
      <c r="M604" s="14"/>
      <c r="N604" s="14"/>
      <c r="R604" s="234"/>
      <c r="S604" s="204"/>
      <c r="V604" s="185"/>
    </row>
    <row r="605" spans="1:22" ht="18" hidden="1" customHeight="1">
      <c r="A605" s="96"/>
      <c r="B605" s="14"/>
      <c r="D605" s="14"/>
      <c r="E605" s="14"/>
      <c r="F605" s="28" t="s">
        <v>127</v>
      </c>
      <c r="G605" s="689">
        <f>(G602/G603)*(J602/J603)</f>
        <v>6.8589211979727533</v>
      </c>
      <c r="H605" s="689"/>
      <c r="I605" s="14"/>
      <c r="J605" s="14"/>
      <c r="K605" s="14"/>
      <c r="L605" s="14"/>
      <c r="M605" s="14"/>
      <c r="N605" s="14"/>
      <c r="R605" s="234"/>
      <c r="S605" s="204"/>
      <c r="V605" s="185"/>
    </row>
    <row r="606" spans="1:22" ht="18" hidden="1" customHeight="1">
      <c r="A606" s="96"/>
      <c r="B606" s="14"/>
      <c r="G606" s="14"/>
      <c r="H606" s="14"/>
      <c r="I606" s="14"/>
      <c r="J606" s="14"/>
      <c r="K606" s="14"/>
      <c r="L606" s="14"/>
      <c r="M606" s="14"/>
      <c r="N606" s="14"/>
      <c r="R606" s="234"/>
      <c r="S606" s="204"/>
      <c r="V606" s="185"/>
    </row>
    <row r="607" spans="1:22" s="14" customFormat="1" ht="18" hidden="1" customHeight="1">
      <c r="A607" s="96"/>
      <c r="C607" s="30"/>
      <c r="D607" s="283" t="s">
        <v>698</v>
      </c>
      <c r="E607" s="284" t="s">
        <v>699</v>
      </c>
      <c r="F607" s="689" t="s">
        <v>696</v>
      </c>
      <c r="G607" s="716"/>
      <c r="H607" s="716"/>
      <c r="I607" s="284" t="s">
        <v>699</v>
      </c>
      <c r="J607" s="28">
        <v>4</v>
      </c>
      <c r="K607" s="30"/>
      <c r="L607" s="279"/>
      <c r="M607" s="120" t="s">
        <v>700</v>
      </c>
      <c r="N607" s="47" t="s">
        <v>701</v>
      </c>
      <c r="O607" s="279"/>
      <c r="P607" s="236"/>
      <c r="Q607" s="236"/>
      <c r="R607" s="234"/>
      <c r="S607" s="204"/>
      <c r="T607" s="30"/>
      <c r="U607" s="30"/>
      <c r="V607" s="185"/>
    </row>
    <row r="608" spans="1:22" ht="18" hidden="1" customHeight="1">
      <c r="A608" s="96"/>
      <c r="B608" s="14"/>
      <c r="D608" s="218">
        <v>0.25</v>
      </c>
      <c r="E608" s="284" t="str">
        <f>IF(D608&lt;=G605,"≤","&gt;")</f>
        <v>≤</v>
      </c>
      <c r="F608" s="688">
        <f>G605</f>
        <v>6.8589211979727533</v>
      </c>
      <c r="G608" s="1145"/>
      <c r="H608" s="688"/>
      <c r="I608" s="284" t="str">
        <f>IF(G605&lt;=J607,"≤","&gt;")</f>
        <v>&gt;</v>
      </c>
      <c r="J608" s="28">
        <f>J607</f>
        <v>4</v>
      </c>
      <c r="L608" s="279"/>
      <c r="M608" s="120"/>
      <c r="N608" s="213"/>
      <c r="O608" s="279"/>
      <c r="P608" s="236"/>
      <c r="Q608" s="236"/>
      <c r="R608" s="234"/>
      <c r="S608" s="204"/>
      <c r="V608" s="185"/>
    </row>
    <row r="609" spans="1:22" ht="18" hidden="1" customHeight="1">
      <c r="A609" s="96"/>
      <c r="B609" s="14"/>
      <c r="G609" s="14"/>
      <c r="H609" s="14"/>
      <c r="I609" s="14"/>
      <c r="J609" s="14"/>
      <c r="K609" s="14"/>
      <c r="L609" s="14"/>
      <c r="M609" s="14"/>
      <c r="N609" s="14"/>
      <c r="R609" s="234"/>
      <c r="S609" s="204"/>
      <c r="V609" s="185"/>
    </row>
    <row r="610" spans="1:22" ht="18" hidden="1" customHeight="1">
      <c r="A610" s="96"/>
      <c r="B610" s="14" t="s">
        <v>702</v>
      </c>
      <c r="G610" s="14"/>
      <c r="H610" s="18" t="str">
        <f>IF(AND(E608="≤",I608="≤")=TRUE,"OK","Not OK")</f>
        <v>Not OK</v>
      </c>
      <c r="I610" s="14"/>
      <c r="J610" s="14"/>
      <c r="K610" s="14"/>
      <c r="L610" s="14"/>
      <c r="M610" s="14"/>
      <c r="N610" s="14"/>
      <c r="R610" s="234"/>
      <c r="S610" s="204"/>
      <c r="V610" s="185"/>
    </row>
    <row r="611" spans="1:22" ht="18" hidden="1" customHeight="1">
      <c r="A611" s="96"/>
      <c r="B611" s="14"/>
      <c r="G611" s="14"/>
      <c r="H611" s="18"/>
      <c r="I611" s="14"/>
      <c r="J611" s="14"/>
      <c r="K611" s="14"/>
      <c r="L611" s="14"/>
      <c r="M611" s="14"/>
      <c r="N611" s="14"/>
      <c r="R611" s="234"/>
      <c r="S611" s="204"/>
      <c r="V611" s="185"/>
    </row>
    <row r="612" spans="1:22" ht="18" hidden="1" customHeight="1">
      <c r="A612" s="96"/>
      <c r="B612" s="14"/>
      <c r="G612" s="14"/>
      <c r="H612" s="18"/>
      <c r="I612" s="14"/>
      <c r="J612" s="14"/>
      <c r="K612" s="14"/>
      <c r="L612" s="14"/>
      <c r="M612" s="14"/>
      <c r="N612" s="14"/>
      <c r="R612" s="234"/>
      <c r="S612" s="204"/>
      <c r="V612" s="185"/>
    </row>
    <row r="613" spans="1:22" ht="18" hidden="1" customHeight="1">
      <c r="A613" s="96"/>
      <c r="B613" s="14"/>
      <c r="G613" s="14"/>
      <c r="H613" s="18"/>
      <c r="I613" s="14"/>
      <c r="J613" s="14"/>
      <c r="K613" s="14"/>
      <c r="L613" s="14"/>
      <c r="M613" s="14"/>
      <c r="N613" s="14"/>
      <c r="R613" s="234"/>
      <c r="S613" s="204"/>
      <c r="V613" s="185"/>
    </row>
    <row r="614" spans="1:22" ht="18" hidden="1" customHeight="1">
      <c r="A614" s="96"/>
      <c r="B614" s="14"/>
      <c r="G614" s="14"/>
      <c r="H614" s="18"/>
      <c r="I614" s="14"/>
      <c r="J614" s="14"/>
      <c r="K614" s="14"/>
      <c r="L614" s="14"/>
      <c r="M614" s="14"/>
      <c r="N614" s="14"/>
      <c r="R614" s="234"/>
      <c r="S614" s="204"/>
      <c r="V614" s="185"/>
    </row>
    <row r="615" spans="1:22" ht="18" hidden="1" customHeight="1">
      <c r="A615" s="96"/>
      <c r="B615" s="14"/>
      <c r="G615" s="14"/>
      <c r="H615" s="18"/>
      <c r="I615" s="14"/>
      <c r="J615" s="14"/>
      <c r="K615" s="14"/>
      <c r="L615" s="14"/>
      <c r="M615" s="14"/>
      <c r="N615" s="14"/>
      <c r="R615" s="234"/>
      <c r="S615" s="204"/>
      <c r="V615" s="185"/>
    </row>
    <row r="616" spans="1:22" ht="18" hidden="1" customHeight="1">
      <c r="A616" s="96"/>
      <c r="B616" s="14"/>
      <c r="G616" s="14"/>
      <c r="H616" s="14"/>
      <c r="I616" s="14"/>
      <c r="J616" s="14"/>
      <c r="K616" s="14"/>
      <c r="L616" s="14"/>
      <c r="M616" s="14"/>
      <c r="N616" s="14"/>
      <c r="R616" s="234"/>
      <c r="S616" s="204"/>
      <c r="V616" s="185"/>
    </row>
    <row r="617" spans="1:22" ht="18" hidden="1" customHeight="1">
      <c r="A617" s="194"/>
      <c r="B617" s="195"/>
      <c r="C617" s="195"/>
      <c r="D617" s="195"/>
      <c r="E617" s="195"/>
      <c r="F617" s="195"/>
      <c r="G617" s="195"/>
      <c r="H617" s="195"/>
      <c r="I617" s="195"/>
      <c r="J617" s="195"/>
      <c r="K617" s="195"/>
      <c r="L617" s="195"/>
      <c r="M617" s="195"/>
      <c r="N617" s="195"/>
      <c r="O617" s="195"/>
      <c r="P617" s="195"/>
      <c r="Q617" s="224"/>
      <c r="R617" s="182"/>
      <c r="S617" s="225"/>
      <c r="T617" s="195"/>
      <c r="U617" s="195"/>
      <c r="V617" s="134" t="s">
        <v>552</v>
      </c>
    </row>
    <row r="618" spans="1:22" ht="18" hidden="1" customHeight="1">
      <c r="A618" s="226"/>
      <c r="B618" s="227"/>
      <c r="C618" s="227"/>
      <c r="D618" s="227"/>
      <c r="E618" s="227"/>
      <c r="F618" s="227"/>
      <c r="G618" s="227"/>
      <c r="H618" s="227"/>
      <c r="I618" s="227"/>
      <c r="J618" s="227"/>
      <c r="K618" s="227"/>
      <c r="L618" s="227"/>
      <c r="M618" s="227"/>
      <c r="N618" s="227"/>
      <c r="O618" s="227"/>
      <c r="P618" s="227"/>
      <c r="Q618" s="227"/>
      <c r="R618" s="227"/>
      <c r="S618" s="227"/>
      <c r="T618" s="227"/>
      <c r="U618" s="227"/>
      <c r="V618" s="228"/>
    </row>
    <row r="619" spans="1:22" ht="18" hidden="1" customHeight="1">
      <c r="A619" s="262" t="s">
        <v>532</v>
      </c>
      <c r="B619" s="14"/>
      <c r="C619" s="14"/>
      <c r="D619" s="120"/>
      <c r="E619" s="120"/>
      <c r="F619" s="18"/>
      <c r="G619" s="18"/>
      <c r="H619" s="14"/>
      <c r="I619" s="14"/>
      <c r="J619" s="14"/>
      <c r="K619" s="14"/>
      <c r="L619" s="14"/>
      <c r="M619" s="14"/>
      <c r="N619" s="14"/>
      <c r="O619" s="14"/>
      <c r="P619" s="28"/>
      <c r="Q619" s="120"/>
      <c r="R619" s="47"/>
      <c r="S619" s="206"/>
      <c r="T619" s="259"/>
      <c r="U619" s="14"/>
      <c r="V619" s="97"/>
    </row>
    <row r="620" spans="1:22" ht="18" hidden="1" customHeight="1">
      <c r="A620" s="955" t="s">
        <v>85</v>
      </c>
      <c r="B620" s="956"/>
      <c r="C620" s="1132"/>
      <c r="D620" s="955" t="s">
        <v>86</v>
      </c>
      <c r="E620" s="1146"/>
      <c r="F620" s="1146"/>
      <c r="G620" s="1132"/>
      <c r="H620" s="955" t="s">
        <v>87</v>
      </c>
      <c r="I620" s="957"/>
      <c r="J620" s="955" t="s">
        <v>88</v>
      </c>
      <c r="K620" s="1132"/>
      <c r="L620" s="955" t="s">
        <v>502</v>
      </c>
      <c r="M620" s="956"/>
      <c r="N620" s="957" t="s">
        <v>556</v>
      </c>
      <c r="O620" s="955" t="s">
        <v>557</v>
      </c>
      <c r="P620" s="956"/>
      <c r="Q620" s="1132"/>
      <c r="R620" s="955" t="s">
        <v>558</v>
      </c>
      <c r="S620" s="1135"/>
      <c r="T620" s="1133"/>
      <c r="U620" s="955" t="s">
        <v>505</v>
      </c>
      <c r="V620" s="1139"/>
    </row>
    <row r="621" spans="1:22" ht="18" hidden="1" customHeight="1">
      <c r="A621" s="1125"/>
      <c r="B621" s="983"/>
      <c r="C621" s="1133"/>
      <c r="D621" s="1136"/>
      <c r="E621" s="1135"/>
      <c r="F621" s="1135"/>
      <c r="G621" s="1133"/>
      <c r="H621" s="1125"/>
      <c r="I621" s="1126"/>
      <c r="J621" s="1136"/>
      <c r="K621" s="1133"/>
      <c r="L621" s="1125"/>
      <c r="M621" s="983"/>
      <c r="N621" s="1126"/>
      <c r="O621" s="1125"/>
      <c r="P621" s="983"/>
      <c r="Q621" s="1133"/>
      <c r="R621" s="1136"/>
      <c r="S621" s="1135"/>
      <c r="T621" s="1133"/>
      <c r="U621" s="1140"/>
      <c r="V621" s="1141"/>
    </row>
    <row r="622" spans="1:22" ht="18" hidden="1" customHeight="1">
      <c r="A622" s="1047"/>
      <c r="B622" s="1048"/>
      <c r="C622" s="1134"/>
      <c r="D622" s="1137"/>
      <c r="E622" s="1138"/>
      <c r="F622" s="1138"/>
      <c r="G622" s="1134"/>
      <c r="H622" s="1047"/>
      <c r="I622" s="1049"/>
      <c r="J622" s="1137"/>
      <c r="K622" s="1134"/>
      <c r="L622" s="1047"/>
      <c r="M622" s="1048"/>
      <c r="N622" s="1049"/>
      <c r="O622" s="1047"/>
      <c r="P622" s="1048"/>
      <c r="Q622" s="1134"/>
      <c r="R622" s="1137"/>
      <c r="S622" s="1138"/>
      <c r="T622" s="1134"/>
      <c r="U622" s="1142"/>
      <c r="V622" s="1143"/>
    </row>
    <row r="623" spans="1:22" ht="18" hidden="1" customHeight="1">
      <c r="A623" s="765" t="str">
        <f>B531</f>
        <v>CT1L1</v>
      </c>
      <c r="B623" s="1144" t="str">
        <f>B532</f>
        <v>CT1L2</v>
      </c>
      <c r="C623" s="871" t="str">
        <f>D531</f>
        <v>Core3</v>
      </c>
      <c r="D623" s="871">
        <f>H446</f>
        <v>5000</v>
      </c>
      <c r="E623" s="871">
        <f>J446</f>
        <v>4000</v>
      </c>
      <c r="F623" s="871">
        <f>L534</f>
        <v>3000</v>
      </c>
      <c r="G623" s="871">
        <f>O446</f>
        <v>1</v>
      </c>
      <c r="H623" s="871">
        <f>'[6]CT-VT Burdens'!S19</f>
        <v>100</v>
      </c>
      <c r="I623" s="1036">
        <f>'[6]CT-VT Burdens'!S10</f>
        <v>4</v>
      </c>
      <c r="J623" s="869" t="str">
        <f>J447</f>
        <v>PX</v>
      </c>
      <c r="K623" s="869"/>
      <c r="L623" s="871">
        <f>H365</f>
        <v>20</v>
      </c>
      <c r="M623" s="871">
        <f>J448</f>
        <v>15</v>
      </c>
      <c r="N623" s="871">
        <f>L536</f>
        <v>10</v>
      </c>
      <c r="O623" s="871">
        <f>H366</f>
        <v>1000</v>
      </c>
      <c r="P623" s="871">
        <f>J449</f>
        <v>800</v>
      </c>
      <c r="Q623" s="871">
        <f>L537</f>
        <v>800</v>
      </c>
      <c r="R623" s="871">
        <f>H367</f>
        <v>20</v>
      </c>
      <c r="S623" s="871">
        <f>J450</f>
        <v>40</v>
      </c>
      <c r="T623" s="871">
        <f>L538</f>
        <v>50</v>
      </c>
      <c r="U623" s="775" t="str">
        <f>D454</f>
        <v>7UT85</v>
      </c>
      <c r="V623" s="776"/>
    </row>
    <row r="624" spans="1:22" ht="18" hidden="1" customHeight="1">
      <c r="A624" s="765" t="str">
        <f>B532</f>
        <v>CT1L2</v>
      </c>
      <c r="B624" s="1144">
        <f>A533</f>
        <v>0</v>
      </c>
      <c r="C624" s="1130"/>
      <c r="D624" s="1130"/>
      <c r="E624" s="1130"/>
      <c r="F624" s="1130"/>
      <c r="G624" s="1130"/>
      <c r="H624" s="1130"/>
      <c r="I624" s="1130"/>
      <c r="J624" s="1129"/>
      <c r="K624" s="1129"/>
      <c r="L624" s="1130"/>
      <c r="M624" s="1130"/>
      <c r="N624" s="1130"/>
      <c r="O624" s="1130"/>
      <c r="P624" s="1130"/>
      <c r="Q624" s="1130"/>
      <c r="R624" s="1130"/>
      <c r="S624" s="1130"/>
      <c r="T624" s="1130"/>
      <c r="U624" s="775"/>
      <c r="V624" s="776"/>
    </row>
    <row r="625" spans="1:22" ht="18" hidden="1" customHeight="1">
      <c r="A625" s="765">
        <f>A533</f>
        <v>0</v>
      </c>
      <c r="B625" s="1144" t="str">
        <f>B534</f>
        <v>CT Ratio:</v>
      </c>
      <c r="C625" s="1131"/>
      <c r="D625" s="1131"/>
      <c r="E625" s="1131"/>
      <c r="F625" s="1131"/>
      <c r="G625" s="1131"/>
      <c r="H625" s="1131"/>
      <c r="I625" s="1131"/>
      <c r="J625" s="1129"/>
      <c r="K625" s="1129"/>
      <c r="L625" s="1131"/>
      <c r="M625" s="1131"/>
      <c r="N625" s="1131"/>
      <c r="O625" s="1131"/>
      <c r="P625" s="1131"/>
      <c r="Q625" s="1131"/>
      <c r="R625" s="1131"/>
      <c r="S625" s="1131"/>
      <c r="T625" s="1131"/>
      <c r="U625" s="775"/>
      <c r="V625" s="776"/>
    </row>
    <row r="626" spans="1:22" ht="18" hidden="1" customHeight="1">
      <c r="A626" s="184"/>
      <c r="V626" s="185"/>
    </row>
    <row r="627" spans="1:22" ht="18" hidden="1" customHeight="1">
      <c r="A627" s="184"/>
      <c r="V627" s="185"/>
    </row>
    <row r="628" spans="1:22" ht="18" hidden="1" customHeight="1">
      <c r="A628" s="184"/>
      <c r="V628" s="185"/>
    </row>
    <row r="629" spans="1:22" ht="18" hidden="1" customHeight="1">
      <c r="A629" s="184"/>
      <c r="V629" s="185"/>
    </row>
    <row r="630" spans="1:22" ht="18" hidden="1" customHeight="1">
      <c r="A630" s="184"/>
      <c r="V630" s="185"/>
    </row>
    <row r="631" spans="1:22" ht="18" hidden="1" customHeight="1">
      <c r="A631" s="184"/>
      <c r="V631" s="185"/>
    </row>
    <row r="632" spans="1:22" ht="18" hidden="1" customHeight="1">
      <c r="A632" s="184"/>
      <c r="V632" s="185"/>
    </row>
    <row r="633" spans="1:22" ht="18" hidden="1" customHeight="1">
      <c r="A633" s="184"/>
      <c r="V633" s="185"/>
    </row>
    <row r="634" spans="1:22" ht="18" hidden="1" customHeight="1">
      <c r="A634" s="184"/>
      <c r="V634" s="185"/>
    </row>
    <row r="635" spans="1:22" ht="18" hidden="1" customHeight="1">
      <c r="A635" s="184"/>
      <c r="V635" s="185"/>
    </row>
    <row r="636" spans="1:22" ht="18" hidden="1" customHeight="1">
      <c r="A636" s="184"/>
      <c r="V636" s="185"/>
    </row>
    <row r="637" spans="1:22" ht="18" hidden="1" customHeight="1">
      <c r="A637" s="184"/>
      <c r="V637" s="185"/>
    </row>
    <row r="638" spans="1:22" ht="18" hidden="1" customHeight="1">
      <c r="A638" s="184"/>
      <c r="V638" s="185"/>
    </row>
    <row r="639" spans="1:22" ht="18" hidden="1" customHeight="1">
      <c r="A639" s="184"/>
      <c r="V639" s="185"/>
    </row>
    <row r="640" spans="1:22" ht="18" hidden="1" customHeight="1">
      <c r="A640" s="184"/>
      <c r="V640" s="185"/>
    </row>
    <row r="641" spans="1:22" ht="18" hidden="1" customHeight="1">
      <c r="A641" s="184"/>
      <c r="V641" s="185"/>
    </row>
    <row r="642" spans="1:22" ht="18" hidden="1" customHeight="1">
      <c r="A642" s="184"/>
      <c r="V642" s="185"/>
    </row>
    <row r="643" spans="1:22" ht="18" hidden="1" customHeight="1">
      <c r="A643" s="184"/>
      <c r="V643" s="185"/>
    </row>
    <row r="644" spans="1:22" ht="18" hidden="1" customHeight="1">
      <c r="A644" s="184"/>
      <c r="V644" s="185"/>
    </row>
    <row r="645" spans="1:22" ht="18" hidden="1" customHeight="1">
      <c r="A645" s="184"/>
      <c r="V645" s="185"/>
    </row>
    <row r="646" spans="1:22" ht="18" hidden="1" customHeight="1">
      <c r="A646" s="184"/>
      <c r="V646" s="185"/>
    </row>
    <row r="647" spans="1:22" ht="18" hidden="1" customHeight="1">
      <c r="A647" s="184"/>
      <c r="V647" s="185"/>
    </row>
    <row r="648" spans="1:22" ht="18" hidden="1" customHeight="1">
      <c r="A648" s="184"/>
      <c r="V648" s="185"/>
    </row>
    <row r="649" spans="1:22" ht="18" hidden="1" customHeight="1">
      <c r="A649" s="184"/>
      <c r="V649" s="185"/>
    </row>
    <row r="650" spans="1:22" ht="18" hidden="1" customHeight="1">
      <c r="A650" s="184"/>
      <c r="V650" s="185"/>
    </row>
    <row r="651" spans="1:22" ht="18" hidden="1" customHeight="1">
      <c r="A651" s="184"/>
      <c r="V651" s="185"/>
    </row>
    <row r="652" spans="1:22" ht="18" hidden="1" customHeight="1">
      <c r="A652" s="184"/>
      <c r="V652" s="185"/>
    </row>
    <row r="653" spans="1:22" ht="18" hidden="1" customHeight="1">
      <c r="A653" s="184"/>
      <c r="V653" s="185"/>
    </row>
    <row r="654" spans="1:22" ht="18" hidden="1" customHeight="1">
      <c r="A654" s="184"/>
      <c r="V654" s="185"/>
    </row>
    <row r="655" spans="1:22" ht="18" hidden="1" customHeight="1">
      <c r="A655" s="184"/>
      <c r="V655" s="185"/>
    </row>
    <row r="656" spans="1:22" s="14" customFormat="1" ht="18" hidden="1" customHeight="1">
      <c r="A656" s="184"/>
      <c r="B656" s="30"/>
      <c r="C656" s="30"/>
      <c r="D656" s="30"/>
      <c r="E656" s="30"/>
      <c r="F656" s="30"/>
      <c r="G656" s="30"/>
      <c r="H656" s="30"/>
      <c r="I656" s="30"/>
      <c r="J656" s="30"/>
      <c r="K656" s="30"/>
      <c r="L656" s="30"/>
      <c r="M656" s="30"/>
      <c r="N656" s="30"/>
      <c r="O656" s="30"/>
      <c r="P656" s="30"/>
      <c r="Q656" s="30"/>
      <c r="R656" s="30"/>
      <c r="S656" s="30"/>
      <c r="T656" s="30"/>
      <c r="U656" s="30"/>
      <c r="V656" s="185"/>
    </row>
    <row r="657" spans="1:22" ht="18" hidden="1" customHeight="1">
      <c r="A657" s="184"/>
      <c r="V657" s="185"/>
    </row>
    <row r="658" spans="1:22" ht="18" hidden="1" customHeight="1">
      <c r="A658" s="184"/>
      <c r="V658" s="185"/>
    </row>
    <row r="659" spans="1:22" ht="18" hidden="1" customHeight="1">
      <c r="A659" s="184"/>
      <c r="V659" s="185"/>
    </row>
    <row r="660" spans="1:22" ht="18" hidden="1" customHeight="1">
      <c r="A660" s="184"/>
      <c r="V660" s="185"/>
    </row>
    <row r="661" spans="1:22" ht="18" hidden="1" customHeight="1">
      <c r="A661" s="194"/>
      <c r="B661" s="195"/>
      <c r="C661" s="195"/>
      <c r="D661" s="195"/>
      <c r="E661" s="195"/>
      <c r="F661" s="195"/>
      <c r="G661" s="195"/>
      <c r="H661" s="195"/>
      <c r="I661" s="195"/>
      <c r="J661" s="195"/>
      <c r="K661" s="195"/>
      <c r="L661" s="195"/>
      <c r="M661" s="195"/>
      <c r="N661" s="195"/>
      <c r="O661" s="195"/>
      <c r="P661" s="195"/>
      <c r="Q661" s="224"/>
      <c r="R661" s="182"/>
      <c r="S661" s="225"/>
      <c r="T661" s="195"/>
      <c r="U661" s="195"/>
      <c r="V661" s="134" t="s">
        <v>552</v>
      </c>
    </row>
  </sheetData>
  <mergeCells count="671">
    <mergeCell ref="J623:K625"/>
    <mergeCell ref="L623:L625"/>
    <mergeCell ref="M623:M625"/>
    <mergeCell ref="L620:N622"/>
    <mergeCell ref="O620:Q622"/>
    <mergeCell ref="R620:T622"/>
    <mergeCell ref="U620:V622"/>
    <mergeCell ref="A623:B623"/>
    <mergeCell ref="C623:C625"/>
    <mergeCell ref="D623:D625"/>
    <mergeCell ref="E623:E625"/>
    <mergeCell ref="F623:F625"/>
    <mergeCell ref="T623:T625"/>
    <mergeCell ref="U623:V623"/>
    <mergeCell ref="A624:B624"/>
    <mergeCell ref="U624:V624"/>
    <mergeCell ref="A625:B625"/>
    <mergeCell ref="U625:V625"/>
    <mergeCell ref="N623:N625"/>
    <mergeCell ref="O623:O625"/>
    <mergeCell ref="P623:P625"/>
    <mergeCell ref="Q623:Q625"/>
    <mergeCell ref="R623:R625"/>
    <mergeCell ref="S623:S625"/>
    <mergeCell ref="G623:G625"/>
    <mergeCell ref="H623:H625"/>
    <mergeCell ref="I623:I625"/>
    <mergeCell ref="G605:H605"/>
    <mergeCell ref="F607:H607"/>
    <mergeCell ref="F608:H608"/>
    <mergeCell ref="A620:C622"/>
    <mergeCell ref="D620:G622"/>
    <mergeCell ref="H620:I622"/>
    <mergeCell ref="U590:U591"/>
    <mergeCell ref="I591:J591"/>
    <mergeCell ref="L591:M591"/>
    <mergeCell ref="S586:T586"/>
    <mergeCell ref="S587:T587"/>
    <mergeCell ref="S588:T588"/>
    <mergeCell ref="J620:K622"/>
    <mergeCell ref="D592:E592"/>
    <mergeCell ref="E595:F595"/>
    <mergeCell ref="H595:I595"/>
    <mergeCell ref="D599:E600"/>
    <mergeCell ref="F599:F600"/>
    <mergeCell ref="G599:H599"/>
    <mergeCell ref="I599:I600"/>
    <mergeCell ref="P590:P591"/>
    <mergeCell ref="J599:K599"/>
    <mergeCell ref="G600:H600"/>
    <mergeCell ref="J600:K600"/>
    <mergeCell ref="F602:F603"/>
    <mergeCell ref="G602:H602"/>
    <mergeCell ref="I602:I603"/>
    <mergeCell ref="J602:K602"/>
    <mergeCell ref="G603:H603"/>
    <mergeCell ref="J603:K603"/>
    <mergeCell ref="B590:B591"/>
    <mergeCell ref="C590:C591"/>
    <mergeCell ref="G590:G591"/>
    <mergeCell ref="H590:H591"/>
    <mergeCell ref="I590:M590"/>
    <mergeCell ref="N590:N591"/>
    <mergeCell ref="O590:O591"/>
    <mergeCell ref="S580:T580"/>
    <mergeCell ref="S581:T581"/>
    <mergeCell ref="S582:T582"/>
    <mergeCell ref="S583:T583"/>
    <mergeCell ref="S584:T584"/>
    <mergeCell ref="S585:T585"/>
    <mergeCell ref="Q590:Q591"/>
    <mergeCell ref="R590:R591"/>
    <mergeCell ref="S590:S591"/>
    <mergeCell ref="O577:O578"/>
    <mergeCell ref="P577:P578"/>
    <mergeCell ref="Q577:Q578"/>
    <mergeCell ref="R577:R578"/>
    <mergeCell ref="S577:S578"/>
    <mergeCell ref="U577:U578"/>
    <mergeCell ref="B577:B578"/>
    <mergeCell ref="C577:C578"/>
    <mergeCell ref="G577:G578"/>
    <mergeCell ref="H577:H578"/>
    <mergeCell ref="I577:M577"/>
    <mergeCell ref="N577:N578"/>
    <mergeCell ref="I578:J578"/>
    <mergeCell ref="L578:M578"/>
    <mergeCell ref="J559:K559"/>
    <mergeCell ref="J560:K560"/>
    <mergeCell ref="J561:K561"/>
    <mergeCell ref="O565:P565"/>
    <mergeCell ref="O566:P566"/>
    <mergeCell ref="O567:P567"/>
    <mergeCell ref="J546:K546"/>
    <mergeCell ref="D551:E551"/>
    <mergeCell ref="O551:P551"/>
    <mergeCell ref="O555:P555"/>
    <mergeCell ref="O556:P556"/>
    <mergeCell ref="O557:P557"/>
    <mergeCell ref="AB537:AC537"/>
    <mergeCell ref="L538:M538"/>
    <mergeCell ref="J542:K542"/>
    <mergeCell ref="J543:K543"/>
    <mergeCell ref="J544:K544"/>
    <mergeCell ref="J545:K545"/>
    <mergeCell ref="H534:I534"/>
    <mergeCell ref="J534:K534"/>
    <mergeCell ref="L534:M534"/>
    <mergeCell ref="L535:M535"/>
    <mergeCell ref="L536:M536"/>
    <mergeCell ref="L537:M537"/>
    <mergeCell ref="H533:I533"/>
    <mergeCell ref="J533:K533"/>
    <mergeCell ref="L533:M533"/>
    <mergeCell ref="T533:U533"/>
    <mergeCell ref="G517:H517"/>
    <mergeCell ref="F519:H519"/>
    <mergeCell ref="F520:H520"/>
    <mergeCell ref="B531:C531"/>
    <mergeCell ref="D531:E532"/>
    <mergeCell ref="H531:M531"/>
    <mergeCell ref="F514:F515"/>
    <mergeCell ref="G514:H514"/>
    <mergeCell ref="I514:I515"/>
    <mergeCell ref="J514:K514"/>
    <mergeCell ref="G515:H515"/>
    <mergeCell ref="J515:K515"/>
    <mergeCell ref="T531:U531"/>
    <mergeCell ref="B532:C532"/>
    <mergeCell ref="T532:U532"/>
    <mergeCell ref="D504:E504"/>
    <mergeCell ref="E507:F507"/>
    <mergeCell ref="H507:I507"/>
    <mergeCell ref="D511:E512"/>
    <mergeCell ref="F511:F512"/>
    <mergeCell ref="G511:H511"/>
    <mergeCell ref="I511:I512"/>
    <mergeCell ref="P502:P503"/>
    <mergeCell ref="Q502:Q503"/>
    <mergeCell ref="J511:K511"/>
    <mergeCell ref="G512:H512"/>
    <mergeCell ref="J512:K512"/>
    <mergeCell ref="R502:R503"/>
    <mergeCell ref="S502:S503"/>
    <mergeCell ref="U502:U503"/>
    <mergeCell ref="I503:J503"/>
    <mergeCell ref="L503:M503"/>
    <mergeCell ref="S498:T498"/>
    <mergeCell ref="S499:T499"/>
    <mergeCell ref="S500:T500"/>
    <mergeCell ref="B502:B503"/>
    <mergeCell ref="C502:C503"/>
    <mergeCell ref="G502:G503"/>
    <mergeCell ref="H502:H503"/>
    <mergeCell ref="I502:M502"/>
    <mergeCell ref="N502:N503"/>
    <mergeCell ref="O502:O503"/>
    <mergeCell ref="S492:T492"/>
    <mergeCell ref="S493:T493"/>
    <mergeCell ref="S494:T494"/>
    <mergeCell ref="S495:T495"/>
    <mergeCell ref="S496:T496"/>
    <mergeCell ref="S497:T497"/>
    <mergeCell ref="O489:O490"/>
    <mergeCell ref="P489:P490"/>
    <mergeCell ref="Q489:Q490"/>
    <mergeCell ref="R489:R490"/>
    <mergeCell ref="S489:S490"/>
    <mergeCell ref="U489:U490"/>
    <mergeCell ref="B489:B490"/>
    <mergeCell ref="C489:C490"/>
    <mergeCell ref="G489:G490"/>
    <mergeCell ref="H489:H490"/>
    <mergeCell ref="I489:M489"/>
    <mergeCell ref="N489:N490"/>
    <mergeCell ref="I490:J490"/>
    <mergeCell ref="L490:M490"/>
    <mergeCell ref="J471:K471"/>
    <mergeCell ref="J472:K472"/>
    <mergeCell ref="J473:K473"/>
    <mergeCell ref="O477:P477"/>
    <mergeCell ref="O478:P478"/>
    <mergeCell ref="O479:P479"/>
    <mergeCell ref="J458:K458"/>
    <mergeCell ref="D463:E463"/>
    <mergeCell ref="O463:P463"/>
    <mergeCell ref="O467:P467"/>
    <mergeCell ref="O468:P468"/>
    <mergeCell ref="O469:P469"/>
    <mergeCell ref="AB449:AC449"/>
    <mergeCell ref="J450:K450"/>
    <mergeCell ref="J454:K454"/>
    <mergeCell ref="J455:K455"/>
    <mergeCell ref="J456:K456"/>
    <mergeCell ref="J457:K457"/>
    <mergeCell ref="H446:I446"/>
    <mergeCell ref="J446:K446"/>
    <mergeCell ref="L446:M446"/>
    <mergeCell ref="J447:K447"/>
    <mergeCell ref="J448:K448"/>
    <mergeCell ref="J449:K449"/>
    <mergeCell ref="H445:I445"/>
    <mergeCell ref="J445:K445"/>
    <mergeCell ref="L445:M445"/>
    <mergeCell ref="T445:U445"/>
    <mergeCell ref="G429:H429"/>
    <mergeCell ref="F431:H431"/>
    <mergeCell ref="F432:H432"/>
    <mergeCell ref="B443:C443"/>
    <mergeCell ref="D443:E444"/>
    <mergeCell ref="H443:M443"/>
    <mergeCell ref="F426:F427"/>
    <mergeCell ref="G426:H426"/>
    <mergeCell ref="I426:I427"/>
    <mergeCell ref="J426:K426"/>
    <mergeCell ref="G427:H427"/>
    <mergeCell ref="J427:K427"/>
    <mergeCell ref="T443:U443"/>
    <mergeCell ref="B444:C444"/>
    <mergeCell ref="T444:U444"/>
    <mergeCell ref="D416:E416"/>
    <mergeCell ref="E419:F419"/>
    <mergeCell ref="H419:I419"/>
    <mergeCell ref="D423:E424"/>
    <mergeCell ref="F423:F424"/>
    <mergeCell ref="G423:H423"/>
    <mergeCell ref="I423:I424"/>
    <mergeCell ref="P414:P415"/>
    <mergeCell ref="Q414:Q415"/>
    <mergeCell ref="J423:K423"/>
    <mergeCell ref="G424:H424"/>
    <mergeCell ref="J424:K424"/>
    <mergeCell ref="R414:R415"/>
    <mergeCell ref="S414:S415"/>
    <mergeCell ref="U414:U415"/>
    <mergeCell ref="I415:J415"/>
    <mergeCell ref="L415:M415"/>
    <mergeCell ref="S410:T410"/>
    <mergeCell ref="S411:T411"/>
    <mergeCell ref="S412:T412"/>
    <mergeCell ref="B414:B415"/>
    <mergeCell ref="C414:C415"/>
    <mergeCell ref="G414:G415"/>
    <mergeCell ref="H414:H415"/>
    <mergeCell ref="I414:M414"/>
    <mergeCell ref="N414:N415"/>
    <mergeCell ref="O414:O415"/>
    <mergeCell ref="S404:T404"/>
    <mergeCell ref="S405:T405"/>
    <mergeCell ref="S406:T406"/>
    <mergeCell ref="S407:T407"/>
    <mergeCell ref="S408:T408"/>
    <mergeCell ref="S409:T409"/>
    <mergeCell ref="P401:P402"/>
    <mergeCell ref="Q401:Q402"/>
    <mergeCell ref="R401:R402"/>
    <mergeCell ref="S401:S402"/>
    <mergeCell ref="U401:U402"/>
    <mergeCell ref="I402:J402"/>
    <mergeCell ref="L402:M402"/>
    <mergeCell ref="O394:P394"/>
    <mergeCell ref="O395:P395"/>
    <mergeCell ref="O396:P396"/>
    <mergeCell ref="B401:B402"/>
    <mergeCell ref="C401:C402"/>
    <mergeCell ref="G401:G402"/>
    <mergeCell ref="H401:H402"/>
    <mergeCell ref="I401:M401"/>
    <mergeCell ref="N401:N402"/>
    <mergeCell ref="O401:O402"/>
    <mergeCell ref="O384:P384"/>
    <mergeCell ref="O385:P385"/>
    <mergeCell ref="O386:P386"/>
    <mergeCell ref="J388:K388"/>
    <mergeCell ref="J389:K389"/>
    <mergeCell ref="J390:K390"/>
    <mergeCell ref="J372:K372"/>
    <mergeCell ref="J373:K373"/>
    <mergeCell ref="J374:K374"/>
    <mergeCell ref="J375:K375"/>
    <mergeCell ref="D380:E380"/>
    <mergeCell ref="O380:P380"/>
    <mergeCell ref="H364:I364"/>
    <mergeCell ref="H365:I365"/>
    <mergeCell ref="H366:I366"/>
    <mergeCell ref="AB366:AC366"/>
    <mergeCell ref="H367:I367"/>
    <mergeCell ref="J371:K371"/>
    <mergeCell ref="T361:U361"/>
    <mergeCell ref="H362:I362"/>
    <mergeCell ref="J362:K362"/>
    <mergeCell ref="L362:M362"/>
    <mergeCell ref="T362:U362"/>
    <mergeCell ref="H363:I363"/>
    <mergeCell ref="J363:K363"/>
    <mergeCell ref="L363:M363"/>
    <mergeCell ref="A358:B358"/>
    <mergeCell ref="D358:F358"/>
    <mergeCell ref="H358:N358"/>
    <mergeCell ref="O358:Q358"/>
    <mergeCell ref="R358:V358"/>
    <mergeCell ref="B360:C360"/>
    <mergeCell ref="D360:E361"/>
    <mergeCell ref="H360:M360"/>
    <mergeCell ref="T360:U360"/>
    <mergeCell ref="B361:C361"/>
    <mergeCell ref="R355:V355"/>
    <mergeCell ref="M315:N318"/>
    <mergeCell ref="O315:P318"/>
    <mergeCell ref="Q315:R318"/>
    <mergeCell ref="S315:V318"/>
    <mergeCell ref="A356:G357"/>
    <mergeCell ref="H356:N357"/>
    <mergeCell ref="O356:Q356"/>
    <mergeCell ref="R356:V356"/>
    <mergeCell ref="O357:Q357"/>
    <mergeCell ref="R357:V357"/>
    <mergeCell ref="K321:L321"/>
    <mergeCell ref="M321:N321"/>
    <mergeCell ref="O321:P321"/>
    <mergeCell ref="S321:V321"/>
    <mergeCell ref="A354:G355"/>
    <mergeCell ref="H354:N354"/>
    <mergeCell ref="O354:Q354"/>
    <mergeCell ref="R354:V354"/>
    <mergeCell ref="H355:N355"/>
    <mergeCell ref="O355:Q355"/>
    <mergeCell ref="I319:J321"/>
    <mergeCell ref="K319:L319"/>
    <mergeCell ref="M319:N319"/>
    <mergeCell ref="M320:N320"/>
    <mergeCell ref="O320:P320"/>
    <mergeCell ref="S320:V320"/>
    <mergeCell ref="A315:C318"/>
    <mergeCell ref="D315:F318"/>
    <mergeCell ref="G315:H318"/>
    <mergeCell ref="I315:J318"/>
    <mergeCell ref="K315:L318"/>
    <mergeCell ref="B319:C321"/>
    <mergeCell ref="D319:E319"/>
    <mergeCell ref="F319:F321"/>
    <mergeCell ref="G319:G321"/>
    <mergeCell ref="H319:H321"/>
    <mergeCell ref="D320:E320"/>
    <mergeCell ref="D321:E321"/>
    <mergeCell ref="O319:P319"/>
    <mergeCell ref="Q319:R321"/>
    <mergeCell ref="S319:V319"/>
    <mergeCell ref="K320:L320"/>
    <mergeCell ref="A319:A321"/>
    <mergeCell ref="F296:F297"/>
    <mergeCell ref="G296:H296"/>
    <mergeCell ref="I296:I297"/>
    <mergeCell ref="J296:K296"/>
    <mergeCell ref="G297:H297"/>
    <mergeCell ref="J297:K297"/>
    <mergeCell ref="G299:H299"/>
    <mergeCell ref="F301:H301"/>
    <mergeCell ref="F302:H302"/>
    <mergeCell ref="D286:E286"/>
    <mergeCell ref="E289:F289"/>
    <mergeCell ref="H289:I289"/>
    <mergeCell ref="D293:E294"/>
    <mergeCell ref="F293:F294"/>
    <mergeCell ref="G293:H293"/>
    <mergeCell ref="I293:I294"/>
    <mergeCell ref="P284:P285"/>
    <mergeCell ref="Q284:Q285"/>
    <mergeCell ref="J293:K293"/>
    <mergeCell ref="G294:H294"/>
    <mergeCell ref="J294:K294"/>
    <mergeCell ref="R284:R285"/>
    <mergeCell ref="S284:S285"/>
    <mergeCell ref="U284:U285"/>
    <mergeCell ref="I285:J285"/>
    <mergeCell ref="L285:M285"/>
    <mergeCell ref="S280:T280"/>
    <mergeCell ref="S281:T281"/>
    <mergeCell ref="S282:T282"/>
    <mergeCell ref="B284:B285"/>
    <mergeCell ref="C284:C285"/>
    <mergeCell ref="G284:G285"/>
    <mergeCell ref="H284:H285"/>
    <mergeCell ref="I284:M284"/>
    <mergeCell ref="N284:N285"/>
    <mergeCell ref="O284:O285"/>
    <mergeCell ref="S274:T274"/>
    <mergeCell ref="S275:T275"/>
    <mergeCell ref="S276:T276"/>
    <mergeCell ref="S277:T277"/>
    <mergeCell ref="S278:T278"/>
    <mergeCell ref="S279:T279"/>
    <mergeCell ref="P271:P272"/>
    <mergeCell ref="Q271:Q272"/>
    <mergeCell ref="R271:R272"/>
    <mergeCell ref="S271:S272"/>
    <mergeCell ref="U271:U272"/>
    <mergeCell ref="I272:J272"/>
    <mergeCell ref="L272:M272"/>
    <mergeCell ref="O259:P259"/>
    <mergeCell ref="O260:P260"/>
    <mergeCell ref="O261:P261"/>
    <mergeCell ref="B271:B272"/>
    <mergeCell ref="C271:C272"/>
    <mergeCell ref="G271:G272"/>
    <mergeCell ref="H271:H272"/>
    <mergeCell ref="I271:M271"/>
    <mergeCell ref="N271:N272"/>
    <mergeCell ref="O271:O272"/>
    <mergeCell ref="O249:P249"/>
    <mergeCell ref="O250:P250"/>
    <mergeCell ref="O251:P251"/>
    <mergeCell ref="J253:K253"/>
    <mergeCell ref="J254:K254"/>
    <mergeCell ref="J255:K255"/>
    <mergeCell ref="J240:K240"/>
    <mergeCell ref="D245:E245"/>
    <mergeCell ref="O245:P245"/>
    <mergeCell ref="M247:N247"/>
    <mergeCell ref="P247:Q247"/>
    <mergeCell ref="S247:T247"/>
    <mergeCell ref="AB231:AC231"/>
    <mergeCell ref="L232:M232"/>
    <mergeCell ref="J236:K236"/>
    <mergeCell ref="J237:K237"/>
    <mergeCell ref="J238:K238"/>
    <mergeCell ref="J239:K239"/>
    <mergeCell ref="H228:I228"/>
    <mergeCell ref="J228:K228"/>
    <mergeCell ref="L228:M228"/>
    <mergeCell ref="L229:M229"/>
    <mergeCell ref="L230:M230"/>
    <mergeCell ref="L231:M231"/>
    <mergeCell ref="H227:I227"/>
    <mergeCell ref="J227:K227"/>
    <mergeCell ref="L227:M227"/>
    <mergeCell ref="T227:U227"/>
    <mergeCell ref="G201:H201"/>
    <mergeCell ref="F203:H203"/>
    <mergeCell ref="F204:H204"/>
    <mergeCell ref="B225:C225"/>
    <mergeCell ref="D225:E226"/>
    <mergeCell ref="H225:M225"/>
    <mergeCell ref="F198:F199"/>
    <mergeCell ref="G198:H198"/>
    <mergeCell ref="I198:I199"/>
    <mergeCell ref="J198:K198"/>
    <mergeCell ref="G199:H199"/>
    <mergeCell ref="J199:K199"/>
    <mergeCell ref="T225:U225"/>
    <mergeCell ref="B226:C226"/>
    <mergeCell ref="T226:U226"/>
    <mergeCell ref="D188:E188"/>
    <mergeCell ref="E191:F191"/>
    <mergeCell ref="H191:I191"/>
    <mergeCell ref="D195:E196"/>
    <mergeCell ref="F195:F196"/>
    <mergeCell ref="G195:H195"/>
    <mergeCell ref="I195:I196"/>
    <mergeCell ref="P186:P187"/>
    <mergeCell ref="Q186:Q187"/>
    <mergeCell ref="J195:K195"/>
    <mergeCell ref="G196:H196"/>
    <mergeCell ref="J196:K196"/>
    <mergeCell ref="R186:R187"/>
    <mergeCell ref="S186:S187"/>
    <mergeCell ref="U186:U187"/>
    <mergeCell ref="I187:J187"/>
    <mergeCell ref="L187:M187"/>
    <mergeCell ref="S182:T182"/>
    <mergeCell ref="S183:T183"/>
    <mergeCell ref="S184:T184"/>
    <mergeCell ref="B186:B187"/>
    <mergeCell ref="C186:C187"/>
    <mergeCell ref="G186:G187"/>
    <mergeCell ref="H186:H187"/>
    <mergeCell ref="I186:M186"/>
    <mergeCell ref="N186:N187"/>
    <mergeCell ref="O186:O187"/>
    <mergeCell ref="S176:T176"/>
    <mergeCell ref="S177:T177"/>
    <mergeCell ref="S178:T178"/>
    <mergeCell ref="S179:T179"/>
    <mergeCell ref="S180:T180"/>
    <mergeCell ref="S181:T181"/>
    <mergeCell ref="O173:O174"/>
    <mergeCell ref="P173:P174"/>
    <mergeCell ref="Q173:Q174"/>
    <mergeCell ref="R173:R174"/>
    <mergeCell ref="S173:S174"/>
    <mergeCell ref="U173:U174"/>
    <mergeCell ref="B173:B174"/>
    <mergeCell ref="C173:C174"/>
    <mergeCell ref="G173:G174"/>
    <mergeCell ref="H173:H174"/>
    <mergeCell ref="I173:M173"/>
    <mergeCell ref="N173:N174"/>
    <mergeCell ref="I174:J174"/>
    <mergeCell ref="L174:M174"/>
    <mergeCell ref="J159:K159"/>
    <mergeCell ref="J160:K160"/>
    <mergeCell ref="J161:K161"/>
    <mergeCell ref="O165:P165"/>
    <mergeCell ref="O166:P166"/>
    <mergeCell ref="O167:P167"/>
    <mergeCell ref="M153:N153"/>
    <mergeCell ref="P153:Q153"/>
    <mergeCell ref="S153:T153"/>
    <mergeCell ref="O155:P155"/>
    <mergeCell ref="O156:P156"/>
    <mergeCell ref="O157:P157"/>
    <mergeCell ref="J143:K143"/>
    <mergeCell ref="J144:K144"/>
    <mergeCell ref="J145:K145"/>
    <mergeCell ref="J146:K146"/>
    <mergeCell ref="D151:E151"/>
    <mergeCell ref="O151:P151"/>
    <mergeCell ref="J135:K135"/>
    <mergeCell ref="J136:K136"/>
    <mergeCell ref="J137:K137"/>
    <mergeCell ref="AB137:AC137"/>
    <mergeCell ref="J138:K138"/>
    <mergeCell ref="J142:K142"/>
    <mergeCell ref="T132:U132"/>
    <mergeCell ref="H133:I133"/>
    <mergeCell ref="J133:K133"/>
    <mergeCell ref="L133:M133"/>
    <mergeCell ref="T133:U133"/>
    <mergeCell ref="H134:I134"/>
    <mergeCell ref="J134:K134"/>
    <mergeCell ref="L134:M134"/>
    <mergeCell ref="I80:M80"/>
    <mergeCell ref="S76:T76"/>
    <mergeCell ref="S77:T77"/>
    <mergeCell ref="S78:T78"/>
    <mergeCell ref="N103:O103"/>
    <mergeCell ref="N104:O104"/>
    <mergeCell ref="B131:C131"/>
    <mergeCell ref="D131:E131"/>
    <mergeCell ref="H131:M131"/>
    <mergeCell ref="T131:U131"/>
    <mergeCell ref="D81:E81"/>
    <mergeCell ref="U91:U92"/>
    <mergeCell ref="S93:T93"/>
    <mergeCell ref="S94:T94"/>
    <mergeCell ref="S95:T95"/>
    <mergeCell ref="G99:H99"/>
    <mergeCell ref="B79:B80"/>
    <mergeCell ref="C79:C80"/>
    <mergeCell ref="G79:G80"/>
    <mergeCell ref="H79:H80"/>
    <mergeCell ref="I79:M79"/>
    <mergeCell ref="N79:N80"/>
    <mergeCell ref="O79:O80"/>
    <mergeCell ref="P79:P80"/>
    <mergeCell ref="Q79:Q80"/>
    <mergeCell ref="R79:R80"/>
    <mergeCell ref="S79:S80"/>
    <mergeCell ref="U68:U69"/>
    <mergeCell ref="O64:P64"/>
    <mergeCell ref="R64:V64"/>
    <mergeCell ref="O65:P65"/>
    <mergeCell ref="O66:P66"/>
    <mergeCell ref="S71:T71"/>
    <mergeCell ref="S72:T72"/>
    <mergeCell ref="S73:T73"/>
    <mergeCell ref="S74:T74"/>
    <mergeCell ref="S75:T75"/>
    <mergeCell ref="O68:O69"/>
    <mergeCell ref="P68:P69"/>
    <mergeCell ref="Q68:Q69"/>
    <mergeCell ref="R68:R69"/>
    <mergeCell ref="S68:S69"/>
    <mergeCell ref="U79:U80"/>
    <mergeCell ref="B68:B69"/>
    <mergeCell ref="C68:C69"/>
    <mergeCell ref="G68:G69"/>
    <mergeCell ref="H68:H69"/>
    <mergeCell ref="I68:M68"/>
    <mergeCell ref="N68:N69"/>
    <mergeCell ref="Q56:Q57"/>
    <mergeCell ref="R56:R57"/>
    <mergeCell ref="S56:S57"/>
    <mergeCell ref="I69:M69"/>
    <mergeCell ref="U56:U57"/>
    <mergeCell ref="I57:M57"/>
    <mergeCell ref="D58:E58"/>
    <mergeCell ref="S54:T54"/>
    <mergeCell ref="S55:T55"/>
    <mergeCell ref="B56:B57"/>
    <mergeCell ref="C56:C57"/>
    <mergeCell ref="G56:G57"/>
    <mergeCell ref="H56:H57"/>
    <mergeCell ref="I56:M56"/>
    <mergeCell ref="N56:N57"/>
    <mergeCell ref="O56:O57"/>
    <mergeCell ref="P56:P57"/>
    <mergeCell ref="S48:T48"/>
    <mergeCell ref="S49:T49"/>
    <mergeCell ref="S50:T50"/>
    <mergeCell ref="S51:T51"/>
    <mergeCell ref="S52:T52"/>
    <mergeCell ref="S53:T53"/>
    <mergeCell ref="Q43:Q44"/>
    <mergeCell ref="R43:R44"/>
    <mergeCell ref="S43:S44"/>
    <mergeCell ref="U43:U44"/>
    <mergeCell ref="I44:M44"/>
    <mergeCell ref="O41:P41"/>
    <mergeCell ref="B43:B44"/>
    <mergeCell ref="C43:C44"/>
    <mergeCell ref="G43:G44"/>
    <mergeCell ref="H43:H44"/>
    <mergeCell ref="I43:M43"/>
    <mergeCell ref="N43:N44"/>
    <mergeCell ref="O43:O44"/>
    <mergeCell ref="P43:P44"/>
    <mergeCell ref="O31:P31"/>
    <mergeCell ref="O32:P32"/>
    <mergeCell ref="O33:P33"/>
    <mergeCell ref="J35:K35"/>
    <mergeCell ref="J36:K36"/>
    <mergeCell ref="J37:K37"/>
    <mergeCell ref="J22:K22"/>
    <mergeCell ref="D27:E27"/>
    <mergeCell ref="O27:P27"/>
    <mergeCell ref="M29:N29"/>
    <mergeCell ref="P29:Q29"/>
    <mergeCell ref="S29:T29"/>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62 H192 H290 H420 H508 H596">
    <cfRule type="cellIs" dxfId="168" priority="2" stopIfTrue="1" operator="equal">
      <formula>"Under Dimentioned"</formula>
    </cfRule>
  </conditionalFormatting>
  <conditionalFormatting sqref="H106:H128">
    <cfRule type="cellIs" dxfId="167" priority="1" stopIfTrue="1" operator="equal">
      <formula>"Under Dimentioned"</formula>
    </cfRule>
  </conditionalFormatting>
  <conditionalFormatting sqref="H206:H221 H304:H309 H434:H439 H522:H527 H610:H615">
    <cfRule type="cellIs" dxfId="166" priority="3" stopIfTrue="1" operator="equal">
      <formula>"Not OK"</formula>
    </cfRule>
  </conditionalFormatting>
  <dataValidations count="1">
    <dataValidation type="list" allowBlank="1" showInputMessage="1" showErrorMessage="1" sqref="D531 IZ531 SV531 ACR531 AMN531 AWJ531 BGF531 BQB531 BZX531 CJT531 CTP531 DDL531 DNH531 DXD531 EGZ531 EQV531 FAR531 FKN531 FUJ531 GEF531 GOB531 GXX531 HHT531 HRP531 IBL531 ILH531 IVD531 JEZ531 JOV531 JYR531 KIN531 KSJ531 LCF531 LMB531 LVX531 MFT531 MPP531 MZL531 NJH531 NTD531 OCZ531 OMV531 OWR531 PGN531 PQJ531 QAF531 QKB531 QTX531 RDT531 RNP531 RXL531 SHH531 SRD531 TAZ531 TKV531 TUR531 UEN531 UOJ531 UYF531 VIB531 VRX531 WBT531 WLP531 WVL531 D66067 IZ66067 SV66067 ACR66067 AMN66067 AWJ66067 BGF66067 BQB66067 BZX66067 CJT66067 CTP66067 DDL66067 DNH66067 DXD66067 EGZ66067 EQV66067 FAR66067 FKN66067 FUJ66067 GEF66067 GOB66067 GXX66067 HHT66067 HRP66067 IBL66067 ILH66067 IVD66067 JEZ66067 JOV66067 JYR66067 KIN66067 KSJ66067 LCF66067 LMB66067 LVX66067 MFT66067 MPP66067 MZL66067 NJH66067 NTD66067 OCZ66067 OMV66067 OWR66067 PGN66067 PQJ66067 QAF66067 QKB66067 QTX66067 RDT66067 RNP66067 RXL66067 SHH66067 SRD66067 TAZ66067 TKV66067 TUR66067 UEN66067 UOJ66067 UYF66067 VIB66067 VRX66067 WBT66067 WLP66067 WVL66067 D131603 IZ131603 SV131603 ACR131603 AMN131603 AWJ131603 BGF131603 BQB131603 BZX131603 CJT131603 CTP131603 DDL131603 DNH131603 DXD131603 EGZ131603 EQV131603 FAR131603 FKN131603 FUJ131603 GEF131603 GOB131603 GXX131603 HHT131603 HRP131603 IBL131603 ILH131603 IVD131603 JEZ131603 JOV131603 JYR131603 KIN131603 KSJ131603 LCF131603 LMB131603 LVX131603 MFT131603 MPP131603 MZL131603 NJH131603 NTD131603 OCZ131603 OMV131603 OWR131603 PGN131603 PQJ131603 QAF131603 QKB131603 QTX131603 RDT131603 RNP131603 RXL131603 SHH131603 SRD131603 TAZ131603 TKV131603 TUR131603 UEN131603 UOJ131603 UYF131603 VIB131603 VRX131603 WBT131603 WLP131603 WVL131603 D197139 IZ197139 SV197139 ACR197139 AMN197139 AWJ197139 BGF197139 BQB197139 BZX197139 CJT197139 CTP197139 DDL197139 DNH197139 DXD197139 EGZ197139 EQV197139 FAR197139 FKN197139 FUJ197139 GEF197139 GOB197139 GXX197139 HHT197139 HRP197139 IBL197139 ILH197139 IVD197139 JEZ197139 JOV197139 JYR197139 KIN197139 KSJ197139 LCF197139 LMB197139 LVX197139 MFT197139 MPP197139 MZL197139 NJH197139 NTD197139 OCZ197139 OMV197139 OWR197139 PGN197139 PQJ197139 QAF197139 QKB197139 QTX197139 RDT197139 RNP197139 RXL197139 SHH197139 SRD197139 TAZ197139 TKV197139 TUR197139 UEN197139 UOJ197139 UYF197139 VIB197139 VRX197139 WBT197139 WLP197139 WVL197139 D262675 IZ262675 SV262675 ACR262675 AMN262675 AWJ262675 BGF262675 BQB262675 BZX262675 CJT262675 CTP262675 DDL262675 DNH262675 DXD262675 EGZ262675 EQV262675 FAR262675 FKN262675 FUJ262675 GEF262675 GOB262675 GXX262675 HHT262675 HRP262675 IBL262675 ILH262675 IVD262675 JEZ262675 JOV262675 JYR262675 KIN262675 KSJ262675 LCF262675 LMB262675 LVX262675 MFT262675 MPP262675 MZL262675 NJH262675 NTD262675 OCZ262675 OMV262675 OWR262675 PGN262675 PQJ262675 QAF262675 QKB262675 QTX262675 RDT262675 RNP262675 RXL262675 SHH262675 SRD262675 TAZ262675 TKV262675 TUR262675 UEN262675 UOJ262675 UYF262675 VIB262675 VRX262675 WBT262675 WLP262675 WVL262675 D328211 IZ328211 SV328211 ACR328211 AMN328211 AWJ328211 BGF328211 BQB328211 BZX328211 CJT328211 CTP328211 DDL328211 DNH328211 DXD328211 EGZ328211 EQV328211 FAR328211 FKN328211 FUJ328211 GEF328211 GOB328211 GXX328211 HHT328211 HRP328211 IBL328211 ILH328211 IVD328211 JEZ328211 JOV328211 JYR328211 KIN328211 KSJ328211 LCF328211 LMB328211 LVX328211 MFT328211 MPP328211 MZL328211 NJH328211 NTD328211 OCZ328211 OMV328211 OWR328211 PGN328211 PQJ328211 QAF328211 QKB328211 QTX328211 RDT328211 RNP328211 RXL328211 SHH328211 SRD328211 TAZ328211 TKV328211 TUR328211 UEN328211 UOJ328211 UYF328211 VIB328211 VRX328211 WBT328211 WLP328211 WVL328211 D393747 IZ393747 SV393747 ACR393747 AMN393747 AWJ393747 BGF393747 BQB393747 BZX393747 CJT393747 CTP393747 DDL393747 DNH393747 DXD393747 EGZ393747 EQV393747 FAR393747 FKN393747 FUJ393747 GEF393747 GOB393747 GXX393747 HHT393747 HRP393747 IBL393747 ILH393747 IVD393747 JEZ393747 JOV393747 JYR393747 KIN393747 KSJ393747 LCF393747 LMB393747 LVX393747 MFT393747 MPP393747 MZL393747 NJH393747 NTD393747 OCZ393747 OMV393747 OWR393747 PGN393747 PQJ393747 QAF393747 QKB393747 QTX393747 RDT393747 RNP393747 RXL393747 SHH393747 SRD393747 TAZ393747 TKV393747 TUR393747 UEN393747 UOJ393747 UYF393747 VIB393747 VRX393747 WBT393747 WLP393747 WVL393747 D459283 IZ459283 SV459283 ACR459283 AMN459283 AWJ459283 BGF459283 BQB459283 BZX459283 CJT459283 CTP459283 DDL459283 DNH459283 DXD459283 EGZ459283 EQV459283 FAR459283 FKN459283 FUJ459283 GEF459283 GOB459283 GXX459283 HHT459283 HRP459283 IBL459283 ILH459283 IVD459283 JEZ459283 JOV459283 JYR459283 KIN459283 KSJ459283 LCF459283 LMB459283 LVX459283 MFT459283 MPP459283 MZL459283 NJH459283 NTD459283 OCZ459283 OMV459283 OWR459283 PGN459283 PQJ459283 QAF459283 QKB459283 QTX459283 RDT459283 RNP459283 RXL459283 SHH459283 SRD459283 TAZ459283 TKV459283 TUR459283 UEN459283 UOJ459283 UYF459283 VIB459283 VRX459283 WBT459283 WLP459283 WVL459283 D524819 IZ524819 SV524819 ACR524819 AMN524819 AWJ524819 BGF524819 BQB524819 BZX524819 CJT524819 CTP524819 DDL524819 DNH524819 DXD524819 EGZ524819 EQV524819 FAR524819 FKN524819 FUJ524819 GEF524819 GOB524819 GXX524819 HHT524819 HRP524819 IBL524819 ILH524819 IVD524819 JEZ524819 JOV524819 JYR524819 KIN524819 KSJ524819 LCF524819 LMB524819 LVX524819 MFT524819 MPP524819 MZL524819 NJH524819 NTD524819 OCZ524819 OMV524819 OWR524819 PGN524819 PQJ524819 QAF524819 QKB524819 QTX524819 RDT524819 RNP524819 RXL524819 SHH524819 SRD524819 TAZ524819 TKV524819 TUR524819 UEN524819 UOJ524819 UYF524819 VIB524819 VRX524819 WBT524819 WLP524819 WVL524819 D590355 IZ590355 SV590355 ACR590355 AMN590355 AWJ590355 BGF590355 BQB590355 BZX590355 CJT590355 CTP590355 DDL590355 DNH590355 DXD590355 EGZ590355 EQV590355 FAR590355 FKN590355 FUJ590355 GEF590355 GOB590355 GXX590355 HHT590355 HRP590355 IBL590355 ILH590355 IVD590355 JEZ590355 JOV590355 JYR590355 KIN590355 KSJ590355 LCF590355 LMB590355 LVX590355 MFT590355 MPP590355 MZL590355 NJH590355 NTD590355 OCZ590355 OMV590355 OWR590355 PGN590355 PQJ590355 QAF590355 QKB590355 QTX590355 RDT590355 RNP590355 RXL590355 SHH590355 SRD590355 TAZ590355 TKV590355 TUR590355 UEN590355 UOJ590355 UYF590355 VIB590355 VRX590355 WBT590355 WLP590355 WVL590355 D655891 IZ655891 SV655891 ACR655891 AMN655891 AWJ655891 BGF655891 BQB655891 BZX655891 CJT655891 CTP655891 DDL655891 DNH655891 DXD655891 EGZ655891 EQV655891 FAR655891 FKN655891 FUJ655891 GEF655891 GOB655891 GXX655891 HHT655891 HRP655891 IBL655891 ILH655891 IVD655891 JEZ655891 JOV655891 JYR655891 KIN655891 KSJ655891 LCF655891 LMB655891 LVX655891 MFT655891 MPP655891 MZL655891 NJH655891 NTD655891 OCZ655891 OMV655891 OWR655891 PGN655891 PQJ655891 QAF655891 QKB655891 QTX655891 RDT655891 RNP655891 RXL655891 SHH655891 SRD655891 TAZ655891 TKV655891 TUR655891 UEN655891 UOJ655891 UYF655891 VIB655891 VRX655891 WBT655891 WLP655891 WVL655891 D721427 IZ721427 SV721427 ACR721427 AMN721427 AWJ721427 BGF721427 BQB721427 BZX721427 CJT721427 CTP721427 DDL721427 DNH721427 DXD721427 EGZ721427 EQV721427 FAR721427 FKN721427 FUJ721427 GEF721427 GOB721427 GXX721427 HHT721427 HRP721427 IBL721427 ILH721427 IVD721427 JEZ721427 JOV721427 JYR721427 KIN721427 KSJ721427 LCF721427 LMB721427 LVX721427 MFT721427 MPP721427 MZL721427 NJH721427 NTD721427 OCZ721427 OMV721427 OWR721427 PGN721427 PQJ721427 QAF721427 QKB721427 QTX721427 RDT721427 RNP721427 RXL721427 SHH721427 SRD721427 TAZ721427 TKV721427 TUR721427 UEN721427 UOJ721427 UYF721427 VIB721427 VRX721427 WBT721427 WLP721427 WVL721427 D786963 IZ786963 SV786963 ACR786963 AMN786963 AWJ786963 BGF786963 BQB786963 BZX786963 CJT786963 CTP786963 DDL786963 DNH786963 DXD786963 EGZ786963 EQV786963 FAR786963 FKN786963 FUJ786963 GEF786963 GOB786963 GXX786963 HHT786963 HRP786963 IBL786963 ILH786963 IVD786963 JEZ786963 JOV786963 JYR786963 KIN786963 KSJ786963 LCF786963 LMB786963 LVX786963 MFT786963 MPP786963 MZL786963 NJH786963 NTD786963 OCZ786963 OMV786963 OWR786963 PGN786963 PQJ786963 QAF786963 QKB786963 QTX786963 RDT786963 RNP786963 RXL786963 SHH786963 SRD786963 TAZ786963 TKV786963 TUR786963 UEN786963 UOJ786963 UYF786963 VIB786963 VRX786963 WBT786963 WLP786963 WVL786963 D852499 IZ852499 SV852499 ACR852499 AMN852499 AWJ852499 BGF852499 BQB852499 BZX852499 CJT852499 CTP852499 DDL852499 DNH852499 DXD852499 EGZ852499 EQV852499 FAR852499 FKN852499 FUJ852499 GEF852499 GOB852499 GXX852499 HHT852499 HRP852499 IBL852499 ILH852499 IVD852499 JEZ852499 JOV852499 JYR852499 KIN852499 KSJ852499 LCF852499 LMB852499 LVX852499 MFT852499 MPP852499 MZL852499 NJH852499 NTD852499 OCZ852499 OMV852499 OWR852499 PGN852499 PQJ852499 QAF852499 QKB852499 QTX852499 RDT852499 RNP852499 RXL852499 SHH852499 SRD852499 TAZ852499 TKV852499 TUR852499 UEN852499 UOJ852499 UYF852499 VIB852499 VRX852499 WBT852499 WLP852499 WVL852499 D918035 IZ918035 SV918035 ACR918035 AMN918035 AWJ918035 BGF918035 BQB918035 BZX918035 CJT918035 CTP918035 DDL918035 DNH918035 DXD918035 EGZ918035 EQV918035 FAR918035 FKN918035 FUJ918035 GEF918035 GOB918035 GXX918035 HHT918035 HRP918035 IBL918035 ILH918035 IVD918035 JEZ918035 JOV918035 JYR918035 KIN918035 KSJ918035 LCF918035 LMB918035 LVX918035 MFT918035 MPP918035 MZL918035 NJH918035 NTD918035 OCZ918035 OMV918035 OWR918035 PGN918035 PQJ918035 QAF918035 QKB918035 QTX918035 RDT918035 RNP918035 RXL918035 SHH918035 SRD918035 TAZ918035 TKV918035 TUR918035 UEN918035 UOJ918035 UYF918035 VIB918035 VRX918035 WBT918035 WLP918035 WVL918035 D983571 IZ983571 SV983571 ACR983571 AMN983571 AWJ983571 BGF983571 BQB983571 BZX983571 CJT983571 CTP983571 DDL983571 DNH983571 DXD983571 EGZ983571 EQV983571 FAR983571 FKN983571 FUJ983571 GEF983571 GOB983571 GXX983571 HHT983571 HRP983571 IBL983571 ILH983571 IVD983571 JEZ983571 JOV983571 JYR983571 KIN983571 KSJ983571 LCF983571 LMB983571 LVX983571 MFT983571 MPP983571 MZL983571 NJH983571 NTD983571 OCZ983571 OMV983571 OWR983571 PGN983571 PQJ983571 QAF983571 QKB983571 QTX983571 RDT983571 RNP983571 RXL983571 SHH983571 SRD983571 TAZ983571 TKV983571 TUR983571 UEN983571 UOJ983571 UYF983571 VIB983571 VRX983571 WBT983571 WLP983571 WVL983571 D443 IZ443 SV443 ACR443 AMN443 AWJ443 BGF443 BQB443 BZX443 CJT443 CTP443 DDL443 DNH443 DXD443 EGZ443 EQV443 FAR443 FKN443 FUJ443 GEF443 GOB443 GXX443 HHT443 HRP443 IBL443 ILH443 IVD443 JEZ443 JOV443 JYR443 KIN443 KSJ443 LCF443 LMB443 LVX443 MFT443 MPP443 MZL443 NJH443 NTD443 OCZ443 OMV443 OWR443 PGN443 PQJ443 QAF443 QKB443 QTX443 RDT443 RNP443 RXL443 SHH443 SRD443 TAZ443 TKV443 TUR443 UEN443 UOJ443 UYF443 VIB443 VRX443 WBT443 WLP443 WVL443 D65979 IZ65979 SV65979 ACR65979 AMN65979 AWJ65979 BGF65979 BQB65979 BZX65979 CJT65979 CTP65979 DDL65979 DNH65979 DXD65979 EGZ65979 EQV65979 FAR65979 FKN65979 FUJ65979 GEF65979 GOB65979 GXX65979 HHT65979 HRP65979 IBL65979 ILH65979 IVD65979 JEZ65979 JOV65979 JYR65979 KIN65979 KSJ65979 LCF65979 LMB65979 LVX65979 MFT65979 MPP65979 MZL65979 NJH65979 NTD65979 OCZ65979 OMV65979 OWR65979 PGN65979 PQJ65979 QAF65979 QKB65979 QTX65979 RDT65979 RNP65979 RXL65979 SHH65979 SRD65979 TAZ65979 TKV65979 TUR65979 UEN65979 UOJ65979 UYF65979 VIB65979 VRX65979 WBT65979 WLP65979 WVL65979 D131515 IZ131515 SV131515 ACR131515 AMN131515 AWJ131515 BGF131515 BQB131515 BZX131515 CJT131515 CTP131515 DDL131515 DNH131515 DXD131515 EGZ131515 EQV131515 FAR131515 FKN131515 FUJ131515 GEF131515 GOB131515 GXX131515 HHT131515 HRP131515 IBL131515 ILH131515 IVD131515 JEZ131515 JOV131515 JYR131515 KIN131515 KSJ131515 LCF131515 LMB131515 LVX131515 MFT131515 MPP131515 MZL131515 NJH131515 NTD131515 OCZ131515 OMV131515 OWR131515 PGN131515 PQJ131515 QAF131515 QKB131515 QTX131515 RDT131515 RNP131515 RXL131515 SHH131515 SRD131515 TAZ131515 TKV131515 TUR131515 UEN131515 UOJ131515 UYF131515 VIB131515 VRX131515 WBT131515 WLP131515 WVL131515 D197051 IZ197051 SV197051 ACR197051 AMN197051 AWJ197051 BGF197051 BQB197051 BZX197051 CJT197051 CTP197051 DDL197051 DNH197051 DXD197051 EGZ197051 EQV197051 FAR197051 FKN197051 FUJ197051 GEF197051 GOB197051 GXX197051 HHT197051 HRP197051 IBL197051 ILH197051 IVD197051 JEZ197051 JOV197051 JYR197051 KIN197051 KSJ197051 LCF197051 LMB197051 LVX197051 MFT197051 MPP197051 MZL197051 NJH197051 NTD197051 OCZ197051 OMV197051 OWR197051 PGN197051 PQJ197051 QAF197051 QKB197051 QTX197051 RDT197051 RNP197051 RXL197051 SHH197051 SRD197051 TAZ197051 TKV197051 TUR197051 UEN197051 UOJ197051 UYF197051 VIB197051 VRX197051 WBT197051 WLP197051 WVL197051 D262587 IZ262587 SV262587 ACR262587 AMN262587 AWJ262587 BGF262587 BQB262587 BZX262587 CJT262587 CTP262587 DDL262587 DNH262587 DXD262587 EGZ262587 EQV262587 FAR262587 FKN262587 FUJ262587 GEF262587 GOB262587 GXX262587 HHT262587 HRP262587 IBL262587 ILH262587 IVD262587 JEZ262587 JOV262587 JYR262587 KIN262587 KSJ262587 LCF262587 LMB262587 LVX262587 MFT262587 MPP262587 MZL262587 NJH262587 NTD262587 OCZ262587 OMV262587 OWR262587 PGN262587 PQJ262587 QAF262587 QKB262587 QTX262587 RDT262587 RNP262587 RXL262587 SHH262587 SRD262587 TAZ262587 TKV262587 TUR262587 UEN262587 UOJ262587 UYF262587 VIB262587 VRX262587 WBT262587 WLP262587 WVL262587 D328123 IZ328123 SV328123 ACR328123 AMN328123 AWJ328123 BGF328123 BQB328123 BZX328123 CJT328123 CTP328123 DDL328123 DNH328123 DXD328123 EGZ328123 EQV328123 FAR328123 FKN328123 FUJ328123 GEF328123 GOB328123 GXX328123 HHT328123 HRP328123 IBL328123 ILH328123 IVD328123 JEZ328123 JOV328123 JYR328123 KIN328123 KSJ328123 LCF328123 LMB328123 LVX328123 MFT328123 MPP328123 MZL328123 NJH328123 NTD328123 OCZ328123 OMV328123 OWR328123 PGN328123 PQJ328123 QAF328123 QKB328123 QTX328123 RDT328123 RNP328123 RXL328123 SHH328123 SRD328123 TAZ328123 TKV328123 TUR328123 UEN328123 UOJ328123 UYF328123 VIB328123 VRX328123 WBT328123 WLP328123 WVL328123 D393659 IZ393659 SV393659 ACR393659 AMN393659 AWJ393659 BGF393659 BQB393659 BZX393659 CJT393659 CTP393659 DDL393659 DNH393659 DXD393659 EGZ393659 EQV393659 FAR393659 FKN393659 FUJ393659 GEF393659 GOB393659 GXX393659 HHT393659 HRP393659 IBL393659 ILH393659 IVD393659 JEZ393659 JOV393659 JYR393659 KIN393659 KSJ393659 LCF393659 LMB393659 LVX393659 MFT393659 MPP393659 MZL393659 NJH393659 NTD393659 OCZ393659 OMV393659 OWR393659 PGN393659 PQJ393659 QAF393659 QKB393659 QTX393659 RDT393659 RNP393659 RXL393659 SHH393659 SRD393659 TAZ393659 TKV393659 TUR393659 UEN393659 UOJ393659 UYF393659 VIB393659 VRX393659 WBT393659 WLP393659 WVL393659 D459195 IZ459195 SV459195 ACR459195 AMN459195 AWJ459195 BGF459195 BQB459195 BZX459195 CJT459195 CTP459195 DDL459195 DNH459195 DXD459195 EGZ459195 EQV459195 FAR459195 FKN459195 FUJ459195 GEF459195 GOB459195 GXX459195 HHT459195 HRP459195 IBL459195 ILH459195 IVD459195 JEZ459195 JOV459195 JYR459195 KIN459195 KSJ459195 LCF459195 LMB459195 LVX459195 MFT459195 MPP459195 MZL459195 NJH459195 NTD459195 OCZ459195 OMV459195 OWR459195 PGN459195 PQJ459195 QAF459195 QKB459195 QTX459195 RDT459195 RNP459195 RXL459195 SHH459195 SRD459195 TAZ459195 TKV459195 TUR459195 UEN459195 UOJ459195 UYF459195 VIB459195 VRX459195 WBT459195 WLP459195 WVL459195 D524731 IZ524731 SV524731 ACR524731 AMN524731 AWJ524731 BGF524731 BQB524731 BZX524731 CJT524731 CTP524731 DDL524731 DNH524731 DXD524731 EGZ524731 EQV524731 FAR524731 FKN524731 FUJ524731 GEF524731 GOB524731 GXX524731 HHT524731 HRP524731 IBL524731 ILH524731 IVD524731 JEZ524731 JOV524731 JYR524731 KIN524731 KSJ524731 LCF524731 LMB524731 LVX524731 MFT524731 MPP524731 MZL524731 NJH524731 NTD524731 OCZ524731 OMV524731 OWR524731 PGN524731 PQJ524731 QAF524731 QKB524731 QTX524731 RDT524731 RNP524731 RXL524731 SHH524731 SRD524731 TAZ524731 TKV524731 TUR524731 UEN524731 UOJ524731 UYF524731 VIB524731 VRX524731 WBT524731 WLP524731 WVL524731 D590267 IZ590267 SV590267 ACR590267 AMN590267 AWJ590267 BGF590267 BQB590267 BZX590267 CJT590267 CTP590267 DDL590267 DNH590267 DXD590267 EGZ590267 EQV590267 FAR590267 FKN590267 FUJ590267 GEF590267 GOB590267 GXX590267 HHT590267 HRP590267 IBL590267 ILH590267 IVD590267 JEZ590267 JOV590267 JYR590267 KIN590267 KSJ590267 LCF590267 LMB590267 LVX590267 MFT590267 MPP590267 MZL590267 NJH590267 NTD590267 OCZ590267 OMV590267 OWR590267 PGN590267 PQJ590267 QAF590267 QKB590267 QTX590267 RDT590267 RNP590267 RXL590267 SHH590267 SRD590267 TAZ590267 TKV590267 TUR590267 UEN590267 UOJ590267 UYF590267 VIB590267 VRX590267 WBT590267 WLP590267 WVL590267 D655803 IZ655803 SV655803 ACR655803 AMN655803 AWJ655803 BGF655803 BQB655803 BZX655803 CJT655803 CTP655803 DDL655803 DNH655803 DXD655803 EGZ655803 EQV655803 FAR655803 FKN655803 FUJ655803 GEF655803 GOB655803 GXX655803 HHT655803 HRP655803 IBL655803 ILH655803 IVD655803 JEZ655803 JOV655803 JYR655803 KIN655803 KSJ655803 LCF655803 LMB655803 LVX655803 MFT655803 MPP655803 MZL655803 NJH655803 NTD655803 OCZ655803 OMV655803 OWR655803 PGN655803 PQJ655803 QAF655803 QKB655803 QTX655803 RDT655803 RNP655803 RXL655803 SHH655803 SRD655803 TAZ655803 TKV655803 TUR655803 UEN655803 UOJ655803 UYF655803 VIB655803 VRX655803 WBT655803 WLP655803 WVL655803 D721339 IZ721339 SV721339 ACR721339 AMN721339 AWJ721339 BGF721339 BQB721339 BZX721339 CJT721339 CTP721339 DDL721339 DNH721339 DXD721339 EGZ721339 EQV721339 FAR721339 FKN721339 FUJ721339 GEF721339 GOB721339 GXX721339 HHT721339 HRP721339 IBL721339 ILH721339 IVD721339 JEZ721339 JOV721339 JYR721339 KIN721339 KSJ721339 LCF721339 LMB721339 LVX721339 MFT721339 MPP721339 MZL721339 NJH721339 NTD721339 OCZ721339 OMV721339 OWR721339 PGN721339 PQJ721339 QAF721339 QKB721339 QTX721339 RDT721339 RNP721339 RXL721339 SHH721339 SRD721339 TAZ721339 TKV721339 TUR721339 UEN721339 UOJ721339 UYF721339 VIB721339 VRX721339 WBT721339 WLP721339 WVL721339 D786875 IZ786875 SV786875 ACR786875 AMN786875 AWJ786875 BGF786875 BQB786875 BZX786875 CJT786875 CTP786875 DDL786875 DNH786875 DXD786875 EGZ786875 EQV786875 FAR786875 FKN786875 FUJ786875 GEF786875 GOB786875 GXX786875 HHT786875 HRP786875 IBL786875 ILH786875 IVD786875 JEZ786875 JOV786875 JYR786875 KIN786875 KSJ786875 LCF786875 LMB786875 LVX786875 MFT786875 MPP786875 MZL786875 NJH786875 NTD786875 OCZ786875 OMV786875 OWR786875 PGN786875 PQJ786875 QAF786875 QKB786875 QTX786875 RDT786875 RNP786875 RXL786875 SHH786875 SRD786875 TAZ786875 TKV786875 TUR786875 UEN786875 UOJ786875 UYF786875 VIB786875 VRX786875 WBT786875 WLP786875 WVL786875 D852411 IZ852411 SV852411 ACR852411 AMN852411 AWJ852411 BGF852411 BQB852411 BZX852411 CJT852411 CTP852411 DDL852411 DNH852411 DXD852411 EGZ852411 EQV852411 FAR852411 FKN852411 FUJ852411 GEF852411 GOB852411 GXX852411 HHT852411 HRP852411 IBL852411 ILH852411 IVD852411 JEZ852411 JOV852411 JYR852411 KIN852411 KSJ852411 LCF852411 LMB852411 LVX852411 MFT852411 MPP852411 MZL852411 NJH852411 NTD852411 OCZ852411 OMV852411 OWR852411 PGN852411 PQJ852411 QAF852411 QKB852411 QTX852411 RDT852411 RNP852411 RXL852411 SHH852411 SRD852411 TAZ852411 TKV852411 TUR852411 UEN852411 UOJ852411 UYF852411 VIB852411 VRX852411 WBT852411 WLP852411 WVL852411 D917947 IZ917947 SV917947 ACR917947 AMN917947 AWJ917947 BGF917947 BQB917947 BZX917947 CJT917947 CTP917947 DDL917947 DNH917947 DXD917947 EGZ917947 EQV917947 FAR917947 FKN917947 FUJ917947 GEF917947 GOB917947 GXX917947 HHT917947 HRP917947 IBL917947 ILH917947 IVD917947 JEZ917947 JOV917947 JYR917947 KIN917947 KSJ917947 LCF917947 LMB917947 LVX917947 MFT917947 MPP917947 MZL917947 NJH917947 NTD917947 OCZ917947 OMV917947 OWR917947 PGN917947 PQJ917947 QAF917947 QKB917947 QTX917947 RDT917947 RNP917947 RXL917947 SHH917947 SRD917947 TAZ917947 TKV917947 TUR917947 UEN917947 UOJ917947 UYF917947 VIB917947 VRX917947 WBT917947 WLP917947 WVL917947 D983483 IZ983483 SV983483 ACR983483 AMN983483 AWJ983483 BGF983483 BQB983483 BZX983483 CJT983483 CTP983483 DDL983483 DNH983483 DXD983483 EGZ983483 EQV983483 FAR983483 FKN983483 FUJ983483 GEF983483 GOB983483 GXX983483 HHT983483 HRP983483 IBL983483 ILH983483 IVD983483 JEZ983483 JOV983483 JYR983483 KIN983483 KSJ983483 LCF983483 LMB983483 LVX983483 MFT983483 MPP983483 MZL983483 NJH983483 NTD983483 OCZ983483 OMV983483 OWR983483 PGN983483 PQJ983483 QAF983483 QKB983483 QTX983483 RDT983483 RNP983483 RXL983483 SHH983483 SRD983483 TAZ983483 TKV983483 TUR983483 UEN983483 UOJ983483 UYF983483 VIB983483 VRX983483 WBT983483 WLP983483 WVL983483 D360 IZ360 SV360 ACR360 AMN360 AWJ360 BGF360 BQB360 BZX360 CJT360 CTP360 DDL360 DNH360 DXD360 EGZ360 EQV360 FAR360 FKN360 FUJ360 GEF360 GOB360 GXX360 HHT360 HRP360 IBL360 ILH360 IVD360 JEZ360 JOV360 JYR360 KIN360 KSJ360 LCF360 LMB360 LVX360 MFT360 MPP360 MZL360 NJH360 NTD360 OCZ360 OMV360 OWR360 PGN360 PQJ360 QAF360 QKB360 QTX360 RDT360 RNP360 RXL360 SHH360 SRD360 TAZ360 TKV360 TUR360 UEN360 UOJ360 UYF360 VIB360 VRX360 WBT360 WLP360 WVL360 D65896 IZ65896 SV65896 ACR65896 AMN65896 AWJ65896 BGF65896 BQB65896 BZX65896 CJT65896 CTP65896 DDL65896 DNH65896 DXD65896 EGZ65896 EQV65896 FAR65896 FKN65896 FUJ65896 GEF65896 GOB65896 GXX65896 HHT65896 HRP65896 IBL65896 ILH65896 IVD65896 JEZ65896 JOV65896 JYR65896 KIN65896 KSJ65896 LCF65896 LMB65896 LVX65896 MFT65896 MPP65896 MZL65896 NJH65896 NTD65896 OCZ65896 OMV65896 OWR65896 PGN65896 PQJ65896 QAF65896 QKB65896 QTX65896 RDT65896 RNP65896 RXL65896 SHH65896 SRD65896 TAZ65896 TKV65896 TUR65896 UEN65896 UOJ65896 UYF65896 VIB65896 VRX65896 WBT65896 WLP65896 WVL65896 D131432 IZ131432 SV131432 ACR131432 AMN131432 AWJ131432 BGF131432 BQB131432 BZX131432 CJT131432 CTP131432 DDL131432 DNH131432 DXD131432 EGZ131432 EQV131432 FAR131432 FKN131432 FUJ131432 GEF131432 GOB131432 GXX131432 HHT131432 HRP131432 IBL131432 ILH131432 IVD131432 JEZ131432 JOV131432 JYR131432 KIN131432 KSJ131432 LCF131432 LMB131432 LVX131432 MFT131432 MPP131432 MZL131432 NJH131432 NTD131432 OCZ131432 OMV131432 OWR131432 PGN131432 PQJ131432 QAF131432 QKB131432 QTX131432 RDT131432 RNP131432 RXL131432 SHH131432 SRD131432 TAZ131432 TKV131432 TUR131432 UEN131432 UOJ131432 UYF131432 VIB131432 VRX131432 WBT131432 WLP131432 WVL131432 D196968 IZ196968 SV196968 ACR196968 AMN196968 AWJ196968 BGF196968 BQB196968 BZX196968 CJT196968 CTP196968 DDL196968 DNH196968 DXD196968 EGZ196968 EQV196968 FAR196968 FKN196968 FUJ196968 GEF196968 GOB196968 GXX196968 HHT196968 HRP196968 IBL196968 ILH196968 IVD196968 JEZ196968 JOV196968 JYR196968 KIN196968 KSJ196968 LCF196968 LMB196968 LVX196968 MFT196968 MPP196968 MZL196968 NJH196968 NTD196968 OCZ196968 OMV196968 OWR196968 PGN196968 PQJ196968 QAF196968 QKB196968 QTX196968 RDT196968 RNP196968 RXL196968 SHH196968 SRD196968 TAZ196968 TKV196968 TUR196968 UEN196968 UOJ196968 UYF196968 VIB196968 VRX196968 WBT196968 WLP196968 WVL196968 D262504 IZ262504 SV262504 ACR262504 AMN262504 AWJ262504 BGF262504 BQB262504 BZX262504 CJT262504 CTP262504 DDL262504 DNH262504 DXD262504 EGZ262504 EQV262504 FAR262504 FKN262504 FUJ262504 GEF262504 GOB262504 GXX262504 HHT262504 HRP262504 IBL262504 ILH262504 IVD262504 JEZ262504 JOV262504 JYR262504 KIN262504 KSJ262504 LCF262504 LMB262504 LVX262504 MFT262504 MPP262504 MZL262504 NJH262504 NTD262504 OCZ262504 OMV262504 OWR262504 PGN262504 PQJ262504 QAF262504 QKB262504 QTX262504 RDT262504 RNP262504 RXL262504 SHH262504 SRD262504 TAZ262504 TKV262504 TUR262504 UEN262504 UOJ262504 UYF262504 VIB262504 VRX262504 WBT262504 WLP262504 WVL262504 D328040 IZ328040 SV328040 ACR328040 AMN328040 AWJ328040 BGF328040 BQB328040 BZX328040 CJT328040 CTP328040 DDL328040 DNH328040 DXD328040 EGZ328040 EQV328040 FAR328040 FKN328040 FUJ328040 GEF328040 GOB328040 GXX328040 HHT328040 HRP328040 IBL328040 ILH328040 IVD328040 JEZ328040 JOV328040 JYR328040 KIN328040 KSJ328040 LCF328040 LMB328040 LVX328040 MFT328040 MPP328040 MZL328040 NJH328040 NTD328040 OCZ328040 OMV328040 OWR328040 PGN328040 PQJ328040 QAF328040 QKB328040 QTX328040 RDT328040 RNP328040 RXL328040 SHH328040 SRD328040 TAZ328040 TKV328040 TUR328040 UEN328040 UOJ328040 UYF328040 VIB328040 VRX328040 WBT328040 WLP328040 WVL328040 D393576 IZ393576 SV393576 ACR393576 AMN393576 AWJ393576 BGF393576 BQB393576 BZX393576 CJT393576 CTP393576 DDL393576 DNH393576 DXD393576 EGZ393576 EQV393576 FAR393576 FKN393576 FUJ393576 GEF393576 GOB393576 GXX393576 HHT393576 HRP393576 IBL393576 ILH393576 IVD393576 JEZ393576 JOV393576 JYR393576 KIN393576 KSJ393576 LCF393576 LMB393576 LVX393576 MFT393576 MPP393576 MZL393576 NJH393576 NTD393576 OCZ393576 OMV393576 OWR393576 PGN393576 PQJ393576 QAF393576 QKB393576 QTX393576 RDT393576 RNP393576 RXL393576 SHH393576 SRD393576 TAZ393576 TKV393576 TUR393576 UEN393576 UOJ393576 UYF393576 VIB393576 VRX393576 WBT393576 WLP393576 WVL393576 D459112 IZ459112 SV459112 ACR459112 AMN459112 AWJ459112 BGF459112 BQB459112 BZX459112 CJT459112 CTP459112 DDL459112 DNH459112 DXD459112 EGZ459112 EQV459112 FAR459112 FKN459112 FUJ459112 GEF459112 GOB459112 GXX459112 HHT459112 HRP459112 IBL459112 ILH459112 IVD459112 JEZ459112 JOV459112 JYR459112 KIN459112 KSJ459112 LCF459112 LMB459112 LVX459112 MFT459112 MPP459112 MZL459112 NJH459112 NTD459112 OCZ459112 OMV459112 OWR459112 PGN459112 PQJ459112 QAF459112 QKB459112 QTX459112 RDT459112 RNP459112 RXL459112 SHH459112 SRD459112 TAZ459112 TKV459112 TUR459112 UEN459112 UOJ459112 UYF459112 VIB459112 VRX459112 WBT459112 WLP459112 WVL459112 D524648 IZ524648 SV524648 ACR524648 AMN524648 AWJ524648 BGF524648 BQB524648 BZX524648 CJT524648 CTP524648 DDL524648 DNH524648 DXD524648 EGZ524648 EQV524648 FAR524648 FKN524648 FUJ524648 GEF524648 GOB524648 GXX524648 HHT524648 HRP524648 IBL524648 ILH524648 IVD524648 JEZ524648 JOV524648 JYR524648 KIN524648 KSJ524648 LCF524648 LMB524648 LVX524648 MFT524648 MPP524648 MZL524648 NJH524648 NTD524648 OCZ524648 OMV524648 OWR524648 PGN524648 PQJ524648 QAF524648 QKB524648 QTX524648 RDT524648 RNP524648 RXL524648 SHH524648 SRD524648 TAZ524648 TKV524648 TUR524648 UEN524648 UOJ524648 UYF524648 VIB524648 VRX524648 WBT524648 WLP524648 WVL524648 D590184 IZ590184 SV590184 ACR590184 AMN590184 AWJ590184 BGF590184 BQB590184 BZX590184 CJT590184 CTP590184 DDL590184 DNH590184 DXD590184 EGZ590184 EQV590184 FAR590184 FKN590184 FUJ590184 GEF590184 GOB590184 GXX590184 HHT590184 HRP590184 IBL590184 ILH590184 IVD590184 JEZ590184 JOV590184 JYR590184 KIN590184 KSJ590184 LCF590184 LMB590184 LVX590184 MFT590184 MPP590184 MZL590184 NJH590184 NTD590184 OCZ590184 OMV590184 OWR590184 PGN590184 PQJ590184 QAF590184 QKB590184 QTX590184 RDT590184 RNP590184 RXL590184 SHH590184 SRD590184 TAZ590184 TKV590184 TUR590184 UEN590184 UOJ590184 UYF590184 VIB590184 VRX590184 WBT590184 WLP590184 WVL590184 D655720 IZ655720 SV655720 ACR655720 AMN655720 AWJ655720 BGF655720 BQB655720 BZX655720 CJT655720 CTP655720 DDL655720 DNH655720 DXD655720 EGZ655720 EQV655720 FAR655720 FKN655720 FUJ655720 GEF655720 GOB655720 GXX655720 HHT655720 HRP655720 IBL655720 ILH655720 IVD655720 JEZ655720 JOV655720 JYR655720 KIN655720 KSJ655720 LCF655720 LMB655720 LVX655720 MFT655720 MPP655720 MZL655720 NJH655720 NTD655720 OCZ655720 OMV655720 OWR655720 PGN655720 PQJ655720 QAF655720 QKB655720 QTX655720 RDT655720 RNP655720 RXL655720 SHH655720 SRD655720 TAZ655720 TKV655720 TUR655720 UEN655720 UOJ655720 UYF655720 VIB655720 VRX655720 WBT655720 WLP655720 WVL655720 D721256 IZ721256 SV721256 ACR721256 AMN721256 AWJ721256 BGF721256 BQB721256 BZX721256 CJT721256 CTP721256 DDL721256 DNH721256 DXD721256 EGZ721256 EQV721256 FAR721256 FKN721256 FUJ721256 GEF721256 GOB721256 GXX721256 HHT721256 HRP721256 IBL721256 ILH721256 IVD721256 JEZ721256 JOV721256 JYR721256 KIN721256 KSJ721256 LCF721256 LMB721256 LVX721256 MFT721256 MPP721256 MZL721256 NJH721256 NTD721256 OCZ721256 OMV721256 OWR721256 PGN721256 PQJ721256 QAF721256 QKB721256 QTX721256 RDT721256 RNP721256 RXL721256 SHH721256 SRD721256 TAZ721256 TKV721256 TUR721256 UEN721256 UOJ721256 UYF721256 VIB721256 VRX721256 WBT721256 WLP721256 WVL721256 D786792 IZ786792 SV786792 ACR786792 AMN786792 AWJ786792 BGF786792 BQB786792 BZX786792 CJT786792 CTP786792 DDL786792 DNH786792 DXD786792 EGZ786792 EQV786792 FAR786792 FKN786792 FUJ786792 GEF786792 GOB786792 GXX786792 HHT786792 HRP786792 IBL786792 ILH786792 IVD786792 JEZ786792 JOV786792 JYR786792 KIN786792 KSJ786792 LCF786792 LMB786792 LVX786792 MFT786792 MPP786792 MZL786792 NJH786792 NTD786792 OCZ786792 OMV786792 OWR786792 PGN786792 PQJ786792 QAF786792 QKB786792 QTX786792 RDT786792 RNP786792 RXL786792 SHH786792 SRD786792 TAZ786792 TKV786792 TUR786792 UEN786792 UOJ786792 UYF786792 VIB786792 VRX786792 WBT786792 WLP786792 WVL786792 D852328 IZ852328 SV852328 ACR852328 AMN852328 AWJ852328 BGF852328 BQB852328 BZX852328 CJT852328 CTP852328 DDL852328 DNH852328 DXD852328 EGZ852328 EQV852328 FAR852328 FKN852328 FUJ852328 GEF852328 GOB852328 GXX852328 HHT852328 HRP852328 IBL852328 ILH852328 IVD852328 JEZ852328 JOV852328 JYR852328 KIN852328 KSJ852328 LCF852328 LMB852328 LVX852328 MFT852328 MPP852328 MZL852328 NJH852328 NTD852328 OCZ852328 OMV852328 OWR852328 PGN852328 PQJ852328 QAF852328 QKB852328 QTX852328 RDT852328 RNP852328 RXL852328 SHH852328 SRD852328 TAZ852328 TKV852328 TUR852328 UEN852328 UOJ852328 UYF852328 VIB852328 VRX852328 WBT852328 WLP852328 WVL852328 D917864 IZ917864 SV917864 ACR917864 AMN917864 AWJ917864 BGF917864 BQB917864 BZX917864 CJT917864 CTP917864 DDL917864 DNH917864 DXD917864 EGZ917864 EQV917864 FAR917864 FKN917864 FUJ917864 GEF917864 GOB917864 GXX917864 HHT917864 HRP917864 IBL917864 ILH917864 IVD917864 JEZ917864 JOV917864 JYR917864 KIN917864 KSJ917864 LCF917864 LMB917864 LVX917864 MFT917864 MPP917864 MZL917864 NJH917864 NTD917864 OCZ917864 OMV917864 OWR917864 PGN917864 PQJ917864 QAF917864 QKB917864 QTX917864 RDT917864 RNP917864 RXL917864 SHH917864 SRD917864 TAZ917864 TKV917864 TUR917864 UEN917864 UOJ917864 UYF917864 VIB917864 VRX917864 WBT917864 WLP917864 WVL917864 D983400 IZ983400 SV983400 ACR983400 AMN983400 AWJ983400 BGF983400 BQB983400 BZX983400 CJT983400 CTP983400 DDL983400 DNH983400 DXD983400 EGZ983400 EQV983400 FAR983400 FKN983400 FUJ983400 GEF983400 GOB983400 GXX983400 HHT983400 HRP983400 IBL983400 ILH983400 IVD983400 JEZ983400 JOV983400 JYR983400 KIN983400 KSJ983400 LCF983400 LMB983400 LVX983400 MFT983400 MPP983400 MZL983400 NJH983400 NTD983400 OCZ983400 OMV983400 OWR983400 PGN983400 PQJ983400 QAF983400 QKB983400 QTX983400 RDT983400 RNP983400 RXL983400 SHH983400 SRD983400 TAZ983400 TKV983400 TUR983400 UEN983400 UOJ983400 UYF983400 VIB983400 VRX983400 WBT983400 WLP983400 WVL983400 D225 IZ225 SV225 ACR225 AMN225 AWJ225 BGF225 BQB225 BZX225 CJT225 CTP225 DDL225 DNH225 DXD225 EGZ225 EQV225 FAR225 FKN225 FUJ225 GEF225 GOB225 GXX225 HHT225 HRP225 IBL225 ILH225 IVD225 JEZ225 JOV225 JYR225 KIN225 KSJ225 LCF225 LMB225 LVX225 MFT225 MPP225 MZL225 NJH225 NTD225 OCZ225 OMV225 OWR225 PGN225 PQJ225 QAF225 QKB225 QTX225 RDT225 RNP225 RXL225 SHH225 SRD225 TAZ225 TKV225 TUR225 UEN225 UOJ225 UYF225 VIB225 VRX225 WBT225 WLP225 WVL225 D65759 IZ65759 SV65759 ACR65759 AMN65759 AWJ65759 BGF65759 BQB65759 BZX65759 CJT65759 CTP65759 DDL65759 DNH65759 DXD65759 EGZ65759 EQV65759 FAR65759 FKN65759 FUJ65759 GEF65759 GOB65759 GXX65759 HHT65759 HRP65759 IBL65759 ILH65759 IVD65759 JEZ65759 JOV65759 JYR65759 KIN65759 KSJ65759 LCF65759 LMB65759 LVX65759 MFT65759 MPP65759 MZL65759 NJH65759 NTD65759 OCZ65759 OMV65759 OWR65759 PGN65759 PQJ65759 QAF65759 QKB65759 QTX65759 RDT65759 RNP65759 RXL65759 SHH65759 SRD65759 TAZ65759 TKV65759 TUR65759 UEN65759 UOJ65759 UYF65759 VIB65759 VRX65759 WBT65759 WLP65759 WVL65759 D131295 IZ131295 SV131295 ACR131295 AMN131295 AWJ131295 BGF131295 BQB131295 BZX131295 CJT131295 CTP131295 DDL131295 DNH131295 DXD131295 EGZ131295 EQV131295 FAR131295 FKN131295 FUJ131295 GEF131295 GOB131295 GXX131295 HHT131295 HRP131295 IBL131295 ILH131295 IVD131295 JEZ131295 JOV131295 JYR131295 KIN131295 KSJ131295 LCF131295 LMB131295 LVX131295 MFT131295 MPP131295 MZL131295 NJH131295 NTD131295 OCZ131295 OMV131295 OWR131295 PGN131295 PQJ131295 QAF131295 QKB131295 QTX131295 RDT131295 RNP131295 RXL131295 SHH131295 SRD131295 TAZ131295 TKV131295 TUR131295 UEN131295 UOJ131295 UYF131295 VIB131295 VRX131295 WBT131295 WLP131295 WVL131295 D196831 IZ196831 SV196831 ACR196831 AMN196831 AWJ196831 BGF196831 BQB196831 BZX196831 CJT196831 CTP196831 DDL196831 DNH196831 DXD196831 EGZ196831 EQV196831 FAR196831 FKN196831 FUJ196831 GEF196831 GOB196831 GXX196831 HHT196831 HRP196831 IBL196831 ILH196831 IVD196831 JEZ196831 JOV196831 JYR196831 KIN196831 KSJ196831 LCF196831 LMB196831 LVX196831 MFT196831 MPP196831 MZL196831 NJH196831 NTD196831 OCZ196831 OMV196831 OWR196831 PGN196831 PQJ196831 QAF196831 QKB196831 QTX196831 RDT196831 RNP196831 RXL196831 SHH196831 SRD196831 TAZ196831 TKV196831 TUR196831 UEN196831 UOJ196831 UYF196831 VIB196831 VRX196831 WBT196831 WLP196831 WVL196831 D262367 IZ262367 SV262367 ACR262367 AMN262367 AWJ262367 BGF262367 BQB262367 BZX262367 CJT262367 CTP262367 DDL262367 DNH262367 DXD262367 EGZ262367 EQV262367 FAR262367 FKN262367 FUJ262367 GEF262367 GOB262367 GXX262367 HHT262367 HRP262367 IBL262367 ILH262367 IVD262367 JEZ262367 JOV262367 JYR262367 KIN262367 KSJ262367 LCF262367 LMB262367 LVX262367 MFT262367 MPP262367 MZL262367 NJH262367 NTD262367 OCZ262367 OMV262367 OWR262367 PGN262367 PQJ262367 QAF262367 QKB262367 QTX262367 RDT262367 RNP262367 RXL262367 SHH262367 SRD262367 TAZ262367 TKV262367 TUR262367 UEN262367 UOJ262367 UYF262367 VIB262367 VRX262367 WBT262367 WLP262367 WVL262367 D327903 IZ327903 SV327903 ACR327903 AMN327903 AWJ327903 BGF327903 BQB327903 BZX327903 CJT327903 CTP327903 DDL327903 DNH327903 DXD327903 EGZ327903 EQV327903 FAR327903 FKN327903 FUJ327903 GEF327903 GOB327903 GXX327903 HHT327903 HRP327903 IBL327903 ILH327903 IVD327903 JEZ327903 JOV327903 JYR327903 KIN327903 KSJ327903 LCF327903 LMB327903 LVX327903 MFT327903 MPP327903 MZL327903 NJH327903 NTD327903 OCZ327903 OMV327903 OWR327903 PGN327903 PQJ327903 QAF327903 QKB327903 QTX327903 RDT327903 RNP327903 RXL327903 SHH327903 SRD327903 TAZ327903 TKV327903 TUR327903 UEN327903 UOJ327903 UYF327903 VIB327903 VRX327903 WBT327903 WLP327903 WVL327903 D393439 IZ393439 SV393439 ACR393439 AMN393439 AWJ393439 BGF393439 BQB393439 BZX393439 CJT393439 CTP393439 DDL393439 DNH393439 DXD393439 EGZ393439 EQV393439 FAR393439 FKN393439 FUJ393439 GEF393439 GOB393439 GXX393439 HHT393439 HRP393439 IBL393439 ILH393439 IVD393439 JEZ393439 JOV393439 JYR393439 KIN393439 KSJ393439 LCF393439 LMB393439 LVX393439 MFT393439 MPP393439 MZL393439 NJH393439 NTD393439 OCZ393439 OMV393439 OWR393439 PGN393439 PQJ393439 QAF393439 QKB393439 QTX393439 RDT393439 RNP393439 RXL393439 SHH393439 SRD393439 TAZ393439 TKV393439 TUR393439 UEN393439 UOJ393439 UYF393439 VIB393439 VRX393439 WBT393439 WLP393439 WVL393439 D458975 IZ458975 SV458975 ACR458975 AMN458975 AWJ458975 BGF458975 BQB458975 BZX458975 CJT458975 CTP458975 DDL458975 DNH458975 DXD458975 EGZ458975 EQV458975 FAR458975 FKN458975 FUJ458975 GEF458975 GOB458975 GXX458975 HHT458975 HRP458975 IBL458975 ILH458975 IVD458975 JEZ458975 JOV458975 JYR458975 KIN458975 KSJ458975 LCF458975 LMB458975 LVX458975 MFT458975 MPP458975 MZL458975 NJH458975 NTD458975 OCZ458975 OMV458975 OWR458975 PGN458975 PQJ458975 QAF458975 QKB458975 QTX458975 RDT458975 RNP458975 RXL458975 SHH458975 SRD458975 TAZ458975 TKV458975 TUR458975 UEN458975 UOJ458975 UYF458975 VIB458975 VRX458975 WBT458975 WLP458975 WVL458975 D524511 IZ524511 SV524511 ACR524511 AMN524511 AWJ524511 BGF524511 BQB524511 BZX524511 CJT524511 CTP524511 DDL524511 DNH524511 DXD524511 EGZ524511 EQV524511 FAR524511 FKN524511 FUJ524511 GEF524511 GOB524511 GXX524511 HHT524511 HRP524511 IBL524511 ILH524511 IVD524511 JEZ524511 JOV524511 JYR524511 KIN524511 KSJ524511 LCF524511 LMB524511 LVX524511 MFT524511 MPP524511 MZL524511 NJH524511 NTD524511 OCZ524511 OMV524511 OWR524511 PGN524511 PQJ524511 QAF524511 QKB524511 QTX524511 RDT524511 RNP524511 RXL524511 SHH524511 SRD524511 TAZ524511 TKV524511 TUR524511 UEN524511 UOJ524511 UYF524511 VIB524511 VRX524511 WBT524511 WLP524511 WVL524511 D590047 IZ590047 SV590047 ACR590047 AMN590047 AWJ590047 BGF590047 BQB590047 BZX590047 CJT590047 CTP590047 DDL590047 DNH590047 DXD590047 EGZ590047 EQV590047 FAR590047 FKN590047 FUJ590047 GEF590047 GOB590047 GXX590047 HHT590047 HRP590047 IBL590047 ILH590047 IVD590047 JEZ590047 JOV590047 JYR590047 KIN590047 KSJ590047 LCF590047 LMB590047 LVX590047 MFT590047 MPP590047 MZL590047 NJH590047 NTD590047 OCZ590047 OMV590047 OWR590047 PGN590047 PQJ590047 QAF590047 QKB590047 QTX590047 RDT590047 RNP590047 RXL590047 SHH590047 SRD590047 TAZ590047 TKV590047 TUR590047 UEN590047 UOJ590047 UYF590047 VIB590047 VRX590047 WBT590047 WLP590047 WVL590047 D655583 IZ655583 SV655583 ACR655583 AMN655583 AWJ655583 BGF655583 BQB655583 BZX655583 CJT655583 CTP655583 DDL655583 DNH655583 DXD655583 EGZ655583 EQV655583 FAR655583 FKN655583 FUJ655583 GEF655583 GOB655583 GXX655583 HHT655583 HRP655583 IBL655583 ILH655583 IVD655583 JEZ655583 JOV655583 JYR655583 KIN655583 KSJ655583 LCF655583 LMB655583 LVX655583 MFT655583 MPP655583 MZL655583 NJH655583 NTD655583 OCZ655583 OMV655583 OWR655583 PGN655583 PQJ655583 QAF655583 QKB655583 QTX655583 RDT655583 RNP655583 RXL655583 SHH655583 SRD655583 TAZ655583 TKV655583 TUR655583 UEN655583 UOJ655583 UYF655583 VIB655583 VRX655583 WBT655583 WLP655583 WVL655583 D721119 IZ721119 SV721119 ACR721119 AMN721119 AWJ721119 BGF721119 BQB721119 BZX721119 CJT721119 CTP721119 DDL721119 DNH721119 DXD721119 EGZ721119 EQV721119 FAR721119 FKN721119 FUJ721119 GEF721119 GOB721119 GXX721119 HHT721119 HRP721119 IBL721119 ILH721119 IVD721119 JEZ721119 JOV721119 JYR721119 KIN721119 KSJ721119 LCF721119 LMB721119 LVX721119 MFT721119 MPP721119 MZL721119 NJH721119 NTD721119 OCZ721119 OMV721119 OWR721119 PGN721119 PQJ721119 QAF721119 QKB721119 QTX721119 RDT721119 RNP721119 RXL721119 SHH721119 SRD721119 TAZ721119 TKV721119 TUR721119 UEN721119 UOJ721119 UYF721119 VIB721119 VRX721119 WBT721119 WLP721119 WVL721119 D786655 IZ786655 SV786655 ACR786655 AMN786655 AWJ786655 BGF786655 BQB786655 BZX786655 CJT786655 CTP786655 DDL786655 DNH786655 DXD786655 EGZ786655 EQV786655 FAR786655 FKN786655 FUJ786655 GEF786655 GOB786655 GXX786655 HHT786655 HRP786655 IBL786655 ILH786655 IVD786655 JEZ786655 JOV786655 JYR786655 KIN786655 KSJ786655 LCF786655 LMB786655 LVX786655 MFT786655 MPP786655 MZL786655 NJH786655 NTD786655 OCZ786655 OMV786655 OWR786655 PGN786655 PQJ786655 QAF786655 QKB786655 QTX786655 RDT786655 RNP786655 RXL786655 SHH786655 SRD786655 TAZ786655 TKV786655 TUR786655 UEN786655 UOJ786655 UYF786655 VIB786655 VRX786655 WBT786655 WLP786655 WVL786655 D852191 IZ852191 SV852191 ACR852191 AMN852191 AWJ852191 BGF852191 BQB852191 BZX852191 CJT852191 CTP852191 DDL852191 DNH852191 DXD852191 EGZ852191 EQV852191 FAR852191 FKN852191 FUJ852191 GEF852191 GOB852191 GXX852191 HHT852191 HRP852191 IBL852191 ILH852191 IVD852191 JEZ852191 JOV852191 JYR852191 KIN852191 KSJ852191 LCF852191 LMB852191 LVX852191 MFT852191 MPP852191 MZL852191 NJH852191 NTD852191 OCZ852191 OMV852191 OWR852191 PGN852191 PQJ852191 QAF852191 QKB852191 QTX852191 RDT852191 RNP852191 RXL852191 SHH852191 SRD852191 TAZ852191 TKV852191 TUR852191 UEN852191 UOJ852191 UYF852191 VIB852191 VRX852191 WBT852191 WLP852191 WVL852191 D917727 IZ917727 SV917727 ACR917727 AMN917727 AWJ917727 BGF917727 BQB917727 BZX917727 CJT917727 CTP917727 DDL917727 DNH917727 DXD917727 EGZ917727 EQV917727 FAR917727 FKN917727 FUJ917727 GEF917727 GOB917727 GXX917727 HHT917727 HRP917727 IBL917727 ILH917727 IVD917727 JEZ917727 JOV917727 JYR917727 KIN917727 KSJ917727 LCF917727 LMB917727 LVX917727 MFT917727 MPP917727 MZL917727 NJH917727 NTD917727 OCZ917727 OMV917727 OWR917727 PGN917727 PQJ917727 QAF917727 QKB917727 QTX917727 RDT917727 RNP917727 RXL917727 SHH917727 SRD917727 TAZ917727 TKV917727 TUR917727 UEN917727 UOJ917727 UYF917727 VIB917727 VRX917727 WBT917727 WLP917727 WVL917727 D983263 IZ983263 SV983263 ACR983263 AMN983263 AWJ983263 BGF983263 BQB983263 BZX983263 CJT983263 CTP983263 DDL983263 DNH983263 DXD983263 EGZ983263 EQV983263 FAR983263 FKN983263 FUJ983263 GEF983263 GOB983263 GXX983263 HHT983263 HRP983263 IBL983263 ILH983263 IVD983263 JEZ983263 JOV983263 JYR983263 KIN983263 KSJ983263 LCF983263 LMB983263 LVX983263 MFT983263 MPP983263 MZL983263 NJH983263 NTD983263 OCZ983263 OMV983263 OWR983263 PGN983263 PQJ983263 QAF983263 QKB983263 QTX983263 RDT983263 RNP983263 RXL983263 SHH983263 SRD983263 TAZ983263 TKV983263 TUR983263 UEN983263 UOJ983263 UYF983263 VIB983263 VRX983263 WBT983263 WLP983263 WVL983263 D7:D8 IZ131 SV131 ACR131 AMN131 AWJ131 BGF131 BQB131 BZX131 CJT131 CTP131 DDL131 DNH131 DXD131 EGZ131 EQV131 FAR131 FKN131 FUJ131 GEF131 GOB131 GXX131 HHT131 HRP131 IBL131 ILH131 IVD131 JEZ131 JOV131 JYR131 KIN131 KSJ131 LCF131 LMB131 LVX131 MFT131 MPP131 MZL131 NJH131 NTD131 OCZ131 OMV131 OWR131 PGN131 PQJ131 QAF131 QKB131 QTX131 RDT131 RNP131 RXL131 SHH131 SRD131 TAZ131 TKV131 TUR131 UEN131 UOJ131 UYF131 VIB131 VRX131 WBT131 WLP131 WVL131 D65671 IZ65671 SV65671 ACR65671 AMN65671 AWJ65671 BGF65671 BQB65671 BZX65671 CJT65671 CTP65671 DDL65671 DNH65671 DXD65671 EGZ65671 EQV65671 FAR65671 FKN65671 FUJ65671 GEF65671 GOB65671 GXX65671 HHT65671 HRP65671 IBL65671 ILH65671 IVD65671 JEZ65671 JOV65671 JYR65671 KIN65671 KSJ65671 LCF65671 LMB65671 LVX65671 MFT65671 MPP65671 MZL65671 NJH65671 NTD65671 OCZ65671 OMV65671 OWR65671 PGN65671 PQJ65671 QAF65671 QKB65671 QTX65671 RDT65671 RNP65671 RXL65671 SHH65671 SRD65671 TAZ65671 TKV65671 TUR65671 UEN65671 UOJ65671 UYF65671 VIB65671 VRX65671 WBT65671 WLP65671 WVL65671 D131207 IZ131207 SV131207 ACR131207 AMN131207 AWJ131207 BGF131207 BQB131207 BZX131207 CJT131207 CTP131207 DDL131207 DNH131207 DXD131207 EGZ131207 EQV131207 FAR131207 FKN131207 FUJ131207 GEF131207 GOB131207 GXX131207 HHT131207 HRP131207 IBL131207 ILH131207 IVD131207 JEZ131207 JOV131207 JYR131207 KIN131207 KSJ131207 LCF131207 LMB131207 LVX131207 MFT131207 MPP131207 MZL131207 NJH131207 NTD131207 OCZ131207 OMV131207 OWR131207 PGN131207 PQJ131207 QAF131207 QKB131207 QTX131207 RDT131207 RNP131207 RXL131207 SHH131207 SRD131207 TAZ131207 TKV131207 TUR131207 UEN131207 UOJ131207 UYF131207 VIB131207 VRX131207 WBT131207 WLP131207 WVL131207 D196743 IZ196743 SV196743 ACR196743 AMN196743 AWJ196743 BGF196743 BQB196743 BZX196743 CJT196743 CTP196743 DDL196743 DNH196743 DXD196743 EGZ196743 EQV196743 FAR196743 FKN196743 FUJ196743 GEF196743 GOB196743 GXX196743 HHT196743 HRP196743 IBL196743 ILH196743 IVD196743 JEZ196743 JOV196743 JYR196743 KIN196743 KSJ196743 LCF196743 LMB196743 LVX196743 MFT196743 MPP196743 MZL196743 NJH196743 NTD196743 OCZ196743 OMV196743 OWR196743 PGN196743 PQJ196743 QAF196743 QKB196743 QTX196743 RDT196743 RNP196743 RXL196743 SHH196743 SRD196743 TAZ196743 TKV196743 TUR196743 UEN196743 UOJ196743 UYF196743 VIB196743 VRX196743 WBT196743 WLP196743 WVL196743 D262279 IZ262279 SV262279 ACR262279 AMN262279 AWJ262279 BGF262279 BQB262279 BZX262279 CJT262279 CTP262279 DDL262279 DNH262279 DXD262279 EGZ262279 EQV262279 FAR262279 FKN262279 FUJ262279 GEF262279 GOB262279 GXX262279 HHT262279 HRP262279 IBL262279 ILH262279 IVD262279 JEZ262279 JOV262279 JYR262279 KIN262279 KSJ262279 LCF262279 LMB262279 LVX262279 MFT262279 MPP262279 MZL262279 NJH262279 NTD262279 OCZ262279 OMV262279 OWR262279 PGN262279 PQJ262279 QAF262279 QKB262279 QTX262279 RDT262279 RNP262279 RXL262279 SHH262279 SRD262279 TAZ262279 TKV262279 TUR262279 UEN262279 UOJ262279 UYF262279 VIB262279 VRX262279 WBT262279 WLP262279 WVL262279 D327815 IZ327815 SV327815 ACR327815 AMN327815 AWJ327815 BGF327815 BQB327815 BZX327815 CJT327815 CTP327815 DDL327815 DNH327815 DXD327815 EGZ327815 EQV327815 FAR327815 FKN327815 FUJ327815 GEF327815 GOB327815 GXX327815 HHT327815 HRP327815 IBL327815 ILH327815 IVD327815 JEZ327815 JOV327815 JYR327815 KIN327815 KSJ327815 LCF327815 LMB327815 LVX327815 MFT327815 MPP327815 MZL327815 NJH327815 NTD327815 OCZ327815 OMV327815 OWR327815 PGN327815 PQJ327815 QAF327815 QKB327815 QTX327815 RDT327815 RNP327815 RXL327815 SHH327815 SRD327815 TAZ327815 TKV327815 TUR327815 UEN327815 UOJ327815 UYF327815 VIB327815 VRX327815 WBT327815 WLP327815 WVL327815 D393351 IZ393351 SV393351 ACR393351 AMN393351 AWJ393351 BGF393351 BQB393351 BZX393351 CJT393351 CTP393351 DDL393351 DNH393351 DXD393351 EGZ393351 EQV393351 FAR393351 FKN393351 FUJ393351 GEF393351 GOB393351 GXX393351 HHT393351 HRP393351 IBL393351 ILH393351 IVD393351 JEZ393351 JOV393351 JYR393351 KIN393351 KSJ393351 LCF393351 LMB393351 LVX393351 MFT393351 MPP393351 MZL393351 NJH393351 NTD393351 OCZ393351 OMV393351 OWR393351 PGN393351 PQJ393351 QAF393351 QKB393351 QTX393351 RDT393351 RNP393351 RXL393351 SHH393351 SRD393351 TAZ393351 TKV393351 TUR393351 UEN393351 UOJ393351 UYF393351 VIB393351 VRX393351 WBT393351 WLP393351 WVL393351 D458887 IZ458887 SV458887 ACR458887 AMN458887 AWJ458887 BGF458887 BQB458887 BZX458887 CJT458887 CTP458887 DDL458887 DNH458887 DXD458887 EGZ458887 EQV458887 FAR458887 FKN458887 FUJ458887 GEF458887 GOB458887 GXX458887 HHT458887 HRP458887 IBL458887 ILH458887 IVD458887 JEZ458887 JOV458887 JYR458887 KIN458887 KSJ458887 LCF458887 LMB458887 LVX458887 MFT458887 MPP458887 MZL458887 NJH458887 NTD458887 OCZ458887 OMV458887 OWR458887 PGN458887 PQJ458887 QAF458887 QKB458887 QTX458887 RDT458887 RNP458887 RXL458887 SHH458887 SRD458887 TAZ458887 TKV458887 TUR458887 UEN458887 UOJ458887 UYF458887 VIB458887 VRX458887 WBT458887 WLP458887 WVL458887 D524423 IZ524423 SV524423 ACR524423 AMN524423 AWJ524423 BGF524423 BQB524423 BZX524423 CJT524423 CTP524423 DDL524423 DNH524423 DXD524423 EGZ524423 EQV524423 FAR524423 FKN524423 FUJ524423 GEF524423 GOB524423 GXX524423 HHT524423 HRP524423 IBL524423 ILH524423 IVD524423 JEZ524423 JOV524423 JYR524423 KIN524423 KSJ524423 LCF524423 LMB524423 LVX524423 MFT524423 MPP524423 MZL524423 NJH524423 NTD524423 OCZ524423 OMV524423 OWR524423 PGN524423 PQJ524423 QAF524423 QKB524423 QTX524423 RDT524423 RNP524423 RXL524423 SHH524423 SRD524423 TAZ524423 TKV524423 TUR524423 UEN524423 UOJ524423 UYF524423 VIB524423 VRX524423 WBT524423 WLP524423 WVL524423 D589959 IZ589959 SV589959 ACR589959 AMN589959 AWJ589959 BGF589959 BQB589959 BZX589959 CJT589959 CTP589959 DDL589959 DNH589959 DXD589959 EGZ589959 EQV589959 FAR589959 FKN589959 FUJ589959 GEF589959 GOB589959 GXX589959 HHT589959 HRP589959 IBL589959 ILH589959 IVD589959 JEZ589959 JOV589959 JYR589959 KIN589959 KSJ589959 LCF589959 LMB589959 LVX589959 MFT589959 MPP589959 MZL589959 NJH589959 NTD589959 OCZ589959 OMV589959 OWR589959 PGN589959 PQJ589959 QAF589959 QKB589959 QTX589959 RDT589959 RNP589959 RXL589959 SHH589959 SRD589959 TAZ589959 TKV589959 TUR589959 UEN589959 UOJ589959 UYF589959 VIB589959 VRX589959 WBT589959 WLP589959 WVL589959 D655495 IZ655495 SV655495 ACR655495 AMN655495 AWJ655495 BGF655495 BQB655495 BZX655495 CJT655495 CTP655495 DDL655495 DNH655495 DXD655495 EGZ655495 EQV655495 FAR655495 FKN655495 FUJ655495 GEF655495 GOB655495 GXX655495 HHT655495 HRP655495 IBL655495 ILH655495 IVD655495 JEZ655495 JOV655495 JYR655495 KIN655495 KSJ655495 LCF655495 LMB655495 LVX655495 MFT655495 MPP655495 MZL655495 NJH655495 NTD655495 OCZ655495 OMV655495 OWR655495 PGN655495 PQJ655495 QAF655495 QKB655495 QTX655495 RDT655495 RNP655495 RXL655495 SHH655495 SRD655495 TAZ655495 TKV655495 TUR655495 UEN655495 UOJ655495 UYF655495 VIB655495 VRX655495 WBT655495 WLP655495 WVL655495 D721031 IZ721031 SV721031 ACR721031 AMN721031 AWJ721031 BGF721031 BQB721031 BZX721031 CJT721031 CTP721031 DDL721031 DNH721031 DXD721031 EGZ721031 EQV721031 FAR721031 FKN721031 FUJ721031 GEF721031 GOB721031 GXX721031 HHT721031 HRP721031 IBL721031 ILH721031 IVD721031 JEZ721031 JOV721031 JYR721031 KIN721031 KSJ721031 LCF721031 LMB721031 LVX721031 MFT721031 MPP721031 MZL721031 NJH721031 NTD721031 OCZ721031 OMV721031 OWR721031 PGN721031 PQJ721031 QAF721031 QKB721031 QTX721031 RDT721031 RNP721031 RXL721031 SHH721031 SRD721031 TAZ721031 TKV721031 TUR721031 UEN721031 UOJ721031 UYF721031 VIB721031 VRX721031 WBT721031 WLP721031 WVL721031 D786567 IZ786567 SV786567 ACR786567 AMN786567 AWJ786567 BGF786567 BQB786567 BZX786567 CJT786567 CTP786567 DDL786567 DNH786567 DXD786567 EGZ786567 EQV786567 FAR786567 FKN786567 FUJ786567 GEF786567 GOB786567 GXX786567 HHT786567 HRP786567 IBL786567 ILH786567 IVD786567 JEZ786567 JOV786567 JYR786567 KIN786567 KSJ786567 LCF786567 LMB786567 LVX786567 MFT786567 MPP786567 MZL786567 NJH786567 NTD786567 OCZ786567 OMV786567 OWR786567 PGN786567 PQJ786567 QAF786567 QKB786567 QTX786567 RDT786567 RNP786567 RXL786567 SHH786567 SRD786567 TAZ786567 TKV786567 TUR786567 UEN786567 UOJ786567 UYF786567 VIB786567 VRX786567 WBT786567 WLP786567 WVL786567 D852103 IZ852103 SV852103 ACR852103 AMN852103 AWJ852103 BGF852103 BQB852103 BZX852103 CJT852103 CTP852103 DDL852103 DNH852103 DXD852103 EGZ852103 EQV852103 FAR852103 FKN852103 FUJ852103 GEF852103 GOB852103 GXX852103 HHT852103 HRP852103 IBL852103 ILH852103 IVD852103 JEZ852103 JOV852103 JYR852103 KIN852103 KSJ852103 LCF852103 LMB852103 LVX852103 MFT852103 MPP852103 MZL852103 NJH852103 NTD852103 OCZ852103 OMV852103 OWR852103 PGN852103 PQJ852103 QAF852103 QKB852103 QTX852103 RDT852103 RNP852103 RXL852103 SHH852103 SRD852103 TAZ852103 TKV852103 TUR852103 UEN852103 UOJ852103 UYF852103 VIB852103 VRX852103 WBT852103 WLP852103 WVL852103 D917639 IZ917639 SV917639 ACR917639 AMN917639 AWJ917639 BGF917639 BQB917639 BZX917639 CJT917639 CTP917639 DDL917639 DNH917639 DXD917639 EGZ917639 EQV917639 FAR917639 FKN917639 FUJ917639 GEF917639 GOB917639 GXX917639 HHT917639 HRP917639 IBL917639 ILH917639 IVD917639 JEZ917639 JOV917639 JYR917639 KIN917639 KSJ917639 LCF917639 LMB917639 LVX917639 MFT917639 MPP917639 MZL917639 NJH917639 NTD917639 OCZ917639 OMV917639 OWR917639 PGN917639 PQJ917639 QAF917639 QKB917639 QTX917639 RDT917639 RNP917639 RXL917639 SHH917639 SRD917639 TAZ917639 TKV917639 TUR917639 UEN917639 UOJ917639 UYF917639 VIB917639 VRX917639 WBT917639 WLP917639 WVL917639 D983175 IZ983175 SV983175 ACR983175 AMN983175 AWJ983175 BGF983175 BQB983175 BZX983175 CJT983175 CTP983175 DDL983175 DNH983175 DXD983175 EGZ983175 EQV983175 FAR983175 FKN983175 FUJ983175 GEF983175 GOB983175 GXX983175 HHT983175 HRP983175 IBL983175 ILH983175 IVD983175 JEZ983175 JOV983175 JYR983175 KIN983175 KSJ983175 LCF983175 LMB983175 LVX983175 MFT983175 MPP983175 MZL983175 NJH983175 NTD983175 OCZ983175 OMV983175 OWR983175 PGN983175 PQJ983175 QAF983175 QKB983175 QTX983175 RDT983175 RNP983175 RXL983175 SHH983175 SRD983175 TAZ983175 TKV983175 TUR983175 UEN983175 UOJ983175 UYF983175 VIB983175 VRX983175 WBT983175 WLP983175 WVL983175 WVK983094:WVL983094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88 IZ65588 SV65588 ACR65588 AMN65588 AWJ65588 BGF65588 BQB65588 BZX65588 CJT65588 CTP65588 DDL65588 DNH65588 DXD65588 EGZ65588 EQV65588 FAR65588 FKN65588 FUJ65588 GEF65588 GOB65588 GXX65588 HHT65588 HRP65588 IBL65588 ILH65588 IVD65588 JEZ65588 JOV65588 JYR65588 KIN65588 KSJ65588 LCF65588 LMB65588 LVX65588 MFT65588 MPP65588 MZL65588 NJH65588 NTD65588 OCZ65588 OMV65588 OWR65588 PGN65588 PQJ65588 QAF65588 QKB65588 QTX65588 RDT65588 RNP65588 RXL65588 SHH65588 SRD65588 TAZ65588 TKV65588 TUR65588 UEN65588 UOJ65588 UYF65588 VIB65588 VRX65588 WBT65588 WLP65588 WVL65588 D131124 IZ131124 SV131124 ACR131124 AMN131124 AWJ131124 BGF131124 BQB131124 BZX131124 CJT131124 CTP131124 DDL131124 DNH131124 DXD131124 EGZ131124 EQV131124 FAR131124 FKN131124 FUJ131124 GEF131124 GOB131124 GXX131124 HHT131124 HRP131124 IBL131124 ILH131124 IVD131124 JEZ131124 JOV131124 JYR131124 KIN131124 KSJ131124 LCF131124 LMB131124 LVX131124 MFT131124 MPP131124 MZL131124 NJH131124 NTD131124 OCZ131124 OMV131124 OWR131124 PGN131124 PQJ131124 QAF131124 QKB131124 QTX131124 RDT131124 RNP131124 RXL131124 SHH131124 SRD131124 TAZ131124 TKV131124 TUR131124 UEN131124 UOJ131124 UYF131124 VIB131124 VRX131124 WBT131124 WLP131124 WVL131124 D196660 IZ196660 SV196660 ACR196660 AMN196660 AWJ196660 BGF196660 BQB196660 BZX196660 CJT196660 CTP196660 DDL196660 DNH196660 DXD196660 EGZ196660 EQV196660 FAR196660 FKN196660 FUJ196660 GEF196660 GOB196660 GXX196660 HHT196660 HRP196660 IBL196660 ILH196660 IVD196660 JEZ196660 JOV196660 JYR196660 KIN196660 KSJ196660 LCF196660 LMB196660 LVX196660 MFT196660 MPP196660 MZL196660 NJH196660 NTD196660 OCZ196660 OMV196660 OWR196660 PGN196660 PQJ196660 QAF196660 QKB196660 QTX196660 RDT196660 RNP196660 RXL196660 SHH196660 SRD196660 TAZ196660 TKV196660 TUR196660 UEN196660 UOJ196660 UYF196660 VIB196660 VRX196660 WBT196660 WLP196660 WVL196660 D262196 IZ262196 SV262196 ACR262196 AMN262196 AWJ262196 BGF262196 BQB262196 BZX262196 CJT262196 CTP262196 DDL262196 DNH262196 DXD262196 EGZ262196 EQV262196 FAR262196 FKN262196 FUJ262196 GEF262196 GOB262196 GXX262196 HHT262196 HRP262196 IBL262196 ILH262196 IVD262196 JEZ262196 JOV262196 JYR262196 KIN262196 KSJ262196 LCF262196 LMB262196 LVX262196 MFT262196 MPP262196 MZL262196 NJH262196 NTD262196 OCZ262196 OMV262196 OWR262196 PGN262196 PQJ262196 QAF262196 QKB262196 QTX262196 RDT262196 RNP262196 RXL262196 SHH262196 SRD262196 TAZ262196 TKV262196 TUR262196 UEN262196 UOJ262196 UYF262196 VIB262196 VRX262196 WBT262196 WLP262196 WVL262196 D327732 IZ327732 SV327732 ACR327732 AMN327732 AWJ327732 BGF327732 BQB327732 BZX327732 CJT327732 CTP327732 DDL327732 DNH327732 DXD327732 EGZ327732 EQV327732 FAR327732 FKN327732 FUJ327732 GEF327732 GOB327732 GXX327732 HHT327732 HRP327732 IBL327732 ILH327732 IVD327732 JEZ327732 JOV327732 JYR327732 KIN327732 KSJ327732 LCF327732 LMB327732 LVX327732 MFT327732 MPP327732 MZL327732 NJH327732 NTD327732 OCZ327732 OMV327732 OWR327732 PGN327732 PQJ327732 QAF327732 QKB327732 QTX327732 RDT327732 RNP327732 RXL327732 SHH327732 SRD327732 TAZ327732 TKV327732 TUR327732 UEN327732 UOJ327732 UYF327732 VIB327732 VRX327732 WBT327732 WLP327732 WVL327732 D393268 IZ393268 SV393268 ACR393268 AMN393268 AWJ393268 BGF393268 BQB393268 BZX393268 CJT393268 CTP393268 DDL393268 DNH393268 DXD393268 EGZ393268 EQV393268 FAR393268 FKN393268 FUJ393268 GEF393268 GOB393268 GXX393268 HHT393268 HRP393268 IBL393268 ILH393268 IVD393268 JEZ393268 JOV393268 JYR393268 KIN393268 KSJ393268 LCF393268 LMB393268 LVX393268 MFT393268 MPP393268 MZL393268 NJH393268 NTD393268 OCZ393268 OMV393268 OWR393268 PGN393268 PQJ393268 QAF393268 QKB393268 QTX393268 RDT393268 RNP393268 RXL393268 SHH393268 SRD393268 TAZ393268 TKV393268 TUR393268 UEN393268 UOJ393268 UYF393268 VIB393268 VRX393268 WBT393268 WLP393268 WVL393268 D458804 IZ458804 SV458804 ACR458804 AMN458804 AWJ458804 BGF458804 BQB458804 BZX458804 CJT458804 CTP458804 DDL458804 DNH458804 DXD458804 EGZ458804 EQV458804 FAR458804 FKN458804 FUJ458804 GEF458804 GOB458804 GXX458804 HHT458804 HRP458804 IBL458804 ILH458804 IVD458804 JEZ458804 JOV458804 JYR458804 KIN458804 KSJ458804 LCF458804 LMB458804 LVX458804 MFT458804 MPP458804 MZL458804 NJH458804 NTD458804 OCZ458804 OMV458804 OWR458804 PGN458804 PQJ458804 QAF458804 QKB458804 QTX458804 RDT458804 RNP458804 RXL458804 SHH458804 SRD458804 TAZ458804 TKV458804 TUR458804 UEN458804 UOJ458804 UYF458804 VIB458804 VRX458804 WBT458804 WLP458804 WVL458804 D524340 IZ524340 SV524340 ACR524340 AMN524340 AWJ524340 BGF524340 BQB524340 BZX524340 CJT524340 CTP524340 DDL524340 DNH524340 DXD524340 EGZ524340 EQV524340 FAR524340 FKN524340 FUJ524340 GEF524340 GOB524340 GXX524340 HHT524340 HRP524340 IBL524340 ILH524340 IVD524340 JEZ524340 JOV524340 JYR524340 KIN524340 KSJ524340 LCF524340 LMB524340 LVX524340 MFT524340 MPP524340 MZL524340 NJH524340 NTD524340 OCZ524340 OMV524340 OWR524340 PGN524340 PQJ524340 QAF524340 QKB524340 QTX524340 RDT524340 RNP524340 RXL524340 SHH524340 SRD524340 TAZ524340 TKV524340 TUR524340 UEN524340 UOJ524340 UYF524340 VIB524340 VRX524340 WBT524340 WLP524340 WVL524340 D589876 IZ589876 SV589876 ACR589876 AMN589876 AWJ589876 BGF589876 BQB589876 BZX589876 CJT589876 CTP589876 DDL589876 DNH589876 DXD589876 EGZ589876 EQV589876 FAR589876 FKN589876 FUJ589876 GEF589876 GOB589876 GXX589876 HHT589876 HRP589876 IBL589876 ILH589876 IVD589876 JEZ589876 JOV589876 JYR589876 KIN589876 KSJ589876 LCF589876 LMB589876 LVX589876 MFT589876 MPP589876 MZL589876 NJH589876 NTD589876 OCZ589876 OMV589876 OWR589876 PGN589876 PQJ589876 QAF589876 QKB589876 QTX589876 RDT589876 RNP589876 RXL589876 SHH589876 SRD589876 TAZ589876 TKV589876 TUR589876 UEN589876 UOJ589876 UYF589876 VIB589876 VRX589876 WBT589876 WLP589876 WVL589876 D655412 IZ655412 SV655412 ACR655412 AMN655412 AWJ655412 BGF655412 BQB655412 BZX655412 CJT655412 CTP655412 DDL655412 DNH655412 DXD655412 EGZ655412 EQV655412 FAR655412 FKN655412 FUJ655412 GEF655412 GOB655412 GXX655412 HHT655412 HRP655412 IBL655412 ILH655412 IVD655412 JEZ655412 JOV655412 JYR655412 KIN655412 KSJ655412 LCF655412 LMB655412 LVX655412 MFT655412 MPP655412 MZL655412 NJH655412 NTD655412 OCZ655412 OMV655412 OWR655412 PGN655412 PQJ655412 QAF655412 QKB655412 QTX655412 RDT655412 RNP655412 RXL655412 SHH655412 SRD655412 TAZ655412 TKV655412 TUR655412 UEN655412 UOJ655412 UYF655412 VIB655412 VRX655412 WBT655412 WLP655412 WVL655412 D720948 IZ720948 SV720948 ACR720948 AMN720948 AWJ720948 BGF720948 BQB720948 BZX720948 CJT720948 CTP720948 DDL720948 DNH720948 DXD720948 EGZ720948 EQV720948 FAR720948 FKN720948 FUJ720948 GEF720948 GOB720948 GXX720948 HHT720948 HRP720948 IBL720948 ILH720948 IVD720948 JEZ720948 JOV720948 JYR720948 KIN720948 KSJ720948 LCF720948 LMB720948 LVX720948 MFT720948 MPP720948 MZL720948 NJH720948 NTD720948 OCZ720948 OMV720948 OWR720948 PGN720948 PQJ720948 QAF720948 QKB720948 QTX720948 RDT720948 RNP720948 RXL720948 SHH720948 SRD720948 TAZ720948 TKV720948 TUR720948 UEN720948 UOJ720948 UYF720948 VIB720948 VRX720948 WBT720948 WLP720948 WVL720948 D786484 IZ786484 SV786484 ACR786484 AMN786484 AWJ786484 BGF786484 BQB786484 BZX786484 CJT786484 CTP786484 DDL786484 DNH786484 DXD786484 EGZ786484 EQV786484 FAR786484 FKN786484 FUJ786484 GEF786484 GOB786484 GXX786484 HHT786484 HRP786484 IBL786484 ILH786484 IVD786484 JEZ786484 JOV786484 JYR786484 KIN786484 KSJ786484 LCF786484 LMB786484 LVX786484 MFT786484 MPP786484 MZL786484 NJH786484 NTD786484 OCZ786484 OMV786484 OWR786484 PGN786484 PQJ786484 QAF786484 QKB786484 QTX786484 RDT786484 RNP786484 RXL786484 SHH786484 SRD786484 TAZ786484 TKV786484 TUR786484 UEN786484 UOJ786484 UYF786484 VIB786484 VRX786484 WBT786484 WLP786484 WVL786484 D852020 IZ852020 SV852020 ACR852020 AMN852020 AWJ852020 BGF852020 BQB852020 BZX852020 CJT852020 CTP852020 DDL852020 DNH852020 DXD852020 EGZ852020 EQV852020 FAR852020 FKN852020 FUJ852020 GEF852020 GOB852020 GXX852020 HHT852020 HRP852020 IBL852020 ILH852020 IVD852020 JEZ852020 JOV852020 JYR852020 KIN852020 KSJ852020 LCF852020 LMB852020 LVX852020 MFT852020 MPP852020 MZL852020 NJH852020 NTD852020 OCZ852020 OMV852020 OWR852020 PGN852020 PQJ852020 QAF852020 QKB852020 QTX852020 RDT852020 RNP852020 RXL852020 SHH852020 SRD852020 TAZ852020 TKV852020 TUR852020 UEN852020 UOJ852020 UYF852020 VIB852020 VRX852020 WBT852020 WLP852020 WVL852020 D917556 IZ917556 SV917556 ACR917556 AMN917556 AWJ917556 BGF917556 BQB917556 BZX917556 CJT917556 CTP917556 DDL917556 DNH917556 DXD917556 EGZ917556 EQV917556 FAR917556 FKN917556 FUJ917556 GEF917556 GOB917556 GXX917556 HHT917556 HRP917556 IBL917556 ILH917556 IVD917556 JEZ917556 JOV917556 JYR917556 KIN917556 KSJ917556 LCF917556 LMB917556 LVX917556 MFT917556 MPP917556 MZL917556 NJH917556 NTD917556 OCZ917556 OMV917556 OWR917556 PGN917556 PQJ917556 QAF917556 QKB917556 QTX917556 RDT917556 RNP917556 RXL917556 SHH917556 SRD917556 TAZ917556 TKV917556 TUR917556 UEN917556 UOJ917556 UYF917556 VIB917556 VRX917556 WBT917556 WLP917556 WVL917556 D983092 IZ983092 SV983092 ACR983092 AMN983092 AWJ983092 BGF983092 BQB983092 BZX983092 CJT983092 CTP983092 DDL983092 DNH983092 DXD983092 EGZ983092 EQV983092 FAR983092 FKN983092 FUJ983092 GEF983092 GOB983092 GXX983092 HHT983092 HRP983092 IBL983092 ILH983092 IVD983092 JEZ983092 JOV983092 JYR983092 KIN983092 KSJ983092 LCF983092 LMB983092 LVX983092 MFT983092 MPP983092 MZL983092 NJH983092 NTD983092 OCZ983092 OMV983092 OWR983092 PGN983092 PQJ983092 QAF983092 QKB983092 QTX983092 RDT983092 RNP983092 RXL983092 SHH983092 SRD983092 TAZ983092 TKV983092 TUR983092 UEN983092 UOJ983092 UYF983092 VIB983092 VRX983092 WBT983092 WLP983092 WVL983092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90:D65590 IY65590:IZ65590 SU65590:SV65590 ACQ65590:ACR65590 AMM65590:AMN65590 AWI65590:AWJ65590 BGE65590:BGF65590 BQA65590:BQB65590 BZW65590:BZX65590 CJS65590:CJT65590 CTO65590:CTP65590 DDK65590:DDL65590 DNG65590:DNH65590 DXC65590:DXD65590 EGY65590:EGZ65590 EQU65590:EQV65590 FAQ65590:FAR65590 FKM65590:FKN65590 FUI65590:FUJ65590 GEE65590:GEF65590 GOA65590:GOB65590 GXW65590:GXX65590 HHS65590:HHT65590 HRO65590:HRP65590 IBK65590:IBL65590 ILG65590:ILH65590 IVC65590:IVD65590 JEY65590:JEZ65590 JOU65590:JOV65590 JYQ65590:JYR65590 KIM65590:KIN65590 KSI65590:KSJ65590 LCE65590:LCF65590 LMA65590:LMB65590 LVW65590:LVX65590 MFS65590:MFT65590 MPO65590:MPP65590 MZK65590:MZL65590 NJG65590:NJH65590 NTC65590:NTD65590 OCY65590:OCZ65590 OMU65590:OMV65590 OWQ65590:OWR65590 PGM65590:PGN65590 PQI65590:PQJ65590 QAE65590:QAF65590 QKA65590:QKB65590 QTW65590:QTX65590 RDS65590:RDT65590 RNO65590:RNP65590 RXK65590:RXL65590 SHG65590:SHH65590 SRC65590:SRD65590 TAY65590:TAZ65590 TKU65590:TKV65590 TUQ65590:TUR65590 UEM65590:UEN65590 UOI65590:UOJ65590 UYE65590:UYF65590 VIA65590:VIB65590 VRW65590:VRX65590 WBS65590:WBT65590 WLO65590:WLP65590 WVK65590:WVL65590 C131126:D131126 IY131126:IZ131126 SU131126:SV131126 ACQ131126:ACR131126 AMM131126:AMN131126 AWI131126:AWJ131126 BGE131126:BGF131126 BQA131126:BQB131126 BZW131126:BZX131126 CJS131126:CJT131126 CTO131126:CTP131126 DDK131126:DDL131126 DNG131126:DNH131126 DXC131126:DXD131126 EGY131126:EGZ131126 EQU131126:EQV131126 FAQ131126:FAR131126 FKM131126:FKN131126 FUI131126:FUJ131126 GEE131126:GEF131126 GOA131126:GOB131126 GXW131126:GXX131126 HHS131126:HHT131126 HRO131126:HRP131126 IBK131126:IBL131126 ILG131126:ILH131126 IVC131126:IVD131126 JEY131126:JEZ131126 JOU131126:JOV131126 JYQ131126:JYR131126 KIM131126:KIN131126 KSI131126:KSJ131126 LCE131126:LCF131126 LMA131126:LMB131126 LVW131126:LVX131126 MFS131126:MFT131126 MPO131126:MPP131126 MZK131126:MZL131126 NJG131126:NJH131126 NTC131126:NTD131126 OCY131126:OCZ131126 OMU131126:OMV131126 OWQ131126:OWR131126 PGM131126:PGN131126 PQI131126:PQJ131126 QAE131126:QAF131126 QKA131126:QKB131126 QTW131126:QTX131126 RDS131126:RDT131126 RNO131126:RNP131126 RXK131126:RXL131126 SHG131126:SHH131126 SRC131126:SRD131126 TAY131126:TAZ131126 TKU131126:TKV131126 TUQ131126:TUR131126 UEM131126:UEN131126 UOI131126:UOJ131126 UYE131126:UYF131126 VIA131126:VIB131126 VRW131126:VRX131126 WBS131126:WBT131126 WLO131126:WLP131126 WVK131126:WVL131126 C196662:D196662 IY196662:IZ196662 SU196662:SV196662 ACQ196662:ACR196662 AMM196662:AMN196662 AWI196662:AWJ196662 BGE196662:BGF196662 BQA196662:BQB196662 BZW196662:BZX196662 CJS196662:CJT196662 CTO196662:CTP196662 DDK196662:DDL196662 DNG196662:DNH196662 DXC196662:DXD196662 EGY196662:EGZ196662 EQU196662:EQV196662 FAQ196662:FAR196662 FKM196662:FKN196662 FUI196662:FUJ196662 GEE196662:GEF196662 GOA196662:GOB196662 GXW196662:GXX196662 HHS196662:HHT196662 HRO196662:HRP196662 IBK196662:IBL196662 ILG196662:ILH196662 IVC196662:IVD196662 JEY196662:JEZ196662 JOU196662:JOV196662 JYQ196662:JYR196662 KIM196662:KIN196662 KSI196662:KSJ196662 LCE196662:LCF196662 LMA196662:LMB196662 LVW196662:LVX196662 MFS196662:MFT196662 MPO196662:MPP196662 MZK196662:MZL196662 NJG196662:NJH196662 NTC196662:NTD196662 OCY196662:OCZ196662 OMU196662:OMV196662 OWQ196662:OWR196662 PGM196662:PGN196662 PQI196662:PQJ196662 QAE196662:QAF196662 QKA196662:QKB196662 QTW196662:QTX196662 RDS196662:RDT196662 RNO196662:RNP196662 RXK196662:RXL196662 SHG196662:SHH196662 SRC196662:SRD196662 TAY196662:TAZ196662 TKU196662:TKV196662 TUQ196662:TUR196662 UEM196662:UEN196662 UOI196662:UOJ196662 UYE196662:UYF196662 VIA196662:VIB196662 VRW196662:VRX196662 WBS196662:WBT196662 WLO196662:WLP196662 WVK196662:WVL196662 C262198:D262198 IY262198:IZ262198 SU262198:SV262198 ACQ262198:ACR262198 AMM262198:AMN262198 AWI262198:AWJ262198 BGE262198:BGF262198 BQA262198:BQB262198 BZW262198:BZX262198 CJS262198:CJT262198 CTO262198:CTP262198 DDK262198:DDL262198 DNG262198:DNH262198 DXC262198:DXD262198 EGY262198:EGZ262198 EQU262198:EQV262198 FAQ262198:FAR262198 FKM262198:FKN262198 FUI262198:FUJ262198 GEE262198:GEF262198 GOA262198:GOB262198 GXW262198:GXX262198 HHS262198:HHT262198 HRO262198:HRP262198 IBK262198:IBL262198 ILG262198:ILH262198 IVC262198:IVD262198 JEY262198:JEZ262198 JOU262198:JOV262198 JYQ262198:JYR262198 KIM262198:KIN262198 KSI262198:KSJ262198 LCE262198:LCF262198 LMA262198:LMB262198 LVW262198:LVX262198 MFS262198:MFT262198 MPO262198:MPP262198 MZK262198:MZL262198 NJG262198:NJH262198 NTC262198:NTD262198 OCY262198:OCZ262198 OMU262198:OMV262198 OWQ262198:OWR262198 PGM262198:PGN262198 PQI262198:PQJ262198 QAE262198:QAF262198 QKA262198:QKB262198 QTW262198:QTX262198 RDS262198:RDT262198 RNO262198:RNP262198 RXK262198:RXL262198 SHG262198:SHH262198 SRC262198:SRD262198 TAY262198:TAZ262198 TKU262198:TKV262198 TUQ262198:TUR262198 UEM262198:UEN262198 UOI262198:UOJ262198 UYE262198:UYF262198 VIA262198:VIB262198 VRW262198:VRX262198 WBS262198:WBT262198 WLO262198:WLP262198 WVK262198:WVL262198 C327734:D327734 IY327734:IZ327734 SU327734:SV327734 ACQ327734:ACR327734 AMM327734:AMN327734 AWI327734:AWJ327734 BGE327734:BGF327734 BQA327734:BQB327734 BZW327734:BZX327734 CJS327734:CJT327734 CTO327734:CTP327734 DDK327734:DDL327734 DNG327734:DNH327734 DXC327734:DXD327734 EGY327734:EGZ327734 EQU327734:EQV327734 FAQ327734:FAR327734 FKM327734:FKN327734 FUI327734:FUJ327734 GEE327734:GEF327734 GOA327734:GOB327734 GXW327734:GXX327734 HHS327734:HHT327734 HRO327734:HRP327734 IBK327734:IBL327734 ILG327734:ILH327734 IVC327734:IVD327734 JEY327734:JEZ327734 JOU327734:JOV327734 JYQ327734:JYR327734 KIM327734:KIN327734 KSI327734:KSJ327734 LCE327734:LCF327734 LMA327734:LMB327734 LVW327734:LVX327734 MFS327734:MFT327734 MPO327734:MPP327734 MZK327734:MZL327734 NJG327734:NJH327734 NTC327734:NTD327734 OCY327734:OCZ327734 OMU327734:OMV327734 OWQ327734:OWR327734 PGM327734:PGN327734 PQI327734:PQJ327734 QAE327734:QAF327734 QKA327734:QKB327734 QTW327734:QTX327734 RDS327734:RDT327734 RNO327734:RNP327734 RXK327734:RXL327734 SHG327734:SHH327734 SRC327734:SRD327734 TAY327734:TAZ327734 TKU327734:TKV327734 TUQ327734:TUR327734 UEM327734:UEN327734 UOI327734:UOJ327734 UYE327734:UYF327734 VIA327734:VIB327734 VRW327734:VRX327734 WBS327734:WBT327734 WLO327734:WLP327734 WVK327734:WVL327734 C393270:D393270 IY393270:IZ393270 SU393270:SV393270 ACQ393270:ACR393270 AMM393270:AMN393270 AWI393270:AWJ393270 BGE393270:BGF393270 BQA393270:BQB393270 BZW393270:BZX393270 CJS393270:CJT393270 CTO393270:CTP393270 DDK393270:DDL393270 DNG393270:DNH393270 DXC393270:DXD393270 EGY393270:EGZ393270 EQU393270:EQV393270 FAQ393270:FAR393270 FKM393270:FKN393270 FUI393270:FUJ393270 GEE393270:GEF393270 GOA393270:GOB393270 GXW393270:GXX393270 HHS393270:HHT393270 HRO393270:HRP393270 IBK393270:IBL393270 ILG393270:ILH393270 IVC393270:IVD393270 JEY393270:JEZ393270 JOU393270:JOV393270 JYQ393270:JYR393270 KIM393270:KIN393270 KSI393270:KSJ393270 LCE393270:LCF393270 LMA393270:LMB393270 LVW393270:LVX393270 MFS393270:MFT393270 MPO393270:MPP393270 MZK393270:MZL393270 NJG393270:NJH393270 NTC393270:NTD393270 OCY393270:OCZ393270 OMU393270:OMV393270 OWQ393270:OWR393270 PGM393270:PGN393270 PQI393270:PQJ393270 QAE393270:QAF393270 QKA393270:QKB393270 QTW393270:QTX393270 RDS393270:RDT393270 RNO393270:RNP393270 RXK393270:RXL393270 SHG393270:SHH393270 SRC393270:SRD393270 TAY393270:TAZ393270 TKU393270:TKV393270 TUQ393270:TUR393270 UEM393270:UEN393270 UOI393270:UOJ393270 UYE393270:UYF393270 VIA393270:VIB393270 VRW393270:VRX393270 WBS393270:WBT393270 WLO393270:WLP393270 WVK393270:WVL393270 C458806:D458806 IY458806:IZ458806 SU458806:SV458806 ACQ458806:ACR458806 AMM458806:AMN458806 AWI458806:AWJ458806 BGE458806:BGF458806 BQA458806:BQB458806 BZW458806:BZX458806 CJS458806:CJT458806 CTO458806:CTP458806 DDK458806:DDL458806 DNG458806:DNH458806 DXC458806:DXD458806 EGY458806:EGZ458806 EQU458806:EQV458806 FAQ458806:FAR458806 FKM458806:FKN458806 FUI458806:FUJ458806 GEE458806:GEF458806 GOA458806:GOB458806 GXW458806:GXX458806 HHS458806:HHT458806 HRO458806:HRP458806 IBK458806:IBL458806 ILG458806:ILH458806 IVC458806:IVD458806 JEY458806:JEZ458806 JOU458806:JOV458806 JYQ458806:JYR458806 KIM458806:KIN458806 KSI458806:KSJ458806 LCE458806:LCF458806 LMA458806:LMB458806 LVW458806:LVX458806 MFS458806:MFT458806 MPO458806:MPP458806 MZK458806:MZL458806 NJG458806:NJH458806 NTC458806:NTD458806 OCY458806:OCZ458806 OMU458806:OMV458806 OWQ458806:OWR458806 PGM458806:PGN458806 PQI458806:PQJ458806 QAE458806:QAF458806 QKA458806:QKB458806 QTW458806:QTX458806 RDS458806:RDT458806 RNO458806:RNP458806 RXK458806:RXL458806 SHG458806:SHH458806 SRC458806:SRD458806 TAY458806:TAZ458806 TKU458806:TKV458806 TUQ458806:TUR458806 UEM458806:UEN458806 UOI458806:UOJ458806 UYE458806:UYF458806 VIA458806:VIB458806 VRW458806:VRX458806 WBS458806:WBT458806 WLO458806:WLP458806 WVK458806:WVL458806 C524342:D524342 IY524342:IZ524342 SU524342:SV524342 ACQ524342:ACR524342 AMM524342:AMN524342 AWI524342:AWJ524342 BGE524342:BGF524342 BQA524342:BQB524342 BZW524342:BZX524342 CJS524342:CJT524342 CTO524342:CTP524342 DDK524342:DDL524342 DNG524342:DNH524342 DXC524342:DXD524342 EGY524342:EGZ524342 EQU524342:EQV524342 FAQ524342:FAR524342 FKM524342:FKN524342 FUI524342:FUJ524342 GEE524342:GEF524342 GOA524342:GOB524342 GXW524342:GXX524342 HHS524342:HHT524342 HRO524342:HRP524342 IBK524342:IBL524342 ILG524342:ILH524342 IVC524342:IVD524342 JEY524342:JEZ524342 JOU524342:JOV524342 JYQ524342:JYR524342 KIM524342:KIN524342 KSI524342:KSJ524342 LCE524342:LCF524342 LMA524342:LMB524342 LVW524342:LVX524342 MFS524342:MFT524342 MPO524342:MPP524342 MZK524342:MZL524342 NJG524342:NJH524342 NTC524342:NTD524342 OCY524342:OCZ524342 OMU524342:OMV524342 OWQ524342:OWR524342 PGM524342:PGN524342 PQI524342:PQJ524342 QAE524342:QAF524342 QKA524342:QKB524342 QTW524342:QTX524342 RDS524342:RDT524342 RNO524342:RNP524342 RXK524342:RXL524342 SHG524342:SHH524342 SRC524342:SRD524342 TAY524342:TAZ524342 TKU524342:TKV524342 TUQ524342:TUR524342 UEM524342:UEN524342 UOI524342:UOJ524342 UYE524342:UYF524342 VIA524342:VIB524342 VRW524342:VRX524342 WBS524342:WBT524342 WLO524342:WLP524342 WVK524342:WVL524342 C589878:D589878 IY589878:IZ589878 SU589878:SV589878 ACQ589878:ACR589878 AMM589878:AMN589878 AWI589878:AWJ589878 BGE589878:BGF589878 BQA589878:BQB589878 BZW589878:BZX589878 CJS589878:CJT589878 CTO589878:CTP589878 DDK589878:DDL589878 DNG589878:DNH589878 DXC589878:DXD589878 EGY589878:EGZ589878 EQU589878:EQV589878 FAQ589878:FAR589878 FKM589878:FKN589878 FUI589878:FUJ589878 GEE589878:GEF589878 GOA589878:GOB589878 GXW589878:GXX589878 HHS589878:HHT589878 HRO589878:HRP589878 IBK589878:IBL589878 ILG589878:ILH589878 IVC589878:IVD589878 JEY589878:JEZ589878 JOU589878:JOV589878 JYQ589878:JYR589878 KIM589878:KIN589878 KSI589878:KSJ589878 LCE589878:LCF589878 LMA589878:LMB589878 LVW589878:LVX589878 MFS589878:MFT589878 MPO589878:MPP589878 MZK589878:MZL589878 NJG589878:NJH589878 NTC589878:NTD589878 OCY589878:OCZ589878 OMU589878:OMV589878 OWQ589878:OWR589878 PGM589878:PGN589878 PQI589878:PQJ589878 QAE589878:QAF589878 QKA589878:QKB589878 QTW589878:QTX589878 RDS589878:RDT589878 RNO589878:RNP589878 RXK589878:RXL589878 SHG589878:SHH589878 SRC589878:SRD589878 TAY589878:TAZ589878 TKU589878:TKV589878 TUQ589878:TUR589878 UEM589878:UEN589878 UOI589878:UOJ589878 UYE589878:UYF589878 VIA589878:VIB589878 VRW589878:VRX589878 WBS589878:WBT589878 WLO589878:WLP589878 WVK589878:WVL589878 C655414:D655414 IY655414:IZ655414 SU655414:SV655414 ACQ655414:ACR655414 AMM655414:AMN655414 AWI655414:AWJ655414 BGE655414:BGF655414 BQA655414:BQB655414 BZW655414:BZX655414 CJS655414:CJT655414 CTO655414:CTP655414 DDK655414:DDL655414 DNG655414:DNH655414 DXC655414:DXD655414 EGY655414:EGZ655414 EQU655414:EQV655414 FAQ655414:FAR655414 FKM655414:FKN655414 FUI655414:FUJ655414 GEE655414:GEF655414 GOA655414:GOB655414 GXW655414:GXX655414 HHS655414:HHT655414 HRO655414:HRP655414 IBK655414:IBL655414 ILG655414:ILH655414 IVC655414:IVD655414 JEY655414:JEZ655414 JOU655414:JOV655414 JYQ655414:JYR655414 KIM655414:KIN655414 KSI655414:KSJ655414 LCE655414:LCF655414 LMA655414:LMB655414 LVW655414:LVX655414 MFS655414:MFT655414 MPO655414:MPP655414 MZK655414:MZL655414 NJG655414:NJH655414 NTC655414:NTD655414 OCY655414:OCZ655414 OMU655414:OMV655414 OWQ655414:OWR655414 PGM655414:PGN655414 PQI655414:PQJ655414 QAE655414:QAF655414 QKA655414:QKB655414 QTW655414:QTX655414 RDS655414:RDT655414 RNO655414:RNP655414 RXK655414:RXL655414 SHG655414:SHH655414 SRC655414:SRD655414 TAY655414:TAZ655414 TKU655414:TKV655414 TUQ655414:TUR655414 UEM655414:UEN655414 UOI655414:UOJ655414 UYE655414:UYF655414 VIA655414:VIB655414 VRW655414:VRX655414 WBS655414:WBT655414 WLO655414:WLP655414 WVK655414:WVL655414 C720950:D720950 IY720950:IZ720950 SU720950:SV720950 ACQ720950:ACR720950 AMM720950:AMN720950 AWI720950:AWJ720950 BGE720950:BGF720950 BQA720950:BQB720950 BZW720950:BZX720950 CJS720950:CJT720950 CTO720950:CTP720950 DDK720950:DDL720950 DNG720950:DNH720950 DXC720950:DXD720950 EGY720950:EGZ720950 EQU720950:EQV720950 FAQ720950:FAR720950 FKM720950:FKN720950 FUI720950:FUJ720950 GEE720950:GEF720950 GOA720950:GOB720950 GXW720950:GXX720950 HHS720950:HHT720950 HRO720950:HRP720950 IBK720950:IBL720950 ILG720950:ILH720950 IVC720950:IVD720950 JEY720950:JEZ720950 JOU720950:JOV720950 JYQ720950:JYR720950 KIM720950:KIN720950 KSI720950:KSJ720950 LCE720950:LCF720950 LMA720950:LMB720950 LVW720950:LVX720950 MFS720950:MFT720950 MPO720950:MPP720950 MZK720950:MZL720950 NJG720950:NJH720950 NTC720950:NTD720950 OCY720950:OCZ720950 OMU720950:OMV720950 OWQ720950:OWR720950 PGM720950:PGN720950 PQI720950:PQJ720950 QAE720950:QAF720950 QKA720950:QKB720950 QTW720950:QTX720950 RDS720950:RDT720950 RNO720950:RNP720950 RXK720950:RXL720950 SHG720950:SHH720950 SRC720950:SRD720950 TAY720950:TAZ720950 TKU720950:TKV720950 TUQ720950:TUR720950 UEM720950:UEN720950 UOI720950:UOJ720950 UYE720950:UYF720950 VIA720950:VIB720950 VRW720950:VRX720950 WBS720950:WBT720950 WLO720950:WLP720950 WVK720950:WVL720950 C786486:D786486 IY786486:IZ786486 SU786486:SV786486 ACQ786486:ACR786486 AMM786486:AMN786486 AWI786486:AWJ786486 BGE786486:BGF786486 BQA786486:BQB786486 BZW786486:BZX786486 CJS786486:CJT786486 CTO786486:CTP786486 DDK786486:DDL786486 DNG786486:DNH786486 DXC786486:DXD786486 EGY786486:EGZ786486 EQU786486:EQV786486 FAQ786486:FAR786486 FKM786486:FKN786486 FUI786486:FUJ786486 GEE786486:GEF786486 GOA786486:GOB786486 GXW786486:GXX786486 HHS786486:HHT786486 HRO786486:HRP786486 IBK786486:IBL786486 ILG786486:ILH786486 IVC786486:IVD786486 JEY786486:JEZ786486 JOU786486:JOV786486 JYQ786486:JYR786486 KIM786486:KIN786486 KSI786486:KSJ786486 LCE786486:LCF786486 LMA786486:LMB786486 LVW786486:LVX786486 MFS786486:MFT786486 MPO786486:MPP786486 MZK786486:MZL786486 NJG786486:NJH786486 NTC786486:NTD786486 OCY786486:OCZ786486 OMU786486:OMV786486 OWQ786486:OWR786486 PGM786486:PGN786486 PQI786486:PQJ786486 QAE786486:QAF786486 QKA786486:QKB786486 QTW786486:QTX786486 RDS786486:RDT786486 RNO786486:RNP786486 RXK786486:RXL786486 SHG786486:SHH786486 SRC786486:SRD786486 TAY786486:TAZ786486 TKU786486:TKV786486 TUQ786486:TUR786486 UEM786486:UEN786486 UOI786486:UOJ786486 UYE786486:UYF786486 VIA786486:VIB786486 VRW786486:VRX786486 WBS786486:WBT786486 WLO786486:WLP786486 WVK786486:WVL786486 C852022:D852022 IY852022:IZ852022 SU852022:SV852022 ACQ852022:ACR852022 AMM852022:AMN852022 AWI852022:AWJ852022 BGE852022:BGF852022 BQA852022:BQB852022 BZW852022:BZX852022 CJS852022:CJT852022 CTO852022:CTP852022 DDK852022:DDL852022 DNG852022:DNH852022 DXC852022:DXD852022 EGY852022:EGZ852022 EQU852022:EQV852022 FAQ852022:FAR852022 FKM852022:FKN852022 FUI852022:FUJ852022 GEE852022:GEF852022 GOA852022:GOB852022 GXW852022:GXX852022 HHS852022:HHT852022 HRO852022:HRP852022 IBK852022:IBL852022 ILG852022:ILH852022 IVC852022:IVD852022 JEY852022:JEZ852022 JOU852022:JOV852022 JYQ852022:JYR852022 KIM852022:KIN852022 KSI852022:KSJ852022 LCE852022:LCF852022 LMA852022:LMB852022 LVW852022:LVX852022 MFS852022:MFT852022 MPO852022:MPP852022 MZK852022:MZL852022 NJG852022:NJH852022 NTC852022:NTD852022 OCY852022:OCZ852022 OMU852022:OMV852022 OWQ852022:OWR852022 PGM852022:PGN852022 PQI852022:PQJ852022 QAE852022:QAF852022 QKA852022:QKB852022 QTW852022:QTX852022 RDS852022:RDT852022 RNO852022:RNP852022 RXK852022:RXL852022 SHG852022:SHH852022 SRC852022:SRD852022 TAY852022:TAZ852022 TKU852022:TKV852022 TUQ852022:TUR852022 UEM852022:UEN852022 UOI852022:UOJ852022 UYE852022:UYF852022 VIA852022:VIB852022 VRW852022:VRX852022 WBS852022:WBT852022 WLO852022:WLP852022 WVK852022:WVL852022 C917558:D917558 IY917558:IZ917558 SU917558:SV917558 ACQ917558:ACR917558 AMM917558:AMN917558 AWI917558:AWJ917558 BGE917558:BGF917558 BQA917558:BQB917558 BZW917558:BZX917558 CJS917558:CJT917558 CTO917558:CTP917558 DDK917558:DDL917558 DNG917558:DNH917558 DXC917558:DXD917558 EGY917558:EGZ917558 EQU917558:EQV917558 FAQ917558:FAR917558 FKM917558:FKN917558 FUI917558:FUJ917558 GEE917558:GEF917558 GOA917558:GOB917558 GXW917558:GXX917558 HHS917558:HHT917558 HRO917558:HRP917558 IBK917558:IBL917558 ILG917558:ILH917558 IVC917558:IVD917558 JEY917558:JEZ917558 JOU917558:JOV917558 JYQ917558:JYR917558 KIM917558:KIN917558 KSI917558:KSJ917558 LCE917558:LCF917558 LMA917558:LMB917558 LVW917558:LVX917558 MFS917558:MFT917558 MPO917558:MPP917558 MZK917558:MZL917558 NJG917558:NJH917558 NTC917558:NTD917558 OCY917558:OCZ917558 OMU917558:OMV917558 OWQ917558:OWR917558 PGM917558:PGN917558 PQI917558:PQJ917558 QAE917558:QAF917558 QKA917558:QKB917558 QTW917558:QTX917558 RDS917558:RDT917558 RNO917558:RNP917558 RXK917558:RXL917558 SHG917558:SHH917558 SRC917558:SRD917558 TAY917558:TAZ917558 TKU917558:TKV917558 TUQ917558:TUR917558 UEM917558:UEN917558 UOI917558:UOJ917558 UYE917558:UYF917558 VIA917558:VIB917558 VRW917558:VRX917558 WBS917558:WBT917558 WLO917558:WLP917558 WVK917558:WVL917558 C983094:D983094 IY983094:IZ983094 SU983094:SV983094 ACQ983094:ACR983094 AMM983094:AMN983094 AWI983094:AWJ983094 BGE983094:BGF983094 BQA983094:BQB983094 BZW983094:BZX983094 CJS983094:CJT983094 CTO983094:CTP983094 DDK983094:DDL983094 DNG983094:DNH983094 DXC983094:DXD983094 EGY983094:EGZ983094 EQU983094:EQV983094 FAQ983094:FAR983094 FKM983094:FKN983094 FUI983094:FUJ983094 GEE983094:GEF983094 GOA983094:GOB983094 GXW983094:GXX983094 HHS983094:HHT983094 HRO983094:HRP983094 IBK983094:IBL983094 ILG983094:ILH983094 IVC983094:IVD983094 JEY983094:JEZ983094 JOU983094:JOV983094 JYQ983094:JYR983094 KIM983094:KIN983094 KSI983094:KSJ983094 LCE983094:LCF983094 LMA983094:LMB983094 LVW983094:LVX983094 MFS983094:MFT983094 MPO983094:MPP983094 MZK983094:MZL983094 NJG983094:NJH983094 NTC983094:NTD983094 OCY983094:OCZ983094 OMU983094:OMV983094 OWQ983094:OWR983094 PGM983094:PGN983094 PQI983094:PQJ983094 QAE983094:QAF983094 QKA983094:QKB983094 QTW983094:QTX983094 RDS983094:RDT983094 RNO983094:RNP983094 RXK983094:RXL983094 SHG983094:SHH983094 SRC983094:SRD983094 TAY983094:TAZ983094 TKU983094:TKV983094 TUQ983094:TUR983094 UEM983094:UEN983094 UOI983094:UOJ983094 UYE983094:UYF983094 VIA983094:VIB983094 VRW983094:VRX983094 WBS983094:WBT983094 WLO983094:WLP983094 D131" xr:uid="{9EF5D9F9-AC50-4389-974C-A01FFDAB1C12}">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9" max="21" man="1"/>
    <brk id="129" max="21"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AA6A-2D91-4056-976B-DDDEB3A21738}">
  <sheetPr codeName="Sheet63">
    <tabColor rgb="FF00B050"/>
  </sheetPr>
  <dimension ref="A1:AC884"/>
  <sheetViews>
    <sheetView showZeros="0" view="pageBreakPreview" zoomScaleNormal="100" zoomScaleSheetLayoutView="100" workbookViewId="0">
      <selection activeCell="A315" sqref="A315:C318"/>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22.2"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Title!A5</f>
        <v>Prep. By</v>
      </c>
      <c r="B5" s="943"/>
      <c r="C5" s="25" t="str">
        <f>Title!C5</f>
        <v>AP</v>
      </c>
      <c r="D5" s="880" t="str">
        <f>Title!D5</f>
        <v>Checked By</v>
      </c>
      <c r="E5" s="881"/>
      <c r="F5" s="943"/>
      <c r="G5" s="25" t="str">
        <f>Title!G5</f>
        <v>RB</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963</v>
      </c>
      <c r="C7" s="782"/>
      <c r="D7" s="781" t="s">
        <v>385</v>
      </c>
      <c r="E7" s="782"/>
      <c r="F7" s="186"/>
      <c r="H7" s="684" t="s">
        <v>594</v>
      </c>
      <c r="I7" s="689"/>
      <c r="J7" s="689"/>
      <c r="K7" s="689"/>
      <c r="L7" s="689"/>
      <c r="M7" s="689"/>
      <c r="N7" s="689"/>
      <c r="P7" s="186"/>
      <c r="S7" s="187" t="s">
        <v>387</v>
      </c>
      <c r="T7" s="781" t="s">
        <v>595</v>
      </c>
      <c r="U7" s="782"/>
      <c r="V7" s="185"/>
      <c r="W7" s="30" t="s">
        <v>596</v>
      </c>
    </row>
    <row r="8" spans="1:29" ht="18" customHeight="1">
      <c r="A8" s="184"/>
      <c r="B8" s="1228"/>
      <c r="C8" s="1228"/>
      <c r="D8" s="1228"/>
      <c r="E8" s="1228"/>
      <c r="F8" s="186"/>
      <c r="T8" s="781"/>
      <c r="U8" s="782"/>
      <c r="V8" s="185"/>
      <c r="W8" s="30" t="s">
        <v>597</v>
      </c>
    </row>
    <row r="9" spans="1:29" ht="18" customHeight="1">
      <c r="A9" s="184"/>
      <c r="H9" s="789" t="s">
        <v>390</v>
      </c>
      <c r="I9" s="789"/>
      <c r="J9" s="790" t="s">
        <v>391</v>
      </c>
      <c r="K9" s="790"/>
      <c r="L9" s="790" t="s">
        <v>392</v>
      </c>
      <c r="M9" s="790"/>
      <c r="T9" s="781"/>
      <c r="U9" s="782"/>
      <c r="V9" s="185"/>
      <c r="W9" s="30" t="s">
        <v>598</v>
      </c>
    </row>
    <row r="10" spans="1:29" ht="18" customHeight="1">
      <c r="A10" s="184"/>
      <c r="B10" s="47" t="s">
        <v>393</v>
      </c>
      <c r="H10" s="791">
        <v>2500</v>
      </c>
      <c r="I10" s="792"/>
      <c r="J10" s="781" t="s">
        <v>6</v>
      </c>
      <c r="K10" s="782"/>
      <c r="L10" s="781" t="s">
        <v>6</v>
      </c>
      <c r="M10" s="782"/>
      <c r="N10" s="191" t="s">
        <v>342</v>
      </c>
      <c r="O10" s="125">
        <v>1</v>
      </c>
      <c r="P10" s="27" t="s">
        <v>8</v>
      </c>
      <c r="V10" s="185"/>
    </row>
    <row r="11" spans="1:29" ht="18" customHeight="1">
      <c r="A11" s="184"/>
      <c r="B11" s="47" t="s">
        <v>394</v>
      </c>
      <c r="H11" s="781" t="s">
        <v>395</v>
      </c>
      <c r="I11" s="782"/>
      <c r="V11" s="185"/>
    </row>
    <row r="12" spans="1:29" ht="18" customHeight="1">
      <c r="A12" s="184"/>
      <c r="B12" s="47" t="s">
        <v>396</v>
      </c>
      <c r="G12" s="120" t="s">
        <v>397</v>
      </c>
      <c r="H12" s="781">
        <v>5</v>
      </c>
      <c r="I12" s="782"/>
      <c r="J12" s="192" t="s">
        <v>333</v>
      </c>
      <c r="M12" s="14"/>
      <c r="V12" s="185"/>
    </row>
    <row r="13" spans="1:29" ht="18" customHeight="1">
      <c r="A13" s="184"/>
      <c r="B13" s="47" t="s">
        <v>398</v>
      </c>
      <c r="G13" s="120" t="s">
        <v>498</v>
      </c>
      <c r="H13" s="781">
        <v>400</v>
      </c>
      <c r="I13" s="782"/>
      <c r="J13" s="14" t="s">
        <v>305</v>
      </c>
      <c r="V13" s="185"/>
      <c r="W13" s="30" t="s">
        <v>400</v>
      </c>
      <c r="AB13" s="785">
        <f>Q109</f>
        <v>26.061693226747305</v>
      </c>
      <c r="AC13" s="786"/>
    </row>
    <row r="14" spans="1:29" ht="18" customHeight="1">
      <c r="A14" s="184"/>
      <c r="B14" s="14" t="s">
        <v>401</v>
      </c>
      <c r="G14" s="120" t="s">
        <v>402</v>
      </c>
      <c r="H14" s="781">
        <v>20</v>
      </c>
      <c r="I14" s="782"/>
      <c r="J14" s="14" t="s">
        <v>403</v>
      </c>
      <c r="M14" s="14"/>
      <c r="V14" s="185"/>
    </row>
    <row r="15" spans="1:29" ht="18" customHeight="1">
      <c r="A15" s="184"/>
      <c r="B15" s="14"/>
      <c r="V15" s="185"/>
    </row>
    <row r="16" spans="1:29" ht="18" customHeight="1">
      <c r="A16" s="193" t="s">
        <v>404</v>
      </c>
      <c r="V16" s="185"/>
    </row>
    <row r="17" spans="1:22" ht="18" customHeight="1">
      <c r="A17" s="184"/>
      <c r="V17" s="185"/>
    </row>
    <row r="18" spans="1:22" ht="18" customHeight="1">
      <c r="A18" s="184"/>
      <c r="B18" s="194" t="s">
        <v>405</v>
      </c>
      <c r="C18" s="195"/>
      <c r="D18" s="195" t="str">
        <f>T7</f>
        <v>RET670</v>
      </c>
      <c r="E18" s="196"/>
      <c r="F18" s="196"/>
      <c r="G18" s="196"/>
      <c r="H18" s="182" t="s">
        <v>406</v>
      </c>
      <c r="I18" s="183" t="s">
        <v>127</v>
      </c>
      <c r="J18" s="1193">
        <f>'CT-VT Burdens'!Q104</f>
        <v>0.02</v>
      </c>
      <c r="K18" s="1105"/>
      <c r="L18" s="3" t="s">
        <v>157</v>
      </c>
      <c r="N18" s="197" t="s">
        <v>407</v>
      </c>
      <c r="V18" s="185"/>
    </row>
    <row r="19" spans="1:22" ht="18" customHeight="1">
      <c r="A19" s="184"/>
      <c r="B19" s="96" t="s">
        <v>405</v>
      </c>
      <c r="D19" s="30">
        <f>T8</f>
        <v>0</v>
      </c>
      <c r="H19" s="27"/>
      <c r="I19" s="177" t="s">
        <v>127</v>
      </c>
      <c r="J19" s="1194"/>
      <c r="K19" s="1107"/>
      <c r="L19" s="198" t="s">
        <v>157</v>
      </c>
      <c r="V19" s="185"/>
    </row>
    <row r="20" spans="1:22" ht="18" customHeight="1">
      <c r="A20" s="184"/>
      <c r="B20" s="96" t="s">
        <v>405</v>
      </c>
      <c r="D20" s="30">
        <f>T9</f>
        <v>0</v>
      </c>
      <c r="E20" s="14"/>
      <c r="G20" s="199"/>
      <c r="H20" s="27"/>
      <c r="I20" s="177" t="s">
        <v>127</v>
      </c>
      <c r="J20" s="1108"/>
      <c r="K20" s="788"/>
      <c r="L20" s="202" t="s">
        <v>157</v>
      </c>
      <c r="N20" s="27" t="s">
        <v>408</v>
      </c>
      <c r="O20" s="27" t="s">
        <v>127</v>
      </c>
      <c r="P20" s="27" t="s">
        <v>409</v>
      </c>
      <c r="Q20" s="191" t="s">
        <v>410</v>
      </c>
      <c r="R20" s="27" t="s">
        <v>411</v>
      </c>
      <c r="S20" s="27" t="s">
        <v>315</v>
      </c>
      <c r="T20" s="27" t="s">
        <v>411</v>
      </c>
      <c r="U20" s="30" t="s">
        <v>350</v>
      </c>
      <c r="V20" s="185"/>
    </row>
    <row r="21" spans="1:22" ht="18" customHeight="1">
      <c r="A21" s="184"/>
      <c r="B21" s="184" t="s">
        <v>412</v>
      </c>
      <c r="H21" s="27" t="s">
        <v>599</v>
      </c>
      <c r="I21" s="177" t="s">
        <v>127</v>
      </c>
      <c r="J21" s="793">
        <f>'CT-VT Burdens'!S30</f>
        <v>1.1667743100000001</v>
      </c>
      <c r="K21" s="1156"/>
      <c r="L21" s="203" t="s">
        <v>157</v>
      </c>
      <c r="O21" s="27" t="s">
        <v>127</v>
      </c>
      <c r="P21" s="204">
        <f>J22</f>
        <v>1.1867743100000001</v>
      </c>
      <c r="Q21" s="191" t="s">
        <v>410</v>
      </c>
      <c r="R21" s="27">
        <f>O10</f>
        <v>1</v>
      </c>
      <c r="S21" s="27" t="s">
        <v>315</v>
      </c>
      <c r="T21" s="27">
        <f>O10</f>
        <v>1</v>
      </c>
      <c r="U21" s="30" t="s">
        <v>350</v>
      </c>
      <c r="V21" s="185"/>
    </row>
    <row r="22" spans="1:22" ht="18" customHeight="1">
      <c r="A22" s="184"/>
      <c r="B22" s="205" t="s">
        <v>413</v>
      </c>
      <c r="C22" s="206"/>
      <c r="D22" s="206"/>
      <c r="E22" s="206"/>
      <c r="F22" s="207"/>
      <c r="G22" s="207"/>
      <c r="H22" s="190" t="s">
        <v>409</v>
      </c>
      <c r="I22" s="208" t="s">
        <v>127</v>
      </c>
      <c r="J22" s="766">
        <f>J18+J21</f>
        <v>1.1867743100000001</v>
      </c>
      <c r="K22" s="958"/>
      <c r="L22" s="210" t="s">
        <v>157</v>
      </c>
      <c r="O22" s="27" t="s">
        <v>127</v>
      </c>
      <c r="P22" s="795">
        <f>P21/(R21*T21)</f>
        <v>1.1867743100000001</v>
      </c>
      <c r="Q22" s="795"/>
      <c r="R22" s="192" t="s">
        <v>333</v>
      </c>
      <c r="V22" s="185"/>
    </row>
    <row r="23" spans="1:22" ht="18" customHeight="1">
      <c r="A23" s="184"/>
      <c r="V23" s="185"/>
    </row>
    <row r="24" spans="1:22" s="14" customFormat="1" ht="18" customHeight="1">
      <c r="A24" s="193" t="s">
        <v>600</v>
      </c>
      <c r="B24" s="5"/>
      <c r="C24" s="5"/>
      <c r="D24" s="5"/>
      <c r="E24" s="5"/>
      <c r="F24" s="5"/>
      <c r="G24" s="5"/>
      <c r="H24" s="212"/>
      <c r="I24" s="212"/>
      <c r="J24" s="5"/>
      <c r="K24" s="5"/>
      <c r="L24" s="5"/>
      <c r="M24" s="5"/>
      <c r="N24" s="5"/>
      <c r="O24" s="5"/>
      <c r="P24" s="103"/>
      <c r="Q24" s="212"/>
      <c r="R24" s="213"/>
      <c r="S24" s="214"/>
      <c r="T24" s="18"/>
      <c r="U24" s="18"/>
      <c r="V24" s="97"/>
    </row>
    <row r="25" spans="1:22" s="14" customFormat="1" ht="18" customHeight="1">
      <c r="A25" s="96"/>
      <c r="B25" s="47" t="s">
        <v>601</v>
      </c>
      <c r="C25" s="5"/>
      <c r="D25" s="5"/>
      <c r="E25" s="5"/>
      <c r="I25" s="215"/>
      <c r="M25" s="5"/>
      <c r="O25" s="103" t="s">
        <v>127</v>
      </c>
      <c r="P25" s="743">
        <v>100</v>
      </c>
      <c r="Q25" s="1303"/>
      <c r="R25" s="14" t="s">
        <v>602</v>
      </c>
      <c r="S25" s="214"/>
      <c r="T25" s="18"/>
      <c r="U25" s="18"/>
      <c r="V25" s="97"/>
    </row>
    <row r="26" spans="1:22" s="14" customFormat="1" ht="18" customHeight="1">
      <c r="A26" s="96"/>
      <c r="B26" s="47" t="s">
        <v>603</v>
      </c>
      <c r="C26" s="5"/>
      <c r="D26" s="5"/>
      <c r="E26" s="5"/>
      <c r="I26" s="215"/>
      <c r="M26" s="5"/>
      <c r="O26" s="103" t="s">
        <v>127</v>
      </c>
      <c r="P26" s="743">
        <v>25</v>
      </c>
      <c r="Q26" s="1303"/>
      <c r="R26" s="14" t="s">
        <v>604</v>
      </c>
      <c r="S26" s="214"/>
      <c r="T26" s="18"/>
      <c r="V26" s="97"/>
    </row>
    <row r="27" spans="1:22" s="14" customFormat="1" ht="18" customHeight="1">
      <c r="A27" s="96"/>
      <c r="B27" s="47" t="s">
        <v>605</v>
      </c>
      <c r="C27" s="5"/>
      <c r="D27" s="5"/>
      <c r="E27" s="5"/>
      <c r="N27" s="120" t="s">
        <v>606</v>
      </c>
      <c r="O27" s="103" t="s">
        <v>607</v>
      </c>
      <c r="P27" s="854">
        <v>132</v>
      </c>
      <c r="Q27" s="1270"/>
      <c r="R27" s="14" t="s">
        <v>163</v>
      </c>
      <c r="S27" s="214"/>
      <c r="T27" s="18"/>
      <c r="U27" s="18"/>
      <c r="V27" s="97"/>
    </row>
    <row r="28" spans="1:22" s="14" customFormat="1" ht="18" customHeight="1">
      <c r="A28" s="216"/>
      <c r="B28" s="212"/>
      <c r="C28" s="212"/>
      <c r="D28" s="212"/>
      <c r="E28" s="212"/>
      <c r="T28" s="18"/>
      <c r="U28" s="18"/>
      <c r="V28" s="97"/>
    </row>
    <row r="29" spans="1:22" s="14" customFormat="1" ht="18" customHeight="1">
      <c r="A29" s="96"/>
      <c r="B29" s="14" t="s">
        <v>608</v>
      </c>
      <c r="C29" s="213"/>
      <c r="D29" s="213"/>
      <c r="E29" s="213"/>
      <c r="H29" s="120" t="s">
        <v>609</v>
      </c>
      <c r="I29" s="28" t="s">
        <v>127</v>
      </c>
      <c r="J29" s="689" t="s">
        <v>610</v>
      </c>
      <c r="K29" s="689"/>
      <c r="L29" s="28" t="s">
        <v>315</v>
      </c>
      <c r="M29" s="217">
        <v>1000</v>
      </c>
      <c r="N29" s="102" t="s">
        <v>342</v>
      </c>
      <c r="O29" s="28" t="s">
        <v>611</v>
      </c>
      <c r="P29" s="28" t="s">
        <v>315</v>
      </c>
      <c r="Q29" s="28" t="s">
        <v>606</v>
      </c>
      <c r="R29" s="47"/>
      <c r="T29" s="18"/>
      <c r="U29" s="18"/>
      <c r="V29" s="97"/>
    </row>
    <row r="30" spans="1:22" s="14" customFormat="1" ht="18" customHeight="1">
      <c r="A30" s="216"/>
      <c r="B30" s="213"/>
      <c r="C30" s="213"/>
      <c r="D30" s="213"/>
      <c r="E30" s="213"/>
      <c r="F30" s="212"/>
      <c r="G30" s="212"/>
      <c r="H30" s="28"/>
      <c r="I30" s="28" t="s">
        <v>127</v>
      </c>
      <c r="J30" s="689">
        <f>P25</f>
        <v>100</v>
      </c>
      <c r="K30" s="689"/>
      <c r="L30" s="28" t="s">
        <v>315</v>
      </c>
      <c r="M30" s="217">
        <v>1000</v>
      </c>
      <c r="N30" s="102" t="s">
        <v>342</v>
      </c>
      <c r="O30" s="28" t="s">
        <v>611</v>
      </c>
      <c r="P30" s="28" t="s">
        <v>315</v>
      </c>
      <c r="Q30" s="28">
        <f>P27</f>
        <v>132</v>
      </c>
      <c r="R30" s="47"/>
      <c r="T30" s="18"/>
      <c r="U30" s="18"/>
      <c r="V30" s="97"/>
    </row>
    <row r="31" spans="1:22" s="14" customFormat="1" ht="18" customHeight="1">
      <c r="A31" s="216"/>
      <c r="B31" s="212"/>
      <c r="C31" s="212"/>
      <c r="D31" s="212"/>
      <c r="E31" s="212"/>
      <c r="F31" s="212"/>
      <c r="G31" s="212"/>
      <c r="I31" s="28" t="s">
        <v>127</v>
      </c>
      <c r="J31" s="692">
        <f>(P25*1000)/(SQRT(3)*P27)</f>
        <v>437.38656756789834</v>
      </c>
      <c r="K31" s="692"/>
      <c r="L31" s="14" t="s">
        <v>8</v>
      </c>
      <c r="M31" s="120"/>
      <c r="N31" s="120"/>
      <c r="O31" s="120"/>
      <c r="T31" s="18"/>
      <c r="U31" s="18"/>
      <c r="V31" s="97"/>
    </row>
    <row r="32" spans="1:22" s="14" customFormat="1" ht="18" customHeight="1">
      <c r="A32" s="216"/>
      <c r="B32" s="212"/>
      <c r="C32" s="212"/>
      <c r="D32" s="212"/>
      <c r="E32" s="212"/>
      <c r="G32" s="212"/>
      <c r="H32" s="28"/>
      <c r="I32" s="103"/>
      <c r="J32" s="28"/>
      <c r="M32" s="212"/>
      <c r="N32" s="219"/>
      <c r="O32" s="212"/>
      <c r="T32" s="18"/>
      <c r="U32" s="18"/>
      <c r="V32" s="97"/>
    </row>
    <row r="33" spans="1:25" s="14" customFormat="1" ht="18" customHeight="1">
      <c r="A33" s="147"/>
      <c r="B33" s="5"/>
      <c r="C33" s="5"/>
      <c r="D33" s="5"/>
      <c r="E33" s="5"/>
      <c r="F33" s="212"/>
      <c r="G33" s="212"/>
      <c r="H33" s="5"/>
      <c r="I33" s="5"/>
      <c r="J33" s="5"/>
      <c r="K33" s="5"/>
      <c r="L33" s="103"/>
      <c r="M33" s="103"/>
      <c r="N33" s="103"/>
      <c r="O33" s="103"/>
      <c r="P33" s="212"/>
      <c r="Q33" s="213"/>
      <c r="U33" s="18"/>
      <c r="V33" s="97"/>
    </row>
    <row r="34" spans="1:25" s="14" customFormat="1" ht="18" customHeight="1">
      <c r="A34" s="147"/>
      <c r="B34" s="5"/>
      <c r="C34" s="5"/>
      <c r="D34" s="5"/>
      <c r="E34" s="5"/>
      <c r="F34" s="212"/>
      <c r="G34" s="212"/>
      <c r="H34" s="5"/>
      <c r="I34" s="5"/>
      <c r="J34" s="5"/>
      <c r="K34" s="5"/>
      <c r="L34" s="103"/>
      <c r="M34" s="103"/>
      <c r="N34" s="103"/>
      <c r="O34" s="103"/>
      <c r="P34" s="212"/>
      <c r="Q34" s="213"/>
      <c r="S34" s="214"/>
      <c r="T34" s="18"/>
      <c r="U34" s="18"/>
      <c r="V34" s="97"/>
    </row>
    <row r="35" spans="1:25" ht="18" customHeight="1">
      <c r="A35" s="184"/>
      <c r="B35" s="14" t="s">
        <v>612</v>
      </c>
      <c r="C35" s="14"/>
      <c r="D35" s="14"/>
      <c r="E35" s="14"/>
      <c r="M35" s="28" t="s">
        <v>613</v>
      </c>
      <c r="N35" s="28" t="s">
        <v>127</v>
      </c>
      <c r="O35" s="689" t="s">
        <v>609</v>
      </c>
      <c r="P35" s="689"/>
      <c r="Q35" s="245" t="s">
        <v>342</v>
      </c>
      <c r="R35" s="805" t="str">
        <f>B26</f>
        <v>Percentage Impedance</v>
      </c>
      <c r="S35" s="805"/>
      <c r="T35" s="805"/>
      <c r="U35" s="805"/>
      <c r="V35" s="968"/>
    </row>
    <row r="36" spans="1:25" ht="18" customHeight="1">
      <c r="A36" s="96"/>
      <c r="B36" s="5"/>
      <c r="C36" s="5"/>
      <c r="D36" s="5"/>
      <c r="E36" s="5"/>
      <c r="M36" s="102"/>
      <c r="N36" s="28" t="s">
        <v>127</v>
      </c>
      <c r="O36" s="692">
        <f>+J31</f>
        <v>437.38656756789834</v>
      </c>
      <c r="P36" s="692"/>
      <c r="Q36" s="245" t="s">
        <v>342</v>
      </c>
      <c r="R36" s="221">
        <f>P26%</f>
        <v>0.25</v>
      </c>
      <c r="S36" s="214"/>
      <c r="V36" s="185"/>
    </row>
    <row r="37" spans="1:25" ht="18" customHeight="1">
      <c r="A37" s="96"/>
      <c r="B37" s="5"/>
      <c r="C37" s="5"/>
      <c r="D37" s="5"/>
      <c r="E37" s="5"/>
      <c r="M37" s="28" t="s">
        <v>613</v>
      </c>
      <c r="N37" s="28" t="s">
        <v>127</v>
      </c>
      <c r="O37" s="692">
        <f>O36/R36</f>
        <v>1749.5462702715934</v>
      </c>
      <c r="P37" s="692"/>
      <c r="Q37" s="222" t="s">
        <v>8</v>
      </c>
      <c r="R37" s="28"/>
      <c r="S37" s="214"/>
      <c r="V37" s="185"/>
    </row>
    <row r="38" spans="1:25" ht="18" customHeight="1">
      <c r="A38" s="96"/>
      <c r="B38" s="5"/>
      <c r="C38" s="5"/>
      <c r="D38" s="5"/>
      <c r="E38" s="5"/>
      <c r="M38" s="212"/>
      <c r="N38" s="212"/>
      <c r="O38" s="103"/>
      <c r="Q38" s="223"/>
      <c r="R38" s="14"/>
      <c r="S38" s="214"/>
      <c r="V38" s="185"/>
    </row>
    <row r="39" spans="1:25" ht="18" customHeight="1">
      <c r="A39" s="1206" t="s">
        <v>614</v>
      </c>
      <c r="B39" s="1255"/>
      <c r="C39" s="1255"/>
      <c r="D39" s="1255"/>
      <c r="E39" s="1255"/>
      <c r="F39" s="1255"/>
      <c r="G39" s="1255"/>
      <c r="H39" s="1255"/>
      <c r="I39" s="1255"/>
      <c r="J39" s="1255"/>
      <c r="K39" s="1255"/>
      <c r="L39" s="1255"/>
      <c r="M39" s="1255"/>
      <c r="N39" s="1255"/>
      <c r="O39" s="1255"/>
      <c r="P39" s="1255"/>
      <c r="Q39" s="1255"/>
      <c r="R39" s="1255"/>
      <c r="S39" s="1255"/>
      <c r="T39" s="1255"/>
      <c r="U39" s="1255"/>
      <c r="V39" s="1256"/>
    </row>
    <row r="40" spans="1:25" ht="18" customHeight="1">
      <c r="A40" s="1206"/>
      <c r="B40" s="1255"/>
      <c r="C40" s="1255"/>
      <c r="D40" s="1255"/>
      <c r="E40" s="1255"/>
      <c r="F40" s="1255"/>
      <c r="G40" s="1255"/>
      <c r="H40" s="1255"/>
      <c r="I40" s="1255"/>
      <c r="J40" s="1255"/>
      <c r="K40" s="1255"/>
      <c r="L40" s="1255"/>
      <c r="M40" s="1255"/>
      <c r="N40" s="1255"/>
      <c r="O40" s="1255"/>
      <c r="P40" s="1255"/>
      <c r="Q40" s="1255"/>
      <c r="R40" s="1255"/>
      <c r="S40" s="1255"/>
      <c r="T40" s="1255"/>
      <c r="U40" s="1255"/>
      <c r="V40" s="1256"/>
      <c r="Y40" s="14" t="s">
        <v>615</v>
      </c>
    </row>
    <row r="41" spans="1:25" ht="18" customHeight="1">
      <c r="A41" s="96"/>
      <c r="B41" s="5"/>
      <c r="C41" s="5"/>
      <c r="D41" s="5"/>
      <c r="E41" s="5"/>
      <c r="M41" s="212"/>
      <c r="N41" s="212"/>
      <c r="O41" s="103"/>
      <c r="Q41" s="223"/>
      <c r="R41" s="14"/>
      <c r="S41" s="214"/>
      <c r="V41" s="185"/>
    </row>
    <row r="42" spans="1:25" ht="18" customHeight="1">
      <c r="A42" s="96"/>
      <c r="B42" s="5"/>
      <c r="C42" s="5"/>
      <c r="D42" s="5"/>
      <c r="E42" s="5"/>
      <c r="M42" s="212"/>
      <c r="N42" s="212"/>
      <c r="O42" s="103"/>
      <c r="Q42" s="223"/>
      <c r="R42" s="14"/>
      <c r="S42" s="214"/>
      <c r="V42" s="185"/>
    </row>
    <row r="43" spans="1:25" ht="18" customHeight="1">
      <c r="A43" s="184"/>
      <c r="V43" s="185"/>
    </row>
    <row r="44" spans="1:25" ht="18" customHeight="1">
      <c r="A44" s="184"/>
      <c r="I44" s="14"/>
      <c r="J44" s="14"/>
      <c r="V44" s="185"/>
    </row>
    <row r="45" spans="1:25"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799" t="s">
        <v>417</v>
      </c>
      <c r="B47" s="802"/>
      <c r="C47" s="802"/>
      <c r="D47" s="689">
        <v>30</v>
      </c>
      <c r="E47" s="689" t="s">
        <v>315</v>
      </c>
      <c r="F47" s="689" t="s">
        <v>609</v>
      </c>
      <c r="G47" s="684"/>
      <c r="H47" s="689" t="s">
        <v>315</v>
      </c>
      <c r="I47" s="708" t="s">
        <v>411</v>
      </c>
      <c r="J47" s="828"/>
      <c r="K47" s="689" t="s">
        <v>315</v>
      </c>
      <c r="L47" s="802" t="s">
        <v>419</v>
      </c>
      <c r="M47" s="716" t="s">
        <v>420</v>
      </c>
      <c r="N47" s="729" t="s">
        <v>347</v>
      </c>
      <c r="O47" s="716" t="s">
        <v>408</v>
      </c>
      <c r="P47" s="689" t="s">
        <v>347</v>
      </c>
      <c r="Q47" s="759" t="s">
        <v>421</v>
      </c>
      <c r="R47" s="797"/>
      <c r="S47" s="797"/>
      <c r="T47" s="798" t="s">
        <v>350</v>
      </c>
      <c r="U47" s="230" t="s">
        <v>422</v>
      </c>
      <c r="V47" s="97"/>
    </row>
    <row r="48" spans="1:25" ht="18" customHeight="1">
      <c r="A48" s="827"/>
      <c r="B48" s="802"/>
      <c r="C48" s="802"/>
      <c r="D48" s="689"/>
      <c r="E48" s="689"/>
      <c r="F48" s="684"/>
      <c r="G48" s="684"/>
      <c r="H48" s="689"/>
      <c r="I48" s="689" t="s">
        <v>423</v>
      </c>
      <c r="J48" s="723"/>
      <c r="K48" s="689"/>
      <c r="L48" s="802"/>
      <c r="M48" s="716"/>
      <c r="N48" s="729"/>
      <c r="O48" s="716"/>
      <c r="P48" s="689"/>
      <c r="Q48" s="28" t="s">
        <v>146</v>
      </c>
      <c r="R48" s="28" t="s">
        <v>315</v>
      </c>
      <c r="S48" s="28" t="s">
        <v>146</v>
      </c>
      <c r="T48" s="798"/>
      <c r="U48" s="14"/>
      <c r="V48" s="97"/>
    </row>
    <row r="49" spans="1:22" ht="18" customHeight="1">
      <c r="A49" s="184"/>
      <c r="V49" s="185"/>
    </row>
    <row r="50" spans="1:22" ht="18" customHeight="1">
      <c r="A50" s="799" t="s">
        <v>417</v>
      </c>
      <c r="B50" s="802"/>
      <c r="C50" s="802"/>
      <c r="D50" s="689">
        <v>2</v>
      </c>
      <c r="E50" s="689" t="s">
        <v>315</v>
      </c>
      <c r="F50" s="689" t="s">
        <v>613</v>
      </c>
      <c r="G50" s="684"/>
      <c r="H50" s="689" t="s">
        <v>315</v>
      </c>
      <c r="I50" s="708" t="s">
        <v>411</v>
      </c>
      <c r="J50" s="828"/>
      <c r="K50" s="689" t="s">
        <v>315</v>
      </c>
      <c r="L50" s="802" t="s">
        <v>419</v>
      </c>
      <c r="M50" s="716" t="s">
        <v>420</v>
      </c>
      <c r="N50" s="729" t="s">
        <v>347</v>
      </c>
      <c r="O50" s="716" t="s">
        <v>408</v>
      </c>
      <c r="P50" s="689" t="s">
        <v>347</v>
      </c>
      <c r="Q50" s="759" t="s">
        <v>421</v>
      </c>
      <c r="R50" s="797"/>
      <c r="S50" s="797"/>
      <c r="T50" s="798" t="s">
        <v>350</v>
      </c>
      <c r="U50" s="230" t="s">
        <v>426</v>
      </c>
      <c r="V50" s="97"/>
    </row>
    <row r="51" spans="1:22" ht="18" customHeight="1">
      <c r="A51" s="827"/>
      <c r="B51" s="802"/>
      <c r="C51" s="802"/>
      <c r="D51" s="689"/>
      <c r="E51" s="689"/>
      <c r="F51" s="684"/>
      <c r="G51" s="684"/>
      <c r="H51" s="689"/>
      <c r="I51" s="689" t="s">
        <v>423</v>
      </c>
      <c r="J51" s="723"/>
      <c r="K51" s="689"/>
      <c r="L51" s="802"/>
      <c r="M51" s="716"/>
      <c r="N51" s="729"/>
      <c r="O51" s="716"/>
      <c r="P51" s="689"/>
      <c r="Q51" s="28" t="s">
        <v>146</v>
      </c>
      <c r="R51" s="28" t="s">
        <v>315</v>
      </c>
      <c r="S51" s="28" t="s">
        <v>146</v>
      </c>
      <c r="T51" s="798"/>
      <c r="U51" s="14"/>
      <c r="V51" s="97"/>
    </row>
    <row r="52" spans="1:22" ht="18" customHeight="1">
      <c r="A52" s="184"/>
      <c r="V52" s="185"/>
    </row>
    <row r="53" spans="1:22" ht="18" hidden="1" customHeight="1">
      <c r="A53" s="1206" t="s">
        <v>616</v>
      </c>
      <c r="B53" s="1050"/>
      <c r="C53" s="1050"/>
      <c r="D53" s="1050"/>
      <c r="E53" s="1050"/>
      <c r="F53" s="1050"/>
      <c r="G53" s="1050"/>
      <c r="H53" s="1050"/>
      <c r="I53" s="1050"/>
      <c r="J53" s="1050"/>
      <c r="K53" s="1050"/>
      <c r="L53" s="1050"/>
      <c r="M53" s="1050"/>
      <c r="N53" s="1050"/>
      <c r="O53" s="1050"/>
      <c r="P53" s="1050"/>
      <c r="Q53" s="1050"/>
      <c r="R53" s="1050"/>
      <c r="S53" s="1050"/>
      <c r="T53" s="1050"/>
      <c r="U53" s="1050"/>
      <c r="V53" s="1304"/>
    </row>
    <row r="54" spans="1:22" ht="25.95" hidden="1" customHeight="1">
      <c r="A54" s="1305"/>
      <c r="B54" s="1050"/>
      <c r="C54" s="1050"/>
      <c r="D54" s="1050"/>
      <c r="E54" s="1050"/>
      <c r="F54" s="1050"/>
      <c r="G54" s="1050"/>
      <c r="H54" s="1050"/>
      <c r="I54" s="1050"/>
      <c r="J54" s="1050"/>
      <c r="K54" s="1050"/>
      <c r="L54" s="1050"/>
      <c r="M54" s="1050"/>
      <c r="N54" s="1050"/>
      <c r="O54" s="1050"/>
      <c r="P54" s="1050"/>
      <c r="Q54" s="1050"/>
      <c r="R54" s="1050"/>
      <c r="S54" s="1050"/>
      <c r="T54" s="1050"/>
      <c r="U54" s="1050"/>
      <c r="V54" s="1304"/>
    </row>
    <row r="55" spans="1:22" ht="18" hidden="1" customHeight="1">
      <c r="A55" s="231"/>
      <c r="B55" s="232"/>
      <c r="C55" s="232"/>
      <c r="D55" s="232"/>
      <c r="E55" s="232"/>
      <c r="F55" s="232"/>
      <c r="G55" s="232"/>
      <c r="H55" s="232"/>
      <c r="I55" s="232"/>
      <c r="J55" s="232"/>
      <c r="K55" s="232"/>
      <c r="L55" s="232"/>
      <c r="M55" s="232"/>
      <c r="N55" s="232"/>
      <c r="O55" s="232"/>
      <c r="P55" s="232"/>
      <c r="Q55" s="232"/>
      <c r="R55" s="232"/>
      <c r="S55" s="232"/>
      <c r="T55" s="232"/>
      <c r="U55" s="232"/>
      <c r="V55" s="233"/>
    </row>
    <row r="56" spans="1:22" ht="18" hidden="1" customHeight="1">
      <c r="A56" s="1257" t="s">
        <v>417</v>
      </c>
      <c r="B56" s="716"/>
      <c r="C56" s="716"/>
      <c r="D56" s="689"/>
      <c r="E56" s="689"/>
      <c r="F56" s="689" t="s">
        <v>617</v>
      </c>
      <c r="G56" s="684"/>
      <c r="H56" s="689" t="s">
        <v>315</v>
      </c>
      <c r="I56" s="708" t="s">
        <v>411</v>
      </c>
      <c r="J56" s="828"/>
      <c r="K56" s="689" t="s">
        <v>315</v>
      </c>
      <c r="L56" s="802" t="s">
        <v>419</v>
      </c>
      <c r="M56" s="716" t="s">
        <v>420</v>
      </c>
      <c r="N56" s="729" t="s">
        <v>347</v>
      </c>
      <c r="O56" s="716" t="s">
        <v>408</v>
      </c>
      <c r="P56" s="689" t="s">
        <v>347</v>
      </c>
      <c r="Q56" s="759" t="s">
        <v>421</v>
      </c>
      <c r="R56" s="797"/>
      <c r="S56" s="797"/>
      <c r="T56" s="798" t="s">
        <v>350</v>
      </c>
      <c r="U56" s="230" t="s">
        <v>618</v>
      </c>
      <c r="V56" s="97"/>
    </row>
    <row r="57" spans="1:22" ht="18" hidden="1" customHeight="1">
      <c r="A57" s="1140"/>
      <c r="B57" s="716"/>
      <c r="C57" s="716"/>
      <c r="D57" s="689"/>
      <c r="E57" s="689"/>
      <c r="F57" s="684"/>
      <c r="G57" s="684"/>
      <c r="H57" s="689"/>
      <c r="I57" s="689" t="s">
        <v>423</v>
      </c>
      <c r="J57" s="723"/>
      <c r="K57" s="689"/>
      <c r="L57" s="802"/>
      <c r="M57" s="716"/>
      <c r="N57" s="729"/>
      <c r="O57" s="716"/>
      <c r="P57" s="689"/>
      <c r="Q57" s="28" t="s">
        <v>146</v>
      </c>
      <c r="R57" s="28" t="s">
        <v>315</v>
      </c>
      <c r="S57" s="28" t="s">
        <v>146</v>
      </c>
      <c r="T57" s="798"/>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84"/>
      <c r="H59" s="30" t="s">
        <v>619</v>
      </c>
      <c r="M59" s="781" t="s">
        <v>620</v>
      </c>
      <c r="N59" s="782"/>
      <c r="V59" s="185"/>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84"/>
      <c r="B61" s="14" t="s">
        <v>427</v>
      </c>
      <c r="C61" s="14"/>
      <c r="D61" s="103"/>
      <c r="E61" s="103"/>
      <c r="F61" s="14"/>
      <c r="G61" s="14"/>
      <c r="H61" s="5"/>
      <c r="I61" s="5"/>
      <c r="J61" s="5"/>
      <c r="P61" s="120" t="s">
        <v>428</v>
      </c>
      <c r="V61" s="185"/>
    </row>
    <row r="62" spans="1:22" ht="18" customHeight="1">
      <c r="A62" s="184"/>
      <c r="B62" s="14" t="s">
        <v>429</v>
      </c>
      <c r="C62" s="14"/>
      <c r="D62" s="103"/>
      <c r="E62" s="103"/>
      <c r="F62" s="14"/>
      <c r="G62" s="14"/>
      <c r="H62" s="5"/>
      <c r="I62" s="5"/>
      <c r="J62" s="5"/>
      <c r="P62" s="120" t="s">
        <v>430</v>
      </c>
      <c r="Q62" s="234" t="s">
        <v>127</v>
      </c>
      <c r="R62" s="689">
        <f>H10</f>
        <v>2500</v>
      </c>
      <c r="S62" s="689"/>
      <c r="T62" s="14" t="s">
        <v>8</v>
      </c>
      <c r="V62" s="185"/>
    </row>
    <row r="63" spans="1:22" ht="18" customHeight="1">
      <c r="A63" s="184"/>
      <c r="B63" s="14" t="s">
        <v>621</v>
      </c>
      <c r="C63" s="14"/>
      <c r="D63" s="14"/>
      <c r="E63" s="14"/>
      <c r="F63" s="14"/>
      <c r="G63" s="14"/>
      <c r="H63" s="14"/>
      <c r="I63" s="14"/>
      <c r="J63" s="14"/>
      <c r="P63" s="120" t="s">
        <v>609</v>
      </c>
      <c r="Q63" s="234" t="s">
        <v>127</v>
      </c>
      <c r="R63" s="795">
        <f>J31</f>
        <v>437.38656756789834</v>
      </c>
      <c r="S63" s="684"/>
      <c r="T63" s="14" t="s">
        <v>8</v>
      </c>
      <c r="V63" s="185"/>
    </row>
    <row r="64" spans="1:22" ht="18" customHeight="1">
      <c r="A64" s="184"/>
      <c r="B64" s="14" t="s">
        <v>622</v>
      </c>
      <c r="C64" s="14"/>
      <c r="D64" s="14"/>
      <c r="E64" s="14"/>
      <c r="F64" s="14"/>
      <c r="G64" s="14"/>
      <c r="H64" s="14"/>
      <c r="I64" s="14"/>
      <c r="J64" s="14"/>
      <c r="P64" s="120" t="s">
        <v>613</v>
      </c>
      <c r="Q64" s="234" t="s">
        <v>127</v>
      </c>
      <c r="R64" s="795">
        <f>O37</f>
        <v>1749.5462702715934</v>
      </c>
      <c r="S64" s="684"/>
      <c r="T64" s="14" t="s">
        <v>8</v>
      </c>
      <c r="V64" s="185"/>
    </row>
    <row r="65" spans="1:22" ht="18" hidden="1" customHeight="1">
      <c r="A65" s="184"/>
      <c r="B65" s="235" t="s">
        <v>623</v>
      </c>
      <c r="C65" s="14"/>
      <c r="D65" s="14"/>
      <c r="E65" s="14"/>
      <c r="F65" s="14"/>
      <c r="G65" s="14"/>
      <c r="H65" s="14"/>
      <c r="I65" s="14"/>
      <c r="J65" s="14"/>
      <c r="P65" s="120"/>
      <c r="Q65" s="236"/>
      <c r="R65" s="27"/>
      <c r="S65" s="27"/>
      <c r="T65" s="14"/>
      <c r="V65" s="185"/>
    </row>
    <row r="66" spans="1:22" ht="18" hidden="1" customHeight="1">
      <c r="A66" s="184"/>
      <c r="B66" s="14" t="s">
        <v>622</v>
      </c>
      <c r="C66" s="14"/>
      <c r="D66" s="14"/>
      <c r="E66" s="14"/>
      <c r="F66" s="14"/>
      <c r="G66" s="14"/>
      <c r="H66" s="14"/>
      <c r="I66" s="14"/>
      <c r="J66" s="14"/>
      <c r="P66" s="120" t="s">
        <v>617</v>
      </c>
      <c r="Q66" s="234" t="s">
        <v>127</v>
      </c>
      <c r="R66" s="684" t="str">
        <f>IF(M59="Y",'[2]Parameters &amp; Fault Cal.'!Q31,"-")</f>
        <v>-</v>
      </c>
      <c r="S66" s="684"/>
      <c r="T66" s="14" t="s">
        <v>8</v>
      </c>
      <c r="V66" s="185"/>
    </row>
    <row r="67" spans="1:22" ht="18" hidden="1" customHeight="1">
      <c r="A67" s="184"/>
      <c r="B67" s="235" t="s">
        <v>624</v>
      </c>
      <c r="C67" s="14"/>
      <c r="D67" s="14"/>
      <c r="E67" s="14"/>
      <c r="F67" s="14"/>
      <c r="G67" s="14"/>
      <c r="H67" s="14"/>
      <c r="I67" s="14"/>
      <c r="J67" s="14"/>
      <c r="R67" s="27"/>
      <c r="S67" s="27"/>
      <c r="T67" s="14"/>
      <c r="V67" s="185"/>
    </row>
    <row r="68" spans="1:22" ht="18" customHeight="1">
      <c r="A68" s="184"/>
      <c r="B68" s="14" t="s">
        <v>435</v>
      </c>
      <c r="C68" s="14"/>
      <c r="D68" s="103"/>
      <c r="E68" s="103"/>
      <c r="F68" s="14"/>
      <c r="G68" s="14"/>
      <c r="H68" s="5"/>
      <c r="I68" s="5"/>
      <c r="J68" s="5"/>
      <c r="P68" s="120" t="s">
        <v>436</v>
      </c>
      <c r="Q68" s="234" t="s">
        <v>127</v>
      </c>
      <c r="R68" s="684">
        <f>O10</f>
        <v>1</v>
      </c>
      <c r="S68" s="684"/>
      <c r="T68" s="14" t="s">
        <v>8</v>
      </c>
      <c r="V68" s="185"/>
    </row>
    <row r="69" spans="1:22" ht="18" customHeight="1">
      <c r="A69" s="184"/>
      <c r="B69" s="14" t="s">
        <v>437</v>
      </c>
      <c r="C69" s="14"/>
      <c r="D69" s="103"/>
      <c r="E69" s="103"/>
      <c r="F69" s="14"/>
      <c r="G69" s="14"/>
      <c r="H69" s="5"/>
      <c r="I69" s="5"/>
      <c r="J69" s="5"/>
      <c r="P69" s="120" t="s">
        <v>438</v>
      </c>
      <c r="Q69" s="234" t="s">
        <v>127</v>
      </c>
      <c r="R69" s="684">
        <f>'CT-VT Burdens'!S18</f>
        <v>1</v>
      </c>
      <c r="S69" s="684"/>
      <c r="T69" s="14" t="s">
        <v>8</v>
      </c>
      <c r="V69" s="185"/>
    </row>
    <row r="70" spans="1:22" ht="18" customHeight="1">
      <c r="A70" s="184"/>
      <c r="B70" s="14" t="s">
        <v>439</v>
      </c>
      <c r="C70" s="14"/>
      <c r="D70" s="103"/>
      <c r="E70" s="103"/>
      <c r="F70" s="14"/>
      <c r="G70" s="14"/>
      <c r="H70" s="5"/>
      <c r="I70" s="5"/>
      <c r="J70" s="5"/>
      <c r="P70" s="120" t="s">
        <v>440</v>
      </c>
      <c r="Q70" s="234" t="s">
        <v>127</v>
      </c>
      <c r="R70" s="684">
        <f>H12</f>
        <v>5</v>
      </c>
      <c r="S70" s="684"/>
      <c r="T70" s="192" t="s">
        <v>333</v>
      </c>
      <c r="V70" s="185"/>
    </row>
    <row r="71" spans="1:22" ht="18" customHeight="1">
      <c r="A71" s="184"/>
      <c r="B71" s="14" t="s">
        <v>625</v>
      </c>
      <c r="C71" s="14"/>
      <c r="D71" s="14"/>
      <c r="E71" s="14"/>
      <c r="F71" s="14"/>
      <c r="G71" s="14"/>
      <c r="H71" s="14"/>
      <c r="I71" s="14"/>
      <c r="J71" s="14"/>
      <c r="P71" s="237" t="s">
        <v>441</v>
      </c>
      <c r="Q71" s="234" t="s">
        <v>127</v>
      </c>
      <c r="R71" s="795">
        <f>P22</f>
        <v>1.1867743100000001</v>
      </c>
      <c r="S71" s="684"/>
      <c r="T71" s="192" t="s">
        <v>333</v>
      </c>
      <c r="V71" s="185"/>
    </row>
    <row r="72" spans="1:22" ht="18" customHeight="1">
      <c r="A72" s="184"/>
      <c r="B72" s="40" t="s">
        <v>626</v>
      </c>
      <c r="C72" s="14"/>
      <c r="D72" s="14"/>
      <c r="E72" s="14"/>
      <c r="F72" s="14"/>
      <c r="G72" s="14"/>
      <c r="H72" s="5"/>
      <c r="I72" s="5"/>
      <c r="J72" s="5"/>
      <c r="P72" s="237" t="s">
        <v>443</v>
      </c>
      <c r="Q72" s="234" t="s">
        <v>127</v>
      </c>
      <c r="R72" s="795">
        <f>J18</f>
        <v>0.02</v>
      </c>
      <c r="S72" s="684"/>
      <c r="T72" s="14" t="s">
        <v>157</v>
      </c>
      <c r="V72" s="185"/>
    </row>
    <row r="73" spans="1:22" ht="18" customHeight="1">
      <c r="A73" s="184"/>
      <c r="V73" s="185"/>
    </row>
    <row r="74" spans="1:22" ht="18" customHeight="1">
      <c r="A74" s="799" t="s">
        <v>417</v>
      </c>
      <c r="B74" s="802"/>
      <c r="C74" s="802"/>
      <c r="D74" s="805">
        <v>30</v>
      </c>
      <c r="E74" s="805" t="s">
        <v>315</v>
      </c>
      <c r="F74" s="1184">
        <f>R63</f>
        <v>437.38656756789834</v>
      </c>
      <c r="G74" s="1111"/>
      <c r="H74" s="805" t="s">
        <v>315</v>
      </c>
      <c r="I74" s="822">
        <f>R68</f>
        <v>1</v>
      </c>
      <c r="J74" s="1269"/>
      <c r="K74" s="805" t="s">
        <v>315</v>
      </c>
      <c r="L74" s="815" t="s">
        <v>419</v>
      </c>
      <c r="M74" s="815">
        <f>R70</f>
        <v>5</v>
      </c>
      <c r="N74" s="816" t="s">
        <v>347</v>
      </c>
      <c r="O74" s="817">
        <f>R71</f>
        <v>1.1867743100000001</v>
      </c>
      <c r="P74" s="805" t="s">
        <v>347</v>
      </c>
      <c r="Q74" s="1259">
        <f>R72</f>
        <v>0.02</v>
      </c>
      <c r="R74" s="807"/>
      <c r="S74" s="807"/>
      <c r="T74" s="798" t="s">
        <v>350</v>
      </c>
      <c r="U74" s="230" t="s">
        <v>422</v>
      </c>
      <c r="V74" s="97"/>
    </row>
    <row r="75" spans="1:22" ht="18" customHeight="1">
      <c r="A75" s="827"/>
      <c r="B75" s="802"/>
      <c r="C75" s="802"/>
      <c r="D75" s="805"/>
      <c r="E75" s="805"/>
      <c r="F75" s="1111"/>
      <c r="G75" s="1111"/>
      <c r="H75" s="805"/>
      <c r="I75" s="805">
        <f>R62</f>
        <v>2500</v>
      </c>
      <c r="J75" s="1234"/>
      <c r="K75" s="805"/>
      <c r="L75" s="815"/>
      <c r="M75" s="815"/>
      <c r="N75" s="816"/>
      <c r="O75" s="815"/>
      <c r="P75" s="805"/>
      <c r="Q75" s="221">
        <f>R69</f>
        <v>1</v>
      </c>
      <c r="R75" s="221" t="s">
        <v>315</v>
      </c>
      <c r="S75" s="221">
        <f>R69</f>
        <v>1</v>
      </c>
      <c r="T75" s="798"/>
      <c r="U75" s="14"/>
      <c r="V75" s="97"/>
    </row>
    <row r="76" spans="1:22" ht="18" customHeight="1">
      <c r="A76" s="184"/>
      <c r="V76" s="185"/>
    </row>
    <row r="77" spans="1:22" ht="18" customHeight="1">
      <c r="A77" s="184"/>
      <c r="C77" s="30" t="s">
        <v>127</v>
      </c>
      <c r="D77" s="812">
        <f>D74*F74*(I74/I75)*(M74+O74+(Q74/(Q75*S75)))</f>
        <v>32.577116533434129</v>
      </c>
      <c r="E77" s="813"/>
      <c r="F77" s="30" t="s">
        <v>305</v>
      </c>
      <c r="V77" s="185"/>
    </row>
    <row r="78" spans="1:22" ht="18" customHeight="1">
      <c r="A78" s="184"/>
      <c r="V78" s="185"/>
    </row>
    <row r="79" spans="1:22" ht="18" customHeight="1">
      <c r="A79" s="799" t="s">
        <v>417</v>
      </c>
      <c r="B79" s="802"/>
      <c r="C79" s="802"/>
      <c r="D79" s="805">
        <v>2</v>
      </c>
      <c r="E79" s="805" t="s">
        <v>315</v>
      </c>
      <c r="F79" s="1184">
        <f>R64</f>
        <v>1749.5462702715934</v>
      </c>
      <c r="G79" s="1111"/>
      <c r="H79" s="805" t="s">
        <v>315</v>
      </c>
      <c r="I79" s="822">
        <f>R68</f>
        <v>1</v>
      </c>
      <c r="J79" s="1269"/>
      <c r="K79" s="805" t="s">
        <v>315</v>
      </c>
      <c r="L79" s="808" t="s">
        <v>419</v>
      </c>
      <c r="M79" s="815">
        <f>R70</f>
        <v>5</v>
      </c>
      <c r="N79" s="816" t="s">
        <v>347</v>
      </c>
      <c r="O79" s="817">
        <f>R71</f>
        <v>1.1867743100000001</v>
      </c>
      <c r="P79" s="805" t="s">
        <v>347</v>
      </c>
      <c r="Q79" s="1259">
        <f>R72</f>
        <v>0.02</v>
      </c>
      <c r="R79" s="807"/>
      <c r="S79" s="807"/>
      <c r="T79" s="798" t="s">
        <v>350</v>
      </c>
      <c r="U79" s="230" t="s">
        <v>426</v>
      </c>
      <c r="V79" s="97"/>
    </row>
    <row r="80" spans="1:22" ht="18" customHeight="1">
      <c r="A80" s="827"/>
      <c r="B80" s="802"/>
      <c r="C80" s="802"/>
      <c r="D80" s="805"/>
      <c r="E80" s="805"/>
      <c r="F80" s="1111"/>
      <c r="G80" s="1111"/>
      <c r="H80" s="805"/>
      <c r="I80" s="805">
        <f>R62</f>
        <v>2500</v>
      </c>
      <c r="J80" s="1234"/>
      <c r="K80" s="805"/>
      <c r="L80" s="808"/>
      <c r="M80" s="815"/>
      <c r="N80" s="816"/>
      <c r="O80" s="815"/>
      <c r="P80" s="805"/>
      <c r="Q80" s="221">
        <f>R69</f>
        <v>1</v>
      </c>
      <c r="R80" s="221" t="s">
        <v>315</v>
      </c>
      <c r="S80" s="221">
        <f>R69</f>
        <v>1</v>
      </c>
      <c r="T80" s="798"/>
      <c r="U80" s="14"/>
      <c r="V80" s="97"/>
    </row>
    <row r="81" spans="1:22" ht="18" customHeight="1">
      <c r="A81" s="184"/>
      <c r="L81" s="244"/>
      <c r="V81" s="185"/>
    </row>
    <row r="82" spans="1:22" ht="18" customHeight="1">
      <c r="A82" s="184"/>
      <c r="C82" s="30" t="s">
        <v>127</v>
      </c>
      <c r="D82" s="812">
        <f>D79*F79*(I79/I80)*(M79+O79+(Q79/(Q80*S80)))</f>
        <v>8.6872310755824333</v>
      </c>
      <c r="E82" s="813"/>
      <c r="F82" s="30" t="s">
        <v>305</v>
      </c>
      <c r="L82" s="244"/>
      <c r="V82" s="185"/>
    </row>
    <row r="83" spans="1:22" ht="18" customHeight="1">
      <c r="A83" s="184"/>
      <c r="D83" s="211"/>
      <c r="E83" s="211"/>
      <c r="L83" s="244"/>
      <c r="V83" s="185"/>
    </row>
    <row r="84" spans="1:22" ht="18" customHeight="1">
      <c r="A84" s="184"/>
      <c r="D84" s="211"/>
      <c r="E84" s="211"/>
      <c r="L84" s="244"/>
      <c r="V84" s="185"/>
    </row>
    <row r="85" spans="1:22" ht="18" customHeight="1">
      <c r="A85" s="184"/>
      <c r="D85" s="211"/>
      <c r="E85" s="211"/>
      <c r="L85" s="244"/>
      <c r="V85" s="185"/>
    </row>
    <row r="86" spans="1:22" ht="18" customHeight="1">
      <c r="A86" s="184"/>
      <c r="D86" s="211"/>
      <c r="E86" s="211"/>
      <c r="L86" s="244"/>
      <c r="V86" s="185"/>
    </row>
    <row r="87" spans="1:22" ht="18" customHeight="1">
      <c r="A87" s="184"/>
      <c r="D87" s="211"/>
      <c r="E87" s="211"/>
      <c r="L87" s="244"/>
      <c r="V87" s="185"/>
    </row>
    <row r="88" spans="1:22" ht="18" customHeight="1">
      <c r="A88" s="184"/>
      <c r="D88" s="211"/>
      <c r="E88" s="211"/>
      <c r="L88" s="244"/>
      <c r="V88" s="185"/>
    </row>
    <row r="89" spans="1:22" ht="18" customHeight="1">
      <c r="A89" s="184"/>
      <c r="D89" s="211"/>
      <c r="E89" s="211"/>
      <c r="L89" s="244"/>
      <c r="V89" s="185"/>
    </row>
    <row r="90" spans="1:22" ht="18" customHeight="1">
      <c r="A90" s="184"/>
      <c r="D90" s="211"/>
      <c r="E90" s="211"/>
      <c r="L90" s="244"/>
      <c r="V90" s="185"/>
    </row>
    <row r="91" spans="1:22" ht="18" customHeight="1">
      <c r="A91" s="184"/>
      <c r="D91" s="211"/>
      <c r="E91" s="211"/>
      <c r="L91" s="244"/>
      <c r="V91" s="185"/>
    </row>
    <row r="92" spans="1:22" ht="18" customHeight="1">
      <c r="A92" s="184"/>
      <c r="D92" s="211"/>
      <c r="E92" s="211"/>
      <c r="L92" s="244"/>
      <c r="V92" s="185"/>
    </row>
    <row r="93" spans="1:22" ht="18" customHeight="1">
      <c r="A93" s="184"/>
      <c r="D93" s="211"/>
      <c r="E93" s="211"/>
      <c r="L93" s="244"/>
      <c r="V93" s="185"/>
    </row>
    <row r="94" spans="1:22" ht="18" customHeight="1">
      <c r="A94" s="184"/>
      <c r="D94" s="211"/>
      <c r="E94" s="211"/>
      <c r="L94" s="244"/>
      <c r="V94" s="185"/>
    </row>
    <row r="95" spans="1:22" ht="18" customHeight="1">
      <c r="A95" s="290"/>
      <c r="B95" s="196"/>
      <c r="C95" s="196"/>
      <c r="D95" s="308"/>
      <c r="E95" s="308"/>
      <c r="F95" s="196"/>
      <c r="G95" s="196"/>
      <c r="H95" s="196"/>
      <c r="I95" s="196"/>
      <c r="J95" s="196"/>
      <c r="K95" s="196"/>
      <c r="L95" s="306"/>
      <c r="M95" s="196"/>
      <c r="N95" s="196"/>
      <c r="O95" s="196"/>
      <c r="P95" s="196"/>
      <c r="Q95" s="196"/>
      <c r="R95" s="196"/>
      <c r="S95" s="196"/>
      <c r="T95" s="196"/>
      <c r="U95" s="196"/>
      <c r="V95" s="291"/>
    </row>
    <row r="96" spans="1:22" s="14" customFormat="1" ht="18" hidden="1" customHeight="1">
      <c r="A96" s="194"/>
      <c r="B96" s="195"/>
      <c r="C96" s="195"/>
      <c r="D96" s="195"/>
      <c r="E96" s="195"/>
      <c r="F96" s="195"/>
      <c r="G96" s="195"/>
      <c r="H96" s="195"/>
      <c r="I96" s="195"/>
      <c r="J96" s="195"/>
      <c r="K96" s="195"/>
      <c r="L96" s="195"/>
      <c r="M96" s="195"/>
      <c r="N96" s="195"/>
      <c r="O96" s="195"/>
      <c r="P96" s="195"/>
      <c r="Q96" s="224"/>
      <c r="R96" s="182"/>
      <c r="S96" s="225"/>
      <c r="T96" s="195"/>
      <c r="U96" s="195"/>
      <c r="V96" s="134"/>
    </row>
    <row r="97" spans="1:22" ht="18" hidden="1" customHeight="1">
      <c r="A97" s="799" t="s">
        <v>417</v>
      </c>
      <c r="B97" s="802"/>
      <c r="C97" s="802"/>
      <c r="D97" s="689"/>
      <c r="E97" s="689"/>
      <c r="F97" s="805" t="str">
        <f>R66</f>
        <v>-</v>
      </c>
      <c r="G97" s="993"/>
      <c r="H97" s="805" t="s">
        <v>315</v>
      </c>
      <c r="I97" s="822">
        <f>R68</f>
        <v>1</v>
      </c>
      <c r="J97" s="1269"/>
      <c r="K97" s="805" t="s">
        <v>315</v>
      </c>
      <c r="L97" s="808" t="s">
        <v>419</v>
      </c>
      <c r="M97" s="815">
        <f>R70</f>
        <v>5</v>
      </c>
      <c r="N97" s="816" t="s">
        <v>347</v>
      </c>
      <c r="O97" s="817">
        <f>R71</f>
        <v>1.1867743100000001</v>
      </c>
      <c r="P97" s="805" t="s">
        <v>347</v>
      </c>
      <c r="Q97" s="1259">
        <f>R72</f>
        <v>0.02</v>
      </c>
      <c r="R97" s="807"/>
      <c r="S97" s="807"/>
      <c r="T97" s="798" t="s">
        <v>350</v>
      </c>
      <c r="U97" s="230" t="s">
        <v>618</v>
      </c>
      <c r="V97" s="97"/>
    </row>
    <row r="98" spans="1:22" ht="18" hidden="1" customHeight="1">
      <c r="A98" s="827"/>
      <c r="B98" s="802"/>
      <c r="C98" s="802"/>
      <c r="D98" s="689"/>
      <c r="E98" s="689"/>
      <c r="F98" s="993"/>
      <c r="G98" s="993"/>
      <c r="H98" s="805"/>
      <c r="I98" s="805">
        <f>R62</f>
        <v>2500</v>
      </c>
      <c r="J98" s="1234"/>
      <c r="K98" s="805"/>
      <c r="L98" s="808"/>
      <c r="M98" s="815"/>
      <c r="N98" s="816"/>
      <c r="O98" s="815"/>
      <c r="P98" s="805"/>
      <c r="Q98" s="221">
        <f>R69</f>
        <v>1</v>
      </c>
      <c r="R98" s="221" t="s">
        <v>315</v>
      </c>
      <c r="S98" s="221">
        <f>R69</f>
        <v>1</v>
      </c>
      <c r="T98" s="798"/>
      <c r="U98" s="14"/>
      <c r="V98" s="97"/>
    </row>
    <row r="99" spans="1:22" ht="18" hidden="1" customHeight="1">
      <c r="A99" s="184"/>
      <c r="V99" s="185"/>
    </row>
    <row r="100" spans="1:22" ht="18" hidden="1" customHeight="1">
      <c r="A100" s="184"/>
      <c r="C100" s="30" t="s">
        <v>127</v>
      </c>
      <c r="D100" s="812" t="e">
        <f>F97*(I97/I98)*(M97+O97+(Q97/(Q98*S98)))</f>
        <v>#VALUE!</v>
      </c>
      <c r="E100" s="813"/>
      <c r="F100" s="30" t="s">
        <v>305</v>
      </c>
      <c r="G100" s="187" t="s">
        <v>378</v>
      </c>
      <c r="H100" s="186" t="str">
        <f>IF(M59="y","Applicable","Not applicable")</f>
        <v>Not applicable</v>
      </c>
      <c r="V100" s="185"/>
    </row>
    <row r="101" spans="1:22" ht="18" customHeight="1">
      <c r="A101" s="184"/>
      <c r="V101" s="185"/>
    </row>
    <row r="102" spans="1:22" ht="18" customHeight="1">
      <c r="A102" s="96" t="s">
        <v>627</v>
      </c>
      <c r="M102" s="775">
        <f>R62</f>
        <v>2500</v>
      </c>
      <c r="N102" s="776"/>
      <c r="O102" s="30" t="s">
        <v>470</v>
      </c>
      <c r="Q102" s="812">
        <f>IF(M59="Y",MAX(D77,D100),MAX(D77,D82))</f>
        <v>32.577116533434129</v>
      </c>
      <c r="R102" s="820"/>
      <c r="S102" s="30" t="s">
        <v>305</v>
      </c>
      <c r="V102" s="185"/>
    </row>
    <row r="103" spans="1:22" ht="18" customHeight="1">
      <c r="A103" s="184"/>
      <c r="M103" s="247"/>
      <c r="N103" s="247"/>
      <c r="Q103" s="211"/>
      <c r="R103" s="27"/>
      <c r="V103" s="185"/>
    </row>
    <row r="104" spans="1:22" ht="18" customHeight="1">
      <c r="A104" s="248" t="s">
        <v>471</v>
      </c>
      <c r="B104" s="14"/>
      <c r="C104" s="14"/>
      <c r="D104" s="249"/>
      <c r="E104" s="14"/>
      <c r="F104" s="14"/>
      <c r="G104" s="47"/>
      <c r="H104" s="14"/>
      <c r="J104" s="14"/>
      <c r="K104" s="14"/>
      <c r="L104" s="14"/>
      <c r="M104" s="14"/>
      <c r="N104" s="14"/>
      <c r="O104" s="14"/>
      <c r="P104" s="250"/>
      <c r="Q104" s="251"/>
      <c r="R104" s="47"/>
      <c r="S104" s="14"/>
      <c r="V104" s="185"/>
    </row>
    <row r="105" spans="1:22" ht="18" customHeight="1">
      <c r="A105" s="248"/>
      <c r="B105" s="14"/>
      <c r="C105" s="14"/>
      <c r="D105" s="249"/>
      <c r="E105" s="14"/>
      <c r="F105" s="14"/>
      <c r="G105" s="47"/>
      <c r="H105" s="14"/>
      <c r="J105" s="14"/>
      <c r="K105" s="14"/>
      <c r="L105" s="14"/>
      <c r="M105" s="14"/>
      <c r="N105" s="14"/>
      <c r="O105" s="14"/>
      <c r="P105" s="250"/>
      <c r="Q105" s="251"/>
      <c r="R105" s="47"/>
      <c r="S105" s="14"/>
      <c r="V105" s="185"/>
    </row>
    <row r="106" spans="1:22" ht="18" hidden="1" customHeight="1">
      <c r="A106" s="96" t="s">
        <v>628</v>
      </c>
      <c r="V106" s="185"/>
    </row>
    <row r="107" spans="1:22" ht="18" customHeight="1">
      <c r="A107" s="184"/>
      <c r="N107" s="14"/>
      <c r="O107" s="14" t="s">
        <v>473</v>
      </c>
      <c r="P107" s="102" t="s">
        <v>127</v>
      </c>
      <c r="Q107" s="694" t="s">
        <v>474</v>
      </c>
      <c r="R107" s="694"/>
      <c r="S107" s="28" t="s">
        <v>315</v>
      </c>
      <c r="T107" s="28">
        <v>0.8</v>
      </c>
      <c r="V107" s="185"/>
    </row>
    <row r="108" spans="1:22" ht="18" customHeight="1">
      <c r="A108" s="184"/>
      <c r="N108" s="252"/>
      <c r="O108" s="14"/>
      <c r="P108" s="102" t="s">
        <v>127</v>
      </c>
      <c r="Q108" s="829">
        <f>+Q102</f>
        <v>32.577116533434129</v>
      </c>
      <c r="R108" s="708"/>
      <c r="S108" s="222" t="s">
        <v>315</v>
      </c>
      <c r="T108" s="253">
        <f>+T107</f>
        <v>0.8</v>
      </c>
      <c r="V108" s="185"/>
    </row>
    <row r="109" spans="1:22" ht="18" customHeight="1">
      <c r="A109" s="184"/>
      <c r="O109" s="14"/>
      <c r="P109" s="28" t="s">
        <v>127</v>
      </c>
      <c r="Q109" s="830">
        <f>Q108*T108</f>
        <v>26.061693226747305</v>
      </c>
      <c r="R109" s="776"/>
      <c r="S109" s="28" t="s">
        <v>305</v>
      </c>
      <c r="T109" s="28"/>
      <c r="V109" s="185"/>
    </row>
    <row r="110" spans="1:22" ht="18" customHeight="1">
      <c r="A110" s="184"/>
      <c r="F110" s="28"/>
      <c r="G110" s="28"/>
      <c r="H110" s="14"/>
      <c r="V110" s="185"/>
    </row>
    <row r="111" spans="1:22" ht="18" customHeight="1">
      <c r="A111" s="184"/>
      <c r="D111" s="14" t="s">
        <v>475</v>
      </c>
      <c r="G111" s="28" t="s">
        <v>476</v>
      </c>
      <c r="H111" s="14" t="s">
        <v>477</v>
      </c>
      <c r="V111" s="185"/>
    </row>
    <row r="112" spans="1:22" ht="18" customHeight="1">
      <c r="A112" s="184"/>
      <c r="E112" s="684">
        <f>H13</f>
        <v>400</v>
      </c>
      <c r="F112" s="684"/>
      <c r="G112" s="28" t="s">
        <v>476</v>
      </c>
      <c r="H112" s="795">
        <f>Q109</f>
        <v>26.061693226747305</v>
      </c>
      <c r="I112" s="684"/>
      <c r="V112" s="185"/>
    </row>
    <row r="113" spans="1:22" ht="18" customHeight="1">
      <c r="A113" s="184"/>
      <c r="F113" s="244" t="s">
        <v>478</v>
      </c>
      <c r="H113" s="18" t="str">
        <f>IF(E112&gt;H112,"Suitably Dimensioned","Under Dimensioned")</f>
        <v>Suitably Dimensioned</v>
      </c>
      <c r="V113" s="185"/>
    </row>
    <row r="114" spans="1:22" ht="18" customHeight="1">
      <c r="A114" s="184"/>
      <c r="F114" s="244"/>
      <c r="H114" s="18"/>
      <c r="V114" s="185"/>
    </row>
    <row r="115" spans="1:22" ht="18" customHeight="1">
      <c r="A115" s="184"/>
      <c r="F115" s="244"/>
      <c r="H115" s="18"/>
      <c r="V115" s="185"/>
    </row>
    <row r="116" spans="1:22" ht="18" customHeight="1">
      <c r="A116" s="184"/>
      <c r="F116" s="244"/>
      <c r="H116" s="18"/>
      <c r="V116" s="185"/>
    </row>
    <row r="117" spans="1:22" ht="18" customHeight="1">
      <c r="A117" s="184"/>
      <c r="F117" s="244"/>
      <c r="H117" s="18"/>
      <c r="V117" s="185"/>
    </row>
    <row r="118" spans="1:22" ht="18" customHeight="1">
      <c r="A118" s="184"/>
      <c r="F118" s="244"/>
      <c r="H118" s="18"/>
      <c r="V118" s="185"/>
    </row>
    <row r="119" spans="1:22" ht="18" customHeight="1">
      <c r="A119" s="184"/>
      <c r="F119" s="244"/>
      <c r="H119" s="18"/>
      <c r="V119" s="185"/>
    </row>
    <row r="120" spans="1:22" ht="18" customHeight="1">
      <c r="A120" s="184"/>
      <c r="F120" s="244"/>
      <c r="H120" s="18"/>
      <c r="V120" s="185"/>
    </row>
    <row r="121" spans="1:22" ht="18" customHeight="1">
      <c r="A121" s="184"/>
      <c r="F121" s="244"/>
      <c r="H121" s="18"/>
      <c r="V121" s="185"/>
    </row>
    <row r="122" spans="1:22" ht="18" customHeight="1">
      <c r="A122" s="184"/>
      <c r="F122" s="244"/>
      <c r="H122" s="18"/>
      <c r="V122" s="185"/>
    </row>
    <row r="123" spans="1:22" ht="18" customHeight="1">
      <c r="A123" s="184"/>
      <c r="F123" s="244"/>
      <c r="H123" s="18"/>
      <c r="V123" s="185"/>
    </row>
    <row r="124" spans="1:22" ht="18" customHeight="1">
      <c r="A124" s="184"/>
      <c r="F124" s="244"/>
      <c r="H124" s="18"/>
      <c r="V124" s="185"/>
    </row>
    <row r="125" spans="1:22" ht="18" customHeight="1">
      <c r="A125" s="184"/>
      <c r="F125" s="244"/>
      <c r="H125" s="18"/>
      <c r="V125" s="185"/>
    </row>
    <row r="126" spans="1:22" ht="18" customHeight="1">
      <c r="A126" s="184"/>
      <c r="F126" s="244"/>
      <c r="H126" s="18"/>
      <c r="V126" s="185"/>
    </row>
    <row r="127" spans="1:22" ht="18" customHeight="1">
      <c r="A127" s="184"/>
      <c r="F127" s="244"/>
      <c r="H127" s="18"/>
      <c r="V127" s="185"/>
    </row>
    <row r="128" spans="1:22" ht="18" customHeight="1">
      <c r="A128" s="184"/>
      <c r="F128" s="244"/>
      <c r="H128" s="18"/>
      <c r="V128" s="185"/>
    </row>
    <row r="129" spans="1:22" ht="18" customHeight="1">
      <c r="A129" s="184"/>
      <c r="F129" s="244"/>
      <c r="H129" s="18"/>
      <c r="V129" s="185"/>
    </row>
    <row r="130" spans="1:22" ht="18" customHeight="1">
      <c r="A130" s="184"/>
      <c r="F130" s="244"/>
      <c r="H130" s="18"/>
      <c r="V130" s="185"/>
    </row>
    <row r="131" spans="1:22" ht="18" customHeight="1">
      <c r="A131" s="184"/>
      <c r="F131" s="244"/>
      <c r="H131" s="18"/>
      <c r="V131" s="185"/>
    </row>
    <row r="132" spans="1:22" ht="18" customHeight="1">
      <c r="A132" s="184"/>
      <c r="F132" s="244"/>
      <c r="H132" s="18"/>
      <c r="V132" s="185"/>
    </row>
    <row r="133" spans="1:22" ht="18" customHeight="1">
      <c r="A133" s="184"/>
      <c r="F133" s="244"/>
      <c r="H133" s="18"/>
      <c r="V133" s="185"/>
    </row>
    <row r="134" spans="1:22" ht="18" customHeight="1">
      <c r="A134" s="184"/>
      <c r="F134" s="244"/>
      <c r="H134" s="18"/>
      <c r="V134" s="185"/>
    </row>
    <row r="135" spans="1:22" ht="18" customHeight="1">
      <c r="A135" s="184"/>
      <c r="F135" s="244"/>
      <c r="H135" s="18"/>
      <c r="V135" s="185"/>
    </row>
    <row r="136" spans="1:22" ht="18" customHeight="1">
      <c r="A136" s="184"/>
      <c r="F136" s="244"/>
      <c r="H136" s="18"/>
      <c r="V136" s="185"/>
    </row>
    <row r="137" spans="1:22" ht="18" customHeight="1">
      <c r="A137" s="184"/>
      <c r="F137" s="244"/>
      <c r="H137" s="18"/>
      <c r="V137" s="185"/>
    </row>
    <row r="138" spans="1:22" ht="18" customHeight="1">
      <c r="A138" s="184"/>
      <c r="F138" s="244"/>
      <c r="H138" s="18"/>
      <c r="V138" s="185"/>
    </row>
    <row r="139" spans="1:22" ht="18" customHeight="1">
      <c r="A139" s="184"/>
      <c r="V139" s="185"/>
    </row>
    <row r="140" spans="1:22" ht="18" customHeight="1">
      <c r="A140" s="184"/>
      <c r="V140" s="185"/>
    </row>
    <row r="141" spans="1:22" s="14" customFormat="1" ht="18" customHeight="1">
      <c r="A141" s="194"/>
      <c r="B141" s="195"/>
      <c r="C141" s="195"/>
      <c r="D141" s="195"/>
      <c r="E141" s="195"/>
      <c r="F141" s="195"/>
      <c r="G141" s="195"/>
      <c r="H141" s="195"/>
      <c r="I141" s="195"/>
      <c r="J141" s="195"/>
      <c r="K141" s="195"/>
      <c r="L141" s="195"/>
      <c r="M141" s="195"/>
      <c r="N141" s="195"/>
      <c r="O141" s="195"/>
      <c r="P141" s="195"/>
      <c r="Q141" s="224"/>
      <c r="R141" s="182"/>
      <c r="S141" s="225"/>
      <c r="T141" s="195"/>
      <c r="U141" s="195"/>
      <c r="V141" s="134"/>
    </row>
    <row r="142" spans="1:22" ht="18" hidden="1" customHeight="1">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8"/>
    </row>
    <row r="143" spans="1:22" ht="18" hidden="1" customHeight="1">
      <c r="A143" s="184"/>
      <c r="B143" s="781" t="str">
        <f>B7</f>
        <v>T6</v>
      </c>
      <c r="C143" s="782"/>
      <c r="D143" s="781" t="str">
        <f>D7</f>
        <v>Core1</v>
      </c>
      <c r="E143" s="782"/>
      <c r="F143" s="186"/>
      <c r="H143" s="684" t="str">
        <f>H7</f>
        <v>(Transformer Differential)</v>
      </c>
      <c r="I143" s="684"/>
      <c r="J143" s="684"/>
      <c r="K143" s="684"/>
      <c r="L143" s="684"/>
      <c r="M143" s="684"/>
      <c r="N143" s="684"/>
      <c r="P143" s="186"/>
      <c r="S143" s="187" t="s">
        <v>387</v>
      </c>
      <c r="T143" s="835" t="str">
        <f>T7</f>
        <v>RET670</v>
      </c>
      <c r="U143" s="836"/>
      <c r="V143" s="185"/>
    </row>
    <row r="144" spans="1:22" ht="18" hidden="1" customHeight="1">
      <c r="A144" s="184"/>
      <c r="B144" s="18">
        <f>B8</f>
        <v>0</v>
      </c>
      <c r="C144" s="18"/>
      <c r="D144" s="538"/>
      <c r="E144" s="538"/>
      <c r="F144" s="255"/>
      <c r="T144" s="839">
        <f>T8</f>
        <v>0</v>
      </c>
      <c r="U144" s="840"/>
      <c r="V144" s="185"/>
    </row>
    <row r="145" spans="1:29" ht="18" hidden="1" customHeight="1">
      <c r="A145" s="184"/>
      <c r="H145" s="708" t="s">
        <v>390</v>
      </c>
      <c r="I145" s="708"/>
      <c r="J145" s="789" t="s">
        <v>391</v>
      </c>
      <c r="K145" s="789"/>
      <c r="L145" s="708" t="s">
        <v>392</v>
      </c>
      <c r="M145" s="708"/>
      <c r="T145" s="839">
        <f>T9</f>
        <v>0</v>
      </c>
      <c r="U145" s="840"/>
      <c r="V145" s="185"/>
    </row>
    <row r="146" spans="1:29" ht="18" hidden="1" customHeight="1">
      <c r="A146" s="184"/>
      <c r="B146" s="47" t="s">
        <v>393</v>
      </c>
      <c r="H146" s="781">
        <f>H10</f>
        <v>2500</v>
      </c>
      <c r="I146" s="782"/>
      <c r="J146" s="791" t="str">
        <f>J10</f>
        <v>-</v>
      </c>
      <c r="K146" s="792"/>
      <c r="L146" s="839" t="str">
        <f>L10</f>
        <v>-</v>
      </c>
      <c r="M146" s="840"/>
      <c r="N146" s="102" t="s">
        <v>342</v>
      </c>
      <c r="O146" s="254">
        <f>O10</f>
        <v>1</v>
      </c>
      <c r="P146" s="27" t="s">
        <v>8</v>
      </c>
      <c r="V146" s="185"/>
    </row>
    <row r="147" spans="1:29" ht="18" hidden="1" customHeight="1">
      <c r="A147" s="184"/>
      <c r="B147" s="47" t="s">
        <v>394</v>
      </c>
      <c r="H147" s="14"/>
      <c r="I147" s="14"/>
      <c r="J147" s="781" t="s">
        <v>395</v>
      </c>
      <c r="K147" s="782"/>
      <c r="L147" s="14"/>
      <c r="M147" s="14"/>
      <c r="V147" s="185"/>
    </row>
    <row r="148" spans="1:29" ht="18" hidden="1" customHeight="1">
      <c r="A148" s="184"/>
      <c r="B148" s="47" t="s">
        <v>396</v>
      </c>
      <c r="I148" s="120" t="s">
        <v>497</v>
      </c>
      <c r="J148" s="781">
        <v>2.7</v>
      </c>
      <c r="K148" s="782"/>
      <c r="L148" s="192" t="s">
        <v>333</v>
      </c>
      <c r="N148" s="14"/>
      <c r="V148" s="185"/>
    </row>
    <row r="149" spans="1:29" ht="18" hidden="1" customHeight="1">
      <c r="A149" s="184"/>
      <c r="B149" s="47" t="s">
        <v>398</v>
      </c>
      <c r="I149" s="120" t="s">
        <v>498</v>
      </c>
      <c r="J149" s="781">
        <v>900</v>
      </c>
      <c r="K149" s="782"/>
      <c r="L149" s="14" t="s">
        <v>305</v>
      </c>
      <c r="N149" s="14"/>
      <c r="V149" s="185"/>
      <c r="W149" s="30" t="s">
        <v>400</v>
      </c>
      <c r="AB149" s="785" t="e">
        <f>Q241</f>
        <v>#VALUE!</v>
      </c>
      <c r="AC149" s="786"/>
    </row>
    <row r="150" spans="1:29" ht="18" hidden="1" customHeight="1">
      <c r="A150" s="184"/>
      <c r="B150" s="14" t="s">
        <v>401</v>
      </c>
      <c r="I150" s="120" t="s">
        <v>402</v>
      </c>
      <c r="J150" s="781">
        <v>10</v>
      </c>
      <c r="K150" s="782"/>
      <c r="L150" s="14" t="s">
        <v>403</v>
      </c>
      <c r="N150" s="14"/>
      <c r="V150" s="185"/>
    </row>
    <row r="151" spans="1:29" ht="18" hidden="1" customHeight="1">
      <c r="A151" s="184"/>
      <c r="V151" s="185"/>
    </row>
    <row r="152" spans="1:29" ht="18" hidden="1" customHeight="1">
      <c r="A152" s="193" t="s">
        <v>404</v>
      </c>
      <c r="V152" s="185"/>
    </row>
    <row r="153" spans="1:29" ht="18" hidden="1" customHeight="1">
      <c r="A153" s="184"/>
      <c r="V153" s="185"/>
    </row>
    <row r="154" spans="1:29" ht="18" hidden="1" customHeight="1">
      <c r="A154" s="184"/>
      <c r="B154" s="194" t="s">
        <v>405</v>
      </c>
      <c r="C154" s="195"/>
      <c r="D154" s="195" t="str">
        <f>T143</f>
        <v>RET670</v>
      </c>
      <c r="E154" s="196"/>
      <c r="F154" s="196"/>
      <c r="G154" s="196"/>
      <c r="H154" s="182" t="s">
        <v>406</v>
      </c>
      <c r="I154" s="183" t="s">
        <v>127</v>
      </c>
      <c r="J154" s="766">
        <f>J18</f>
        <v>0.02</v>
      </c>
      <c r="K154" s="958"/>
      <c r="L154" s="3" t="s">
        <v>157</v>
      </c>
      <c r="N154" s="197" t="s">
        <v>407</v>
      </c>
      <c r="V154" s="185"/>
    </row>
    <row r="155" spans="1:29" ht="18" hidden="1" customHeight="1">
      <c r="A155" s="184"/>
      <c r="B155" s="96" t="s">
        <v>405</v>
      </c>
      <c r="D155" s="30">
        <f>T144</f>
        <v>0</v>
      </c>
      <c r="H155" s="27"/>
      <c r="I155" s="177" t="s">
        <v>127</v>
      </c>
      <c r="J155" s="861">
        <f>J19</f>
        <v>0</v>
      </c>
      <c r="K155" s="989"/>
      <c r="L155" s="198" t="s">
        <v>157</v>
      </c>
      <c r="V155" s="185"/>
    </row>
    <row r="156" spans="1:29" ht="18" hidden="1" customHeight="1">
      <c r="A156" s="184"/>
      <c r="B156" s="96" t="s">
        <v>405</v>
      </c>
      <c r="D156" s="30">
        <f>T145</f>
        <v>0</v>
      </c>
      <c r="E156" s="14"/>
      <c r="G156" s="199"/>
      <c r="H156" s="27"/>
      <c r="I156" s="177" t="s">
        <v>127</v>
      </c>
      <c r="J156" s="696">
        <f>J20</f>
        <v>0</v>
      </c>
      <c r="K156" s="820"/>
      <c r="L156" s="202" t="s">
        <v>157</v>
      </c>
      <c r="N156" s="30" t="s">
        <v>408</v>
      </c>
      <c r="O156" s="27" t="s">
        <v>127</v>
      </c>
      <c r="P156" s="30" t="s">
        <v>409</v>
      </c>
      <c r="Q156" s="191" t="s">
        <v>410</v>
      </c>
      <c r="R156" s="244" t="s">
        <v>411</v>
      </c>
      <c r="S156" s="27" t="s">
        <v>315</v>
      </c>
      <c r="T156" s="30" t="s">
        <v>411</v>
      </c>
      <c r="U156" s="30" t="s">
        <v>350</v>
      </c>
      <c r="V156" s="185"/>
    </row>
    <row r="157" spans="1:29" ht="18" hidden="1" customHeight="1">
      <c r="A157" s="184"/>
      <c r="B157" s="184" t="s">
        <v>412</v>
      </c>
      <c r="H157" s="27" t="s">
        <v>599</v>
      </c>
      <c r="I157" s="177" t="s">
        <v>127</v>
      </c>
      <c r="J157" s="861">
        <f>J21</f>
        <v>1.1667743100000001</v>
      </c>
      <c r="K157" s="989"/>
      <c r="L157" s="203" t="s">
        <v>157</v>
      </c>
      <c r="O157" s="27" t="s">
        <v>127</v>
      </c>
      <c r="P157" s="204">
        <f>J158</f>
        <v>1.1867743100000001</v>
      </c>
      <c r="Q157" s="191" t="s">
        <v>410</v>
      </c>
      <c r="R157" s="27">
        <f>O146</f>
        <v>1</v>
      </c>
      <c r="S157" s="27" t="s">
        <v>315</v>
      </c>
      <c r="T157" s="27">
        <f>O146</f>
        <v>1</v>
      </c>
      <c r="U157" s="30" t="s">
        <v>350</v>
      </c>
      <c r="V157" s="185"/>
    </row>
    <row r="158" spans="1:29" ht="18" hidden="1" customHeight="1">
      <c r="A158" s="184"/>
      <c r="B158" s="205" t="s">
        <v>413</v>
      </c>
      <c r="C158" s="206"/>
      <c r="D158" s="206"/>
      <c r="E158" s="206"/>
      <c r="F158" s="207"/>
      <c r="G158" s="207"/>
      <c r="H158" s="190" t="s">
        <v>409</v>
      </c>
      <c r="I158" s="208" t="s">
        <v>127</v>
      </c>
      <c r="J158" s="766">
        <f>J154+J157</f>
        <v>1.1867743100000001</v>
      </c>
      <c r="K158" s="958"/>
      <c r="L158" s="210" t="s">
        <v>157</v>
      </c>
      <c r="O158" s="27" t="s">
        <v>127</v>
      </c>
      <c r="P158" s="795">
        <f>P157/(R157*T157)</f>
        <v>1.1867743100000001</v>
      </c>
      <c r="Q158" s="795"/>
      <c r="R158" s="192" t="s">
        <v>333</v>
      </c>
      <c r="V158" s="185"/>
    </row>
    <row r="159" spans="1:29" ht="18" hidden="1" customHeight="1">
      <c r="A159" s="184"/>
      <c r="V159" s="185"/>
    </row>
    <row r="160" spans="1:29" s="14" customFormat="1" ht="18" hidden="1" customHeight="1">
      <c r="A160" s="193" t="s">
        <v>600</v>
      </c>
      <c r="B160" s="5"/>
      <c r="C160" s="5"/>
      <c r="D160" s="5"/>
      <c r="E160" s="5"/>
      <c r="F160" s="5"/>
      <c r="G160" s="5"/>
      <c r="H160" s="212"/>
      <c r="I160" s="212"/>
      <c r="J160" s="5"/>
      <c r="K160" s="5"/>
      <c r="L160" s="5"/>
      <c r="M160" s="5"/>
      <c r="N160" s="5"/>
      <c r="O160" s="5"/>
      <c r="P160" s="103"/>
      <c r="Q160" s="212"/>
      <c r="R160" s="213"/>
      <c r="S160" s="214"/>
      <c r="T160" s="18"/>
      <c r="U160" s="18"/>
      <c r="V160" s="97"/>
    </row>
    <row r="161" spans="1:27" s="14" customFormat="1" ht="18" hidden="1" customHeight="1">
      <c r="A161" s="96"/>
      <c r="B161" s="47" t="s">
        <v>601</v>
      </c>
      <c r="C161" s="5"/>
      <c r="D161" s="5"/>
      <c r="E161" s="5"/>
      <c r="I161" s="215"/>
      <c r="M161" s="5"/>
      <c r="O161" s="103" t="s">
        <v>127</v>
      </c>
      <c r="P161" s="853">
        <v>100</v>
      </c>
      <c r="Q161" s="1271"/>
      <c r="R161" s="14" t="s">
        <v>602</v>
      </c>
      <c r="S161" s="214"/>
      <c r="T161" s="18"/>
      <c r="U161" s="18"/>
      <c r="V161" s="97"/>
    </row>
    <row r="162" spans="1:27" s="14" customFormat="1" ht="18" hidden="1" customHeight="1">
      <c r="A162" s="96"/>
      <c r="B162" s="47" t="s">
        <v>603</v>
      </c>
      <c r="C162" s="5"/>
      <c r="D162" s="5"/>
      <c r="E162" s="5"/>
      <c r="I162" s="215"/>
      <c r="M162" s="5"/>
      <c r="O162" s="103" t="s">
        <v>127</v>
      </c>
      <c r="P162" s="853">
        <f>P26</f>
        <v>25</v>
      </c>
      <c r="Q162" s="1271"/>
      <c r="R162" s="14" t="s">
        <v>604</v>
      </c>
      <c r="S162" s="214"/>
      <c r="T162" s="18"/>
      <c r="U162" s="18"/>
      <c r="V162" s="97"/>
    </row>
    <row r="163" spans="1:27" s="14" customFormat="1" ht="18" hidden="1" customHeight="1">
      <c r="A163" s="96"/>
      <c r="B163" s="47" t="s">
        <v>605</v>
      </c>
      <c r="C163" s="5"/>
      <c r="D163" s="5"/>
      <c r="E163" s="5"/>
      <c r="N163" s="120" t="s">
        <v>606</v>
      </c>
      <c r="O163" s="103" t="s">
        <v>607</v>
      </c>
      <c r="P163" s="854">
        <f>P27</f>
        <v>132</v>
      </c>
      <c r="Q163" s="1270"/>
      <c r="R163" s="14" t="s">
        <v>163</v>
      </c>
      <c r="S163" s="214"/>
      <c r="T163" s="18"/>
      <c r="U163" s="18"/>
      <c r="V163" s="97"/>
    </row>
    <row r="164" spans="1:27" s="14" customFormat="1" ht="18" hidden="1" customHeight="1">
      <c r="A164" s="216"/>
      <c r="B164" s="212"/>
      <c r="C164" s="212"/>
      <c r="D164" s="212"/>
      <c r="E164" s="212"/>
      <c r="T164" s="18"/>
      <c r="U164" s="18"/>
      <c r="V164" s="97"/>
    </row>
    <row r="165" spans="1:27" s="14" customFormat="1" ht="18" hidden="1" customHeight="1">
      <c r="A165" s="96"/>
      <c r="B165" s="14" t="s">
        <v>608</v>
      </c>
      <c r="C165" s="213"/>
      <c r="D165" s="213"/>
      <c r="E165" s="213"/>
      <c r="H165" s="120" t="s">
        <v>609</v>
      </c>
      <c r="I165" s="28" t="s">
        <v>127</v>
      </c>
      <c r="J165" s="689" t="s">
        <v>610</v>
      </c>
      <c r="K165" s="689"/>
      <c r="L165" s="28" t="s">
        <v>315</v>
      </c>
      <c r="M165" s="217">
        <v>1000</v>
      </c>
      <c r="N165" s="102" t="s">
        <v>342</v>
      </c>
      <c r="O165" s="14" t="s">
        <v>611</v>
      </c>
      <c r="P165" s="28" t="s">
        <v>315</v>
      </c>
      <c r="Q165" s="28" t="s">
        <v>606</v>
      </c>
      <c r="R165" s="47"/>
      <c r="T165" s="18"/>
      <c r="U165" s="18"/>
      <c r="V165" s="97"/>
    </row>
    <row r="166" spans="1:27" s="14" customFormat="1" ht="18" hidden="1" customHeight="1">
      <c r="A166" s="216"/>
      <c r="B166" s="213"/>
      <c r="C166" s="213"/>
      <c r="D166" s="213"/>
      <c r="E166" s="213"/>
      <c r="F166" s="212"/>
      <c r="G166" s="212"/>
      <c r="H166" s="28"/>
      <c r="I166" s="28" t="s">
        <v>127</v>
      </c>
      <c r="J166" s="689">
        <f>P161</f>
        <v>100</v>
      </c>
      <c r="K166" s="689"/>
      <c r="L166" s="28" t="s">
        <v>315</v>
      </c>
      <c r="M166" s="217">
        <v>1000</v>
      </c>
      <c r="N166" s="102" t="s">
        <v>342</v>
      </c>
      <c r="O166" s="14" t="s">
        <v>611</v>
      </c>
      <c r="P166" s="28" t="s">
        <v>315</v>
      </c>
      <c r="Q166" s="28">
        <f>P163</f>
        <v>132</v>
      </c>
      <c r="R166" s="47"/>
      <c r="T166" s="18"/>
      <c r="U166" s="18"/>
      <c r="V166" s="97"/>
    </row>
    <row r="167" spans="1:27" s="14" customFormat="1" ht="18" hidden="1" customHeight="1">
      <c r="A167" s="216"/>
      <c r="B167" s="212"/>
      <c r="C167" s="212"/>
      <c r="D167" s="212"/>
      <c r="E167" s="212"/>
      <c r="F167" s="212"/>
      <c r="G167" s="212"/>
      <c r="I167" s="28" t="s">
        <v>127</v>
      </c>
      <c r="J167" s="692">
        <f>(P161*1000)/(SQRT(3)*P163)</f>
        <v>437.38656756789834</v>
      </c>
      <c r="K167" s="692"/>
      <c r="L167" s="14" t="s">
        <v>8</v>
      </c>
      <c r="M167" s="120"/>
      <c r="N167" s="120"/>
      <c r="O167" s="120"/>
      <c r="T167" s="18"/>
      <c r="U167" s="18"/>
      <c r="V167" s="97"/>
    </row>
    <row r="168" spans="1:27" s="14" customFormat="1" ht="18" hidden="1" customHeight="1">
      <c r="A168" s="216"/>
      <c r="B168" s="212"/>
      <c r="C168" s="212"/>
      <c r="D168" s="212"/>
      <c r="E168" s="212"/>
      <c r="G168" s="212"/>
      <c r="H168" s="28"/>
      <c r="I168" s="103"/>
      <c r="J168" s="28"/>
      <c r="M168" s="212"/>
      <c r="N168" s="219"/>
      <c r="O168" s="212"/>
      <c r="T168" s="18"/>
      <c r="U168" s="18"/>
      <c r="V168" s="97"/>
    </row>
    <row r="169" spans="1:27" s="14" customFormat="1" ht="18" hidden="1" customHeight="1">
      <c r="A169" s="147" t="s">
        <v>629</v>
      </c>
      <c r="B169" s="5"/>
      <c r="C169" s="5"/>
      <c r="D169" s="5"/>
      <c r="E169" s="5"/>
      <c r="F169" s="212"/>
      <c r="G169" s="212"/>
      <c r="H169" s="5"/>
      <c r="I169" s="5"/>
      <c r="J169" s="5"/>
      <c r="K169" s="5"/>
      <c r="L169" s="103"/>
      <c r="M169" s="103"/>
      <c r="N169" s="103"/>
      <c r="O169" s="103"/>
      <c r="P169" s="212"/>
      <c r="Q169" s="213"/>
      <c r="S169" s="220"/>
      <c r="T169" s="18"/>
      <c r="U169" s="18"/>
      <c r="V169" s="97"/>
    </row>
    <row r="170" spans="1:27" s="14" customFormat="1" ht="18" hidden="1" customHeight="1">
      <c r="A170" s="147"/>
      <c r="B170" s="5"/>
      <c r="C170" s="5"/>
      <c r="D170" s="5"/>
      <c r="E170" s="5"/>
      <c r="F170" s="212"/>
      <c r="G170" s="212"/>
      <c r="H170" s="5"/>
      <c r="I170" s="5"/>
      <c r="J170" s="5"/>
      <c r="K170" s="5"/>
      <c r="L170" s="103"/>
      <c r="M170" s="103"/>
      <c r="N170" s="103"/>
      <c r="O170" s="103"/>
      <c r="P170" s="212"/>
      <c r="Q170" s="213"/>
      <c r="S170" s="214"/>
      <c r="T170" s="18"/>
      <c r="U170" s="18"/>
      <c r="V170" s="97"/>
    </row>
    <row r="171" spans="1:27" ht="18" hidden="1" customHeight="1">
      <c r="A171" s="184"/>
      <c r="B171" s="14" t="s">
        <v>612</v>
      </c>
      <c r="C171" s="14"/>
      <c r="D171" s="14"/>
      <c r="E171" s="14"/>
      <c r="M171" s="120" t="s">
        <v>613</v>
      </c>
      <c r="N171" s="28" t="s">
        <v>127</v>
      </c>
      <c r="O171" s="689" t="s">
        <v>609</v>
      </c>
      <c r="P171" s="716"/>
      <c r="Q171" s="221" t="s">
        <v>630</v>
      </c>
      <c r="R171" s="221">
        <v>16</v>
      </c>
      <c r="S171" s="214"/>
      <c r="V171" s="185"/>
    </row>
    <row r="172" spans="1:27" ht="18" hidden="1" customHeight="1">
      <c r="A172" s="96"/>
      <c r="B172" s="5"/>
      <c r="C172" s="5"/>
      <c r="D172" s="5"/>
      <c r="E172" s="5"/>
      <c r="M172" s="250"/>
      <c r="N172" s="28" t="s">
        <v>127</v>
      </c>
      <c r="O172" s="692">
        <f>+J167</f>
        <v>437.38656756789834</v>
      </c>
      <c r="P172" s="1214"/>
      <c r="Q172" s="221" t="s">
        <v>630</v>
      </c>
      <c r="R172" s="221">
        <v>16</v>
      </c>
      <c r="S172" s="214"/>
      <c r="V172" s="185"/>
    </row>
    <row r="173" spans="1:27" ht="18" hidden="1" customHeight="1">
      <c r="A173" s="96"/>
      <c r="B173" s="5"/>
      <c r="C173" s="5"/>
      <c r="D173" s="5"/>
      <c r="E173" s="5"/>
      <c r="M173" s="120" t="s">
        <v>613</v>
      </c>
      <c r="N173" s="28" t="s">
        <v>127</v>
      </c>
      <c r="O173" s="689">
        <f>O172*R172</f>
        <v>6998.1850810863734</v>
      </c>
      <c r="P173" s="716"/>
      <c r="Q173" s="241" t="s">
        <v>8</v>
      </c>
      <c r="R173" s="14"/>
      <c r="S173" s="214"/>
      <c r="V173" s="185"/>
      <c r="AA173" s="30">
        <f>O173/3000</f>
        <v>2.3327283603621245</v>
      </c>
    </row>
    <row r="174" spans="1:27" ht="18" hidden="1" customHeight="1">
      <c r="A174" s="96"/>
      <c r="B174" s="5"/>
      <c r="C174" s="5"/>
      <c r="D174" s="5"/>
      <c r="E174" s="5"/>
      <c r="M174" s="212"/>
      <c r="N174" s="212"/>
      <c r="O174" s="103"/>
      <c r="Q174" s="223"/>
      <c r="R174" s="14"/>
      <c r="S174" s="214"/>
      <c r="V174" s="185"/>
    </row>
    <row r="175" spans="1:27" ht="18" hidden="1" customHeight="1">
      <c r="A175" s="678" t="s">
        <v>614</v>
      </c>
      <c r="B175" s="1207"/>
      <c r="C175" s="1207"/>
      <c r="D175" s="1207"/>
      <c r="E175" s="1207"/>
      <c r="F175" s="1207"/>
      <c r="G175" s="1207"/>
      <c r="H175" s="1207"/>
      <c r="I175" s="1207"/>
      <c r="J175" s="1207"/>
      <c r="K175" s="1207"/>
      <c r="L175" s="1207"/>
      <c r="M175" s="1207"/>
      <c r="N175" s="1207"/>
      <c r="O175" s="1207"/>
      <c r="P175" s="1207"/>
      <c r="Q175" s="1207"/>
      <c r="R175" s="1207"/>
      <c r="S175" s="1207"/>
      <c r="T175" s="1207"/>
      <c r="U175" s="1207"/>
      <c r="V175" s="1208"/>
      <c r="X175" s="14" t="s">
        <v>615</v>
      </c>
    </row>
    <row r="176" spans="1:27" ht="18" hidden="1" customHeight="1">
      <c r="A176" s="1209"/>
      <c r="B176" s="1207"/>
      <c r="C176" s="1207"/>
      <c r="D176" s="1207"/>
      <c r="E176" s="1207"/>
      <c r="F176" s="1207"/>
      <c r="G176" s="1207"/>
      <c r="H176" s="1207"/>
      <c r="I176" s="1207"/>
      <c r="J176" s="1207"/>
      <c r="K176" s="1207"/>
      <c r="L176" s="1207"/>
      <c r="M176" s="1207"/>
      <c r="N176" s="1207"/>
      <c r="O176" s="1207"/>
      <c r="P176" s="1207"/>
      <c r="Q176" s="1207"/>
      <c r="R176" s="1207"/>
      <c r="S176" s="1207"/>
      <c r="T176" s="1207"/>
      <c r="U176" s="1207"/>
      <c r="V176" s="1208"/>
    </row>
    <row r="177" spans="1:22" ht="18" hidden="1" customHeight="1">
      <c r="A177" s="231"/>
      <c r="B177" s="232"/>
      <c r="C177" s="232"/>
      <c r="D177" s="232"/>
      <c r="E177" s="232"/>
      <c r="F177" s="232"/>
      <c r="G177" s="232"/>
      <c r="H177" s="232"/>
      <c r="I177" s="232"/>
      <c r="J177" s="232"/>
      <c r="K177" s="232"/>
      <c r="L177" s="232"/>
      <c r="M177" s="232"/>
      <c r="N177" s="232"/>
      <c r="O177" s="232"/>
      <c r="P177" s="232"/>
      <c r="Q177" s="232"/>
      <c r="R177" s="232"/>
      <c r="S177" s="232"/>
      <c r="T177" s="232"/>
      <c r="U177" s="232"/>
      <c r="V177" s="233"/>
    </row>
    <row r="178" spans="1:22" ht="18" hidden="1" customHeight="1">
      <c r="A178" s="231"/>
      <c r="B178" s="232"/>
      <c r="C178" s="232"/>
      <c r="D178" s="232"/>
      <c r="E178" s="232"/>
      <c r="F178" s="232"/>
      <c r="G178" s="232"/>
      <c r="H178" s="232"/>
      <c r="I178" s="232"/>
      <c r="J178" s="232"/>
      <c r="K178" s="232"/>
      <c r="L178" s="232"/>
      <c r="M178" s="232"/>
      <c r="N178" s="232"/>
      <c r="O178" s="232"/>
      <c r="P178" s="232"/>
      <c r="Q178" s="232"/>
      <c r="R178" s="232"/>
      <c r="S178" s="232"/>
      <c r="T178" s="232"/>
      <c r="U178" s="232"/>
      <c r="V178" s="233"/>
    </row>
    <row r="179" spans="1:22" ht="18" hidden="1" customHeight="1">
      <c r="A179" s="231"/>
      <c r="B179" s="232"/>
      <c r="C179" s="232"/>
      <c r="D179" s="232"/>
      <c r="E179" s="232"/>
      <c r="F179" s="232"/>
      <c r="G179" s="232"/>
      <c r="H179" s="232"/>
      <c r="I179" s="232"/>
      <c r="J179" s="232"/>
      <c r="K179" s="232"/>
      <c r="L179" s="232"/>
      <c r="M179" s="232"/>
      <c r="N179" s="232"/>
      <c r="O179" s="232"/>
      <c r="P179" s="232"/>
      <c r="Q179" s="232"/>
      <c r="R179" s="232"/>
      <c r="S179" s="232"/>
      <c r="T179" s="232"/>
      <c r="U179" s="232"/>
      <c r="V179" s="233"/>
    </row>
    <row r="180" spans="1:22" ht="18" hidden="1" customHeight="1">
      <c r="A180" s="231"/>
      <c r="B180" s="232"/>
      <c r="C180" s="232"/>
      <c r="D180" s="232"/>
      <c r="E180" s="232"/>
      <c r="F180" s="232"/>
      <c r="G180" s="232"/>
      <c r="H180" s="232"/>
      <c r="I180" s="232"/>
      <c r="J180" s="232"/>
      <c r="K180" s="232"/>
      <c r="L180" s="232"/>
      <c r="M180" s="232"/>
      <c r="N180" s="232"/>
      <c r="O180" s="232"/>
      <c r="P180" s="232"/>
      <c r="Q180" s="232"/>
      <c r="R180" s="232"/>
      <c r="S180" s="232"/>
      <c r="T180" s="232"/>
      <c r="U180" s="232"/>
      <c r="V180" s="233"/>
    </row>
    <row r="181" spans="1:22" s="14" customFormat="1" ht="18" hidden="1" customHeight="1">
      <c r="A181" s="194"/>
      <c r="B181" s="195"/>
      <c r="C181" s="195"/>
      <c r="D181" s="195"/>
      <c r="E181" s="195"/>
      <c r="F181" s="195"/>
      <c r="G181" s="195"/>
      <c r="H181" s="195"/>
      <c r="I181" s="195"/>
      <c r="J181" s="195"/>
      <c r="K181" s="195"/>
      <c r="L181" s="195"/>
      <c r="M181" s="195"/>
      <c r="N181" s="195"/>
      <c r="O181" s="195"/>
      <c r="P181" s="195"/>
      <c r="Q181" s="224"/>
      <c r="R181" s="182"/>
      <c r="S181" s="225"/>
      <c r="T181" s="195"/>
      <c r="U181" s="195"/>
      <c r="V181" s="134"/>
    </row>
    <row r="182" spans="1:22" ht="18" hidden="1" customHeight="1">
      <c r="A182" s="226"/>
      <c r="B182" s="227"/>
      <c r="C182" s="227"/>
      <c r="D182" s="227"/>
      <c r="E182" s="227"/>
      <c r="F182" s="227"/>
      <c r="G182" s="227"/>
      <c r="H182" s="227"/>
      <c r="I182" s="227"/>
      <c r="J182" s="227"/>
      <c r="K182" s="227"/>
      <c r="L182" s="227"/>
      <c r="M182" s="227"/>
      <c r="N182" s="227"/>
      <c r="O182" s="227"/>
      <c r="P182" s="227"/>
      <c r="Q182" s="227"/>
      <c r="R182" s="227"/>
      <c r="S182" s="227"/>
      <c r="T182" s="227"/>
      <c r="U182" s="227"/>
      <c r="V182" s="228"/>
    </row>
    <row r="183" spans="1:22" ht="18" hidden="1" customHeight="1">
      <c r="A183" s="799" t="s">
        <v>417</v>
      </c>
      <c r="B183" s="802"/>
      <c r="C183" s="802"/>
      <c r="D183" s="689">
        <v>30</v>
      </c>
      <c r="E183" s="689" t="s">
        <v>315</v>
      </c>
      <c r="F183" s="689" t="s">
        <v>609</v>
      </c>
      <c r="G183" s="684"/>
      <c r="H183" s="689" t="s">
        <v>315</v>
      </c>
      <c r="I183" s="708" t="s">
        <v>411</v>
      </c>
      <c r="J183" s="828"/>
      <c r="K183" s="689" t="s">
        <v>315</v>
      </c>
      <c r="L183" s="802" t="s">
        <v>419</v>
      </c>
      <c r="M183" s="716" t="s">
        <v>420</v>
      </c>
      <c r="N183" s="729" t="s">
        <v>347</v>
      </c>
      <c r="O183" s="716" t="s">
        <v>408</v>
      </c>
      <c r="P183" s="689" t="s">
        <v>347</v>
      </c>
      <c r="Q183" s="759" t="s">
        <v>421</v>
      </c>
      <c r="R183" s="797"/>
      <c r="S183" s="797"/>
      <c r="T183" s="798" t="s">
        <v>350</v>
      </c>
      <c r="U183" s="230" t="s">
        <v>422</v>
      </c>
      <c r="V183" s="97"/>
    </row>
    <row r="184" spans="1:22" ht="18" hidden="1" customHeight="1">
      <c r="A184" s="827"/>
      <c r="B184" s="802"/>
      <c r="C184" s="802"/>
      <c r="D184" s="689"/>
      <c r="E184" s="689"/>
      <c r="F184" s="684"/>
      <c r="G184" s="684"/>
      <c r="H184" s="689"/>
      <c r="I184" s="689" t="s">
        <v>423</v>
      </c>
      <c r="J184" s="723"/>
      <c r="K184" s="689"/>
      <c r="L184" s="802"/>
      <c r="M184" s="716"/>
      <c r="N184" s="729"/>
      <c r="O184" s="716"/>
      <c r="P184" s="689"/>
      <c r="Q184" s="28" t="s">
        <v>146</v>
      </c>
      <c r="R184" s="28" t="s">
        <v>315</v>
      </c>
      <c r="S184" s="28" t="s">
        <v>146</v>
      </c>
      <c r="T184" s="798"/>
      <c r="U184" s="14"/>
      <c r="V184" s="97"/>
    </row>
    <row r="185" spans="1:22" ht="18" hidden="1" customHeight="1">
      <c r="A185" s="184"/>
      <c r="V185" s="185"/>
    </row>
    <row r="186" spans="1:22" ht="18" hidden="1" customHeight="1">
      <c r="A186" s="799" t="s">
        <v>417</v>
      </c>
      <c r="B186" s="802"/>
      <c r="C186" s="802"/>
      <c r="D186" s="689">
        <v>2</v>
      </c>
      <c r="E186" s="689" t="s">
        <v>315</v>
      </c>
      <c r="F186" s="689" t="s">
        <v>613</v>
      </c>
      <c r="G186" s="684"/>
      <c r="H186" s="689" t="s">
        <v>315</v>
      </c>
      <c r="I186" s="708" t="s">
        <v>411</v>
      </c>
      <c r="J186" s="828"/>
      <c r="K186" s="689" t="s">
        <v>315</v>
      </c>
      <c r="L186" s="802" t="s">
        <v>419</v>
      </c>
      <c r="M186" s="716" t="s">
        <v>420</v>
      </c>
      <c r="N186" s="729" t="s">
        <v>347</v>
      </c>
      <c r="O186" s="716" t="s">
        <v>408</v>
      </c>
      <c r="P186" s="689" t="s">
        <v>347</v>
      </c>
      <c r="Q186" s="759" t="s">
        <v>421</v>
      </c>
      <c r="R186" s="797"/>
      <c r="S186" s="797"/>
      <c r="T186" s="798" t="s">
        <v>350</v>
      </c>
      <c r="U186" s="230" t="s">
        <v>426</v>
      </c>
      <c r="V186" s="97"/>
    </row>
    <row r="187" spans="1:22" ht="18" hidden="1" customHeight="1">
      <c r="A187" s="827"/>
      <c r="B187" s="802"/>
      <c r="C187" s="802"/>
      <c r="D187" s="689"/>
      <c r="E187" s="689"/>
      <c r="F187" s="684"/>
      <c r="G187" s="684"/>
      <c r="H187" s="689"/>
      <c r="I187" s="689" t="s">
        <v>423</v>
      </c>
      <c r="J187" s="723"/>
      <c r="K187" s="689"/>
      <c r="L187" s="802"/>
      <c r="M187" s="716"/>
      <c r="N187" s="729"/>
      <c r="O187" s="716"/>
      <c r="P187" s="689"/>
      <c r="Q187" s="28" t="s">
        <v>146</v>
      </c>
      <c r="R187" s="28" t="s">
        <v>315</v>
      </c>
      <c r="S187" s="28" t="s">
        <v>146</v>
      </c>
      <c r="T187" s="798"/>
      <c r="U187" s="14"/>
      <c r="V187" s="97"/>
    </row>
    <row r="188" spans="1:22" ht="18" hidden="1" customHeight="1">
      <c r="A188" s="184"/>
      <c r="V188" s="185"/>
    </row>
    <row r="189" spans="1:22" ht="18" hidden="1" customHeight="1">
      <c r="A189" s="678" t="s">
        <v>616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2"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2" ht="18" hidden="1" customHeight="1">
      <c r="A191" s="231"/>
      <c r="B191" s="232"/>
      <c r="C191" s="232"/>
      <c r="D191" s="232"/>
      <c r="E191" s="232"/>
      <c r="F191" s="232"/>
      <c r="G191" s="232"/>
      <c r="H191" s="232"/>
      <c r="I191" s="232"/>
      <c r="J191" s="232"/>
      <c r="K191" s="232"/>
      <c r="L191" s="232"/>
      <c r="M191" s="232"/>
      <c r="N191" s="232"/>
      <c r="O191" s="232"/>
      <c r="P191" s="232"/>
      <c r="Q191" s="232"/>
      <c r="R191" s="232"/>
      <c r="S191" s="232"/>
      <c r="T191" s="232"/>
      <c r="U191" s="232"/>
      <c r="V191" s="233"/>
    </row>
    <row r="192" spans="1:22" ht="18" hidden="1" customHeight="1">
      <c r="A192" s="799" t="s">
        <v>417</v>
      </c>
      <c r="B192" s="802"/>
      <c r="C192" s="802"/>
      <c r="D192" s="689"/>
      <c r="E192" s="689"/>
      <c r="F192" s="689" t="s">
        <v>617</v>
      </c>
      <c r="G192" s="684"/>
      <c r="H192" s="689" t="s">
        <v>315</v>
      </c>
      <c r="I192" s="708" t="s">
        <v>411</v>
      </c>
      <c r="J192" s="828"/>
      <c r="K192" s="689" t="s">
        <v>315</v>
      </c>
      <c r="L192" s="802" t="s">
        <v>419</v>
      </c>
      <c r="M192" s="716" t="s">
        <v>420</v>
      </c>
      <c r="N192" s="729" t="s">
        <v>347</v>
      </c>
      <c r="O192" s="716" t="s">
        <v>408</v>
      </c>
      <c r="P192" s="689" t="s">
        <v>347</v>
      </c>
      <c r="Q192" s="759" t="s">
        <v>421</v>
      </c>
      <c r="R192" s="797"/>
      <c r="S192" s="797"/>
      <c r="T192" s="798" t="s">
        <v>350</v>
      </c>
      <c r="U192" s="230" t="s">
        <v>618</v>
      </c>
      <c r="V192" s="97"/>
    </row>
    <row r="193" spans="1:22" ht="18" hidden="1" customHeight="1">
      <c r="A193" s="827"/>
      <c r="B193" s="802"/>
      <c r="C193" s="802"/>
      <c r="D193" s="689"/>
      <c r="E193" s="689"/>
      <c r="F193" s="684"/>
      <c r="G193" s="684"/>
      <c r="H193" s="689"/>
      <c r="I193" s="689" t="s">
        <v>423</v>
      </c>
      <c r="J193" s="723"/>
      <c r="K193" s="689"/>
      <c r="L193" s="802"/>
      <c r="M193" s="716"/>
      <c r="N193" s="729"/>
      <c r="O193" s="716"/>
      <c r="P193" s="689"/>
      <c r="Q193" s="28" t="s">
        <v>146</v>
      </c>
      <c r="R193" s="28" t="s">
        <v>315</v>
      </c>
      <c r="S193" s="28" t="s">
        <v>146</v>
      </c>
      <c r="T193" s="798"/>
      <c r="U193" s="14"/>
      <c r="V193" s="97"/>
    </row>
    <row r="194" spans="1:22" ht="18" hidden="1" customHeight="1">
      <c r="A194" s="96"/>
      <c r="B194" s="14"/>
      <c r="C194" s="14"/>
      <c r="D194" s="28"/>
      <c r="E194" s="28"/>
      <c r="F194" s="27"/>
      <c r="G194" s="27"/>
      <c r="H194" s="28"/>
      <c r="I194" s="28"/>
      <c r="K194" s="28"/>
      <c r="L194" s="120"/>
      <c r="M194" s="14"/>
      <c r="N194" s="102"/>
      <c r="O194" s="14"/>
      <c r="P194" s="28"/>
      <c r="Q194" s="28"/>
      <c r="R194" s="28"/>
      <c r="S194" s="28"/>
      <c r="T194" s="40"/>
      <c r="U194" s="14"/>
      <c r="V194" s="97"/>
    </row>
    <row r="195" spans="1:22" ht="18" hidden="1" customHeight="1">
      <c r="A195" s="184"/>
      <c r="H195" s="30" t="s">
        <v>619</v>
      </c>
      <c r="M195" s="854" t="str">
        <f>M59</f>
        <v>N</v>
      </c>
      <c r="N195" s="831"/>
      <c r="V195" s="185"/>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84"/>
      <c r="B197" s="14" t="s">
        <v>427</v>
      </c>
      <c r="C197" s="14"/>
      <c r="D197" s="103"/>
      <c r="E197" s="103"/>
      <c r="F197" s="14"/>
      <c r="G197" s="14"/>
      <c r="H197" s="5"/>
      <c r="I197" s="5"/>
      <c r="J197" s="5"/>
      <c r="P197" s="120" t="s">
        <v>428</v>
      </c>
      <c r="V197" s="185"/>
    </row>
    <row r="198" spans="1:22" ht="18" hidden="1" customHeight="1">
      <c r="A198" s="184"/>
      <c r="B198" s="14" t="s">
        <v>429</v>
      </c>
      <c r="C198" s="14"/>
      <c r="D198" s="103"/>
      <c r="E198" s="103"/>
      <c r="F198" s="14"/>
      <c r="G198" s="14"/>
      <c r="H198" s="5"/>
      <c r="I198" s="5"/>
      <c r="J198" s="5"/>
      <c r="P198" s="120" t="s">
        <v>430</v>
      </c>
      <c r="Q198" s="234" t="s">
        <v>127</v>
      </c>
      <c r="R198" s="684" t="str">
        <f>J146</f>
        <v>-</v>
      </c>
      <c r="S198" s="684"/>
      <c r="T198" s="14" t="s">
        <v>8</v>
      </c>
      <c r="V198" s="185"/>
    </row>
    <row r="199" spans="1:22" ht="18" hidden="1" customHeight="1">
      <c r="A199" s="184"/>
      <c r="B199" s="14" t="s">
        <v>621</v>
      </c>
      <c r="C199" s="14"/>
      <c r="D199" s="14"/>
      <c r="E199" s="14"/>
      <c r="F199" s="14"/>
      <c r="G199" s="14"/>
      <c r="H199" s="14"/>
      <c r="I199" s="14"/>
      <c r="J199" s="14"/>
      <c r="P199" s="120" t="s">
        <v>609</v>
      </c>
      <c r="Q199" s="234" t="s">
        <v>127</v>
      </c>
      <c r="R199" s="684">
        <f>J167</f>
        <v>437.38656756789834</v>
      </c>
      <c r="S199" s="684"/>
      <c r="T199" s="14" t="s">
        <v>8</v>
      </c>
      <c r="V199" s="185"/>
    </row>
    <row r="200" spans="1:22" ht="18" hidden="1" customHeight="1">
      <c r="A200" s="184"/>
      <c r="B200" s="14" t="s">
        <v>622</v>
      </c>
      <c r="C200" s="14"/>
      <c r="D200" s="14"/>
      <c r="E200" s="14"/>
      <c r="F200" s="14"/>
      <c r="G200" s="14"/>
      <c r="H200" s="14"/>
      <c r="I200" s="14"/>
      <c r="J200" s="14"/>
      <c r="P200" s="120" t="s">
        <v>613</v>
      </c>
      <c r="Q200" s="234" t="s">
        <v>127</v>
      </c>
      <c r="R200" s="684">
        <f>O173</f>
        <v>6998.1850810863734</v>
      </c>
      <c r="S200" s="684"/>
      <c r="T200" s="14" t="s">
        <v>8</v>
      </c>
      <c r="V200" s="185"/>
    </row>
    <row r="201" spans="1:22" ht="18" hidden="1" customHeight="1">
      <c r="A201" s="184"/>
      <c r="B201" s="235" t="s">
        <v>623</v>
      </c>
      <c r="C201" s="14"/>
      <c r="D201" s="14"/>
      <c r="E201" s="14"/>
      <c r="F201" s="14"/>
      <c r="G201" s="14"/>
      <c r="H201" s="14"/>
      <c r="I201" s="14"/>
      <c r="J201" s="14"/>
      <c r="P201" s="120"/>
      <c r="Q201" s="236"/>
      <c r="R201" s="27"/>
      <c r="S201" s="27"/>
      <c r="T201" s="14"/>
      <c r="V201" s="185"/>
    </row>
    <row r="202" spans="1:22" ht="18" hidden="1" customHeight="1">
      <c r="A202" s="184"/>
      <c r="B202" s="14" t="s">
        <v>622</v>
      </c>
      <c r="C202" s="14"/>
      <c r="D202" s="14"/>
      <c r="E202" s="14"/>
      <c r="F202" s="14"/>
      <c r="G202" s="14"/>
      <c r="H202" s="14"/>
      <c r="I202" s="14"/>
      <c r="J202" s="14"/>
      <c r="P202" s="120" t="s">
        <v>617</v>
      </c>
      <c r="Q202" s="234" t="s">
        <v>127</v>
      </c>
      <c r="R202" s="684" t="str">
        <f>R66</f>
        <v>-</v>
      </c>
      <c r="S202" s="684"/>
      <c r="T202" s="14" t="s">
        <v>8</v>
      </c>
      <c r="V202" s="185"/>
    </row>
    <row r="203" spans="1:22" ht="18" hidden="1" customHeight="1">
      <c r="A203" s="184"/>
      <c r="B203" s="235" t="s">
        <v>624</v>
      </c>
      <c r="C203" s="14"/>
      <c r="D203" s="14"/>
      <c r="E203" s="14"/>
      <c r="F203" s="14"/>
      <c r="G203" s="14"/>
      <c r="H203" s="14"/>
      <c r="I203" s="14"/>
      <c r="J203" s="14"/>
      <c r="R203" s="27"/>
      <c r="S203" s="27"/>
      <c r="T203" s="14"/>
      <c r="V203" s="185"/>
    </row>
    <row r="204" spans="1:22" ht="18" hidden="1" customHeight="1">
      <c r="A204" s="184"/>
      <c r="B204" s="14" t="s">
        <v>435</v>
      </c>
      <c r="C204" s="14"/>
      <c r="D204" s="103"/>
      <c r="E204" s="103"/>
      <c r="F204" s="14"/>
      <c r="G204" s="14"/>
      <c r="H204" s="5"/>
      <c r="I204" s="5"/>
      <c r="J204" s="5"/>
      <c r="P204" s="120" t="s">
        <v>436</v>
      </c>
      <c r="Q204" s="234" t="s">
        <v>127</v>
      </c>
      <c r="R204" s="684">
        <f>O146</f>
        <v>1</v>
      </c>
      <c r="S204" s="684"/>
      <c r="T204" s="14" t="s">
        <v>8</v>
      </c>
      <c r="V204" s="185"/>
    </row>
    <row r="205" spans="1:22" ht="18" hidden="1" customHeight="1">
      <c r="A205" s="184"/>
      <c r="B205" s="14" t="s">
        <v>437</v>
      </c>
      <c r="C205" s="14"/>
      <c r="D205" s="103"/>
      <c r="E205" s="103"/>
      <c r="F205" s="14"/>
      <c r="G205" s="14"/>
      <c r="H205" s="5"/>
      <c r="I205" s="5"/>
      <c r="J205" s="5"/>
      <c r="P205" s="120" t="s">
        <v>438</v>
      </c>
      <c r="Q205" s="234" t="s">
        <v>127</v>
      </c>
      <c r="R205" s="684">
        <f>R69</f>
        <v>1</v>
      </c>
      <c r="S205" s="684"/>
      <c r="T205" s="14" t="s">
        <v>8</v>
      </c>
      <c r="V205" s="185"/>
    </row>
    <row r="206" spans="1:22" ht="18" hidden="1" customHeight="1">
      <c r="A206" s="184"/>
      <c r="B206" s="14" t="s">
        <v>439</v>
      </c>
      <c r="C206" s="14"/>
      <c r="D206" s="103"/>
      <c r="E206" s="103"/>
      <c r="F206" s="14"/>
      <c r="G206" s="14"/>
      <c r="H206" s="5"/>
      <c r="I206" s="5"/>
      <c r="J206" s="5"/>
      <c r="P206" s="120" t="s">
        <v>440</v>
      </c>
      <c r="Q206" s="234" t="s">
        <v>127</v>
      </c>
      <c r="R206" s="684">
        <f>J148</f>
        <v>2.7</v>
      </c>
      <c r="S206" s="684"/>
      <c r="T206" s="192" t="s">
        <v>333</v>
      </c>
      <c r="V206" s="185"/>
    </row>
    <row r="207" spans="1:22" ht="18" hidden="1" customHeight="1">
      <c r="A207" s="184"/>
      <c r="B207" s="14" t="s">
        <v>625</v>
      </c>
      <c r="C207" s="14"/>
      <c r="D207" s="14"/>
      <c r="E207" s="14"/>
      <c r="F207" s="14"/>
      <c r="G207" s="14"/>
      <c r="H207" s="14"/>
      <c r="I207" s="14"/>
      <c r="J207" s="14"/>
      <c r="P207" s="237" t="s">
        <v>441</v>
      </c>
      <c r="Q207" s="234" t="s">
        <v>127</v>
      </c>
      <c r="R207" s="795">
        <f>P158</f>
        <v>1.1867743100000001</v>
      </c>
      <c r="S207" s="684"/>
      <c r="T207" s="192" t="s">
        <v>333</v>
      </c>
      <c r="V207" s="185"/>
    </row>
    <row r="208" spans="1:22" ht="18" hidden="1" customHeight="1">
      <c r="A208" s="184"/>
      <c r="B208" s="40" t="s">
        <v>626</v>
      </c>
      <c r="C208" s="14"/>
      <c r="D208" s="14"/>
      <c r="E208" s="14"/>
      <c r="F208" s="14"/>
      <c r="G208" s="14"/>
      <c r="H208" s="5"/>
      <c r="I208" s="5"/>
      <c r="J208" s="5"/>
      <c r="P208" s="237" t="s">
        <v>443</v>
      </c>
      <c r="Q208" s="234" t="s">
        <v>127</v>
      </c>
      <c r="R208" s="795">
        <f>J154</f>
        <v>0.02</v>
      </c>
      <c r="S208" s="684"/>
      <c r="T208" s="14" t="s">
        <v>157</v>
      </c>
      <c r="V208" s="185"/>
    </row>
    <row r="209" spans="1:22" ht="18" hidden="1" customHeight="1">
      <c r="A209" s="184"/>
      <c r="V209" s="185"/>
    </row>
    <row r="210" spans="1:22" ht="18" hidden="1" customHeight="1">
      <c r="A210" s="799" t="s">
        <v>417</v>
      </c>
      <c r="B210" s="802"/>
      <c r="C210" s="802"/>
      <c r="D210" s="805">
        <v>30</v>
      </c>
      <c r="E210" s="805" t="s">
        <v>315</v>
      </c>
      <c r="F210" s="1184">
        <f>R199</f>
        <v>437.38656756789834</v>
      </c>
      <c r="G210" s="1111"/>
      <c r="H210" s="805" t="s">
        <v>315</v>
      </c>
      <c r="I210" s="822">
        <f>R204</f>
        <v>1</v>
      </c>
      <c r="J210" s="1269"/>
      <c r="K210" s="805" t="s">
        <v>315</v>
      </c>
      <c r="L210" s="815" t="s">
        <v>419</v>
      </c>
      <c r="M210" s="815">
        <f>R206</f>
        <v>2.7</v>
      </c>
      <c r="N210" s="816" t="s">
        <v>347</v>
      </c>
      <c r="O210" s="817">
        <f>R207</f>
        <v>1.1867743100000001</v>
      </c>
      <c r="P210" s="805" t="s">
        <v>347</v>
      </c>
      <c r="Q210" s="1259">
        <f>R208</f>
        <v>0.02</v>
      </c>
      <c r="R210" s="807"/>
      <c r="S210" s="807"/>
      <c r="T210" s="798" t="s">
        <v>350</v>
      </c>
      <c r="U210" s="230" t="s">
        <v>422</v>
      </c>
      <c r="V210" s="97"/>
    </row>
    <row r="211" spans="1:22" ht="18" hidden="1" customHeight="1">
      <c r="A211" s="827"/>
      <c r="B211" s="802"/>
      <c r="C211" s="802"/>
      <c r="D211" s="805"/>
      <c r="E211" s="805"/>
      <c r="F211" s="1111"/>
      <c r="G211" s="1111"/>
      <c r="H211" s="805"/>
      <c r="I211" s="805" t="str">
        <f>R198</f>
        <v>-</v>
      </c>
      <c r="J211" s="1234"/>
      <c r="K211" s="805"/>
      <c r="L211" s="815"/>
      <c r="M211" s="815"/>
      <c r="N211" s="816"/>
      <c r="O211" s="815"/>
      <c r="P211" s="805"/>
      <c r="Q211" s="221">
        <f>R205</f>
        <v>1</v>
      </c>
      <c r="R211" s="221" t="s">
        <v>315</v>
      </c>
      <c r="S211" s="221">
        <f>R205</f>
        <v>1</v>
      </c>
      <c r="T211" s="798"/>
      <c r="U211" s="14"/>
      <c r="V211" s="97"/>
    </row>
    <row r="212" spans="1:22" ht="18" hidden="1" customHeight="1">
      <c r="A212" s="184"/>
      <c r="V212" s="185"/>
    </row>
    <row r="213" spans="1:22" ht="18" hidden="1" customHeight="1">
      <c r="A213" s="184"/>
      <c r="C213" s="30" t="s">
        <v>127</v>
      </c>
      <c r="D213" s="812" t="e">
        <f>D210*F210*(I210/I211)*(M210+O210+(Q210/(Q211*S211)))</f>
        <v>#VALUE!</v>
      </c>
      <c r="E213" s="813"/>
      <c r="F213" s="30" t="s">
        <v>305</v>
      </c>
      <c r="V213" s="185"/>
    </row>
    <row r="214" spans="1:22" ht="18" hidden="1" customHeight="1">
      <c r="A214" s="184"/>
      <c r="V214" s="185"/>
    </row>
    <row r="215" spans="1:22" ht="18" hidden="1" customHeight="1">
      <c r="A215" s="799" t="s">
        <v>417</v>
      </c>
      <c r="B215" s="802"/>
      <c r="C215" s="802"/>
      <c r="D215" s="805">
        <v>2</v>
      </c>
      <c r="E215" s="805" t="s">
        <v>315</v>
      </c>
      <c r="F215" s="1184">
        <f>R200</f>
        <v>6998.1850810863734</v>
      </c>
      <c r="G215" s="1111"/>
      <c r="H215" s="805" t="s">
        <v>315</v>
      </c>
      <c r="I215" s="822">
        <f>R204</f>
        <v>1</v>
      </c>
      <c r="J215" s="1269"/>
      <c r="K215" s="805" t="s">
        <v>315</v>
      </c>
      <c r="L215" s="808" t="s">
        <v>419</v>
      </c>
      <c r="M215" s="815">
        <f>R206</f>
        <v>2.7</v>
      </c>
      <c r="N215" s="816" t="s">
        <v>347</v>
      </c>
      <c r="O215" s="817">
        <f>R207</f>
        <v>1.1867743100000001</v>
      </c>
      <c r="P215" s="805" t="s">
        <v>347</v>
      </c>
      <c r="Q215" s="1259">
        <f>R208</f>
        <v>0.02</v>
      </c>
      <c r="R215" s="807"/>
      <c r="S215" s="807"/>
      <c r="T215" s="798" t="s">
        <v>350</v>
      </c>
      <c r="U215" s="230" t="s">
        <v>426</v>
      </c>
      <c r="V215" s="97"/>
    </row>
    <row r="216" spans="1:22" ht="18" hidden="1" customHeight="1">
      <c r="A216" s="827"/>
      <c r="B216" s="802"/>
      <c r="C216" s="802"/>
      <c r="D216" s="805"/>
      <c r="E216" s="805"/>
      <c r="F216" s="1111"/>
      <c r="G216" s="1111"/>
      <c r="H216" s="805"/>
      <c r="I216" s="805" t="str">
        <f>R198</f>
        <v>-</v>
      </c>
      <c r="J216" s="1234"/>
      <c r="K216" s="805"/>
      <c r="L216" s="808"/>
      <c r="M216" s="815"/>
      <c r="N216" s="816"/>
      <c r="O216" s="815"/>
      <c r="P216" s="805"/>
      <c r="Q216" s="221">
        <f>R205</f>
        <v>1</v>
      </c>
      <c r="R216" s="221" t="s">
        <v>315</v>
      </c>
      <c r="S216" s="221">
        <f>R205</f>
        <v>1</v>
      </c>
      <c r="T216" s="798"/>
      <c r="U216" s="14"/>
      <c r="V216" s="97"/>
    </row>
    <row r="217" spans="1:22" ht="18" hidden="1" customHeight="1">
      <c r="A217" s="184"/>
      <c r="L217" s="244"/>
      <c r="V217" s="185"/>
    </row>
    <row r="218" spans="1:22" ht="18" hidden="1" customHeight="1">
      <c r="A218" s="184"/>
      <c r="C218" s="30" t="s">
        <v>127</v>
      </c>
      <c r="D218" s="812" t="e">
        <f>D215*F215*(I215/I216)*(M215+O215+(Q215/(Q216*S216)))</f>
        <v>#VALUE!</v>
      </c>
      <c r="E218" s="813"/>
      <c r="F218" s="30" t="s">
        <v>305</v>
      </c>
      <c r="L218" s="244"/>
      <c r="V218" s="185"/>
    </row>
    <row r="219" spans="1:22" ht="18" hidden="1" customHeight="1">
      <c r="A219" s="184"/>
      <c r="L219" s="244"/>
      <c r="V219" s="185"/>
    </row>
    <row r="220" spans="1:22" ht="18" hidden="1" customHeight="1">
      <c r="A220" s="799" t="s">
        <v>417</v>
      </c>
      <c r="B220" s="802"/>
      <c r="C220" s="802"/>
      <c r="D220" s="689"/>
      <c r="E220" s="689"/>
      <c r="F220" s="805" t="str">
        <f>R202</f>
        <v>-</v>
      </c>
      <c r="G220" s="993"/>
      <c r="H220" s="805" t="s">
        <v>315</v>
      </c>
      <c r="I220" s="822">
        <f>R204</f>
        <v>1</v>
      </c>
      <c r="J220" s="1269"/>
      <c r="K220" s="805" t="s">
        <v>315</v>
      </c>
      <c r="L220" s="808" t="s">
        <v>419</v>
      </c>
      <c r="M220" s="815">
        <f>R206</f>
        <v>2.7</v>
      </c>
      <c r="N220" s="816" t="s">
        <v>347</v>
      </c>
      <c r="O220" s="817">
        <f>R207</f>
        <v>1.1867743100000001</v>
      </c>
      <c r="P220" s="805" t="s">
        <v>347</v>
      </c>
      <c r="Q220" s="1259">
        <f>R208</f>
        <v>0.02</v>
      </c>
      <c r="R220" s="807"/>
      <c r="S220" s="807"/>
      <c r="T220" s="798" t="s">
        <v>350</v>
      </c>
      <c r="U220" s="230" t="s">
        <v>618</v>
      </c>
      <c r="V220" s="97"/>
    </row>
    <row r="221" spans="1:22" ht="18" hidden="1" customHeight="1">
      <c r="A221" s="827"/>
      <c r="B221" s="802"/>
      <c r="C221" s="802"/>
      <c r="D221" s="689"/>
      <c r="E221" s="689"/>
      <c r="F221" s="993"/>
      <c r="G221" s="993"/>
      <c r="H221" s="805"/>
      <c r="I221" s="805" t="str">
        <f>R198</f>
        <v>-</v>
      </c>
      <c r="J221" s="1234"/>
      <c r="K221" s="805"/>
      <c r="L221" s="808"/>
      <c r="M221" s="815"/>
      <c r="N221" s="816"/>
      <c r="O221" s="815"/>
      <c r="P221" s="805"/>
      <c r="Q221" s="221">
        <f>R205</f>
        <v>1</v>
      </c>
      <c r="R221" s="221" t="s">
        <v>315</v>
      </c>
      <c r="S221" s="221">
        <f>R205</f>
        <v>1</v>
      </c>
      <c r="T221" s="798"/>
      <c r="U221" s="14"/>
      <c r="V221" s="97"/>
    </row>
    <row r="222" spans="1:22" ht="18" hidden="1" customHeight="1">
      <c r="A222" s="184"/>
      <c r="V222" s="185"/>
    </row>
    <row r="223" spans="1:22" ht="18" hidden="1" customHeight="1">
      <c r="A223" s="184"/>
      <c r="C223" s="30" t="s">
        <v>127</v>
      </c>
      <c r="D223" s="812" t="e">
        <f>F220*(I220/I221)*(M220+O220+(Q220/(Q221*S221)))</f>
        <v>#VALUE!</v>
      </c>
      <c r="E223" s="813"/>
      <c r="F223" s="30" t="s">
        <v>305</v>
      </c>
      <c r="G223" s="187" t="s">
        <v>378</v>
      </c>
      <c r="H223" s="186" t="str">
        <f>IF(M195="y","Applicable","Not applicable")</f>
        <v>Not applicable</v>
      </c>
      <c r="V223" s="185"/>
    </row>
    <row r="224" spans="1:22" ht="18" hidden="1" customHeight="1">
      <c r="A224" s="184"/>
      <c r="D224" s="211"/>
      <c r="E224" s="211"/>
      <c r="G224" s="187"/>
      <c r="H224" s="186"/>
      <c r="V224" s="185"/>
    </row>
    <row r="225" spans="1:22" ht="18" hidden="1" customHeight="1">
      <c r="A225" s="184"/>
      <c r="D225" s="211"/>
      <c r="E225" s="211"/>
      <c r="G225" s="187"/>
      <c r="H225" s="186"/>
      <c r="V225" s="185"/>
    </row>
    <row r="226" spans="1:22" ht="18" hidden="1" customHeight="1">
      <c r="A226" s="184"/>
      <c r="D226" s="211"/>
      <c r="E226" s="211"/>
      <c r="G226" s="187"/>
      <c r="H226" s="186"/>
      <c r="V226" s="185"/>
    </row>
    <row r="227" spans="1:22" ht="18" hidden="1" customHeight="1">
      <c r="A227" s="184"/>
      <c r="D227" s="211"/>
      <c r="E227" s="211"/>
      <c r="G227" s="187"/>
      <c r="H227" s="186"/>
      <c r="V227" s="185"/>
    </row>
    <row r="228" spans="1:22" ht="18" hidden="1" customHeight="1">
      <c r="A228" s="184"/>
      <c r="D228" s="211"/>
      <c r="E228" s="211"/>
      <c r="G228" s="187"/>
      <c r="H228" s="186"/>
      <c r="V228" s="185"/>
    </row>
    <row r="229" spans="1:22" ht="18" hidden="1" customHeight="1">
      <c r="A229" s="184"/>
      <c r="D229" s="211"/>
      <c r="E229" s="211"/>
      <c r="G229" s="187"/>
      <c r="H229" s="186"/>
      <c r="V229" s="185"/>
    </row>
    <row r="230" spans="1:22" ht="18" hidden="1" customHeight="1">
      <c r="A230" s="184"/>
      <c r="D230" s="211"/>
      <c r="E230" s="211"/>
      <c r="G230" s="187"/>
      <c r="H230" s="186"/>
      <c r="V230" s="185"/>
    </row>
    <row r="231" spans="1:22" ht="18" hidden="1" customHeight="1">
      <c r="A231" s="184"/>
      <c r="V231" s="185"/>
    </row>
    <row r="232" spans="1:22" s="14" customFormat="1" ht="18" hidden="1" customHeight="1">
      <c r="A232" s="194"/>
      <c r="B232" s="195"/>
      <c r="C232" s="195"/>
      <c r="D232" s="195"/>
      <c r="E232" s="195"/>
      <c r="F232" s="195"/>
      <c r="G232" s="195"/>
      <c r="H232" s="195"/>
      <c r="I232" s="195"/>
      <c r="J232" s="195"/>
      <c r="K232" s="195"/>
      <c r="L232" s="195"/>
      <c r="M232" s="195"/>
      <c r="N232" s="195"/>
      <c r="O232" s="195"/>
      <c r="P232" s="195"/>
      <c r="Q232" s="224"/>
      <c r="R232" s="182"/>
      <c r="S232" s="225"/>
      <c r="T232" s="195"/>
      <c r="U232" s="195"/>
      <c r="V232" s="134"/>
    </row>
    <row r="233" spans="1:22" ht="18" hidden="1" customHeight="1">
      <c r="A233" s="226"/>
      <c r="B233" s="227"/>
      <c r="C233" s="227"/>
      <c r="D233" s="227"/>
      <c r="E233" s="227"/>
      <c r="F233" s="227"/>
      <c r="G233" s="227"/>
      <c r="H233" s="227"/>
      <c r="I233" s="227"/>
      <c r="J233" s="227"/>
      <c r="K233" s="227"/>
      <c r="L233" s="227"/>
      <c r="M233" s="227"/>
      <c r="N233" s="227"/>
      <c r="O233" s="227"/>
      <c r="P233" s="227"/>
      <c r="Q233" s="227"/>
      <c r="R233" s="227"/>
      <c r="S233" s="227"/>
      <c r="T233" s="227"/>
      <c r="U233" s="227"/>
      <c r="V233" s="228"/>
    </row>
    <row r="234" spans="1:22" ht="18" hidden="1" customHeight="1">
      <c r="A234" s="96" t="s">
        <v>627</v>
      </c>
      <c r="M234" s="825" t="str">
        <f>R198</f>
        <v>-</v>
      </c>
      <c r="N234" s="826"/>
      <c r="O234" s="30" t="s">
        <v>470</v>
      </c>
      <c r="Q234" s="812" t="e">
        <f>IF(M195="Y",MAX(D213,D223),MAX(D213,D218))</f>
        <v>#VALUE!</v>
      </c>
      <c r="R234" s="820"/>
      <c r="S234" s="30" t="s">
        <v>305</v>
      </c>
      <c r="V234" s="185"/>
    </row>
    <row r="235" spans="1:22" ht="18" hidden="1" customHeight="1">
      <c r="A235" s="184"/>
      <c r="M235" s="247"/>
      <c r="N235" s="247"/>
      <c r="Q235" s="211"/>
      <c r="R235" s="27"/>
      <c r="V235" s="185"/>
    </row>
    <row r="236" spans="1:22" ht="18" hidden="1" customHeight="1">
      <c r="A236" s="248" t="s">
        <v>471</v>
      </c>
      <c r="B236" s="14"/>
      <c r="C236" s="14"/>
      <c r="D236" s="249"/>
      <c r="E236" s="14"/>
      <c r="F236" s="14"/>
      <c r="G236" s="47"/>
      <c r="H236" s="14"/>
      <c r="J236" s="14"/>
      <c r="K236" s="14"/>
      <c r="L236" s="14"/>
      <c r="M236" s="14"/>
      <c r="N236" s="14"/>
      <c r="O236" s="14"/>
      <c r="P236" s="250"/>
      <c r="Q236" s="251"/>
      <c r="R236" s="47"/>
      <c r="S236" s="14"/>
      <c r="V236" s="185"/>
    </row>
    <row r="237" spans="1:22" ht="18" hidden="1" customHeight="1">
      <c r="A237" s="248"/>
      <c r="B237" s="14"/>
      <c r="C237" s="14"/>
      <c r="D237" s="249"/>
      <c r="E237" s="14"/>
      <c r="F237" s="14"/>
      <c r="G237" s="47"/>
      <c r="H237" s="14"/>
      <c r="J237" s="14"/>
      <c r="K237" s="14"/>
      <c r="L237" s="14"/>
      <c r="M237" s="14"/>
      <c r="N237" s="14"/>
      <c r="O237" s="14"/>
      <c r="P237" s="250"/>
      <c r="Q237" s="251"/>
      <c r="R237" s="47"/>
      <c r="S237" s="14"/>
      <c r="V237" s="185"/>
    </row>
    <row r="238" spans="1:22" ht="18" hidden="1" customHeight="1">
      <c r="A238" s="96" t="s">
        <v>628</v>
      </c>
      <c r="V238" s="185"/>
    </row>
    <row r="239" spans="1:22" ht="18" hidden="1" customHeight="1">
      <c r="A239" s="184"/>
      <c r="N239" s="14"/>
      <c r="O239" s="14" t="s">
        <v>473</v>
      </c>
      <c r="P239" s="102" t="s">
        <v>127</v>
      </c>
      <c r="Q239" s="694" t="s">
        <v>474</v>
      </c>
      <c r="R239" s="694"/>
      <c r="S239" s="28" t="s">
        <v>315</v>
      </c>
      <c r="T239" s="28">
        <v>0.8</v>
      </c>
      <c r="V239" s="185"/>
    </row>
    <row r="240" spans="1:22" ht="18" hidden="1" customHeight="1">
      <c r="A240" s="184"/>
      <c r="N240" s="252"/>
      <c r="O240" s="14"/>
      <c r="P240" s="102" t="s">
        <v>127</v>
      </c>
      <c r="Q240" s="829" t="e">
        <f>+Q234</f>
        <v>#VALUE!</v>
      </c>
      <c r="R240" s="1147"/>
      <c r="S240" s="222" t="s">
        <v>315</v>
      </c>
      <c r="T240" s="253">
        <f>+T239</f>
        <v>0.8</v>
      </c>
      <c r="V240" s="185"/>
    </row>
    <row r="241" spans="1:22" ht="18" hidden="1" customHeight="1">
      <c r="A241" s="184"/>
      <c r="O241" s="14"/>
      <c r="P241" s="28" t="s">
        <v>127</v>
      </c>
      <c r="Q241" s="830" t="e">
        <f>Q240*T240</f>
        <v>#VALUE!</v>
      </c>
      <c r="R241" s="1270"/>
      <c r="S241" s="47" t="s">
        <v>305</v>
      </c>
      <c r="T241" s="14"/>
      <c r="V241" s="185"/>
    </row>
    <row r="242" spans="1:22" ht="18" hidden="1" customHeight="1">
      <c r="A242" s="184"/>
      <c r="V242" s="185"/>
    </row>
    <row r="243" spans="1:22" ht="18" hidden="1" customHeight="1">
      <c r="A243" s="184"/>
      <c r="D243" s="30" t="s">
        <v>475</v>
      </c>
      <c r="G243" s="28" t="s">
        <v>476</v>
      </c>
      <c r="H243" s="30" t="s">
        <v>477</v>
      </c>
      <c r="V243" s="185"/>
    </row>
    <row r="244" spans="1:22" ht="18" hidden="1" customHeight="1">
      <c r="A244" s="184"/>
      <c r="E244" s="684">
        <f>J149</f>
        <v>900</v>
      </c>
      <c r="F244" s="684"/>
      <c r="G244" s="28" t="s">
        <v>476</v>
      </c>
      <c r="H244" s="795" t="e">
        <f>Q241</f>
        <v>#VALUE!</v>
      </c>
      <c r="I244" s="684"/>
      <c r="V244" s="185"/>
    </row>
    <row r="245" spans="1:22" ht="18" hidden="1" customHeight="1">
      <c r="A245" s="184"/>
      <c r="F245" s="244" t="s">
        <v>478</v>
      </c>
      <c r="H245" s="18" t="e">
        <f>IF(E244&gt;H244,"Suitable Dimensions","Under Dimensioned")</f>
        <v>#VALUE!</v>
      </c>
      <c r="V245" s="185"/>
    </row>
    <row r="246" spans="1:22" ht="18" hidden="1" customHeight="1">
      <c r="A246" s="184"/>
      <c r="F246" s="244"/>
      <c r="H246" s="18"/>
      <c r="V246" s="185"/>
    </row>
    <row r="247" spans="1:22" ht="18" hidden="1" customHeight="1">
      <c r="A247" s="184"/>
      <c r="F247" s="244"/>
      <c r="H247" s="18"/>
      <c r="V247" s="185"/>
    </row>
    <row r="248" spans="1:22" ht="18" hidden="1" customHeight="1">
      <c r="A248" s="184"/>
      <c r="F248" s="244"/>
      <c r="H248" s="18"/>
      <c r="V248" s="185"/>
    </row>
    <row r="249" spans="1:22" ht="18" hidden="1" customHeight="1">
      <c r="A249" s="184"/>
      <c r="F249" s="244"/>
      <c r="H249" s="18"/>
      <c r="V249" s="185"/>
    </row>
    <row r="250" spans="1:22" ht="18" hidden="1" customHeight="1">
      <c r="A250" s="184"/>
      <c r="F250" s="244"/>
      <c r="H250" s="18"/>
      <c r="V250" s="185"/>
    </row>
    <row r="251" spans="1:22" ht="18" hidden="1" customHeight="1">
      <c r="A251" s="184"/>
      <c r="F251" s="244"/>
      <c r="H251" s="18"/>
      <c r="V251" s="185"/>
    </row>
    <row r="252" spans="1:22" ht="18" hidden="1" customHeight="1">
      <c r="A252" s="184"/>
      <c r="F252" s="244"/>
      <c r="H252" s="18"/>
      <c r="V252" s="185"/>
    </row>
    <row r="253" spans="1:22" ht="18" hidden="1" customHeight="1">
      <c r="A253" s="184"/>
      <c r="F253" s="244"/>
      <c r="H253" s="18"/>
      <c r="V253" s="185"/>
    </row>
    <row r="254" spans="1:22" ht="18" hidden="1" customHeight="1">
      <c r="A254" s="184"/>
      <c r="F254" s="244"/>
      <c r="H254" s="18"/>
      <c r="V254" s="185"/>
    </row>
    <row r="255" spans="1:22" ht="18" hidden="1" customHeight="1">
      <c r="A255" s="184"/>
      <c r="F255" s="244"/>
      <c r="H255" s="18"/>
      <c r="V255" s="185"/>
    </row>
    <row r="256" spans="1:22" ht="18" hidden="1" customHeight="1">
      <c r="A256" s="184"/>
      <c r="F256" s="244"/>
      <c r="H256" s="18"/>
      <c r="V256" s="185"/>
    </row>
    <row r="257" spans="1:22" ht="18" hidden="1" customHeight="1">
      <c r="A257" s="184"/>
      <c r="F257" s="244"/>
      <c r="H257" s="18"/>
      <c r="V257" s="185"/>
    </row>
    <row r="258" spans="1:22" ht="18" hidden="1" customHeight="1">
      <c r="A258" s="184"/>
      <c r="F258" s="244"/>
      <c r="H258" s="18"/>
      <c r="V258" s="185"/>
    </row>
    <row r="259" spans="1:22" ht="18" hidden="1" customHeight="1">
      <c r="A259" s="184"/>
      <c r="F259" s="244"/>
      <c r="H259" s="18"/>
      <c r="V259" s="185"/>
    </row>
    <row r="260" spans="1:22" ht="18" hidden="1" customHeight="1">
      <c r="A260" s="184"/>
      <c r="F260" s="244"/>
      <c r="H260" s="18"/>
      <c r="V260" s="185"/>
    </row>
    <row r="261" spans="1:22" ht="18" hidden="1" customHeight="1">
      <c r="A261" s="184"/>
      <c r="F261" s="244"/>
      <c r="H261" s="18"/>
      <c r="V261" s="185"/>
    </row>
    <row r="262" spans="1:22" ht="18" hidden="1" customHeight="1">
      <c r="A262" s="184"/>
      <c r="F262" s="244"/>
      <c r="H262" s="18"/>
      <c r="V262" s="185"/>
    </row>
    <row r="263" spans="1:22" ht="18" hidden="1" customHeight="1">
      <c r="A263" s="184"/>
      <c r="F263" s="244"/>
      <c r="H263" s="18"/>
      <c r="V263" s="185"/>
    </row>
    <row r="264" spans="1:22" ht="18" hidden="1" customHeight="1">
      <c r="A264" s="184"/>
      <c r="F264" s="244"/>
      <c r="H264" s="18"/>
      <c r="V264" s="185"/>
    </row>
    <row r="265" spans="1:22" ht="18" hidden="1" customHeight="1">
      <c r="A265" s="184"/>
      <c r="F265" s="244"/>
      <c r="H265" s="18"/>
      <c r="V265" s="185"/>
    </row>
    <row r="266" spans="1:22" ht="18" hidden="1" customHeight="1">
      <c r="A266" s="184"/>
      <c r="F266" s="244"/>
      <c r="H266" s="18"/>
      <c r="V266" s="185"/>
    </row>
    <row r="267" spans="1:22" ht="18" hidden="1" customHeight="1">
      <c r="A267" s="184"/>
      <c r="F267" s="244"/>
      <c r="H267" s="18"/>
      <c r="V267" s="185"/>
    </row>
    <row r="268" spans="1:22" ht="18" hidden="1" customHeight="1">
      <c r="A268" s="184"/>
      <c r="F268" s="244"/>
      <c r="H268" s="18"/>
      <c r="V268" s="185"/>
    </row>
    <row r="269" spans="1:22" ht="18" hidden="1" customHeight="1">
      <c r="A269" s="184"/>
      <c r="F269" s="244"/>
      <c r="H269" s="18"/>
      <c r="V269" s="185"/>
    </row>
    <row r="270" spans="1:22" ht="18" hidden="1" customHeight="1">
      <c r="A270" s="184"/>
      <c r="F270" s="244"/>
      <c r="H270" s="18"/>
      <c r="V270" s="185"/>
    </row>
    <row r="271" spans="1:22" ht="18" hidden="1" customHeight="1">
      <c r="A271" s="184"/>
      <c r="F271" s="244"/>
      <c r="H271" s="18"/>
      <c r="V271" s="185"/>
    </row>
    <row r="272" spans="1:22" s="14" customFormat="1" ht="18" hidden="1" customHeight="1">
      <c r="A272" s="194"/>
      <c r="B272" s="195"/>
      <c r="C272" s="195"/>
      <c r="D272" s="195"/>
      <c r="E272" s="195"/>
      <c r="F272" s="195"/>
      <c r="G272" s="195"/>
      <c r="H272" s="195"/>
      <c r="I272" s="195"/>
      <c r="J272" s="195"/>
      <c r="K272" s="195"/>
      <c r="L272" s="195"/>
      <c r="M272" s="195"/>
      <c r="N272" s="195"/>
      <c r="O272" s="195"/>
      <c r="P272" s="195"/>
      <c r="Q272" s="224"/>
      <c r="R272" s="182"/>
      <c r="S272" s="225"/>
      <c r="T272" s="195"/>
      <c r="U272" s="195"/>
      <c r="V272" s="134"/>
    </row>
    <row r="273" spans="1:29" ht="18" hidden="1" customHeight="1">
      <c r="A273" s="226"/>
      <c r="B273" s="227"/>
      <c r="C273" s="227"/>
      <c r="D273" s="227"/>
      <c r="E273" s="227"/>
      <c r="F273" s="227"/>
      <c r="G273" s="227"/>
      <c r="H273" s="227"/>
      <c r="I273" s="227"/>
      <c r="J273" s="227"/>
      <c r="K273" s="227"/>
      <c r="L273" s="227"/>
      <c r="M273" s="227"/>
      <c r="N273" s="227"/>
      <c r="O273" s="227"/>
      <c r="P273" s="227"/>
      <c r="Q273" s="227"/>
      <c r="R273" s="227"/>
      <c r="S273" s="227"/>
      <c r="T273" s="227"/>
      <c r="U273" s="227"/>
      <c r="V273" s="228"/>
    </row>
    <row r="274" spans="1:29" ht="18" hidden="1" customHeight="1">
      <c r="A274" s="184"/>
      <c r="B274" s="854" t="str">
        <f>B143</f>
        <v>T6</v>
      </c>
      <c r="C274" s="831"/>
      <c r="D274" s="855" t="str">
        <f>D143</f>
        <v>Core1</v>
      </c>
      <c r="E274" s="856"/>
      <c r="F274" s="186" t="s">
        <v>631</v>
      </c>
      <c r="H274" s="684" t="str">
        <f>H143</f>
        <v>(Transformer Differential)</v>
      </c>
      <c r="I274" s="684"/>
      <c r="J274" s="684"/>
      <c r="K274" s="684"/>
      <c r="L274" s="684"/>
      <c r="M274" s="684"/>
      <c r="P274" s="186"/>
      <c r="S274" s="187" t="s">
        <v>387</v>
      </c>
      <c r="T274" s="854" t="str">
        <f>T143</f>
        <v>RET670</v>
      </c>
      <c r="U274" s="831"/>
      <c r="V274" s="185"/>
    </row>
    <row r="275" spans="1:29" ht="18" hidden="1" customHeight="1">
      <c r="A275" s="184"/>
      <c r="B275" s="853">
        <f>B144</f>
        <v>0</v>
      </c>
      <c r="C275" s="853"/>
      <c r="D275" s="857"/>
      <c r="E275" s="858"/>
      <c r="F275" s="255"/>
      <c r="T275" s="854">
        <f>T144</f>
        <v>0</v>
      </c>
      <c r="U275" s="831"/>
      <c r="V275" s="185"/>
    </row>
    <row r="276" spans="1:29" ht="18" hidden="1" customHeight="1">
      <c r="A276" s="184"/>
      <c r="H276" s="708" t="s">
        <v>390</v>
      </c>
      <c r="I276" s="708"/>
      <c r="J276" s="708" t="s">
        <v>391</v>
      </c>
      <c r="K276" s="708"/>
      <c r="L276" s="789" t="s">
        <v>392</v>
      </c>
      <c r="M276" s="789"/>
      <c r="T276" s="854">
        <f>T145</f>
        <v>0</v>
      </c>
      <c r="U276" s="831"/>
      <c r="V276" s="185"/>
    </row>
    <row r="277" spans="1:29" ht="18" hidden="1" customHeight="1">
      <c r="A277" s="184"/>
      <c r="B277" s="47" t="s">
        <v>393</v>
      </c>
      <c r="H277" s="854">
        <f>H146</f>
        <v>2500</v>
      </c>
      <c r="I277" s="831"/>
      <c r="J277" s="854" t="str">
        <f>J146</f>
        <v>-</v>
      </c>
      <c r="K277" s="831"/>
      <c r="L277" s="863" t="str">
        <f>L146</f>
        <v>-</v>
      </c>
      <c r="M277" s="864"/>
      <c r="N277" s="102" t="s">
        <v>342</v>
      </c>
      <c r="O277" s="256">
        <f>O146</f>
        <v>1</v>
      </c>
      <c r="P277" s="27" t="s">
        <v>8</v>
      </c>
      <c r="V277" s="185"/>
    </row>
    <row r="278" spans="1:29" ht="18" hidden="1" customHeight="1">
      <c r="A278" s="184"/>
      <c r="B278" s="47" t="s">
        <v>394</v>
      </c>
      <c r="H278" s="14"/>
      <c r="I278" s="14"/>
      <c r="L278" s="854" t="str">
        <f>J147</f>
        <v>PX</v>
      </c>
      <c r="M278" s="831"/>
      <c r="V278" s="185"/>
    </row>
    <row r="279" spans="1:29" ht="18" hidden="1" customHeight="1">
      <c r="A279" s="184"/>
      <c r="B279" s="47" t="s">
        <v>396</v>
      </c>
      <c r="K279" s="120" t="s">
        <v>497</v>
      </c>
      <c r="L279" s="781" t="s">
        <v>6</v>
      </c>
      <c r="M279" s="782"/>
      <c r="N279" s="192" t="s">
        <v>333</v>
      </c>
      <c r="V279" s="185"/>
    </row>
    <row r="280" spans="1:29" ht="18" hidden="1" customHeight="1">
      <c r="A280" s="184"/>
      <c r="B280" s="47" t="s">
        <v>398</v>
      </c>
      <c r="K280" s="120" t="s">
        <v>498</v>
      </c>
      <c r="L280" s="781" t="s">
        <v>6</v>
      </c>
      <c r="M280" s="782"/>
      <c r="N280" s="14" t="s">
        <v>305</v>
      </c>
      <c r="V280" s="185"/>
      <c r="W280" s="30" t="s">
        <v>400</v>
      </c>
      <c r="AB280" s="785" t="e">
        <f>Q369</f>
        <v>#VALUE!</v>
      </c>
      <c r="AC280" s="786"/>
    </row>
    <row r="281" spans="1:29" ht="18" hidden="1" customHeight="1">
      <c r="A281" s="184"/>
      <c r="B281" s="14" t="s">
        <v>401</v>
      </c>
      <c r="K281" s="120" t="s">
        <v>402</v>
      </c>
      <c r="L281" s="781" t="s">
        <v>6</v>
      </c>
      <c r="M281" s="782"/>
      <c r="N281" s="14" t="s">
        <v>403</v>
      </c>
      <c r="V281" s="185"/>
    </row>
    <row r="282" spans="1:29" ht="18" hidden="1" customHeight="1">
      <c r="A282" s="184"/>
      <c r="V282" s="185"/>
    </row>
    <row r="283" spans="1:29" ht="18" hidden="1" customHeight="1">
      <c r="A283" s="193" t="s">
        <v>404</v>
      </c>
      <c r="V283" s="185"/>
    </row>
    <row r="284" spans="1:29" ht="18" hidden="1" customHeight="1">
      <c r="A284" s="184"/>
      <c r="V284" s="185"/>
    </row>
    <row r="285" spans="1:29" ht="18" hidden="1" customHeight="1">
      <c r="A285" s="184"/>
      <c r="B285" s="194" t="s">
        <v>405</v>
      </c>
      <c r="C285" s="195"/>
      <c r="D285" s="195" t="str">
        <f>T274</f>
        <v>RET670</v>
      </c>
      <c r="E285" s="196"/>
      <c r="F285" s="196"/>
      <c r="G285" s="196"/>
      <c r="H285" s="182" t="s">
        <v>406</v>
      </c>
      <c r="I285" s="183" t="s">
        <v>127</v>
      </c>
      <c r="J285" s="766">
        <f>J154</f>
        <v>0.02</v>
      </c>
      <c r="K285" s="958"/>
      <c r="L285" s="3" t="s">
        <v>157</v>
      </c>
      <c r="N285" s="197" t="s">
        <v>407</v>
      </c>
      <c r="V285" s="185"/>
    </row>
    <row r="286" spans="1:29" ht="18" hidden="1" customHeight="1">
      <c r="A286" s="184"/>
      <c r="B286" s="96" t="s">
        <v>405</v>
      </c>
      <c r="D286" s="30">
        <f>T275</f>
        <v>0</v>
      </c>
      <c r="H286" s="27"/>
      <c r="I286" s="177" t="s">
        <v>127</v>
      </c>
      <c r="J286" s="861">
        <f>J155</f>
        <v>0</v>
      </c>
      <c r="K286" s="989"/>
      <c r="L286" s="198" t="s">
        <v>157</v>
      </c>
      <c r="V286" s="185"/>
    </row>
    <row r="287" spans="1:29" ht="18" hidden="1" customHeight="1">
      <c r="A287" s="184"/>
      <c r="B287" s="96" t="s">
        <v>405</v>
      </c>
      <c r="D287" s="30">
        <f>T276</f>
        <v>0</v>
      </c>
      <c r="E287" s="14"/>
      <c r="G287" s="199"/>
      <c r="H287" s="27"/>
      <c r="I287" s="177" t="s">
        <v>127</v>
      </c>
      <c r="J287" s="696">
        <f>J156</f>
        <v>0</v>
      </c>
      <c r="K287" s="820"/>
      <c r="L287" s="202" t="s">
        <v>157</v>
      </c>
      <c r="N287" s="30" t="s">
        <v>408</v>
      </c>
      <c r="O287" s="27" t="s">
        <v>127</v>
      </c>
      <c r="P287" s="30" t="s">
        <v>409</v>
      </c>
      <c r="Q287" s="191" t="s">
        <v>410</v>
      </c>
      <c r="R287" s="244" t="s">
        <v>411</v>
      </c>
      <c r="S287" s="27" t="s">
        <v>315</v>
      </c>
      <c r="T287" s="30" t="s">
        <v>411</v>
      </c>
      <c r="U287" s="30" t="s">
        <v>350</v>
      </c>
      <c r="V287" s="185"/>
    </row>
    <row r="288" spans="1:29" ht="18" hidden="1" customHeight="1">
      <c r="A288" s="184"/>
      <c r="B288" s="184" t="s">
        <v>412</v>
      </c>
      <c r="H288" s="27" t="s">
        <v>599</v>
      </c>
      <c r="I288" s="177" t="s">
        <v>127</v>
      </c>
      <c r="J288" s="861">
        <f>J157</f>
        <v>1.1667743100000001</v>
      </c>
      <c r="K288" s="989"/>
      <c r="L288" s="203" t="s">
        <v>157</v>
      </c>
      <c r="O288" s="27" t="s">
        <v>127</v>
      </c>
      <c r="P288" s="204">
        <f>J289</f>
        <v>1.1667743100000001</v>
      </c>
      <c r="Q288" s="191" t="s">
        <v>410</v>
      </c>
      <c r="R288" s="27">
        <f>O277</f>
        <v>1</v>
      </c>
      <c r="S288" s="27" t="s">
        <v>315</v>
      </c>
      <c r="T288" s="27">
        <f>O277</f>
        <v>1</v>
      </c>
      <c r="U288" s="30" t="s">
        <v>350</v>
      </c>
      <c r="V288" s="185"/>
    </row>
    <row r="289" spans="1:22" ht="18" hidden="1" customHeight="1">
      <c r="A289" s="184"/>
      <c r="B289" s="205" t="s">
        <v>413</v>
      </c>
      <c r="C289" s="206"/>
      <c r="D289" s="206"/>
      <c r="E289" s="206"/>
      <c r="F289" s="207"/>
      <c r="G289" s="207"/>
      <c r="H289" s="190" t="s">
        <v>409</v>
      </c>
      <c r="I289" s="208" t="s">
        <v>127</v>
      </c>
      <c r="J289" s="766">
        <f>J286+J288</f>
        <v>1.1667743100000001</v>
      </c>
      <c r="K289" s="958"/>
      <c r="L289" s="210" t="s">
        <v>157</v>
      </c>
      <c r="O289" s="27" t="s">
        <v>127</v>
      </c>
      <c r="P289" s="795">
        <f>P288/(R288*T288)</f>
        <v>1.1667743100000001</v>
      </c>
      <c r="Q289" s="795"/>
      <c r="R289" s="192" t="s">
        <v>333</v>
      </c>
      <c r="V289" s="185"/>
    </row>
    <row r="290" spans="1:22" ht="18" hidden="1" customHeight="1">
      <c r="A290" s="184"/>
      <c r="V290" s="185"/>
    </row>
    <row r="291" spans="1:22" s="14" customFormat="1" ht="18" hidden="1" customHeight="1">
      <c r="A291" s="193" t="s">
        <v>600</v>
      </c>
      <c r="B291" s="5"/>
      <c r="C291" s="5"/>
      <c r="D291" s="5"/>
      <c r="E291" s="5"/>
      <c r="F291" s="5"/>
      <c r="G291" s="5"/>
      <c r="H291" s="212"/>
      <c r="I291" s="212"/>
      <c r="J291" s="5"/>
      <c r="K291" s="5"/>
      <c r="L291" s="5"/>
      <c r="M291" s="5"/>
      <c r="N291" s="5"/>
      <c r="O291" s="5"/>
      <c r="P291" s="103"/>
      <c r="Q291" s="212"/>
      <c r="R291" s="213"/>
      <c r="S291" s="214"/>
      <c r="T291" s="18"/>
      <c r="U291" s="18"/>
      <c r="V291" s="97"/>
    </row>
    <row r="292" spans="1:22" s="14" customFormat="1" ht="18" hidden="1" customHeight="1">
      <c r="A292" s="96"/>
      <c r="B292" s="47" t="s">
        <v>601</v>
      </c>
      <c r="C292" s="5"/>
      <c r="D292" s="5"/>
      <c r="E292" s="5"/>
      <c r="I292" s="215"/>
      <c r="M292" s="5"/>
      <c r="O292" s="103" t="s">
        <v>127</v>
      </c>
      <c r="P292" s="853">
        <f>P161</f>
        <v>100</v>
      </c>
      <c r="Q292" s="1271"/>
      <c r="R292" s="14" t="s">
        <v>602</v>
      </c>
      <c r="S292" s="214"/>
      <c r="T292" s="18"/>
      <c r="U292" s="18"/>
      <c r="V292" s="97"/>
    </row>
    <row r="293" spans="1:22" s="14" customFormat="1" ht="18" hidden="1" customHeight="1">
      <c r="A293" s="96"/>
      <c r="B293" s="47" t="s">
        <v>603</v>
      </c>
      <c r="C293" s="5"/>
      <c r="D293" s="5"/>
      <c r="E293" s="5"/>
      <c r="I293" s="215"/>
      <c r="M293" s="5"/>
      <c r="O293" s="103" t="s">
        <v>127</v>
      </c>
      <c r="P293" s="853">
        <f>P162</f>
        <v>25</v>
      </c>
      <c r="Q293" s="1271"/>
      <c r="R293" s="14" t="s">
        <v>604</v>
      </c>
      <c r="S293" s="214"/>
      <c r="T293" s="18"/>
      <c r="U293" s="18"/>
      <c r="V293" s="97"/>
    </row>
    <row r="294" spans="1:22" s="14" customFormat="1" ht="18" hidden="1" customHeight="1">
      <c r="A294" s="96"/>
      <c r="B294" s="47" t="s">
        <v>605</v>
      </c>
      <c r="C294" s="5"/>
      <c r="D294" s="5"/>
      <c r="E294" s="5"/>
      <c r="N294" s="120" t="s">
        <v>606</v>
      </c>
      <c r="O294" s="103" t="s">
        <v>607</v>
      </c>
      <c r="P294" s="854">
        <f>P163</f>
        <v>132</v>
      </c>
      <c r="Q294" s="1270"/>
      <c r="R294" s="14" t="s">
        <v>163</v>
      </c>
      <c r="S294" s="214"/>
      <c r="T294" s="18"/>
      <c r="U294" s="18"/>
      <c r="V294" s="97"/>
    </row>
    <row r="295" spans="1:22" s="14" customFormat="1" ht="18" hidden="1" customHeight="1">
      <c r="A295" s="216"/>
      <c r="B295" s="212"/>
      <c r="C295" s="212"/>
      <c r="D295" s="212"/>
      <c r="E295" s="212"/>
      <c r="T295" s="18"/>
      <c r="U295" s="18"/>
      <c r="V295" s="97"/>
    </row>
    <row r="296" spans="1:22" s="14" customFormat="1" ht="18" hidden="1" customHeight="1">
      <c r="A296" s="96"/>
      <c r="B296" s="14" t="s">
        <v>608</v>
      </c>
      <c r="C296" s="213"/>
      <c r="D296" s="213"/>
      <c r="E296" s="213"/>
      <c r="H296" s="120" t="s">
        <v>609</v>
      </c>
      <c r="I296" s="28" t="s">
        <v>127</v>
      </c>
      <c r="J296" s="689" t="s">
        <v>610</v>
      </c>
      <c r="K296" s="689"/>
      <c r="L296" s="28" t="s">
        <v>315</v>
      </c>
      <c r="M296" s="217">
        <v>1000</v>
      </c>
      <c r="N296" s="102" t="s">
        <v>342</v>
      </c>
      <c r="O296" s="28" t="s">
        <v>611</v>
      </c>
      <c r="P296" s="28" t="s">
        <v>315</v>
      </c>
      <c r="Q296" s="28" t="s">
        <v>606</v>
      </c>
      <c r="R296" s="47"/>
      <c r="T296" s="18"/>
      <c r="U296" s="18"/>
      <c r="V296" s="97"/>
    </row>
    <row r="297" spans="1:22" s="14" customFormat="1" ht="18" hidden="1" customHeight="1">
      <c r="A297" s="216"/>
      <c r="B297" s="213"/>
      <c r="C297" s="213"/>
      <c r="D297" s="213"/>
      <c r="E297" s="213"/>
      <c r="F297" s="212"/>
      <c r="G297" s="212"/>
      <c r="H297" s="28"/>
      <c r="I297" s="28" t="s">
        <v>127</v>
      </c>
      <c r="J297" s="689">
        <f>P292</f>
        <v>100</v>
      </c>
      <c r="K297" s="689"/>
      <c r="L297" s="28" t="s">
        <v>315</v>
      </c>
      <c r="M297" s="217">
        <v>1000</v>
      </c>
      <c r="N297" s="102" t="s">
        <v>342</v>
      </c>
      <c r="O297" s="28" t="s">
        <v>611</v>
      </c>
      <c r="P297" s="28" t="s">
        <v>315</v>
      </c>
      <c r="Q297" s="28">
        <f>P294</f>
        <v>132</v>
      </c>
      <c r="R297" s="47"/>
      <c r="T297" s="18"/>
      <c r="U297" s="18"/>
      <c r="V297" s="97"/>
    </row>
    <row r="298" spans="1:22" s="14" customFormat="1" ht="18" hidden="1" customHeight="1">
      <c r="A298" s="216"/>
      <c r="B298" s="212"/>
      <c r="C298" s="212"/>
      <c r="D298" s="212"/>
      <c r="E298" s="212"/>
      <c r="F298" s="212"/>
      <c r="G298" s="212"/>
      <c r="I298" s="28" t="s">
        <v>127</v>
      </c>
      <c r="J298" s="692">
        <f>(P292*1000)/(SQRT(3)*P294)</f>
        <v>437.38656756789834</v>
      </c>
      <c r="K298" s="692"/>
      <c r="L298" s="14" t="s">
        <v>8</v>
      </c>
      <c r="M298" s="120"/>
      <c r="N298" s="120"/>
      <c r="O298" s="120"/>
      <c r="T298" s="18"/>
      <c r="U298" s="18"/>
      <c r="V298" s="97"/>
    </row>
    <row r="299" spans="1:22" s="14" customFormat="1" ht="18" hidden="1" customHeight="1">
      <c r="A299" s="216"/>
      <c r="B299" s="212"/>
      <c r="C299" s="212"/>
      <c r="D299" s="212"/>
      <c r="E299" s="212"/>
      <c r="G299" s="212"/>
      <c r="H299" s="28"/>
      <c r="I299" s="103"/>
      <c r="J299" s="28"/>
      <c r="M299" s="212"/>
      <c r="N299" s="219"/>
      <c r="O299" s="212"/>
      <c r="T299" s="18"/>
      <c r="U299" s="18"/>
      <c r="V299" s="97"/>
    </row>
    <row r="300" spans="1:22" s="14" customFormat="1" ht="18" hidden="1" customHeight="1">
      <c r="A300" s="147" t="s">
        <v>629</v>
      </c>
      <c r="B300" s="5"/>
      <c r="C300" s="5"/>
      <c r="D300" s="5"/>
      <c r="E300" s="5"/>
      <c r="F300" s="212"/>
      <c r="G300" s="212"/>
      <c r="H300" s="5"/>
      <c r="I300" s="5"/>
      <c r="J300" s="5"/>
      <c r="K300" s="5"/>
      <c r="L300" s="103"/>
      <c r="M300" s="103"/>
      <c r="N300" s="103"/>
      <c r="O300" s="103"/>
      <c r="P300" s="212"/>
      <c r="Q300" s="213"/>
      <c r="S300" s="220"/>
      <c r="T300" s="18"/>
      <c r="U300" s="18"/>
      <c r="V300" s="97"/>
    </row>
    <row r="301" spans="1:22" s="14" customFormat="1" ht="18" hidden="1" customHeight="1">
      <c r="A301" s="147"/>
      <c r="B301" s="5"/>
      <c r="C301" s="5"/>
      <c r="D301" s="5"/>
      <c r="E301" s="5"/>
      <c r="F301" s="212"/>
      <c r="G301" s="212"/>
      <c r="H301" s="5"/>
      <c r="I301" s="5"/>
      <c r="J301" s="5"/>
      <c r="K301" s="5"/>
      <c r="L301" s="103"/>
      <c r="M301" s="103"/>
      <c r="N301" s="103"/>
      <c r="O301" s="103"/>
      <c r="P301" s="212"/>
      <c r="Q301" s="213"/>
      <c r="S301" s="214"/>
      <c r="T301" s="18"/>
      <c r="U301" s="18"/>
      <c r="V301" s="97"/>
    </row>
    <row r="302" spans="1:22" ht="18" hidden="1" customHeight="1">
      <c r="A302" s="184"/>
      <c r="B302" s="14" t="s">
        <v>632</v>
      </c>
      <c r="C302" s="14"/>
      <c r="D302" s="14"/>
      <c r="E302" s="14"/>
      <c r="M302" s="120" t="s">
        <v>613</v>
      </c>
      <c r="N302" s="28" t="s">
        <v>127</v>
      </c>
      <c r="O302" s="689" t="s">
        <v>609</v>
      </c>
      <c r="P302" s="716"/>
      <c r="Q302" s="221" t="s">
        <v>630</v>
      </c>
      <c r="R302" s="221">
        <v>16</v>
      </c>
      <c r="S302" s="186"/>
      <c r="V302" s="185"/>
    </row>
    <row r="303" spans="1:22" ht="18" hidden="1" customHeight="1">
      <c r="A303" s="96"/>
      <c r="B303" s="5"/>
      <c r="C303" s="5"/>
      <c r="D303" s="5"/>
      <c r="E303" s="5"/>
      <c r="M303" s="250"/>
      <c r="N303" s="28" t="s">
        <v>127</v>
      </c>
      <c r="O303" s="692">
        <f>+J298</f>
        <v>437.38656756789834</v>
      </c>
      <c r="P303" s="1214"/>
      <c r="Q303" s="221" t="s">
        <v>630</v>
      </c>
      <c r="R303" s="221">
        <v>16</v>
      </c>
      <c r="S303" s="186"/>
      <c r="V303" s="185"/>
    </row>
    <row r="304" spans="1:22" ht="18" hidden="1" customHeight="1">
      <c r="A304" s="96"/>
      <c r="B304" s="5"/>
      <c r="C304" s="5"/>
      <c r="D304" s="5"/>
      <c r="E304" s="5"/>
      <c r="M304" s="120" t="s">
        <v>613</v>
      </c>
      <c r="N304" s="28" t="s">
        <v>127</v>
      </c>
      <c r="O304" s="689">
        <f>O303*R303</f>
        <v>6998.1850810863734</v>
      </c>
      <c r="P304" s="716"/>
      <c r="Q304" s="241" t="s">
        <v>8</v>
      </c>
      <c r="R304" s="14"/>
      <c r="S304" s="186"/>
      <c r="V304" s="185"/>
    </row>
    <row r="305" spans="1:22" ht="18" hidden="1" customHeight="1">
      <c r="A305" s="96"/>
      <c r="B305" s="5"/>
      <c r="C305" s="5"/>
      <c r="D305" s="5"/>
      <c r="E305" s="5"/>
      <c r="M305" s="212"/>
      <c r="N305" s="212"/>
      <c r="O305" s="103"/>
      <c r="Q305" s="223"/>
      <c r="R305" s="14"/>
      <c r="S305" s="214"/>
      <c r="V305" s="185"/>
    </row>
    <row r="306" spans="1:22" ht="18" hidden="1" customHeight="1">
      <c r="A306" s="678" t="s">
        <v>633</v>
      </c>
      <c r="B306" s="1207"/>
      <c r="C306" s="1207"/>
      <c r="D306" s="1207"/>
      <c r="E306" s="1207"/>
      <c r="F306" s="1207"/>
      <c r="G306" s="1207"/>
      <c r="H306" s="1207"/>
      <c r="I306" s="1207"/>
      <c r="J306" s="1207"/>
      <c r="K306" s="1207"/>
      <c r="L306" s="1207"/>
      <c r="M306" s="1207"/>
      <c r="N306" s="1207"/>
      <c r="O306" s="1207"/>
      <c r="P306" s="1207"/>
      <c r="Q306" s="1207"/>
      <c r="R306" s="1207"/>
      <c r="S306" s="1207"/>
      <c r="T306" s="1207"/>
      <c r="U306" s="1207"/>
      <c r="V306" s="1208"/>
    </row>
    <row r="307" spans="1:22" ht="18" hidden="1" customHeight="1">
      <c r="A307" s="1209"/>
      <c r="B307" s="1207"/>
      <c r="C307" s="1207"/>
      <c r="D307" s="1207"/>
      <c r="E307" s="1207"/>
      <c r="F307" s="1207"/>
      <c r="G307" s="1207"/>
      <c r="H307" s="1207"/>
      <c r="I307" s="1207"/>
      <c r="J307" s="1207"/>
      <c r="K307" s="1207"/>
      <c r="L307" s="1207"/>
      <c r="M307" s="1207"/>
      <c r="N307" s="1207"/>
      <c r="O307" s="1207"/>
      <c r="P307" s="1207"/>
      <c r="Q307" s="1207"/>
      <c r="R307" s="1207"/>
      <c r="S307" s="1207"/>
      <c r="T307" s="1207"/>
      <c r="U307" s="1207"/>
      <c r="V307" s="1208"/>
    </row>
    <row r="308" spans="1:22" ht="18" hidden="1" customHeight="1">
      <c r="A308" s="231"/>
      <c r="B308" s="232"/>
      <c r="C308" s="232"/>
      <c r="D308" s="232"/>
      <c r="E308" s="232"/>
      <c r="F308" s="232"/>
      <c r="G308" s="232"/>
      <c r="H308" s="232"/>
      <c r="I308" s="232"/>
      <c r="J308" s="232"/>
      <c r="K308" s="232"/>
      <c r="L308" s="232"/>
      <c r="M308" s="232"/>
      <c r="N308" s="232"/>
      <c r="O308" s="232"/>
      <c r="P308" s="232"/>
      <c r="Q308" s="232"/>
      <c r="R308" s="232"/>
      <c r="S308" s="232"/>
      <c r="T308" s="232"/>
      <c r="U308" s="232"/>
      <c r="V308" s="233"/>
    </row>
    <row r="309" spans="1:22" ht="18" hidden="1" customHeight="1">
      <c r="A309" s="231"/>
      <c r="B309" s="232"/>
      <c r="C309" s="232"/>
      <c r="D309" s="232"/>
      <c r="E309" s="232"/>
      <c r="F309" s="232"/>
      <c r="G309" s="232"/>
      <c r="H309" s="232"/>
      <c r="I309" s="232"/>
      <c r="J309" s="232"/>
      <c r="K309" s="232"/>
      <c r="L309" s="232"/>
      <c r="M309" s="232"/>
      <c r="N309" s="232"/>
      <c r="O309" s="232"/>
      <c r="P309" s="232"/>
      <c r="Q309" s="232"/>
      <c r="R309" s="232"/>
      <c r="S309" s="232"/>
      <c r="T309" s="232"/>
      <c r="U309" s="232"/>
      <c r="V309" s="233"/>
    </row>
    <row r="310" spans="1:22" ht="18" hidden="1" customHeight="1">
      <c r="A310" s="231"/>
      <c r="B310" s="232"/>
      <c r="C310" s="232"/>
      <c r="D310" s="232"/>
      <c r="E310" s="232"/>
      <c r="F310" s="232"/>
      <c r="G310" s="232"/>
      <c r="H310" s="232"/>
      <c r="I310" s="232"/>
      <c r="J310" s="232"/>
      <c r="K310" s="232"/>
      <c r="L310" s="232"/>
      <c r="M310" s="232"/>
      <c r="N310" s="232"/>
      <c r="O310" s="232"/>
      <c r="P310" s="232"/>
      <c r="Q310" s="232"/>
      <c r="R310" s="232"/>
      <c r="S310" s="232"/>
      <c r="T310" s="232"/>
      <c r="U310" s="232"/>
      <c r="V310" s="233"/>
    </row>
    <row r="311" spans="1:22" ht="18" hidden="1" customHeight="1">
      <c r="A311" s="231"/>
      <c r="B311" s="232"/>
      <c r="C311" s="232"/>
      <c r="D311" s="232"/>
      <c r="E311" s="232"/>
      <c r="F311" s="232"/>
      <c r="G311" s="232"/>
      <c r="H311" s="232"/>
      <c r="I311" s="232"/>
      <c r="J311" s="232"/>
      <c r="K311" s="232"/>
      <c r="L311" s="232"/>
      <c r="M311" s="232"/>
      <c r="N311" s="232"/>
      <c r="O311" s="232"/>
      <c r="P311" s="232"/>
      <c r="Q311" s="232"/>
      <c r="R311" s="232"/>
      <c r="S311" s="232"/>
      <c r="T311" s="232"/>
      <c r="U311" s="232"/>
      <c r="V311" s="233"/>
    </row>
    <row r="312" spans="1:22" ht="18" hidden="1" customHeight="1">
      <c r="A312" s="231"/>
      <c r="B312" s="232"/>
      <c r="C312" s="232"/>
      <c r="D312" s="232"/>
      <c r="E312" s="232"/>
      <c r="F312" s="232"/>
      <c r="G312" s="232"/>
      <c r="H312" s="232"/>
      <c r="I312" s="232"/>
      <c r="J312" s="232"/>
      <c r="K312" s="232"/>
      <c r="L312" s="232"/>
      <c r="M312" s="232"/>
      <c r="N312" s="232"/>
      <c r="O312" s="232"/>
      <c r="P312" s="232"/>
      <c r="Q312" s="232"/>
      <c r="R312" s="232"/>
      <c r="S312" s="232"/>
      <c r="T312" s="232"/>
      <c r="U312" s="232"/>
      <c r="V312" s="233"/>
    </row>
    <row r="313" spans="1:22" ht="18" hidden="1" customHeight="1">
      <c r="A313" s="96"/>
      <c r="B313" s="5"/>
      <c r="C313" s="5"/>
      <c r="D313" s="5"/>
      <c r="E313" s="5"/>
      <c r="M313" s="212"/>
      <c r="N313" s="212"/>
      <c r="O313" s="103"/>
      <c r="Q313" s="223"/>
      <c r="R313" s="14"/>
      <c r="S313" s="214"/>
      <c r="V313" s="185"/>
    </row>
    <row r="314" spans="1:22" ht="18" hidden="1" customHeight="1">
      <c r="A314" s="184"/>
      <c r="V314" s="185"/>
    </row>
    <row r="315" spans="1:22" ht="18" hidden="1" customHeight="1">
      <c r="A315" s="184"/>
      <c r="V315" s="185"/>
    </row>
    <row r="316" spans="1:22" s="14" customFormat="1" ht="18" hidden="1" customHeight="1">
      <c r="A316" s="194"/>
      <c r="B316" s="195"/>
      <c r="C316" s="195"/>
      <c r="D316" s="195"/>
      <c r="E316" s="195"/>
      <c r="F316" s="195"/>
      <c r="G316" s="195"/>
      <c r="H316" s="195"/>
      <c r="I316" s="195"/>
      <c r="J316" s="195"/>
      <c r="K316" s="195"/>
      <c r="L316" s="195"/>
      <c r="M316" s="195"/>
      <c r="N316" s="195"/>
      <c r="O316" s="195"/>
      <c r="P316" s="195"/>
      <c r="Q316" s="224"/>
      <c r="R316" s="182"/>
      <c r="S316" s="225"/>
      <c r="T316" s="195"/>
      <c r="U316" s="195"/>
      <c r="V316" s="134"/>
    </row>
    <row r="317" spans="1:22" ht="18" hidden="1" customHeight="1">
      <c r="A317" s="226"/>
      <c r="B317" s="227"/>
      <c r="C317" s="227"/>
      <c r="D317" s="227"/>
      <c r="E317" s="227"/>
      <c r="F317" s="227"/>
      <c r="G317" s="227"/>
      <c r="H317" s="227"/>
      <c r="I317" s="227"/>
      <c r="J317" s="227"/>
      <c r="K317" s="227"/>
      <c r="L317" s="227"/>
      <c r="M317" s="227"/>
      <c r="N317" s="227"/>
      <c r="O317" s="227"/>
      <c r="P317" s="227"/>
      <c r="Q317" s="227"/>
      <c r="R317" s="227"/>
      <c r="S317" s="227"/>
      <c r="T317" s="227"/>
      <c r="U317" s="227"/>
      <c r="V317" s="228"/>
    </row>
    <row r="318" spans="1:22" ht="18" hidden="1" customHeight="1">
      <c r="A318" s="799" t="s">
        <v>417</v>
      </c>
      <c r="B318" s="802"/>
      <c r="C318" s="802"/>
      <c r="D318" s="689">
        <v>30</v>
      </c>
      <c r="E318" s="689" t="s">
        <v>315</v>
      </c>
      <c r="F318" s="689" t="s">
        <v>609</v>
      </c>
      <c r="G318" s="684"/>
      <c r="H318" s="689" t="s">
        <v>315</v>
      </c>
      <c r="I318" s="708" t="s">
        <v>411</v>
      </c>
      <c r="J318" s="828"/>
      <c r="K318" s="689" t="s">
        <v>315</v>
      </c>
      <c r="L318" s="802" t="s">
        <v>419</v>
      </c>
      <c r="M318" s="716" t="s">
        <v>420</v>
      </c>
      <c r="N318" s="729" t="s">
        <v>347</v>
      </c>
      <c r="O318" s="716" t="s">
        <v>408</v>
      </c>
      <c r="P318" s="689" t="s">
        <v>347</v>
      </c>
      <c r="Q318" s="759" t="s">
        <v>421</v>
      </c>
      <c r="R318" s="797"/>
      <c r="S318" s="797"/>
      <c r="T318" s="798" t="s">
        <v>350</v>
      </c>
      <c r="U318" s="230" t="s">
        <v>422</v>
      </c>
      <c r="V318" s="97"/>
    </row>
    <row r="319" spans="1:22" ht="18" hidden="1" customHeight="1">
      <c r="A319" s="827"/>
      <c r="B319" s="802"/>
      <c r="C319" s="802"/>
      <c r="D319" s="689"/>
      <c r="E319" s="689"/>
      <c r="F319" s="684"/>
      <c r="G319" s="684"/>
      <c r="H319" s="689"/>
      <c r="I319" s="689" t="s">
        <v>423</v>
      </c>
      <c r="J319" s="723"/>
      <c r="K319" s="689"/>
      <c r="L319" s="802"/>
      <c r="M319" s="716"/>
      <c r="N319" s="729"/>
      <c r="O319" s="716"/>
      <c r="P319" s="689"/>
      <c r="Q319" s="28" t="s">
        <v>146</v>
      </c>
      <c r="R319" s="28" t="s">
        <v>315</v>
      </c>
      <c r="S319" s="28" t="s">
        <v>146</v>
      </c>
      <c r="T319" s="798"/>
      <c r="U319" s="14"/>
      <c r="V319" s="97"/>
    </row>
    <row r="320" spans="1:22" ht="18" hidden="1" customHeight="1">
      <c r="A320" s="184"/>
      <c r="V320" s="185"/>
    </row>
    <row r="321" spans="1:22" ht="18" hidden="1" customHeight="1">
      <c r="A321" s="799" t="s">
        <v>417</v>
      </c>
      <c r="B321" s="802"/>
      <c r="C321" s="802"/>
      <c r="D321" s="689">
        <v>2</v>
      </c>
      <c r="E321" s="689" t="s">
        <v>315</v>
      </c>
      <c r="F321" s="689" t="s">
        <v>613</v>
      </c>
      <c r="G321" s="684"/>
      <c r="H321" s="689" t="s">
        <v>315</v>
      </c>
      <c r="I321" s="708" t="s">
        <v>411</v>
      </c>
      <c r="J321" s="828"/>
      <c r="K321" s="689" t="s">
        <v>315</v>
      </c>
      <c r="L321" s="802" t="s">
        <v>419</v>
      </c>
      <c r="M321" s="716" t="s">
        <v>420</v>
      </c>
      <c r="N321" s="729" t="s">
        <v>347</v>
      </c>
      <c r="O321" s="716" t="s">
        <v>408</v>
      </c>
      <c r="P321" s="689" t="s">
        <v>347</v>
      </c>
      <c r="Q321" s="759" t="s">
        <v>421</v>
      </c>
      <c r="R321" s="797"/>
      <c r="S321" s="797"/>
      <c r="T321" s="798" t="s">
        <v>350</v>
      </c>
      <c r="U321" s="230" t="s">
        <v>426</v>
      </c>
      <c r="V321" s="97"/>
    </row>
    <row r="322" spans="1:22" ht="18" hidden="1" customHeight="1">
      <c r="A322" s="827"/>
      <c r="B322" s="802"/>
      <c r="C322" s="802"/>
      <c r="D322" s="689"/>
      <c r="E322" s="689"/>
      <c r="F322" s="684"/>
      <c r="G322" s="684"/>
      <c r="H322" s="689"/>
      <c r="I322" s="689" t="s">
        <v>423</v>
      </c>
      <c r="J322" s="723"/>
      <c r="K322" s="689"/>
      <c r="L322" s="802"/>
      <c r="M322" s="716"/>
      <c r="N322" s="729"/>
      <c r="O322" s="716"/>
      <c r="P322" s="689"/>
      <c r="Q322" s="28" t="s">
        <v>146</v>
      </c>
      <c r="R322" s="28" t="s">
        <v>315</v>
      </c>
      <c r="S322" s="28" t="s">
        <v>146</v>
      </c>
      <c r="T322" s="798"/>
      <c r="U322" s="14"/>
      <c r="V322" s="97"/>
    </row>
    <row r="323" spans="1:22" ht="18" hidden="1" customHeight="1">
      <c r="A323" s="184"/>
      <c r="V323" s="185"/>
    </row>
    <row r="324" spans="1:22" ht="18" hidden="1" customHeight="1">
      <c r="A324" s="678" t="s">
        <v>616</v>
      </c>
      <c r="B324" s="1207"/>
      <c r="C324" s="1207"/>
      <c r="D324" s="1207"/>
      <c r="E324" s="1207"/>
      <c r="F324" s="1207"/>
      <c r="G324" s="1207"/>
      <c r="H324" s="1207"/>
      <c r="I324" s="1207"/>
      <c r="J324" s="1207"/>
      <c r="K324" s="1207"/>
      <c r="L324" s="1207"/>
      <c r="M324" s="1207"/>
      <c r="N324" s="1207"/>
      <c r="O324" s="1207"/>
      <c r="P324" s="1207"/>
      <c r="Q324" s="1207"/>
      <c r="R324" s="1207"/>
      <c r="S324" s="1207"/>
      <c r="T324" s="1207"/>
      <c r="U324" s="1207"/>
      <c r="V324" s="1208"/>
    </row>
    <row r="325" spans="1:22" ht="18" hidden="1" customHeight="1">
      <c r="A325" s="1209"/>
      <c r="B325" s="1207"/>
      <c r="C325" s="1207"/>
      <c r="D325" s="1207"/>
      <c r="E325" s="1207"/>
      <c r="F325" s="1207"/>
      <c r="G325" s="1207"/>
      <c r="H325" s="1207"/>
      <c r="I325" s="1207"/>
      <c r="J325" s="1207"/>
      <c r="K325" s="1207"/>
      <c r="L325" s="1207"/>
      <c r="M325" s="1207"/>
      <c r="N325" s="1207"/>
      <c r="O325" s="1207"/>
      <c r="P325" s="1207"/>
      <c r="Q325" s="1207"/>
      <c r="R325" s="1207"/>
      <c r="S325" s="1207"/>
      <c r="T325" s="1207"/>
      <c r="U325" s="1207"/>
      <c r="V325" s="1208"/>
    </row>
    <row r="326" spans="1:22" ht="18" hidden="1" customHeight="1">
      <c r="A326" s="231"/>
      <c r="B326" s="232"/>
      <c r="C326" s="232"/>
      <c r="D326" s="232"/>
      <c r="E326" s="232"/>
      <c r="F326" s="232"/>
      <c r="G326" s="232"/>
      <c r="H326" s="232"/>
      <c r="I326" s="232"/>
      <c r="J326" s="232"/>
      <c r="K326" s="232"/>
      <c r="L326" s="232"/>
      <c r="M326" s="232"/>
      <c r="N326" s="232"/>
      <c r="O326" s="232"/>
      <c r="P326" s="232"/>
      <c r="Q326" s="232"/>
      <c r="R326" s="232"/>
      <c r="S326" s="232"/>
      <c r="T326" s="232"/>
      <c r="U326" s="232"/>
      <c r="V326" s="233"/>
    </row>
    <row r="327" spans="1:22" ht="18" hidden="1" customHeight="1">
      <c r="A327" s="799" t="s">
        <v>417</v>
      </c>
      <c r="B327" s="802"/>
      <c r="C327" s="802"/>
      <c r="D327" s="689"/>
      <c r="E327" s="689"/>
      <c r="F327" s="689" t="s">
        <v>617</v>
      </c>
      <c r="G327" s="684"/>
      <c r="H327" s="689" t="s">
        <v>315</v>
      </c>
      <c r="I327" s="708" t="s">
        <v>411</v>
      </c>
      <c r="J327" s="828"/>
      <c r="K327" s="689" t="s">
        <v>315</v>
      </c>
      <c r="L327" s="802" t="s">
        <v>419</v>
      </c>
      <c r="M327" s="716" t="s">
        <v>420</v>
      </c>
      <c r="N327" s="729" t="s">
        <v>347</v>
      </c>
      <c r="O327" s="716" t="s">
        <v>408</v>
      </c>
      <c r="P327" s="689" t="s">
        <v>347</v>
      </c>
      <c r="Q327" s="759" t="s">
        <v>421</v>
      </c>
      <c r="R327" s="797"/>
      <c r="S327" s="797"/>
      <c r="T327" s="798" t="s">
        <v>350</v>
      </c>
      <c r="U327" s="230" t="s">
        <v>618</v>
      </c>
      <c r="V327" s="97"/>
    </row>
    <row r="328" spans="1:22" ht="18" hidden="1" customHeight="1">
      <c r="A328" s="827"/>
      <c r="B328" s="802"/>
      <c r="C328" s="802"/>
      <c r="D328" s="689"/>
      <c r="E328" s="689"/>
      <c r="F328" s="684"/>
      <c r="G328" s="684"/>
      <c r="H328" s="689"/>
      <c r="I328" s="689" t="s">
        <v>423</v>
      </c>
      <c r="J328" s="723"/>
      <c r="K328" s="689"/>
      <c r="L328" s="802"/>
      <c r="M328" s="716"/>
      <c r="N328" s="729"/>
      <c r="O328" s="716"/>
      <c r="P328" s="689"/>
      <c r="Q328" s="28" t="s">
        <v>146</v>
      </c>
      <c r="R328" s="28" t="s">
        <v>315</v>
      </c>
      <c r="S328" s="28" t="s">
        <v>146</v>
      </c>
      <c r="T328" s="798"/>
      <c r="U328" s="14"/>
      <c r="V328" s="97"/>
    </row>
    <row r="329" spans="1:22" ht="18" hidden="1" customHeight="1">
      <c r="A329" s="96"/>
      <c r="B329" s="14"/>
      <c r="C329" s="14"/>
      <c r="D329" s="28"/>
      <c r="E329" s="28"/>
      <c r="F329" s="27"/>
      <c r="G329" s="27"/>
      <c r="H329" s="28"/>
      <c r="I329" s="28"/>
      <c r="K329" s="28"/>
      <c r="L329" s="120"/>
      <c r="M329" s="14"/>
      <c r="N329" s="102"/>
      <c r="O329" s="14"/>
      <c r="P329" s="28"/>
      <c r="Q329" s="28"/>
      <c r="R329" s="28"/>
      <c r="S329" s="28"/>
      <c r="T329" s="40"/>
      <c r="U329" s="14"/>
      <c r="V329" s="97"/>
    </row>
    <row r="330" spans="1:22" ht="18" hidden="1" customHeight="1">
      <c r="A330" s="184"/>
      <c r="H330" s="30" t="s">
        <v>619</v>
      </c>
      <c r="M330" s="854" t="str">
        <f>M195</f>
        <v>N</v>
      </c>
      <c r="N330" s="831"/>
      <c r="V330" s="185"/>
    </row>
    <row r="331" spans="1:22" ht="18" hidden="1" customHeight="1">
      <c r="A331" s="96"/>
      <c r="B331" s="14"/>
      <c r="C331" s="14"/>
      <c r="D331" s="28"/>
      <c r="E331" s="28"/>
      <c r="F331" s="27"/>
      <c r="G331" s="27"/>
      <c r="H331" s="28"/>
      <c r="I331" s="28"/>
      <c r="K331" s="28"/>
      <c r="L331" s="120"/>
      <c r="M331" s="14"/>
      <c r="N331" s="102"/>
      <c r="O331" s="14"/>
      <c r="P331" s="28"/>
      <c r="Q331" s="28"/>
      <c r="R331" s="28"/>
      <c r="S331" s="28"/>
      <c r="T331" s="40"/>
      <c r="U331" s="14"/>
      <c r="V331" s="97"/>
    </row>
    <row r="332" spans="1:22" ht="18" hidden="1" customHeight="1">
      <c r="A332" s="184"/>
      <c r="B332" s="14" t="s">
        <v>427</v>
      </c>
      <c r="C332" s="14"/>
      <c r="D332" s="103"/>
      <c r="E332" s="103"/>
      <c r="F332" s="14"/>
      <c r="G332" s="14"/>
      <c r="H332" s="5"/>
      <c r="I332" s="5"/>
      <c r="J332" s="5"/>
      <c r="P332" s="120" t="s">
        <v>428</v>
      </c>
      <c r="V332" s="185"/>
    </row>
    <row r="333" spans="1:22" ht="18" hidden="1" customHeight="1">
      <c r="A333" s="184"/>
      <c r="B333" s="14" t="s">
        <v>429</v>
      </c>
      <c r="C333" s="14"/>
      <c r="D333" s="103"/>
      <c r="E333" s="103"/>
      <c r="F333" s="14"/>
      <c r="G333" s="14"/>
      <c r="H333" s="5"/>
      <c r="I333" s="5"/>
      <c r="J333" s="5"/>
      <c r="P333" s="120" t="s">
        <v>430</v>
      </c>
      <c r="Q333" s="234" t="s">
        <v>127</v>
      </c>
      <c r="R333" s="684" t="str">
        <f>L277</f>
        <v>-</v>
      </c>
      <c r="S333" s="684"/>
      <c r="T333" s="14" t="s">
        <v>8</v>
      </c>
      <c r="V333" s="185"/>
    </row>
    <row r="334" spans="1:22" ht="18" hidden="1" customHeight="1">
      <c r="A334" s="184"/>
      <c r="B334" s="14" t="s">
        <v>621</v>
      </c>
      <c r="C334" s="14"/>
      <c r="D334" s="14"/>
      <c r="E334" s="14"/>
      <c r="F334" s="14"/>
      <c r="G334" s="14"/>
      <c r="H334" s="14"/>
      <c r="I334" s="14"/>
      <c r="J334" s="14"/>
      <c r="P334" s="120" t="s">
        <v>609</v>
      </c>
      <c r="Q334" s="234" t="s">
        <v>127</v>
      </c>
      <c r="R334" s="684">
        <f>J298</f>
        <v>437.38656756789834</v>
      </c>
      <c r="S334" s="684"/>
      <c r="T334" s="14" t="s">
        <v>8</v>
      </c>
      <c r="V334" s="185"/>
    </row>
    <row r="335" spans="1:22" ht="18" hidden="1" customHeight="1">
      <c r="A335" s="184"/>
      <c r="B335" s="14" t="s">
        <v>622</v>
      </c>
      <c r="C335" s="14"/>
      <c r="D335" s="14"/>
      <c r="E335" s="14"/>
      <c r="F335" s="14"/>
      <c r="G335" s="14"/>
      <c r="H335" s="14"/>
      <c r="I335" s="14"/>
      <c r="J335" s="14"/>
      <c r="P335" s="120" t="s">
        <v>613</v>
      </c>
      <c r="Q335" s="234" t="s">
        <v>127</v>
      </c>
      <c r="R335" s="684">
        <f>O304</f>
        <v>6998.1850810863734</v>
      </c>
      <c r="S335" s="684"/>
      <c r="T335" s="14" t="s">
        <v>8</v>
      </c>
      <c r="V335" s="185"/>
    </row>
    <row r="336" spans="1:22" ht="18" hidden="1" customHeight="1">
      <c r="A336" s="184"/>
      <c r="B336" s="235" t="s">
        <v>623</v>
      </c>
      <c r="C336" s="14"/>
      <c r="D336" s="14"/>
      <c r="E336" s="14"/>
      <c r="F336" s="14"/>
      <c r="G336" s="14"/>
      <c r="H336" s="14"/>
      <c r="I336" s="14"/>
      <c r="J336" s="14"/>
      <c r="P336" s="120"/>
      <c r="Q336" s="236"/>
      <c r="R336" s="27"/>
      <c r="S336" s="27"/>
      <c r="T336" s="14"/>
      <c r="V336" s="185"/>
    </row>
    <row r="337" spans="1:22" ht="18" hidden="1" customHeight="1">
      <c r="A337" s="184"/>
      <c r="B337" s="14" t="s">
        <v>622</v>
      </c>
      <c r="C337" s="14"/>
      <c r="D337" s="14"/>
      <c r="E337" s="14"/>
      <c r="F337" s="14"/>
      <c r="G337" s="14"/>
      <c r="H337" s="14"/>
      <c r="I337" s="14"/>
      <c r="J337" s="14"/>
      <c r="P337" s="120" t="s">
        <v>617</v>
      </c>
      <c r="Q337" s="234" t="s">
        <v>127</v>
      </c>
      <c r="R337" s="684" t="str">
        <f>R202</f>
        <v>-</v>
      </c>
      <c r="S337" s="684"/>
      <c r="T337" s="14" t="s">
        <v>8</v>
      </c>
      <c r="V337" s="185"/>
    </row>
    <row r="338" spans="1:22" ht="18" hidden="1" customHeight="1">
      <c r="A338" s="184"/>
      <c r="B338" s="235" t="s">
        <v>624</v>
      </c>
      <c r="C338" s="14"/>
      <c r="D338" s="14"/>
      <c r="E338" s="14"/>
      <c r="F338" s="14"/>
      <c r="G338" s="14"/>
      <c r="H338" s="14"/>
      <c r="I338" s="14"/>
      <c r="J338" s="14"/>
      <c r="R338" s="27"/>
      <c r="S338" s="27"/>
      <c r="T338" s="14"/>
      <c r="V338" s="185"/>
    </row>
    <row r="339" spans="1:22" ht="18" hidden="1" customHeight="1">
      <c r="A339" s="184"/>
      <c r="B339" s="14" t="s">
        <v>435</v>
      </c>
      <c r="C339" s="14"/>
      <c r="D339" s="103"/>
      <c r="E339" s="103"/>
      <c r="F339" s="14"/>
      <c r="G339" s="14"/>
      <c r="H339" s="5"/>
      <c r="I339" s="5"/>
      <c r="J339" s="5"/>
      <c r="P339" s="120" t="s">
        <v>436</v>
      </c>
      <c r="Q339" s="234" t="s">
        <v>127</v>
      </c>
      <c r="R339" s="684">
        <f>O277</f>
        <v>1</v>
      </c>
      <c r="S339" s="684"/>
      <c r="T339" s="14" t="s">
        <v>8</v>
      </c>
      <c r="V339" s="185"/>
    </row>
    <row r="340" spans="1:22" ht="18" hidden="1" customHeight="1">
      <c r="A340" s="184"/>
      <c r="B340" s="14" t="s">
        <v>437</v>
      </c>
      <c r="C340" s="14"/>
      <c r="D340" s="103"/>
      <c r="E340" s="103"/>
      <c r="F340" s="14"/>
      <c r="G340" s="14"/>
      <c r="H340" s="5"/>
      <c r="I340" s="5"/>
      <c r="J340" s="5"/>
      <c r="P340" s="120" t="s">
        <v>438</v>
      </c>
      <c r="Q340" s="234" t="s">
        <v>127</v>
      </c>
      <c r="R340" s="684">
        <f>R205</f>
        <v>1</v>
      </c>
      <c r="S340" s="684"/>
      <c r="T340" s="14" t="s">
        <v>8</v>
      </c>
      <c r="V340" s="185"/>
    </row>
    <row r="341" spans="1:22" ht="18" hidden="1" customHeight="1">
      <c r="A341" s="184"/>
      <c r="B341" s="14" t="s">
        <v>439</v>
      </c>
      <c r="C341" s="14"/>
      <c r="D341" s="103"/>
      <c r="E341" s="103"/>
      <c r="F341" s="14"/>
      <c r="G341" s="14"/>
      <c r="H341" s="5"/>
      <c r="I341" s="5"/>
      <c r="J341" s="5"/>
      <c r="P341" s="120" t="s">
        <v>440</v>
      </c>
      <c r="Q341" s="234" t="s">
        <v>127</v>
      </c>
      <c r="R341" s="684" t="str">
        <f>L279</f>
        <v>-</v>
      </c>
      <c r="S341" s="684"/>
      <c r="T341" s="192" t="s">
        <v>333</v>
      </c>
      <c r="V341" s="185"/>
    </row>
    <row r="342" spans="1:22" ht="18" hidden="1" customHeight="1">
      <c r="A342" s="184"/>
      <c r="B342" s="14" t="s">
        <v>625</v>
      </c>
      <c r="C342" s="14"/>
      <c r="D342" s="14"/>
      <c r="E342" s="14"/>
      <c r="F342" s="14"/>
      <c r="G342" s="14"/>
      <c r="H342" s="14"/>
      <c r="I342" s="14"/>
      <c r="J342" s="14"/>
      <c r="P342" s="237" t="s">
        <v>441</v>
      </c>
      <c r="Q342" s="234" t="s">
        <v>127</v>
      </c>
      <c r="R342" s="795">
        <f>P289</f>
        <v>1.1667743100000001</v>
      </c>
      <c r="S342" s="684"/>
      <c r="T342" s="192" t="s">
        <v>333</v>
      </c>
      <c r="V342" s="185"/>
    </row>
    <row r="343" spans="1:22" ht="18" hidden="1" customHeight="1">
      <c r="A343" s="184"/>
      <c r="B343" s="40" t="s">
        <v>442</v>
      </c>
      <c r="C343" s="14"/>
      <c r="D343" s="14"/>
      <c r="E343" s="14"/>
      <c r="F343" s="14"/>
      <c r="G343" s="14"/>
      <c r="H343" s="5"/>
      <c r="I343" s="5"/>
      <c r="J343" s="5"/>
      <c r="P343" s="237" t="s">
        <v>443</v>
      </c>
      <c r="Q343" s="234" t="s">
        <v>127</v>
      </c>
      <c r="R343" s="795">
        <f>J285</f>
        <v>0.02</v>
      </c>
      <c r="S343" s="684"/>
      <c r="T343" s="14" t="s">
        <v>157</v>
      </c>
      <c r="V343" s="185"/>
    </row>
    <row r="344" spans="1:22" ht="18" hidden="1" customHeight="1">
      <c r="A344" s="184"/>
      <c r="V344" s="185"/>
    </row>
    <row r="345" spans="1:22" ht="18" hidden="1" customHeight="1">
      <c r="A345" s="799" t="s">
        <v>417</v>
      </c>
      <c r="B345" s="802"/>
      <c r="C345" s="802"/>
      <c r="D345" s="805">
        <v>30</v>
      </c>
      <c r="E345" s="805" t="s">
        <v>315</v>
      </c>
      <c r="F345" s="1184">
        <f>R334</f>
        <v>437.38656756789834</v>
      </c>
      <c r="G345" s="1111"/>
      <c r="H345" s="805" t="s">
        <v>315</v>
      </c>
      <c r="I345" s="822">
        <f>R339</f>
        <v>1</v>
      </c>
      <c r="J345" s="1269"/>
      <c r="K345" s="805" t="s">
        <v>315</v>
      </c>
      <c r="L345" s="815" t="s">
        <v>419</v>
      </c>
      <c r="M345" s="815" t="str">
        <f>R341</f>
        <v>-</v>
      </c>
      <c r="N345" s="816" t="s">
        <v>347</v>
      </c>
      <c r="O345" s="817">
        <f>R342</f>
        <v>1.1667743100000001</v>
      </c>
      <c r="P345" s="805" t="s">
        <v>347</v>
      </c>
      <c r="Q345" s="1259">
        <f>R343</f>
        <v>0.02</v>
      </c>
      <c r="R345" s="807"/>
      <c r="S345" s="807"/>
      <c r="T345" s="798" t="s">
        <v>350</v>
      </c>
      <c r="U345" s="230" t="s">
        <v>422</v>
      </c>
      <c r="V345" s="97"/>
    </row>
    <row r="346" spans="1:22" ht="18" hidden="1" customHeight="1">
      <c r="A346" s="827"/>
      <c r="B346" s="802"/>
      <c r="C346" s="802"/>
      <c r="D346" s="805"/>
      <c r="E346" s="805"/>
      <c r="F346" s="1111"/>
      <c r="G346" s="1111"/>
      <c r="H346" s="805"/>
      <c r="I346" s="805" t="str">
        <f>R333</f>
        <v>-</v>
      </c>
      <c r="J346" s="1234"/>
      <c r="K346" s="805"/>
      <c r="L346" s="815"/>
      <c r="M346" s="815"/>
      <c r="N346" s="816"/>
      <c r="O346" s="815"/>
      <c r="P346" s="805"/>
      <c r="Q346" s="221">
        <f>R340</f>
        <v>1</v>
      </c>
      <c r="R346" s="221" t="s">
        <v>315</v>
      </c>
      <c r="S346" s="221">
        <f>R340</f>
        <v>1</v>
      </c>
      <c r="T346" s="798"/>
      <c r="U346" s="14"/>
      <c r="V346" s="97"/>
    </row>
    <row r="347" spans="1:22" ht="18" hidden="1" customHeight="1">
      <c r="A347" s="184"/>
      <c r="V347" s="185"/>
    </row>
    <row r="348" spans="1:22" ht="18" hidden="1" customHeight="1">
      <c r="A348" s="184"/>
      <c r="C348" s="30" t="s">
        <v>127</v>
      </c>
      <c r="D348" s="812" t="e">
        <f>D345*F345*(I345/I346)*(M345+O345+(Q345/(Q346*S346)))</f>
        <v>#VALUE!</v>
      </c>
      <c r="E348" s="813"/>
      <c r="F348" s="30" t="s">
        <v>305</v>
      </c>
      <c r="V348" s="185"/>
    </row>
    <row r="349" spans="1:22" ht="18" hidden="1" customHeight="1">
      <c r="A349" s="184"/>
      <c r="V349" s="185"/>
    </row>
    <row r="350" spans="1:22" ht="18" hidden="1" customHeight="1">
      <c r="A350" s="799" t="s">
        <v>417</v>
      </c>
      <c r="B350" s="802"/>
      <c r="C350" s="802"/>
      <c r="D350" s="805">
        <v>2</v>
      </c>
      <c r="E350" s="805" t="s">
        <v>315</v>
      </c>
      <c r="F350" s="1184">
        <f>R335</f>
        <v>6998.1850810863734</v>
      </c>
      <c r="G350" s="1111"/>
      <c r="H350" s="805" t="s">
        <v>315</v>
      </c>
      <c r="I350" s="822">
        <f>R339</f>
        <v>1</v>
      </c>
      <c r="J350" s="1269"/>
      <c r="K350" s="805" t="s">
        <v>315</v>
      </c>
      <c r="L350" s="808" t="s">
        <v>419</v>
      </c>
      <c r="M350" s="815" t="str">
        <f>R341</f>
        <v>-</v>
      </c>
      <c r="N350" s="816" t="s">
        <v>347</v>
      </c>
      <c r="O350" s="817">
        <f>R342</f>
        <v>1.1667743100000001</v>
      </c>
      <c r="P350" s="805" t="s">
        <v>347</v>
      </c>
      <c r="Q350" s="1259">
        <f>R343</f>
        <v>0.02</v>
      </c>
      <c r="R350" s="807"/>
      <c r="S350" s="807"/>
      <c r="T350" s="798" t="s">
        <v>350</v>
      </c>
      <c r="U350" s="230" t="s">
        <v>426</v>
      </c>
      <c r="V350" s="97"/>
    </row>
    <row r="351" spans="1:22" ht="18" hidden="1" customHeight="1">
      <c r="A351" s="827"/>
      <c r="B351" s="802"/>
      <c r="C351" s="802"/>
      <c r="D351" s="805"/>
      <c r="E351" s="805"/>
      <c r="F351" s="1111"/>
      <c r="G351" s="1111"/>
      <c r="H351" s="805"/>
      <c r="I351" s="805" t="str">
        <f>R333</f>
        <v>-</v>
      </c>
      <c r="J351" s="1234"/>
      <c r="K351" s="805"/>
      <c r="L351" s="808"/>
      <c r="M351" s="815"/>
      <c r="N351" s="816"/>
      <c r="O351" s="815"/>
      <c r="P351" s="805"/>
      <c r="Q351" s="221">
        <f>R340</f>
        <v>1</v>
      </c>
      <c r="R351" s="221" t="s">
        <v>315</v>
      </c>
      <c r="S351" s="221">
        <f>R340</f>
        <v>1</v>
      </c>
      <c r="T351" s="798"/>
      <c r="U351" s="14"/>
      <c r="V351" s="97"/>
    </row>
    <row r="352" spans="1:22" ht="18" hidden="1" customHeight="1">
      <c r="A352" s="184"/>
      <c r="L352" s="244"/>
      <c r="V352" s="185"/>
    </row>
    <row r="353" spans="1:22" ht="18" hidden="1" customHeight="1">
      <c r="A353" s="184"/>
      <c r="C353" s="30" t="s">
        <v>127</v>
      </c>
      <c r="D353" s="812" t="e">
        <f>D350*F350*(I350/I351)*(M350+O350+(Q350/(Q351*S351)))</f>
        <v>#VALUE!</v>
      </c>
      <c r="E353" s="813"/>
      <c r="F353" s="30" t="s">
        <v>305</v>
      </c>
      <c r="L353" s="244"/>
      <c r="V353" s="185"/>
    </row>
    <row r="354" spans="1:22" ht="18" hidden="1" customHeight="1">
      <c r="A354" s="184"/>
      <c r="L354" s="244"/>
      <c r="V354" s="185"/>
    </row>
    <row r="355" spans="1:22" ht="18" hidden="1" customHeight="1">
      <c r="A355" s="799" t="s">
        <v>417</v>
      </c>
      <c r="B355" s="802"/>
      <c r="C355" s="802"/>
      <c r="D355" s="689"/>
      <c r="E355" s="689"/>
      <c r="F355" s="805" t="str">
        <f>R337</f>
        <v>-</v>
      </c>
      <c r="G355" s="993"/>
      <c r="H355" s="805" t="s">
        <v>315</v>
      </c>
      <c r="I355" s="822">
        <f>R339</f>
        <v>1</v>
      </c>
      <c r="J355" s="1269"/>
      <c r="K355" s="805" t="s">
        <v>315</v>
      </c>
      <c r="L355" s="808" t="s">
        <v>419</v>
      </c>
      <c r="M355" s="815" t="str">
        <f>R341</f>
        <v>-</v>
      </c>
      <c r="N355" s="816" t="s">
        <v>347</v>
      </c>
      <c r="O355" s="817">
        <f>R342</f>
        <v>1.1667743100000001</v>
      </c>
      <c r="P355" s="805" t="s">
        <v>347</v>
      </c>
      <c r="Q355" s="1259">
        <f>R343</f>
        <v>0.02</v>
      </c>
      <c r="R355" s="807"/>
      <c r="S355" s="807"/>
      <c r="T355" s="798" t="s">
        <v>350</v>
      </c>
      <c r="U355" s="230" t="s">
        <v>618</v>
      </c>
      <c r="V355" s="97"/>
    </row>
    <row r="356" spans="1:22" ht="18" hidden="1" customHeight="1">
      <c r="A356" s="827"/>
      <c r="B356" s="802"/>
      <c r="C356" s="802"/>
      <c r="D356" s="689"/>
      <c r="E356" s="689"/>
      <c r="F356" s="993"/>
      <c r="G356" s="993"/>
      <c r="H356" s="805"/>
      <c r="I356" s="805" t="str">
        <f>R333</f>
        <v>-</v>
      </c>
      <c r="J356" s="1234"/>
      <c r="K356" s="805"/>
      <c r="L356" s="808"/>
      <c r="M356" s="815"/>
      <c r="N356" s="816"/>
      <c r="O356" s="815"/>
      <c r="P356" s="805"/>
      <c r="Q356" s="221">
        <f>R340</f>
        <v>1</v>
      </c>
      <c r="R356" s="221" t="s">
        <v>315</v>
      </c>
      <c r="S356" s="221">
        <f>R340</f>
        <v>1</v>
      </c>
      <c r="T356" s="798"/>
      <c r="U356" s="14"/>
      <c r="V356" s="97"/>
    </row>
    <row r="357" spans="1:22" ht="18" hidden="1" customHeight="1">
      <c r="A357" s="184"/>
      <c r="V357" s="185"/>
    </row>
    <row r="358" spans="1:22" ht="18" hidden="1" customHeight="1">
      <c r="A358" s="184"/>
      <c r="C358" s="30" t="s">
        <v>127</v>
      </c>
      <c r="D358" s="812" t="e">
        <f>F355*(I355/I356)*(M355+O355+(Q355/(Q356*S356)))</f>
        <v>#VALUE!</v>
      </c>
      <c r="E358" s="813"/>
      <c r="F358" s="30" t="s">
        <v>305</v>
      </c>
      <c r="G358" s="187" t="s">
        <v>378</v>
      </c>
      <c r="H358" s="186" t="str">
        <f>IF(M330="y","Applicable","Not applicable")</f>
        <v>Not applicable</v>
      </c>
      <c r="V358" s="185"/>
    </row>
    <row r="359" spans="1:22" ht="18" hidden="1" customHeight="1">
      <c r="A359" s="184"/>
      <c r="V359" s="185"/>
    </row>
    <row r="360" spans="1:22" s="14" customFormat="1" ht="18" hidden="1" customHeight="1">
      <c r="A360" s="194"/>
      <c r="B360" s="195"/>
      <c r="C360" s="195"/>
      <c r="D360" s="195"/>
      <c r="E360" s="195"/>
      <c r="F360" s="195"/>
      <c r="G360" s="195"/>
      <c r="H360" s="195"/>
      <c r="I360" s="195"/>
      <c r="J360" s="195"/>
      <c r="K360" s="195"/>
      <c r="L360" s="195"/>
      <c r="M360" s="195"/>
      <c r="N360" s="195"/>
      <c r="O360" s="195"/>
      <c r="P360" s="195"/>
      <c r="Q360" s="224"/>
      <c r="R360" s="182"/>
      <c r="S360" s="225"/>
      <c r="T360" s="195"/>
      <c r="U360" s="195"/>
      <c r="V360" s="134"/>
    </row>
    <row r="361" spans="1:22" ht="18" hidden="1" customHeight="1">
      <c r="A361" s="226"/>
      <c r="B361" s="227"/>
      <c r="C361" s="227"/>
      <c r="D361" s="227"/>
      <c r="E361" s="227"/>
      <c r="F361" s="227"/>
      <c r="G361" s="227"/>
      <c r="H361" s="227"/>
      <c r="I361" s="227"/>
      <c r="J361" s="227"/>
      <c r="K361" s="227"/>
      <c r="L361" s="227"/>
      <c r="M361" s="227"/>
      <c r="N361" s="227"/>
      <c r="O361" s="227"/>
      <c r="P361" s="227"/>
      <c r="Q361" s="227"/>
      <c r="R361" s="227"/>
      <c r="S361" s="227"/>
      <c r="T361" s="227"/>
      <c r="U361" s="227"/>
      <c r="V361" s="228"/>
    </row>
    <row r="362" spans="1:22" ht="18" hidden="1" customHeight="1">
      <c r="A362" s="184" t="s">
        <v>634</v>
      </c>
      <c r="M362" s="825" t="str">
        <f>R333</f>
        <v>-</v>
      </c>
      <c r="N362" s="826"/>
      <c r="O362" s="30" t="s">
        <v>470</v>
      </c>
      <c r="Q362" s="812" t="e">
        <f>IF(M330="Y",MAX(D348,D358),MAX(D348,D353))</f>
        <v>#VALUE!</v>
      </c>
      <c r="R362" s="820"/>
      <c r="S362" s="30" t="s">
        <v>305</v>
      </c>
      <c r="V362" s="185"/>
    </row>
    <row r="363" spans="1:22" ht="18" hidden="1" customHeight="1">
      <c r="A363" s="184"/>
      <c r="M363" s="247"/>
      <c r="N363" s="247"/>
      <c r="Q363" s="211"/>
      <c r="R363" s="27"/>
      <c r="V363" s="185"/>
    </row>
    <row r="364" spans="1:22" ht="18" hidden="1" customHeight="1">
      <c r="A364" s="248" t="s">
        <v>471</v>
      </c>
      <c r="B364" s="14"/>
      <c r="C364" s="14"/>
      <c r="D364" s="249"/>
      <c r="E364" s="14"/>
      <c r="F364" s="14"/>
      <c r="G364" s="47"/>
      <c r="H364" s="14"/>
      <c r="J364" s="14"/>
      <c r="K364" s="14"/>
      <c r="L364" s="14"/>
      <c r="M364" s="14"/>
      <c r="N364" s="14"/>
      <c r="O364" s="14"/>
      <c r="P364" s="250"/>
      <c r="Q364" s="251"/>
      <c r="R364" s="47"/>
      <c r="S364" s="14"/>
      <c r="V364" s="185"/>
    </row>
    <row r="365" spans="1:22" ht="18" hidden="1" customHeight="1">
      <c r="A365" s="248"/>
      <c r="B365" s="14"/>
      <c r="C365" s="14"/>
      <c r="D365" s="249"/>
      <c r="E365" s="14"/>
      <c r="F365" s="14"/>
      <c r="G365" s="47"/>
      <c r="H365" s="14"/>
      <c r="J365" s="14"/>
      <c r="K365" s="14"/>
      <c r="L365" s="14"/>
      <c r="M365" s="14"/>
      <c r="N365" s="14"/>
      <c r="O365" s="14"/>
      <c r="P365" s="250"/>
      <c r="Q365" s="251"/>
      <c r="R365" s="47"/>
      <c r="S365" s="14"/>
      <c r="V365" s="185"/>
    </row>
    <row r="366" spans="1:22" ht="18" hidden="1" customHeight="1">
      <c r="A366" s="96" t="s">
        <v>500</v>
      </c>
      <c r="V366" s="185"/>
    </row>
    <row r="367" spans="1:22" ht="18" hidden="1" customHeight="1">
      <c r="A367" s="184"/>
      <c r="N367" s="14"/>
      <c r="O367" s="14" t="s">
        <v>473</v>
      </c>
      <c r="P367" s="102" t="s">
        <v>127</v>
      </c>
      <c r="Q367" s="694" t="s">
        <v>474</v>
      </c>
      <c r="R367" s="694"/>
      <c r="S367" s="28" t="s">
        <v>315</v>
      </c>
      <c r="T367" s="28">
        <v>0.8</v>
      </c>
      <c r="V367" s="185"/>
    </row>
    <row r="368" spans="1:22" ht="18" hidden="1" customHeight="1">
      <c r="A368" s="184"/>
      <c r="N368" s="252"/>
      <c r="O368" s="14"/>
      <c r="P368" s="102" t="s">
        <v>127</v>
      </c>
      <c r="Q368" s="829" t="e">
        <f>+Q362</f>
        <v>#VALUE!</v>
      </c>
      <c r="R368" s="1147"/>
      <c r="S368" s="222" t="s">
        <v>315</v>
      </c>
      <c r="T368" s="253">
        <f>+T367</f>
        <v>0.8</v>
      </c>
      <c r="V368" s="185"/>
    </row>
    <row r="369" spans="1:22" ht="18" hidden="1" customHeight="1">
      <c r="A369" s="184"/>
      <c r="O369" s="14"/>
      <c r="P369" s="28" t="s">
        <v>127</v>
      </c>
      <c r="Q369" s="830" t="e">
        <f>Q368*T368</f>
        <v>#VALUE!</v>
      </c>
      <c r="R369" s="1270"/>
      <c r="S369" s="47" t="s">
        <v>305</v>
      </c>
      <c r="T369" s="14"/>
      <c r="V369" s="185"/>
    </row>
    <row r="370" spans="1:22" ht="18" hidden="1" customHeight="1">
      <c r="A370" s="184"/>
      <c r="V370" s="185"/>
    </row>
    <row r="371" spans="1:22" ht="18" hidden="1" customHeight="1">
      <c r="A371" s="184"/>
      <c r="D371" s="30" t="s">
        <v>475</v>
      </c>
      <c r="G371" s="27" t="e">
        <f>IF(E372&gt;H372,"&gt;","&lt;")</f>
        <v>#VALUE!</v>
      </c>
      <c r="H371" s="30" t="s">
        <v>477</v>
      </c>
      <c r="V371" s="185"/>
    </row>
    <row r="372" spans="1:22" ht="18" hidden="1" customHeight="1">
      <c r="A372" s="184"/>
      <c r="E372" s="684" t="str">
        <f>L280</f>
        <v>-</v>
      </c>
      <c r="F372" s="684"/>
      <c r="G372" s="27" t="e">
        <f>G371</f>
        <v>#VALUE!</v>
      </c>
      <c r="H372" s="795" t="e">
        <f>Q369</f>
        <v>#VALUE!</v>
      </c>
      <c r="I372" s="684"/>
      <c r="V372" s="185"/>
    </row>
    <row r="373" spans="1:22" ht="18" hidden="1" customHeight="1">
      <c r="A373" s="184"/>
      <c r="F373" s="244" t="s">
        <v>478</v>
      </c>
      <c r="H373" s="18" t="e">
        <f>IF(G371="&gt;","Suitably Dimensioned","Under Dimensioned")</f>
        <v>#VALUE!</v>
      </c>
      <c r="V373" s="185"/>
    </row>
    <row r="374" spans="1:22" ht="18" hidden="1" customHeight="1">
      <c r="A374" s="184"/>
      <c r="F374" s="244"/>
      <c r="H374" s="18"/>
      <c r="V374" s="185"/>
    </row>
    <row r="375" spans="1:22" ht="18" hidden="1" customHeight="1">
      <c r="A375" s="184"/>
      <c r="F375" s="244"/>
      <c r="H375" s="18"/>
      <c r="V375" s="185"/>
    </row>
    <row r="376" spans="1:22" ht="18" hidden="1" customHeight="1">
      <c r="A376" s="184"/>
      <c r="F376" s="244"/>
      <c r="H376" s="18"/>
      <c r="V376" s="185"/>
    </row>
    <row r="377" spans="1:22" ht="18" hidden="1" customHeight="1">
      <c r="A377" s="184"/>
      <c r="F377" s="244"/>
      <c r="H377" s="18"/>
      <c r="V377" s="185"/>
    </row>
    <row r="378" spans="1:22" ht="18" hidden="1" customHeight="1">
      <c r="A378" s="184"/>
      <c r="F378" s="244"/>
      <c r="H378" s="18"/>
      <c r="V378" s="185"/>
    </row>
    <row r="379" spans="1:22" ht="18" hidden="1" customHeight="1">
      <c r="A379" s="184"/>
      <c r="F379" s="244"/>
      <c r="H379" s="18"/>
      <c r="V379" s="185"/>
    </row>
    <row r="380" spans="1:22" ht="18" hidden="1" customHeight="1">
      <c r="A380" s="184"/>
      <c r="F380" s="244"/>
      <c r="H380" s="18"/>
      <c r="V380" s="185"/>
    </row>
    <row r="381" spans="1:22" ht="18" hidden="1" customHeight="1">
      <c r="A381" s="184"/>
      <c r="F381" s="244"/>
      <c r="H381" s="18"/>
      <c r="V381" s="185"/>
    </row>
    <row r="382" spans="1:22" ht="18" hidden="1" customHeight="1">
      <c r="A382" s="184"/>
      <c r="F382" s="244"/>
      <c r="H382" s="18"/>
      <c r="V382" s="185"/>
    </row>
    <row r="383" spans="1:22" ht="18" hidden="1" customHeight="1">
      <c r="A383" s="184"/>
      <c r="F383" s="244"/>
      <c r="H383" s="18"/>
      <c r="V383" s="185"/>
    </row>
    <row r="384" spans="1:22" ht="18" hidden="1" customHeight="1">
      <c r="A384" s="184"/>
      <c r="F384" s="244"/>
      <c r="H384" s="18"/>
      <c r="V384" s="185"/>
    </row>
    <row r="385" spans="1:22" ht="18" hidden="1" customHeight="1">
      <c r="A385" s="184"/>
      <c r="F385" s="244"/>
      <c r="H385" s="18"/>
      <c r="V385" s="185"/>
    </row>
    <row r="386" spans="1:22" ht="18" hidden="1" customHeight="1">
      <c r="A386" s="184"/>
      <c r="F386" s="244"/>
      <c r="H386" s="18"/>
      <c r="V386" s="185"/>
    </row>
    <row r="387" spans="1:22" ht="18" hidden="1" customHeight="1">
      <c r="A387" s="184"/>
      <c r="F387" s="244"/>
      <c r="H387" s="18"/>
      <c r="V387" s="185"/>
    </row>
    <row r="388" spans="1:22" ht="18" hidden="1" customHeight="1">
      <c r="A388" s="184"/>
      <c r="F388" s="244"/>
      <c r="H388" s="18"/>
      <c r="V388" s="185"/>
    </row>
    <row r="389" spans="1:22" ht="18" hidden="1" customHeight="1">
      <c r="A389" s="184"/>
      <c r="F389" s="244"/>
      <c r="H389" s="18"/>
      <c r="V389" s="185"/>
    </row>
    <row r="390" spans="1:22" ht="18" hidden="1" customHeight="1">
      <c r="A390" s="184"/>
      <c r="F390" s="244"/>
      <c r="H390" s="18"/>
      <c r="V390" s="185"/>
    </row>
    <row r="391" spans="1:22" ht="18" hidden="1" customHeight="1">
      <c r="A391" s="184"/>
      <c r="F391" s="244"/>
      <c r="H391" s="18"/>
      <c r="V391" s="185"/>
    </row>
    <row r="392" spans="1:22" ht="18" hidden="1" customHeight="1">
      <c r="A392" s="184"/>
      <c r="F392" s="244"/>
      <c r="H392" s="18"/>
      <c r="V392" s="185"/>
    </row>
    <row r="393" spans="1:22" ht="18" hidden="1" customHeight="1">
      <c r="A393" s="184"/>
      <c r="F393" s="244"/>
      <c r="H393" s="18"/>
      <c r="V393" s="185"/>
    </row>
    <row r="394" spans="1:22" ht="18" hidden="1" customHeight="1">
      <c r="A394" s="184"/>
      <c r="F394" s="244"/>
      <c r="H394" s="18"/>
      <c r="V394" s="185"/>
    </row>
    <row r="395" spans="1:22" ht="18" hidden="1" customHeight="1">
      <c r="A395" s="184"/>
      <c r="F395" s="244"/>
      <c r="H395" s="18"/>
      <c r="V395" s="185"/>
    </row>
    <row r="396" spans="1:22" ht="18" hidden="1" customHeight="1">
      <c r="A396" s="184"/>
      <c r="F396" s="244"/>
      <c r="H396" s="18"/>
      <c r="V396" s="185"/>
    </row>
    <row r="397" spans="1:22" ht="18" hidden="1" customHeight="1">
      <c r="A397" s="184"/>
      <c r="F397" s="244"/>
      <c r="H397" s="18"/>
      <c r="V397" s="185"/>
    </row>
    <row r="398" spans="1:22" ht="18" hidden="1" customHeight="1">
      <c r="A398" s="184"/>
      <c r="F398" s="244"/>
      <c r="H398" s="18"/>
      <c r="V398" s="185"/>
    </row>
    <row r="399" spans="1:22" ht="18" hidden="1" customHeight="1">
      <c r="A399" s="184"/>
      <c r="F399" s="244"/>
      <c r="H399" s="18"/>
      <c r="V399" s="185"/>
    </row>
    <row r="400" spans="1:22" ht="18" hidden="1" customHeight="1">
      <c r="A400" s="184"/>
      <c r="F400" s="244"/>
      <c r="H400" s="18"/>
      <c r="V400" s="185"/>
    </row>
    <row r="401" spans="1:22" ht="18" hidden="1" customHeight="1">
      <c r="A401" s="184"/>
      <c r="F401" s="244"/>
      <c r="H401" s="18"/>
      <c r="V401" s="185"/>
    </row>
    <row r="402" spans="1:22" ht="18" hidden="1" customHeight="1">
      <c r="A402" s="184"/>
      <c r="F402" s="244"/>
      <c r="H402" s="18"/>
      <c r="V402" s="185"/>
    </row>
    <row r="403" spans="1:22" ht="18" hidden="1" customHeight="1">
      <c r="A403" s="184"/>
      <c r="F403" s="244"/>
      <c r="H403" s="18"/>
      <c r="V403" s="185"/>
    </row>
    <row r="404" spans="1:22" s="14" customFormat="1" ht="18" hidden="1" customHeight="1">
      <c r="A404" s="194"/>
      <c r="B404" s="195"/>
      <c r="C404" s="195"/>
      <c r="D404" s="195"/>
      <c r="E404" s="195"/>
      <c r="F404" s="195"/>
      <c r="G404" s="195"/>
      <c r="H404" s="195"/>
      <c r="I404" s="195"/>
      <c r="J404" s="195"/>
      <c r="K404" s="195"/>
      <c r="L404" s="195"/>
      <c r="M404" s="195"/>
      <c r="N404" s="195"/>
      <c r="O404" s="195"/>
      <c r="P404" s="195"/>
      <c r="Q404" s="224"/>
      <c r="R404" s="182"/>
      <c r="S404" s="225"/>
      <c r="T404" s="195"/>
      <c r="U404" s="195"/>
      <c r="V404" s="134"/>
    </row>
    <row r="405" spans="1:22" ht="18" customHeight="1">
      <c r="A405" s="226"/>
      <c r="B405" s="227"/>
      <c r="C405" s="227"/>
      <c r="D405" s="227"/>
      <c r="E405" s="227"/>
      <c r="F405" s="227"/>
      <c r="G405" s="227"/>
      <c r="H405" s="227"/>
      <c r="I405" s="227"/>
      <c r="J405" s="227"/>
      <c r="K405" s="227"/>
      <c r="L405" s="227"/>
      <c r="M405" s="227"/>
      <c r="N405" s="227"/>
      <c r="O405" s="227"/>
      <c r="P405" s="227"/>
      <c r="Q405" s="227"/>
      <c r="R405" s="227"/>
      <c r="S405" s="227"/>
      <c r="T405" s="227"/>
      <c r="U405" s="227"/>
      <c r="V405" s="228"/>
    </row>
    <row r="406" spans="1:22" ht="18" customHeight="1">
      <c r="A406" s="262" t="s">
        <v>501</v>
      </c>
      <c r="B406" s="14"/>
      <c r="C406" s="14"/>
      <c r="D406" s="120"/>
      <c r="E406" s="120"/>
      <c r="F406" s="18"/>
      <c r="G406" s="18"/>
      <c r="H406" s="14"/>
      <c r="I406" s="14"/>
      <c r="J406" s="14"/>
      <c r="K406" s="14"/>
      <c r="L406" s="14"/>
      <c r="M406" s="14"/>
      <c r="N406" s="14"/>
      <c r="O406" s="14"/>
      <c r="P406" s="28"/>
      <c r="Q406" s="120"/>
      <c r="R406" s="47"/>
      <c r="S406" s="206"/>
      <c r="T406" s="259"/>
      <c r="U406" s="14"/>
      <c r="V406" s="97"/>
    </row>
    <row r="407" spans="1:22" ht="18" customHeight="1">
      <c r="A407" s="955" t="s">
        <v>85</v>
      </c>
      <c r="B407" s="956"/>
      <c r="C407" s="957"/>
      <c r="D407" s="955" t="s">
        <v>86</v>
      </c>
      <c r="E407" s="956"/>
      <c r="F407" s="957"/>
      <c r="G407" s="955" t="s">
        <v>87</v>
      </c>
      <c r="H407" s="957"/>
      <c r="I407" s="955" t="s">
        <v>88</v>
      </c>
      <c r="J407" s="957"/>
      <c r="K407" s="955" t="s">
        <v>502</v>
      </c>
      <c r="L407" s="957"/>
      <c r="M407" s="955" t="s">
        <v>503</v>
      </c>
      <c r="N407" s="957"/>
      <c r="O407" s="955" t="s">
        <v>504</v>
      </c>
      <c r="P407" s="957"/>
      <c r="Q407" s="955" t="s">
        <v>505</v>
      </c>
      <c r="R407" s="957"/>
      <c r="S407" s="955" t="s">
        <v>93</v>
      </c>
      <c r="T407" s="956"/>
      <c r="U407" s="956"/>
      <c r="V407" s="957"/>
    </row>
    <row r="408" spans="1:22" ht="18" customHeight="1">
      <c r="A408" s="1125"/>
      <c r="B408" s="983"/>
      <c r="C408" s="1126"/>
      <c r="D408" s="1125"/>
      <c r="E408" s="983"/>
      <c r="F408" s="1126"/>
      <c r="G408" s="1125"/>
      <c r="H408" s="1126"/>
      <c r="I408" s="1125"/>
      <c r="J408" s="1126"/>
      <c r="K408" s="1125"/>
      <c r="L408" s="1126"/>
      <c r="M408" s="1125"/>
      <c r="N408" s="1126"/>
      <c r="O408" s="1125"/>
      <c r="P408" s="1126"/>
      <c r="Q408" s="1125"/>
      <c r="R408" s="1126"/>
      <c r="S408" s="1125"/>
      <c r="T408" s="983"/>
      <c r="U408" s="983"/>
      <c r="V408" s="1126"/>
    </row>
    <row r="409" spans="1:22" ht="18" customHeight="1">
      <c r="A409" s="1125"/>
      <c r="B409" s="983"/>
      <c r="C409" s="1126"/>
      <c r="D409" s="1125"/>
      <c r="E409" s="983"/>
      <c r="F409" s="1126"/>
      <c r="G409" s="1125"/>
      <c r="H409" s="1126"/>
      <c r="I409" s="1125"/>
      <c r="J409" s="1126"/>
      <c r="K409" s="1125"/>
      <c r="L409" s="1126"/>
      <c r="M409" s="1125"/>
      <c r="N409" s="1126"/>
      <c r="O409" s="1125"/>
      <c r="P409" s="1126"/>
      <c r="Q409" s="1125"/>
      <c r="R409" s="1126"/>
      <c r="S409" s="1125"/>
      <c r="T409" s="983"/>
      <c r="U409" s="983"/>
      <c r="V409" s="1126"/>
    </row>
    <row r="410" spans="1:22" ht="18" customHeight="1">
      <c r="A410" s="1047"/>
      <c r="B410" s="1048"/>
      <c r="C410" s="1049"/>
      <c r="D410" s="1047"/>
      <c r="E410" s="1048"/>
      <c r="F410" s="1049"/>
      <c r="G410" s="1047"/>
      <c r="H410" s="1049"/>
      <c r="I410" s="1047"/>
      <c r="J410" s="1049"/>
      <c r="K410" s="1047"/>
      <c r="L410" s="1049"/>
      <c r="M410" s="1047"/>
      <c r="N410" s="1049"/>
      <c r="O410" s="1047"/>
      <c r="P410" s="1049"/>
      <c r="Q410" s="1047"/>
      <c r="R410" s="1049"/>
      <c r="S410" s="1047"/>
      <c r="T410" s="1048"/>
      <c r="U410" s="1048"/>
      <c r="V410" s="1049"/>
    </row>
    <row r="411" spans="1:22" ht="18" customHeight="1">
      <c r="A411" s="765" t="str">
        <f>B7</f>
        <v>T6</v>
      </c>
      <c r="B411" s="765" t="str">
        <f>D7</f>
        <v>Core1</v>
      </c>
      <c r="C411" s="765"/>
      <c r="D411" s="870">
        <f>H10</f>
        <v>2500</v>
      </c>
      <c r="E411" s="870"/>
      <c r="F411" s="871">
        <f>O10</f>
        <v>1</v>
      </c>
      <c r="G411" s="870">
        <f>'CT-VT Burdens'!S21</f>
        <v>120</v>
      </c>
      <c r="H411" s="874">
        <f>'CT-VT Burdens'!S10</f>
        <v>6</v>
      </c>
      <c r="I411" s="874" t="str">
        <f>H11</f>
        <v>PX</v>
      </c>
      <c r="J411" s="874"/>
      <c r="K411" s="869">
        <f>H12</f>
        <v>5</v>
      </c>
      <c r="L411" s="869"/>
      <c r="M411" s="869">
        <f>H13</f>
        <v>400</v>
      </c>
      <c r="N411" s="869"/>
      <c r="O411" s="870">
        <f>H14</f>
        <v>20</v>
      </c>
      <c r="P411" s="870"/>
      <c r="Q411" s="879" t="str">
        <f>D154</f>
        <v>RET670</v>
      </c>
      <c r="R411" s="879"/>
      <c r="S411" s="878" t="str">
        <f>H113</f>
        <v>Suitably Dimensioned</v>
      </c>
      <c r="T411" s="878"/>
      <c r="U411" s="878"/>
      <c r="V411" s="878"/>
    </row>
    <row r="412" spans="1:22" ht="18" customHeight="1">
      <c r="A412" s="765"/>
      <c r="B412" s="765"/>
      <c r="C412" s="765"/>
      <c r="D412" s="870" t="str">
        <f>J10</f>
        <v>-</v>
      </c>
      <c r="E412" s="870"/>
      <c r="F412" s="872"/>
      <c r="G412" s="870"/>
      <c r="H412" s="870"/>
      <c r="I412" s="874"/>
      <c r="J412" s="874"/>
      <c r="K412" s="875" t="s">
        <v>6</v>
      </c>
      <c r="L412" s="869"/>
      <c r="M412" s="875" t="s">
        <v>6</v>
      </c>
      <c r="N412" s="869"/>
      <c r="O412" s="876" t="s">
        <v>6</v>
      </c>
      <c r="P412" s="870"/>
      <c r="Q412" s="879"/>
      <c r="R412" s="879"/>
      <c r="S412" s="877" t="s">
        <v>6</v>
      </c>
      <c r="T412" s="878"/>
      <c r="U412" s="878"/>
      <c r="V412" s="878"/>
    </row>
    <row r="413" spans="1:22" ht="18" customHeight="1">
      <c r="A413" s="765"/>
      <c r="B413" s="765"/>
      <c r="C413" s="765"/>
      <c r="D413" s="870" t="str">
        <f>L10</f>
        <v>-</v>
      </c>
      <c r="E413" s="870"/>
      <c r="F413" s="873"/>
      <c r="G413" s="870"/>
      <c r="H413" s="870"/>
      <c r="I413" s="874"/>
      <c r="J413" s="874"/>
      <c r="K413" s="869" t="str">
        <f>L279</f>
        <v>-</v>
      </c>
      <c r="L413" s="869"/>
      <c r="M413" s="869" t="str">
        <f>L280</f>
        <v>-</v>
      </c>
      <c r="N413" s="869"/>
      <c r="O413" s="870" t="str">
        <f>L281</f>
        <v>-</v>
      </c>
      <c r="P413" s="870"/>
      <c r="Q413" s="879"/>
      <c r="R413" s="879"/>
      <c r="S413" s="878" t="s">
        <v>6</v>
      </c>
      <c r="T413" s="878"/>
      <c r="U413" s="878"/>
      <c r="V413" s="878"/>
    </row>
    <row r="414" spans="1:22" ht="18" customHeight="1">
      <c r="A414" s="265"/>
      <c r="B414" s="239"/>
      <c r="C414" s="239"/>
      <c r="D414" s="239"/>
      <c r="E414" s="239"/>
      <c r="F414" s="239"/>
      <c r="G414" s="239"/>
      <c r="H414" s="239"/>
      <c r="I414" s="239"/>
      <c r="J414" s="93"/>
      <c r="K414" s="93"/>
      <c r="L414" s="239"/>
      <c r="M414" s="239"/>
      <c r="N414" s="239"/>
      <c r="O414" s="239"/>
      <c r="P414" s="239"/>
      <c r="Q414" s="239"/>
      <c r="R414" s="239"/>
      <c r="S414" s="239"/>
      <c r="T414" s="239"/>
      <c r="U414" s="93"/>
      <c r="V414" s="266"/>
    </row>
    <row r="415" spans="1:22" ht="18" customHeight="1">
      <c r="A415" s="265"/>
      <c r="B415" s="239"/>
      <c r="C415" s="239"/>
      <c r="D415" s="239"/>
      <c r="E415" s="239"/>
      <c r="F415" s="239"/>
      <c r="G415" s="239"/>
      <c r="H415" s="239"/>
      <c r="I415" s="239"/>
      <c r="J415" s="93"/>
      <c r="K415" s="93"/>
      <c r="L415" s="239"/>
      <c r="M415" s="239"/>
      <c r="N415" s="239"/>
      <c r="O415" s="239"/>
      <c r="P415" s="239"/>
      <c r="Q415" s="239"/>
      <c r="R415" s="239"/>
      <c r="S415" s="239"/>
      <c r="T415" s="239"/>
      <c r="U415" s="93"/>
      <c r="V415" s="266"/>
    </row>
    <row r="416" spans="1:22" ht="18" customHeight="1">
      <c r="A416" s="265"/>
      <c r="B416" s="239"/>
      <c r="C416" s="239"/>
      <c r="D416" s="239"/>
      <c r="E416" s="239"/>
      <c r="F416" s="239"/>
      <c r="G416" s="239"/>
      <c r="H416" s="239"/>
      <c r="I416" s="239"/>
      <c r="J416" s="93"/>
      <c r="K416" s="93"/>
      <c r="L416" s="239"/>
      <c r="M416" s="239"/>
      <c r="N416" s="239"/>
      <c r="O416" s="239"/>
      <c r="P416" s="239"/>
      <c r="Q416" s="239"/>
      <c r="R416" s="239"/>
      <c r="S416" s="239"/>
      <c r="T416" s="239"/>
      <c r="U416" s="93"/>
      <c r="V416" s="266"/>
    </row>
    <row r="417" spans="1:22" ht="18" customHeight="1">
      <c r="A417" s="265"/>
      <c r="B417" s="239"/>
      <c r="C417" s="239"/>
      <c r="D417" s="239"/>
      <c r="E417" s="239"/>
      <c r="F417" s="239"/>
      <c r="G417" s="239"/>
      <c r="H417" s="239"/>
      <c r="I417" s="239"/>
      <c r="J417" s="93"/>
      <c r="K417" s="93"/>
      <c r="L417" s="239"/>
      <c r="M417" s="239"/>
      <c r="N417" s="239"/>
      <c r="O417" s="239"/>
      <c r="P417" s="239"/>
      <c r="Q417" s="239"/>
      <c r="R417" s="239"/>
      <c r="S417" s="239"/>
      <c r="T417" s="239"/>
      <c r="U417" s="93"/>
      <c r="V417" s="266"/>
    </row>
    <row r="418" spans="1:22" ht="18" customHeight="1">
      <c r="A418" s="265"/>
      <c r="B418" s="239"/>
      <c r="C418" s="239"/>
      <c r="D418" s="239"/>
      <c r="E418" s="239"/>
      <c r="F418" s="239"/>
      <c r="G418" s="239"/>
      <c r="H418" s="239"/>
      <c r="I418" s="239"/>
      <c r="J418" s="93"/>
      <c r="K418" s="93"/>
      <c r="L418" s="239"/>
      <c r="M418" s="239"/>
      <c r="N418" s="239"/>
      <c r="O418" s="239"/>
      <c r="P418" s="239"/>
      <c r="Q418" s="239"/>
      <c r="R418" s="239"/>
      <c r="S418" s="239"/>
      <c r="T418" s="239"/>
      <c r="U418" s="93"/>
      <c r="V418" s="266"/>
    </row>
    <row r="419" spans="1:22" ht="18" customHeight="1">
      <c r="A419" s="265"/>
      <c r="B419" s="239"/>
      <c r="C419" s="239"/>
      <c r="D419" s="239"/>
      <c r="E419" s="239"/>
      <c r="F419" s="239"/>
      <c r="G419" s="239"/>
      <c r="H419" s="239"/>
      <c r="I419" s="239"/>
      <c r="J419" s="93"/>
      <c r="K419" s="93"/>
      <c r="L419" s="239"/>
      <c r="M419" s="239"/>
      <c r="N419" s="239"/>
      <c r="O419" s="239"/>
      <c r="P419" s="239"/>
      <c r="Q419" s="239"/>
      <c r="R419" s="239"/>
      <c r="S419" s="239"/>
      <c r="T419" s="239"/>
      <c r="U419" s="93"/>
      <c r="V419" s="266"/>
    </row>
    <row r="420" spans="1:22" ht="18" customHeight="1">
      <c r="A420" s="265"/>
      <c r="B420" s="239"/>
      <c r="C420" s="239"/>
      <c r="D420" s="239"/>
      <c r="E420" s="239"/>
      <c r="F420" s="239"/>
      <c r="G420" s="239"/>
      <c r="H420" s="239"/>
      <c r="I420" s="239"/>
      <c r="J420" s="93"/>
      <c r="K420" s="93"/>
      <c r="L420" s="239"/>
      <c r="M420" s="239"/>
      <c r="N420" s="239"/>
      <c r="O420" s="239"/>
      <c r="P420" s="239"/>
      <c r="Q420" s="239"/>
      <c r="R420" s="239"/>
      <c r="S420" s="239"/>
      <c r="T420" s="239"/>
      <c r="U420" s="93"/>
      <c r="V420" s="266"/>
    </row>
    <row r="421" spans="1:22" ht="18" customHeight="1">
      <c r="A421" s="265"/>
      <c r="B421" s="239"/>
      <c r="C421" s="239"/>
      <c r="D421" s="239"/>
      <c r="E421" s="239"/>
      <c r="F421" s="239"/>
      <c r="G421" s="239"/>
      <c r="H421" s="239"/>
      <c r="I421" s="239"/>
      <c r="J421" s="93"/>
      <c r="K421" s="93"/>
      <c r="L421" s="239"/>
      <c r="M421" s="239"/>
      <c r="N421" s="239"/>
      <c r="O421" s="239"/>
      <c r="P421" s="239"/>
      <c r="Q421" s="239"/>
      <c r="R421" s="239"/>
      <c r="S421" s="239"/>
      <c r="T421" s="239"/>
      <c r="U421" s="93"/>
      <c r="V421" s="266"/>
    </row>
    <row r="422" spans="1:22" ht="18" customHeight="1">
      <c r="A422" s="265"/>
      <c r="B422" s="239"/>
      <c r="C422" s="239"/>
      <c r="D422" s="239"/>
      <c r="E422" s="239"/>
      <c r="F422" s="239"/>
      <c r="G422" s="239"/>
      <c r="H422" s="239"/>
      <c r="I422" s="239"/>
      <c r="J422" s="93"/>
      <c r="K422" s="93"/>
      <c r="L422" s="239"/>
      <c r="M422" s="239"/>
      <c r="N422" s="239"/>
      <c r="O422" s="239"/>
      <c r="P422" s="239"/>
      <c r="Q422" s="239"/>
      <c r="R422" s="239"/>
      <c r="S422" s="239"/>
      <c r="T422" s="239"/>
      <c r="U422" s="93"/>
      <c r="V422" s="266"/>
    </row>
    <row r="423" spans="1:22" ht="18" customHeight="1">
      <c r="A423" s="265"/>
      <c r="B423" s="239"/>
      <c r="C423" s="239"/>
      <c r="D423" s="239"/>
      <c r="E423" s="239"/>
      <c r="F423" s="239"/>
      <c r="G423" s="239"/>
      <c r="H423" s="239"/>
      <c r="I423" s="239"/>
      <c r="J423" s="93"/>
      <c r="K423" s="93"/>
      <c r="L423" s="239"/>
      <c r="M423" s="239"/>
      <c r="N423" s="239"/>
      <c r="O423" s="239"/>
      <c r="P423" s="239"/>
      <c r="Q423" s="239"/>
      <c r="R423" s="239"/>
      <c r="S423" s="239"/>
      <c r="T423" s="239"/>
      <c r="U423" s="93"/>
      <c r="V423" s="266"/>
    </row>
    <row r="424" spans="1:22" ht="18" customHeight="1">
      <c r="A424" s="265"/>
      <c r="B424" s="239"/>
      <c r="C424" s="239"/>
      <c r="D424" s="239"/>
      <c r="E424" s="239"/>
      <c r="F424" s="239"/>
      <c r="G424" s="239"/>
      <c r="H424" s="239"/>
      <c r="I424" s="239"/>
      <c r="J424" s="93"/>
      <c r="K424" s="93"/>
      <c r="L424" s="239"/>
      <c r="M424" s="239"/>
      <c r="N424" s="239"/>
      <c r="O424" s="239"/>
      <c r="P424" s="239"/>
      <c r="Q424" s="239"/>
      <c r="R424" s="239"/>
      <c r="S424" s="239"/>
      <c r="T424" s="239"/>
      <c r="U424" s="93"/>
      <c r="V424" s="266"/>
    </row>
    <row r="425" spans="1:22" ht="18" customHeight="1">
      <c r="A425" s="265"/>
      <c r="B425" s="239"/>
      <c r="C425" s="239"/>
      <c r="D425" s="239"/>
      <c r="E425" s="239"/>
      <c r="F425" s="239"/>
      <c r="G425" s="239"/>
      <c r="H425" s="239"/>
      <c r="I425" s="239"/>
      <c r="J425" s="93"/>
      <c r="K425" s="93"/>
      <c r="L425" s="239"/>
      <c r="M425" s="239"/>
      <c r="N425" s="239"/>
      <c r="O425" s="239"/>
      <c r="P425" s="239"/>
      <c r="Q425" s="239"/>
      <c r="R425" s="239"/>
      <c r="S425" s="239"/>
      <c r="T425" s="239"/>
      <c r="U425" s="93"/>
      <c r="V425" s="266"/>
    </row>
    <row r="426" spans="1:22" ht="18" customHeight="1">
      <c r="A426" s="265"/>
      <c r="B426" s="239"/>
      <c r="C426" s="239"/>
      <c r="D426" s="239"/>
      <c r="E426" s="239"/>
      <c r="F426" s="239"/>
      <c r="G426" s="239"/>
      <c r="H426" s="239"/>
      <c r="I426" s="239"/>
      <c r="J426" s="93"/>
      <c r="K426" s="93"/>
      <c r="L426" s="239"/>
      <c r="M426" s="239"/>
      <c r="N426" s="239"/>
      <c r="O426" s="239"/>
      <c r="P426" s="239"/>
      <c r="Q426" s="239"/>
      <c r="R426" s="239"/>
      <c r="S426" s="239"/>
      <c r="T426" s="239"/>
      <c r="U426" s="93"/>
      <c r="V426" s="266"/>
    </row>
    <row r="427" spans="1:22" ht="18" customHeight="1">
      <c r="A427" s="265"/>
      <c r="B427" s="239"/>
      <c r="C427" s="239"/>
      <c r="D427" s="239"/>
      <c r="E427" s="239"/>
      <c r="F427" s="239"/>
      <c r="G427" s="239"/>
      <c r="H427" s="239"/>
      <c r="I427" s="239"/>
      <c r="J427" s="93"/>
      <c r="K427" s="93"/>
      <c r="L427" s="239"/>
      <c r="M427" s="239"/>
      <c r="N427" s="239"/>
      <c r="O427" s="239"/>
      <c r="P427" s="239"/>
      <c r="Q427" s="239"/>
      <c r="R427" s="239"/>
      <c r="S427" s="239"/>
      <c r="T427" s="239"/>
      <c r="U427" s="93"/>
      <c r="V427" s="266"/>
    </row>
    <row r="428" spans="1:22" ht="18" customHeight="1">
      <c r="A428" s="265"/>
      <c r="B428" s="239"/>
      <c r="C428" s="239"/>
      <c r="D428" s="239"/>
      <c r="E428" s="239"/>
      <c r="F428" s="239"/>
      <c r="G428" s="239"/>
      <c r="H428" s="239"/>
      <c r="I428" s="239"/>
      <c r="J428" s="93"/>
      <c r="K428" s="93"/>
      <c r="L428" s="239"/>
      <c r="M428" s="239"/>
      <c r="N428" s="239"/>
      <c r="O428" s="239"/>
      <c r="P428" s="239"/>
      <c r="Q428" s="239"/>
      <c r="R428" s="239"/>
      <c r="S428" s="239"/>
      <c r="T428" s="239"/>
      <c r="U428" s="93"/>
      <c r="V428" s="266"/>
    </row>
    <row r="429" spans="1:22" ht="18" customHeight="1">
      <c r="A429" s="265"/>
      <c r="B429" s="239"/>
      <c r="C429" s="239"/>
      <c r="D429" s="239"/>
      <c r="E429" s="239"/>
      <c r="F429" s="239"/>
      <c r="G429" s="239"/>
      <c r="H429" s="239"/>
      <c r="I429" s="239"/>
      <c r="J429" s="93"/>
      <c r="K429" s="93"/>
      <c r="L429" s="239"/>
      <c r="M429" s="239"/>
      <c r="N429" s="239"/>
      <c r="O429" s="239"/>
      <c r="P429" s="239"/>
      <c r="Q429" s="239"/>
      <c r="R429" s="239"/>
      <c r="S429" s="239"/>
      <c r="T429" s="239"/>
      <c r="U429" s="93"/>
      <c r="V429" s="266"/>
    </row>
    <row r="430" spans="1:22" ht="18" customHeight="1">
      <c r="A430" s="265"/>
      <c r="B430" s="239"/>
      <c r="C430" s="239"/>
      <c r="D430" s="239"/>
      <c r="E430" s="239"/>
      <c r="F430" s="239"/>
      <c r="G430" s="239"/>
      <c r="H430" s="239"/>
      <c r="I430" s="239"/>
      <c r="J430" s="93"/>
      <c r="K430" s="93"/>
      <c r="L430" s="239"/>
      <c r="M430" s="239"/>
      <c r="N430" s="239"/>
      <c r="O430" s="239"/>
      <c r="P430" s="239"/>
      <c r="Q430" s="239"/>
      <c r="R430" s="239"/>
      <c r="S430" s="239"/>
      <c r="T430" s="239"/>
      <c r="U430" s="93"/>
      <c r="V430" s="266"/>
    </row>
    <row r="431" spans="1:22" ht="18" customHeight="1">
      <c r="A431" s="265"/>
      <c r="B431" s="239"/>
      <c r="C431" s="239"/>
      <c r="D431" s="239"/>
      <c r="E431" s="239"/>
      <c r="F431" s="239"/>
      <c r="G431" s="239"/>
      <c r="H431" s="239"/>
      <c r="I431" s="239"/>
      <c r="J431" s="93"/>
      <c r="K431" s="93"/>
      <c r="L431" s="239"/>
      <c r="M431" s="239"/>
      <c r="N431" s="239"/>
      <c r="O431" s="239"/>
      <c r="P431" s="239"/>
      <c r="Q431" s="239"/>
      <c r="R431" s="239"/>
      <c r="S431" s="239"/>
      <c r="T431" s="239"/>
      <c r="U431" s="93"/>
      <c r="V431" s="266"/>
    </row>
    <row r="432" spans="1:22" ht="18" customHeight="1">
      <c r="A432" s="265"/>
      <c r="B432" s="239"/>
      <c r="C432" s="239"/>
      <c r="D432" s="239"/>
      <c r="E432" s="239"/>
      <c r="F432" s="239"/>
      <c r="G432" s="239"/>
      <c r="H432" s="239"/>
      <c r="I432" s="239"/>
      <c r="J432" s="93"/>
      <c r="K432" s="93"/>
      <c r="L432" s="239"/>
      <c r="M432" s="239"/>
      <c r="N432" s="239"/>
      <c r="O432" s="239"/>
      <c r="P432" s="239"/>
      <c r="Q432" s="239"/>
      <c r="R432" s="239"/>
      <c r="S432" s="239"/>
      <c r="T432" s="239"/>
      <c r="U432" s="93"/>
      <c r="V432" s="266"/>
    </row>
    <row r="433" spans="1:22" ht="18" customHeight="1">
      <c r="A433" s="265"/>
      <c r="B433" s="239"/>
      <c r="C433" s="239"/>
      <c r="D433" s="239"/>
      <c r="E433" s="239"/>
      <c r="F433" s="239"/>
      <c r="G433" s="239"/>
      <c r="H433" s="239"/>
      <c r="I433" s="239"/>
      <c r="J433" s="93"/>
      <c r="K433" s="93"/>
      <c r="L433" s="239"/>
      <c r="M433" s="239"/>
      <c r="N433" s="239"/>
      <c r="O433" s="239"/>
      <c r="P433" s="239"/>
      <c r="Q433" s="239"/>
      <c r="R433" s="239"/>
      <c r="S433" s="239"/>
      <c r="T433" s="239"/>
      <c r="U433" s="93"/>
      <c r="V433" s="266"/>
    </row>
    <row r="434" spans="1:22" ht="18" customHeight="1">
      <c r="A434" s="265"/>
      <c r="B434" s="239"/>
      <c r="C434" s="239"/>
      <c r="D434" s="239"/>
      <c r="E434" s="239"/>
      <c r="F434" s="239"/>
      <c r="G434" s="239"/>
      <c r="H434" s="239"/>
      <c r="I434" s="239"/>
      <c r="J434" s="93"/>
      <c r="K434" s="93"/>
      <c r="L434" s="239"/>
      <c r="M434" s="239"/>
      <c r="N434" s="239"/>
      <c r="O434" s="239"/>
      <c r="P434" s="239"/>
      <c r="Q434" s="239"/>
      <c r="R434" s="239"/>
      <c r="S434" s="239"/>
      <c r="T434" s="239"/>
      <c r="U434" s="93"/>
      <c r="V434" s="266"/>
    </row>
    <row r="435" spans="1:22" ht="18" customHeight="1">
      <c r="A435" s="265"/>
      <c r="B435" s="239"/>
      <c r="C435" s="239"/>
      <c r="D435" s="239"/>
      <c r="E435" s="239"/>
      <c r="F435" s="239"/>
      <c r="G435" s="239"/>
      <c r="H435" s="239"/>
      <c r="I435" s="239"/>
      <c r="J435" s="93"/>
      <c r="K435" s="93"/>
      <c r="L435" s="239"/>
      <c r="M435" s="239"/>
      <c r="N435" s="239"/>
      <c r="O435" s="239"/>
      <c r="P435" s="239"/>
      <c r="Q435" s="239"/>
      <c r="R435" s="239"/>
      <c r="S435" s="239"/>
      <c r="T435" s="239"/>
      <c r="U435" s="93"/>
      <c r="V435" s="266"/>
    </row>
    <row r="436" spans="1:22" ht="18" customHeight="1">
      <c r="A436" s="265"/>
      <c r="B436" s="239"/>
      <c r="C436" s="239"/>
      <c r="D436" s="239"/>
      <c r="E436" s="239"/>
      <c r="F436" s="239"/>
      <c r="G436" s="239"/>
      <c r="H436" s="239"/>
      <c r="I436" s="239"/>
      <c r="J436" s="93"/>
      <c r="K436" s="93"/>
      <c r="L436" s="239"/>
      <c r="M436" s="239"/>
      <c r="N436" s="239"/>
      <c r="O436" s="239"/>
      <c r="P436" s="239"/>
      <c r="Q436" s="239"/>
      <c r="R436" s="239"/>
      <c r="S436" s="239"/>
      <c r="T436" s="239"/>
      <c r="U436" s="93"/>
      <c r="V436" s="266"/>
    </row>
    <row r="437" spans="1:22" ht="18" customHeight="1">
      <c r="A437" s="265"/>
      <c r="B437" s="239"/>
      <c r="C437" s="239"/>
      <c r="D437" s="239"/>
      <c r="E437" s="239"/>
      <c r="F437" s="239"/>
      <c r="G437" s="239"/>
      <c r="H437" s="239"/>
      <c r="I437" s="239"/>
      <c r="J437" s="93"/>
      <c r="K437" s="93"/>
      <c r="L437" s="239"/>
      <c r="M437" s="239"/>
      <c r="N437" s="239"/>
      <c r="O437" s="239"/>
      <c r="P437" s="239"/>
      <c r="Q437" s="239"/>
      <c r="R437" s="239"/>
      <c r="S437" s="239"/>
      <c r="T437" s="239"/>
      <c r="U437" s="93"/>
      <c r="V437" s="266"/>
    </row>
    <row r="438" spans="1:22" ht="18" customHeight="1">
      <c r="A438" s="184"/>
      <c r="V438" s="185"/>
    </row>
    <row r="439" spans="1:22" ht="18" customHeight="1">
      <c r="A439" s="184"/>
      <c r="V439" s="185"/>
    </row>
    <row r="440" spans="1:22" ht="18" customHeight="1">
      <c r="A440" s="184"/>
      <c r="V440" s="185"/>
    </row>
    <row r="441" spans="1:22" ht="18" customHeight="1">
      <c r="A441" s="184"/>
      <c r="V441" s="185"/>
    </row>
    <row r="442" spans="1:22" ht="18" customHeight="1">
      <c r="A442" s="184"/>
      <c r="V442" s="185"/>
    </row>
    <row r="443" spans="1:22" ht="18" customHeight="1">
      <c r="A443" s="184"/>
      <c r="V443" s="185"/>
    </row>
    <row r="444" spans="1:22" s="14" customFormat="1" ht="18" customHeight="1">
      <c r="A444" s="194"/>
      <c r="B444" s="195"/>
      <c r="C444" s="195"/>
      <c r="D444" s="195"/>
      <c r="E444" s="195"/>
      <c r="F444" s="195"/>
      <c r="G444" s="195"/>
      <c r="H444" s="195"/>
      <c r="I444" s="195"/>
      <c r="J444" s="195"/>
      <c r="K444" s="195"/>
      <c r="L444" s="195"/>
      <c r="M444" s="195"/>
      <c r="N444" s="195"/>
      <c r="O444" s="195"/>
      <c r="P444" s="195"/>
      <c r="Q444" s="224"/>
      <c r="R444" s="182"/>
      <c r="S444" s="225"/>
      <c r="T444" s="195"/>
      <c r="U444" s="195"/>
      <c r="V444" s="134"/>
    </row>
    <row r="445" spans="1:22" ht="18" hidden="1" customHeight="1">
      <c r="A445" s="1178" t="str">
        <f>A1</f>
        <v>HITACHI</v>
      </c>
      <c r="B445" s="1179"/>
      <c r="C445" s="1179"/>
      <c r="D445" s="1179"/>
      <c r="E445" s="1179"/>
      <c r="F445" s="1179"/>
      <c r="G445" s="1180"/>
      <c r="H445" s="906" t="str">
        <f>H1</f>
        <v>CT / VT</v>
      </c>
      <c r="I445" s="929"/>
      <c r="J445" s="929"/>
      <c r="K445" s="929"/>
      <c r="L445" s="929"/>
      <c r="M445" s="929"/>
      <c r="N445" s="930"/>
      <c r="O445" s="885" t="str">
        <f>O1</f>
        <v>Contract No.</v>
      </c>
      <c r="P445" s="886"/>
      <c r="Q445" s="887"/>
      <c r="R445" s="775" t="str">
        <f>R1</f>
        <v>N-19957.2-DF4W</v>
      </c>
      <c r="S445" s="1068"/>
      <c r="T445" s="1068"/>
      <c r="U445" s="1068"/>
      <c r="V445" s="776"/>
    </row>
    <row r="446" spans="1:22" ht="18" hidden="1" customHeight="1">
      <c r="A446" s="1181"/>
      <c r="B446" s="1182"/>
      <c r="C446" s="1182"/>
      <c r="D446" s="1182"/>
      <c r="E446" s="1182"/>
      <c r="F446" s="1182"/>
      <c r="G446" s="1183"/>
      <c r="H446" s="909" t="str">
        <f>H2</f>
        <v>ADEQUACY CHECK</v>
      </c>
      <c r="I446" s="934"/>
      <c r="J446" s="934"/>
      <c r="K446" s="934"/>
      <c r="L446" s="934"/>
      <c r="M446" s="934"/>
      <c r="N446" s="935"/>
      <c r="O446" s="885" t="str">
        <f>O2</f>
        <v>Date</v>
      </c>
      <c r="P446" s="886"/>
      <c r="Q446" s="887"/>
      <c r="R446" s="775">
        <f>R2</f>
        <v>46134</v>
      </c>
      <c r="S446" s="1068"/>
      <c r="T446" s="1068"/>
      <c r="U446" s="1068"/>
      <c r="V446" s="776"/>
    </row>
    <row r="447" spans="1:22" ht="18" hidden="1" customHeight="1">
      <c r="A447" s="955">
        <f>A3</f>
        <v>0</v>
      </c>
      <c r="B447" s="956"/>
      <c r="C447" s="956"/>
      <c r="D447" s="956"/>
      <c r="E447" s="956"/>
      <c r="F447" s="956"/>
      <c r="G447" s="957"/>
      <c r="H447" s="1083" t="str">
        <f>H3</f>
        <v xml:space="preserve">132/33kV SUBSTATION DF4W    AT AL DHAFRA AREA </v>
      </c>
      <c r="I447" s="1084"/>
      <c r="J447" s="1084"/>
      <c r="K447" s="1084"/>
      <c r="L447" s="1084"/>
      <c r="M447" s="1084"/>
      <c r="N447" s="1085"/>
      <c r="O447" s="885" t="str">
        <f>O3</f>
        <v>Document No.</v>
      </c>
      <c r="P447" s="886"/>
      <c r="Q447" s="887"/>
      <c r="R447" s="775" t="str">
        <f>R3</f>
        <v>-</v>
      </c>
      <c r="S447" s="1068"/>
      <c r="T447" s="1068"/>
      <c r="U447" s="1068"/>
      <c r="V447" s="776"/>
    </row>
    <row r="448" spans="1:22" ht="18" hidden="1" customHeight="1">
      <c r="A448" s="1047"/>
      <c r="B448" s="1048"/>
      <c r="C448" s="1048"/>
      <c r="D448" s="1048"/>
      <c r="E448" s="1048"/>
      <c r="F448" s="1048"/>
      <c r="G448" s="1049"/>
      <c r="H448" s="1086"/>
      <c r="I448" s="1087"/>
      <c r="J448" s="1087"/>
      <c r="K448" s="1087"/>
      <c r="L448" s="1087"/>
      <c r="M448" s="1087"/>
      <c r="N448" s="1088"/>
      <c r="O448" s="885" t="str">
        <f>O4</f>
        <v>Revision No.</v>
      </c>
      <c r="P448" s="886"/>
      <c r="Q448" s="887"/>
      <c r="R448" s="775" t="str">
        <f>R4</f>
        <v>A</v>
      </c>
      <c r="S448" s="1068"/>
      <c r="T448" s="1068"/>
      <c r="U448" s="1068"/>
      <c r="V448" s="776"/>
    </row>
    <row r="449" spans="1:29" ht="18" hidden="1" customHeight="1">
      <c r="A449" s="880" t="str">
        <f>A5</f>
        <v>Prep. By</v>
      </c>
      <c r="B449" s="943"/>
      <c r="C449" s="25" t="str">
        <f>C5</f>
        <v>AP</v>
      </c>
      <c r="D449" s="880" t="str">
        <f>D5</f>
        <v>Checked By</v>
      </c>
      <c r="E449" s="881"/>
      <c r="F449" s="943"/>
      <c r="G449" s="25" t="str">
        <f>G5</f>
        <v>RB</v>
      </c>
      <c r="H449" s="1163" t="str">
        <f>H5</f>
        <v>132kV_100MVA TR. FEEDERS</v>
      </c>
      <c r="I449" s="1164"/>
      <c r="J449" s="1164"/>
      <c r="K449" s="1164"/>
      <c r="L449" s="1164"/>
      <c r="M449" s="1164"/>
      <c r="N449" s="1165"/>
      <c r="O449" s="947" t="str">
        <f>O5</f>
        <v>Contractor</v>
      </c>
      <c r="P449" s="948"/>
      <c r="Q449" s="949"/>
      <c r="R449" s="775" t="str">
        <f>R5</f>
        <v>HITACHI</v>
      </c>
      <c r="S449" s="1068"/>
      <c r="T449" s="1068"/>
      <c r="U449" s="1068"/>
      <c r="V449" s="776"/>
    </row>
    <row r="450" spans="1:29" ht="18" hidden="1" customHeight="1">
      <c r="A450" s="184"/>
      <c r="V450" s="185"/>
    </row>
    <row r="451" spans="1:29" ht="18" hidden="1" customHeight="1">
      <c r="A451" s="184"/>
      <c r="B451" s="1272" t="s">
        <v>635</v>
      </c>
      <c r="C451" s="1273"/>
      <c r="D451" s="1099" t="s">
        <v>506</v>
      </c>
      <c r="E451" s="1101"/>
      <c r="F451" s="186" t="s">
        <v>636</v>
      </c>
      <c r="H451" s="684" t="str">
        <f>H274</f>
        <v>(Transformer Differential)</v>
      </c>
      <c r="I451" s="684"/>
      <c r="J451" s="684"/>
      <c r="K451" s="684"/>
      <c r="L451" s="684"/>
      <c r="M451" s="684"/>
      <c r="P451" s="186"/>
      <c r="S451" s="187" t="s">
        <v>387</v>
      </c>
      <c r="T451" s="781" t="str">
        <f>T143</f>
        <v>RET670</v>
      </c>
      <c r="U451" s="782"/>
      <c r="V451" s="185"/>
    </row>
    <row r="452" spans="1:29" ht="18" hidden="1" customHeight="1">
      <c r="A452" s="184"/>
      <c r="B452" s="743"/>
      <c r="C452" s="743"/>
      <c r="D452" s="1102"/>
      <c r="E452" s="1103"/>
      <c r="F452" s="255"/>
      <c r="T452" s="781"/>
      <c r="U452" s="782"/>
      <c r="V452" s="185"/>
    </row>
    <row r="453" spans="1:29" ht="18" hidden="1" customHeight="1">
      <c r="A453" s="184"/>
      <c r="H453" s="789" t="s">
        <v>390</v>
      </c>
      <c r="I453" s="789"/>
      <c r="J453" s="790" t="s">
        <v>391</v>
      </c>
      <c r="K453" s="790"/>
      <c r="L453" s="790" t="s">
        <v>392</v>
      </c>
      <c r="M453" s="790"/>
      <c r="T453" s="781"/>
      <c r="U453" s="782"/>
      <c r="V453" s="185"/>
    </row>
    <row r="454" spans="1:29" ht="18" hidden="1" customHeight="1">
      <c r="A454" s="184"/>
      <c r="B454" s="47" t="s">
        <v>393</v>
      </c>
      <c r="H454" s="791">
        <v>1200</v>
      </c>
      <c r="I454" s="792"/>
      <c r="J454" s="781" t="s">
        <v>6</v>
      </c>
      <c r="K454" s="782"/>
      <c r="L454" s="781" t="s">
        <v>6</v>
      </c>
      <c r="M454" s="782"/>
      <c r="N454" s="191" t="s">
        <v>342</v>
      </c>
      <c r="O454" s="267">
        <v>1</v>
      </c>
      <c r="P454" s="27" t="s">
        <v>8</v>
      </c>
      <c r="V454" s="185"/>
    </row>
    <row r="455" spans="1:29" ht="18" hidden="1" customHeight="1">
      <c r="A455" s="184"/>
      <c r="B455" s="47" t="s">
        <v>394</v>
      </c>
      <c r="H455" s="781" t="s">
        <v>637</v>
      </c>
      <c r="I455" s="782"/>
      <c r="V455" s="185"/>
    </row>
    <row r="456" spans="1:29" ht="18" hidden="1" customHeight="1">
      <c r="A456" s="184"/>
      <c r="B456" s="47" t="s">
        <v>396</v>
      </c>
      <c r="G456" s="120" t="s">
        <v>397</v>
      </c>
      <c r="H456" s="781">
        <v>5</v>
      </c>
      <c r="I456" s="782"/>
      <c r="J456" s="192" t="s">
        <v>333</v>
      </c>
      <c r="V456" s="185"/>
    </row>
    <row r="457" spans="1:29" ht="18" hidden="1" customHeight="1">
      <c r="A457" s="184"/>
      <c r="B457" s="47" t="s">
        <v>398</v>
      </c>
      <c r="G457" s="120" t="s">
        <v>638</v>
      </c>
      <c r="H457" s="781">
        <v>430</v>
      </c>
      <c r="I457" s="782"/>
      <c r="J457" s="14" t="s">
        <v>305</v>
      </c>
      <c r="V457" s="185"/>
      <c r="W457" s="30" t="s">
        <v>400</v>
      </c>
      <c r="AB457" s="785">
        <f>Q541</f>
        <v>57.728255568387262</v>
      </c>
      <c r="AC457" s="786"/>
    </row>
    <row r="458" spans="1:29" ht="18" hidden="1" customHeight="1">
      <c r="A458" s="184"/>
      <c r="B458" s="14" t="s">
        <v>401</v>
      </c>
      <c r="G458" s="120" t="s">
        <v>402</v>
      </c>
      <c r="H458" s="781">
        <v>20</v>
      </c>
      <c r="I458" s="782"/>
      <c r="J458" s="14" t="s">
        <v>403</v>
      </c>
      <c r="V458" s="185"/>
    </row>
    <row r="459" spans="1:29" ht="18" hidden="1" customHeight="1">
      <c r="A459" s="184"/>
      <c r="V459" s="185"/>
    </row>
    <row r="460" spans="1:29" ht="18" hidden="1" customHeight="1">
      <c r="A460" s="193" t="s">
        <v>404</v>
      </c>
      <c r="V460" s="185"/>
    </row>
    <row r="461" spans="1:29" ht="18" hidden="1" customHeight="1">
      <c r="A461" s="184"/>
      <c r="V461" s="185"/>
    </row>
    <row r="462" spans="1:29" ht="18" hidden="1" customHeight="1">
      <c r="A462" s="184"/>
      <c r="B462" s="194" t="s">
        <v>405</v>
      </c>
      <c r="C462" s="195"/>
      <c r="D462" s="195" t="str">
        <f>T451</f>
        <v>RET670</v>
      </c>
      <c r="E462" s="196"/>
      <c r="F462" s="196"/>
      <c r="G462" s="196"/>
      <c r="H462" s="182" t="s">
        <v>406</v>
      </c>
      <c r="I462" s="183" t="s">
        <v>127</v>
      </c>
      <c r="J462" s="1276">
        <f>J285</f>
        <v>0.02</v>
      </c>
      <c r="K462" s="1144"/>
      <c r="L462" s="3" t="s">
        <v>157</v>
      </c>
      <c r="N462" s="197" t="s">
        <v>407</v>
      </c>
      <c r="V462" s="185"/>
    </row>
    <row r="463" spans="1:29" s="14" customFormat="1" ht="18" hidden="1" customHeight="1">
      <c r="A463" s="184"/>
      <c r="B463" s="96" t="s">
        <v>405</v>
      </c>
      <c r="C463" s="30"/>
      <c r="D463" s="30">
        <f>T452</f>
        <v>0</v>
      </c>
      <c r="E463" s="30"/>
      <c r="F463" s="30"/>
      <c r="G463" s="30"/>
      <c r="H463" s="27"/>
      <c r="I463" s="177" t="s">
        <v>127</v>
      </c>
      <c r="J463" s="1274"/>
      <c r="K463" s="1275"/>
      <c r="L463" s="198" t="s">
        <v>157</v>
      </c>
      <c r="M463" s="30"/>
      <c r="N463" s="30"/>
      <c r="O463" s="30"/>
      <c r="P463" s="30"/>
      <c r="Q463" s="30"/>
      <c r="R463" s="30"/>
      <c r="S463" s="30"/>
      <c r="T463" s="30"/>
      <c r="U463" s="30"/>
      <c r="V463" s="185"/>
    </row>
    <row r="464" spans="1:29" s="14" customFormat="1" ht="18" hidden="1" customHeight="1">
      <c r="A464" s="184"/>
      <c r="B464" s="96" t="s">
        <v>405</v>
      </c>
      <c r="C464" s="30"/>
      <c r="D464" s="30">
        <f>T453</f>
        <v>0</v>
      </c>
      <c r="F464" s="30"/>
      <c r="G464" s="199"/>
      <c r="H464" s="27"/>
      <c r="I464" s="177" t="s">
        <v>127</v>
      </c>
      <c r="J464" s="696"/>
      <c r="K464" s="820"/>
      <c r="L464" s="202" t="s">
        <v>157</v>
      </c>
      <c r="M464" s="30"/>
      <c r="N464" s="30" t="s">
        <v>408</v>
      </c>
      <c r="O464" s="27" t="s">
        <v>127</v>
      </c>
      <c r="P464" s="30" t="s">
        <v>409</v>
      </c>
      <c r="Q464" s="191" t="s">
        <v>410</v>
      </c>
      <c r="R464" s="244" t="s">
        <v>411</v>
      </c>
      <c r="S464" s="27" t="s">
        <v>315</v>
      </c>
      <c r="T464" s="30" t="s">
        <v>411</v>
      </c>
      <c r="U464" s="30" t="s">
        <v>350</v>
      </c>
      <c r="V464" s="185"/>
    </row>
    <row r="465" spans="1:22" s="14" customFormat="1" ht="18" hidden="1" customHeight="1">
      <c r="A465" s="184"/>
      <c r="B465" s="184" t="s">
        <v>412</v>
      </c>
      <c r="C465" s="30"/>
      <c r="D465" s="30"/>
      <c r="E465" s="30"/>
      <c r="F465" s="30"/>
      <c r="G465" s="30"/>
      <c r="H465" s="27" t="s">
        <v>599</v>
      </c>
      <c r="I465" s="177" t="s">
        <v>127</v>
      </c>
      <c r="J465" s="1274">
        <f>J288</f>
        <v>1.1667743100000001</v>
      </c>
      <c r="K465" s="1275"/>
      <c r="L465" s="203" t="s">
        <v>157</v>
      </c>
      <c r="M465" s="30"/>
      <c r="N465" s="30"/>
      <c r="O465" s="27" t="s">
        <v>127</v>
      </c>
      <c r="P465" s="204">
        <f>J466</f>
        <v>1.1667743100000001</v>
      </c>
      <c r="Q465" s="191" t="s">
        <v>410</v>
      </c>
      <c r="R465" s="27">
        <f>O454</f>
        <v>1</v>
      </c>
      <c r="S465" s="27" t="s">
        <v>315</v>
      </c>
      <c r="T465" s="27">
        <f>O454</f>
        <v>1</v>
      </c>
      <c r="U465" s="30" t="s">
        <v>350</v>
      </c>
      <c r="V465" s="185"/>
    </row>
    <row r="466" spans="1:22" s="14" customFormat="1" ht="18" hidden="1" customHeight="1">
      <c r="A466" s="184"/>
      <c r="B466" s="205" t="s">
        <v>413</v>
      </c>
      <c r="C466" s="206"/>
      <c r="D466" s="206"/>
      <c r="E466" s="206"/>
      <c r="F466" s="207"/>
      <c r="G466" s="207"/>
      <c r="H466" s="190" t="s">
        <v>409</v>
      </c>
      <c r="I466" s="208" t="s">
        <v>127</v>
      </c>
      <c r="J466" s="1276">
        <f>J463+J465</f>
        <v>1.1667743100000001</v>
      </c>
      <c r="K466" s="1144"/>
      <c r="L466" s="210" t="s">
        <v>157</v>
      </c>
      <c r="M466" s="30"/>
      <c r="N466" s="30"/>
      <c r="O466" s="27" t="s">
        <v>127</v>
      </c>
      <c r="P466" s="795">
        <f>P465/(R465*T465)</f>
        <v>1.1667743100000001</v>
      </c>
      <c r="Q466" s="795"/>
      <c r="R466" s="192" t="s">
        <v>333</v>
      </c>
      <c r="S466" s="30"/>
      <c r="T466" s="30"/>
      <c r="U466" s="30"/>
      <c r="V466" s="185"/>
    </row>
    <row r="467" spans="1:22" s="14" customFormat="1" ht="18" hidden="1" customHeight="1">
      <c r="A467" s="184"/>
      <c r="B467" s="30"/>
      <c r="C467" s="30"/>
      <c r="D467" s="30"/>
      <c r="E467" s="30"/>
      <c r="F467" s="30"/>
      <c r="G467" s="30"/>
      <c r="H467" s="30"/>
      <c r="I467" s="30"/>
      <c r="J467" s="30"/>
      <c r="K467" s="30"/>
      <c r="L467" s="30"/>
      <c r="M467" s="30"/>
      <c r="N467" s="30"/>
      <c r="O467" s="30"/>
      <c r="P467" s="30"/>
      <c r="Q467" s="30"/>
      <c r="R467" s="30"/>
      <c r="S467" s="30"/>
      <c r="T467" s="30"/>
      <c r="U467" s="30"/>
      <c r="V467" s="185"/>
    </row>
    <row r="468" spans="1:22" s="14" customFormat="1" ht="18" hidden="1" customHeight="1">
      <c r="A468" s="193" t="s">
        <v>600</v>
      </c>
      <c r="B468" s="5"/>
      <c r="C468" s="5"/>
      <c r="D468" s="5"/>
      <c r="E468" s="5"/>
      <c r="F468" s="5"/>
      <c r="G468" s="5"/>
      <c r="H468" s="212"/>
      <c r="I468" s="212"/>
      <c r="J468" s="5"/>
      <c r="K468" s="5"/>
      <c r="L468" s="5"/>
      <c r="M468" s="5"/>
      <c r="N468" s="5"/>
      <c r="O468" s="5"/>
      <c r="P468" s="103"/>
      <c r="Q468" s="212"/>
      <c r="R468" s="213"/>
      <c r="S468" s="214"/>
      <c r="T468" s="18"/>
      <c r="U468" s="18"/>
      <c r="V468" s="97"/>
    </row>
    <row r="469" spans="1:22" s="14" customFormat="1" ht="18" hidden="1" customHeight="1">
      <c r="A469" s="96"/>
      <c r="B469" s="47" t="s">
        <v>601</v>
      </c>
      <c r="C469" s="5"/>
      <c r="D469" s="5"/>
      <c r="E469" s="5"/>
      <c r="I469" s="215"/>
      <c r="M469" s="5"/>
      <c r="O469" s="103" t="s">
        <v>127</v>
      </c>
      <c r="P469" s="853">
        <f>P161</f>
        <v>100</v>
      </c>
      <c r="Q469" s="1271"/>
      <c r="R469" s="14" t="s">
        <v>602</v>
      </c>
      <c r="S469" s="214"/>
      <c r="T469" s="18"/>
      <c r="U469" s="18"/>
      <c r="V469" s="97"/>
    </row>
    <row r="470" spans="1:22" s="14" customFormat="1" ht="18" hidden="1" customHeight="1">
      <c r="A470" s="96"/>
      <c r="B470" s="47" t="s">
        <v>603</v>
      </c>
      <c r="C470" s="5"/>
      <c r="D470" s="5"/>
      <c r="E470" s="5"/>
      <c r="I470" s="215"/>
      <c r="M470" s="5"/>
      <c r="O470" s="103" t="s">
        <v>127</v>
      </c>
      <c r="P470" s="853">
        <f>P162</f>
        <v>25</v>
      </c>
      <c r="Q470" s="1271"/>
      <c r="R470" s="14" t="s">
        <v>604</v>
      </c>
      <c r="S470" s="214"/>
      <c r="T470" s="18" t="s">
        <v>129</v>
      </c>
      <c r="U470" s="18"/>
      <c r="V470" s="97"/>
    </row>
    <row r="471" spans="1:22" s="14" customFormat="1" ht="18" hidden="1" customHeight="1">
      <c r="A471" s="96"/>
      <c r="B471" s="47" t="s">
        <v>605</v>
      </c>
      <c r="C471" s="5"/>
      <c r="D471" s="5"/>
      <c r="E471" s="5"/>
      <c r="N471" s="120" t="s">
        <v>606</v>
      </c>
      <c r="O471" s="103" t="s">
        <v>607</v>
      </c>
      <c r="P471" s="854">
        <f>'[2]Parameters &amp; Fault Cal.'!Q12</f>
        <v>132</v>
      </c>
      <c r="Q471" s="1270"/>
      <c r="R471" s="14" t="s">
        <v>163</v>
      </c>
      <c r="S471" s="214"/>
      <c r="T471" s="18"/>
      <c r="U471" s="18"/>
      <c r="V471" s="97"/>
    </row>
    <row r="472" spans="1:22" s="14" customFormat="1" ht="18" hidden="1" customHeight="1">
      <c r="A472" s="216"/>
      <c r="B472" s="212"/>
      <c r="C472" s="212"/>
      <c r="D472" s="212"/>
      <c r="E472" s="212"/>
      <c r="T472" s="18"/>
      <c r="U472" s="18"/>
      <c r="V472" s="97"/>
    </row>
    <row r="473" spans="1:22" s="14" customFormat="1" ht="18" hidden="1" customHeight="1">
      <c r="A473" s="96"/>
      <c r="B473" s="14" t="s">
        <v>608</v>
      </c>
      <c r="C473" s="213"/>
      <c r="D473" s="213"/>
      <c r="E473" s="213"/>
      <c r="H473" s="120" t="s">
        <v>609</v>
      </c>
      <c r="I473" s="28" t="s">
        <v>127</v>
      </c>
      <c r="J473" s="689" t="s">
        <v>610</v>
      </c>
      <c r="K473" s="689"/>
      <c r="L473" s="28" t="s">
        <v>315</v>
      </c>
      <c r="M473" s="217">
        <v>1000</v>
      </c>
      <c r="N473" s="102" t="s">
        <v>342</v>
      </c>
      <c r="O473" s="28" t="s">
        <v>611</v>
      </c>
      <c r="P473" s="28" t="s">
        <v>315</v>
      </c>
      <c r="Q473" s="28" t="s">
        <v>606</v>
      </c>
      <c r="R473" s="47"/>
      <c r="T473" s="18"/>
      <c r="U473" s="18"/>
      <c r="V473" s="97"/>
    </row>
    <row r="474" spans="1:22" ht="18" hidden="1" customHeight="1">
      <c r="A474" s="216"/>
      <c r="B474" s="213"/>
      <c r="C474" s="213"/>
      <c r="D474" s="213"/>
      <c r="E474" s="213"/>
      <c r="F474" s="212"/>
      <c r="G474" s="212"/>
      <c r="H474" s="28"/>
      <c r="I474" s="28" t="s">
        <v>127</v>
      </c>
      <c r="J474" s="689">
        <f>P469</f>
        <v>100</v>
      </c>
      <c r="K474" s="689"/>
      <c r="L474" s="28" t="s">
        <v>315</v>
      </c>
      <c r="M474" s="217">
        <v>1000</v>
      </c>
      <c r="N474" s="102" t="s">
        <v>342</v>
      </c>
      <c r="O474" s="28" t="s">
        <v>611</v>
      </c>
      <c r="P474" s="28" t="s">
        <v>315</v>
      </c>
      <c r="Q474" s="28">
        <f>P471</f>
        <v>132</v>
      </c>
      <c r="R474" s="47"/>
      <c r="S474" s="14"/>
      <c r="T474" s="18"/>
      <c r="U474" s="18"/>
      <c r="V474" s="97"/>
    </row>
    <row r="475" spans="1:22" ht="18" hidden="1" customHeight="1">
      <c r="A475" s="216"/>
      <c r="B475" s="212"/>
      <c r="C475" s="212"/>
      <c r="D475" s="212"/>
      <c r="E475" s="212"/>
      <c r="F475" s="212"/>
      <c r="G475" s="212"/>
      <c r="H475" s="14"/>
      <c r="I475" s="28" t="s">
        <v>127</v>
      </c>
      <c r="J475" s="692">
        <f>(P469*1000)/(SQRT(3)*P471)</f>
        <v>437.38656756789834</v>
      </c>
      <c r="K475" s="692"/>
      <c r="L475" s="14" t="s">
        <v>8</v>
      </c>
      <c r="M475" s="120"/>
      <c r="N475" s="120"/>
      <c r="O475" s="120"/>
      <c r="P475" s="14"/>
      <c r="Q475" s="14"/>
      <c r="R475" s="14"/>
      <c r="S475" s="14"/>
      <c r="T475" s="18"/>
      <c r="U475" s="18"/>
      <c r="V475" s="97"/>
    </row>
    <row r="476" spans="1:22" ht="18" hidden="1" customHeight="1">
      <c r="A476" s="216"/>
      <c r="B476" s="212"/>
      <c r="C476" s="212"/>
      <c r="D476" s="212"/>
      <c r="E476" s="212"/>
      <c r="F476" s="14"/>
      <c r="G476" s="212"/>
      <c r="H476" s="28"/>
      <c r="I476" s="103"/>
      <c r="J476" s="28"/>
      <c r="K476" s="14"/>
      <c r="L476" s="14"/>
      <c r="M476" s="212"/>
      <c r="N476" s="219"/>
      <c r="O476" s="212"/>
      <c r="P476" s="14"/>
      <c r="Q476" s="14"/>
      <c r="R476" s="14"/>
      <c r="S476" s="14"/>
      <c r="T476" s="18"/>
      <c r="U476" s="18"/>
      <c r="V476" s="97"/>
    </row>
    <row r="477" spans="1:22" ht="18" hidden="1" customHeight="1">
      <c r="A477" s="147" t="s">
        <v>629</v>
      </c>
      <c r="B477" s="5"/>
      <c r="C477" s="5"/>
      <c r="D477" s="5"/>
      <c r="E477" s="5"/>
      <c r="F477" s="212"/>
      <c r="G477" s="212"/>
      <c r="H477" s="5"/>
      <c r="I477" s="5"/>
      <c r="J477" s="5"/>
      <c r="K477" s="5"/>
      <c r="L477" s="103"/>
      <c r="M477" s="103"/>
      <c r="N477" s="103"/>
      <c r="O477" s="103"/>
      <c r="P477" s="212"/>
      <c r="Q477" s="213"/>
      <c r="R477" s="14"/>
      <c r="S477" s="220"/>
      <c r="T477" s="18"/>
      <c r="U477" s="18"/>
      <c r="V477" s="97"/>
    </row>
    <row r="478" spans="1:22" ht="18" hidden="1" customHeight="1">
      <c r="A478" s="147"/>
      <c r="B478" s="5"/>
      <c r="C478" s="5"/>
      <c r="D478" s="5"/>
      <c r="E478" s="5"/>
      <c r="F478" s="212"/>
      <c r="G478" s="212"/>
      <c r="H478" s="5"/>
      <c r="I478" s="5"/>
      <c r="J478" s="5"/>
      <c r="K478" s="5"/>
      <c r="L478" s="103"/>
      <c r="M478" s="103"/>
      <c r="N478" s="103"/>
      <c r="O478" s="103"/>
      <c r="P478" s="212"/>
      <c r="Q478" s="213"/>
      <c r="R478" s="14"/>
      <c r="S478" s="214"/>
      <c r="T478" s="18"/>
      <c r="U478" s="18"/>
      <c r="V478" s="97"/>
    </row>
    <row r="479" spans="1:22" ht="18" hidden="1" customHeight="1">
      <c r="A479" s="184"/>
      <c r="B479" s="14" t="s">
        <v>612</v>
      </c>
      <c r="C479" s="14"/>
      <c r="D479" s="14"/>
      <c r="E479" s="14"/>
      <c r="M479" s="120" t="s">
        <v>613</v>
      </c>
      <c r="N479" s="28" t="s">
        <v>127</v>
      </c>
      <c r="O479" s="689" t="s">
        <v>609</v>
      </c>
      <c r="P479" s="716"/>
      <c r="Q479" s="221" t="s">
        <v>630</v>
      </c>
      <c r="R479" s="221">
        <v>16</v>
      </c>
      <c r="S479" s="214"/>
      <c r="V479" s="185"/>
    </row>
    <row r="480" spans="1:22" ht="18" hidden="1" customHeight="1">
      <c r="A480" s="96"/>
      <c r="B480" s="5"/>
      <c r="C480" s="5"/>
      <c r="D480" s="5"/>
      <c r="E480" s="5"/>
      <c r="M480" s="250"/>
      <c r="N480" s="28" t="s">
        <v>127</v>
      </c>
      <c r="O480" s="689">
        <f>+J475</f>
        <v>437.38656756789834</v>
      </c>
      <c r="P480" s="716"/>
      <c r="Q480" s="221" t="s">
        <v>630</v>
      </c>
      <c r="R480" s="221">
        <v>16</v>
      </c>
      <c r="S480" s="214"/>
      <c r="V480" s="185"/>
    </row>
    <row r="481" spans="1:22" ht="18" hidden="1" customHeight="1">
      <c r="A481" s="96"/>
      <c r="B481" s="5"/>
      <c r="C481" s="5"/>
      <c r="D481" s="5"/>
      <c r="E481" s="5"/>
      <c r="M481" s="120" t="s">
        <v>613</v>
      </c>
      <c r="N481" s="28" t="s">
        <v>127</v>
      </c>
      <c r="O481" s="689">
        <f>O480*R480</f>
        <v>6998.1850810863734</v>
      </c>
      <c r="P481" s="716"/>
      <c r="Q481" s="241" t="s">
        <v>8</v>
      </c>
      <c r="R481" s="14"/>
      <c r="S481" s="214"/>
      <c r="V481" s="185"/>
    </row>
    <row r="482" spans="1:22" ht="18" hidden="1" customHeight="1">
      <c r="A482" s="96"/>
      <c r="B482" s="5"/>
      <c r="C482" s="5"/>
      <c r="D482" s="5"/>
      <c r="E482" s="5"/>
      <c r="M482" s="212"/>
      <c r="N482" s="212"/>
      <c r="O482" s="103"/>
      <c r="Q482" s="223"/>
      <c r="R482" s="14"/>
      <c r="S482" s="214"/>
      <c r="V482" s="185"/>
    </row>
    <row r="483" spans="1:22" ht="18" hidden="1" customHeight="1">
      <c r="A483" s="678" t="s">
        <v>639</v>
      </c>
      <c r="B483" s="1207"/>
      <c r="C483" s="1207"/>
      <c r="D483" s="1207"/>
      <c r="E483" s="1207"/>
      <c r="F483" s="1207"/>
      <c r="G483" s="1207"/>
      <c r="H483" s="1207"/>
      <c r="I483" s="1207"/>
      <c r="J483" s="1207"/>
      <c r="K483" s="1207"/>
      <c r="L483" s="1207"/>
      <c r="M483" s="1207"/>
      <c r="N483" s="1207"/>
      <c r="O483" s="1207"/>
      <c r="P483" s="1207"/>
      <c r="Q483" s="1207"/>
      <c r="R483" s="1207"/>
      <c r="S483" s="1207"/>
      <c r="T483" s="1207"/>
      <c r="U483" s="1207"/>
      <c r="V483" s="1208"/>
    </row>
    <row r="484" spans="1:22" ht="18" hidden="1" customHeight="1">
      <c r="A484" s="1209"/>
      <c r="B484" s="1207"/>
      <c r="C484" s="1207"/>
      <c r="D484" s="1207"/>
      <c r="E484" s="1207"/>
      <c r="F484" s="1207"/>
      <c r="G484" s="1207"/>
      <c r="H484" s="1207"/>
      <c r="I484" s="1207"/>
      <c r="J484" s="1207"/>
      <c r="K484" s="1207"/>
      <c r="L484" s="1207"/>
      <c r="M484" s="1207"/>
      <c r="N484" s="1207"/>
      <c r="O484" s="1207"/>
      <c r="P484" s="1207"/>
      <c r="Q484" s="1207"/>
      <c r="R484" s="1207"/>
      <c r="S484" s="1207"/>
      <c r="T484" s="1207"/>
      <c r="U484" s="1207"/>
      <c r="V484" s="1208"/>
    </row>
    <row r="485" spans="1:22" ht="18" hidden="1" customHeight="1">
      <c r="A485" s="231"/>
      <c r="B485" s="232"/>
      <c r="C485" s="232"/>
      <c r="D485" s="232"/>
      <c r="E485" s="232"/>
      <c r="F485" s="232"/>
      <c r="G485" s="232"/>
      <c r="H485" s="232"/>
      <c r="I485" s="232"/>
      <c r="J485" s="232"/>
      <c r="K485" s="232"/>
      <c r="L485" s="232"/>
      <c r="M485" s="232"/>
      <c r="N485" s="232"/>
      <c r="O485" s="232"/>
      <c r="P485" s="232"/>
      <c r="Q485" s="232"/>
      <c r="R485" s="232"/>
      <c r="S485" s="232"/>
      <c r="T485" s="232"/>
      <c r="U485" s="232"/>
      <c r="V485" s="233"/>
    </row>
    <row r="486" spans="1:22" ht="18" hidden="1" customHeight="1">
      <c r="A486" s="184"/>
      <c r="V486" s="185"/>
    </row>
    <row r="487" spans="1:22" ht="18" hidden="1" customHeight="1">
      <c r="A487" s="184"/>
      <c r="I487" s="14" t="s">
        <v>129</v>
      </c>
      <c r="J487" s="14" t="s">
        <v>170</v>
      </c>
      <c r="V487" s="185"/>
    </row>
    <row r="488" spans="1:22" ht="18" hidden="1" customHeight="1">
      <c r="A488" s="194"/>
      <c r="B488" s="195"/>
      <c r="C488" s="195"/>
      <c r="D488" s="195"/>
      <c r="E488" s="195"/>
      <c r="F488" s="195"/>
      <c r="G488" s="195"/>
      <c r="H488" s="195"/>
      <c r="I488" s="195"/>
      <c r="J488" s="195"/>
      <c r="K488" s="195"/>
      <c r="L488" s="195"/>
      <c r="M488" s="195"/>
      <c r="N488" s="195"/>
      <c r="O488" s="195"/>
      <c r="P488" s="195"/>
      <c r="Q488" s="224"/>
      <c r="R488" s="182"/>
      <c r="S488" s="225"/>
      <c r="T488" s="195"/>
      <c r="U488" s="195"/>
      <c r="V488" s="134"/>
    </row>
    <row r="489" spans="1:22" ht="18" hidden="1" customHeight="1">
      <c r="A489" s="226"/>
      <c r="B489" s="227"/>
      <c r="C489" s="227"/>
      <c r="D489" s="227"/>
      <c r="E489" s="227"/>
      <c r="F489" s="227"/>
      <c r="G489" s="227"/>
      <c r="H489" s="227"/>
      <c r="I489" s="227"/>
      <c r="J489" s="227"/>
      <c r="K489" s="227"/>
      <c r="L489" s="227"/>
      <c r="M489" s="227"/>
      <c r="N489" s="227"/>
      <c r="O489" s="227"/>
      <c r="P489" s="227"/>
      <c r="Q489" s="227"/>
      <c r="R489" s="227"/>
      <c r="S489" s="227"/>
      <c r="T489" s="227"/>
      <c r="U489" s="227"/>
      <c r="V489" s="228"/>
    </row>
    <row r="490" spans="1:22" ht="18" hidden="1" customHeight="1">
      <c r="A490" s="799" t="s">
        <v>417</v>
      </c>
      <c r="B490" s="802"/>
      <c r="C490" s="802"/>
      <c r="D490" s="689">
        <v>30</v>
      </c>
      <c r="E490" s="689" t="s">
        <v>315</v>
      </c>
      <c r="F490" s="689" t="s">
        <v>609</v>
      </c>
      <c r="G490" s="684"/>
      <c r="H490" s="689" t="s">
        <v>315</v>
      </c>
      <c r="I490" s="708" t="s">
        <v>411</v>
      </c>
      <c r="J490" s="828"/>
      <c r="K490" s="689" t="s">
        <v>315</v>
      </c>
      <c r="L490" s="802" t="s">
        <v>419</v>
      </c>
      <c r="M490" s="716" t="s">
        <v>420</v>
      </c>
      <c r="N490" s="729" t="s">
        <v>347</v>
      </c>
      <c r="O490" s="716" t="s">
        <v>408</v>
      </c>
      <c r="P490" s="689" t="s">
        <v>347</v>
      </c>
      <c r="Q490" s="759" t="s">
        <v>421</v>
      </c>
      <c r="R490" s="797"/>
      <c r="S490" s="797"/>
      <c r="T490" s="798" t="s">
        <v>350</v>
      </c>
      <c r="U490" s="230" t="s">
        <v>422</v>
      </c>
      <c r="V490" s="97"/>
    </row>
    <row r="491" spans="1:22" ht="18" hidden="1" customHeight="1">
      <c r="A491" s="827"/>
      <c r="B491" s="802"/>
      <c r="C491" s="802"/>
      <c r="D491" s="689"/>
      <c r="E491" s="689"/>
      <c r="F491" s="684"/>
      <c r="G491" s="684"/>
      <c r="H491" s="689"/>
      <c r="I491" s="689" t="s">
        <v>423</v>
      </c>
      <c r="J491" s="723"/>
      <c r="K491" s="689"/>
      <c r="L491" s="802"/>
      <c r="M491" s="716"/>
      <c r="N491" s="729"/>
      <c r="O491" s="716"/>
      <c r="P491" s="689"/>
      <c r="Q491" s="28" t="s">
        <v>146</v>
      </c>
      <c r="R491" s="28" t="s">
        <v>315</v>
      </c>
      <c r="S491" s="28" t="s">
        <v>146</v>
      </c>
      <c r="T491" s="798"/>
      <c r="U491" s="14"/>
      <c r="V491" s="97"/>
    </row>
    <row r="492" spans="1:22" ht="18" hidden="1" customHeight="1">
      <c r="A492" s="184"/>
      <c r="V492" s="185"/>
    </row>
    <row r="493" spans="1:22" ht="18" hidden="1" customHeight="1">
      <c r="A493" s="799" t="s">
        <v>417</v>
      </c>
      <c r="B493" s="802"/>
      <c r="C493" s="802"/>
      <c r="D493" s="689">
        <v>2</v>
      </c>
      <c r="E493" s="689" t="s">
        <v>315</v>
      </c>
      <c r="F493" s="689" t="s">
        <v>613</v>
      </c>
      <c r="G493" s="684"/>
      <c r="H493" s="689" t="s">
        <v>315</v>
      </c>
      <c r="I493" s="708" t="s">
        <v>411</v>
      </c>
      <c r="J493" s="828"/>
      <c r="K493" s="689" t="s">
        <v>315</v>
      </c>
      <c r="L493" s="802" t="s">
        <v>419</v>
      </c>
      <c r="M493" s="716" t="s">
        <v>420</v>
      </c>
      <c r="N493" s="729" t="s">
        <v>347</v>
      </c>
      <c r="O493" s="716" t="s">
        <v>408</v>
      </c>
      <c r="P493" s="689" t="s">
        <v>347</v>
      </c>
      <c r="Q493" s="759" t="s">
        <v>421</v>
      </c>
      <c r="R493" s="797"/>
      <c r="S493" s="797"/>
      <c r="T493" s="798" t="s">
        <v>350</v>
      </c>
      <c r="U493" s="230" t="s">
        <v>426</v>
      </c>
      <c r="V493" s="97"/>
    </row>
    <row r="494" spans="1:22" ht="18" hidden="1" customHeight="1">
      <c r="A494" s="827"/>
      <c r="B494" s="802"/>
      <c r="C494" s="802"/>
      <c r="D494" s="689"/>
      <c r="E494" s="689"/>
      <c r="F494" s="684"/>
      <c r="G494" s="684"/>
      <c r="H494" s="689"/>
      <c r="I494" s="689" t="s">
        <v>423</v>
      </c>
      <c r="J494" s="723"/>
      <c r="K494" s="689"/>
      <c r="L494" s="802"/>
      <c r="M494" s="716"/>
      <c r="N494" s="729"/>
      <c r="O494" s="716"/>
      <c r="P494" s="689"/>
      <c r="Q494" s="28" t="s">
        <v>146</v>
      </c>
      <c r="R494" s="28" t="s">
        <v>315</v>
      </c>
      <c r="S494" s="28" t="s">
        <v>146</v>
      </c>
      <c r="T494" s="798"/>
      <c r="U494" s="14"/>
      <c r="V494" s="97"/>
    </row>
    <row r="495" spans="1:22" ht="18" hidden="1" customHeight="1">
      <c r="A495" s="184"/>
      <c r="V495" s="185"/>
    </row>
    <row r="496" spans="1:22" ht="18" hidden="1" customHeight="1">
      <c r="A496" s="678" t="s">
        <v>616</v>
      </c>
      <c r="B496" s="1207"/>
      <c r="C496" s="1207"/>
      <c r="D496" s="1207"/>
      <c r="E496" s="1207"/>
      <c r="F496" s="1207"/>
      <c r="G496" s="1207"/>
      <c r="H496" s="1207"/>
      <c r="I496" s="1207"/>
      <c r="J496" s="1207"/>
      <c r="K496" s="1207"/>
      <c r="L496" s="1207"/>
      <c r="M496" s="1207"/>
      <c r="N496" s="1207"/>
      <c r="O496" s="1207"/>
      <c r="P496" s="1207"/>
      <c r="Q496" s="1207"/>
      <c r="R496" s="1207"/>
      <c r="S496" s="1207"/>
      <c r="T496" s="1207"/>
      <c r="U496" s="1207"/>
      <c r="V496" s="1208"/>
    </row>
    <row r="497" spans="1:22" ht="18" hidden="1" customHeight="1">
      <c r="A497" s="1209"/>
      <c r="B497" s="1207"/>
      <c r="C497" s="1207"/>
      <c r="D497" s="1207"/>
      <c r="E497" s="1207"/>
      <c r="F497" s="1207"/>
      <c r="G497" s="1207"/>
      <c r="H497" s="1207"/>
      <c r="I497" s="1207"/>
      <c r="J497" s="1207"/>
      <c r="K497" s="1207"/>
      <c r="L497" s="1207"/>
      <c r="M497" s="1207"/>
      <c r="N497" s="1207"/>
      <c r="O497" s="1207"/>
      <c r="P497" s="1207"/>
      <c r="Q497" s="1207"/>
      <c r="R497" s="1207"/>
      <c r="S497" s="1207"/>
      <c r="T497" s="1207"/>
      <c r="U497" s="1207"/>
      <c r="V497" s="1208"/>
    </row>
    <row r="498" spans="1:22" ht="18" hidden="1" customHeight="1">
      <c r="A498" s="231"/>
      <c r="B498" s="232"/>
      <c r="C498" s="232"/>
      <c r="D498" s="232"/>
      <c r="E498" s="232"/>
      <c r="F498" s="232"/>
      <c r="G498" s="232"/>
      <c r="H498" s="232"/>
      <c r="I498" s="232"/>
      <c r="J498" s="232"/>
      <c r="K498" s="232"/>
      <c r="L498" s="232"/>
      <c r="M498" s="232"/>
      <c r="N498" s="232"/>
      <c r="O498" s="232"/>
      <c r="P498" s="232"/>
      <c r="Q498" s="232"/>
      <c r="R498" s="232"/>
      <c r="S498" s="232"/>
      <c r="T498" s="232"/>
      <c r="U498" s="232"/>
      <c r="V498" s="233"/>
    </row>
    <row r="499" spans="1:22" ht="18" hidden="1" customHeight="1">
      <c r="A499" s="799" t="s">
        <v>417</v>
      </c>
      <c r="B499" s="802"/>
      <c r="C499" s="802"/>
      <c r="D499" s="689"/>
      <c r="E499" s="689"/>
      <c r="F499" s="689" t="s">
        <v>617</v>
      </c>
      <c r="G499" s="684"/>
      <c r="H499" s="689" t="s">
        <v>315</v>
      </c>
      <c r="I499" s="708" t="s">
        <v>411</v>
      </c>
      <c r="J499" s="828"/>
      <c r="K499" s="689" t="s">
        <v>315</v>
      </c>
      <c r="L499" s="802" t="s">
        <v>419</v>
      </c>
      <c r="M499" s="716" t="s">
        <v>420</v>
      </c>
      <c r="N499" s="729" t="s">
        <v>347</v>
      </c>
      <c r="O499" s="716" t="s">
        <v>408</v>
      </c>
      <c r="P499" s="689" t="s">
        <v>347</v>
      </c>
      <c r="Q499" s="759" t="s">
        <v>421</v>
      </c>
      <c r="R499" s="797"/>
      <c r="S499" s="797"/>
      <c r="T499" s="798" t="s">
        <v>350</v>
      </c>
      <c r="U499" s="230" t="s">
        <v>618</v>
      </c>
      <c r="V499" s="97"/>
    </row>
    <row r="500" spans="1:22" ht="18" hidden="1" customHeight="1">
      <c r="A500" s="827"/>
      <c r="B500" s="802"/>
      <c r="C500" s="802"/>
      <c r="D500" s="689"/>
      <c r="E500" s="689"/>
      <c r="F500" s="684"/>
      <c r="G500" s="684"/>
      <c r="H500" s="689"/>
      <c r="I500" s="689" t="s">
        <v>423</v>
      </c>
      <c r="J500" s="723"/>
      <c r="K500" s="689"/>
      <c r="L500" s="802"/>
      <c r="M500" s="716"/>
      <c r="N500" s="729"/>
      <c r="O500" s="716"/>
      <c r="P500" s="689"/>
      <c r="Q500" s="28" t="s">
        <v>146</v>
      </c>
      <c r="R500" s="28" t="s">
        <v>315</v>
      </c>
      <c r="S500" s="28" t="s">
        <v>146</v>
      </c>
      <c r="T500" s="798"/>
      <c r="U500" s="14"/>
      <c r="V500" s="97"/>
    </row>
    <row r="501" spans="1:22" ht="18" hidden="1" customHeight="1">
      <c r="A501" s="96"/>
      <c r="B501" s="14"/>
      <c r="C501" s="14"/>
      <c r="D501" s="28"/>
      <c r="E501" s="28"/>
      <c r="F501" s="27"/>
      <c r="G501" s="27"/>
      <c r="H501" s="28"/>
      <c r="I501" s="28"/>
      <c r="K501" s="28"/>
      <c r="L501" s="120"/>
      <c r="M501" s="14"/>
      <c r="N501" s="102"/>
      <c r="O501" s="14"/>
      <c r="P501" s="28"/>
      <c r="Q501" s="28"/>
      <c r="R501" s="28"/>
      <c r="S501" s="28"/>
      <c r="T501" s="40"/>
      <c r="U501" s="14"/>
      <c r="V501" s="97"/>
    </row>
    <row r="502" spans="1:22" ht="18" hidden="1" customHeight="1">
      <c r="A502" s="184"/>
      <c r="H502" s="30" t="s">
        <v>619</v>
      </c>
      <c r="M502" s="781" t="s">
        <v>620</v>
      </c>
      <c r="N502" s="782"/>
      <c r="V502" s="185"/>
    </row>
    <row r="503" spans="1:22" ht="18" hidden="1" customHeight="1">
      <c r="A503" s="96"/>
      <c r="B503" s="14"/>
      <c r="C503" s="14"/>
      <c r="D503" s="28"/>
      <c r="E503" s="28"/>
      <c r="F503" s="27"/>
      <c r="G503" s="27"/>
      <c r="H503" s="28"/>
      <c r="I503" s="28"/>
      <c r="K503" s="28"/>
      <c r="L503" s="120"/>
      <c r="M503" s="14"/>
      <c r="N503" s="102"/>
      <c r="O503" s="14"/>
      <c r="P503" s="28"/>
      <c r="Q503" s="28"/>
      <c r="R503" s="28"/>
      <c r="S503" s="28"/>
      <c r="T503" s="40"/>
      <c r="U503" s="14"/>
      <c r="V503" s="97"/>
    </row>
    <row r="504" spans="1:22" ht="18" hidden="1" customHeight="1">
      <c r="A504" s="184"/>
      <c r="B504" s="14" t="s">
        <v>427</v>
      </c>
      <c r="C504" s="14"/>
      <c r="D504" s="103"/>
      <c r="E504" s="103"/>
      <c r="F504" s="14"/>
      <c r="G504" s="14"/>
      <c r="H504" s="5"/>
      <c r="I504" s="5"/>
      <c r="J504" s="5"/>
      <c r="P504" s="120" t="s">
        <v>428</v>
      </c>
      <c r="V504" s="185"/>
    </row>
    <row r="505" spans="1:22" ht="18" hidden="1" customHeight="1">
      <c r="A505" s="184"/>
      <c r="B505" s="14" t="s">
        <v>429</v>
      </c>
      <c r="C505" s="14"/>
      <c r="D505" s="103"/>
      <c r="E505" s="103"/>
      <c r="F505" s="14"/>
      <c r="G505" s="14"/>
      <c r="H505" s="5"/>
      <c r="I505" s="5"/>
      <c r="J505" s="5"/>
      <c r="P505" s="120" t="s">
        <v>430</v>
      </c>
      <c r="Q505" s="234" t="s">
        <v>127</v>
      </c>
      <c r="R505" s="684">
        <f>H454</f>
        <v>1200</v>
      </c>
      <c r="S505" s="684"/>
      <c r="T505" s="14" t="s">
        <v>8</v>
      </c>
      <c r="V505" s="185"/>
    </row>
    <row r="506" spans="1:22" ht="18" hidden="1" customHeight="1">
      <c r="A506" s="184"/>
      <c r="B506" s="14" t="s">
        <v>621</v>
      </c>
      <c r="C506" s="14"/>
      <c r="D506" s="14"/>
      <c r="E506" s="14"/>
      <c r="F506" s="14"/>
      <c r="G506" s="14"/>
      <c r="H506" s="14"/>
      <c r="I506" s="14"/>
      <c r="J506" s="14"/>
      <c r="P506" s="120" t="s">
        <v>609</v>
      </c>
      <c r="Q506" s="234" t="s">
        <v>127</v>
      </c>
      <c r="R506" s="795">
        <f>J475</f>
        <v>437.38656756789834</v>
      </c>
      <c r="S506" s="684"/>
      <c r="T506" s="14" t="s">
        <v>8</v>
      </c>
      <c r="V506" s="185"/>
    </row>
    <row r="507" spans="1:22" ht="18" hidden="1" customHeight="1">
      <c r="A507" s="184"/>
      <c r="B507" s="14" t="s">
        <v>622</v>
      </c>
      <c r="C507" s="14"/>
      <c r="D507" s="14"/>
      <c r="E507" s="14"/>
      <c r="F507" s="14"/>
      <c r="G507" s="14"/>
      <c r="H507" s="14"/>
      <c r="I507" s="14"/>
      <c r="J507" s="14"/>
      <c r="P507" s="120" t="s">
        <v>613</v>
      </c>
      <c r="Q507" s="234" t="s">
        <v>127</v>
      </c>
      <c r="R507" s="684">
        <f>O481</f>
        <v>6998.1850810863734</v>
      </c>
      <c r="S507" s="684"/>
      <c r="T507" s="14" t="s">
        <v>8</v>
      </c>
      <c r="V507" s="185"/>
    </row>
    <row r="508" spans="1:22" ht="18" hidden="1" customHeight="1">
      <c r="A508" s="184"/>
      <c r="B508" s="235" t="s">
        <v>623</v>
      </c>
      <c r="C508" s="14"/>
      <c r="D508" s="14"/>
      <c r="E508" s="14"/>
      <c r="F508" s="14"/>
      <c r="G508" s="14"/>
      <c r="H508" s="14"/>
      <c r="I508" s="14"/>
      <c r="J508" s="14"/>
      <c r="P508" s="120"/>
      <c r="Q508" s="236"/>
      <c r="R508" s="27"/>
      <c r="S508" s="27"/>
      <c r="T508" s="14"/>
      <c r="V508" s="185"/>
    </row>
    <row r="509" spans="1:22" ht="18" hidden="1" customHeight="1">
      <c r="A509" s="184"/>
      <c r="B509" s="14" t="s">
        <v>622</v>
      </c>
      <c r="C509" s="14"/>
      <c r="D509" s="14"/>
      <c r="E509" s="14"/>
      <c r="F509" s="14"/>
      <c r="G509" s="14"/>
      <c r="H509" s="14"/>
      <c r="I509" s="14"/>
      <c r="J509" s="14"/>
      <c r="P509" s="120" t="s">
        <v>617</v>
      </c>
      <c r="Q509" s="234" t="s">
        <v>127</v>
      </c>
      <c r="R509" s="684" t="str">
        <f>IF(M502="Y",'[2]Parameters &amp; Fault Cal.'!Q33,"-")</f>
        <v>-</v>
      </c>
      <c r="S509" s="684"/>
      <c r="T509" s="14" t="s">
        <v>8</v>
      </c>
      <c r="V509" s="185"/>
    </row>
    <row r="510" spans="1:22" ht="18" hidden="1" customHeight="1">
      <c r="A510" s="184"/>
      <c r="B510" s="235" t="s">
        <v>624</v>
      </c>
      <c r="C510" s="14"/>
      <c r="D510" s="14"/>
      <c r="E510" s="14"/>
      <c r="F510" s="14"/>
      <c r="G510" s="14"/>
      <c r="H510" s="14"/>
      <c r="I510" s="14"/>
      <c r="J510" s="14"/>
      <c r="R510" s="27"/>
      <c r="S510" s="27"/>
      <c r="T510" s="14"/>
      <c r="V510" s="185"/>
    </row>
    <row r="511" spans="1:22" ht="18" hidden="1" customHeight="1">
      <c r="A511" s="184"/>
      <c r="B511" s="14" t="s">
        <v>435</v>
      </c>
      <c r="C511" s="14"/>
      <c r="D511" s="103"/>
      <c r="E511" s="103"/>
      <c r="F511" s="14"/>
      <c r="G511" s="14"/>
      <c r="H511" s="5"/>
      <c r="I511" s="5"/>
      <c r="J511" s="5"/>
      <c r="P511" s="120" t="s">
        <v>436</v>
      </c>
      <c r="Q511" s="234" t="s">
        <v>127</v>
      </c>
      <c r="R511" s="684">
        <f>O454</f>
        <v>1</v>
      </c>
      <c r="S511" s="684"/>
      <c r="T511" s="14" t="s">
        <v>8</v>
      </c>
      <c r="V511" s="185"/>
    </row>
    <row r="512" spans="1:22" ht="18" hidden="1" customHeight="1">
      <c r="A512" s="184"/>
      <c r="B512" s="14" t="s">
        <v>437</v>
      </c>
      <c r="C512" s="14"/>
      <c r="D512" s="103"/>
      <c r="E512" s="103"/>
      <c r="F512" s="14"/>
      <c r="G512" s="14"/>
      <c r="H512" s="5"/>
      <c r="I512" s="5"/>
      <c r="J512" s="5"/>
      <c r="P512" s="120" t="s">
        <v>438</v>
      </c>
      <c r="Q512" s="234" t="s">
        <v>127</v>
      </c>
      <c r="R512" s="684">
        <f>'CT-VT Burdens'!S18</f>
        <v>1</v>
      </c>
      <c r="S512" s="684"/>
      <c r="T512" s="14" t="s">
        <v>8</v>
      </c>
      <c r="V512" s="185"/>
    </row>
    <row r="513" spans="1:22" ht="18" hidden="1" customHeight="1">
      <c r="A513" s="184"/>
      <c r="B513" s="14" t="s">
        <v>439</v>
      </c>
      <c r="C513" s="14"/>
      <c r="D513" s="103"/>
      <c r="E513" s="103"/>
      <c r="F513" s="14"/>
      <c r="G513" s="14"/>
      <c r="H513" s="5"/>
      <c r="I513" s="5"/>
      <c r="J513" s="5"/>
      <c r="P513" s="120" t="s">
        <v>440</v>
      </c>
      <c r="Q513" s="234" t="s">
        <v>127</v>
      </c>
      <c r="R513" s="684">
        <f>H456</f>
        <v>5</v>
      </c>
      <c r="S513" s="684"/>
      <c r="T513" s="192" t="s">
        <v>333</v>
      </c>
      <c r="V513" s="185"/>
    </row>
    <row r="514" spans="1:22" ht="18" hidden="1" customHeight="1">
      <c r="A514" s="184"/>
      <c r="B514" s="14" t="s">
        <v>625</v>
      </c>
      <c r="C514" s="14"/>
      <c r="D514" s="14"/>
      <c r="E514" s="14"/>
      <c r="F514" s="14"/>
      <c r="G514" s="14"/>
      <c r="H514" s="14"/>
      <c r="I514" s="14"/>
      <c r="J514" s="14"/>
      <c r="P514" s="237" t="s">
        <v>441</v>
      </c>
      <c r="Q514" s="234" t="s">
        <v>127</v>
      </c>
      <c r="R514" s="795">
        <f>P466</f>
        <v>1.1667743100000001</v>
      </c>
      <c r="S514" s="684"/>
      <c r="T514" s="192" t="s">
        <v>333</v>
      </c>
      <c r="V514" s="185"/>
    </row>
    <row r="515" spans="1:22" ht="18" hidden="1" customHeight="1">
      <c r="A515" s="184"/>
      <c r="B515" s="40" t="s">
        <v>442</v>
      </c>
      <c r="C515" s="14"/>
      <c r="D515" s="14"/>
      <c r="E515" s="14"/>
      <c r="F515" s="14"/>
      <c r="G515" s="14"/>
      <c r="H515" s="5"/>
      <c r="I515" s="5"/>
      <c r="J515" s="5"/>
      <c r="P515" s="237" t="s">
        <v>443</v>
      </c>
      <c r="Q515" s="234" t="s">
        <v>127</v>
      </c>
      <c r="R515" s="795">
        <f>J462</f>
        <v>0.02</v>
      </c>
      <c r="S515" s="684"/>
      <c r="T515" s="14" t="s">
        <v>157</v>
      </c>
      <c r="V515" s="185"/>
    </row>
    <row r="516" spans="1:22" ht="18" hidden="1" customHeight="1">
      <c r="A516" s="184"/>
      <c r="V516" s="185"/>
    </row>
    <row r="517" spans="1:22" ht="18" hidden="1" customHeight="1">
      <c r="A517" s="799" t="s">
        <v>417</v>
      </c>
      <c r="B517" s="802"/>
      <c r="C517" s="802"/>
      <c r="D517" s="689">
        <v>30</v>
      </c>
      <c r="E517" s="689" t="s">
        <v>315</v>
      </c>
      <c r="F517" s="689">
        <f>R506</f>
        <v>437.38656756789834</v>
      </c>
      <c r="G517" s="684"/>
      <c r="H517" s="689" t="s">
        <v>315</v>
      </c>
      <c r="I517" s="708">
        <f>R511</f>
        <v>1</v>
      </c>
      <c r="J517" s="828"/>
      <c r="K517" s="689" t="s">
        <v>315</v>
      </c>
      <c r="L517" s="716" t="s">
        <v>419</v>
      </c>
      <c r="M517" s="716">
        <f>R513</f>
        <v>5</v>
      </c>
      <c r="N517" s="729" t="s">
        <v>347</v>
      </c>
      <c r="O517" s="1214">
        <f>R514</f>
        <v>1.1667743100000001</v>
      </c>
      <c r="P517" s="689" t="s">
        <v>347</v>
      </c>
      <c r="Q517" s="833">
        <f>R515</f>
        <v>0.02</v>
      </c>
      <c r="R517" s="797"/>
      <c r="S517" s="797"/>
      <c r="T517" s="798" t="s">
        <v>350</v>
      </c>
      <c r="U517" s="230" t="s">
        <v>422</v>
      </c>
      <c r="V517" s="97"/>
    </row>
    <row r="518" spans="1:22" ht="18" hidden="1" customHeight="1">
      <c r="A518" s="827"/>
      <c r="B518" s="802"/>
      <c r="C518" s="802"/>
      <c r="D518" s="689"/>
      <c r="E518" s="689"/>
      <c r="F518" s="684"/>
      <c r="G518" s="684"/>
      <c r="H518" s="689"/>
      <c r="I518" s="689">
        <f>R505</f>
        <v>1200</v>
      </c>
      <c r="J518" s="723"/>
      <c r="K518" s="689"/>
      <c r="L518" s="716"/>
      <c r="M518" s="716"/>
      <c r="N518" s="729"/>
      <c r="O518" s="716"/>
      <c r="P518" s="689"/>
      <c r="Q518" s="28">
        <f>R512</f>
        <v>1</v>
      </c>
      <c r="R518" s="28" t="s">
        <v>315</v>
      </c>
      <c r="S518" s="28">
        <f>R512</f>
        <v>1</v>
      </c>
      <c r="T518" s="798"/>
      <c r="U518" s="14"/>
      <c r="V518" s="97"/>
    </row>
    <row r="519" spans="1:22" ht="18" hidden="1" customHeight="1">
      <c r="A519" s="184"/>
      <c r="V519" s="185"/>
    </row>
    <row r="520" spans="1:22" ht="18" hidden="1" customHeight="1">
      <c r="A520" s="184"/>
      <c r="C520" s="30" t="s">
        <v>127</v>
      </c>
      <c r="D520" s="812">
        <f>D517*F517*(I517/I518)*(M517+O517+(Q517/(Q518*S518)))</f>
        <v>67.650299494203821</v>
      </c>
      <c r="E520" s="813"/>
      <c r="F520" s="30" t="s">
        <v>305</v>
      </c>
      <c r="V520" s="185"/>
    </row>
    <row r="521" spans="1:22" ht="18" hidden="1" customHeight="1">
      <c r="A521" s="184"/>
      <c r="V521" s="185"/>
    </row>
    <row r="522" spans="1:22" ht="18" hidden="1" customHeight="1">
      <c r="A522" s="799" t="s">
        <v>417</v>
      </c>
      <c r="B522" s="802"/>
      <c r="C522" s="802"/>
      <c r="D522" s="689">
        <v>2</v>
      </c>
      <c r="E522" s="689" t="s">
        <v>315</v>
      </c>
      <c r="F522" s="689">
        <f>R507</f>
        <v>6998.1850810863734</v>
      </c>
      <c r="G522" s="684"/>
      <c r="H522" s="689" t="s">
        <v>315</v>
      </c>
      <c r="I522" s="708">
        <f>R511</f>
        <v>1</v>
      </c>
      <c r="J522" s="828"/>
      <c r="K522" s="689" t="s">
        <v>315</v>
      </c>
      <c r="L522" s="802" t="s">
        <v>419</v>
      </c>
      <c r="M522" s="716">
        <f>R513</f>
        <v>5</v>
      </c>
      <c r="N522" s="729" t="s">
        <v>347</v>
      </c>
      <c r="O522" s="1214">
        <f>R514</f>
        <v>1.1667743100000001</v>
      </c>
      <c r="P522" s="689" t="s">
        <v>347</v>
      </c>
      <c r="Q522" s="833">
        <f>R515</f>
        <v>0.02</v>
      </c>
      <c r="R522" s="797"/>
      <c r="S522" s="797"/>
      <c r="T522" s="798" t="s">
        <v>350</v>
      </c>
      <c r="U522" s="230" t="s">
        <v>426</v>
      </c>
      <c r="V522" s="97"/>
    </row>
    <row r="523" spans="1:22" ht="18" hidden="1" customHeight="1">
      <c r="A523" s="827"/>
      <c r="B523" s="802"/>
      <c r="C523" s="802"/>
      <c r="D523" s="689"/>
      <c r="E523" s="689"/>
      <c r="F523" s="684"/>
      <c r="G523" s="684"/>
      <c r="H523" s="689"/>
      <c r="I523" s="689">
        <f>R505</f>
        <v>1200</v>
      </c>
      <c r="J523" s="723"/>
      <c r="K523" s="689"/>
      <c r="L523" s="802"/>
      <c r="M523" s="716"/>
      <c r="N523" s="729"/>
      <c r="O523" s="716"/>
      <c r="P523" s="689"/>
      <c r="Q523" s="28">
        <f>R512</f>
        <v>1</v>
      </c>
      <c r="R523" s="28" t="s">
        <v>315</v>
      </c>
      <c r="S523" s="28">
        <f>R512</f>
        <v>1</v>
      </c>
      <c r="T523" s="798"/>
      <c r="U523" s="14"/>
      <c r="V523" s="97"/>
    </row>
    <row r="524" spans="1:22" ht="18" hidden="1" customHeight="1">
      <c r="A524" s="184"/>
      <c r="L524" s="244"/>
      <c r="V524" s="185"/>
    </row>
    <row r="525" spans="1:22" ht="18" hidden="1" customHeight="1">
      <c r="A525" s="184"/>
      <c r="C525" s="30" t="s">
        <v>127</v>
      </c>
      <c r="D525" s="812">
        <f>D522*F522*(I522/I523)*(M522+O522+(Q522/(Q523*S523)))</f>
        <v>72.160319460484075</v>
      </c>
      <c r="E525" s="813"/>
      <c r="F525" s="30" t="s">
        <v>305</v>
      </c>
      <c r="L525" s="244"/>
      <c r="V525" s="185"/>
    </row>
    <row r="526" spans="1:22" ht="18" hidden="1" customHeight="1">
      <c r="A526" s="184"/>
      <c r="L526" s="244"/>
      <c r="V526" s="185"/>
    </row>
    <row r="527" spans="1:22" s="14" customFormat="1" ht="18" hidden="1" customHeight="1">
      <c r="A527" s="799" t="s">
        <v>417</v>
      </c>
      <c r="B527" s="802"/>
      <c r="C527" s="802"/>
      <c r="D527" s="689"/>
      <c r="E527" s="689"/>
      <c r="F527" s="689" t="str">
        <f>R509</f>
        <v>-</v>
      </c>
      <c r="G527" s="684"/>
      <c r="H527" s="689" t="s">
        <v>315</v>
      </c>
      <c r="I527" s="708">
        <f>R511</f>
        <v>1</v>
      </c>
      <c r="J527" s="828"/>
      <c r="K527" s="689" t="s">
        <v>315</v>
      </c>
      <c r="L527" s="802" t="s">
        <v>419</v>
      </c>
      <c r="M527" s="716">
        <f>R513</f>
        <v>5</v>
      </c>
      <c r="N527" s="729" t="s">
        <v>347</v>
      </c>
      <c r="O527" s="1214">
        <f>R514</f>
        <v>1.1667743100000001</v>
      </c>
      <c r="P527" s="689" t="s">
        <v>347</v>
      </c>
      <c r="Q527" s="833">
        <f>R515</f>
        <v>0.02</v>
      </c>
      <c r="R527" s="797"/>
      <c r="S527" s="797"/>
      <c r="T527" s="798" t="s">
        <v>350</v>
      </c>
      <c r="U527" s="230" t="s">
        <v>618</v>
      </c>
      <c r="V527" s="97"/>
    </row>
    <row r="528" spans="1:22" ht="18" hidden="1" customHeight="1">
      <c r="A528" s="827"/>
      <c r="B528" s="802"/>
      <c r="C528" s="802"/>
      <c r="D528" s="689"/>
      <c r="E528" s="689"/>
      <c r="F528" s="684"/>
      <c r="G528" s="684"/>
      <c r="H528" s="689"/>
      <c r="I528" s="689">
        <f>R505</f>
        <v>1200</v>
      </c>
      <c r="J528" s="723"/>
      <c r="K528" s="689"/>
      <c r="L528" s="802"/>
      <c r="M528" s="716"/>
      <c r="N528" s="729"/>
      <c r="O528" s="716"/>
      <c r="P528" s="689"/>
      <c r="Q528" s="28">
        <f>R512</f>
        <v>1</v>
      </c>
      <c r="R528" s="28" t="s">
        <v>315</v>
      </c>
      <c r="S528" s="28">
        <f>R512</f>
        <v>1</v>
      </c>
      <c r="T528" s="798"/>
      <c r="U528" s="14"/>
      <c r="V528" s="97"/>
    </row>
    <row r="529" spans="1:22" ht="18" hidden="1" customHeight="1">
      <c r="A529" s="184"/>
      <c r="V529" s="185"/>
    </row>
    <row r="530" spans="1:22" ht="18" hidden="1" customHeight="1">
      <c r="A530" s="184"/>
      <c r="C530" s="30" t="s">
        <v>127</v>
      </c>
      <c r="D530" s="812" t="e">
        <f>F527*(I527/I528)*(M527+O527+(Q527/(Q528*S528)))</f>
        <v>#VALUE!</v>
      </c>
      <c r="E530" s="813"/>
      <c r="F530" s="30" t="s">
        <v>305</v>
      </c>
      <c r="G530" s="187" t="s">
        <v>378</v>
      </c>
      <c r="H530" s="186" t="str">
        <f>IF(M502="y","Applicable","Not applicable")</f>
        <v>Not applicable</v>
      </c>
      <c r="V530" s="185"/>
    </row>
    <row r="531" spans="1:22" ht="18" hidden="1" customHeight="1">
      <c r="A531" s="184"/>
      <c r="V531" s="185"/>
    </row>
    <row r="532" spans="1:22" ht="18" hidden="1" customHeight="1">
      <c r="A532" s="194"/>
      <c r="B532" s="195"/>
      <c r="C532" s="195"/>
      <c r="D532" s="195"/>
      <c r="E532" s="195"/>
      <c r="F532" s="195"/>
      <c r="G532" s="195"/>
      <c r="H532" s="195"/>
      <c r="I532" s="195"/>
      <c r="J532" s="195"/>
      <c r="K532" s="195"/>
      <c r="L532" s="195"/>
      <c r="M532" s="195"/>
      <c r="N532" s="195"/>
      <c r="O532" s="195"/>
      <c r="P532" s="195"/>
      <c r="Q532" s="224"/>
      <c r="R532" s="182"/>
      <c r="S532" s="225"/>
      <c r="T532" s="195"/>
      <c r="U532" s="195"/>
      <c r="V532" s="134"/>
    </row>
    <row r="533" spans="1:22" ht="18" hidden="1" customHeight="1">
      <c r="A533" s="226"/>
      <c r="B533" s="227"/>
      <c r="C533" s="227"/>
      <c r="D533" s="227"/>
      <c r="E533" s="227"/>
      <c r="F533" s="227"/>
      <c r="G533" s="227"/>
      <c r="H533" s="227"/>
      <c r="I533" s="227"/>
      <c r="J533" s="227"/>
      <c r="K533" s="227"/>
      <c r="L533" s="227"/>
      <c r="M533" s="227"/>
      <c r="N533" s="227"/>
      <c r="O533" s="227"/>
      <c r="P533" s="227"/>
      <c r="Q533" s="227"/>
      <c r="R533" s="227"/>
      <c r="S533" s="227"/>
      <c r="T533" s="227"/>
      <c r="U533" s="227"/>
      <c r="V533" s="228"/>
    </row>
    <row r="534" spans="1:22" ht="18" hidden="1" customHeight="1">
      <c r="A534" s="96" t="s">
        <v>640</v>
      </c>
      <c r="M534" s="825">
        <f>R505</f>
        <v>1200</v>
      </c>
      <c r="N534" s="826"/>
      <c r="O534" s="30" t="s">
        <v>470</v>
      </c>
      <c r="Q534" s="812">
        <f>IF(M502="Y",MAX(D520,D530),MAX(D520,D525))</f>
        <v>72.160319460484075</v>
      </c>
      <c r="R534" s="820"/>
      <c r="S534" s="30" t="s">
        <v>305</v>
      </c>
      <c r="V534" s="185"/>
    </row>
    <row r="535" spans="1:22" ht="18" hidden="1" customHeight="1">
      <c r="A535" s="184"/>
      <c r="M535" s="247"/>
      <c r="N535" s="247"/>
      <c r="Q535" s="211"/>
      <c r="R535" s="27"/>
      <c r="V535" s="185"/>
    </row>
    <row r="536" spans="1:22" ht="18" hidden="1" customHeight="1">
      <c r="A536" s="248" t="s">
        <v>471</v>
      </c>
      <c r="B536" s="14"/>
      <c r="C536" s="14"/>
      <c r="D536" s="249"/>
      <c r="E536" s="14"/>
      <c r="F536" s="14"/>
      <c r="G536" s="47"/>
      <c r="H536" s="14"/>
      <c r="J536" s="14"/>
      <c r="K536" s="14"/>
      <c r="L536" s="14"/>
      <c r="M536" s="14"/>
      <c r="N536" s="14"/>
      <c r="O536" s="14"/>
      <c r="P536" s="250"/>
      <c r="Q536" s="251"/>
      <c r="R536" s="47"/>
      <c r="S536" s="14"/>
      <c r="V536" s="185"/>
    </row>
    <row r="537" spans="1:22" ht="18" hidden="1" customHeight="1">
      <c r="A537" s="248"/>
      <c r="B537" s="14"/>
      <c r="C537" s="14"/>
      <c r="D537" s="249"/>
      <c r="E537" s="14"/>
      <c r="F537" s="14"/>
      <c r="G537" s="47"/>
      <c r="H537" s="14"/>
      <c r="J537" s="14"/>
      <c r="K537" s="14"/>
      <c r="L537" s="14"/>
      <c r="M537" s="14"/>
      <c r="N537" s="14"/>
      <c r="O537" s="14"/>
      <c r="P537" s="250"/>
      <c r="Q537" s="251"/>
      <c r="R537" s="47"/>
      <c r="S537" s="14"/>
      <c r="V537" s="185"/>
    </row>
    <row r="538" spans="1:22" ht="18" hidden="1" customHeight="1">
      <c r="A538" s="96" t="s">
        <v>641</v>
      </c>
      <c r="V538" s="185"/>
    </row>
    <row r="539" spans="1:22" ht="18" hidden="1" customHeight="1">
      <c r="A539" s="184"/>
      <c r="N539" s="14"/>
      <c r="O539" s="14" t="s">
        <v>473</v>
      </c>
      <c r="P539" s="268" t="s">
        <v>127</v>
      </c>
      <c r="Q539" s="249" t="s">
        <v>474</v>
      </c>
      <c r="R539" s="14"/>
      <c r="S539" s="28" t="s">
        <v>315</v>
      </c>
      <c r="T539" s="28">
        <v>0.8</v>
      </c>
      <c r="V539" s="185"/>
    </row>
    <row r="540" spans="1:22" ht="18" hidden="1" customHeight="1">
      <c r="A540" s="184"/>
      <c r="N540" s="252"/>
      <c r="O540" s="14"/>
      <c r="P540" s="268" t="s">
        <v>127</v>
      </c>
      <c r="Q540" s="829">
        <f>+Q534</f>
        <v>72.160319460484075</v>
      </c>
      <c r="R540" s="1147"/>
      <c r="S540" s="222" t="s">
        <v>315</v>
      </c>
      <c r="T540" s="253">
        <f>+T539</f>
        <v>0.8</v>
      </c>
      <c r="V540" s="185"/>
    </row>
    <row r="541" spans="1:22" ht="18" hidden="1" customHeight="1">
      <c r="A541" s="184"/>
      <c r="O541" s="14"/>
      <c r="P541" s="14" t="s">
        <v>127</v>
      </c>
      <c r="Q541" s="830">
        <f>Q540*T540</f>
        <v>57.728255568387262</v>
      </c>
      <c r="R541" s="1270"/>
      <c r="S541" s="47" t="s">
        <v>305</v>
      </c>
      <c r="T541" s="14"/>
      <c r="V541" s="185"/>
    </row>
    <row r="542" spans="1:22" ht="18" hidden="1" customHeight="1">
      <c r="A542" s="184"/>
      <c r="F542" s="28"/>
      <c r="G542" s="28"/>
      <c r="H542" s="14"/>
      <c r="V542" s="185"/>
    </row>
    <row r="543" spans="1:22" ht="18" hidden="1" customHeight="1">
      <c r="A543" s="184"/>
      <c r="D543" s="14" t="s">
        <v>642</v>
      </c>
      <c r="G543" s="27" t="str">
        <f>IF(E544&gt;H544,"&gt;","&lt;")</f>
        <v>&gt;</v>
      </c>
      <c r="H543" s="14" t="s">
        <v>643</v>
      </c>
      <c r="V543" s="185"/>
    </row>
    <row r="544" spans="1:22" ht="18" hidden="1" customHeight="1">
      <c r="A544" s="184"/>
      <c r="E544" s="684">
        <f>H457</f>
        <v>430</v>
      </c>
      <c r="F544" s="684"/>
      <c r="G544" s="27" t="str">
        <f>G543</f>
        <v>&gt;</v>
      </c>
      <c r="H544" s="795">
        <f>Q541</f>
        <v>57.728255568387262</v>
      </c>
      <c r="I544" s="684"/>
      <c r="V544" s="185"/>
    </row>
    <row r="545" spans="1:22" ht="18" hidden="1" customHeight="1">
      <c r="A545" s="184"/>
      <c r="F545" s="244" t="s">
        <v>478</v>
      </c>
      <c r="H545" s="18" t="str">
        <f>IF(G543="&gt;","Suitably Dimensioned","Under Dimensioned")</f>
        <v>Suitably Dimensioned</v>
      </c>
      <c r="V545" s="185"/>
    </row>
    <row r="546" spans="1:22" ht="18" hidden="1" customHeight="1">
      <c r="A546" s="184"/>
      <c r="F546" s="244"/>
      <c r="H546" s="18"/>
      <c r="V546" s="185"/>
    </row>
    <row r="547" spans="1:22" ht="18" hidden="1" customHeight="1">
      <c r="A547" s="184"/>
      <c r="F547" s="244"/>
      <c r="H547" s="18"/>
      <c r="V547" s="185"/>
    </row>
    <row r="548" spans="1:22" ht="18" hidden="1" customHeight="1">
      <c r="A548" s="184"/>
      <c r="F548" s="244"/>
      <c r="H548" s="18"/>
      <c r="V548" s="185"/>
    </row>
    <row r="549" spans="1:22" ht="18" hidden="1" customHeight="1">
      <c r="A549" s="184"/>
      <c r="F549" s="244"/>
      <c r="H549" s="18"/>
      <c r="V549" s="185"/>
    </row>
    <row r="550" spans="1:22" ht="18" hidden="1" customHeight="1">
      <c r="A550" s="184"/>
      <c r="F550" s="244"/>
      <c r="H550" s="18"/>
      <c r="V550" s="185"/>
    </row>
    <row r="551" spans="1:22" ht="18" hidden="1" customHeight="1">
      <c r="A551" s="184"/>
      <c r="F551" s="244"/>
      <c r="H551" s="18"/>
      <c r="V551" s="185"/>
    </row>
    <row r="552" spans="1:22" ht="18" hidden="1" customHeight="1">
      <c r="A552" s="184"/>
      <c r="F552" s="244"/>
      <c r="H552" s="18"/>
      <c r="V552" s="185"/>
    </row>
    <row r="553" spans="1:22" ht="18" hidden="1" customHeight="1">
      <c r="A553" s="184"/>
      <c r="F553" s="244"/>
      <c r="H553" s="18"/>
      <c r="V553" s="185"/>
    </row>
    <row r="554" spans="1:22" ht="18" hidden="1" customHeight="1">
      <c r="A554" s="184"/>
      <c r="F554" s="244"/>
      <c r="H554" s="18"/>
      <c r="V554" s="185"/>
    </row>
    <row r="555" spans="1:22" ht="18" hidden="1" customHeight="1">
      <c r="A555" s="184"/>
      <c r="F555" s="244"/>
      <c r="H555" s="18"/>
      <c r="V555" s="185"/>
    </row>
    <row r="556" spans="1:22" ht="18" hidden="1" customHeight="1">
      <c r="A556" s="184"/>
      <c r="F556" s="244"/>
      <c r="H556" s="18"/>
      <c r="V556" s="185"/>
    </row>
    <row r="557" spans="1:22" ht="18" hidden="1" customHeight="1">
      <c r="A557" s="184"/>
      <c r="F557" s="244"/>
      <c r="H557" s="18"/>
      <c r="V557" s="185"/>
    </row>
    <row r="558" spans="1:22" ht="18" hidden="1" customHeight="1">
      <c r="A558" s="184"/>
      <c r="F558" s="244"/>
      <c r="H558" s="18"/>
      <c r="V558" s="185"/>
    </row>
    <row r="559" spans="1:22" ht="18" hidden="1" customHeight="1">
      <c r="A559" s="184"/>
      <c r="F559" s="244"/>
      <c r="H559" s="18"/>
      <c r="V559" s="185"/>
    </row>
    <row r="560" spans="1:22" ht="18" hidden="1" customHeight="1">
      <c r="A560" s="184"/>
      <c r="F560" s="244"/>
      <c r="H560" s="18"/>
      <c r="V560" s="185"/>
    </row>
    <row r="561" spans="1:22" ht="18" hidden="1" customHeight="1">
      <c r="A561" s="184"/>
      <c r="F561" s="244"/>
      <c r="H561" s="18"/>
      <c r="V561" s="185"/>
    </row>
    <row r="562" spans="1:22" ht="18" hidden="1" customHeight="1">
      <c r="A562" s="184"/>
      <c r="F562" s="244"/>
      <c r="H562" s="18"/>
      <c r="V562" s="185"/>
    </row>
    <row r="563" spans="1:22" ht="18" hidden="1" customHeight="1">
      <c r="A563" s="184"/>
      <c r="F563" s="244"/>
      <c r="H563" s="18"/>
      <c r="V563" s="185"/>
    </row>
    <row r="564" spans="1:22" ht="18" hidden="1" customHeight="1">
      <c r="A564" s="184"/>
      <c r="F564" s="244"/>
      <c r="H564" s="18"/>
      <c r="V564" s="185"/>
    </row>
    <row r="565" spans="1:22" ht="18" hidden="1" customHeight="1">
      <c r="A565" s="184"/>
      <c r="F565" s="244"/>
      <c r="H565" s="18"/>
      <c r="V565" s="185"/>
    </row>
    <row r="566" spans="1:22" ht="18" hidden="1" customHeight="1">
      <c r="A566" s="184"/>
      <c r="V566" s="185"/>
    </row>
    <row r="567" spans="1:22" ht="18" hidden="1" customHeight="1">
      <c r="A567" s="184"/>
      <c r="V567" s="185"/>
    </row>
    <row r="568" spans="1:22" ht="18" hidden="1" customHeight="1">
      <c r="A568" s="184"/>
      <c r="V568" s="185"/>
    </row>
    <row r="569" spans="1:22" ht="18" hidden="1" customHeight="1">
      <c r="A569" s="184"/>
      <c r="V569" s="185"/>
    </row>
    <row r="570" spans="1:22" ht="18" hidden="1" customHeight="1">
      <c r="A570" s="184"/>
      <c r="V570" s="185"/>
    </row>
    <row r="571" spans="1:22" s="14" customFormat="1" ht="18" hidden="1" customHeight="1">
      <c r="A571" s="184"/>
      <c r="B571" s="30"/>
      <c r="C571" s="30"/>
      <c r="D571" s="30"/>
      <c r="E571" s="30"/>
      <c r="F571" s="30"/>
      <c r="G571" s="30"/>
      <c r="H571" s="30"/>
      <c r="I571" s="30"/>
      <c r="J571" s="30"/>
      <c r="K571" s="30"/>
      <c r="L571" s="30"/>
      <c r="M571" s="30"/>
      <c r="N571" s="30"/>
      <c r="O571" s="30"/>
      <c r="P571" s="30"/>
      <c r="Q571" s="30"/>
      <c r="R571" s="30"/>
      <c r="S571" s="30"/>
      <c r="T571" s="30"/>
      <c r="U571" s="30"/>
      <c r="V571" s="185"/>
    </row>
    <row r="572" spans="1:22" ht="18" hidden="1" customHeight="1">
      <c r="A572" s="184"/>
      <c r="V572" s="185"/>
    </row>
    <row r="573" spans="1:22" ht="18" hidden="1" customHeight="1">
      <c r="A573" s="184"/>
      <c r="V573" s="185"/>
    </row>
    <row r="574" spans="1:22" ht="18" hidden="1" customHeight="1">
      <c r="A574" s="184"/>
      <c r="V574" s="185"/>
    </row>
    <row r="575" spans="1:22" ht="18" hidden="1" customHeight="1">
      <c r="A575" s="184"/>
      <c r="V575" s="185"/>
    </row>
    <row r="576" spans="1:22" ht="18" hidden="1" customHeight="1">
      <c r="A576" s="194"/>
      <c r="B576" s="195"/>
      <c r="C576" s="195"/>
      <c r="D576" s="195"/>
      <c r="E576" s="195"/>
      <c r="F576" s="195"/>
      <c r="G576" s="195"/>
      <c r="H576" s="195"/>
      <c r="I576" s="195"/>
      <c r="J576" s="195"/>
      <c r="K576" s="195"/>
      <c r="L576" s="195"/>
      <c r="M576" s="195"/>
      <c r="N576" s="195"/>
      <c r="O576" s="195"/>
      <c r="P576" s="195"/>
      <c r="Q576" s="224"/>
      <c r="R576" s="182"/>
      <c r="S576" s="225"/>
      <c r="T576" s="195"/>
      <c r="U576" s="195"/>
      <c r="V576" s="134"/>
    </row>
    <row r="577" spans="1:29" ht="18" hidden="1" customHeight="1">
      <c r="A577" s="226"/>
      <c r="B577" s="227"/>
      <c r="C577" s="227"/>
      <c r="D577" s="227"/>
      <c r="E577" s="227"/>
      <c r="F577" s="227"/>
      <c r="G577" s="227"/>
      <c r="H577" s="227"/>
      <c r="I577" s="227"/>
      <c r="J577" s="227"/>
      <c r="K577" s="227"/>
      <c r="L577" s="227"/>
      <c r="M577" s="227"/>
      <c r="N577" s="227"/>
      <c r="O577" s="227"/>
      <c r="P577" s="227"/>
      <c r="Q577" s="227"/>
      <c r="R577" s="227"/>
      <c r="S577" s="227"/>
      <c r="T577" s="227"/>
      <c r="U577" s="227"/>
      <c r="V577" s="228"/>
    </row>
    <row r="578" spans="1:29" ht="18" hidden="1" customHeight="1">
      <c r="A578" s="184"/>
      <c r="B578" s="854" t="str">
        <f>B451</f>
        <v>BCT13,14,15</v>
      </c>
      <c r="C578" s="831"/>
      <c r="D578" s="855" t="str">
        <f>D451</f>
        <v>Core2</v>
      </c>
      <c r="E578" s="856"/>
      <c r="F578" s="186" t="s">
        <v>636</v>
      </c>
      <c r="H578" s="684" t="str">
        <f>H451</f>
        <v>(Transformer Differential)</v>
      </c>
      <c r="I578" s="684"/>
      <c r="J578" s="684"/>
      <c r="K578" s="684"/>
      <c r="L578" s="684"/>
      <c r="M578" s="684"/>
      <c r="P578" s="186"/>
      <c r="S578" s="187" t="s">
        <v>387</v>
      </c>
      <c r="T578" s="854" t="str">
        <f>T451</f>
        <v>RET670</v>
      </c>
      <c r="U578" s="831"/>
      <c r="V578" s="185"/>
    </row>
    <row r="579" spans="1:29" ht="18" hidden="1" customHeight="1">
      <c r="A579" s="184"/>
      <c r="B579" s="853">
        <f>B452</f>
        <v>0</v>
      </c>
      <c r="C579" s="853"/>
      <c r="D579" s="857"/>
      <c r="E579" s="858"/>
      <c r="F579" s="255"/>
      <c r="T579" s="854">
        <f>T452</f>
        <v>0</v>
      </c>
      <c r="U579" s="831"/>
      <c r="V579" s="185"/>
    </row>
    <row r="580" spans="1:29" ht="18" hidden="1" customHeight="1">
      <c r="A580" s="184"/>
      <c r="H580" s="708" t="s">
        <v>390</v>
      </c>
      <c r="I580" s="708"/>
      <c r="J580" s="789" t="s">
        <v>391</v>
      </c>
      <c r="K580" s="789"/>
      <c r="L580" s="708" t="s">
        <v>392</v>
      </c>
      <c r="M580" s="708"/>
      <c r="T580" s="854">
        <f>T453</f>
        <v>0</v>
      </c>
      <c r="U580" s="831"/>
      <c r="V580" s="185"/>
    </row>
    <row r="581" spans="1:29" ht="18" hidden="1" customHeight="1">
      <c r="A581" s="184"/>
      <c r="B581" s="47" t="s">
        <v>393</v>
      </c>
      <c r="H581" s="854">
        <f>H454</f>
        <v>1200</v>
      </c>
      <c r="I581" s="831"/>
      <c r="J581" s="863" t="str">
        <f>J454</f>
        <v>-</v>
      </c>
      <c r="K581" s="864"/>
      <c r="L581" s="854" t="str">
        <f>L454</f>
        <v>-</v>
      </c>
      <c r="M581" s="831"/>
      <c r="N581" s="102" t="s">
        <v>342</v>
      </c>
      <c r="O581" s="256">
        <f>O454</f>
        <v>1</v>
      </c>
      <c r="P581" s="27" t="s">
        <v>8</v>
      </c>
      <c r="V581" s="185"/>
    </row>
    <row r="582" spans="1:29" ht="18" hidden="1" customHeight="1">
      <c r="A582" s="184"/>
      <c r="B582" s="47" t="s">
        <v>394</v>
      </c>
      <c r="H582" s="14"/>
      <c r="I582" s="14"/>
      <c r="J582" s="854" t="str">
        <f>H455</f>
        <v>TPS</v>
      </c>
      <c r="K582" s="831"/>
      <c r="L582" s="14"/>
      <c r="M582" s="14"/>
      <c r="V582" s="185"/>
    </row>
    <row r="583" spans="1:29" ht="18" hidden="1" customHeight="1">
      <c r="A583" s="184"/>
      <c r="B583" s="47" t="s">
        <v>396</v>
      </c>
      <c r="I583" s="120" t="s">
        <v>497</v>
      </c>
      <c r="J583" s="781" t="s">
        <v>6</v>
      </c>
      <c r="K583" s="782"/>
      <c r="L583" s="192" t="s">
        <v>333</v>
      </c>
      <c r="V583" s="185"/>
    </row>
    <row r="584" spans="1:29" ht="18" hidden="1" customHeight="1">
      <c r="A584" s="184"/>
      <c r="B584" s="47" t="s">
        <v>398</v>
      </c>
      <c r="I584" s="120" t="s">
        <v>498</v>
      </c>
      <c r="J584" s="781" t="s">
        <v>6</v>
      </c>
      <c r="K584" s="782"/>
      <c r="L584" s="14" t="s">
        <v>305</v>
      </c>
      <c r="V584" s="185"/>
      <c r="W584" s="30" t="s">
        <v>400</v>
      </c>
      <c r="AB584" s="785" t="e">
        <f>Q673</f>
        <v>#VALUE!</v>
      </c>
      <c r="AC584" s="786"/>
    </row>
    <row r="585" spans="1:29" ht="18" hidden="1" customHeight="1">
      <c r="A585" s="184"/>
      <c r="B585" s="14" t="s">
        <v>401</v>
      </c>
      <c r="I585" s="120" t="s">
        <v>402</v>
      </c>
      <c r="J585" s="781" t="s">
        <v>6</v>
      </c>
      <c r="K585" s="782"/>
      <c r="L585" s="14" t="s">
        <v>403</v>
      </c>
      <c r="V585" s="185"/>
    </row>
    <row r="586" spans="1:29" ht="18" hidden="1" customHeight="1">
      <c r="A586" s="184"/>
      <c r="V586" s="185"/>
    </row>
    <row r="587" spans="1:29" ht="18" hidden="1" customHeight="1">
      <c r="A587" s="193" t="s">
        <v>404</v>
      </c>
      <c r="V587" s="185"/>
    </row>
    <row r="588" spans="1:29" ht="18" hidden="1" customHeight="1">
      <c r="A588" s="184"/>
      <c r="V588" s="185"/>
    </row>
    <row r="589" spans="1:29" ht="18" hidden="1" customHeight="1">
      <c r="A589" s="184"/>
      <c r="B589" s="194" t="s">
        <v>405</v>
      </c>
      <c r="C589" s="195"/>
      <c r="D589" s="195" t="str">
        <f>T578</f>
        <v>RET670</v>
      </c>
      <c r="E589" s="196"/>
      <c r="F589" s="196"/>
      <c r="G589" s="196"/>
      <c r="H589" s="182" t="s">
        <v>406</v>
      </c>
      <c r="I589" s="183" t="s">
        <v>127</v>
      </c>
      <c r="J589" s="1276">
        <f>J462</f>
        <v>0.02</v>
      </c>
      <c r="K589" s="1144"/>
      <c r="L589" s="3" t="s">
        <v>157</v>
      </c>
      <c r="N589" s="197" t="s">
        <v>407</v>
      </c>
      <c r="V589" s="185"/>
    </row>
    <row r="590" spans="1:29" s="14" customFormat="1" ht="18" hidden="1" customHeight="1">
      <c r="A590" s="184"/>
      <c r="B590" s="96" t="s">
        <v>405</v>
      </c>
      <c r="C590" s="30"/>
      <c r="D590" s="30">
        <f>T579</f>
        <v>0</v>
      </c>
      <c r="E590" s="30"/>
      <c r="F590" s="30"/>
      <c r="G590" s="30"/>
      <c r="H590" s="27"/>
      <c r="I590" s="177"/>
      <c r="J590" s="1274">
        <f>J463</f>
        <v>0</v>
      </c>
      <c r="K590" s="1275"/>
      <c r="L590" s="198" t="s">
        <v>157</v>
      </c>
      <c r="M590" s="30"/>
      <c r="N590" s="30"/>
      <c r="O590" s="30"/>
      <c r="P590" s="30"/>
      <c r="Q590" s="30"/>
      <c r="R590" s="30"/>
      <c r="S590" s="30"/>
      <c r="T590" s="30"/>
      <c r="U590" s="30"/>
      <c r="V590" s="185"/>
    </row>
    <row r="591" spans="1:29" s="14" customFormat="1" ht="18" hidden="1" customHeight="1">
      <c r="A591" s="184"/>
      <c r="B591" s="96" t="s">
        <v>405</v>
      </c>
      <c r="C591" s="30"/>
      <c r="D591" s="30">
        <f>T580</f>
        <v>0</v>
      </c>
      <c r="F591" s="30"/>
      <c r="G591" s="199"/>
      <c r="H591" s="27"/>
      <c r="I591" s="101"/>
      <c r="J591" s="696">
        <f>J464</f>
        <v>0</v>
      </c>
      <c r="K591" s="820"/>
      <c r="L591" s="202" t="s">
        <v>157</v>
      </c>
      <c r="M591" s="30"/>
      <c r="N591" s="30" t="s">
        <v>408</v>
      </c>
      <c r="O591" s="27" t="s">
        <v>127</v>
      </c>
      <c r="P591" s="30" t="s">
        <v>409</v>
      </c>
      <c r="Q591" s="191" t="s">
        <v>410</v>
      </c>
      <c r="R591" s="244" t="s">
        <v>411</v>
      </c>
      <c r="S591" s="27" t="s">
        <v>315</v>
      </c>
      <c r="T591" s="30" t="s">
        <v>411</v>
      </c>
      <c r="U591" s="30" t="s">
        <v>350</v>
      </c>
      <c r="V591" s="185"/>
    </row>
    <row r="592" spans="1:29" s="14" customFormat="1" ht="18" hidden="1" customHeight="1">
      <c r="A592" s="184"/>
      <c r="B592" s="184" t="s">
        <v>412</v>
      </c>
      <c r="C592" s="30"/>
      <c r="D592" s="30"/>
      <c r="E592" s="30"/>
      <c r="F592" s="30"/>
      <c r="G592" s="30"/>
      <c r="H592" s="27" t="s">
        <v>599</v>
      </c>
      <c r="I592" s="177" t="s">
        <v>127</v>
      </c>
      <c r="J592" s="1274">
        <f>J465</f>
        <v>1.1667743100000001</v>
      </c>
      <c r="K592" s="1275"/>
      <c r="L592" s="203" t="s">
        <v>157</v>
      </c>
      <c r="M592" s="30"/>
      <c r="N592" s="30"/>
      <c r="O592" s="27" t="s">
        <v>127</v>
      </c>
      <c r="P592" s="204">
        <f>J593</f>
        <v>1.1667743100000001</v>
      </c>
      <c r="Q592" s="191" t="s">
        <v>410</v>
      </c>
      <c r="R592" s="27">
        <f>O581</f>
        <v>1</v>
      </c>
      <c r="S592" s="27" t="s">
        <v>315</v>
      </c>
      <c r="T592" s="27">
        <f>O581</f>
        <v>1</v>
      </c>
      <c r="U592" s="30" t="s">
        <v>350</v>
      </c>
      <c r="V592" s="185"/>
    </row>
    <row r="593" spans="1:22" s="14" customFormat="1" ht="18" hidden="1" customHeight="1">
      <c r="A593" s="184"/>
      <c r="B593" s="205" t="s">
        <v>413</v>
      </c>
      <c r="C593" s="206"/>
      <c r="D593" s="206"/>
      <c r="E593" s="206"/>
      <c r="F593" s="207"/>
      <c r="G593" s="207"/>
      <c r="H593" s="190" t="s">
        <v>409</v>
      </c>
      <c r="I593" s="208" t="s">
        <v>127</v>
      </c>
      <c r="J593" s="1276">
        <f>J590+J592</f>
        <v>1.1667743100000001</v>
      </c>
      <c r="K593" s="1144"/>
      <c r="L593" s="210" t="s">
        <v>157</v>
      </c>
      <c r="M593" s="30"/>
      <c r="N593" s="30"/>
      <c r="O593" s="27" t="s">
        <v>127</v>
      </c>
      <c r="P593" s="795">
        <f>P592/(R592*T592)</f>
        <v>1.1667743100000001</v>
      </c>
      <c r="Q593" s="795"/>
      <c r="R593" s="192" t="s">
        <v>333</v>
      </c>
      <c r="S593" s="30"/>
      <c r="T593" s="30"/>
      <c r="U593" s="30"/>
      <c r="V593" s="185"/>
    </row>
    <row r="594" spans="1:22" s="14" customFormat="1" ht="18" hidden="1" customHeight="1">
      <c r="A594" s="184"/>
      <c r="B594" s="30"/>
      <c r="C594" s="30"/>
      <c r="D594" s="30"/>
      <c r="E594" s="30"/>
      <c r="F594" s="30"/>
      <c r="G594" s="30"/>
      <c r="H594" s="30"/>
      <c r="I594" s="30"/>
      <c r="J594" s="30"/>
      <c r="K594" s="30"/>
      <c r="L594" s="30"/>
      <c r="M594" s="30"/>
      <c r="N594" s="30"/>
      <c r="O594" s="30"/>
      <c r="P594" s="30"/>
      <c r="Q594" s="30"/>
      <c r="R594" s="30"/>
      <c r="S594" s="30"/>
      <c r="T594" s="30"/>
      <c r="U594" s="30"/>
      <c r="V594" s="185"/>
    </row>
    <row r="595" spans="1:22" s="14" customFormat="1" ht="18" hidden="1" customHeight="1">
      <c r="A595" s="193" t="s">
        <v>600</v>
      </c>
      <c r="B595" s="5"/>
      <c r="C595" s="5"/>
      <c r="D595" s="5"/>
      <c r="E595" s="5"/>
      <c r="F595" s="5"/>
      <c r="G595" s="5"/>
      <c r="H595" s="212"/>
      <c r="I595" s="212"/>
      <c r="J595" s="5"/>
      <c r="K595" s="5"/>
      <c r="L595" s="5"/>
      <c r="M595" s="5"/>
      <c r="N595" s="5"/>
      <c r="O595" s="5"/>
      <c r="P595" s="103"/>
      <c r="Q595" s="212"/>
      <c r="R595" s="213"/>
      <c r="S595" s="214"/>
      <c r="T595" s="18"/>
      <c r="U595" s="18"/>
      <c r="V595" s="97"/>
    </row>
    <row r="596" spans="1:22" s="14" customFormat="1" ht="18" hidden="1" customHeight="1">
      <c r="A596" s="96"/>
      <c r="B596" s="47" t="s">
        <v>601</v>
      </c>
      <c r="C596" s="5"/>
      <c r="D596" s="5"/>
      <c r="E596" s="5"/>
      <c r="I596" s="215"/>
      <c r="M596" s="5"/>
      <c r="O596" s="103" t="s">
        <v>127</v>
      </c>
      <c r="P596" s="853">
        <f>P469</f>
        <v>100</v>
      </c>
      <c r="Q596" s="1271"/>
      <c r="R596" s="14" t="s">
        <v>602</v>
      </c>
      <c r="S596" s="214"/>
      <c r="T596" s="18"/>
      <c r="U596" s="18"/>
      <c r="V596" s="97"/>
    </row>
    <row r="597" spans="1:22" s="14" customFormat="1" ht="18" hidden="1" customHeight="1">
      <c r="A597" s="96"/>
      <c r="B597" s="47" t="s">
        <v>603</v>
      </c>
      <c r="C597" s="5"/>
      <c r="D597" s="5"/>
      <c r="E597" s="5"/>
      <c r="I597" s="215"/>
      <c r="M597" s="5"/>
      <c r="O597" s="103" t="s">
        <v>127</v>
      </c>
      <c r="P597" s="853">
        <f>P470</f>
        <v>25</v>
      </c>
      <c r="Q597" s="1271"/>
      <c r="R597" s="14" t="s">
        <v>604</v>
      </c>
      <c r="S597" s="214"/>
      <c r="T597" s="18"/>
      <c r="U597" s="18"/>
      <c r="V597" s="97"/>
    </row>
    <row r="598" spans="1:22" s="14" customFormat="1" ht="18" hidden="1" customHeight="1">
      <c r="A598" s="96"/>
      <c r="B598" s="47" t="s">
        <v>605</v>
      </c>
      <c r="C598" s="5"/>
      <c r="D598" s="5"/>
      <c r="E598" s="5"/>
      <c r="N598" s="120" t="s">
        <v>644</v>
      </c>
      <c r="O598" s="103" t="s">
        <v>607</v>
      </c>
      <c r="P598" s="854">
        <f>P471</f>
        <v>132</v>
      </c>
      <c r="Q598" s="1270"/>
      <c r="R598" s="14" t="s">
        <v>163</v>
      </c>
      <c r="S598" s="214"/>
      <c r="T598" s="18"/>
      <c r="U598" s="18"/>
      <c r="V598" s="97"/>
    </row>
    <row r="599" spans="1:22" s="14" customFormat="1" ht="18" hidden="1" customHeight="1">
      <c r="A599" s="216"/>
      <c r="B599" s="212"/>
      <c r="C599" s="212"/>
      <c r="D599" s="212"/>
      <c r="E599" s="212"/>
      <c r="T599" s="18"/>
      <c r="U599" s="18"/>
      <c r="V599" s="97"/>
    </row>
    <row r="600" spans="1:22" s="14" customFormat="1" ht="18" hidden="1" customHeight="1">
      <c r="A600" s="96"/>
      <c r="B600" s="14" t="s">
        <v>608</v>
      </c>
      <c r="C600" s="213"/>
      <c r="D600" s="213"/>
      <c r="E600" s="213"/>
      <c r="H600" s="120" t="s">
        <v>609</v>
      </c>
      <c r="I600" s="28" t="s">
        <v>127</v>
      </c>
      <c r="J600" s="689" t="s">
        <v>610</v>
      </c>
      <c r="K600" s="689"/>
      <c r="L600" s="28" t="s">
        <v>315</v>
      </c>
      <c r="M600" s="217">
        <v>1000</v>
      </c>
      <c r="N600" s="102" t="s">
        <v>342</v>
      </c>
      <c r="O600" s="28" t="s">
        <v>611</v>
      </c>
      <c r="P600" s="28" t="s">
        <v>315</v>
      </c>
      <c r="Q600" s="28" t="s">
        <v>606</v>
      </c>
      <c r="R600" s="47"/>
      <c r="T600" s="18"/>
      <c r="U600" s="18"/>
      <c r="V600" s="97"/>
    </row>
    <row r="601" spans="1:22" ht="18" hidden="1" customHeight="1">
      <c r="A601" s="216"/>
      <c r="B601" s="213"/>
      <c r="C601" s="213"/>
      <c r="D601" s="213"/>
      <c r="E601" s="213"/>
      <c r="F601" s="212"/>
      <c r="G601" s="212"/>
      <c r="H601" s="28"/>
      <c r="I601" s="28" t="s">
        <v>127</v>
      </c>
      <c r="J601" s="689">
        <f>P596</f>
        <v>100</v>
      </c>
      <c r="K601" s="689"/>
      <c r="L601" s="28" t="s">
        <v>315</v>
      </c>
      <c r="M601" s="217">
        <v>1000</v>
      </c>
      <c r="N601" s="102" t="s">
        <v>342</v>
      </c>
      <c r="O601" s="28" t="s">
        <v>611</v>
      </c>
      <c r="P601" s="28" t="s">
        <v>315</v>
      </c>
      <c r="Q601" s="28">
        <f>P598</f>
        <v>132</v>
      </c>
      <c r="R601" s="47"/>
      <c r="S601" s="14"/>
      <c r="T601" s="18"/>
      <c r="U601" s="18"/>
      <c r="V601" s="97"/>
    </row>
    <row r="602" spans="1:22" ht="18" hidden="1" customHeight="1">
      <c r="A602" s="216"/>
      <c r="B602" s="212"/>
      <c r="C602" s="212"/>
      <c r="D602" s="212"/>
      <c r="E602" s="212"/>
      <c r="F602" s="212"/>
      <c r="G602" s="212"/>
      <c r="H602" s="14"/>
      <c r="I602" s="28" t="s">
        <v>127</v>
      </c>
      <c r="J602" s="692">
        <f>(P596*1000)/(SQRT(3)*P598)</f>
        <v>437.38656756789834</v>
      </c>
      <c r="K602" s="692"/>
      <c r="L602" s="14" t="s">
        <v>8</v>
      </c>
      <c r="M602" s="120"/>
      <c r="N602" s="120"/>
      <c r="O602" s="120"/>
      <c r="P602" s="14"/>
      <c r="Q602" s="14"/>
      <c r="R602" s="14"/>
      <c r="S602" s="14"/>
      <c r="T602" s="18"/>
      <c r="U602" s="18"/>
      <c r="V602" s="97"/>
    </row>
    <row r="603" spans="1:22" ht="18" hidden="1" customHeight="1">
      <c r="A603" s="216"/>
      <c r="B603" s="212"/>
      <c r="C603" s="212"/>
      <c r="D603" s="212"/>
      <c r="E603" s="212"/>
      <c r="F603" s="14"/>
      <c r="G603" s="212"/>
      <c r="H603" s="28"/>
      <c r="I603" s="103"/>
      <c r="J603" s="28"/>
      <c r="K603" s="14"/>
      <c r="L603" s="14"/>
      <c r="M603" s="212"/>
      <c r="N603" s="219"/>
      <c r="O603" s="212"/>
      <c r="P603" s="14"/>
      <c r="Q603" s="14"/>
      <c r="R603" s="14"/>
      <c r="S603" s="14"/>
      <c r="T603" s="18"/>
      <c r="U603" s="18"/>
      <c r="V603" s="97"/>
    </row>
    <row r="604" spans="1:22" ht="18" hidden="1" customHeight="1">
      <c r="A604" s="147" t="s">
        <v>629</v>
      </c>
      <c r="B604" s="5"/>
      <c r="C604" s="5"/>
      <c r="D604" s="5"/>
      <c r="E604" s="5"/>
      <c r="F604" s="212"/>
      <c r="G604" s="212"/>
      <c r="H604" s="5"/>
      <c r="I604" s="5"/>
      <c r="J604" s="5"/>
      <c r="K604" s="5"/>
      <c r="L604" s="103"/>
      <c r="M604" s="103"/>
      <c r="N604" s="103"/>
      <c r="O604" s="103"/>
      <c r="P604" s="212"/>
      <c r="Q604" s="213"/>
      <c r="R604" s="14"/>
      <c r="S604" s="220"/>
      <c r="T604" s="18"/>
      <c r="U604" s="18"/>
      <c r="V604" s="97"/>
    </row>
    <row r="605" spans="1:22" ht="18" hidden="1" customHeight="1">
      <c r="A605" s="147"/>
      <c r="B605" s="5"/>
      <c r="C605" s="5"/>
      <c r="D605" s="5"/>
      <c r="E605" s="5"/>
      <c r="F605" s="212"/>
      <c r="G605" s="212"/>
      <c r="H605" s="5"/>
      <c r="I605" s="5"/>
      <c r="J605" s="5"/>
      <c r="K605" s="5"/>
      <c r="L605" s="103"/>
      <c r="M605" s="103"/>
      <c r="N605" s="103"/>
      <c r="O605" s="103"/>
      <c r="P605" s="212"/>
      <c r="Q605" s="213"/>
      <c r="R605" s="14"/>
      <c r="S605" s="214"/>
      <c r="T605" s="18"/>
      <c r="U605" s="18"/>
      <c r="V605" s="97"/>
    </row>
    <row r="606" spans="1:22" ht="18" hidden="1" customHeight="1">
      <c r="A606" s="184"/>
      <c r="B606" s="14" t="s">
        <v>612</v>
      </c>
      <c r="C606" s="14"/>
      <c r="D606" s="14"/>
      <c r="E606" s="14"/>
      <c r="M606" s="120" t="s">
        <v>613</v>
      </c>
      <c r="N606" s="28" t="s">
        <v>127</v>
      </c>
      <c r="O606" s="689" t="s">
        <v>609</v>
      </c>
      <c r="P606" s="716"/>
      <c r="Q606" s="221" t="s">
        <v>630</v>
      </c>
      <c r="R606" s="221">
        <v>16</v>
      </c>
      <c r="S606" s="214"/>
      <c r="V606" s="185"/>
    </row>
    <row r="607" spans="1:22" ht="18" hidden="1" customHeight="1">
      <c r="A607" s="96"/>
      <c r="B607" s="5"/>
      <c r="C607" s="5"/>
      <c r="D607" s="5"/>
      <c r="E607" s="5"/>
      <c r="M607" s="250"/>
      <c r="N607" s="28" t="s">
        <v>127</v>
      </c>
      <c r="O607" s="689">
        <f>+J602</f>
        <v>437.38656756789834</v>
      </c>
      <c r="P607" s="716"/>
      <c r="Q607" s="221" t="s">
        <v>630</v>
      </c>
      <c r="R607" s="221">
        <v>16</v>
      </c>
      <c r="S607" s="214"/>
      <c r="V607" s="185"/>
    </row>
    <row r="608" spans="1:22" ht="18" hidden="1" customHeight="1">
      <c r="A608" s="96"/>
      <c r="B608" s="5"/>
      <c r="C608" s="5"/>
      <c r="D608" s="5"/>
      <c r="E608" s="5"/>
      <c r="M608" s="120" t="s">
        <v>613</v>
      </c>
      <c r="N608" s="28" t="s">
        <v>127</v>
      </c>
      <c r="O608" s="689">
        <f>O607*R607</f>
        <v>6998.1850810863734</v>
      </c>
      <c r="P608" s="716"/>
      <c r="Q608" s="241" t="s">
        <v>8</v>
      </c>
      <c r="R608" s="14"/>
      <c r="S608" s="214"/>
      <c r="V608" s="185"/>
    </row>
    <row r="609" spans="1:22" ht="18" hidden="1" customHeight="1">
      <c r="A609" s="96"/>
      <c r="B609" s="5"/>
      <c r="C609" s="5"/>
      <c r="D609" s="5"/>
      <c r="E609" s="5"/>
      <c r="M609" s="212"/>
      <c r="N609" s="212"/>
      <c r="O609" s="103"/>
      <c r="Q609" s="223"/>
      <c r="R609" s="14"/>
      <c r="S609" s="214"/>
      <c r="V609" s="185"/>
    </row>
    <row r="610" spans="1:22" s="14" customFormat="1" ht="18" hidden="1" customHeight="1">
      <c r="A610" s="678" t="s">
        <v>633</v>
      </c>
      <c r="B610" s="1207"/>
      <c r="C610" s="1207"/>
      <c r="D610" s="1207"/>
      <c r="E610" s="1207"/>
      <c r="F610" s="1207"/>
      <c r="G610" s="1207"/>
      <c r="H610" s="1207"/>
      <c r="I610" s="1207"/>
      <c r="J610" s="1207"/>
      <c r="K610" s="1207"/>
      <c r="L610" s="1207"/>
      <c r="M610" s="1207"/>
      <c r="N610" s="1207"/>
      <c r="O610" s="1207"/>
      <c r="P610" s="1207"/>
      <c r="Q610" s="1207"/>
      <c r="R610" s="1207"/>
      <c r="S610" s="1207"/>
      <c r="T610" s="1207"/>
      <c r="U610" s="1207"/>
      <c r="V610" s="1208"/>
    </row>
    <row r="611" spans="1:22" ht="18" hidden="1" customHeight="1">
      <c r="A611" s="1209"/>
      <c r="B611" s="1207"/>
      <c r="C611" s="1207"/>
      <c r="D611" s="1207"/>
      <c r="E611" s="1207"/>
      <c r="F611" s="1207"/>
      <c r="G611" s="1207"/>
      <c r="H611" s="1207"/>
      <c r="I611" s="1207"/>
      <c r="J611" s="1207"/>
      <c r="K611" s="1207"/>
      <c r="L611" s="1207"/>
      <c r="M611" s="1207"/>
      <c r="N611" s="1207"/>
      <c r="O611" s="1207"/>
      <c r="P611" s="1207"/>
      <c r="Q611" s="1207"/>
      <c r="R611" s="1207"/>
      <c r="S611" s="1207"/>
      <c r="T611" s="1207"/>
      <c r="U611" s="1207"/>
      <c r="V611" s="1208"/>
    </row>
    <row r="612" spans="1:22" ht="18" hidden="1" customHeight="1">
      <c r="A612" s="231"/>
      <c r="B612" s="232"/>
      <c r="C612" s="232"/>
      <c r="D612" s="232"/>
      <c r="E612" s="232"/>
      <c r="F612" s="232"/>
      <c r="G612" s="232"/>
      <c r="H612" s="232"/>
      <c r="I612" s="232"/>
      <c r="J612" s="232"/>
      <c r="K612" s="232"/>
      <c r="L612" s="232"/>
      <c r="M612" s="232"/>
      <c r="N612" s="232"/>
      <c r="O612" s="232"/>
      <c r="P612" s="232"/>
      <c r="Q612" s="232"/>
      <c r="R612" s="232"/>
      <c r="S612" s="232"/>
      <c r="T612" s="232"/>
      <c r="U612" s="232"/>
      <c r="V612" s="233"/>
    </row>
    <row r="613" spans="1:22" ht="18" hidden="1" customHeight="1">
      <c r="A613" s="231"/>
      <c r="B613" s="232"/>
      <c r="C613" s="232"/>
      <c r="D613" s="232"/>
      <c r="E613" s="232"/>
      <c r="F613" s="232"/>
      <c r="G613" s="232"/>
      <c r="H613" s="232"/>
      <c r="I613" s="232"/>
      <c r="J613" s="232"/>
      <c r="K613" s="232"/>
      <c r="L613" s="232"/>
      <c r="M613" s="232"/>
      <c r="N613" s="232"/>
      <c r="O613" s="232"/>
      <c r="P613" s="232"/>
      <c r="Q613" s="232"/>
      <c r="R613" s="232"/>
      <c r="S613" s="232"/>
      <c r="T613" s="232"/>
      <c r="U613" s="232"/>
      <c r="V613" s="233"/>
    </row>
    <row r="614" spans="1:22" ht="18" hidden="1" customHeight="1">
      <c r="A614" s="231"/>
      <c r="B614" s="232"/>
      <c r="C614" s="232"/>
      <c r="D614" s="232"/>
      <c r="E614" s="232"/>
      <c r="F614" s="232"/>
      <c r="G614" s="232"/>
      <c r="H614" s="232"/>
      <c r="I614" s="232"/>
      <c r="J614" s="232"/>
      <c r="K614" s="232"/>
      <c r="L614" s="232"/>
      <c r="M614" s="232"/>
      <c r="N614" s="232"/>
      <c r="O614" s="232"/>
      <c r="P614" s="232"/>
      <c r="Q614" s="232"/>
      <c r="R614" s="232"/>
      <c r="S614" s="232"/>
      <c r="T614" s="232"/>
      <c r="U614" s="232"/>
      <c r="V614" s="233"/>
    </row>
    <row r="615" spans="1:22" ht="18" hidden="1" customHeight="1">
      <c r="A615" s="231"/>
      <c r="B615" s="232"/>
      <c r="C615" s="232"/>
      <c r="D615" s="232"/>
      <c r="E615" s="232"/>
      <c r="F615" s="232"/>
      <c r="G615" s="232"/>
      <c r="H615" s="232"/>
      <c r="I615" s="232"/>
      <c r="J615" s="232"/>
      <c r="K615" s="232"/>
      <c r="L615" s="232"/>
      <c r="M615" s="232"/>
      <c r="N615" s="232"/>
      <c r="O615" s="232"/>
      <c r="P615" s="232"/>
      <c r="Q615" s="232"/>
      <c r="R615" s="232"/>
      <c r="S615" s="232"/>
      <c r="T615" s="232"/>
      <c r="U615" s="232"/>
      <c r="V615" s="233"/>
    </row>
    <row r="616" spans="1:22" ht="18" hidden="1" customHeight="1">
      <c r="A616" s="231"/>
      <c r="B616" s="232"/>
      <c r="C616" s="232"/>
      <c r="D616" s="232"/>
      <c r="E616" s="232"/>
      <c r="F616" s="232"/>
      <c r="G616" s="232"/>
      <c r="H616" s="232"/>
      <c r="I616" s="232"/>
      <c r="J616" s="232"/>
      <c r="K616" s="232"/>
      <c r="L616" s="232"/>
      <c r="M616" s="232"/>
      <c r="N616" s="232"/>
      <c r="O616" s="232"/>
      <c r="P616" s="232"/>
      <c r="Q616" s="232"/>
      <c r="R616" s="232"/>
      <c r="S616" s="232"/>
      <c r="T616" s="232"/>
      <c r="U616" s="232"/>
      <c r="V616" s="233"/>
    </row>
    <row r="617" spans="1:22" ht="18" hidden="1" customHeight="1">
      <c r="A617" s="96"/>
      <c r="B617" s="5"/>
      <c r="C617" s="5"/>
      <c r="D617" s="5"/>
      <c r="E617" s="5"/>
      <c r="M617" s="212"/>
      <c r="N617" s="212"/>
      <c r="O617" s="103"/>
      <c r="Q617" s="223"/>
      <c r="R617" s="14"/>
      <c r="S617" s="214"/>
      <c r="V617" s="185"/>
    </row>
    <row r="618" spans="1:22" ht="18" hidden="1" customHeight="1">
      <c r="A618" s="184"/>
      <c r="V618" s="185"/>
    </row>
    <row r="619" spans="1:22" ht="18" hidden="1" customHeight="1">
      <c r="A619" s="184"/>
      <c r="V619" s="185"/>
    </row>
    <row r="620" spans="1:22" ht="18" hidden="1" customHeight="1">
      <c r="A620" s="194"/>
      <c r="B620" s="195"/>
      <c r="C620" s="195"/>
      <c r="D620" s="195"/>
      <c r="E620" s="195"/>
      <c r="F620" s="195"/>
      <c r="G620" s="195"/>
      <c r="H620" s="195"/>
      <c r="I620" s="195"/>
      <c r="J620" s="195"/>
      <c r="K620" s="195"/>
      <c r="L620" s="195"/>
      <c r="M620" s="195"/>
      <c r="N620" s="195"/>
      <c r="O620" s="195"/>
      <c r="P620" s="195"/>
      <c r="Q620" s="224"/>
      <c r="R620" s="182"/>
      <c r="S620" s="225"/>
      <c r="T620" s="195"/>
      <c r="U620" s="195"/>
      <c r="V620" s="134"/>
    </row>
    <row r="621" spans="1:22" ht="18" hidden="1" customHeight="1">
      <c r="A621" s="226"/>
      <c r="B621" s="227"/>
      <c r="C621" s="227"/>
      <c r="D621" s="227"/>
      <c r="E621" s="227"/>
      <c r="F621" s="227"/>
      <c r="G621" s="227"/>
      <c r="H621" s="227"/>
      <c r="I621" s="227"/>
      <c r="J621" s="227"/>
      <c r="K621" s="227"/>
      <c r="L621" s="227"/>
      <c r="M621" s="227"/>
      <c r="N621" s="227"/>
      <c r="O621" s="227"/>
      <c r="P621" s="227"/>
      <c r="Q621" s="227"/>
      <c r="R621" s="227"/>
      <c r="S621" s="227"/>
      <c r="T621" s="227"/>
      <c r="U621" s="227"/>
      <c r="V621" s="228"/>
    </row>
    <row r="622" spans="1:22" ht="18" hidden="1" customHeight="1">
      <c r="A622" s="799" t="s">
        <v>417</v>
      </c>
      <c r="B622" s="802"/>
      <c r="C622" s="802"/>
      <c r="D622" s="689">
        <v>30</v>
      </c>
      <c r="E622" s="689" t="s">
        <v>315</v>
      </c>
      <c r="F622" s="689" t="s">
        <v>609</v>
      </c>
      <c r="G622" s="684"/>
      <c r="H622" s="689" t="s">
        <v>315</v>
      </c>
      <c r="I622" s="708" t="s">
        <v>411</v>
      </c>
      <c r="J622" s="828"/>
      <c r="K622" s="689" t="s">
        <v>315</v>
      </c>
      <c r="L622" s="802" t="s">
        <v>419</v>
      </c>
      <c r="M622" s="716" t="s">
        <v>420</v>
      </c>
      <c r="N622" s="729" t="s">
        <v>347</v>
      </c>
      <c r="O622" s="716" t="s">
        <v>408</v>
      </c>
      <c r="P622" s="689" t="s">
        <v>347</v>
      </c>
      <c r="Q622" s="759" t="s">
        <v>421</v>
      </c>
      <c r="R622" s="797"/>
      <c r="S622" s="797"/>
      <c r="T622" s="798" t="s">
        <v>350</v>
      </c>
      <c r="U622" s="230" t="s">
        <v>422</v>
      </c>
      <c r="V622" s="97"/>
    </row>
    <row r="623" spans="1:22" ht="18" hidden="1" customHeight="1">
      <c r="A623" s="827"/>
      <c r="B623" s="802"/>
      <c r="C623" s="802"/>
      <c r="D623" s="689"/>
      <c r="E623" s="689"/>
      <c r="F623" s="684"/>
      <c r="G623" s="684"/>
      <c r="H623" s="689"/>
      <c r="I623" s="689" t="s">
        <v>423</v>
      </c>
      <c r="J623" s="723"/>
      <c r="K623" s="689"/>
      <c r="L623" s="802"/>
      <c r="M623" s="716"/>
      <c r="N623" s="729"/>
      <c r="O623" s="716"/>
      <c r="P623" s="689"/>
      <c r="Q623" s="28" t="s">
        <v>146</v>
      </c>
      <c r="R623" s="28" t="s">
        <v>315</v>
      </c>
      <c r="S623" s="28" t="s">
        <v>146</v>
      </c>
      <c r="T623" s="798"/>
      <c r="U623" s="14"/>
      <c r="V623" s="97"/>
    </row>
    <row r="624" spans="1:22" ht="18" hidden="1" customHeight="1">
      <c r="A624" s="184"/>
      <c r="V624" s="185"/>
    </row>
    <row r="625" spans="1:22" ht="18" hidden="1" customHeight="1">
      <c r="A625" s="799" t="s">
        <v>417</v>
      </c>
      <c r="B625" s="802"/>
      <c r="C625" s="802"/>
      <c r="D625" s="689">
        <v>2</v>
      </c>
      <c r="E625" s="689" t="s">
        <v>315</v>
      </c>
      <c r="F625" s="689" t="s">
        <v>613</v>
      </c>
      <c r="G625" s="684"/>
      <c r="H625" s="689" t="s">
        <v>315</v>
      </c>
      <c r="I625" s="708" t="s">
        <v>411</v>
      </c>
      <c r="J625" s="828"/>
      <c r="K625" s="689" t="s">
        <v>315</v>
      </c>
      <c r="L625" s="802" t="s">
        <v>419</v>
      </c>
      <c r="M625" s="716" t="s">
        <v>420</v>
      </c>
      <c r="N625" s="729" t="s">
        <v>347</v>
      </c>
      <c r="O625" s="716" t="s">
        <v>408</v>
      </c>
      <c r="P625" s="689" t="s">
        <v>347</v>
      </c>
      <c r="Q625" s="759" t="s">
        <v>421</v>
      </c>
      <c r="R625" s="797"/>
      <c r="S625" s="797"/>
      <c r="T625" s="798" t="s">
        <v>350</v>
      </c>
      <c r="U625" s="230" t="s">
        <v>426</v>
      </c>
      <c r="V625" s="97"/>
    </row>
    <row r="626" spans="1:22" ht="18" hidden="1" customHeight="1">
      <c r="A626" s="827"/>
      <c r="B626" s="802"/>
      <c r="C626" s="802"/>
      <c r="D626" s="689"/>
      <c r="E626" s="689"/>
      <c r="F626" s="684"/>
      <c r="G626" s="684"/>
      <c r="H626" s="689"/>
      <c r="I626" s="689" t="s">
        <v>423</v>
      </c>
      <c r="J626" s="723"/>
      <c r="K626" s="689"/>
      <c r="L626" s="802"/>
      <c r="M626" s="716"/>
      <c r="N626" s="729"/>
      <c r="O626" s="716"/>
      <c r="P626" s="689"/>
      <c r="Q626" s="28" t="s">
        <v>146</v>
      </c>
      <c r="R626" s="28" t="s">
        <v>315</v>
      </c>
      <c r="S626" s="28" t="s">
        <v>146</v>
      </c>
      <c r="T626" s="798"/>
      <c r="U626" s="14"/>
      <c r="V626" s="97"/>
    </row>
    <row r="627" spans="1:22" ht="18" hidden="1" customHeight="1">
      <c r="A627" s="184"/>
      <c r="V627" s="185"/>
    </row>
    <row r="628" spans="1:22" ht="18" hidden="1" customHeight="1">
      <c r="A628" s="678" t="s">
        <v>616</v>
      </c>
      <c r="B628" s="1207"/>
      <c r="C628" s="1207"/>
      <c r="D628" s="1207"/>
      <c r="E628" s="1207"/>
      <c r="F628" s="1207"/>
      <c r="G628" s="1207"/>
      <c r="H628" s="1207"/>
      <c r="I628" s="1207"/>
      <c r="J628" s="1207"/>
      <c r="K628" s="1207"/>
      <c r="L628" s="1207"/>
      <c r="M628" s="1207"/>
      <c r="N628" s="1207"/>
      <c r="O628" s="1207"/>
      <c r="P628" s="1207"/>
      <c r="Q628" s="1207"/>
      <c r="R628" s="1207"/>
      <c r="S628" s="1207"/>
      <c r="T628" s="1207"/>
      <c r="U628" s="1207"/>
      <c r="V628" s="1208"/>
    </row>
    <row r="629" spans="1:22" ht="18" hidden="1" customHeight="1">
      <c r="A629" s="1209"/>
      <c r="B629" s="1207"/>
      <c r="C629" s="1207"/>
      <c r="D629" s="1207"/>
      <c r="E629" s="1207"/>
      <c r="F629" s="1207"/>
      <c r="G629" s="1207"/>
      <c r="H629" s="1207"/>
      <c r="I629" s="1207"/>
      <c r="J629" s="1207"/>
      <c r="K629" s="1207"/>
      <c r="L629" s="1207"/>
      <c r="M629" s="1207"/>
      <c r="N629" s="1207"/>
      <c r="O629" s="1207"/>
      <c r="P629" s="1207"/>
      <c r="Q629" s="1207"/>
      <c r="R629" s="1207"/>
      <c r="S629" s="1207"/>
      <c r="T629" s="1207"/>
      <c r="U629" s="1207"/>
      <c r="V629" s="1208"/>
    </row>
    <row r="630" spans="1:22" ht="18" hidden="1" customHeight="1">
      <c r="A630" s="231"/>
      <c r="B630" s="232"/>
      <c r="C630" s="232"/>
      <c r="D630" s="232"/>
      <c r="E630" s="232"/>
      <c r="F630" s="232"/>
      <c r="G630" s="232"/>
      <c r="H630" s="232"/>
      <c r="I630" s="232"/>
      <c r="J630" s="232"/>
      <c r="K630" s="232"/>
      <c r="L630" s="232"/>
      <c r="M630" s="232"/>
      <c r="N630" s="232"/>
      <c r="O630" s="232"/>
      <c r="P630" s="232"/>
      <c r="Q630" s="232"/>
      <c r="R630" s="232"/>
      <c r="S630" s="232"/>
      <c r="T630" s="232"/>
      <c r="U630" s="232"/>
      <c r="V630" s="233"/>
    </row>
    <row r="631" spans="1:22" ht="18" hidden="1" customHeight="1">
      <c r="A631" s="799" t="s">
        <v>417</v>
      </c>
      <c r="B631" s="802"/>
      <c r="C631" s="802"/>
      <c r="D631" s="689"/>
      <c r="E631" s="689"/>
      <c r="F631" s="689" t="s">
        <v>617</v>
      </c>
      <c r="G631" s="684"/>
      <c r="H631" s="689" t="s">
        <v>315</v>
      </c>
      <c r="I631" s="708" t="s">
        <v>411</v>
      </c>
      <c r="J631" s="828"/>
      <c r="K631" s="689" t="s">
        <v>315</v>
      </c>
      <c r="L631" s="802" t="s">
        <v>419</v>
      </c>
      <c r="M631" s="716" t="s">
        <v>420</v>
      </c>
      <c r="N631" s="729" t="s">
        <v>347</v>
      </c>
      <c r="O631" s="716" t="s">
        <v>408</v>
      </c>
      <c r="P631" s="689" t="s">
        <v>347</v>
      </c>
      <c r="Q631" s="759" t="s">
        <v>421</v>
      </c>
      <c r="R631" s="797"/>
      <c r="S631" s="797"/>
      <c r="T631" s="798" t="s">
        <v>350</v>
      </c>
      <c r="U631" s="230" t="s">
        <v>618</v>
      </c>
      <c r="V631" s="97"/>
    </row>
    <row r="632" spans="1:22" ht="18" hidden="1" customHeight="1">
      <c r="A632" s="827"/>
      <c r="B632" s="802"/>
      <c r="C632" s="802"/>
      <c r="D632" s="689"/>
      <c r="E632" s="689"/>
      <c r="F632" s="684"/>
      <c r="G632" s="684"/>
      <c r="H632" s="689"/>
      <c r="I632" s="689" t="s">
        <v>423</v>
      </c>
      <c r="J632" s="723"/>
      <c r="K632" s="689"/>
      <c r="L632" s="802"/>
      <c r="M632" s="716"/>
      <c r="N632" s="729"/>
      <c r="O632" s="716"/>
      <c r="P632" s="689"/>
      <c r="Q632" s="28" t="s">
        <v>146</v>
      </c>
      <c r="R632" s="28" t="s">
        <v>315</v>
      </c>
      <c r="S632" s="28" t="s">
        <v>146</v>
      </c>
      <c r="T632" s="798"/>
      <c r="U632" s="14"/>
      <c r="V632" s="97"/>
    </row>
    <row r="633" spans="1:22" ht="18" hidden="1" customHeight="1">
      <c r="A633" s="96"/>
      <c r="B633" s="14"/>
      <c r="C633" s="14"/>
      <c r="D633" s="28"/>
      <c r="E633" s="28"/>
      <c r="F633" s="27"/>
      <c r="G633" s="27"/>
      <c r="H633" s="28"/>
      <c r="I633" s="28"/>
      <c r="K633" s="28"/>
      <c r="L633" s="120"/>
      <c r="M633" s="14"/>
      <c r="N633" s="102"/>
      <c r="O633" s="14"/>
      <c r="P633" s="28"/>
      <c r="Q633" s="28"/>
      <c r="R633" s="28"/>
      <c r="S633" s="28"/>
      <c r="T633" s="40"/>
      <c r="U633" s="14"/>
      <c r="V633" s="97"/>
    </row>
    <row r="634" spans="1:22" ht="18" hidden="1" customHeight="1">
      <c r="A634" s="184"/>
      <c r="H634" s="30" t="s">
        <v>619</v>
      </c>
      <c r="M634" s="854" t="str">
        <f>M502</f>
        <v>N</v>
      </c>
      <c r="N634" s="831"/>
      <c r="V634" s="185"/>
    </row>
    <row r="635" spans="1:22" ht="18" hidden="1" customHeight="1">
      <c r="A635" s="96"/>
      <c r="B635" s="14"/>
      <c r="C635" s="14"/>
      <c r="D635" s="28"/>
      <c r="E635" s="28"/>
      <c r="F635" s="27"/>
      <c r="G635" s="27"/>
      <c r="H635" s="28"/>
      <c r="I635" s="28"/>
      <c r="K635" s="28"/>
      <c r="L635" s="120"/>
      <c r="M635" s="14"/>
      <c r="N635" s="102"/>
      <c r="O635" s="14"/>
      <c r="P635" s="28"/>
      <c r="Q635" s="28"/>
      <c r="R635" s="28"/>
      <c r="S635" s="28"/>
      <c r="T635" s="40"/>
      <c r="U635" s="14"/>
      <c r="V635" s="97"/>
    </row>
    <row r="636" spans="1:22" ht="18" hidden="1" customHeight="1">
      <c r="A636" s="184"/>
      <c r="B636" s="14" t="s">
        <v>427</v>
      </c>
      <c r="C636" s="14"/>
      <c r="D636" s="103"/>
      <c r="E636" s="103"/>
      <c r="F636" s="14"/>
      <c r="G636" s="14"/>
      <c r="H636" s="5"/>
      <c r="I636" s="5"/>
      <c r="J636" s="5"/>
      <c r="P636" s="120" t="s">
        <v>428</v>
      </c>
      <c r="V636" s="185"/>
    </row>
    <row r="637" spans="1:22" ht="18" hidden="1" customHeight="1">
      <c r="A637" s="184"/>
      <c r="B637" s="14" t="s">
        <v>429</v>
      </c>
      <c r="C637" s="14"/>
      <c r="D637" s="103"/>
      <c r="E637" s="103"/>
      <c r="F637" s="14"/>
      <c r="G637" s="14"/>
      <c r="H637" s="5"/>
      <c r="I637" s="5"/>
      <c r="J637" s="5"/>
      <c r="P637" s="120" t="s">
        <v>430</v>
      </c>
      <c r="Q637" s="234" t="s">
        <v>127</v>
      </c>
      <c r="R637" s="684" t="str">
        <f>J581</f>
        <v>-</v>
      </c>
      <c r="S637" s="684"/>
      <c r="T637" s="14" t="s">
        <v>8</v>
      </c>
      <c r="V637" s="185"/>
    </row>
    <row r="638" spans="1:22" ht="18" hidden="1" customHeight="1">
      <c r="A638" s="184"/>
      <c r="B638" s="14" t="s">
        <v>621</v>
      </c>
      <c r="C638" s="14"/>
      <c r="D638" s="14"/>
      <c r="E638" s="14"/>
      <c r="F638" s="14"/>
      <c r="G638" s="14"/>
      <c r="H638" s="14"/>
      <c r="I638" s="14"/>
      <c r="J638" s="14"/>
      <c r="P638" s="120" t="s">
        <v>609</v>
      </c>
      <c r="Q638" s="234" t="s">
        <v>127</v>
      </c>
      <c r="R638" s="684">
        <f>J602</f>
        <v>437.38656756789834</v>
      </c>
      <c r="S638" s="684"/>
      <c r="T638" s="14" t="s">
        <v>8</v>
      </c>
      <c r="V638" s="185"/>
    </row>
    <row r="639" spans="1:22" ht="18" hidden="1" customHeight="1">
      <c r="A639" s="184"/>
      <c r="B639" s="14" t="s">
        <v>622</v>
      </c>
      <c r="C639" s="14"/>
      <c r="D639" s="14"/>
      <c r="E639" s="14"/>
      <c r="F639" s="14"/>
      <c r="G639" s="14"/>
      <c r="H639" s="14"/>
      <c r="I639" s="14"/>
      <c r="J639" s="14"/>
      <c r="P639" s="120" t="s">
        <v>613</v>
      </c>
      <c r="Q639" s="234" t="s">
        <v>127</v>
      </c>
      <c r="R639" s="684">
        <f>O608</f>
        <v>6998.1850810863734</v>
      </c>
      <c r="S639" s="684"/>
      <c r="T639" s="14" t="s">
        <v>8</v>
      </c>
      <c r="V639" s="185"/>
    </row>
    <row r="640" spans="1:22" ht="18" hidden="1" customHeight="1">
      <c r="A640" s="184"/>
      <c r="B640" s="235" t="s">
        <v>623</v>
      </c>
      <c r="C640" s="14"/>
      <c r="D640" s="14"/>
      <c r="E640" s="14"/>
      <c r="F640" s="14"/>
      <c r="G640" s="14"/>
      <c r="H640" s="14"/>
      <c r="I640" s="14"/>
      <c r="J640" s="14"/>
      <c r="P640" s="120"/>
      <c r="Q640" s="236"/>
      <c r="R640" s="27"/>
      <c r="S640" s="27"/>
      <c r="T640" s="14"/>
      <c r="V640" s="185"/>
    </row>
    <row r="641" spans="1:22" ht="18" hidden="1" customHeight="1">
      <c r="A641" s="184"/>
      <c r="B641" s="14" t="s">
        <v>622</v>
      </c>
      <c r="C641" s="14"/>
      <c r="D641" s="14"/>
      <c r="E641" s="14"/>
      <c r="F641" s="14"/>
      <c r="G641" s="14"/>
      <c r="H641" s="14"/>
      <c r="I641" s="14"/>
      <c r="J641" s="14"/>
      <c r="P641" s="120" t="s">
        <v>617</v>
      </c>
      <c r="Q641" s="234" t="s">
        <v>127</v>
      </c>
      <c r="R641" s="684" t="str">
        <f>R509</f>
        <v>-</v>
      </c>
      <c r="S641" s="684"/>
      <c r="T641" s="14" t="s">
        <v>8</v>
      </c>
      <c r="V641" s="185"/>
    </row>
    <row r="642" spans="1:22" ht="18" hidden="1" customHeight="1">
      <c r="A642" s="184"/>
      <c r="B642" s="235" t="s">
        <v>645</v>
      </c>
      <c r="C642" s="14"/>
      <c r="D642" s="14"/>
      <c r="E642" s="14"/>
      <c r="F642" s="14"/>
      <c r="G642" s="14"/>
      <c r="H642" s="14"/>
      <c r="I642" s="14"/>
      <c r="J642" s="14"/>
      <c r="R642" s="27"/>
      <c r="S642" s="27"/>
      <c r="T642" s="14"/>
      <c r="V642" s="185"/>
    </row>
    <row r="643" spans="1:22" ht="18" hidden="1" customHeight="1">
      <c r="A643" s="184"/>
      <c r="B643" s="14" t="s">
        <v>435</v>
      </c>
      <c r="C643" s="14"/>
      <c r="D643" s="103"/>
      <c r="E643" s="103"/>
      <c r="F643" s="14"/>
      <c r="G643" s="14"/>
      <c r="H643" s="5"/>
      <c r="I643" s="5"/>
      <c r="J643" s="5"/>
      <c r="P643" s="120" t="s">
        <v>436</v>
      </c>
      <c r="Q643" s="234" t="s">
        <v>127</v>
      </c>
      <c r="R643" s="684">
        <f>O581</f>
        <v>1</v>
      </c>
      <c r="S643" s="684"/>
      <c r="T643" s="14" t="s">
        <v>8</v>
      </c>
      <c r="V643" s="185"/>
    </row>
    <row r="644" spans="1:22" ht="18" hidden="1" customHeight="1">
      <c r="A644" s="184"/>
      <c r="B644" s="14" t="s">
        <v>437</v>
      </c>
      <c r="C644" s="14"/>
      <c r="D644" s="103"/>
      <c r="E644" s="103"/>
      <c r="F644" s="14"/>
      <c r="G644" s="14"/>
      <c r="H644" s="5"/>
      <c r="I644" s="5"/>
      <c r="J644" s="5"/>
      <c r="P644" s="120" t="s">
        <v>438</v>
      </c>
      <c r="Q644" s="234" t="s">
        <v>127</v>
      </c>
      <c r="R644" s="684">
        <f>R512</f>
        <v>1</v>
      </c>
      <c r="S644" s="684"/>
      <c r="T644" s="14" t="s">
        <v>8</v>
      </c>
      <c r="V644" s="185"/>
    </row>
    <row r="645" spans="1:22" ht="18" hidden="1" customHeight="1">
      <c r="A645" s="184"/>
      <c r="B645" s="14" t="s">
        <v>439</v>
      </c>
      <c r="C645" s="14"/>
      <c r="D645" s="103"/>
      <c r="E645" s="103"/>
      <c r="F645" s="14"/>
      <c r="G645" s="14"/>
      <c r="H645" s="5"/>
      <c r="I645" s="5"/>
      <c r="J645" s="5"/>
      <c r="P645" s="120" t="s">
        <v>440</v>
      </c>
      <c r="Q645" s="234" t="s">
        <v>127</v>
      </c>
      <c r="R645" s="684" t="str">
        <f>J583</f>
        <v>-</v>
      </c>
      <c r="S645" s="684"/>
      <c r="T645" s="192" t="s">
        <v>333</v>
      </c>
      <c r="V645" s="185"/>
    </row>
    <row r="646" spans="1:22" ht="18" hidden="1" customHeight="1">
      <c r="A646" s="184"/>
      <c r="B646" s="14" t="s">
        <v>625</v>
      </c>
      <c r="C646" s="14"/>
      <c r="D646" s="14"/>
      <c r="E646" s="14"/>
      <c r="F646" s="14"/>
      <c r="G646" s="14"/>
      <c r="H646" s="14"/>
      <c r="I646" s="14"/>
      <c r="J646" s="14"/>
      <c r="P646" s="237" t="s">
        <v>441</v>
      </c>
      <c r="Q646" s="234" t="s">
        <v>127</v>
      </c>
      <c r="R646" s="795">
        <f>P593</f>
        <v>1.1667743100000001</v>
      </c>
      <c r="S646" s="684"/>
      <c r="T646" s="192" t="s">
        <v>333</v>
      </c>
      <c r="V646" s="185"/>
    </row>
    <row r="647" spans="1:22" ht="18" hidden="1" customHeight="1">
      <c r="A647" s="184"/>
      <c r="B647" s="40" t="s">
        <v>442</v>
      </c>
      <c r="C647" s="14"/>
      <c r="D647" s="14"/>
      <c r="E647" s="14"/>
      <c r="F647" s="14"/>
      <c r="G647" s="14"/>
      <c r="H647" s="5"/>
      <c r="I647" s="5"/>
      <c r="J647" s="5"/>
      <c r="P647" s="237" t="s">
        <v>443</v>
      </c>
      <c r="Q647" s="234" t="s">
        <v>127</v>
      </c>
      <c r="R647" s="795">
        <f>J589</f>
        <v>0.02</v>
      </c>
      <c r="S647" s="684"/>
      <c r="T647" s="14" t="s">
        <v>157</v>
      </c>
      <c r="V647" s="185"/>
    </row>
    <row r="648" spans="1:22" ht="18" hidden="1" customHeight="1">
      <c r="A648" s="184"/>
      <c r="V648" s="185"/>
    </row>
    <row r="649" spans="1:22" ht="18" hidden="1" customHeight="1">
      <c r="A649" s="799" t="s">
        <v>417</v>
      </c>
      <c r="B649" s="802"/>
      <c r="C649" s="802"/>
      <c r="D649" s="689">
        <v>30</v>
      </c>
      <c r="E649" s="689" t="s">
        <v>315</v>
      </c>
      <c r="F649" s="689">
        <f>R638</f>
        <v>437.38656756789834</v>
      </c>
      <c r="G649" s="684"/>
      <c r="H649" s="689" t="s">
        <v>315</v>
      </c>
      <c r="I649" s="708">
        <f>R643</f>
        <v>1</v>
      </c>
      <c r="J649" s="828"/>
      <c r="K649" s="689" t="s">
        <v>315</v>
      </c>
      <c r="L649" s="716" t="s">
        <v>419</v>
      </c>
      <c r="M649" s="716" t="str">
        <f>R645</f>
        <v>-</v>
      </c>
      <c r="N649" s="729" t="s">
        <v>347</v>
      </c>
      <c r="O649" s="1214">
        <f>R646</f>
        <v>1.1667743100000001</v>
      </c>
      <c r="P649" s="689" t="s">
        <v>347</v>
      </c>
      <c r="Q649" s="833">
        <f>R647</f>
        <v>0.02</v>
      </c>
      <c r="R649" s="797"/>
      <c r="S649" s="797"/>
      <c r="T649" s="798" t="s">
        <v>350</v>
      </c>
      <c r="U649" s="230" t="s">
        <v>422</v>
      </c>
      <c r="V649" s="97"/>
    </row>
    <row r="650" spans="1:22" ht="18" hidden="1" customHeight="1">
      <c r="A650" s="827"/>
      <c r="B650" s="802"/>
      <c r="C650" s="802"/>
      <c r="D650" s="689"/>
      <c r="E650" s="689"/>
      <c r="F650" s="684"/>
      <c r="G650" s="684"/>
      <c r="H650" s="689"/>
      <c r="I650" s="689" t="str">
        <f>R637</f>
        <v>-</v>
      </c>
      <c r="J650" s="723"/>
      <c r="K650" s="689"/>
      <c r="L650" s="716"/>
      <c r="M650" s="716"/>
      <c r="N650" s="729"/>
      <c r="O650" s="716"/>
      <c r="P650" s="689"/>
      <c r="Q650" s="28">
        <f>R644</f>
        <v>1</v>
      </c>
      <c r="R650" s="28" t="s">
        <v>315</v>
      </c>
      <c r="S650" s="28">
        <f>R644</f>
        <v>1</v>
      </c>
      <c r="T650" s="798"/>
      <c r="U650" s="14"/>
      <c r="V650" s="97"/>
    </row>
    <row r="651" spans="1:22" ht="18" hidden="1" customHeight="1">
      <c r="A651" s="184"/>
      <c r="V651" s="185"/>
    </row>
    <row r="652" spans="1:22" ht="18" hidden="1" customHeight="1">
      <c r="A652" s="184"/>
      <c r="C652" s="30" t="s">
        <v>127</v>
      </c>
      <c r="D652" s="812" t="e">
        <f>D649*F649*(I649/I650)*(M649+O649+(Q649/(Q650*S650)))</f>
        <v>#VALUE!</v>
      </c>
      <c r="E652" s="813"/>
      <c r="F652" s="30" t="s">
        <v>305</v>
      </c>
      <c r="V652" s="185"/>
    </row>
    <row r="653" spans="1:22" ht="18" hidden="1" customHeight="1">
      <c r="A653" s="184"/>
      <c r="V653" s="185"/>
    </row>
    <row r="654" spans="1:22" ht="18" hidden="1" customHeight="1">
      <c r="A654" s="799" t="s">
        <v>417</v>
      </c>
      <c r="B654" s="802"/>
      <c r="C654" s="802"/>
      <c r="D654" s="689">
        <v>2</v>
      </c>
      <c r="E654" s="689" t="s">
        <v>315</v>
      </c>
      <c r="F654" s="689">
        <f>R639</f>
        <v>6998.1850810863734</v>
      </c>
      <c r="G654" s="684"/>
      <c r="H654" s="689" t="s">
        <v>315</v>
      </c>
      <c r="I654" s="708">
        <f>R643</f>
        <v>1</v>
      </c>
      <c r="J654" s="828"/>
      <c r="K654" s="689" t="s">
        <v>315</v>
      </c>
      <c r="L654" s="802" t="s">
        <v>419</v>
      </c>
      <c r="M654" s="716" t="str">
        <f>R645</f>
        <v>-</v>
      </c>
      <c r="N654" s="729" t="s">
        <v>347</v>
      </c>
      <c r="O654" s="1214">
        <f>R646</f>
        <v>1.1667743100000001</v>
      </c>
      <c r="P654" s="689" t="s">
        <v>347</v>
      </c>
      <c r="Q654" s="833">
        <f>R647</f>
        <v>0.02</v>
      </c>
      <c r="R654" s="797"/>
      <c r="S654" s="797"/>
      <c r="T654" s="798" t="s">
        <v>350</v>
      </c>
      <c r="U654" s="230" t="s">
        <v>426</v>
      </c>
      <c r="V654" s="97"/>
    </row>
    <row r="655" spans="1:22" ht="18" hidden="1" customHeight="1">
      <c r="A655" s="827"/>
      <c r="B655" s="802"/>
      <c r="C655" s="802"/>
      <c r="D655" s="689"/>
      <c r="E655" s="689"/>
      <c r="F655" s="684"/>
      <c r="G655" s="684"/>
      <c r="H655" s="689"/>
      <c r="I655" s="689" t="str">
        <f>R637</f>
        <v>-</v>
      </c>
      <c r="J655" s="723"/>
      <c r="K655" s="689"/>
      <c r="L655" s="802"/>
      <c r="M655" s="716"/>
      <c r="N655" s="729"/>
      <c r="O655" s="716"/>
      <c r="P655" s="689"/>
      <c r="Q655" s="28">
        <f>R644</f>
        <v>1</v>
      </c>
      <c r="R655" s="28" t="s">
        <v>315</v>
      </c>
      <c r="S655" s="28">
        <f>R644</f>
        <v>1</v>
      </c>
      <c r="T655" s="798"/>
      <c r="U655" s="14"/>
      <c r="V655" s="97"/>
    </row>
    <row r="656" spans="1:22" ht="18" hidden="1" customHeight="1">
      <c r="A656" s="184"/>
      <c r="L656" s="244"/>
      <c r="V656" s="185"/>
    </row>
    <row r="657" spans="1:22" ht="18" hidden="1" customHeight="1">
      <c r="A657" s="184"/>
      <c r="C657" s="30" t="s">
        <v>127</v>
      </c>
      <c r="D657" s="812" t="e">
        <f>D654*F654*(I654/I655)*(M654+O654+(Q654/(Q655*S655)))</f>
        <v>#VALUE!</v>
      </c>
      <c r="E657" s="813"/>
      <c r="F657" s="30" t="s">
        <v>305</v>
      </c>
      <c r="L657" s="244"/>
      <c r="V657" s="185"/>
    </row>
    <row r="658" spans="1:22" ht="18" hidden="1" customHeight="1">
      <c r="A658" s="184"/>
      <c r="L658" s="244"/>
      <c r="V658" s="185"/>
    </row>
    <row r="659" spans="1:22" s="14" customFormat="1" ht="18" hidden="1" customHeight="1">
      <c r="A659" s="799" t="s">
        <v>417</v>
      </c>
      <c r="B659" s="802"/>
      <c r="C659" s="802"/>
      <c r="D659" s="689"/>
      <c r="E659" s="689"/>
      <c r="F659" s="689" t="str">
        <f>R641</f>
        <v>-</v>
      </c>
      <c r="G659" s="684"/>
      <c r="H659" s="689" t="s">
        <v>315</v>
      </c>
      <c r="I659" s="708">
        <f>R643</f>
        <v>1</v>
      </c>
      <c r="J659" s="828"/>
      <c r="K659" s="689" t="s">
        <v>315</v>
      </c>
      <c r="L659" s="802" t="s">
        <v>419</v>
      </c>
      <c r="M659" s="716" t="str">
        <f>R645</f>
        <v>-</v>
      </c>
      <c r="N659" s="729" t="s">
        <v>347</v>
      </c>
      <c r="O659" s="1214">
        <f>R646</f>
        <v>1.1667743100000001</v>
      </c>
      <c r="P659" s="689" t="s">
        <v>347</v>
      </c>
      <c r="Q659" s="833">
        <f>R647</f>
        <v>0.02</v>
      </c>
      <c r="R659" s="797"/>
      <c r="S659" s="797"/>
      <c r="T659" s="798" t="s">
        <v>350</v>
      </c>
      <c r="U659" s="230" t="s">
        <v>618</v>
      </c>
      <c r="V659" s="97"/>
    </row>
    <row r="660" spans="1:22" ht="18" hidden="1" customHeight="1">
      <c r="A660" s="827"/>
      <c r="B660" s="802"/>
      <c r="C660" s="802"/>
      <c r="D660" s="689"/>
      <c r="E660" s="689"/>
      <c r="F660" s="684"/>
      <c r="G660" s="684"/>
      <c r="H660" s="689"/>
      <c r="I660" s="689" t="str">
        <f>R637</f>
        <v>-</v>
      </c>
      <c r="J660" s="723"/>
      <c r="K660" s="689"/>
      <c r="L660" s="802"/>
      <c r="M660" s="716"/>
      <c r="N660" s="729"/>
      <c r="O660" s="716"/>
      <c r="P660" s="689"/>
      <c r="Q660" s="28">
        <f>R644</f>
        <v>1</v>
      </c>
      <c r="R660" s="28" t="s">
        <v>315</v>
      </c>
      <c r="S660" s="28">
        <f>R644</f>
        <v>1</v>
      </c>
      <c r="T660" s="798"/>
      <c r="U660" s="14"/>
      <c r="V660" s="97"/>
    </row>
    <row r="661" spans="1:22" ht="18" hidden="1" customHeight="1">
      <c r="A661" s="184"/>
      <c r="V661" s="185"/>
    </row>
    <row r="662" spans="1:22" ht="18" hidden="1" customHeight="1">
      <c r="A662" s="184"/>
      <c r="C662" s="30" t="s">
        <v>127</v>
      </c>
      <c r="D662" s="812" t="e">
        <f>F659*(I659/I660)*(M659+O659+(Q659/(Q660*S660)))</f>
        <v>#VALUE!</v>
      </c>
      <c r="E662" s="813"/>
      <c r="F662" s="30" t="s">
        <v>305</v>
      </c>
      <c r="G662" s="187" t="s">
        <v>378</v>
      </c>
      <c r="H662" s="186" t="str">
        <f>IF(M634="y","Applicable","Not applicable")</f>
        <v>Not applicable</v>
      </c>
      <c r="V662" s="185"/>
    </row>
    <row r="663" spans="1:22" ht="18" hidden="1" customHeight="1">
      <c r="A663" s="184"/>
      <c r="V663" s="185"/>
    </row>
    <row r="664" spans="1:22" ht="18" hidden="1" customHeight="1">
      <c r="A664" s="194"/>
      <c r="B664" s="195"/>
      <c r="C664" s="195"/>
      <c r="D664" s="195"/>
      <c r="E664" s="195"/>
      <c r="F664" s="195"/>
      <c r="G664" s="195"/>
      <c r="H664" s="195"/>
      <c r="I664" s="195"/>
      <c r="J664" s="195"/>
      <c r="K664" s="195"/>
      <c r="L664" s="195"/>
      <c r="M664" s="195"/>
      <c r="N664" s="195"/>
      <c r="O664" s="195"/>
      <c r="P664" s="195"/>
      <c r="Q664" s="224"/>
      <c r="R664" s="182"/>
      <c r="S664" s="225"/>
      <c r="T664" s="195"/>
      <c r="U664" s="195"/>
      <c r="V664" s="134"/>
    </row>
    <row r="665" spans="1:22" ht="18" hidden="1" customHeight="1">
      <c r="A665" s="226"/>
      <c r="B665" s="227"/>
      <c r="C665" s="227"/>
      <c r="D665" s="227"/>
      <c r="E665" s="227"/>
      <c r="F665" s="227"/>
      <c r="G665" s="227"/>
      <c r="H665" s="227"/>
      <c r="I665" s="227"/>
      <c r="J665" s="227"/>
      <c r="K665" s="227"/>
      <c r="L665" s="227"/>
      <c r="M665" s="227"/>
      <c r="N665" s="227"/>
      <c r="O665" s="227"/>
      <c r="P665" s="227"/>
      <c r="Q665" s="227"/>
      <c r="R665" s="227"/>
      <c r="S665" s="227"/>
      <c r="T665" s="227"/>
      <c r="U665" s="227"/>
      <c r="V665" s="228"/>
    </row>
    <row r="666" spans="1:22" ht="18" hidden="1" customHeight="1">
      <c r="A666" s="184" t="s">
        <v>634</v>
      </c>
      <c r="M666" s="825" t="str">
        <f>R637</f>
        <v>-</v>
      </c>
      <c r="N666" s="826"/>
      <c r="O666" s="30" t="s">
        <v>470</v>
      </c>
      <c r="Q666" s="812" t="e">
        <f>IF(M634="Y",MAX(D652,D662),MAX(D652,D657))</f>
        <v>#VALUE!</v>
      </c>
      <c r="R666" s="820"/>
      <c r="S666" s="30" t="s">
        <v>305</v>
      </c>
      <c r="V666" s="185"/>
    </row>
    <row r="667" spans="1:22" ht="18" hidden="1" customHeight="1">
      <c r="A667" s="184"/>
      <c r="M667" s="247"/>
      <c r="N667" s="247"/>
      <c r="Q667" s="211"/>
      <c r="R667" s="27"/>
      <c r="V667" s="185"/>
    </row>
    <row r="668" spans="1:22" ht="18" hidden="1" customHeight="1">
      <c r="A668" s="248" t="s">
        <v>471</v>
      </c>
      <c r="B668" s="14"/>
      <c r="C668" s="14"/>
      <c r="D668" s="249"/>
      <c r="E668" s="14"/>
      <c r="F668" s="14"/>
      <c r="G668" s="47"/>
      <c r="H668" s="14"/>
      <c r="J668" s="14"/>
      <c r="K668" s="14"/>
      <c r="L668" s="14"/>
      <c r="M668" s="14"/>
      <c r="N668" s="14"/>
      <c r="O668" s="14"/>
      <c r="P668" s="250"/>
      <c r="Q668" s="251"/>
      <c r="R668" s="47"/>
      <c r="S668" s="14"/>
      <c r="V668" s="185"/>
    </row>
    <row r="669" spans="1:22" ht="18" hidden="1" customHeight="1">
      <c r="A669" s="248"/>
      <c r="B669" s="14"/>
      <c r="C669" s="14"/>
      <c r="D669" s="249"/>
      <c r="E669" s="14"/>
      <c r="F669" s="14"/>
      <c r="G669" s="47"/>
      <c r="H669" s="14"/>
      <c r="J669" s="14"/>
      <c r="K669" s="14"/>
      <c r="L669" s="14"/>
      <c r="M669" s="14"/>
      <c r="N669" s="14"/>
      <c r="O669" s="14"/>
      <c r="P669" s="250"/>
      <c r="Q669" s="251"/>
      <c r="R669" s="47"/>
      <c r="S669" s="14"/>
      <c r="V669" s="185"/>
    </row>
    <row r="670" spans="1:22" ht="18" hidden="1" customHeight="1">
      <c r="A670" s="96" t="s">
        <v>500</v>
      </c>
      <c r="V670" s="185"/>
    </row>
    <row r="671" spans="1:22" ht="18" hidden="1" customHeight="1">
      <c r="A671" s="184"/>
      <c r="N671" s="14"/>
      <c r="O671" s="14" t="s">
        <v>473</v>
      </c>
      <c r="P671" s="102" t="s">
        <v>127</v>
      </c>
      <c r="Q671" s="249" t="s">
        <v>474</v>
      </c>
      <c r="R671" s="14"/>
      <c r="S671" s="28" t="s">
        <v>315</v>
      </c>
      <c r="T671" s="28">
        <v>0.8</v>
      </c>
      <c r="V671" s="185"/>
    </row>
    <row r="672" spans="1:22" ht="18" hidden="1" customHeight="1">
      <c r="A672" s="184"/>
      <c r="N672" s="252"/>
      <c r="O672" s="14"/>
      <c r="P672" s="102" t="s">
        <v>127</v>
      </c>
      <c r="Q672" s="829" t="e">
        <f>+Q666</f>
        <v>#VALUE!</v>
      </c>
      <c r="R672" s="1147"/>
      <c r="S672" s="222" t="s">
        <v>315</v>
      </c>
      <c r="T672" s="253">
        <f>+T671</f>
        <v>0.8</v>
      </c>
      <c r="V672" s="185"/>
    </row>
    <row r="673" spans="1:22" ht="18" hidden="1" customHeight="1">
      <c r="A673" s="184"/>
      <c r="O673" s="14"/>
      <c r="P673" s="28" t="s">
        <v>127</v>
      </c>
      <c r="Q673" s="830" t="e">
        <f>Q672*T672</f>
        <v>#VALUE!</v>
      </c>
      <c r="R673" s="1270"/>
      <c r="S673" s="47" t="s">
        <v>305</v>
      </c>
      <c r="T673" s="14"/>
      <c r="V673" s="185"/>
    </row>
    <row r="674" spans="1:22" ht="18" hidden="1" customHeight="1">
      <c r="A674" s="184"/>
      <c r="V674" s="185"/>
    </row>
    <row r="675" spans="1:22" ht="18" hidden="1" customHeight="1">
      <c r="A675" s="184"/>
      <c r="D675" s="30" t="s">
        <v>475</v>
      </c>
      <c r="G675" s="27" t="e">
        <f>IF(E676&gt;H676,"&gt;","&lt;")</f>
        <v>#VALUE!</v>
      </c>
      <c r="H675" s="30" t="s">
        <v>477</v>
      </c>
      <c r="V675" s="185"/>
    </row>
    <row r="676" spans="1:22" ht="18" hidden="1" customHeight="1">
      <c r="A676" s="184"/>
      <c r="E676" s="684" t="str">
        <f>J584</f>
        <v>-</v>
      </c>
      <c r="F676" s="684"/>
      <c r="G676" s="27" t="e">
        <f>G675</f>
        <v>#VALUE!</v>
      </c>
      <c r="H676" s="795" t="e">
        <f>Q673</f>
        <v>#VALUE!</v>
      </c>
      <c r="I676" s="684"/>
      <c r="V676" s="185"/>
    </row>
    <row r="677" spans="1:22" ht="18" hidden="1" customHeight="1">
      <c r="A677" s="184"/>
      <c r="F677" s="244" t="s">
        <v>478</v>
      </c>
      <c r="H677" s="18" t="e">
        <f>IF(G675="&gt;","Suitably Dimensioned","Under Dimensioned")</f>
        <v>#VALUE!</v>
      </c>
      <c r="V677" s="185"/>
    </row>
    <row r="678" spans="1:22" ht="18" hidden="1" customHeight="1">
      <c r="A678" s="184"/>
      <c r="F678" s="244"/>
      <c r="H678" s="18"/>
      <c r="V678" s="185"/>
    </row>
    <row r="679" spans="1:22" ht="18" hidden="1" customHeight="1">
      <c r="A679" s="184"/>
      <c r="F679" s="244"/>
      <c r="H679" s="18"/>
      <c r="V679" s="185"/>
    </row>
    <row r="680" spans="1:22" ht="18" hidden="1" customHeight="1">
      <c r="A680" s="184"/>
      <c r="F680" s="244"/>
      <c r="H680" s="18"/>
      <c r="V680" s="185"/>
    </row>
    <row r="681" spans="1:22" ht="18" hidden="1" customHeight="1">
      <c r="A681" s="184"/>
      <c r="F681" s="244"/>
      <c r="H681" s="18"/>
      <c r="V681" s="185"/>
    </row>
    <row r="682" spans="1:22" ht="18" hidden="1" customHeight="1">
      <c r="A682" s="184"/>
      <c r="F682" s="244"/>
      <c r="H682" s="18"/>
      <c r="V682" s="185"/>
    </row>
    <row r="683" spans="1:22" ht="18" hidden="1" customHeight="1">
      <c r="A683" s="184"/>
      <c r="F683" s="244"/>
      <c r="H683" s="18"/>
      <c r="V683" s="185"/>
    </row>
    <row r="684" spans="1:22" ht="18" hidden="1" customHeight="1">
      <c r="A684" s="184"/>
      <c r="F684" s="244"/>
      <c r="H684" s="18"/>
      <c r="V684" s="185"/>
    </row>
    <row r="685" spans="1:22" ht="18" hidden="1" customHeight="1">
      <c r="A685" s="184"/>
      <c r="F685" s="244"/>
      <c r="H685" s="18"/>
      <c r="V685" s="185"/>
    </row>
    <row r="686" spans="1:22" ht="18" hidden="1" customHeight="1">
      <c r="A686" s="184"/>
      <c r="F686" s="244"/>
      <c r="H686" s="18"/>
      <c r="V686" s="185"/>
    </row>
    <row r="687" spans="1:22" ht="18" hidden="1" customHeight="1">
      <c r="A687" s="184"/>
      <c r="F687" s="244"/>
      <c r="H687" s="18"/>
      <c r="V687" s="185"/>
    </row>
    <row r="688" spans="1:22" ht="18" hidden="1" customHeight="1">
      <c r="A688" s="184"/>
      <c r="F688" s="244"/>
      <c r="H688" s="18"/>
      <c r="V688" s="185"/>
    </row>
    <row r="689" spans="1:22" ht="18" hidden="1" customHeight="1">
      <c r="A689" s="184"/>
      <c r="F689" s="244"/>
      <c r="H689" s="18"/>
      <c r="V689" s="185"/>
    </row>
    <row r="690" spans="1:22" ht="18" hidden="1" customHeight="1">
      <c r="A690" s="184"/>
      <c r="F690" s="244"/>
      <c r="H690" s="18"/>
      <c r="V690" s="185"/>
    </row>
    <row r="691" spans="1:22" ht="18" hidden="1" customHeight="1">
      <c r="A691" s="184"/>
      <c r="F691" s="244"/>
      <c r="H691" s="18"/>
      <c r="V691" s="185"/>
    </row>
    <row r="692" spans="1:22" ht="18" hidden="1" customHeight="1">
      <c r="A692" s="184"/>
      <c r="F692" s="244"/>
      <c r="H692" s="18"/>
      <c r="V692" s="185"/>
    </row>
    <row r="693" spans="1:22" ht="18" hidden="1" customHeight="1">
      <c r="A693" s="184"/>
      <c r="F693" s="244"/>
      <c r="H693" s="18"/>
      <c r="V693" s="185"/>
    </row>
    <row r="694" spans="1:22" ht="18" hidden="1" customHeight="1">
      <c r="A694" s="184"/>
      <c r="F694" s="244"/>
      <c r="H694" s="18"/>
      <c r="V694" s="185"/>
    </row>
    <row r="695" spans="1:22" ht="18" hidden="1" customHeight="1">
      <c r="A695" s="184"/>
      <c r="F695" s="244"/>
      <c r="H695" s="18"/>
      <c r="V695" s="185"/>
    </row>
    <row r="696" spans="1:22" ht="18" hidden="1" customHeight="1">
      <c r="A696" s="184"/>
      <c r="F696" s="244"/>
      <c r="H696" s="18"/>
      <c r="V696" s="185"/>
    </row>
    <row r="697" spans="1:22" ht="18" hidden="1" customHeight="1">
      <c r="A697" s="184"/>
      <c r="F697" s="244"/>
      <c r="H697" s="18"/>
      <c r="V697" s="185"/>
    </row>
    <row r="698" spans="1:22" ht="18" hidden="1" customHeight="1">
      <c r="A698" s="184"/>
      <c r="F698" s="244"/>
      <c r="H698" s="18"/>
      <c r="V698" s="185"/>
    </row>
    <row r="699" spans="1:22" ht="18" hidden="1" customHeight="1">
      <c r="A699" s="184"/>
      <c r="F699" s="244"/>
      <c r="H699" s="18"/>
      <c r="V699" s="185"/>
    </row>
    <row r="700" spans="1:22" ht="18" hidden="1" customHeight="1">
      <c r="A700" s="184"/>
      <c r="F700" s="244"/>
      <c r="H700" s="18"/>
      <c r="V700" s="185"/>
    </row>
    <row r="701" spans="1:22" ht="18" hidden="1" customHeight="1">
      <c r="A701" s="184"/>
      <c r="F701" s="244"/>
      <c r="H701" s="18"/>
      <c r="V701" s="185"/>
    </row>
    <row r="702" spans="1:22" ht="18" hidden="1" customHeight="1">
      <c r="A702" s="184"/>
      <c r="F702" s="244"/>
      <c r="H702" s="18"/>
      <c r="V702" s="185"/>
    </row>
    <row r="703" spans="1:22" s="14" customFormat="1" ht="18" hidden="1" customHeight="1">
      <c r="A703" s="184"/>
      <c r="B703" s="30"/>
      <c r="C703" s="30"/>
      <c r="D703" s="30"/>
      <c r="E703" s="30"/>
      <c r="F703" s="244"/>
      <c r="G703" s="30"/>
      <c r="H703" s="18"/>
      <c r="I703" s="30"/>
      <c r="J703" s="30"/>
      <c r="K703" s="30"/>
      <c r="L703" s="30"/>
      <c r="M703" s="30"/>
      <c r="N703" s="30"/>
      <c r="O703" s="30"/>
      <c r="P703" s="30"/>
      <c r="Q703" s="30"/>
      <c r="R703" s="30"/>
      <c r="S703" s="30"/>
      <c r="T703" s="30"/>
      <c r="U703" s="30"/>
      <c r="V703" s="185"/>
    </row>
    <row r="704" spans="1:22" ht="18" hidden="1" customHeight="1">
      <c r="A704" s="184"/>
      <c r="F704" s="244"/>
      <c r="H704" s="18"/>
      <c r="V704" s="185"/>
    </row>
    <row r="705" spans="1:29" ht="18" hidden="1" customHeight="1">
      <c r="A705" s="184"/>
      <c r="H705" s="18"/>
      <c r="V705" s="185"/>
    </row>
    <row r="706" spans="1:29" ht="18" hidden="1" customHeight="1">
      <c r="A706" s="184"/>
      <c r="H706" s="18"/>
      <c r="V706" s="185"/>
    </row>
    <row r="707" spans="1:29" ht="18" hidden="1" customHeight="1">
      <c r="A707" s="184"/>
      <c r="F707" s="244"/>
      <c r="H707" s="18"/>
      <c r="V707" s="185"/>
    </row>
    <row r="708" spans="1:29" ht="18" hidden="1" customHeight="1">
      <c r="A708" s="194"/>
      <c r="B708" s="195"/>
      <c r="C708" s="195"/>
      <c r="D708" s="195"/>
      <c r="E708" s="195"/>
      <c r="F708" s="195"/>
      <c r="G708" s="195"/>
      <c r="H708" s="195"/>
      <c r="I708" s="195"/>
      <c r="J708" s="195"/>
      <c r="K708" s="195"/>
      <c r="L708" s="195"/>
      <c r="M708" s="195"/>
      <c r="N708" s="195"/>
      <c r="O708" s="195"/>
      <c r="P708" s="195"/>
      <c r="Q708" s="224"/>
      <c r="R708" s="182"/>
      <c r="S708" s="225"/>
      <c r="T708" s="195"/>
      <c r="U708" s="195"/>
      <c r="V708" s="134"/>
    </row>
    <row r="709" spans="1:29" ht="18" hidden="1" customHeight="1">
      <c r="A709" s="226"/>
      <c r="B709" s="227"/>
      <c r="C709" s="227"/>
      <c r="D709" s="227"/>
      <c r="E709" s="227"/>
      <c r="F709" s="227"/>
      <c r="G709" s="227"/>
      <c r="H709" s="227"/>
      <c r="I709" s="227"/>
      <c r="J709" s="227"/>
      <c r="K709" s="227"/>
      <c r="L709" s="227"/>
      <c r="M709" s="227"/>
      <c r="N709" s="227"/>
      <c r="O709" s="227"/>
      <c r="P709" s="227"/>
      <c r="Q709" s="227"/>
      <c r="R709" s="227"/>
      <c r="S709" s="227"/>
      <c r="T709" s="227"/>
      <c r="U709" s="227"/>
      <c r="V709" s="228"/>
    </row>
    <row r="710" spans="1:29" ht="18" hidden="1" customHeight="1">
      <c r="A710" s="184"/>
      <c r="B710" s="854" t="str">
        <f>B578</f>
        <v>BCT13,14,15</v>
      </c>
      <c r="C710" s="831"/>
      <c r="D710" s="855" t="str">
        <f>D578</f>
        <v>Core2</v>
      </c>
      <c r="E710" s="856"/>
      <c r="F710" s="186" t="s">
        <v>636</v>
      </c>
      <c r="H710" s="684" t="str">
        <f>H578</f>
        <v>(Transformer Differential)</v>
      </c>
      <c r="I710" s="684"/>
      <c r="J710" s="684"/>
      <c r="K710" s="684"/>
      <c r="L710" s="684"/>
      <c r="M710" s="684"/>
      <c r="P710" s="186"/>
      <c r="S710" s="187" t="s">
        <v>387</v>
      </c>
      <c r="T710" s="854" t="str">
        <f>T578</f>
        <v>RET670</v>
      </c>
      <c r="U710" s="831"/>
      <c r="V710" s="185"/>
    </row>
    <row r="711" spans="1:29" ht="18" hidden="1" customHeight="1">
      <c r="A711" s="184"/>
      <c r="B711" s="853">
        <f>B579</f>
        <v>0</v>
      </c>
      <c r="C711" s="853"/>
      <c r="D711" s="857"/>
      <c r="E711" s="858"/>
      <c r="F711" s="255"/>
      <c r="T711" s="854">
        <f>T579</f>
        <v>0</v>
      </c>
      <c r="U711" s="831"/>
      <c r="V711" s="185"/>
    </row>
    <row r="712" spans="1:29" ht="18" hidden="1" customHeight="1">
      <c r="A712" s="184"/>
      <c r="H712" s="708" t="s">
        <v>390</v>
      </c>
      <c r="I712" s="708"/>
      <c r="J712" s="708" t="s">
        <v>391</v>
      </c>
      <c r="K712" s="708"/>
      <c r="L712" s="789" t="s">
        <v>392</v>
      </c>
      <c r="M712" s="789"/>
      <c r="T712" s="854">
        <f>T580</f>
        <v>0</v>
      </c>
      <c r="U712" s="831"/>
      <c r="V712" s="185"/>
    </row>
    <row r="713" spans="1:29" ht="18" hidden="1" customHeight="1">
      <c r="A713" s="184"/>
      <c r="B713" s="47" t="s">
        <v>393</v>
      </c>
      <c r="H713" s="854">
        <f>H581</f>
        <v>1200</v>
      </c>
      <c r="I713" s="831"/>
      <c r="J713" s="854" t="str">
        <f>J581</f>
        <v>-</v>
      </c>
      <c r="K713" s="831"/>
      <c r="L713" s="863" t="str">
        <f>L581</f>
        <v>-</v>
      </c>
      <c r="M713" s="864"/>
      <c r="N713" s="102" t="s">
        <v>342</v>
      </c>
      <c r="O713" s="256">
        <f>O581</f>
        <v>1</v>
      </c>
      <c r="P713" s="27" t="s">
        <v>8</v>
      </c>
      <c r="V713" s="185"/>
    </row>
    <row r="714" spans="1:29" ht="18" hidden="1" customHeight="1">
      <c r="A714" s="184"/>
      <c r="B714" s="47" t="s">
        <v>394</v>
      </c>
      <c r="H714" s="14"/>
      <c r="K714" s="14"/>
      <c r="L714" s="854" t="str">
        <f>J582</f>
        <v>TPS</v>
      </c>
      <c r="M714" s="831"/>
      <c r="N714" s="14"/>
      <c r="V714" s="185"/>
    </row>
    <row r="715" spans="1:29" ht="18" hidden="1" customHeight="1">
      <c r="A715" s="184"/>
      <c r="B715" s="47" t="s">
        <v>396</v>
      </c>
      <c r="K715" s="120" t="s">
        <v>497</v>
      </c>
      <c r="L715" s="781" t="s">
        <v>6</v>
      </c>
      <c r="M715" s="782"/>
      <c r="N715" s="192" t="s">
        <v>333</v>
      </c>
      <c r="V715" s="185"/>
    </row>
    <row r="716" spans="1:29" ht="18" hidden="1" customHeight="1">
      <c r="A716" s="184"/>
      <c r="B716" s="47" t="s">
        <v>398</v>
      </c>
      <c r="K716" s="120" t="s">
        <v>498</v>
      </c>
      <c r="L716" s="781" t="s">
        <v>6</v>
      </c>
      <c r="M716" s="782"/>
      <c r="N716" s="14" t="s">
        <v>305</v>
      </c>
      <c r="V716" s="185"/>
      <c r="W716" s="30" t="s">
        <v>400</v>
      </c>
      <c r="AB716" s="785" t="e">
        <f>Q805</f>
        <v>#VALUE!</v>
      </c>
      <c r="AC716" s="786"/>
    </row>
    <row r="717" spans="1:29" ht="18" hidden="1" customHeight="1">
      <c r="A717" s="184"/>
      <c r="B717" s="14" t="s">
        <v>401</v>
      </c>
      <c r="K717" s="120" t="s">
        <v>402</v>
      </c>
      <c r="L717" s="781" t="s">
        <v>6</v>
      </c>
      <c r="M717" s="782"/>
      <c r="N717" s="14" t="s">
        <v>403</v>
      </c>
      <c r="V717" s="185"/>
    </row>
    <row r="718" spans="1:29" ht="18" hidden="1" customHeight="1">
      <c r="A718" s="184"/>
      <c r="V718" s="185"/>
    </row>
    <row r="719" spans="1:29" ht="18" hidden="1" customHeight="1">
      <c r="A719" s="193" t="s">
        <v>404</v>
      </c>
      <c r="V719" s="185"/>
    </row>
    <row r="720" spans="1:29" ht="18" hidden="1" customHeight="1">
      <c r="A720" s="184"/>
      <c r="V720" s="185"/>
    </row>
    <row r="721" spans="1:22" ht="18" hidden="1" customHeight="1">
      <c r="A721" s="184"/>
      <c r="B721" s="194" t="s">
        <v>405</v>
      </c>
      <c r="C721" s="195"/>
      <c r="D721" s="195" t="str">
        <f>T710</f>
        <v>RET670</v>
      </c>
      <c r="E721" s="196"/>
      <c r="F721" s="196"/>
      <c r="G721" s="196"/>
      <c r="H721" s="182" t="s">
        <v>406</v>
      </c>
      <c r="I721" s="183" t="s">
        <v>127</v>
      </c>
      <c r="J721" s="1276">
        <f>J589</f>
        <v>0.02</v>
      </c>
      <c r="K721" s="1144"/>
      <c r="L721" s="3" t="s">
        <v>157</v>
      </c>
      <c r="N721" s="197" t="s">
        <v>407</v>
      </c>
      <c r="V721" s="185"/>
    </row>
    <row r="722" spans="1:22" s="14" customFormat="1" ht="18" hidden="1" customHeight="1">
      <c r="A722" s="184"/>
      <c r="B722" s="96" t="s">
        <v>405</v>
      </c>
      <c r="C722" s="30"/>
      <c r="D722" s="30">
        <f>T711</f>
        <v>0</v>
      </c>
      <c r="E722" s="30"/>
      <c r="F722" s="30"/>
      <c r="G722" s="30"/>
      <c r="H722" s="27"/>
      <c r="I722" s="177"/>
      <c r="J722" s="1274">
        <f>J590</f>
        <v>0</v>
      </c>
      <c r="K722" s="1275"/>
      <c r="L722" s="198" t="s">
        <v>157</v>
      </c>
      <c r="M722" s="30"/>
      <c r="N722" s="30"/>
      <c r="O722" s="30"/>
      <c r="P722" s="30"/>
      <c r="Q722" s="30"/>
      <c r="R722" s="30"/>
      <c r="S722" s="30"/>
      <c r="T722" s="30"/>
      <c r="U722" s="30"/>
      <c r="V722" s="185"/>
    </row>
    <row r="723" spans="1:22" s="14" customFormat="1" ht="18" hidden="1" customHeight="1">
      <c r="A723" s="184"/>
      <c r="B723" s="96" t="s">
        <v>405</v>
      </c>
      <c r="C723" s="30"/>
      <c r="D723" s="30">
        <f>T712</f>
        <v>0</v>
      </c>
      <c r="F723" s="30"/>
      <c r="G723" s="199"/>
      <c r="H723" s="27"/>
      <c r="I723" s="101"/>
      <c r="J723" s="696">
        <f>J591</f>
        <v>0</v>
      </c>
      <c r="K723" s="820"/>
      <c r="L723" s="202" t="s">
        <v>157</v>
      </c>
      <c r="M723" s="30"/>
      <c r="N723" s="30" t="s">
        <v>408</v>
      </c>
      <c r="O723" s="27" t="s">
        <v>127</v>
      </c>
      <c r="P723" s="30" t="s">
        <v>409</v>
      </c>
      <c r="Q723" s="191" t="s">
        <v>410</v>
      </c>
      <c r="R723" s="244" t="s">
        <v>411</v>
      </c>
      <c r="S723" s="27" t="s">
        <v>315</v>
      </c>
      <c r="T723" s="30" t="s">
        <v>411</v>
      </c>
      <c r="U723" s="30" t="s">
        <v>350</v>
      </c>
      <c r="V723" s="185"/>
    </row>
    <row r="724" spans="1:22" s="14" customFormat="1" ht="18" hidden="1" customHeight="1">
      <c r="A724" s="184"/>
      <c r="B724" s="184" t="s">
        <v>412</v>
      </c>
      <c r="C724" s="30"/>
      <c r="D724" s="30"/>
      <c r="E724" s="30"/>
      <c r="F724" s="30"/>
      <c r="G724" s="30"/>
      <c r="H724" s="27" t="s">
        <v>599</v>
      </c>
      <c r="I724" s="177" t="s">
        <v>127</v>
      </c>
      <c r="J724" s="1274">
        <f>J592</f>
        <v>1.1667743100000001</v>
      </c>
      <c r="K724" s="1275"/>
      <c r="L724" s="203" t="s">
        <v>157</v>
      </c>
      <c r="M724" s="30"/>
      <c r="N724" s="30"/>
      <c r="O724" s="27" t="s">
        <v>127</v>
      </c>
      <c r="P724" s="204">
        <f>J725</f>
        <v>1.1667743100000001</v>
      </c>
      <c r="Q724" s="191" t="s">
        <v>410</v>
      </c>
      <c r="R724" s="27">
        <f>O713</f>
        <v>1</v>
      </c>
      <c r="S724" s="27" t="s">
        <v>315</v>
      </c>
      <c r="T724" s="27">
        <f>O713</f>
        <v>1</v>
      </c>
      <c r="U724" s="30" t="s">
        <v>350</v>
      </c>
      <c r="V724" s="185"/>
    </row>
    <row r="725" spans="1:22" s="14" customFormat="1" ht="18" hidden="1" customHeight="1">
      <c r="A725" s="184"/>
      <c r="B725" s="205" t="s">
        <v>413</v>
      </c>
      <c r="C725" s="206"/>
      <c r="D725" s="206"/>
      <c r="E725" s="206"/>
      <c r="F725" s="207"/>
      <c r="G725" s="207"/>
      <c r="H725" s="190" t="s">
        <v>409</v>
      </c>
      <c r="I725" s="208" t="s">
        <v>127</v>
      </c>
      <c r="J725" s="1276">
        <f>J722+J724</f>
        <v>1.1667743100000001</v>
      </c>
      <c r="K725" s="1144"/>
      <c r="L725" s="210" t="s">
        <v>157</v>
      </c>
      <c r="M725" s="30"/>
      <c r="N725" s="30"/>
      <c r="O725" s="27" t="s">
        <v>127</v>
      </c>
      <c r="P725" s="795">
        <f>P724/(R724*T724)</f>
        <v>1.1667743100000001</v>
      </c>
      <c r="Q725" s="795"/>
      <c r="R725" s="192" t="s">
        <v>333</v>
      </c>
      <c r="S725" s="30"/>
      <c r="T725" s="30"/>
      <c r="U725" s="30"/>
      <c r="V725" s="185"/>
    </row>
    <row r="726" spans="1:22" s="14" customFormat="1" ht="18" hidden="1" customHeight="1">
      <c r="A726" s="184"/>
      <c r="B726" s="30"/>
      <c r="C726" s="30"/>
      <c r="D726" s="30"/>
      <c r="E726" s="30"/>
      <c r="F726" s="30"/>
      <c r="G726" s="30"/>
      <c r="H726" s="30"/>
      <c r="I726" s="30"/>
      <c r="J726" s="30"/>
      <c r="K726" s="30"/>
      <c r="L726" s="30"/>
      <c r="M726" s="30"/>
      <c r="N726" s="30"/>
      <c r="O726" s="30"/>
      <c r="P726" s="30"/>
      <c r="Q726" s="30"/>
      <c r="R726" s="30"/>
      <c r="S726" s="30"/>
      <c r="T726" s="30"/>
      <c r="U726" s="30"/>
      <c r="V726" s="185"/>
    </row>
    <row r="727" spans="1:22" s="14" customFormat="1" ht="18" hidden="1" customHeight="1">
      <c r="A727" s="193" t="s">
        <v>600</v>
      </c>
      <c r="B727" s="5"/>
      <c r="C727" s="5"/>
      <c r="D727" s="5"/>
      <c r="E727" s="5"/>
      <c r="F727" s="5"/>
      <c r="G727" s="5"/>
      <c r="H727" s="212"/>
      <c r="I727" s="212"/>
      <c r="J727" s="5"/>
      <c r="K727" s="5"/>
      <c r="L727" s="5"/>
      <c r="M727" s="5"/>
      <c r="N727" s="5"/>
      <c r="O727" s="5"/>
      <c r="P727" s="103"/>
      <c r="Q727" s="212"/>
      <c r="R727" s="213"/>
      <c r="S727" s="214"/>
      <c r="T727" s="18"/>
      <c r="U727" s="18"/>
      <c r="V727" s="97"/>
    </row>
    <row r="728" spans="1:22" s="14" customFormat="1" ht="18" hidden="1" customHeight="1">
      <c r="A728" s="96"/>
      <c r="B728" s="47" t="s">
        <v>601</v>
      </c>
      <c r="C728" s="5"/>
      <c r="D728" s="5"/>
      <c r="E728" s="5"/>
      <c r="I728" s="215"/>
      <c r="M728" s="5"/>
      <c r="O728" s="103" t="s">
        <v>127</v>
      </c>
      <c r="P728" s="853">
        <f>P596</f>
        <v>100</v>
      </c>
      <c r="Q728" s="1271"/>
      <c r="R728" s="14" t="s">
        <v>602</v>
      </c>
      <c r="S728" s="214"/>
      <c r="T728" s="18"/>
      <c r="U728" s="18"/>
      <c r="V728" s="97"/>
    </row>
    <row r="729" spans="1:22" s="14" customFormat="1" ht="18" hidden="1" customHeight="1">
      <c r="A729" s="96"/>
      <c r="B729" s="47" t="s">
        <v>603</v>
      </c>
      <c r="C729" s="5"/>
      <c r="D729" s="5"/>
      <c r="E729" s="5"/>
      <c r="I729" s="215"/>
      <c r="M729" s="5"/>
      <c r="O729" s="103" t="s">
        <v>127</v>
      </c>
      <c r="P729" s="853">
        <f>P597</f>
        <v>25</v>
      </c>
      <c r="Q729" s="1271"/>
      <c r="R729" s="14" t="s">
        <v>604</v>
      </c>
      <c r="S729" s="214"/>
      <c r="T729" s="18"/>
      <c r="U729" s="18"/>
      <c r="V729" s="97"/>
    </row>
    <row r="730" spans="1:22" s="14" customFormat="1" ht="18" hidden="1" customHeight="1">
      <c r="A730" s="96"/>
      <c r="B730" s="47" t="s">
        <v>605</v>
      </c>
      <c r="C730" s="5"/>
      <c r="D730" s="5"/>
      <c r="E730" s="5"/>
      <c r="N730" s="120" t="s">
        <v>606</v>
      </c>
      <c r="O730" s="103" t="s">
        <v>607</v>
      </c>
      <c r="P730" s="854">
        <f>P598</f>
        <v>132</v>
      </c>
      <c r="Q730" s="1270"/>
      <c r="R730" s="14" t="s">
        <v>163</v>
      </c>
      <c r="S730" s="214"/>
      <c r="T730" s="18"/>
      <c r="U730" s="18"/>
      <c r="V730" s="97"/>
    </row>
    <row r="731" spans="1:22" s="14" customFormat="1" ht="18" hidden="1" customHeight="1">
      <c r="A731" s="216"/>
      <c r="B731" s="212"/>
      <c r="C731" s="212"/>
      <c r="D731" s="212"/>
      <c r="E731" s="212"/>
      <c r="T731" s="18"/>
      <c r="U731" s="18"/>
      <c r="V731" s="97"/>
    </row>
    <row r="732" spans="1:22" s="14" customFormat="1" ht="18" hidden="1" customHeight="1">
      <c r="A732" s="96"/>
      <c r="B732" s="14" t="s">
        <v>608</v>
      </c>
      <c r="C732" s="213"/>
      <c r="D732" s="213"/>
      <c r="E732" s="213"/>
      <c r="H732" s="120" t="s">
        <v>609</v>
      </c>
      <c r="I732" s="28" t="s">
        <v>127</v>
      </c>
      <c r="J732" s="689" t="s">
        <v>610</v>
      </c>
      <c r="K732" s="689"/>
      <c r="L732" s="28" t="s">
        <v>315</v>
      </c>
      <c r="M732" s="217">
        <v>1000</v>
      </c>
      <c r="N732" s="102" t="s">
        <v>342</v>
      </c>
      <c r="O732" s="28" t="s">
        <v>611</v>
      </c>
      <c r="P732" s="28" t="s">
        <v>315</v>
      </c>
      <c r="Q732" s="28" t="s">
        <v>606</v>
      </c>
      <c r="R732" s="47"/>
      <c r="T732" s="18"/>
      <c r="U732" s="18"/>
      <c r="V732" s="97"/>
    </row>
    <row r="733" spans="1:22" ht="18" hidden="1" customHeight="1">
      <c r="A733" s="216"/>
      <c r="B733" s="213"/>
      <c r="C733" s="213"/>
      <c r="D733" s="213"/>
      <c r="E733" s="213"/>
      <c r="F733" s="212"/>
      <c r="G733" s="212"/>
      <c r="H733" s="28"/>
      <c r="I733" s="28" t="s">
        <v>127</v>
      </c>
      <c r="J733" s="689">
        <f>P728</f>
        <v>100</v>
      </c>
      <c r="K733" s="689"/>
      <c r="L733" s="28" t="s">
        <v>315</v>
      </c>
      <c r="M733" s="217">
        <v>1000</v>
      </c>
      <c r="N733" s="102" t="s">
        <v>342</v>
      </c>
      <c r="O733" s="28" t="s">
        <v>611</v>
      </c>
      <c r="P733" s="28" t="s">
        <v>315</v>
      </c>
      <c r="Q733" s="28">
        <f>P730</f>
        <v>132</v>
      </c>
      <c r="R733" s="47"/>
      <c r="S733" s="14"/>
      <c r="T733" s="18"/>
      <c r="U733" s="18"/>
      <c r="V733" s="97"/>
    </row>
    <row r="734" spans="1:22" ht="18" hidden="1" customHeight="1">
      <c r="A734" s="216"/>
      <c r="B734" s="212"/>
      <c r="C734" s="212"/>
      <c r="D734" s="212"/>
      <c r="E734" s="212"/>
      <c r="F734" s="212"/>
      <c r="G734" s="212"/>
      <c r="H734" s="14"/>
      <c r="I734" s="28" t="s">
        <v>127</v>
      </c>
      <c r="J734" s="692">
        <f>(P728*1000)/(SQRT(3)*P730)</f>
        <v>437.38656756789834</v>
      </c>
      <c r="K734" s="692"/>
      <c r="L734" s="14" t="s">
        <v>8</v>
      </c>
      <c r="M734" s="120"/>
      <c r="N734" s="120"/>
      <c r="O734" s="120"/>
      <c r="P734" s="14"/>
      <c r="Q734" s="14"/>
      <c r="R734" s="14"/>
      <c r="S734" s="14"/>
      <c r="T734" s="18"/>
      <c r="U734" s="18"/>
      <c r="V734" s="97"/>
    </row>
    <row r="735" spans="1:22" ht="18" hidden="1" customHeight="1">
      <c r="A735" s="216"/>
      <c r="B735" s="212"/>
      <c r="C735" s="212"/>
      <c r="D735" s="212"/>
      <c r="E735" s="212"/>
      <c r="F735" s="14"/>
      <c r="G735" s="212"/>
      <c r="H735" s="28"/>
      <c r="I735" s="103"/>
      <c r="J735" s="28"/>
      <c r="K735" s="14"/>
      <c r="L735" s="14"/>
      <c r="M735" s="212"/>
      <c r="N735" s="219"/>
      <c r="O735" s="212"/>
      <c r="P735" s="14"/>
      <c r="Q735" s="14"/>
      <c r="R735" s="14"/>
      <c r="S735" s="14"/>
      <c r="T735" s="18"/>
      <c r="U735" s="18"/>
      <c r="V735" s="97"/>
    </row>
    <row r="736" spans="1:22" ht="18" hidden="1" customHeight="1">
      <c r="A736" s="147" t="s">
        <v>629</v>
      </c>
      <c r="B736" s="5"/>
      <c r="C736" s="5"/>
      <c r="D736" s="5"/>
      <c r="E736" s="5"/>
      <c r="F736" s="212"/>
      <c r="G736" s="212"/>
      <c r="H736" s="5"/>
      <c r="I736" s="5"/>
      <c r="J736" s="5"/>
      <c r="K736" s="5"/>
      <c r="L736" s="103"/>
      <c r="M736" s="103"/>
      <c r="N736" s="103"/>
      <c r="O736" s="103"/>
      <c r="P736" s="212"/>
      <c r="Q736" s="213"/>
      <c r="R736" s="14"/>
      <c r="S736" s="220"/>
      <c r="T736" s="18"/>
      <c r="U736" s="18"/>
      <c r="V736" s="97"/>
    </row>
    <row r="737" spans="1:22" ht="18" hidden="1" customHeight="1">
      <c r="A737" s="147"/>
      <c r="B737" s="5"/>
      <c r="C737" s="5"/>
      <c r="D737" s="5"/>
      <c r="E737" s="5"/>
      <c r="F737" s="212"/>
      <c r="G737" s="212"/>
      <c r="H737" s="5"/>
      <c r="I737" s="5"/>
      <c r="J737" s="5"/>
      <c r="K737" s="5"/>
      <c r="L737" s="103"/>
      <c r="M737" s="103"/>
      <c r="N737" s="103"/>
      <c r="O737" s="103"/>
      <c r="P737" s="212"/>
      <c r="Q737" s="213"/>
      <c r="R737" s="14"/>
      <c r="S737" s="214"/>
      <c r="T737" s="18"/>
      <c r="U737" s="18"/>
      <c r="V737" s="97"/>
    </row>
    <row r="738" spans="1:22" ht="18" hidden="1" customHeight="1">
      <c r="A738" s="184"/>
      <c r="B738" s="14" t="s">
        <v>612</v>
      </c>
      <c r="C738" s="14"/>
      <c r="D738" s="14"/>
      <c r="E738" s="14"/>
      <c r="M738" s="120" t="s">
        <v>613</v>
      </c>
      <c r="N738" s="28" t="s">
        <v>127</v>
      </c>
      <c r="O738" s="689" t="s">
        <v>609</v>
      </c>
      <c r="P738" s="716"/>
      <c r="Q738" s="221" t="s">
        <v>630</v>
      </c>
      <c r="R738" s="221">
        <v>16</v>
      </c>
      <c r="S738" s="214"/>
      <c r="V738" s="185"/>
    </row>
    <row r="739" spans="1:22" ht="18" hidden="1" customHeight="1">
      <c r="A739" s="96"/>
      <c r="B739" s="5"/>
      <c r="C739" s="5"/>
      <c r="D739" s="5"/>
      <c r="E739" s="5"/>
      <c r="M739" s="250"/>
      <c r="N739" s="28" t="s">
        <v>127</v>
      </c>
      <c r="O739" s="689">
        <f>+J734</f>
        <v>437.38656756789834</v>
      </c>
      <c r="P739" s="716"/>
      <c r="Q739" s="221" t="s">
        <v>630</v>
      </c>
      <c r="R739" s="221">
        <v>16</v>
      </c>
      <c r="S739" s="214"/>
      <c r="V739" s="185"/>
    </row>
    <row r="740" spans="1:22" ht="18" hidden="1" customHeight="1">
      <c r="A740" s="96"/>
      <c r="B740" s="5"/>
      <c r="C740" s="5"/>
      <c r="D740" s="5"/>
      <c r="E740" s="5"/>
      <c r="M740" s="120" t="s">
        <v>613</v>
      </c>
      <c r="N740" s="28" t="s">
        <v>127</v>
      </c>
      <c r="O740" s="689">
        <f>O739*R739</f>
        <v>6998.1850810863734</v>
      </c>
      <c r="P740" s="716"/>
      <c r="Q740" s="241" t="s">
        <v>8</v>
      </c>
      <c r="R740" s="14"/>
      <c r="S740" s="214"/>
      <c r="V740" s="185"/>
    </row>
    <row r="741" spans="1:22" ht="18" hidden="1" customHeight="1">
      <c r="A741" s="96"/>
      <c r="B741" s="5"/>
      <c r="C741" s="5"/>
      <c r="D741" s="5"/>
      <c r="E741" s="5"/>
      <c r="M741" s="212"/>
      <c r="N741" s="212"/>
      <c r="O741" s="103"/>
      <c r="Q741" s="223"/>
      <c r="R741" s="14"/>
      <c r="S741" s="214"/>
      <c r="V741" s="185"/>
    </row>
    <row r="742" spans="1:22" s="14" customFormat="1" ht="18" hidden="1" customHeight="1">
      <c r="A742" s="678" t="s">
        <v>633</v>
      </c>
      <c r="B742" s="1207"/>
      <c r="C742" s="1207"/>
      <c r="D742" s="1207"/>
      <c r="E742" s="1207"/>
      <c r="F742" s="1207"/>
      <c r="G742" s="1207"/>
      <c r="H742" s="1207"/>
      <c r="I742" s="1207"/>
      <c r="J742" s="1207"/>
      <c r="K742" s="1207"/>
      <c r="L742" s="1207"/>
      <c r="M742" s="1207"/>
      <c r="N742" s="1207"/>
      <c r="O742" s="1207"/>
      <c r="P742" s="1207"/>
      <c r="Q742" s="1207"/>
      <c r="R742" s="1207"/>
      <c r="S742" s="1207"/>
      <c r="T742" s="1207"/>
      <c r="U742" s="1207"/>
      <c r="V742" s="1208"/>
    </row>
    <row r="743" spans="1:22" ht="18" hidden="1" customHeight="1">
      <c r="A743" s="1209"/>
      <c r="B743" s="1207"/>
      <c r="C743" s="1207"/>
      <c r="D743" s="1207"/>
      <c r="E743" s="1207"/>
      <c r="F743" s="1207"/>
      <c r="G743" s="1207"/>
      <c r="H743" s="1207"/>
      <c r="I743" s="1207"/>
      <c r="J743" s="1207"/>
      <c r="K743" s="1207"/>
      <c r="L743" s="1207"/>
      <c r="M743" s="1207"/>
      <c r="N743" s="1207"/>
      <c r="O743" s="1207"/>
      <c r="P743" s="1207"/>
      <c r="Q743" s="1207"/>
      <c r="R743" s="1207"/>
      <c r="S743" s="1207"/>
      <c r="T743" s="1207"/>
      <c r="U743" s="1207"/>
      <c r="V743" s="1208"/>
    </row>
    <row r="744" spans="1:22" ht="18" hidden="1" customHeight="1">
      <c r="A744" s="231"/>
      <c r="B744" s="232"/>
      <c r="C744" s="232"/>
      <c r="D744" s="232"/>
      <c r="E744" s="232"/>
      <c r="F744" s="232"/>
      <c r="G744" s="232"/>
      <c r="H744" s="232"/>
      <c r="I744" s="232"/>
      <c r="J744" s="232"/>
      <c r="K744" s="232"/>
      <c r="L744" s="232"/>
      <c r="M744" s="232"/>
      <c r="N744" s="232"/>
      <c r="O744" s="232"/>
      <c r="P744" s="232"/>
      <c r="Q744" s="232"/>
      <c r="R744" s="232"/>
      <c r="S744" s="232"/>
      <c r="T744" s="232"/>
      <c r="U744" s="232"/>
      <c r="V744" s="233"/>
    </row>
    <row r="745" spans="1:22" ht="18" hidden="1" customHeight="1">
      <c r="A745" s="231"/>
      <c r="B745" s="232"/>
      <c r="C745" s="232"/>
      <c r="D745" s="232"/>
      <c r="E745" s="232"/>
      <c r="F745" s="232"/>
      <c r="G745" s="232"/>
      <c r="H745" s="232"/>
      <c r="I745" s="232"/>
      <c r="J745" s="232"/>
      <c r="K745" s="232"/>
      <c r="L745" s="232"/>
      <c r="M745" s="232"/>
      <c r="N745" s="232"/>
      <c r="O745" s="232"/>
      <c r="P745" s="232"/>
      <c r="Q745" s="232"/>
      <c r="R745" s="232"/>
      <c r="S745" s="232"/>
      <c r="T745" s="232"/>
      <c r="U745" s="232"/>
      <c r="V745" s="233"/>
    </row>
    <row r="746" spans="1:22" ht="18" hidden="1" customHeight="1">
      <c r="A746" s="231"/>
      <c r="B746" s="232"/>
      <c r="C746" s="232"/>
      <c r="D746" s="232"/>
      <c r="E746" s="232"/>
      <c r="F746" s="232"/>
      <c r="G746" s="232"/>
      <c r="H746" s="232"/>
      <c r="I746" s="232"/>
      <c r="J746" s="232"/>
      <c r="K746" s="232"/>
      <c r="L746" s="232"/>
      <c r="M746" s="232"/>
      <c r="N746" s="232"/>
      <c r="O746" s="232"/>
      <c r="P746" s="232"/>
      <c r="Q746" s="232"/>
      <c r="R746" s="232"/>
      <c r="S746" s="232"/>
      <c r="T746" s="232"/>
      <c r="U746" s="232"/>
      <c r="V746" s="233"/>
    </row>
    <row r="747" spans="1:22" ht="18" hidden="1" customHeight="1">
      <c r="A747" s="231"/>
      <c r="B747" s="232"/>
      <c r="C747" s="232"/>
      <c r="D747" s="232"/>
      <c r="E747" s="232"/>
      <c r="F747" s="232"/>
      <c r="G747" s="232"/>
      <c r="H747" s="232"/>
      <c r="I747" s="232"/>
      <c r="J747" s="232"/>
      <c r="K747" s="232"/>
      <c r="L747" s="232"/>
      <c r="M747" s="232"/>
      <c r="N747" s="232"/>
      <c r="O747" s="232"/>
      <c r="P747" s="232"/>
      <c r="Q747" s="232"/>
      <c r="R747" s="232"/>
      <c r="S747" s="232"/>
      <c r="T747" s="232"/>
      <c r="U747" s="232"/>
      <c r="V747" s="233"/>
    </row>
    <row r="748" spans="1:22" ht="18" hidden="1" customHeight="1">
      <c r="A748" s="231"/>
      <c r="B748" s="232"/>
      <c r="C748" s="232"/>
      <c r="D748" s="232"/>
      <c r="E748" s="232"/>
      <c r="F748" s="232"/>
      <c r="G748" s="232"/>
      <c r="H748" s="232"/>
      <c r="I748" s="232"/>
      <c r="J748" s="232"/>
      <c r="K748" s="232"/>
      <c r="L748" s="232"/>
      <c r="M748" s="232"/>
      <c r="N748" s="232"/>
      <c r="O748" s="232"/>
      <c r="P748" s="232"/>
      <c r="Q748" s="232"/>
      <c r="R748" s="232"/>
      <c r="S748" s="232"/>
      <c r="T748" s="232"/>
      <c r="U748" s="232"/>
      <c r="V748" s="233"/>
    </row>
    <row r="749" spans="1:22" ht="18" hidden="1" customHeight="1">
      <c r="A749" s="96"/>
      <c r="B749" s="5"/>
      <c r="C749" s="5"/>
      <c r="D749" s="5"/>
      <c r="E749" s="5"/>
      <c r="M749" s="212"/>
      <c r="N749" s="212"/>
      <c r="O749" s="103"/>
      <c r="Q749" s="223"/>
      <c r="R749" s="14"/>
      <c r="S749" s="214"/>
      <c r="V749" s="185"/>
    </row>
    <row r="750" spans="1:22" ht="18" hidden="1" customHeight="1">
      <c r="A750" s="184"/>
      <c r="V750" s="185"/>
    </row>
    <row r="751" spans="1:22" ht="18" hidden="1" customHeight="1">
      <c r="A751" s="184"/>
      <c r="V751" s="185"/>
    </row>
    <row r="752" spans="1:22" ht="18" hidden="1" customHeight="1">
      <c r="A752" s="194"/>
      <c r="B752" s="195"/>
      <c r="C752" s="195"/>
      <c r="D752" s="195"/>
      <c r="E752" s="195"/>
      <c r="F752" s="195"/>
      <c r="G752" s="195"/>
      <c r="H752" s="195"/>
      <c r="I752" s="195"/>
      <c r="J752" s="195"/>
      <c r="K752" s="195"/>
      <c r="L752" s="195"/>
      <c r="M752" s="195"/>
      <c r="N752" s="195"/>
      <c r="O752" s="195"/>
      <c r="P752" s="195"/>
      <c r="Q752" s="224"/>
      <c r="R752" s="182"/>
      <c r="S752" s="225"/>
      <c r="T752" s="195"/>
      <c r="U752" s="195"/>
      <c r="V752" s="134"/>
    </row>
    <row r="753" spans="1:22" ht="18" hidden="1" customHeight="1">
      <c r="A753" s="226"/>
      <c r="B753" s="227"/>
      <c r="C753" s="227"/>
      <c r="D753" s="227"/>
      <c r="E753" s="227"/>
      <c r="F753" s="227"/>
      <c r="G753" s="227"/>
      <c r="H753" s="227"/>
      <c r="I753" s="227"/>
      <c r="J753" s="227"/>
      <c r="K753" s="227"/>
      <c r="L753" s="227"/>
      <c r="M753" s="227"/>
      <c r="N753" s="227"/>
      <c r="O753" s="227"/>
      <c r="P753" s="227"/>
      <c r="Q753" s="227"/>
      <c r="R753" s="227"/>
      <c r="S753" s="227"/>
      <c r="T753" s="227"/>
      <c r="U753" s="227"/>
      <c r="V753" s="228"/>
    </row>
    <row r="754" spans="1:22" ht="18" hidden="1" customHeight="1">
      <c r="A754" s="799" t="s">
        <v>417</v>
      </c>
      <c r="B754" s="802"/>
      <c r="C754" s="802"/>
      <c r="D754" s="689">
        <v>30</v>
      </c>
      <c r="E754" s="689" t="s">
        <v>315</v>
      </c>
      <c r="F754" s="689" t="s">
        <v>609</v>
      </c>
      <c r="G754" s="684"/>
      <c r="H754" s="689" t="s">
        <v>315</v>
      </c>
      <c r="I754" s="708" t="s">
        <v>411</v>
      </c>
      <c r="J754" s="828"/>
      <c r="K754" s="689" t="s">
        <v>315</v>
      </c>
      <c r="L754" s="802" t="s">
        <v>419</v>
      </c>
      <c r="M754" s="716" t="s">
        <v>420</v>
      </c>
      <c r="N754" s="729" t="s">
        <v>347</v>
      </c>
      <c r="O754" s="716" t="s">
        <v>408</v>
      </c>
      <c r="P754" s="689" t="s">
        <v>347</v>
      </c>
      <c r="Q754" s="759" t="s">
        <v>421</v>
      </c>
      <c r="R754" s="797"/>
      <c r="S754" s="797"/>
      <c r="T754" s="798" t="s">
        <v>350</v>
      </c>
      <c r="U754" s="230" t="s">
        <v>422</v>
      </c>
      <c r="V754" s="97"/>
    </row>
    <row r="755" spans="1:22" ht="18" hidden="1" customHeight="1">
      <c r="A755" s="827"/>
      <c r="B755" s="802"/>
      <c r="C755" s="802"/>
      <c r="D755" s="689"/>
      <c r="E755" s="689"/>
      <c r="F755" s="684"/>
      <c r="G755" s="684"/>
      <c r="H755" s="689"/>
      <c r="I755" s="689" t="s">
        <v>423</v>
      </c>
      <c r="J755" s="723"/>
      <c r="K755" s="689"/>
      <c r="L755" s="802"/>
      <c r="M755" s="716"/>
      <c r="N755" s="729"/>
      <c r="O755" s="716"/>
      <c r="P755" s="689"/>
      <c r="Q755" s="28" t="s">
        <v>146</v>
      </c>
      <c r="R755" s="28" t="s">
        <v>315</v>
      </c>
      <c r="S755" s="28" t="s">
        <v>146</v>
      </c>
      <c r="T755" s="798"/>
      <c r="U755" s="14"/>
      <c r="V755" s="97"/>
    </row>
    <row r="756" spans="1:22" ht="18" hidden="1" customHeight="1">
      <c r="A756" s="184"/>
      <c r="V756" s="185"/>
    </row>
    <row r="757" spans="1:22" ht="18" hidden="1" customHeight="1">
      <c r="A757" s="799" t="s">
        <v>417</v>
      </c>
      <c r="B757" s="802"/>
      <c r="C757" s="802"/>
      <c r="D757" s="689">
        <v>2</v>
      </c>
      <c r="E757" s="689" t="s">
        <v>315</v>
      </c>
      <c r="F757" s="689" t="s">
        <v>613</v>
      </c>
      <c r="G757" s="684"/>
      <c r="H757" s="689" t="s">
        <v>315</v>
      </c>
      <c r="I757" s="708" t="s">
        <v>411</v>
      </c>
      <c r="J757" s="828"/>
      <c r="K757" s="689" t="s">
        <v>315</v>
      </c>
      <c r="L757" s="802" t="s">
        <v>419</v>
      </c>
      <c r="M757" s="716" t="s">
        <v>420</v>
      </c>
      <c r="N757" s="729" t="s">
        <v>347</v>
      </c>
      <c r="O757" s="716" t="s">
        <v>408</v>
      </c>
      <c r="P757" s="689" t="s">
        <v>347</v>
      </c>
      <c r="Q757" s="759" t="s">
        <v>421</v>
      </c>
      <c r="R757" s="797"/>
      <c r="S757" s="797"/>
      <c r="T757" s="798" t="s">
        <v>350</v>
      </c>
      <c r="U757" s="230" t="s">
        <v>426</v>
      </c>
      <c r="V757" s="97"/>
    </row>
    <row r="758" spans="1:22" ht="18" hidden="1" customHeight="1">
      <c r="A758" s="827"/>
      <c r="B758" s="802"/>
      <c r="C758" s="802"/>
      <c r="D758" s="689"/>
      <c r="E758" s="689"/>
      <c r="F758" s="684"/>
      <c r="G758" s="684"/>
      <c r="H758" s="689"/>
      <c r="I758" s="689" t="s">
        <v>423</v>
      </c>
      <c r="J758" s="723"/>
      <c r="K758" s="689"/>
      <c r="L758" s="802"/>
      <c r="M758" s="716"/>
      <c r="N758" s="729"/>
      <c r="O758" s="716"/>
      <c r="P758" s="689"/>
      <c r="Q758" s="28" t="s">
        <v>146</v>
      </c>
      <c r="R758" s="28" t="s">
        <v>315</v>
      </c>
      <c r="S758" s="28" t="s">
        <v>146</v>
      </c>
      <c r="T758" s="798"/>
      <c r="U758" s="14"/>
      <c r="V758" s="97"/>
    </row>
    <row r="759" spans="1:22" ht="18" hidden="1" customHeight="1">
      <c r="A759" s="184"/>
      <c r="V759" s="185"/>
    </row>
    <row r="760" spans="1:22" ht="18" hidden="1" customHeight="1">
      <c r="A760" s="678" t="s">
        <v>616</v>
      </c>
      <c r="B760" s="1207"/>
      <c r="C760" s="1207"/>
      <c r="D760" s="1207"/>
      <c r="E760" s="1207"/>
      <c r="F760" s="1207"/>
      <c r="G760" s="1207"/>
      <c r="H760" s="1207"/>
      <c r="I760" s="1207"/>
      <c r="J760" s="1207"/>
      <c r="K760" s="1207"/>
      <c r="L760" s="1207"/>
      <c r="M760" s="1207"/>
      <c r="N760" s="1207"/>
      <c r="O760" s="1207"/>
      <c r="P760" s="1207"/>
      <c r="Q760" s="1207"/>
      <c r="R760" s="1207"/>
      <c r="S760" s="1207"/>
      <c r="T760" s="1207"/>
      <c r="U760" s="1207"/>
      <c r="V760" s="1208"/>
    </row>
    <row r="761" spans="1:22" ht="18" hidden="1" customHeight="1">
      <c r="A761" s="1209"/>
      <c r="B761" s="1207"/>
      <c r="C761" s="1207"/>
      <c r="D761" s="1207"/>
      <c r="E761" s="1207"/>
      <c r="F761" s="1207"/>
      <c r="G761" s="1207"/>
      <c r="H761" s="1207"/>
      <c r="I761" s="1207"/>
      <c r="J761" s="1207"/>
      <c r="K761" s="1207"/>
      <c r="L761" s="1207"/>
      <c r="M761" s="1207"/>
      <c r="N761" s="1207"/>
      <c r="O761" s="1207"/>
      <c r="P761" s="1207"/>
      <c r="Q761" s="1207"/>
      <c r="R761" s="1207"/>
      <c r="S761" s="1207"/>
      <c r="T761" s="1207"/>
      <c r="U761" s="1207"/>
      <c r="V761" s="1208"/>
    </row>
    <row r="762" spans="1:22" ht="18" hidden="1" customHeight="1">
      <c r="A762" s="231"/>
      <c r="B762" s="232"/>
      <c r="C762" s="232"/>
      <c r="D762" s="232"/>
      <c r="E762" s="232"/>
      <c r="F762" s="232"/>
      <c r="G762" s="232"/>
      <c r="H762" s="232"/>
      <c r="I762" s="232"/>
      <c r="J762" s="232"/>
      <c r="K762" s="232"/>
      <c r="L762" s="232"/>
      <c r="M762" s="232"/>
      <c r="N762" s="232"/>
      <c r="O762" s="232"/>
      <c r="P762" s="232"/>
      <c r="Q762" s="232"/>
      <c r="R762" s="232"/>
      <c r="S762" s="232"/>
      <c r="T762" s="232"/>
      <c r="U762" s="232"/>
      <c r="V762" s="233"/>
    </row>
    <row r="763" spans="1:22" ht="18" hidden="1" customHeight="1">
      <c r="A763" s="799" t="s">
        <v>417</v>
      </c>
      <c r="B763" s="802"/>
      <c r="C763" s="802"/>
      <c r="D763" s="689"/>
      <c r="E763" s="689"/>
      <c r="F763" s="689" t="s">
        <v>617</v>
      </c>
      <c r="G763" s="684"/>
      <c r="H763" s="689" t="s">
        <v>315</v>
      </c>
      <c r="I763" s="708" t="s">
        <v>411</v>
      </c>
      <c r="J763" s="828"/>
      <c r="K763" s="689" t="s">
        <v>315</v>
      </c>
      <c r="L763" s="802" t="s">
        <v>419</v>
      </c>
      <c r="M763" s="716" t="s">
        <v>420</v>
      </c>
      <c r="N763" s="729" t="s">
        <v>347</v>
      </c>
      <c r="O763" s="716" t="s">
        <v>408</v>
      </c>
      <c r="P763" s="689" t="s">
        <v>347</v>
      </c>
      <c r="Q763" s="759" t="s">
        <v>421</v>
      </c>
      <c r="R763" s="797"/>
      <c r="S763" s="797"/>
      <c r="T763" s="798" t="s">
        <v>350</v>
      </c>
      <c r="U763" s="230" t="s">
        <v>618</v>
      </c>
      <c r="V763" s="97"/>
    </row>
    <row r="764" spans="1:22" ht="18" hidden="1" customHeight="1">
      <c r="A764" s="827"/>
      <c r="B764" s="802"/>
      <c r="C764" s="802"/>
      <c r="D764" s="689"/>
      <c r="E764" s="689"/>
      <c r="F764" s="684"/>
      <c r="G764" s="684"/>
      <c r="H764" s="689"/>
      <c r="I764" s="689" t="s">
        <v>423</v>
      </c>
      <c r="J764" s="723"/>
      <c r="K764" s="689"/>
      <c r="L764" s="802"/>
      <c r="M764" s="716"/>
      <c r="N764" s="729"/>
      <c r="O764" s="716"/>
      <c r="P764" s="689"/>
      <c r="Q764" s="28" t="s">
        <v>146</v>
      </c>
      <c r="R764" s="28" t="s">
        <v>315</v>
      </c>
      <c r="S764" s="28" t="s">
        <v>146</v>
      </c>
      <c r="T764" s="798"/>
      <c r="U764" s="14"/>
      <c r="V764" s="97"/>
    </row>
    <row r="765" spans="1:22" ht="18" hidden="1" customHeight="1">
      <c r="A765" s="96"/>
      <c r="B765" s="14"/>
      <c r="C765" s="14"/>
      <c r="D765" s="28"/>
      <c r="E765" s="28"/>
      <c r="F765" s="27"/>
      <c r="G765" s="27"/>
      <c r="H765" s="28"/>
      <c r="I765" s="28"/>
      <c r="K765" s="28"/>
      <c r="L765" s="120"/>
      <c r="M765" s="14"/>
      <c r="N765" s="102"/>
      <c r="O765" s="14"/>
      <c r="P765" s="28"/>
      <c r="Q765" s="28"/>
      <c r="R765" s="28"/>
      <c r="S765" s="28"/>
      <c r="T765" s="40"/>
      <c r="U765" s="14"/>
      <c r="V765" s="97"/>
    </row>
    <row r="766" spans="1:22" ht="18" hidden="1" customHeight="1">
      <c r="A766" s="184"/>
      <c r="H766" s="30" t="s">
        <v>619</v>
      </c>
      <c r="M766" s="854" t="str">
        <f>M634</f>
        <v>N</v>
      </c>
      <c r="N766" s="831"/>
      <c r="V766" s="185"/>
    </row>
    <row r="767" spans="1:22" ht="18" hidden="1" customHeight="1">
      <c r="A767" s="96"/>
      <c r="B767" s="14"/>
      <c r="C767" s="14"/>
      <c r="D767" s="28"/>
      <c r="E767" s="28"/>
      <c r="F767" s="27"/>
      <c r="G767" s="27"/>
      <c r="H767" s="28"/>
      <c r="I767" s="28"/>
      <c r="K767" s="28"/>
      <c r="L767" s="120"/>
      <c r="M767" s="14"/>
      <c r="N767" s="102"/>
      <c r="O767" s="14"/>
      <c r="P767" s="28"/>
      <c r="Q767" s="28"/>
      <c r="R767" s="28"/>
      <c r="S767" s="28"/>
      <c r="T767" s="40"/>
      <c r="U767" s="14"/>
      <c r="V767" s="97"/>
    </row>
    <row r="768" spans="1:22" ht="18" hidden="1" customHeight="1">
      <c r="A768" s="184"/>
      <c r="B768" s="14" t="s">
        <v>427</v>
      </c>
      <c r="C768" s="14"/>
      <c r="D768" s="103"/>
      <c r="E768" s="103"/>
      <c r="F768" s="14"/>
      <c r="G768" s="14"/>
      <c r="H768" s="5"/>
      <c r="I768" s="5"/>
      <c r="J768" s="5"/>
      <c r="P768" s="120" t="s">
        <v>428</v>
      </c>
      <c r="V768" s="185"/>
    </row>
    <row r="769" spans="1:22" ht="18" hidden="1" customHeight="1">
      <c r="A769" s="184"/>
      <c r="B769" s="14" t="s">
        <v>429</v>
      </c>
      <c r="C769" s="14"/>
      <c r="D769" s="103"/>
      <c r="E769" s="103"/>
      <c r="F769" s="14"/>
      <c r="G769" s="14"/>
      <c r="H769" s="5"/>
      <c r="I769" s="5"/>
      <c r="J769" s="5"/>
      <c r="P769" s="120" t="s">
        <v>430</v>
      </c>
      <c r="Q769" s="234" t="s">
        <v>127</v>
      </c>
      <c r="R769" s="684" t="str">
        <f>L713</f>
        <v>-</v>
      </c>
      <c r="S769" s="684"/>
      <c r="T769" s="14" t="s">
        <v>8</v>
      </c>
      <c r="V769" s="185"/>
    </row>
    <row r="770" spans="1:22" ht="18" hidden="1" customHeight="1">
      <c r="A770" s="184"/>
      <c r="B770" s="14" t="s">
        <v>621</v>
      </c>
      <c r="C770" s="14"/>
      <c r="D770" s="14"/>
      <c r="E770" s="14"/>
      <c r="F770" s="14"/>
      <c r="G770" s="14"/>
      <c r="H770" s="14"/>
      <c r="I770" s="14"/>
      <c r="J770" s="14"/>
      <c r="P770" s="120" t="s">
        <v>609</v>
      </c>
      <c r="Q770" s="234" t="s">
        <v>127</v>
      </c>
      <c r="R770" s="684">
        <f>J734</f>
        <v>437.38656756789834</v>
      </c>
      <c r="S770" s="684"/>
      <c r="T770" s="14" t="s">
        <v>8</v>
      </c>
      <c r="V770" s="185"/>
    </row>
    <row r="771" spans="1:22" ht="18" hidden="1" customHeight="1">
      <c r="A771" s="184"/>
      <c r="B771" s="14" t="s">
        <v>622</v>
      </c>
      <c r="C771" s="14"/>
      <c r="D771" s="14"/>
      <c r="E771" s="14"/>
      <c r="F771" s="14"/>
      <c r="G771" s="14"/>
      <c r="H771" s="14"/>
      <c r="I771" s="14"/>
      <c r="J771" s="14"/>
      <c r="P771" s="120" t="s">
        <v>613</v>
      </c>
      <c r="Q771" s="234" t="s">
        <v>127</v>
      </c>
      <c r="R771" s="684">
        <f>O740</f>
        <v>6998.1850810863734</v>
      </c>
      <c r="S771" s="684"/>
      <c r="T771" s="14" t="s">
        <v>8</v>
      </c>
      <c r="V771" s="185"/>
    </row>
    <row r="772" spans="1:22" ht="18" hidden="1" customHeight="1">
      <c r="A772" s="184"/>
      <c r="B772" s="235" t="s">
        <v>623</v>
      </c>
      <c r="C772" s="14"/>
      <c r="D772" s="14"/>
      <c r="E772" s="14"/>
      <c r="F772" s="14"/>
      <c r="G772" s="14"/>
      <c r="H772" s="14"/>
      <c r="I772" s="14"/>
      <c r="J772" s="14"/>
      <c r="P772" s="120"/>
      <c r="Q772" s="236"/>
      <c r="R772" s="27"/>
      <c r="S772" s="27"/>
      <c r="T772" s="14"/>
      <c r="V772" s="185"/>
    </row>
    <row r="773" spans="1:22" ht="18" hidden="1" customHeight="1">
      <c r="A773" s="184"/>
      <c r="B773" s="14" t="s">
        <v>622</v>
      </c>
      <c r="C773" s="14"/>
      <c r="D773" s="14"/>
      <c r="E773" s="14"/>
      <c r="F773" s="14"/>
      <c r="G773" s="14"/>
      <c r="H773" s="14"/>
      <c r="I773" s="14"/>
      <c r="J773" s="14"/>
      <c r="P773" s="120" t="s">
        <v>617</v>
      </c>
      <c r="Q773" s="234" t="s">
        <v>127</v>
      </c>
      <c r="R773" s="684" t="str">
        <f>R641</f>
        <v>-</v>
      </c>
      <c r="S773" s="684"/>
      <c r="T773" s="14" t="s">
        <v>8</v>
      </c>
      <c r="V773" s="185"/>
    </row>
    <row r="774" spans="1:22" ht="18" hidden="1" customHeight="1">
      <c r="A774" s="184"/>
      <c r="B774" s="235" t="s">
        <v>645</v>
      </c>
      <c r="C774" s="14"/>
      <c r="D774" s="14"/>
      <c r="E774" s="14"/>
      <c r="F774" s="14"/>
      <c r="G774" s="14"/>
      <c r="H774" s="14"/>
      <c r="I774" s="14"/>
      <c r="J774" s="14"/>
      <c r="R774" s="27"/>
      <c r="S774" s="27"/>
      <c r="T774" s="14"/>
      <c r="V774" s="185"/>
    </row>
    <row r="775" spans="1:22" ht="18" hidden="1" customHeight="1">
      <c r="A775" s="184"/>
      <c r="B775" s="14" t="s">
        <v>435</v>
      </c>
      <c r="C775" s="14"/>
      <c r="D775" s="103"/>
      <c r="E775" s="103"/>
      <c r="F775" s="14"/>
      <c r="G775" s="14"/>
      <c r="H775" s="5"/>
      <c r="I775" s="5"/>
      <c r="J775" s="5"/>
      <c r="P775" s="120" t="s">
        <v>436</v>
      </c>
      <c r="Q775" s="234" t="s">
        <v>127</v>
      </c>
      <c r="R775" s="684">
        <f>O713</f>
        <v>1</v>
      </c>
      <c r="S775" s="684"/>
      <c r="T775" s="14" t="s">
        <v>8</v>
      </c>
      <c r="V775" s="185"/>
    </row>
    <row r="776" spans="1:22" ht="18" hidden="1" customHeight="1">
      <c r="A776" s="184"/>
      <c r="B776" s="14" t="s">
        <v>437</v>
      </c>
      <c r="C776" s="14"/>
      <c r="D776" s="103"/>
      <c r="E776" s="103"/>
      <c r="F776" s="14"/>
      <c r="G776" s="14"/>
      <c r="H776" s="5"/>
      <c r="I776" s="5"/>
      <c r="J776" s="5"/>
      <c r="P776" s="120" t="s">
        <v>438</v>
      </c>
      <c r="Q776" s="234" t="s">
        <v>127</v>
      </c>
      <c r="R776" s="684">
        <f>R644</f>
        <v>1</v>
      </c>
      <c r="S776" s="684"/>
      <c r="T776" s="14" t="s">
        <v>8</v>
      </c>
      <c r="V776" s="185"/>
    </row>
    <row r="777" spans="1:22" ht="18" hidden="1" customHeight="1">
      <c r="A777" s="184"/>
      <c r="B777" s="14" t="s">
        <v>439</v>
      </c>
      <c r="C777" s="14"/>
      <c r="D777" s="103"/>
      <c r="E777" s="103"/>
      <c r="F777" s="14"/>
      <c r="G777" s="14"/>
      <c r="H777" s="5"/>
      <c r="I777" s="5"/>
      <c r="J777" s="5"/>
      <c r="P777" s="120" t="s">
        <v>440</v>
      </c>
      <c r="Q777" s="234" t="s">
        <v>127</v>
      </c>
      <c r="R777" s="684" t="str">
        <f>L715</f>
        <v>-</v>
      </c>
      <c r="S777" s="684"/>
      <c r="T777" s="192" t="s">
        <v>333</v>
      </c>
      <c r="V777" s="185"/>
    </row>
    <row r="778" spans="1:22" ht="18" hidden="1" customHeight="1">
      <c r="A778" s="184"/>
      <c r="B778" s="14" t="s">
        <v>625</v>
      </c>
      <c r="C778" s="14"/>
      <c r="D778" s="14"/>
      <c r="E778" s="14"/>
      <c r="F778" s="14"/>
      <c r="G778" s="14"/>
      <c r="H778" s="14"/>
      <c r="I778" s="14"/>
      <c r="J778" s="14"/>
      <c r="P778" s="237" t="s">
        <v>441</v>
      </c>
      <c r="Q778" s="234" t="s">
        <v>127</v>
      </c>
      <c r="R778" s="795">
        <f>P725</f>
        <v>1.1667743100000001</v>
      </c>
      <c r="S778" s="684"/>
      <c r="T778" s="192" t="s">
        <v>333</v>
      </c>
      <c r="V778" s="185"/>
    </row>
    <row r="779" spans="1:22" ht="18" hidden="1" customHeight="1">
      <c r="A779" s="184"/>
      <c r="B779" s="40" t="s">
        <v>442</v>
      </c>
      <c r="C779" s="14"/>
      <c r="D779" s="14"/>
      <c r="E779" s="14"/>
      <c r="F779" s="14"/>
      <c r="G779" s="14"/>
      <c r="H779" s="5"/>
      <c r="I779" s="5"/>
      <c r="J779" s="5"/>
      <c r="P779" s="237" t="s">
        <v>443</v>
      </c>
      <c r="Q779" s="234" t="s">
        <v>127</v>
      </c>
      <c r="R779" s="795">
        <f>J721</f>
        <v>0.02</v>
      </c>
      <c r="S779" s="684"/>
      <c r="T779" s="14" t="s">
        <v>157</v>
      </c>
      <c r="V779" s="185"/>
    </row>
    <row r="780" spans="1:22" ht="18" hidden="1" customHeight="1">
      <c r="A780" s="184"/>
      <c r="V780" s="185"/>
    </row>
    <row r="781" spans="1:22" ht="18" hidden="1" customHeight="1">
      <c r="A781" s="799" t="s">
        <v>417</v>
      </c>
      <c r="B781" s="802"/>
      <c r="C781" s="802"/>
      <c r="D781" s="689">
        <v>30</v>
      </c>
      <c r="E781" s="689" t="s">
        <v>315</v>
      </c>
      <c r="F781" s="689">
        <f>R770</f>
        <v>437.38656756789834</v>
      </c>
      <c r="G781" s="684"/>
      <c r="H781" s="689" t="s">
        <v>315</v>
      </c>
      <c r="I781" s="708">
        <f>R775</f>
        <v>1</v>
      </c>
      <c r="J781" s="828"/>
      <c r="K781" s="689" t="s">
        <v>315</v>
      </c>
      <c r="L781" s="716" t="s">
        <v>419</v>
      </c>
      <c r="M781" s="716" t="str">
        <f>R777</f>
        <v>-</v>
      </c>
      <c r="N781" s="729" t="s">
        <v>347</v>
      </c>
      <c r="O781" s="1214">
        <f>R778</f>
        <v>1.1667743100000001</v>
      </c>
      <c r="P781" s="689" t="s">
        <v>347</v>
      </c>
      <c r="Q781" s="833">
        <f>R779</f>
        <v>0.02</v>
      </c>
      <c r="R781" s="797"/>
      <c r="S781" s="797"/>
      <c r="T781" s="798" t="s">
        <v>350</v>
      </c>
      <c r="U781" s="230" t="s">
        <v>422</v>
      </c>
      <c r="V781" s="97"/>
    </row>
    <row r="782" spans="1:22" ht="18" hidden="1" customHeight="1">
      <c r="A782" s="827"/>
      <c r="B782" s="802"/>
      <c r="C782" s="802"/>
      <c r="D782" s="689"/>
      <c r="E782" s="689"/>
      <c r="F782" s="684"/>
      <c r="G782" s="684"/>
      <c r="H782" s="689"/>
      <c r="I782" s="689" t="str">
        <f>R769</f>
        <v>-</v>
      </c>
      <c r="J782" s="723"/>
      <c r="K782" s="689"/>
      <c r="L782" s="716"/>
      <c r="M782" s="716"/>
      <c r="N782" s="729"/>
      <c r="O782" s="716"/>
      <c r="P782" s="689"/>
      <c r="Q782" s="28">
        <f>R776</f>
        <v>1</v>
      </c>
      <c r="R782" s="28" t="s">
        <v>315</v>
      </c>
      <c r="S782" s="28">
        <f>R776</f>
        <v>1</v>
      </c>
      <c r="T782" s="798"/>
      <c r="U782" s="14"/>
      <c r="V782" s="97"/>
    </row>
    <row r="783" spans="1:22" ht="18" hidden="1" customHeight="1">
      <c r="A783" s="184"/>
      <c r="V783" s="185"/>
    </row>
    <row r="784" spans="1:22" ht="18" hidden="1" customHeight="1">
      <c r="A784" s="184"/>
      <c r="C784" s="30" t="s">
        <v>127</v>
      </c>
      <c r="D784" s="812" t="e">
        <f>D781*F781*(I781/I782)*(M781+O781+(Q781/(Q782*S782)))</f>
        <v>#VALUE!</v>
      </c>
      <c r="E784" s="813"/>
      <c r="F784" s="30" t="s">
        <v>305</v>
      </c>
      <c r="V784" s="185"/>
    </row>
    <row r="785" spans="1:22" ht="18" hidden="1" customHeight="1">
      <c r="A785" s="184"/>
      <c r="V785" s="185"/>
    </row>
    <row r="786" spans="1:22" ht="18" hidden="1" customHeight="1">
      <c r="A786" s="799" t="s">
        <v>417</v>
      </c>
      <c r="B786" s="802"/>
      <c r="C786" s="802"/>
      <c r="D786" s="689">
        <v>2</v>
      </c>
      <c r="E786" s="689" t="s">
        <v>315</v>
      </c>
      <c r="F786" s="689">
        <f>R771</f>
        <v>6998.1850810863734</v>
      </c>
      <c r="G786" s="684"/>
      <c r="H786" s="689" t="s">
        <v>315</v>
      </c>
      <c r="I786" s="708">
        <f>R775</f>
        <v>1</v>
      </c>
      <c r="J786" s="828"/>
      <c r="K786" s="689" t="s">
        <v>315</v>
      </c>
      <c r="L786" s="802" t="s">
        <v>419</v>
      </c>
      <c r="M786" s="716" t="str">
        <f>R777</f>
        <v>-</v>
      </c>
      <c r="N786" s="729" t="s">
        <v>347</v>
      </c>
      <c r="O786" s="1214">
        <f>R778</f>
        <v>1.1667743100000001</v>
      </c>
      <c r="P786" s="689" t="s">
        <v>347</v>
      </c>
      <c r="Q786" s="833">
        <f>R779</f>
        <v>0.02</v>
      </c>
      <c r="R786" s="797"/>
      <c r="S786" s="797"/>
      <c r="T786" s="798" t="s">
        <v>350</v>
      </c>
      <c r="U786" s="230" t="s">
        <v>426</v>
      </c>
      <c r="V786" s="97"/>
    </row>
    <row r="787" spans="1:22" ht="18" hidden="1" customHeight="1">
      <c r="A787" s="827"/>
      <c r="B787" s="802"/>
      <c r="C787" s="802"/>
      <c r="D787" s="689"/>
      <c r="E787" s="689"/>
      <c r="F787" s="684"/>
      <c r="G787" s="684"/>
      <c r="H787" s="689"/>
      <c r="I787" s="689" t="str">
        <f>R769</f>
        <v>-</v>
      </c>
      <c r="J787" s="723"/>
      <c r="K787" s="689"/>
      <c r="L787" s="802"/>
      <c r="M787" s="716"/>
      <c r="N787" s="729"/>
      <c r="O787" s="716"/>
      <c r="P787" s="689"/>
      <c r="Q787" s="28">
        <f>R776</f>
        <v>1</v>
      </c>
      <c r="R787" s="28" t="s">
        <v>315</v>
      </c>
      <c r="S787" s="28">
        <f>R776</f>
        <v>1</v>
      </c>
      <c r="T787" s="798"/>
      <c r="U787" s="14"/>
      <c r="V787" s="97"/>
    </row>
    <row r="788" spans="1:22" ht="18" hidden="1" customHeight="1">
      <c r="A788" s="184"/>
      <c r="L788" s="244"/>
      <c r="V788" s="185"/>
    </row>
    <row r="789" spans="1:22" ht="18" hidden="1" customHeight="1">
      <c r="A789" s="184"/>
      <c r="C789" s="30" t="s">
        <v>127</v>
      </c>
      <c r="D789" s="812" t="e">
        <f>D786*F786*(I786/I787)*(M786+O786+(Q786/(Q787*S787)))</f>
        <v>#VALUE!</v>
      </c>
      <c r="E789" s="813"/>
      <c r="F789" s="30" t="s">
        <v>305</v>
      </c>
      <c r="L789" s="244"/>
      <c r="V789" s="185"/>
    </row>
    <row r="790" spans="1:22" ht="18" hidden="1" customHeight="1">
      <c r="A790" s="184"/>
      <c r="L790" s="244"/>
      <c r="V790" s="185"/>
    </row>
    <row r="791" spans="1:22" s="14" customFormat="1" ht="18" hidden="1" customHeight="1">
      <c r="A791" s="799" t="s">
        <v>417</v>
      </c>
      <c r="B791" s="802"/>
      <c r="C791" s="802"/>
      <c r="D791" s="689"/>
      <c r="E791" s="689"/>
      <c r="F791" s="689" t="str">
        <f>R773</f>
        <v>-</v>
      </c>
      <c r="G791" s="684"/>
      <c r="H791" s="689" t="s">
        <v>315</v>
      </c>
      <c r="I791" s="708">
        <f>R775</f>
        <v>1</v>
      </c>
      <c r="J791" s="828"/>
      <c r="K791" s="689" t="s">
        <v>315</v>
      </c>
      <c r="L791" s="802" t="s">
        <v>419</v>
      </c>
      <c r="M791" s="716" t="str">
        <f>R777</f>
        <v>-</v>
      </c>
      <c r="N791" s="729" t="s">
        <v>347</v>
      </c>
      <c r="O791" s="1214">
        <f>R778</f>
        <v>1.1667743100000001</v>
      </c>
      <c r="P791" s="689" t="s">
        <v>347</v>
      </c>
      <c r="Q791" s="833">
        <f>R779</f>
        <v>0.02</v>
      </c>
      <c r="R791" s="797"/>
      <c r="S791" s="797"/>
      <c r="T791" s="798" t="s">
        <v>350</v>
      </c>
      <c r="U791" s="230" t="s">
        <v>618</v>
      </c>
      <c r="V791" s="97"/>
    </row>
    <row r="792" spans="1:22" ht="18" hidden="1" customHeight="1">
      <c r="A792" s="827"/>
      <c r="B792" s="802"/>
      <c r="C792" s="802"/>
      <c r="D792" s="689"/>
      <c r="E792" s="689"/>
      <c r="F792" s="684"/>
      <c r="G792" s="684"/>
      <c r="H792" s="689"/>
      <c r="I792" s="689" t="str">
        <f>R769</f>
        <v>-</v>
      </c>
      <c r="J792" s="723"/>
      <c r="K792" s="689"/>
      <c r="L792" s="802"/>
      <c r="M792" s="716"/>
      <c r="N792" s="729"/>
      <c r="O792" s="716"/>
      <c r="P792" s="689"/>
      <c r="Q792" s="28">
        <f>R776</f>
        <v>1</v>
      </c>
      <c r="R792" s="28" t="s">
        <v>315</v>
      </c>
      <c r="S792" s="28">
        <f>R776</f>
        <v>1</v>
      </c>
      <c r="T792" s="798"/>
      <c r="U792" s="14"/>
      <c r="V792" s="97"/>
    </row>
    <row r="793" spans="1:22" ht="18" hidden="1" customHeight="1">
      <c r="A793" s="184"/>
      <c r="V793" s="185"/>
    </row>
    <row r="794" spans="1:22" ht="18" hidden="1" customHeight="1">
      <c r="A794" s="184"/>
      <c r="C794" s="30" t="s">
        <v>127</v>
      </c>
      <c r="D794" s="812" t="e">
        <f>F791*(I791/I792)*(M791+O791+(Q791/(Q792*S792)))</f>
        <v>#VALUE!</v>
      </c>
      <c r="E794" s="813"/>
      <c r="F794" s="30" t="s">
        <v>305</v>
      </c>
      <c r="G794" s="187" t="s">
        <v>378</v>
      </c>
      <c r="H794" s="186" t="str">
        <f>IF(M766="y","Applicable","Not applicable")</f>
        <v>Not applicable</v>
      </c>
      <c r="V794" s="185"/>
    </row>
    <row r="795" spans="1:22" ht="18" hidden="1" customHeight="1">
      <c r="A795" s="184"/>
      <c r="V795" s="185"/>
    </row>
    <row r="796" spans="1:22" ht="18" hidden="1" customHeight="1">
      <c r="A796" s="194"/>
      <c r="B796" s="195"/>
      <c r="C796" s="195"/>
      <c r="D796" s="195"/>
      <c r="E796" s="195"/>
      <c r="F796" s="195"/>
      <c r="G796" s="195"/>
      <c r="H796" s="195"/>
      <c r="I796" s="195"/>
      <c r="J796" s="195"/>
      <c r="K796" s="195"/>
      <c r="L796" s="195"/>
      <c r="M796" s="195"/>
      <c r="N796" s="195"/>
      <c r="O796" s="195"/>
      <c r="P796" s="195"/>
      <c r="Q796" s="224"/>
      <c r="R796" s="182"/>
      <c r="S796" s="225"/>
      <c r="T796" s="195"/>
      <c r="U796" s="195"/>
      <c r="V796" s="134"/>
    </row>
    <row r="797" spans="1:22" ht="18" hidden="1" customHeight="1">
      <c r="A797" s="226"/>
      <c r="B797" s="227"/>
      <c r="C797" s="227"/>
      <c r="D797" s="227"/>
      <c r="E797" s="227"/>
      <c r="F797" s="227"/>
      <c r="G797" s="227"/>
      <c r="H797" s="227"/>
      <c r="I797" s="227"/>
      <c r="J797" s="227"/>
      <c r="K797" s="227"/>
      <c r="L797" s="227"/>
      <c r="M797" s="227"/>
      <c r="N797" s="227"/>
      <c r="O797" s="227"/>
      <c r="P797" s="227"/>
      <c r="Q797" s="227"/>
      <c r="R797" s="227"/>
      <c r="S797" s="227"/>
      <c r="T797" s="227"/>
      <c r="U797" s="227"/>
      <c r="V797" s="228"/>
    </row>
    <row r="798" spans="1:22" ht="18" hidden="1" customHeight="1">
      <c r="A798" s="184" t="s">
        <v>634</v>
      </c>
      <c r="M798" s="825" t="str">
        <f>R769</f>
        <v>-</v>
      </c>
      <c r="N798" s="826"/>
      <c r="O798" s="30" t="s">
        <v>470</v>
      </c>
      <c r="Q798" s="812" t="e">
        <f>IF(M766="Y",MAX(D784,D794),MAX(D784,D789))</f>
        <v>#VALUE!</v>
      </c>
      <c r="R798" s="820"/>
      <c r="S798" s="30" t="s">
        <v>305</v>
      </c>
      <c r="V798" s="185"/>
    </row>
    <row r="799" spans="1:22" ht="18" hidden="1" customHeight="1">
      <c r="A799" s="184"/>
      <c r="M799" s="247"/>
      <c r="N799" s="247"/>
      <c r="Q799" s="211"/>
      <c r="R799" s="27"/>
      <c r="V799" s="185"/>
    </row>
    <row r="800" spans="1:22" ht="18" hidden="1" customHeight="1">
      <c r="A800" s="248" t="s">
        <v>471</v>
      </c>
      <c r="B800" s="14"/>
      <c r="C800" s="14"/>
      <c r="D800" s="249"/>
      <c r="E800" s="14"/>
      <c r="F800" s="14"/>
      <c r="G800" s="47"/>
      <c r="H800" s="14"/>
      <c r="J800" s="14"/>
      <c r="K800" s="14"/>
      <c r="L800" s="14"/>
      <c r="M800" s="14"/>
      <c r="N800" s="14"/>
      <c r="O800" s="14"/>
      <c r="P800" s="250"/>
      <c r="Q800" s="251"/>
      <c r="R800" s="47"/>
      <c r="S800" s="14"/>
      <c r="V800" s="185"/>
    </row>
    <row r="801" spans="1:22" ht="18" hidden="1" customHeight="1">
      <c r="A801" s="248"/>
      <c r="B801" s="14"/>
      <c r="C801" s="14"/>
      <c r="D801" s="249"/>
      <c r="E801" s="14"/>
      <c r="F801" s="14"/>
      <c r="G801" s="47"/>
      <c r="H801" s="14"/>
      <c r="J801" s="14"/>
      <c r="K801" s="14"/>
      <c r="L801" s="14"/>
      <c r="M801" s="14"/>
      <c r="N801" s="14"/>
      <c r="O801" s="14"/>
      <c r="P801" s="250"/>
      <c r="Q801" s="251"/>
      <c r="R801" s="47"/>
      <c r="S801" s="14"/>
      <c r="V801" s="185"/>
    </row>
    <row r="802" spans="1:22" ht="18" hidden="1" customHeight="1">
      <c r="A802" s="96" t="s">
        <v>500</v>
      </c>
      <c r="V802" s="185"/>
    </row>
    <row r="803" spans="1:22" ht="18" hidden="1" customHeight="1">
      <c r="A803" s="184"/>
      <c r="N803" s="14"/>
      <c r="O803" s="14" t="s">
        <v>473</v>
      </c>
      <c r="P803" s="102" t="s">
        <v>127</v>
      </c>
      <c r="Q803" s="249" t="s">
        <v>474</v>
      </c>
      <c r="R803" s="14"/>
      <c r="S803" s="28" t="s">
        <v>315</v>
      </c>
      <c r="T803" s="28">
        <v>0.8</v>
      </c>
      <c r="V803" s="185"/>
    </row>
    <row r="804" spans="1:22" ht="18" hidden="1" customHeight="1">
      <c r="A804" s="184"/>
      <c r="N804" s="252"/>
      <c r="O804" s="14"/>
      <c r="P804" s="102" t="s">
        <v>127</v>
      </c>
      <c r="Q804" s="829" t="e">
        <f>+Q798</f>
        <v>#VALUE!</v>
      </c>
      <c r="R804" s="829"/>
      <c r="S804" s="222" t="s">
        <v>315</v>
      </c>
      <c r="T804" s="253">
        <f>+T803</f>
        <v>0.8</v>
      </c>
      <c r="V804" s="185"/>
    </row>
    <row r="805" spans="1:22" ht="18" hidden="1" customHeight="1">
      <c r="A805" s="184"/>
      <c r="O805" s="14"/>
      <c r="P805" s="28" t="s">
        <v>127</v>
      </c>
      <c r="Q805" s="830" t="e">
        <f>Q804*T804</f>
        <v>#VALUE!</v>
      </c>
      <c r="R805" s="1270"/>
      <c r="S805" s="47" t="s">
        <v>305</v>
      </c>
      <c r="T805" s="14"/>
      <c r="V805" s="185"/>
    </row>
    <row r="806" spans="1:22" ht="18" hidden="1" customHeight="1">
      <c r="A806" s="184"/>
      <c r="V806" s="185"/>
    </row>
    <row r="807" spans="1:22" ht="18" hidden="1" customHeight="1">
      <c r="A807" s="184"/>
      <c r="D807" s="30" t="s">
        <v>475</v>
      </c>
      <c r="G807" s="27" t="e">
        <f>IF(E808&gt;H808,"&gt;","&lt;")</f>
        <v>#VALUE!</v>
      </c>
      <c r="H807" s="30" t="s">
        <v>477</v>
      </c>
      <c r="V807" s="185"/>
    </row>
    <row r="808" spans="1:22" ht="18" hidden="1" customHeight="1">
      <c r="A808" s="184"/>
      <c r="E808" s="684" t="str">
        <f>L716</f>
        <v>-</v>
      </c>
      <c r="F808" s="684"/>
      <c r="G808" s="27" t="e">
        <f>G807</f>
        <v>#VALUE!</v>
      </c>
      <c r="H808" s="795" t="e">
        <f>Q805</f>
        <v>#VALUE!</v>
      </c>
      <c r="I808" s="684"/>
      <c r="V808" s="185"/>
    </row>
    <row r="809" spans="1:22" ht="18" hidden="1" customHeight="1">
      <c r="A809" s="184"/>
      <c r="F809" s="244" t="s">
        <v>478</v>
      </c>
      <c r="H809" s="18" t="e">
        <f>IF(G807="&gt;","Suitably Dimensioned","Under Dimensioned")</f>
        <v>#VALUE!</v>
      </c>
      <c r="V809" s="185"/>
    </row>
    <row r="810" spans="1:22" ht="18" hidden="1" customHeight="1">
      <c r="A810" s="184"/>
      <c r="F810" s="244"/>
      <c r="H810" s="18"/>
      <c r="V810" s="185"/>
    </row>
    <row r="811" spans="1:22" ht="18" hidden="1" customHeight="1">
      <c r="A811" s="184"/>
      <c r="F811" s="244"/>
      <c r="H811" s="18"/>
      <c r="V811" s="185"/>
    </row>
    <row r="812" spans="1:22" ht="18" hidden="1" customHeight="1">
      <c r="A812" s="184"/>
      <c r="F812" s="244"/>
      <c r="H812" s="18"/>
      <c r="V812" s="185"/>
    </row>
    <row r="813" spans="1:22" ht="18" hidden="1" customHeight="1">
      <c r="A813" s="184"/>
      <c r="F813" s="244"/>
      <c r="H813" s="18"/>
      <c r="V813" s="185"/>
    </row>
    <row r="814" spans="1:22" ht="18" hidden="1" customHeight="1">
      <c r="A814" s="184"/>
      <c r="F814" s="244"/>
      <c r="H814" s="18"/>
      <c r="V814" s="185"/>
    </row>
    <row r="815" spans="1:22" ht="18" hidden="1" customHeight="1">
      <c r="A815" s="184"/>
      <c r="F815" s="244"/>
      <c r="H815" s="18"/>
      <c r="V815" s="185"/>
    </row>
    <row r="816" spans="1:22" ht="18" hidden="1" customHeight="1">
      <c r="A816" s="184"/>
      <c r="F816" s="244"/>
      <c r="H816" s="18"/>
      <c r="V816" s="185"/>
    </row>
    <row r="817" spans="1:22" ht="18" hidden="1" customHeight="1">
      <c r="A817" s="184"/>
      <c r="F817" s="244"/>
      <c r="H817" s="18"/>
      <c r="V817" s="185"/>
    </row>
    <row r="818" spans="1:22" ht="18" hidden="1" customHeight="1">
      <c r="A818" s="184"/>
      <c r="F818" s="244"/>
      <c r="H818" s="18"/>
      <c r="V818" s="185"/>
    </row>
    <row r="819" spans="1:22" ht="18" hidden="1" customHeight="1">
      <c r="A819" s="184"/>
      <c r="F819" s="244"/>
      <c r="H819" s="18"/>
      <c r="V819" s="185"/>
    </row>
    <row r="820" spans="1:22" ht="18" hidden="1" customHeight="1">
      <c r="A820" s="184"/>
      <c r="F820" s="244"/>
      <c r="H820" s="18"/>
      <c r="V820" s="185"/>
    </row>
    <row r="821" spans="1:22" ht="18" hidden="1" customHeight="1">
      <c r="A821" s="184"/>
      <c r="F821" s="244"/>
      <c r="H821" s="18"/>
      <c r="V821" s="185"/>
    </row>
    <row r="822" spans="1:22" ht="18" hidden="1" customHeight="1">
      <c r="A822" s="184"/>
      <c r="F822" s="244"/>
      <c r="H822" s="18"/>
      <c r="V822" s="185"/>
    </row>
    <row r="823" spans="1:22" ht="18" hidden="1" customHeight="1">
      <c r="A823" s="184"/>
      <c r="F823" s="244"/>
      <c r="H823" s="18"/>
      <c r="V823" s="185"/>
    </row>
    <row r="824" spans="1:22" ht="18" hidden="1" customHeight="1">
      <c r="A824" s="184"/>
      <c r="F824" s="244"/>
      <c r="H824" s="18"/>
      <c r="V824" s="185"/>
    </row>
    <row r="825" spans="1:22" ht="18" hidden="1" customHeight="1">
      <c r="A825" s="184"/>
      <c r="F825" s="244"/>
      <c r="H825" s="18"/>
      <c r="V825" s="185"/>
    </row>
    <row r="826" spans="1:22" ht="18" hidden="1" customHeight="1">
      <c r="A826" s="184"/>
      <c r="F826" s="244"/>
      <c r="H826" s="18"/>
      <c r="V826" s="185"/>
    </row>
    <row r="827" spans="1:22" ht="18" hidden="1" customHeight="1">
      <c r="A827" s="184"/>
      <c r="F827" s="244"/>
      <c r="H827" s="18"/>
      <c r="V827" s="185"/>
    </row>
    <row r="828" spans="1:22" ht="18" hidden="1" customHeight="1">
      <c r="A828" s="184"/>
      <c r="F828" s="244"/>
      <c r="H828" s="18"/>
      <c r="V828" s="185"/>
    </row>
    <row r="829" spans="1:22" ht="18" hidden="1" customHeight="1">
      <c r="A829" s="184"/>
      <c r="F829" s="244"/>
      <c r="H829" s="18"/>
      <c r="V829" s="185"/>
    </row>
    <row r="830" spans="1:22" ht="18" hidden="1" customHeight="1">
      <c r="A830" s="184"/>
      <c r="F830" s="244"/>
      <c r="H830" s="18"/>
      <c r="V830" s="185"/>
    </row>
    <row r="831" spans="1:22" ht="18" hidden="1" customHeight="1">
      <c r="A831" s="184"/>
      <c r="F831" s="244"/>
      <c r="H831" s="18"/>
      <c r="V831" s="185"/>
    </row>
    <row r="832" spans="1:22" ht="18" hidden="1" customHeight="1">
      <c r="A832" s="184"/>
      <c r="F832" s="244"/>
      <c r="H832" s="18"/>
      <c r="V832" s="185"/>
    </row>
    <row r="833" spans="1:22" ht="18" hidden="1" customHeight="1">
      <c r="A833" s="184"/>
      <c r="F833" s="244"/>
      <c r="H833" s="18"/>
      <c r="V833" s="185"/>
    </row>
    <row r="834" spans="1:22" ht="18" hidden="1" customHeight="1">
      <c r="A834" s="184"/>
      <c r="F834" s="244"/>
      <c r="H834" s="18"/>
      <c r="V834" s="185"/>
    </row>
    <row r="835" spans="1:22" s="14" customFormat="1" ht="18" hidden="1" customHeight="1">
      <c r="A835" s="184"/>
      <c r="B835" s="30"/>
      <c r="C835" s="30"/>
      <c r="D835" s="30"/>
      <c r="E835" s="30"/>
      <c r="F835" s="244"/>
      <c r="G835" s="30"/>
      <c r="H835" s="18"/>
      <c r="I835" s="30"/>
      <c r="J835" s="30"/>
      <c r="K835" s="30"/>
      <c r="L835" s="30"/>
      <c r="M835" s="30"/>
      <c r="N835" s="30"/>
      <c r="O835" s="30"/>
      <c r="P835" s="30"/>
      <c r="Q835" s="30"/>
      <c r="R835" s="30"/>
      <c r="S835" s="30"/>
      <c r="T835" s="30"/>
      <c r="U835" s="30"/>
      <c r="V835" s="185"/>
    </row>
    <row r="836" spans="1:22" ht="18" hidden="1" customHeight="1">
      <c r="A836" s="184"/>
      <c r="F836" s="244"/>
      <c r="H836" s="18"/>
      <c r="V836" s="185"/>
    </row>
    <row r="837" spans="1:22" ht="18" hidden="1" customHeight="1">
      <c r="A837" s="184"/>
      <c r="F837" s="244"/>
      <c r="H837" s="18"/>
      <c r="V837" s="185"/>
    </row>
    <row r="838" spans="1:22" ht="18" hidden="1" customHeight="1">
      <c r="A838" s="184"/>
      <c r="F838" s="244"/>
      <c r="H838" s="18"/>
      <c r="V838" s="185"/>
    </row>
    <row r="839" spans="1:22" ht="18" hidden="1" customHeight="1">
      <c r="A839" s="184"/>
      <c r="F839" s="244"/>
      <c r="H839" s="18"/>
      <c r="V839" s="185"/>
    </row>
    <row r="840" spans="1:22" ht="18" hidden="1" customHeight="1">
      <c r="A840" s="194"/>
      <c r="B840" s="195"/>
      <c r="C840" s="195"/>
      <c r="D840" s="195"/>
      <c r="E840" s="195"/>
      <c r="F840" s="195"/>
      <c r="G840" s="195"/>
      <c r="H840" s="195"/>
      <c r="I840" s="195"/>
      <c r="J840" s="195"/>
      <c r="K840" s="195"/>
      <c r="L840" s="195"/>
      <c r="M840" s="195"/>
      <c r="N840" s="195"/>
      <c r="O840" s="195"/>
      <c r="P840" s="195"/>
      <c r="Q840" s="224"/>
      <c r="R840" s="182"/>
      <c r="S840" s="225"/>
      <c r="T840" s="195"/>
      <c r="U840" s="195"/>
      <c r="V840" s="134"/>
    </row>
    <row r="841" spans="1:22" ht="18" hidden="1" customHeight="1">
      <c r="A841" s="226"/>
      <c r="B841" s="227"/>
      <c r="C841" s="227"/>
      <c r="D841" s="227"/>
      <c r="E841" s="227"/>
      <c r="F841" s="227"/>
      <c r="G841" s="227"/>
      <c r="H841" s="227"/>
      <c r="I841" s="227"/>
      <c r="J841" s="227"/>
      <c r="K841" s="227"/>
      <c r="L841" s="227"/>
      <c r="M841" s="227"/>
      <c r="N841" s="227"/>
      <c r="O841" s="227"/>
      <c r="P841" s="227"/>
      <c r="Q841" s="227"/>
      <c r="R841" s="227"/>
      <c r="S841" s="227"/>
      <c r="T841" s="227"/>
      <c r="U841" s="227"/>
      <c r="V841" s="228"/>
    </row>
    <row r="842" spans="1:22" ht="18" hidden="1" customHeight="1">
      <c r="A842" s="262" t="s">
        <v>501</v>
      </c>
      <c r="B842" s="14"/>
      <c r="C842" s="14"/>
      <c r="D842" s="120"/>
      <c r="E842" s="120"/>
      <c r="F842" s="18"/>
      <c r="G842" s="18"/>
      <c r="H842" s="14"/>
      <c r="I842" s="14"/>
      <c r="J842" s="14"/>
      <c r="K842" s="14"/>
      <c r="L842" s="14"/>
      <c r="M842" s="14"/>
      <c r="N842" s="14"/>
      <c r="O842" s="14"/>
      <c r="P842" s="28"/>
      <c r="Q842" s="120"/>
      <c r="R842" s="47"/>
      <c r="S842" s="206"/>
      <c r="T842" s="259"/>
      <c r="U842" s="14"/>
      <c r="V842" s="97"/>
    </row>
    <row r="843" spans="1:22" ht="18" hidden="1" customHeight="1">
      <c r="A843" s="955" t="s">
        <v>85</v>
      </c>
      <c r="B843" s="956"/>
      <c r="C843" s="1132"/>
      <c r="D843" s="955" t="s">
        <v>86</v>
      </c>
      <c r="E843" s="1146"/>
      <c r="F843" s="1146"/>
      <c r="G843" s="1132"/>
      <c r="H843" s="955" t="s">
        <v>87</v>
      </c>
      <c r="I843" s="957"/>
      <c r="J843" s="955" t="s">
        <v>88</v>
      </c>
      <c r="K843" s="1132"/>
      <c r="L843" s="955" t="s">
        <v>502</v>
      </c>
      <c r="M843" s="956"/>
      <c r="N843" s="957" t="s">
        <v>556</v>
      </c>
      <c r="O843" s="955" t="s">
        <v>503</v>
      </c>
      <c r="P843" s="956"/>
      <c r="Q843" s="1132"/>
      <c r="R843" s="955" t="s">
        <v>646</v>
      </c>
      <c r="S843" s="1277"/>
      <c r="T843" s="1278"/>
      <c r="U843" s="955" t="s">
        <v>505</v>
      </c>
      <c r="V843" s="1139"/>
    </row>
    <row r="844" spans="1:22" ht="18" hidden="1" customHeight="1">
      <c r="A844" s="1125"/>
      <c r="B844" s="983"/>
      <c r="C844" s="1133"/>
      <c r="D844" s="1136"/>
      <c r="E844" s="1135"/>
      <c r="F844" s="1135"/>
      <c r="G844" s="1133"/>
      <c r="H844" s="1125"/>
      <c r="I844" s="1126"/>
      <c r="J844" s="1136"/>
      <c r="K844" s="1133"/>
      <c r="L844" s="1125"/>
      <c r="M844" s="983"/>
      <c r="N844" s="1126"/>
      <c r="O844" s="1125"/>
      <c r="P844" s="983"/>
      <c r="Q844" s="1133"/>
      <c r="R844" s="1279"/>
      <c r="S844" s="1277"/>
      <c r="T844" s="1278"/>
      <c r="U844" s="1140"/>
      <c r="V844" s="1141"/>
    </row>
    <row r="845" spans="1:22" ht="18" hidden="1" customHeight="1">
      <c r="A845" s="1047"/>
      <c r="B845" s="1048"/>
      <c r="C845" s="1134"/>
      <c r="D845" s="1137"/>
      <c r="E845" s="1138"/>
      <c r="F845" s="1138"/>
      <c r="G845" s="1134"/>
      <c r="H845" s="1047"/>
      <c r="I845" s="1049"/>
      <c r="J845" s="1137"/>
      <c r="K845" s="1134"/>
      <c r="L845" s="1047"/>
      <c r="M845" s="1048"/>
      <c r="N845" s="1049"/>
      <c r="O845" s="1047"/>
      <c r="P845" s="1048"/>
      <c r="Q845" s="1134"/>
      <c r="R845" s="1280"/>
      <c r="S845" s="1281"/>
      <c r="T845" s="1282"/>
      <c r="U845" s="1142"/>
      <c r="V845" s="1143"/>
    </row>
    <row r="846" spans="1:22" ht="18" hidden="1" customHeight="1">
      <c r="A846" s="1283" t="str">
        <f>B710</f>
        <v>BCT13,14,15</v>
      </c>
      <c r="B846" s="1284">
        <f>B711</f>
        <v>0</v>
      </c>
      <c r="C846" s="871" t="str">
        <f>D710</f>
        <v>Core2</v>
      </c>
      <c r="D846" s="871">
        <f>H581</f>
        <v>1200</v>
      </c>
      <c r="E846" s="871" t="str">
        <f>J581</f>
        <v>-</v>
      </c>
      <c r="F846" s="871" t="str">
        <f>L713</f>
        <v>-</v>
      </c>
      <c r="G846" s="871">
        <f>O581</f>
        <v>1</v>
      </c>
      <c r="H846" s="871">
        <f>'CT-VT Burdens'!S21</f>
        <v>120</v>
      </c>
      <c r="I846" s="1036">
        <f>'CT-VT Burdens'!S10</f>
        <v>6</v>
      </c>
      <c r="J846" s="869" t="str">
        <f>J582</f>
        <v>TPS</v>
      </c>
      <c r="K846" s="869"/>
      <c r="L846" s="871">
        <f>H456</f>
        <v>5</v>
      </c>
      <c r="M846" s="871" t="str">
        <f>J583</f>
        <v>-</v>
      </c>
      <c r="N846" s="871" t="str">
        <f>L715</f>
        <v>-</v>
      </c>
      <c r="O846" s="871">
        <f>H457</f>
        <v>430</v>
      </c>
      <c r="P846" s="871" t="str">
        <f>J584</f>
        <v>-</v>
      </c>
      <c r="Q846" s="871" t="str">
        <f>L716</f>
        <v>-</v>
      </c>
      <c r="R846" s="871">
        <f>H458</f>
        <v>20</v>
      </c>
      <c r="S846" s="871" t="str">
        <f>J585</f>
        <v>-</v>
      </c>
      <c r="T846" s="871" t="str">
        <f>L717</f>
        <v>-</v>
      </c>
      <c r="U846" s="869" t="str">
        <f>D589</f>
        <v>RET670</v>
      </c>
      <c r="V846" s="869"/>
    </row>
    <row r="847" spans="1:22" ht="18" hidden="1" customHeight="1">
      <c r="A847" s="765">
        <f>B711</f>
        <v>0</v>
      </c>
      <c r="B847" s="1144">
        <f>A712</f>
        <v>0</v>
      </c>
      <c r="C847" s="1130"/>
      <c r="D847" s="1130"/>
      <c r="E847" s="1130"/>
      <c r="F847" s="1130"/>
      <c r="G847" s="1130"/>
      <c r="H847" s="1130"/>
      <c r="I847" s="1130"/>
      <c r="J847" s="1129"/>
      <c r="K847" s="1129"/>
      <c r="L847" s="1130"/>
      <c r="M847" s="1130"/>
      <c r="N847" s="1130"/>
      <c r="O847" s="1130"/>
      <c r="P847" s="1130"/>
      <c r="Q847" s="1130"/>
      <c r="R847" s="1130"/>
      <c r="S847" s="1130"/>
      <c r="T847" s="1130"/>
      <c r="U847" s="1129"/>
      <c r="V847" s="1129"/>
    </row>
    <row r="848" spans="1:22" ht="18" hidden="1" customHeight="1">
      <c r="A848" s="765">
        <f>A712</f>
        <v>0</v>
      </c>
      <c r="B848" s="1144" t="str">
        <f>B713</f>
        <v>CT Ratio:</v>
      </c>
      <c r="C848" s="1131"/>
      <c r="D848" s="1131"/>
      <c r="E848" s="1131"/>
      <c r="F848" s="1131"/>
      <c r="G848" s="1131"/>
      <c r="H848" s="1131"/>
      <c r="I848" s="1131"/>
      <c r="J848" s="1129"/>
      <c r="K848" s="1129"/>
      <c r="L848" s="1131"/>
      <c r="M848" s="1131"/>
      <c r="N848" s="1131"/>
      <c r="O848" s="1131"/>
      <c r="P848" s="1131"/>
      <c r="Q848" s="1131"/>
      <c r="R848" s="1131"/>
      <c r="S848" s="1131"/>
      <c r="T848" s="1131"/>
      <c r="U848" s="1129"/>
      <c r="V848" s="1129"/>
    </row>
    <row r="849" spans="1:22" ht="18" hidden="1" customHeight="1">
      <c r="A849" s="184"/>
      <c r="V849" s="185"/>
    </row>
    <row r="850" spans="1:22" ht="18" hidden="1" customHeight="1">
      <c r="A850" s="184"/>
      <c r="V850" s="185"/>
    </row>
    <row r="851" spans="1:22" ht="18" hidden="1" customHeight="1">
      <c r="A851" s="184"/>
      <c r="V851" s="185"/>
    </row>
    <row r="852" spans="1:22" ht="18" hidden="1" customHeight="1">
      <c r="A852" s="184"/>
      <c r="V852" s="185"/>
    </row>
    <row r="853" spans="1:22" ht="18" hidden="1" customHeight="1">
      <c r="A853" s="184"/>
      <c r="V853" s="185"/>
    </row>
    <row r="854" spans="1:22" ht="18" hidden="1" customHeight="1">
      <c r="A854" s="184"/>
      <c r="V854" s="185"/>
    </row>
    <row r="855" spans="1:22" ht="18" hidden="1" customHeight="1">
      <c r="A855" s="184"/>
      <c r="V855" s="185"/>
    </row>
    <row r="856" spans="1:22" ht="18" hidden="1" customHeight="1">
      <c r="A856" s="184"/>
      <c r="V856" s="185"/>
    </row>
    <row r="857" spans="1:22" ht="18" hidden="1" customHeight="1">
      <c r="A857" s="184"/>
      <c r="V857" s="185"/>
    </row>
    <row r="858" spans="1:22" ht="18" hidden="1" customHeight="1">
      <c r="A858" s="184"/>
      <c r="V858" s="185"/>
    </row>
    <row r="859" spans="1:22" ht="18" hidden="1" customHeight="1">
      <c r="A859" s="184"/>
      <c r="V859" s="185"/>
    </row>
    <row r="860" spans="1:22" ht="18" hidden="1" customHeight="1">
      <c r="A860" s="184"/>
      <c r="V860" s="185"/>
    </row>
    <row r="861" spans="1:22" ht="18" hidden="1" customHeight="1">
      <c r="A861" s="184"/>
      <c r="V861" s="185"/>
    </row>
    <row r="862" spans="1:22" ht="18" hidden="1" customHeight="1">
      <c r="A862" s="184"/>
      <c r="V862" s="185"/>
    </row>
    <row r="863" spans="1:22" ht="18" hidden="1" customHeight="1">
      <c r="A863" s="184"/>
      <c r="V863" s="185"/>
    </row>
    <row r="864" spans="1:22" ht="18" hidden="1" customHeight="1">
      <c r="A864" s="184"/>
      <c r="V864" s="185"/>
    </row>
    <row r="865" spans="1:22" ht="18" hidden="1" customHeight="1">
      <c r="A865" s="184"/>
      <c r="V865" s="185"/>
    </row>
    <row r="866" spans="1:22" ht="18" hidden="1" customHeight="1">
      <c r="A866" s="184"/>
      <c r="V866" s="185"/>
    </row>
    <row r="867" spans="1:22" ht="18" hidden="1" customHeight="1">
      <c r="A867" s="184"/>
      <c r="V867" s="185"/>
    </row>
    <row r="868" spans="1:22" ht="18" hidden="1" customHeight="1">
      <c r="A868" s="184"/>
      <c r="V868" s="185"/>
    </row>
    <row r="869" spans="1:22" ht="18" hidden="1" customHeight="1">
      <c r="A869" s="184"/>
      <c r="V869" s="185"/>
    </row>
    <row r="870" spans="1:22" ht="18" hidden="1" customHeight="1">
      <c r="A870" s="184"/>
      <c r="V870" s="185"/>
    </row>
    <row r="871" spans="1:22" ht="18" hidden="1" customHeight="1">
      <c r="A871" s="184"/>
      <c r="V871" s="185"/>
    </row>
    <row r="872" spans="1:22" ht="18" hidden="1" customHeight="1">
      <c r="A872" s="184"/>
      <c r="V872" s="185"/>
    </row>
    <row r="873" spans="1:22" ht="18" hidden="1" customHeight="1">
      <c r="A873" s="184"/>
      <c r="V873" s="185"/>
    </row>
    <row r="874" spans="1:22" ht="18" hidden="1" customHeight="1">
      <c r="A874" s="184"/>
      <c r="V874" s="185"/>
    </row>
    <row r="875" spans="1:22" ht="18" hidden="1" customHeight="1">
      <c r="A875" s="184"/>
      <c r="V875" s="185"/>
    </row>
    <row r="876" spans="1:22" ht="18" hidden="1" customHeight="1">
      <c r="A876" s="184"/>
      <c r="V876" s="185"/>
    </row>
    <row r="877" spans="1:22" ht="18" hidden="1" customHeight="1">
      <c r="A877" s="184"/>
      <c r="V877" s="185"/>
    </row>
    <row r="878" spans="1:22" ht="18" hidden="1" customHeight="1">
      <c r="A878" s="184"/>
      <c r="V878" s="185"/>
    </row>
    <row r="879" spans="1:22" s="14" customFormat="1" ht="18" hidden="1" customHeight="1">
      <c r="A879" s="184"/>
      <c r="B879" s="30"/>
      <c r="C879" s="30"/>
      <c r="D879" s="30"/>
      <c r="E879" s="30"/>
      <c r="F879" s="30"/>
      <c r="G879" s="30"/>
      <c r="H879" s="30"/>
      <c r="I879" s="30"/>
      <c r="J879" s="30"/>
      <c r="K879" s="30"/>
      <c r="L879" s="30"/>
      <c r="M879" s="30"/>
      <c r="N879" s="30"/>
      <c r="O879" s="30"/>
      <c r="P879" s="30"/>
      <c r="Q879" s="30"/>
      <c r="R879" s="30"/>
      <c r="S879" s="30"/>
      <c r="T879" s="30"/>
      <c r="U879" s="30"/>
      <c r="V879" s="185"/>
    </row>
    <row r="880" spans="1:22" ht="18" hidden="1" customHeight="1">
      <c r="A880" s="184"/>
      <c r="V880" s="185"/>
    </row>
    <row r="881" spans="1:22" ht="18" hidden="1" customHeight="1">
      <c r="A881" s="184"/>
      <c r="V881" s="185"/>
    </row>
    <row r="882" spans="1:22" ht="18" hidden="1" customHeight="1">
      <c r="A882" s="184"/>
      <c r="V882" s="185"/>
    </row>
    <row r="883" spans="1:22" ht="18" hidden="1" customHeight="1">
      <c r="A883" s="184"/>
      <c r="V883" s="185"/>
    </row>
    <row r="884" spans="1:22" ht="18" hidden="1" customHeight="1">
      <c r="A884" s="194"/>
      <c r="B884" s="195"/>
      <c r="C884" s="195"/>
      <c r="D884" s="195"/>
      <c r="E884" s="195"/>
      <c r="F884" s="195"/>
      <c r="G884" s="195"/>
      <c r="H884" s="195"/>
      <c r="I884" s="195"/>
      <c r="J884" s="195"/>
      <c r="K884" s="195"/>
      <c r="L884" s="195"/>
      <c r="M884" s="195"/>
      <c r="N884" s="195"/>
      <c r="O884" s="195"/>
      <c r="P884" s="195"/>
      <c r="Q884" s="224"/>
      <c r="R884" s="182"/>
      <c r="S884" s="225"/>
      <c r="T884" s="195"/>
      <c r="U884" s="195"/>
      <c r="V884" s="134"/>
    </row>
  </sheetData>
  <mergeCells count="963">
    <mergeCell ref="U843:V845"/>
    <mergeCell ref="A846:B846"/>
    <mergeCell ref="C846:C848"/>
    <mergeCell ref="D846:D848"/>
    <mergeCell ref="E846:E848"/>
    <mergeCell ref="F846:F848"/>
    <mergeCell ref="G846:G848"/>
    <mergeCell ref="H846:H848"/>
    <mergeCell ref="I846:I848"/>
    <mergeCell ref="Q846:Q848"/>
    <mergeCell ref="R846:R848"/>
    <mergeCell ref="S846:S848"/>
    <mergeCell ref="T846:T848"/>
    <mergeCell ref="U846:V848"/>
    <mergeCell ref="A847:B847"/>
    <mergeCell ref="A848:B848"/>
    <mergeCell ref="J846:K848"/>
    <mergeCell ref="L846:L848"/>
    <mergeCell ref="M846:M848"/>
    <mergeCell ref="N846:N848"/>
    <mergeCell ref="O846:O848"/>
    <mergeCell ref="P846:P848"/>
    <mergeCell ref="Q804:R804"/>
    <mergeCell ref="Q805:R805"/>
    <mergeCell ref="E808:F808"/>
    <mergeCell ref="H808:I808"/>
    <mergeCell ref="A843:C845"/>
    <mergeCell ref="D843:G845"/>
    <mergeCell ref="H843:I845"/>
    <mergeCell ref="J843:K845"/>
    <mergeCell ref="L843:N845"/>
    <mergeCell ref="O843:Q845"/>
    <mergeCell ref="R843:T845"/>
    <mergeCell ref="Q791:S791"/>
    <mergeCell ref="T791:T792"/>
    <mergeCell ref="I792:J792"/>
    <mergeCell ref="D794:E794"/>
    <mergeCell ref="I787:J787"/>
    <mergeCell ref="D789:E789"/>
    <mergeCell ref="M798:N798"/>
    <mergeCell ref="Q798:R798"/>
    <mergeCell ref="K791:K792"/>
    <mergeCell ref="L791:L792"/>
    <mergeCell ref="M791:M792"/>
    <mergeCell ref="N791:N792"/>
    <mergeCell ref="O791:O792"/>
    <mergeCell ref="P791:P792"/>
    <mergeCell ref="A791:C792"/>
    <mergeCell ref="D791:D792"/>
    <mergeCell ref="E791:E792"/>
    <mergeCell ref="F791:G792"/>
    <mergeCell ref="H791:H792"/>
    <mergeCell ref="I791:J791"/>
    <mergeCell ref="K786:K787"/>
    <mergeCell ref="Q781:S781"/>
    <mergeCell ref="T781:T782"/>
    <mergeCell ref="I782:J782"/>
    <mergeCell ref="D784:E784"/>
    <mergeCell ref="A786:C787"/>
    <mergeCell ref="D786:D787"/>
    <mergeCell ref="E786:E787"/>
    <mergeCell ref="F786:G787"/>
    <mergeCell ref="H786:H787"/>
    <mergeCell ref="I786:J786"/>
    <mergeCell ref="K781:K782"/>
    <mergeCell ref="L781:L782"/>
    <mergeCell ref="M781:M782"/>
    <mergeCell ref="N781:N782"/>
    <mergeCell ref="O781:O782"/>
    <mergeCell ref="P781:P782"/>
    <mergeCell ref="A781:C782"/>
    <mergeCell ref="D781:D782"/>
    <mergeCell ref="E781:E782"/>
    <mergeCell ref="F781:G782"/>
    <mergeCell ref="H781:H782"/>
    <mergeCell ref="I781:J781"/>
    <mergeCell ref="Q786:S786"/>
    <mergeCell ref="T786:T787"/>
    <mergeCell ref="R773:S773"/>
    <mergeCell ref="R775:S775"/>
    <mergeCell ref="R776:S776"/>
    <mergeCell ref="R777:S777"/>
    <mergeCell ref="R778:S778"/>
    <mergeCell ref="R779:S779"/>
    <mergeCell ref="L786:L787"/>
    <mergeCell ref="M786:M787"/>
    <mergeCell ref="N786:N787"/>
    <mergeCell ref="O786:O787"/>
    <mergeCell ref="P786:P787"/>
    <mergeCell ref="M766:N766"/>
    <mergeCell ref="R769:S769"/>
    <mergeCell ref="R770:S770"/>
    <mergeCell ref="R771:S771"/>
    <mergeCell ref="L763:L764"/>
    <mergeCell ref="M763:M764"/>
    <mergeCell ref="N763:N764"/>
    <mergeCell ref="O763:O764"/>
    <mergeCell ref="P763:P764"/>
    <mergeCell ref="Q763:S763"/>
    <mergeCell ref="A760:V761"/>
    <mergeCell ref="A763:C764"/>
    <mergeCell ref="D763:D764"/>
    <mergeCell ref="E763:E764"/>
    <mergeCell ref="F763:G764"/>
    <mergeCell ref="H763:H764"/>
    <mergeCell ref="I763:J763"/>
    <mergeCell ref="K763:K764"/>
    <mergeCell ref="L757:L758"/>
    <mergeCell ref="M757:M758"/>
    <mergeCell ref="N757:N758"/>
    <mergeCell ref="O757:O758"/>
    <mergeCell ref="P757:P758"/>
    <mergeCell ref="Q757:S757"/>
    <mergeCell ref="T763:T764"/>
    <mergeCell ref="I764:J764"/>
    <mergeCell ref="Q754:S754"/>
    <mergeCell ref="T754:T755"/>
    <mergeCell ref="I755:J755"/>
    <mergeCell ref="A757:C758"/>
    <mergeCell ref="D757:D758"/>
    <mergeCell ref="E757:E758"/>
    <mergeCell ref="F757:G758"/>
    <mergeCell ref="H757:H758"/>
    <mergeCell ref="I757:J757"/>
    <mergeCell ref="K757:K758"/>
    <mergeCell ref="K754:K755"/>
    <mergeCell ref="L754:L755"/>
    <mergeCell ref="M754:M755"/>
    <mergeCell ref="N754:N755"/>
    <mergeCell ref="O754:O755"/>
    <mergeCell ref="P754:P755"/>
    <mergeCell ref="A754:C755"/>
    <mergeCell ref="D754:D755"/>
    <mergeCell ref="E754:E755"/>
    <mergeCell ref="F754:G755"/>
    <mergeCell ref="H754:H755"/>
    <mergeCell ref="I754:J754"/>
    <mergeCell ref="T757:T758"/>
    <mergeCell ref="I758:J758"/>
    <mergeCell ref="J733:K733"/>
    <mergeCell ref="J734:K734"/>
    <mergeCell ref="O738:P738"/>
    <mergeCell ref="O739:P739"/>
    <mergeCell ref="O740:P740"/>
    <mergeCell ref="A742:V743"/>
    <mergeCell ref="J725:K725"/>
    <mergeCell ref="P725:Q725"/>
    <mergeCell ref="P728:Q728"/>
    <mergeCell ref="P729:Q729"/>
    <mergeCell ref="P730:Q730"/>
    <mergeCell ref="J732:K732"/>
    <mergeCell ref="AB716:AC716"/>
    <mergeCell ref="L717:M717"/>
    <mergeCell ref="J721:K721"/>
    <mergeCell ref="J722:K722"/>
    <mergeCell ref="J723:K723"/>
    <mergeCell ref="J724:K724"/>
    <mergeCell ref="H713:I713"/>
    <mergeCell ref="J713:K713"/>
    <mergeCell ref="L713:M713"/>
    <mergeCell ref="L714:M714"/>
    <mergeCell ref="L715:M715"/>
    <mergeCell ref="L716:M716"/>
    <mergeCell ref="T710:U710"/>
    <mergeCell ref="B711:C711"/>
    <mergeCell ref="T711:U711"/>
    <mergeCell ref="H712:I712"/>
    <mergeCell ref="J712:K712"/>
    <mergeCell ref="L712:M712"/>
    <mergeCell ref="T712:U712"/>
    <mergeCell ref="Q672:R672"/>
    <mergeCell ref="Q673:R673"/>
    <mergeCell ref="E676:F676"/>
    <mergeCell ref="H676:I676"/>
    <mergeCell ref="B710:C710"/>
    <mergeCell ref="D710:E711"/>
    <mergeCell ref="H710:M710"/>
    <mergeCell ref="Q659:S659"/>
    <mergeCell ref="T659:T660"/>
    <mergeCell ref="I660:J660"/>
    <mergeCell ref="D662:E662"/>
    <mergeCell ref="I655:J655"/>
    <mergeCell ref="D657:E657"/>
    <mergeCell ref="M666:N666"/>
    <mergeCell ref="Q666:R666"/>
    <mergeCell ref="K659:K660"/>
    <mergeCell ref="L659:L660"/>
    <mergeCell ref="M659:M660"/>
    <mergeCell ref="N659:N660"/>
    <mergeCell ref="O659:O660"/>
    <mergeCell ref="P659:P660"/>
    <mergeCell ref="A659:C660"/>
    <mergeCell ref="D659:D660"/>
    <mergeCell ref="E659:E660"/>
    <mergeCell ref="F659:G660"/>
    <mergeCell ref="H659:H660"/>
    <mergeCell ref="I659:J659"/>
    <mergeCell ref="K654:K655"/>
    <mergeCell ref="Q649:S649"/>
    <mergeCell ref="T649:T650"/>
    <mergeCell ref="I650:J650"/>
    <mergeCell ref="D652:E652"/>
    <mergeCell ref="A654:C655"/>
    <mergeCell ref="D654:D655"/>
    <mergeCell ref="E654:E655"/>
    <mergeCell ref="F654:G655"/>
    <mergeCell ref="H654:H655"/>
    <mergeCell ref="I654:J654"/>
    <mergeCell ref="K649:K650"/>
    <mergeCell ref="L649:L650"/>
    <mergeCell ref="M649:M650"/>
    <mergeCell ref="N649:N650"/>
    <mergeCell ref="O649:O650"/>
    <mergeCell ref="P649:P650"/>
    <mergeCell ref="A649:C650"/>
    <mergeCell ref="D649:D650"/>
    <mergeCell ref="E649:E650"/>
    <mergeCell ref="F649:G650"/>
    <mergeCell ref="H649:H650"/>
    <mergeCell ref="I649:J649"/>
    <mergeCell ref="Q654:S654"/>
    <mergeCell ref="T654:T655"/>
    <mergeCell ref="R641:S641"/>
    <mergeCell ref="R643:S643"/>
    <mergeCell ref="R644:S644"/>
    <mergeCell ref="R645:S645"/>
    <mergeCell ref="R646:S646"/>
    <mergeCell ref="R647:S647"/>
    <mergeCell ref="L654:L655"/>
    <mergeCell ref="M654:M655"/>
    <mergeCell ref="N654:N655"/>
    <mergeCell ref="O654:O655"/>
    <mergeCell ref="P654:P655"/>
    <mergeCell ref="M634:N634"/>
    <mergeCell ref="R637:S637"/>
    <mergeCell ref="R638:S638"/>
    <mergeCell ref="R639:S639"/>
    <mergeCell ref="L631:L632"/>
    <mergeCell ref="M631:M632"/>
    <mergeCell ref="N631:N632"/>
    <mergeCell ref="O631:O632"/>
    <mergeCell ref="P631:P632"/>
    <mergeCell ref="Q631:S631"/>
    <mergeCell ref="A628:V629"/>
    <mergeCell ref="A631:C632"/>
    <mergeCell ref="D631:D632"/>
    <mergeCell ref="E631:E632"/>
    <mergeCell ref="F631:G632"/>
    <mergeCell ref="H631:H632"/>
    <mergeCell ref="I631:J631"/>
    <mergeCell ref="K631:K632"/>
    <mergeCell ref="L625:L626"/>
    <mergeCell ref="M625:M626"/>
    <mergeCell ref="N625:N626"/>
    <mergeCell ref="O625:O626"/>
    <mergeCell ref="P625:P626"/>
    <mergeCell ref="Q625:S625"/>
    <mergeCell ref="T631:T632"/>
    <mergeCell ref="I632:J632"/>
    <mergeCell ref="Q622:S622"/>
    <mergeCell ref="T622:T623"/>
    <mergeCell ref="I623:J623"/>
    <mergeCell ref="A625:C626"/>
    <mergeCell ref="D625:D626"/>
    <mergeCell ref="E625:E626"/>
    <mergeCell ref="F625:G626"/>
    <mergeCell ref="H625:H626"/>
    <mergeCell ref="I625:J625"/>
    <mergeCell ref="K625:K626"/>
    <mergeCell ref="K622:K623"/>
    <mergeCell ref="L622:L623"/>
    <mergeCell ref="M622:M623"/>
    <mergeCell ref="N622:N623"/>
    <mergeCell ref="O622:O623"/>
    <mergeCell ref="P622:P623"/>
    <mergeCell ref="A622:C623"/>
    <mergeCell ref="D622:D623"/>
    <mergeCell ref="E622:E623"/>
    <mergeCell ref="F622:G623"/>
    <mergeCell ref="H622:H623"/>
    <mergeCell ref="I622:J622"/>
    <mergeCell ref="T625:T626"/>
    <mergeCell ref="I626:J626"/>
    <mergeCell ref="J601:K601"/>
    <mergeCell ref="J602:K602"/>
    <mergeCell ref="O606:P606"/>
    <mergeCell ref="O607:P607"/>
    <mergeCell ref="O608:P608"/>
    <mergeCell ref="A610:V611"/>
    <mergeCell ref="J593:K593"/>
    <mergeCell ref="P593:Q593"/>
    <mergeCell ref="P596:Q596"/>
    <mergeCell ref="P597:Q597"/>
    <mergeCell ref="P598:Q598"/>
    <mergeCell ref="J600:K600"/>
    <mergeCell ref="AB584:AC584"/>
    <mergeCell ref="J585:K585"/>
    <mergeCell ref="J589:K589"/>
    <mergeCell ref="J590:K590"/>
    <mergeCell ref="J591:K591"/>
    <mergeCell ref="J592:K592"/>
    <mergeCell ref="H581:I581"/>
    <mergeCell ref="J581:K581"/>
    <mergeCell ref="L581:M581"/>
    <mergeCell ref="J582:K582"/>
    <mergeCell ref="J583:K583"/>
    <mergeCell ref="J584:K584"/>
    <mergeCell ref="T578:U578"/>
    <mergeCell ref="B579:C579"/>
    <mergeCell ref="T579:U579"/>
    <mergeCell ref="H580:I580"/>
    <mergeCell ref="J580:K580"/>
    <mergeCell ref="L580:M580"/>
    <mergeCell ref="T580:U580"/>
    <mergeCell ref="Q540:R540"/>
    <mergeCell ref="Q541:R541"/>
    <mergeCell ref="E544:F544"/>
    <mergeCell ref="H544:I544"/>
    <mergeCell ref="B578:C578"/>
    <mergeCell ref="D578:E579"/>
    <mergeCell ref="H578:M578"/>
    <mergeCell ref="P527:P528"/>
    <mergeCell ref="Q527:S527"/>
    <mergeCell ref="T527:T528"/>
    <mergeCell ref="I528:J528"/>
    <mergeCell ref="D530:E530"/>
    <mergeCell ref="M534:N534"/>
    <mergeCell ref="Q534:R534"/>
    <mergeCell ref="I527:J527"/>
    <mergeCell ref="K527:K528"/>
    <mergeCell ref="L527:L528"/>
    <mergeCell ref="M527:M528"/>
    <mergeCell ref="N527:N528"/>
    <mergeCell ref="O527:O528"/>
    <mergeCell ref="D525:E525"/>
    <mergeCell ref="A527:C528"/>
    <mergeCell ref="D527:D528"/>
    <mergeCell ref="E527:E528"/>
    <mergeCell ref="F527:G528"/>
    <mergeCell ref="H527:H528"/>
    <mergeCell ref="I522:J522"/>
    <mergeCell ref="K522:K523"/>
    <mergeCell ref="L522:L523"/>
    <mergeCell ref="T517:T518"/>
    <mergeCell ref="I518:J518"/>
    <mergeCell ref="D520:E520"/>
    <mergeCell ref="A522:C523"/>
    <mergeCell ref="D522:D523"/>
    <mergeCell ref="E522:E523"/>
    <mergeCell ref="F522:G523"/>
    <mergeCell ref="H522:H523"/>
    <mergeCell ref="I517:J517"/>
    <mergeCell ref="K517:K518"/>
    <mergeCell ref="L517:L518"/>
    <mergeCell ref="M517:M518"/>
    <mergeCell ref="N517:N518"/>
    <mergeCell ref="O517:O518"/>
    <mergeCell ref="P522:P523"/>
    <mergeCell ref="Q522:S522"/>
    <mergeCell ref="T522:T523"/>
    <mergeCell ref="I523:J523"/>
    <mergeCell ref="M522:M523"/>
    <mergeCell ref="N522:N523"/>
    <mergeCell ref="O522:O523"/>
    <mergeCell ref="R511:S511"/>
    <mergeCell ref="R512:S512"/>
    <mergeCell ref="R513:S513"/>
    <mergeCell ref="R514:S514"/>
    <mergeCell ref="R515:S515"/>
    <mergeCell ref="A517:C518"/>
    <mergeCell ref="D517:D518"/>
    <mergeCell ref="E517:E518"/>
    <mergeCell ref="F517:G518"/>
    <mergeCell ref="H517:H518"/>
    <mergeCell ref="P517:P518"/>
    <mergeCell ref="Q517:S517"/>
    <mergeCell ref="M502:N502"/>
    <mergeCell ref="R505:S505"/>
    <mergeCell ref="R506:S506"/>
    <mergeCell ref="R507:S507"/>
    <mergeCell ref="R509:S509"/>
    <mergeCell ref="M499:M500"/>
    <mergeCell ref="N499:N500"/>
    <mergeCell ref="O499:O500"/>
    <mergeCell ref="P499:P500"/>
    <mergeCell ref="Q499:S499"/>
    <mergeCell ref="T499:T500"/>
    <mergeCell ref="I494:J494"/>
    <mergeCell ref="A496:V497"/>
    <mergeCell ref="A499:C500"/>
    <mergeCell ref="D499:D500"/>
    <mergeCell ref="E499:E500"/>
    <mergeCell ref="F499:G500"/>
    <mergeCell ref="H499:H500"/>
    <mergeCell ref="I499:J499"/>
    <mergeCell ref="K499:K500"/>
    <mergeCell ref="L499:L500"/>
    <mergeCell ref="M493:M494"/>
    <mergeCell ref="N493:N494"/>
    <mergeCell ref="O493:O494"/>
    <mergeCell ref="P493:P494"/>
    <mergeCell ref="Q493:S493"/>
    <mergeCell ref="T493:T494"/>
    <mergeCell ref="I500:J500"/>
    <mergeCell ref="A493:C494"/>
    <mergeCell ref="D493:D494"/>
    <mergeCell ref="E493:E494"/>
    <mergeCell ref="F493:G494"/>
    <mergeCell ref="H493:H494"/>
    <mergeCell ref="I493:J493"/>
    <mergeCell ref="K493:K494"/>
    <mergeCell ref="L493:L494"/>
    <mergeCell ref="L490:L491"/>
    <mergeCell ref="O480:P480"/>
    <mergeCell ref="O481:P481"/>
    <mergeCell ref="A483:V484"/>
    <mergeCell ref="A490:C491"/>
    <mergeCell ref="D490:D491"/>
    <mergeCell ref="E490:E491"/>
    <mergeCell ref="F490:G491"/>
    <mergeCell ref="H490:H491"/>
    <mergeCell ref="I490:J490"/>
    <mergeCell ref="K490:K491"/>
    <mergeCell ref="T490:T491"/>
    <mergeCell ref="I491:J491"/>
    <mergeCell ref="M490:M491"/>
    <mergeCell ref="N490:N491"/>
    <mergeCell ref="O490:O491"/>
    <mergeCell ref="P490:P491"/>
    <mergeCell ref="Q490:S490"/>
    <mergeCell ref="P470:Q470"/>
    <mergeCell ref="P471:Q471"/>
    <mergeCell ref="J473:K473"/>
    <mergeCell ref="J474:K474"/>
    <mergeCell ref="J475:K475"/>
    <mergeCell ref="O479:P479"/>
    <mergeCell ref="J463:K463"/>
    <mergeCell ref="J464:K464"/>
    <mergeCell ref="J465:K465"/>
    <mergeCell ref="J466:K466"/>
    <mergeCell ref="P466:Q466"/>
    <mergeCell ref="P469:Q469"/>
    <mergeCell ref="H455:I455"/>
    <mergeCell ref="H456:I456"/>
    <mergeCell ref="H457:I457"/>
    <mergeCell ref="AB457:AC457"/>
    <mergeCell ref="H458:I458"/>
    <mergeCell ref="J462:K462"/>
    <mergeCell ref="T452:U452"/>
    <mergeCell ref="H453:I453"/>
    <mergeCell ref="J453:K453"/>
    <mergeCell ref="L453:M453"/>
    <mergeCell ref="T453:U453"/>
    <mergeCell ref="H454:I454"/>
    <mergeCell ref="J454:K454"/>
    <mergeCell ref="L454:M454"/>
    <mergeCell ref="A449:B449"/>
    <mergeCell ref="D449:F449"/>
    <mergeCell ref="H449:N449"/>
    <mergeCell ref="O449:Q449"/>
    <mergeCell ref="R449:V449"/>
    <mergeCell ref="B451:C451"/>
    <mergeCell ref="D451:E452"/>
    <mergeCell ref="H451:M451"/>
    <mergeCell ref="T451:U451"/>
    <mergeCell ref="B452:C452"/>
    <mergeCell ref="A447:G448"/>
    <mergeCell ref="H447:N448"/>
    <mergeCell ref="O447:Q447"/>
    <mergeCell ref="R447:V447"/>
    <mergeCell ref="O448:Q448"/>
    <mergeCell ref="R448:V448"/>
    <mergeCell ref="A445:G446"/>
    <mergeCell ref="H445:N445"/>
    <mergeCell ref="O445:Q445"/>
    <mergeCell ref="R445:V445"/>
    <mergeCell ref="H446:N446"/>
    <mergeCell ref="O446:Q446"/>
    <mergeCell ref="R446:V446"/>
    <mergeCell ref="S407:V410"/>
    <mergeCell ref="A411:A413"/>
    <mergeCell ref="B411:C413"/>
    <mergeCell ref="D411:E411"/>
    <mergeCell ref="F411:F413"/>
    <mergeCell ref="G411:G413"/>
    <mergeCell ref="H411:H413"/>
    <mergeCell ref="D412:E412"/>
    <mergeCell ref="K412:L412"/>
    <mergeCell ref="M412:N412"/>
    <mergeCell ref="O412:P412"/>
    <mergeCell ref="S412:V412"/>
    <mergeCell ref="D413:E413"/>
    <mergeCell ref="K413:L413"/>
    <mergeCell ref="M413:N413"/>
    <mergeCell ref="O413:P413"/>
    <mergeCell ref="S413:V413"/>
    <mergeCell ref="I411:J413"/>
    <mergeCell ref="K411:L411"/>
    <mergeCell ref="M411:N411"/>
    <mergeCell ref="O411:P411"/>
    <mergeCell ref="Q411:R413"/>
    <mergeCell ref="S411:V411"/>
    <mergeCell ref="Q367:R367"/>
    <mergeCell ref="Q368:R368"/>
    <mergeCell ref="Q369:R369"/>
    <mergeCell ref="E372:F372"/>
    <mergeCell ref="H372:I372"/>
    <mergeCell ref="A407:C410"/>
    <mergeCell ref="D407:F410"/>
    <mergeCell ref="G407:H410"/>
    <mergeCell ref="I407:J410"/>
    <mergeCell ref="K407:L410"/>
    <mergeCell ref="M407:N410"/>
    <mergeCell ref="O407:P410"/>
    <mergeCell ref="Q407:R410"/>
    <mergeCell ref="Q355:S355"/>
    <mergeCell ref="T355:T356"/>
    <mergeCell ref="I356:J356"/>
    <mergeCell ref="D358:E358"/>
    <mergeCell ref="I351:J351"/>
    <mergeCell ref="D353:E353"/>
    <mergeCell ref="M362:N362"/>
    <mergeCell ref="Q362:R362"/>
    <mergeCell ref="K355:K356"/>
    <mergeCell ref="L355:L356"/>
    <mergeCell ref="M355:M356"/>
    <mergeCell ref="N355:N356"/>
    <mergeCell ref="O355:O356"/>
    <mergeCell ref="P355:P356"/>
    <mergeCell ref="A355:C356"/>
    <mergeCell ref="D355:D356"/>
    <mergeCell ref="E355:E356"/>
    <mergeCell ref="F355:G356"/>
    <mergeCell ref="H355:H356"/>
    <mergeCell ref="I355:J355"/>
    <mergeCell ref="K350:K351"/>
    <mergeCell ref="Q345:S345"/>
    <mergeCell ref="T345:T346"/>
    <mergeCell ref="I346:J346"/>
    <mergeCell ref="D348:E348"/>
    <mergeCell ref="A350:C351"/>
    <mergeCell ref="D350:D351"/>
    <mergeCell ref="E350:E351"/>
    <mergeCell ref="F350:G351"/>
    <mergeCell ref="H350:H351"/>
    <mergeCell ref="I350:J350"/>
    <mergeCell ref="K345:K346"/>
    <mergeCell ref="L345:L346"/>
    <mergeCell ref="M345:M346"/>
    <mergeCell ref="N345:N346"/>
    <mergeCell ref="O345:O346"/>
    <mergeCell ref="P345:P346"/>
    <mergeCell ref="A345:C346"/>
    <mergeCell ref="D345:D346"/>
    <mergeCell ref="E345:E346"/>
    <mergeCell ref="F345:G346"/>
    <mergeCell ref="H345:H346"/>
    <mergeCell ref="I345:J345"/>
    <mergeCell ref="Q350:S350"/>
    <mergeCell ref="T350:T351"/>
    <mergeCell ref="R337:S337"/>
    <mergeCell ref="R339:S339"/>
    <mergeCell ref="R340:S340"/>
    <mergeCell ref="R341:S341"/>
    <mergeCell ref="R342:S342"/>
    <mergeCell ref="R343:S343"/>
    <mergeCell ref="L350:L351"/>
    <mergeCell ref="M350:M351"/>
    <mergeCell ref="N350:N351"/>
    <mergeCell ref="O350:O351"/>
    <mergeCell ref="P350:P351"/>
    <mergeCell ref="M330:N330"/>
    <mergeCell ref="R333:S333"/>
    <mergeCell ref="R334:S334"/>
    <mergeCell ref="R335:S335"/>
    <mergeCell ref="L327:L328"/>
    <mergeCell ref="M327:M328"/>
    <mergeCell ref="N327:N328"/>
    <mergeCell ref="O327:O328"/>
    <mergeCell ref="P327:P328"/>
    <mergeCell ref="Q327:S327"/>
    <mergeCell ref="A324:V325"/>
    <mergeCell ref="A327:C328"/>
    <mergeCell ref="D327:D328"/>
    <mergeCell ref="E327:E328"/>
    <mergeCell ref="F327:G328"/>
    <mergeCell ref="H327:H328"/>
    <mergeCell ref="I327:J327"/>
    <mergeCell ref="K327:K328"/>
    <mergeCell ref="L321:L322"/>
    <mergeCell ref="M321:M322"/>
    <mergeCell ref="N321:N322"/>
    <mergeCell ref="O321:O322"/>
    <mergeCell ref="P321:P322"/>
    <mergeCell ref="Q321:S321"/>
    <mergeCell ref="T327:T328"/>
    <mergeCell ref="I328:J328"/>
    <mergeCell ref="Q318:S318"/>
    <mergeCell ref="T318:T319"/>
    <mergeCell ref="I319:J319"/>
    <mergeCell ref="A321:C322"/>
    <mergeCell ref="D321:D322"/>
    <mergeCell ref="E321:E322"/>
    <mergeCell ref="F321:G322"/>
    <mergeCell ref="H321:H322"/>
    <mergeCell ref="I321:J321"/>
    <mergeCell ref="K321:K322"/>
    <mergeCell ref="K318:K319"/>
    <mergeCell ref="L318:L319"/>
    <mergeCell ref="M318:M319"/>
    <mergeCell ref="N318:N319"/>
    <mergeCell ref="O318:O319"/>
    <mergeCell ref="P318:P319"/>
    <mergeCell ref="A318:C319"/>
    <mergeCell ref="D318:D319"/>
    <mergeCell ref="E318:E319"/>
    <mergeCell ref="F318:G319"/>
    <mergeCell ref="H318:H319"/>
    <mergeCell ref="I318:J318"/>
    <mergeCell ref="T321:T322"/>
    <mergeCell ref="I322:J322"/>
    <mergeCell ref="J297:K297"/>
    <mergeCell ref="J298:K298"/>
    <mergeCell ref="O302:P302"/>
    <mergeCell ref="O303:P303"/>
    <mergeCell ref="O304:P304"/>
    <mergeCell ref="A306:V307"/>
    <mergeCell ref="J289:K289"/>
    <mergeCell ref="P289:Q289"/>
    <mergeCell ref="P292:Q292"/>
    <mergeCell ref="P293:Q293"/>
    <mergeCell ref="P294:Q294"/>
    <mergeCell ref="J296:K296"/>
    <mergeCell ref="AB280:AC280"/>
    <mergeCell ref="L281:M281"/>
    <mergeCell ref="J285:K285"/>
    <mergeCell ref="J286:K286"/>
    <mergeCell ref="J287:K287"/>
    <mergeCell ref="J288:K288"/>
    <mergeCell ref="H277:I277"/>
    <mergeCell ref="J277:K277"/>
    <mergeCell ref="L277:M277"/>
    <mergeCell ref="L278:M278"/>
    <mergeCell ref="L279:M279"/>
    <mergeCell ref="L280:M280"/>
    <mergeCell ref="T274:U274"/>
    <mergeCell ref="B275:C275"/>
    <mergeCell ref="T275:U275"/>
    <mergeCell ref="H276:I276"/>
    <mergeCell ref="J276:K276"/>
    <mergeCell ref="L276:M276"/>
    <mergeCell ref="T276:U276"/>
    <mergeCell ref="Q239:R239"/>
    <mergeCell ref="Q240:R240"/>
    <mergeCell ref="Q241:R241"/>
    <mergeCell ref="E244:F244"/>
    <mergeCell ref="H244:I244"/>
    <mergeCell ref="B274:C274"/>
    <mergeCell ref="D274:E275"/>
    <mergeCell ref="H274:M274"/>
    <mergeCell ref="Q220:S220"/>
    <mergeCell ref="T220:T221"/>
    <mergeCell ref="I221:J221"/>
    <mergeCell ref="D223:E223"/>
    <mergeCell ref="I216:J216"/>
    <mergeCell ref="D218:E218"/>
    <mergeCell ref="M234:N234"/>
    <mergeCell ref="Q234:R234"/>
    <mergeCell ref="K220:K221"/>
    <mergeCell ref="L220:L221"/>
    <mergeCell ref="M220:M221"/>
    <mergeCell ref="N220:N221"/>
    <mergeCell ref="O220:O221"/>
    <mergeCell ref="P220:P221"/>
    <mergeCell ref="A220:C221"/>
    <mergeCell ref="D220:D221"/>
    <mergeCell ref="E220:E221"/>
    <mergeCell ref="F220:G221"/>
    <mergeCell ref="H220:H221"/>
    <mergeCell ref="I220:J220"/>
    <mergeCell ref="K215:K216"/>
    <mergeCell ref="Q210:S210"/>
    <mergeCell ref="T210:T211"/>
    <mergeCell ref="I211:J211"/>
    <mergeCell ref="D213:E213"/>
    <mergeCell ref="A215:C216"/>
    <mergeCell ref="D215:D216"/>
    <mergeCell ref="E215:E216"/>
    <mergeCell ref="F215:G216"/>
    <mergeCell ref="H215:H216"/>
    <mergeCell ref="I215:J215"/>
    <mergeCell ref="K210:K211"/>
    <mergeCell ref="L210:L211"/>
    <mergeCell ref="M210:M211"/>
    <mergeCell ref="N210:N211"/>
    <mergeCell ref="O210:O211"/>
    <mergeCell ref="P210:P211"/>
    <mergeCell ref="A210:C211"/>
    <mergeCell ref="D210:D211"/>
    <mergeCell ref="E210:E211"/>
    <mergeCell ref="F210:G211"/>
    <mergeCell ref="H210:H211"/>
    <mergeCell ref="I210:J210"/>
    <mergeCell ref="Q215:S215"/>
    <mergeCell ref="T215:T216"/>
    <mergeCell ref="R202:S202"/>
    <mergeCell ref="R204:S204"/>
    <mergeCell ref="R205:S205"/>
    <mergeCell ref="R206:S206"/>
    <mergeCell ref="R207:S207"/>
    <mergeCell ref="R208:S208"/>
    <mergeCell ref="L215:L216"/>
    <mergeCell ref="M215:M216"/>
    <mergeCell ref="N215:N216"/>
    <mergeCell ref="O215:O216"/>
    <mergeCell ref="P215:P216"/>
    <mergeCell ref="M195:N195"/>
    <mergeCell ref="R198:S198"/>
    <mergeCell ref="R199:S199"/>
    <mergeCell ref="R200:S200"/>
    <mergeCell ref="L192:L193"/>
    <mergeCell ref="M192:M193"/>
    <mergeCell ref="N192:N193"/>
    <mergeCell ref="O192:O193"/>
    <mergeCell ref="P192:P193"/>
    <mergeCell ref="Q192:S192"/>
    <mergeCell ref="A189:V190"/>
    <mergeCell ref="A192:C193"/>
    <mergeCell ref="D192:D193"/>
    <mergeCell ref="E192:E193"/>
    <mergeCell ref="F192:G193"/>
    <mergeCell ref="H192:H193"/>
    <mergeCell ref="I192:J192"/>
    <mergeCell ref="K192:K193"/>
    <mergeCell ref="L186:L187"/>
    <mergeCell ref="M186:M187"/>
    <mergeCell ref="N186:N187"/>
    <mergeCell ref="O186:O187"/>
    <mergeCell ref="P186:P187"/>
    <mergeCell ref="Q186:S186"/>
    <mergeCell ref="T192:T193"/>
    <mergeCell ref="I193:J193"/>
    <mergeCell ref="Q183:S183"/>
    <mergeCell ref="T183:T184"/>
    <mergeCell ref="I184:J184"/>
    <mergeCell ref="A186:C187"/>
    <mergeCell ref="D186:D187"/>
    <mergeCell ref="E186:E187"/>
    <mergeCell ref="F186:G187"/>
    <mergeCell ref="H186:H187"/>
    <mergeCell ref="I186:J186"/>
    <mergeCell ref="K186:K187"/>
    <mergeCell ref="K183:K184"/>
    <mergeCell ref="L183:L184"/>
    <mergeCell ref="M183:M184"/>
    <mergeCell ref="N183:N184"/>
    <mergeCell ref="O183:O184"/>
    <mergeCell ref="P183:P184"/>
    <mergeCell ref="A183:C184"/>
    <mergeCell ref="D183:D184"/>
    <mergeCell ref="E183:E184"/>
    <mergeCell ref="F183:G184"/>
    <mergeCell ref="H183:H184"/>
    <mergeCell ref="I183:J183"/>
    <mergeCell ref="T186:T187"/>
    <mergeCell ref="I187:J187"/>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T144:U144"/>
    <mergeCell ref="H145:I145"/>
    <mergeCell ref="J145:K145"/>
    <mergeCell ref="L145:M145"/>
    <mergeCell ref="T145:U145"/>
    <mergeCell ref="Q107:R107"/>
    <mergeCell ref="Q108:R108"/>
    <mergeCell ref="Q109:R109"/>
    <mergeCell ref="Q97:S97"/>
    <mergeCell ref="T97:T98"/>
    <mergeCell ref="I98:J98"/>
    <mergeCell ref="D100:E100"/>
    <mergeCell ref="M102:N102"/>
    <mergeCell ref="Q102:R102"/>
    <mergeCell ref="K97:K98"/>
    <mergeCell ref="L97:L98"/>
    <mergeCell ref="M97:M98"/>
    <mergeCell ref="N97:N98"/>
    <mergeCell ref="O97:O98"/>
    <mergeCell ref="P97:P98"/>
    <mergeCell ref="L79:L80"/>
    <mergeCell ref="M79:M80"/>
    <mergeCell ref="N79:N80"/>
    <mergeCell ref="O79:O80"/>
    <mergeCell ref="P79:P80"/>
    <mergeCell ref="E112:F112"/>
    <mergeCell ref="H112:I112"/>
    <mergeCell ref="B143:C143"/>
    <mergeCell ref="D143:E143"/>
    <mergeCell ref="H143:N143"/>
    <mergeCell ref="I80:J80"/>
    <mergeCell ref="D82:E82"/>
    <mergeCell ref="A97:C98"/>
    <mergeCell ref="D97:D98"/>
    <mergeCell ref="E97:E98"/>
    <mergeCell ref="F97:G98"/>
    <mergeCell ref="H97:H98"/>
    <mergeCell ref="I97:J97"/>
    <mergeCell ref="K79:K80"/>
    <mergeCell ref="Q74:S74"/>
    <mergeCell ref="T74:T75"/>
    <mergeCell ref="I75:J75"/>
    <mergeCell ref="D77:E77"/>
    <mergeCell ref="A79:C80"/>
    <mergeCell ref="D79:D80"/>
    <mergeCell ref="E79:E80"/>
    <mergeCell ref="F79:G80"/>
    <mergeCell ref="H79:H80"/>
    <mergeCell ref="I79:J79"/>
    <mergeCell ref="K74:K75"/>
    <mergeCell ref="L74:L75"/>
    <mergeCell ref="M74:M75"/>
    <mergeCell ref="N74:N75"/>
    <mergeCell ref="O74:O75"/>
    <mergeCell ref="P74:P75"/>
    <mergeCell ref="A74:C75"/>
    <mergeCell ref="D74:D75"/>
    <mergeCell ref="E74:E75"/>
    <mergeCell ref="F74:G75"/>
    <mergeCell ref="H74:H75"/>
    <mergeCell ref="I74:J74"/>
    <mergeCell ref="Q79:S79"/>
    <mergeCell ref="T79:T80"/>
    <mergeCell ref="R66:S66"/>
    <mergeCell ref="R68:S68"/>
    <mergeCell ref="R69:S69"/>
    <mergeCell ref="R70:S70"/>
    <mergeCell ref="R71:S71"/>
    <mergeCell ref="R72:S72"/>
    <mergeCell ref="T56:T57"/>
    <mergeCell ref="I57:J57"/>
    <mergeCell ref="M59:N59"/>
    <mergeCell ref="R62:S62"/>
    <mergeCell ref="R63:S63"/>
    <mergeCell ref="R64:S64"/>
    <mergeCell ref="L56:L57"/>
    <mergeCell ref="M56:M57"/>
    <mergeCell ref="N56:N57"/>
    <mergeCell ref="O56:O57"/>
    <mergeCell ref="P56:P57"/>
    <mergeCell ref="Q56:S56"/>
    <mergeCell ref="T50:T51"/>
    <mergeCell ref="I51:J51"/>
    <mergeCell ref="A53:V54"/>
    <mergeCell ref="A56:C57"/>
    <mergeCell ref="D56:D57"/>
    <mergeCell ref="E56:E57"/>
    <mergeCell ref="F56:G57"/>
    <mergeCell ref="H56:H57"/>
    <mergeCell ref="I56:J56"/>
    <mergeCell ref="K56:K57"/>
    <mergeCell ref="L50:L51"/>
    <mergeCell ref="M50:M51"/>
    <mergeCell ref="N50:N51"/>
    <mergeCell ref="O50:O51"/>
    <mergeCell ref="P50:P51"/>
    <mergeCell ref="Q50:S50"/>
    <mergeCell ref="A50:C51"/>
    <mergeCell ref="D50:D51"/>
    <mergeCell ref="E50:E51"/>
    <mergeCell ref="F50:G51"/>
    <mergeCell ref="H50:H51"/>
    <mergeCell ref="I50:J50"/>
    <mergeCell ref="K50:K51"/>
    <mergeCell ref="K47:K48"/>
    <mergeCell ref="L47:L48"/>
    <mergeCell ref="R35:V35"/>
    <mergeCell ref="O36:P36"/>
    <mergeCell ref="O37:P37"/>
    <mergeCell ref="A39:V40"/>
    <mergeCell ref="A47:C48"/>
    <mergeCell ref="D47:D48"/>
    <mergeCell ref="E47:E48"/>
    <mergeCell ref="F47:G48"/>
    <mergeCell ref="H47:H48"/>
    <mergeCell ref="I47:J47"/>
    <mergeCell ref="Q47:S47"/>
    <mergeCell ref="T47:T48"/>
    <mergeCell ref="I48:J48"/>
    <mergeCell ref="M47:M48"/>
    <mergeCell ref="N47:N48"/>
    <mergeCell ref="O47:O48"/>
    <mergeCell ref="P47:P48"/>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3:H138 H245 H373 H545:H565 H677:H697 H809:H829">
    <cfRule type="cellIs" dxfId="165" priority="1" stopIfTrue="1" operator="equal">
      <formula>"Under Dimentioned"</formula>
    </cfRule>
  </conditionalFormatting>
  <dataValidations count="2">
    <dataValidation type="list" allowBlank="1" showInputMessage="1" showErrorMessage="1" sqref="M766:N766 JI766:JJ766 TE766:TF766 ADA766:ADB766 AMW766:AMX766 AWS766:AWT766 BGO766:BGP766 BQK766:BQL766 CAG766:CAH766 CKC766:CKD766 CTY766:CTZ766 DDU766:DDV766 DNQ766:DNR766 DXM766:DXN766 EHI766:EHJ766 ERE766:ERF766 FBA766:FBB766 FKW766:FKX766 FUS766:FUT766 GEO766:GEP766 GOK766:GOL766 GYG766:GYH766 HIC766:HID766 HRY766:HRZ766 IBU766:IBV766 ILQ766:ILR766 IVM766:IVN766 JFI766:JFJ766 JPE766:JPF766 JZA766:JZB766 KIW766:KIX766 KSS766:KST766 LCO766:LCP766 LMK766:LML766 LWG766:LWH766 MGC766:MGD766 MPY766:MPZ766 MZU766:MZV766 NJQ766:NJR766 NTM766:NTN766 ODI766:ODJ766 ONE766:ONF766 OXA766:OXB766 PGW766:PGX766 PQS766:PQT766 QAO766:QAP766 QKK766:QKL766 QUG766:QUH766 REC766:RED766 RNY766:RNZ766 RXU766:RXV766 SHQ766:SHR766 SRM766:SRN766 TBI766:TBJ766 TLE766:TLF766 TVA766:TVB766 UEW766:UEX766 UOS766:UOT766 UYO766:UYP766 VIK766:VIL766 VSG766:VSH766 WCC766:WCD766 WLY766:WLZ766 WVU766:WVV766 M66302:N66302 JI66302:JJ66302 TE66302:TF66302 ADA66302:ADB66302 AMW66302:AMX66302 AWS66302:AWT66302 BGO66302:BGP66302 BQK66302:BQL66302 CAG66302:CAH66302 CKC66302:CKD66302 CTY66302:CTZ66302 DDU66302:DDV66302 DNQ66302:DNR66302 DXM66302:DXN66302 EHI66302:EHJ66302 ERE66302:ERF66302 FBA66302:FBB66302 FKW66302:FKX66302 FUS66302:FUT66302 GEO66302:GEP66302 GOK66302:GOL66302 GYG66302:GYH66302 HIC66302:HID66302 HRY66302:HRZ66302 IBU66302:IBV66302 ILQ66302:ILR66302 IVM66302:IVN66302 JFI66302:JFJ66302 JPE66302:JPF66302 JZA66302:JZB66302 KIW66302:KIX66302 KSS66302:KST66302 LCO66302:LCP66302 LMK66302:LML66302 LWG66302:LWH66302 MGC66302:MGD66302 MPY66302:MPZ66302 MZU66302:MZV66302 NJQ66302:NJR66302 NTM66302:NTN66302 ODI66302:ODJ66302 ONE66302:ONF66302 OXA66302:OXB66302 PGW66302:PGX66302 PQS66302:PQT66302 QAO66302:QAP66302 QKK66302:QKL66302 QUG66302:QUH66302 REC66302:RED66302 RNY66302:RNZ66302 RXU66302:RXV66302 SHQ66302:SHR66302 SRM66302:SRN66302 TBI66302:TBJ66302 TLE66302:TLF66302 TVA66302:TVB66302 UEW66302:UEX66302 UOS66302:UOT66302 UYO66302:UYP66302 VIK66302:VIL66302 VSG66302:VSH66302 WCC66302:WCD66302 WLY66302:WLZ66302 WVU66302:WVV66302 M131838:N131838 JI131838:JJ131838 TE131838:TF131838 ADA131838:ADB131838 AMW131838:AMX131838 AWS131838:AWT131838 BGO131838:BGP131838 BQK131838:BQL131838 CAG131838:CAH131838 CKC131838:CKD131838 CTY131838:CTZ131838 DDU131838:DDV131838 DNQ131838:DNR131838 DXM131838:DXN131838 EHI131838:EHJ131838 ERE131838:ERF131838 FBA131838:FBB131838 FKW131838:FKX131838 FUS131838:FUT131838 GEO131838:GEP131838 GOK131838:GOL131838 GYG131838:GYH131838 HIC131838:HID131838 HRY131838:HRZ131838 IBU131838:IBV131838 ILQ131838:ILR131838 IVM131838:IVN131838 JFI131838:JFJ131838 JPE131838:JPF131838 JZA131838:JZB131838 KIW131838:KIX131838 KSS131838:KST131838 LCO131838:LCP131838 LMK131838:LML131838 LWG131838:LWH131838 MGC131838:MGD131838 MPY131838:MPZ131838 MZU131838:MZV131838 NJQ131838:NJR131838 NTM131838:NTN131838 ODI131838:ODJ131838 ONE131838:ONF131838 OXA131838:OXB131838 PGW131838:PGX131838 PQS131838:PQT131838 QAO131838:QAP131838 QKK131838:QKL131838 QUG131838:QUH131838 REC131838:RED131838 RNY131838:RNZ131838 RXU131838:RXV131838 SHQ131838:SHR131838 SRM131838:SRN131838 TBI131838:TBJ131838 TLE131838:TLF131838 TVA131838:TVB131838 UEW131838:UEX131838 UOS131838:UOT131838 UYO131838:UYP131838 VIK131838:VIL131838 VSG131838:VSH131838 WCC131838:WCD131838 WLY131838:WLZ131838 WVU131838:WVV131838 M197374:N197374 JI197374:JJ197374 TE197374:TF197374 ADA197374:ADB197374 AMW197374:AMX197374 AWS197374:AWT197374 BGO197374:BGP197374 BQK197374:BQL197374 CAG197374:CAH197374 CKC197374:CKD197374 CTY197374:CTZ197374 DDU197374:DDV197374 DNQ197374:DNR197374 DXM197374:DXN197374 EHI197374:EHJ197374 ERE197374:ERF197374 FBA197374:FBB197374 FKW197374:FKX197374 FUS197374:FUT197374 GEO197374:GEP197374 GOK197374:GOL197374 GYG197374:GYH197374 HIC197374:HID197374 HRY197374:HRZ197374 IBU197374:IBV197374 ILQ197374:ILR197374 IVM197374:IVN197374 JFI197374:JFJ197374 JPE197374:JPF197374 JZA197374:JZB197374 KIW197374:KIX197374 KSS197374:KST197374 LCO197374:LCP197374 LMK197374:LML197374 LWG197374:LWH197374 MGC197374:MGD197374 MPY197374:MPZ197374 MZU197374:MZV197374 NJQ197374:NJR197374 NTM197374:NTN197374 ODI197374:ODJ197374 ONE197374:ONF197374 OXA197374:OXB197374 PGW197374:PGX197374 PQS197374:PQT197374 QAO197374:QAP197374 QKK197374:QKL197374 QUG197374:QUH197374 REC197374:RED197374 RNY197374:RNZ197374 RXU197374:RXV197374 SHQ197374:SHR197374 SRM197374:SRN197374 TBI197374:TBJ197374 TLE197374:TLF197374 TVA197374:TVB197374 UEW197374:UEX197374 UOS197374:UOT197374 UYO197374:UYP197374 VIK197374:VIL197374 VSG197374:VSH197374 WCC197374:WCD197374 WLY197374:WLZ197374 WVU197374:WVV197374 M262910:N262910 JI262910:JJ262910 TE262910:TF262910 ADA262910:ADB262910 AMW262910:AMX262910 AWS262910:AWT262910 BGO262910:BGP262910 BQK262910:BQL262910 CAG262910:CAH262910 CKC262910:CKD262910 CTY262910:CTZ262910 DDU262910:DDV262910 DNQ262910:DNR262910 DXM262910:DXN262910 EHI262910:EHJ262910 ERE262910:ERF262910 FBA262910:FBB262910 FKW262910:FKX262910 FUS262910:FUT262910 GEO262910:GEP262910 GOK262910:GOL262910 GYG262910:GYH262910 HIC262910:HID262910 HRY262910:HRZ262910 IBU262910:IBV262910 ILQ262910:ILR262910 IVM262910:IVN262910 JFI262910:JFJ262910 JPE262910:JPF262910 JZA262910:JZB262910 KIW262910:KIX262910 KSS262910:KST262910 LCO262910:LCP262910 LMK262910:LML262910 LWG262910:LWH262910 MGC262910:MGD262910 MPY262910:MPZ262910 MZU262910:MZV262910 NJQ262910:NJR262910 NTM262910:NTN262910 ODI262910:ODJ262910 ONE262910:ONF262910 OXA262910:OXB262910 PGW262910:PGX262910 PQS262910:PQT262910 QAO262910:QAP262910 QKK262910:QKL262910 QUG262910:QUH262910 REC262910:RED262910 RNY262910:RNZ262910 RXU262910:RXV262910 SHQ262910:SHR262910 SRM262910:SRN262910 TBI262910:TBJ262910 TLE262910:TLF262910 TVA262910:TVB262910 UEW262910:UEX262910 UOS262910:UOT262910 UYO262910:UYP262910 VIK262910:VIL262910 VSG262910:VSH262910 WCC262910:WCD262910 WLY262910:WLZ262910 WVU262910:WVV262910 M328446:N328446 JI328446:JJ328446 TE328446:TF328446 ADA328446:ADB328446 AMW328446:AMX328446 AWS328446:AWT328446 BGO328446:BGP328446 BQK328446:BQL328446 CAG328446:CAH328446 CKC328446:CKD328446 CTY328446:CTZ328446 DDU328446:DDV328446 DNQ328446:DNR328446 DXM328446:DXN328446 EHI328446:EHJ328446 ERE328446:ERF328446 FBA328446:FBB328446 FKW328446:FKX328446 FUS328446:FUT328446 GEO328446:GEP328446 GOK328446:GOL328446 GYG328446:GYH328446 HIC328446:HID328446 HRY328446:HRZ328446 IBU328446:IBV328446 ILQ328446:ILR328446 IVM328446:IVN328446 JFI328446:JFJ328446 JPE328446:JPF328446 JZA328446:JZB328446 KIW328446:KIX328446 KSS328446:KST328446 LCO328446:LCP328446 LMK328446:LML328446 LWG328446:LWH328446 MGC328446:MGD328446 MPY328446:MPZ328446 MZU328446:MZV328446 NJQ328446:NJR328446 NTM328446:NTN328446 ODI328446:ODJ328446 ONE328446:ONF328446 OXA328446:OXB328446 PGW328446:PGX328446 PQS328446:PQT328446 QAO328446:QAP328446 QKK328446:QKL328446 QUG328446:QUH328446 REC328446:RED328446 RNY328446:RNZ328446 RXU328446:RXV328446 SHQ328446:SHR328446 SRM328446:SRN328446 TBI328446:TBJ328446 TLE328446:TLF328446 TVA328446:TVB328446 UEW328446:UEX328446 UOS328446:UOT328446 UYO328446:UYP328446 VIK328446:VIL328446 VSG328446:VSH328446 WCC328446:WCD328446 WLY328446:WLZ328446 WVU328446:WVV328446 M393982:N393982 JI393982:JJ393982 TE393982:TF393982 ADA393982:ADB393982 AMW393982:AMX393982 AWS393982:AWT393982 BGO393982:BGP393982 BQK393982:BQL393982 CAG393982:CAH393982 CKC393982:CKD393982 CTY393982:CTZ393982 DDU393982:DDV393982 DNQ393982:DNR393982 DXM393982:DXN393982 EHI393982:EHJ393982 ERE393982:ERF393982 FBA393982:FBB393982 FKW393982:FKX393982 FUS393982:FUT393982 GEO393982:GEP393982 GOK393982:GOL393982 GYG393982:GYH393982 HIC393982:HID393982 HRY393982:HRZ393982 IBU393982:IBV393982 ILQ393982:ILR393982 IVM393982:IVN393982 JFI393982:JFJ393982 JPE393982:JPF393982 JZA393982:JZB393982 KIW393982:KIX393982 KSS393982:KST393982 LCO393982:LCP393982 LMK393982:LML393982 LWG393982:LWH393982 MGC393982:MGD393982 MPY393982:MPZ393982 MZU393982:MZV393982 NJQ393982:NJR393982 NTM393982:NTN393982 ODI393982:ODJ393982 ONE393982:ONF393982 OXA393982:OXB393982 PGW393982:PGX393982 PQS393982:PQT393982 QAO393982:QAP393982 QKK393982:QKL393982 QUG393982:QUH393982 REC393982:RED393982 RNY393982:RNZ393982 RXU393982:RXV393982 SHQ393982:SHR393982 SRM393982:SRN393982 TBI393982:TBJ393982 TLE393982:TLF393982 TVA393982:TVB393982 UEW393982:UEX393982 UOS393982:UOT393982 UYO393982:UYP393982 VIK393982:VIL393982 VSG393982:VSH393982 WCC393982:WCD393982 WLY393982:WLZ393982 WVU393982:WVV393982 M459518:N459518 JI459518:JJ459518 TE459518:TF459518 ADA459518:ADB459518 AMW459518:AMX459518 AWS459518:AWT459518 BGO459518:BGP459518 BQK459518:BQL459518 CAG459518:CAH459518 CKC459518:CKD459518 CTY459518:CTZ459518 DDU459518:DDV459518 DNQ459518:DNR459518 DXM459518:DXN459518 EHI459518:EHJ459518 ERE459518:ERF459518 FBA459518:FBB459518 FKW459518:FKX459518 FUS459518:FUT459518 GEO459518:GEP459518 GOK459518:GOL459518 GYG459518:GYH459518 HIC459518:HID459518 HRY459518:HRZ459518 IBU459518:IBV459518 ILQ459518:ILR459518 IVM459518:IVN459518 JFI459518:JFJ459518 JPE459518:JPF459518 JZA459518:JZB459518 KIW459518:KIX459518 KSS459518:KST459518 LCO459518:LCP459518 LMK459518:LML459518 LWG459518:LWH459518 MGC459518:MGD459518 MPY459518:MPZ459518 MZU459518:MZV459518 NJQ459518:NJR459518 NTM459518:NTN459518 ODI459518:ODJ459518 ONE459518:ONF459518 OXA459518:OXB459518 PGW459518:PGX459518 PQS459518:PQT459518 QAO459518:QAP459518 QKK459518:QKL459518 QUG459518:QUH459518 REC459518:RED459518 RNY459518:RNZ459518 RXU459518:RXV459518 SHQ459518:SHR459518 SRM459518:SRN459518 TBI459518:TBJ459518 TLE459518:TLF459518 TVA459518:TVB459518 UEW459518:UEX459518 UOS459518:UOT459518 UYO459518:UYP459518 VIK459518:VIL459518 VSG459518:VSH459518 WCC459518:WCD459518 WLY459518:WLZ459518 WVU459518:WVV459518 M525054:N525054 JI525054:JJ525054 TE525054:TF525054 ADA525054:ADB525054 AMW525054:AMX525054 AWS525054:AWT525054 BGO525054:BGP525054 BQK525054:BQL525054 CAG525054:CAH525054 CKC525054:CKD525054 CTY525054:CTZ525054 DDU525054:DDV525054 DNQ525054:DNR525054 DXM525054:DXN525054 EHI525054:EHJ525054 ERE525054:ERF525054 FBA525054:FBB525054 FKW525054:FKX525054 FUS525054:FUT525054 GEO525054:GEP525054 GOK525054:GOL525054 GYG525054:GYH525054 HIC525054:HID525054 HRY525054:HRZ525054 IBU525054:IBV525054 ILQ525054:ILR525054 IVM525054:IVN525054 JFI525054:JFJ525054 JPE525054:JPF525054 JZA525054:JZB525054 KIW525054:KIX525054 KSS525054:KST525054 LCO525054:LCP525054 LMK525054:LML525054 LWG525054:LWH525054 MGC525054:MGD525054 MPY525054:MPZ525054 MZU525054:MZV525054 NJQ525054:NJR525054 NTM525054:NTN525054 ODI525054:ODJ525054 ONE525054:ONF525054 OXA525054:OXB525054 PGW525054:PGX525054 PQS525054:PQT525054 QAO525054:QAP525054 QKK525054:QKL525054 QUG525054:QUH525054 REC525054:RED525054 RNY525054:RNZ525054 RXU525054:RXV525054 SHQ525054:SHR525054 SRM525054:SRN525054 TBI525054:TBJ525054 TLE525054:TLF525054 TVA525054:TVB525054 UEW525054:UEX525054 UOS525054:UOT525054 UYO525054:UYP525054 VIK525054:VIL525054 VSG525054:VSH525054 WCC525054:WCD525054 WLY525054:WLZ525054 WVU525054:WVV525054 M590590:N590590 JI590590:JJ590590 TE590590:TF590590 ADA590590:ADB590590 AMW590590:AMX590590 AWS590590:AWT590590 BGO590590:BGP590590 BQK590590:BQL590590 CAG590590:CAH590590 CKC590590:CKD590590 CTY590590:CTZ590590 DDU590590:DDV590590 DNQ590590:DNR590590 DXM590590:DXN590590 EHI590590:EHJ590590 ERE590590:ERF590590 FBA590590:FBB590590 FKW590590:FKX590590 FUS590590:FUT590590 GEO590590:GEP590590 GOK590590:GOL590590 GYG590590:GYH590590 HIC590590:HID590590 HRY590590:HRZ590590 IBU590590:IBV590590 ILQ590590:ILR590590 IVM590590:IVN590590 JFI590590:JFJ590590 JPE590590:JPF590590 JZA590590:JZB590590 KIW590590:KIX590590 KSS590590:KST590590 LCO590590:LCP590590 LMK590590:LML590590 LWG590590:LWH590590 MGC590590:MGD590590 MPY590590:MPZ590590 MZU590590:MZV590590 NJQ590590:NJR590590 NTM590590:NTN590590 ODI590590:ODJ590590 ONE590590:ONF590590 OXA590590:OXB590590 PGW590590:PGX590590 PQS590590:PQT590590 QAO590590:QAP590590 QKK590590:QKL590590 QUG590590:QUH590590 REC590590:RED590590 RNY590590:RNZ590590 RXU590590:RXV590590 SHQ590590:SHR590590 SRM590590:SRN590590 TBI590590:TBJ590590 TLE590590:TLF590590 TVA590590:TVB590590 UEW590590:UEX590590 UOS590590:UOT590590 UYO590590:UYP590590 VIK590590:VIL590590 VSG590590:VSH590590 WCC590590:WCD590590 WLY590590:WLZ590590 WVU590590:WVV590590 M656126:N656126 JI656126:JJ656126 TE656126:TF656126 ADA656126:ADB656126 AMW656126:AMX656126 AWS656126:AWT656126 BGO656126:BGP656126 BQK656126:BQL656126 CAG656126:CAH656126 CKC656126:CKD656126 CTY656126:CTZ656126 DDU656126:DDV656126 DNQ656126:DNR656126 DXM656126:DXN656126 EHI656126:EHJ656126 ERE656126:ERF656126 FBA656126:FBB656126 FKW656126:FKX656126 FUS656126:FUT656126 GEO656126:GEP656126 GOK656126:GOL656126 GYG656126:GYH656126 HIC656126:HID656126 HRY656126:HRZ656126 IBU656126:IBV656126 ILQ656126:ILR656126 IVM656126:IVN656126 JFI656126:JFJ656126 JPE656126:JPF656126 JZA656126:JZB656126 KIW656126:KIX656126 KSS656126:KST656126 LCO656126:LCP656126 LMK656126:LML656126 LWG656126:LWH656126 MGC656126:MGD656126 MPY656126:MPZ656126 MZU656126:MZV656126 NJQ656126:NJR656126 NTM656126:NTN656126 ODI656126:ODJ656126 ONE656126:ONF656126 OXA656126:OXB656126 PGW656126:PGX656126 PQS656126:PQT656126 QAO656126:QAP656126 QKK656126:QKL656126 QUG656126:QUH656126 REC656126:RED656126 RNY656126:RNZ656126 RXU656126:RXV656126 SHQ656126:SHR656126 SRM656126:SRN656126 TBI656126:TBJ656126 TLE656126:TLF656126 TVA656126:TVB656126 UEW656126:UEX656126 UOS656126:UOT656126 UYO656126:UYP656126 VIK656126:VIL656126 VSG656126:VSH656126 WCC656126:WCD656126 WLY656126:WLZ656126 WVU656126:WVV656126 M721662:N721662 JI721662:JJ721662 TE721662:TF721662 ADA721662:ADB721662 AMW721662:AMX721662 AWS721662:AWT721662 BGO721662:BGP721662 BQK721662:BQL721662 CAG721662:CAH721662 CKC721662:CKD721662 CTY721662:CTZ721662 DDU721662:DDV721662 DNQ721662:DNR721662 DXM721662:DXN721662 EHI721662:EHJ721662 ERE721662:ERF721662 FBA721662:FBB721662 FKW721662:FKX721662 FUS721662:FUT721662 GEO721662:GEP721662 GOK721662:GOL721662 GYG721662:GYH721662 HIC721662:HID721662 HRY721662:HRZ721662 IBU721662:IBV721662 ILQ721662:ILR721662 IVM721662:IVN721662 JFI721662:JFJ721662 JPE721662:JPF721662 JZA721662:JZB721662 KIW721662:KIX721662 KSS721662:KST721662 LCO721662:LCP721662 LMK721662:LML721662 LWG721662:LWH721662 MGC721662:MGD721662 MPY721662:MPZ721662 MZU721662:MZV721662 NJQ721662:NJR721662 NTM721662:NTN721662 ODI721662:ODJ721662 ONE721662:ONF721662 OXA721662:OXB721662 PGW721662:PGX721662 PQS721662:PQT721662 QAO721662:QAP721662 QKK721662:QKL721662 QUG721662:QUH721662 REC721662:RED721662 RNY721662:RNZ721662 RXU721662:RXV721662 SHQ721662:SHR721662 SRM721662:SRN721662 TBI721662:TBJ721662 TLE721662:TLF721662 TVA721662:TVB721662 UEW721662:UEX721662 UOS721662:UOT721662 UYO721662:UYP721662 VIK721662:VIL721662 VSG721662:VSH721662 WCC721662:WCD721662 WLY721662:WLZ721662 WVU721662:WVV721662 M787198:N787198 JI787198:JJ787198 TE787198:TF787198 ADA787198:ADB787198 AMW787198:AMX787198 AWS787198:AWT787198 BGO787198:BGP787198 BQK787198:BQL787198 CAG787198:CAH787198 CKC787198:CKD787198 CTY787198:CTZ787198 DDU787198:DDV787198 DNQ787198:DNR787198 DXM787198:DXN787198 EHI787198:EHJ787198 ERE787198:ERF787198 FBA787198:FBB787198 FKW787198:FKX787198 FUS787198:FUT787198 GEO787198:GEP787198 GOK787198:GOL787198 GYG787198:GYH787198 HIC787198:HID787198 HRY787198:HRZ787198 IBU787198:IBV787198 ILQ787198:ILR787198 IVM787198:IVN787198 JFI787198:JFJ787198 JPE787198:JPF787198 JZA787198:JZB787198 KIW787198:KIX787198 KSS787198:KST787198 LCO787198:LCP787198 LMK787198:LML787198 LWG787198:LWH787198 MGC787198:MGD787198 MPY787198:MPZ787198 MZU787198:MZV787198 NJQ787198:NJR787198 NTM787198:NTN787198 ODI787198:ODJ787198 ONE787198:ONF787198 OXA787198:OXB787198 PGW787198:PGX787198 PQS787198:PQT787198 QAO787198:QAP787198 QKK787198:QKL787198 QUG787198:QUH787198 REC787198:RED787198 RNY787198:RNZ787198 RXU787198:RXV787198 SHQ787198:SHR787198 SRM787198:SRN787198 TBI787198:TBJ787198 TLE787198:TLF787198 TVA787198:TVB787198 UEW787198:UEX787198 UOS787198:UOT787198 UYO787198:UYP787198 VIK787198:VIL787198 VSG787198:VSH787198 WCC787198:WCD787198 WLY787198:WLZ787198 WVU787198:WVV787198 M852734:N852734 JI852734:JJ852734 TE852734:TF852734 ADA852734:ADB852734 AMW852734:AMX852734 AWS852734:AWT852734 BGO852734:BGP852734 BQK852734:BQL852734 CAG852734:CAH852734 CKC852734:CKD852734 CTY852734:CTZ852734 DDU852734:DDV852734 DNQ852734:DNR852734 DXM852734:DXN852734 EHI852734:EHJ852734 ERE852734:ERF852734 FBA852734:FBB852734 FKW852734:FKX852734 FUS852734:FUT852734 GEO852734:GEP852734 GOK852734:GOL852734 GYG852734:GYH852734 HIC852734:HID852734 HRY852734:HRZ852734 IBU852734:IBV852734 ILQ852734:ILR852734 IVM852734:IVN852734 JFI852734:JFJ852734 JPE852734:JPF852734 JZA852734:JZB852734 KIW852734:KIX852734 KSS852734:KST852734 LCO852734:LCP852734 LMK852734:LML852734 LWG852734:LWH852734 MGC852734:MGD852734 MPY852734:MPZ852734 MZU852734:MZV852734 NJQ852734:NJR852734 NTM852734:NTN852734 ODI852734:ODJ852734 ONE852734:ONF852734 OXA852734:OXB852734 PGW852734:PGX852734 PQS852734:PQT852734 QAO852734:QAP852734 QKK852734:QKL852734 QUG852734:QUH852734 REC852734:RED852734 RNY852734:RNZ852734 RXU852734:RXV852734 SHQ852734:SHR852734 SRM852734:SRN852734 TBI852734:TBJ852734 TLE852734:TLF852734 TVA852734:TVB852734 UEW852734:UEX852734 UOS852734:UOT852734 UYO852734:UYP852734 VIK852734:VIL852734 VSG852734:VSH852734 WCC852734:WCD852734 WLY852734:WLZ852734 WVU852734:WVV852734 M918270:N918270 JI918270:JJ918270 TE918270:TF918270 ADA918270:ADB918270 AMW918270:AMX918270 AWS918270:AWT918270 BGO918270:BGP918270 BQK918270:BQL918270 CAG918270:CAH918270 CKC918270:CKD918270 CTY918270:CTZ918270 DDU918270:DDV918270 DNQ918270:DNR918270 DXM918270:DXN918270 EHI918270:EHJ918270 ERE918270:ERF918270 FBA918270:FBB918270 FKW918270:FKX918270 FUS918270:FUT918270 GEO918270:GEP918270 GOK918270:GOL918270 GYG918270:GYH918270 HIC918270:HID918270 HRY918270:HRZ918270 IBU918270:IBV918270 ILQ918270:ILR918270 IVM918270:IVN918270 JFI918270:JFJ918270 JPE918270:JPF918270 JZA918270:JZB918270 KIW918270:KIX918270 KSS918270:KST918270 LCO918270:LCP918270 LMK918270:LML918270 LWG918270:LWH918270 MGC918270:MGD918270 MPY918270:MPZ918270 MZU918270:MZV918270 NJQ918270:NJR918270 NTM918270:NTN918270 ODI918270:ODJ918270 ONE918270:ONF918270 OXA918270:OXB918270 PGW918270:PGX918270 PQS918270:PQT918270 QAO918270:QAP918270 QKK918270:QKL918270 QUG918270:QUH918270 REC918270:RED918270 RNY918270:RNZ918270 RXU918270:RXV918270 SHQ918270:SHR918270 SRM918270:SRN918270 TBI918270:TBJ918270 TLE918270:TLF918270 TVA918270:TVB918270 UEW918270:UEX918270 UOS918270:UOT918270 UYO918270:UYP918270 VIK918270:VIL918270 VSG918270:VSH918270 WCC918270:WCD918270 WLY918270:WLZ918270 WVU918270:WVV918270 M983806:N983806 JI983806:JJ983806 TE983806:TF983806 ADA983806:ADB983806 AMW983806:AMX983806 AWS983806:AWT983806 BGO983806:BGP983806 BQK983806:BQL983806 CAG983806:CAH983806 CKC983806:CKD983806 CTY983806:CTZ983806 DDU983806:DDV983806 DNQ983806:DNR983806 DXM983806:DXN983806 EHI983806:EHJ983806 ERE983806:ERF983806 FBA983806:FBB983806 FKW983806:FKX983806 FUS983806:FUT983806 GEO983806:GEP983806 GOK983806:GOL983806 GYG983806:GYH983806 HIC983806:HID983806 HRY983806:HRZ983806 IBU983806:IBV983806 ILQ983806:ILR983806 IVM983806:IVN983806 JFI983806:JFJ983806 JPE983806:JPF983806 JZA983806:JZB983806 KIW983806:KIX983806 KSS983806:KST983806 LCO983806:LCP983806 LMK983806:LML983806 LWG983806:LWH983806 MGC983806:MGD983806 MPY983806:MPZ983806 MZU983806:MZV983806 NJQ983806:NJR983806 NTM983806:NTN983806 ODI983806:ODJ983806 ONE983806:ONF983806 OXA983806:OXB983806 PGW983806:PGX983806 PQS983806:PQT983806 QAO983806:QAP983806 QKK983806:QKL983806 QUG983806:QUH983806 REC983806:RED983806 RNY983806:RNZ983806 RXU983806:RXV983806 SHQ983806:SHR983806 SRM983806:SRN983806 TBI983806:TBJ983806 TLE983806:TLF983806 TVA983806:TVB983806 UEW983806:UEX983806 UOS983806:UOT983806 UYO983806:UYP983806 VIK983806:VIL983806 VSG983806:VSH983806 WCC983806:WCD983806 WLY983806:WLZ983806 WVU983806:WVV983806 M634:N634 JI634:JJ634 TE634:TF634 ADA634:ADB634 AMW634:AMX634 AWS634:AWT634 BGO634:BGP634 BQK634:BQL634 CAG634:CAH634 CKC634:CKD634 CTY634:CTZ634 DDU634:DDV634 DNQ634:DNR634 DXM634:DXN634 EHI634:EHJ634 ERE634:ERF634 FBA634:FBB634 FKW634:FKX634 FUS634:FUT634 GEO634:GEP634 GOK634:GOL634 GYG634:GYH634 HIC634:HID634 HRY634:HRZ634 IBU634:IBV634 ILQ634:ILR634 IVM634:IVN634 JFI634:JFJ634 JPE634:JPF634 JZA634:JZB634 KIW634:KIX634 KSS634:KST634 LCO634:LCP634 LMK634:LML634 LWG634:LWH634 MGC634:MGD634 MPY634:MPZ634 MZU634:MZV634 NJQ634:NJR634 NTM634:NTN634 ODI634:ODJ634 ONE634:ONF634 OXA634:OXB634 PGW634:PGX634 PQS634:PQT634 QAO634:QAP634 QKK634:QKL634 QUG634:QUH634 REC634:RED634 RNY634:RNZ634 RXU634:RXV634 SHQ634:SHR634 SRM634:SRN634 TBI634:TBJ634 TLE634:TLF634 TVA634:TVB634 UEW634:UEX634 UOS634:UOT634 UYO634:UYP634 VIK634:VIL634 VSG634:VSH634 WCC634:WCD634 WLY634:WLZ634 WVU634:WVV634 M66170:N66170 JI66170:JJ66170 TE66170:TF66170 ADA66170:ADB66170 AMW66170:AMX66170 AWS66170:AWT66170 BGO66170:BGP66170 BQK66170:BQL66170 CAG66170:CAH66170 CKC66170:CKD66170 CTY66170:CTZ66170 DDU66170:DDV66170 DNQ66170:DNR66170 DXM66170:DXN66170 EHI66170:EHJ66170 ERE66170:ERF66170 FBA66170:FBB66170 FKW66170:FKX66170 FUS66170:FUT66170 GEO66170:GEP66170 GOK66170:GOL66170 GYG66170:GYH66170 HIC66170:HID66170 HRY66170:HRZ66170 IBU66170:IBV66170 ILQ66170:ILR66170 IVM66170:IVN66170 JFI66170:JFJ66170 JPE66170:JPF66170 JZA66170:JZB66170 KIW66170:KIX66170 KSS66170:KST66170 LCO66170:LCP66170 LMK66170:LML66170 LWG66170:LWH66170 MGC66170:MGD66170 MPY66170:MPZ66170 MZU66170:MZV66170 NJQ66170:NJR66170 NTM66170:NTN66170 ODI66170:ODJ66170 ONE66170:ONF66170 OXA66170:OXB66170 PGW66170:PGX66170 PQS66170:PQT66170 QAO66170:QAP66170 QKK66170:QKL66170 QUG66170:QUH66170 REC66170:RED66170 RNY66170:RNZ66170 RXU66170:RXV66170 SHQ66170:SHR66170 SRM66170:SRN66170 TBI66170:TBJ66170 TLE66170:TLF66170 TVA66170:TVB66170 UEW66170:UEX66170 UOS66170:UOT66170 UYO66170:UYP66170 VIK66170:VIL66170 VSG66170:VSH66170 WCC66170:WCD66170 WLY66170:WLZ66170 WVU66170:WVV66170 M131706:N131706 JI131706:JJ131706 TE131706:TF131706 ADA131706:ADB131706 AMW131706:AMX131706 AWS131706:AWT131706 BGO131706:BGP131706 BQK131706:BQL131706 CAG131706:CAH131706 CKC131706:CKD131706 CTY131706:CTZ131706 DDU131706:DDV131706 DNQ131706:DNR131706 DXM131706:DXN131706 EHI131706:EHJ131706 ERE131706:ERF131706 FBA131706:FBB131706 FKW131706:FKX131706 FUS131706:FUT131706 GEO131706:GEP131706 GOK131706:GOL131706 GYG131706:GYH131706 HIC131706:HID131706 HRY131706:HRZ131706 IBU131706:IBV131706 ILQ131706:ILR131706 IVM131706:IVN131706 JFI131706:JFJ131706 JPE131706:JPF131706 JZA131706:JZB131706 KIW131706:KIX131706 KSS131706:KST131706 LCO131706:LCP131706 LMK131706:LML131706 LWG131706:LWH131706 MGC131706:MGD131706 MPY131706:MPZ131706 MZU131706:MZV131706 NJQ131706:NJR131706 NTM131706:NTN131706 ODI131706:ODJ131706 ONE131706:ONF131706 OXA131706:OXB131706 PGW131706:PGX131706 PQS131706:PQT131706 QAO131706:QAP131706 QKK131706:QKL131706 QUG131706:QUH131706 REC131706:RED131706 RNY131706:RNZ131706 RXU131706:RXV131706 SHQ131706:SHR131706 SRM131706:SRN131706 TBI131706:TBJ131706 TLE131706:TLF131706 TVA131706:TVB131706 UEW131706:UEX131706 UOS131706:UOT131706 UYO131706:UYP131706 VIK131706:VIL131706 VSG131706:VSH131706 WCC131706:WCD131706 WLY131706:WLZ131706 WVU131706:WVV131706 M197242:N197242 JI197242:JJ197242 TE197242:TF197242 ADA197242:ADB197242 AMW197242:AMX197242 AWS197242:AWT197242 BGO197242:BGP197242 BQK197242:BQL197242 CAG197242:CAH197242 CKC197242:CKD197242 CTY197242:CTZ197242 DDU197242:DDV197242 DNQ197242:DNR197242 DXM197242:DXN197242 EHI197242:EHJ197242 ERE197242:ERF197242 FBA197242:FBB197242 FKW197242:FKX197242 FUS197242:FUT197242 GEO197242:GEP197242 GOK197242:GOL197242 GYG197242:GYH197242 HIC197242:HID197242 HRY197242:HRZ197242 IBU197242:IBV197242 ILQ197242:ILR197242 IVM197242:IVN197242 JFI197242:JFJ197242 JPE197242:JPF197242 JZA197242:JZB197242 KIW197242:KIX197242 KSS197242:KST197242 LCO197242:LCP197242 LMK197242:LML197242 LWG197242:LWH197242 MGC197242:MGD197242 MPY197242:MPZ197242 MZU197242:MZV197242 NJQ197242:NJR197242 NTM197242:NTN197242 ODI197242:ODJ197242 ONE197242:ONF197242 OXA197242:OXB197242 PGW197242:PGX197242 PQS197242:PQT197242 QAO197242:QAP197242 QKK197242:QKL197242 QUG197242:QUH197242 REC197242:RED197242 RNY197242:RNZ197242 RXU197242:RXV197242 SHQ197242:SHR197242 SRM197242:SRN197242 TBI197242:TBJ197242 TLE197242:TLF197242 TVA197242:TVB197242 UEW197242:UEX197242 UOS197242:UOT197242 UYO197242:UYP197242 VIK197242:VIL197242 VSG197242:VSH197242 WCC197242:WCD197242 WLY197242:WLZ197242 WVU197242:WVV197242 M262778:N262778 JI262778:JJ262778 TE262778:TF262778 ADA262778:ADB262778 AMW262778:AMX262778 AWS262778:AWT262778 BGO262778:BGP262778 BQK262778:BQL262778 CAG262778:CAH262778 CKC262778:CKD262778 CTY262778:CTZ262778 DDU262778:DDV262778 DNQ262778:DNR262778 DXM262778:DXN262778 EHI262778:EHJ262778 ERE262778:ERF262778 FBA262778:FBB262778 FKW262778:FKX262778 FUS262778:FUT262778 GEO262778:GEP262778 GOK262778:GOL262778 GYG262778:GYH262778 HIC262778:HID262778 HRY262778:HRZ262778 IBU262778:IBV262778 ILQ262778:ILR262778 IVM262778:IVN262778 JFI262778:JFJ262778 JPE262778:JPF262778 JZA262778:JZB262778 KIW262778:KIX262778 KSS262778:KST262778 LCO262778:LCP262778 LMK262778:LML262778 LWG262778:LWH262778 MGC262778:MGD262778 MPY262778:MPZ262778 MZU262778:MZV262778 NJQ262778:NJR262778 NTM262778:NTN262778 ODI262778:ODJ262778 ONE262778:ONF262778 OXA262778:OXB262778 PGW262778:PGX262778 PQS262778:PQT262778 QAO262778:QAP262778 QKK262778:QKL262778 QUG262778:QUH262778 REC262778:RED262778 RNY262778:RNZ262778 RXU262778:RXV262778 SHQ262778:SHR262778 SRM262778:SRN262778 TBI262778:TBJ262778 TLE262778:TLF262778 TVA262778:TVB262778 UEW262778:UEX262778 UOS262778:UOT262778 UYO262778:UYP262778 VIK262778:VIL262778 VSG262778:VSH262778 WCC262778:WCD262778 WLY262778:WLZ262778 WVU262778:WVV262778 M328314:N328314 JI328314:JJ328314 TE328314:TF328314 ADA328314:ADB328314 AMW328314:AMX328314 AWS328314:AWT328314 BGO328314:BGP328314 BQK328314:BQL328314 CAG328314:CAH328314 CKC328314:CKD328314 CTY328314:CTZ328314 DDU328314:DDV328314 DNQ328314:DNR328314 DXM328314:DXN328314 EHI328314:EHJ328314 ERE328314:ERF328314 FBA328314:FBB328314 FKW328314:FKX328314 FUS328314:FUT328314 GEO328314:GEP328314 GOK328314:GOL328314 GYG328314:GYH328314 HIC328314:HID328314 HRY328314:HRZ328314 IBU328314:IBV328314 ILQ328314:ILR328314 IVM328314:IVN328314 JFI328314:JFJ328314 JPE328314:JPF328314 JZA328314:JZB328314 KIW328314:KIX328314 KSS328314:KST328314 LCO328314:LCP328314 LMK328314:LML328314 LWG328314:LWH328314 MGC328314:MGD328314 MPY328314:MPZ328314 MZU328314:MZV328314 NJQ328314:NJR328314 NTM328314:NTN328314 ODI328314:ODJ328314 ONE328314:ONF328314 OXA328314:OXB328314 PGW328314:PGX328314 PQS328314:PQT328314 QAO328314:QAP328314 QKK328314:QKL328314 QUG328314:QUH328314 REC328314:RED328314 RNY328314:RNZ328314 RXU328314:RXV328314 SHQ328314:SHR328314 SRM328314:SRN328314 TBI328314:TBJ328314 TLE328314:TLF328314 TVA328314:TVB328314 UEW328314:UEX328314 UOS328314:UOT328314 UYO328314:UYP328314 VIK328314:VIL328314 VSG328314:VSH328314 WCC328314:WCD328314 WLY328314:WLZ328314 WVU328314:WVV328314 M393850:N393850 JI393850:JJ393850 TE393850:TF393850 ADA393850:ADB393850 AMW393850:AMX393850 AWS393850:AWT393850 BGO393850:BGP393850 BQK393850:BQL393850 CAG393850:CAH393850 CKC393850:CKD393850 CTY393850:CTZ393850 DDU393850:DDV393850 DNQ393850:DNR393850 DXM393850:DXN393850 EHI393850:EHJ393850 ERE393850:ERF393850 FBA393850:FBB393850 FKW393850:FKX393850 FUS393850:FUT393850 GEO393850:GEP393850 GOK393850:GOL393850 GYG393850:GYH393850 HIC393850:HID393850 HRY393850:HRZ393850 IBU393850:IBV393850 ILQ393850:ILR393850 IVM393850:IVN393850 JFI393850:JFJ393850 JPE393850:JPF393850 JZA393850:JZB393850 KIW393850:KIX393850 KSS393850:KST393850 LCO393850:LCP393850 LMK393850:LML393850 LWG393850:LWH393850 MGC393850:MGD393850 MPY393850:MPZ393850 MZU393850:MZV393850 NJQ393850:NJR393850 NTM393850:NTN393850 ODI393850:ODJ393850 ONE393850:ONF393850 OXA393850:OXB393850 PGW393850:PGX393850 PQS393850:PQT393850 QAO393850:QAP393850 QKK393850:QKL393850 QUG393850:QUH393850 REC393850:RED393850 RNY393850:RNZ393850 RXU393850:RXV393850 SHQ393850:SHR393850 SRM393850:SRN393850 TBI393850:TBJ393850 TLE393850:TLF393850 TVA393850:TVB393850 UEW393850:UEX393850 UOS393850:UOT393850 UYO393850:UYP393850 VIK393850:VIL393850 VSG393850:VSH393850 WCC393850:WCD393850 WLY393850:WLZ393850 WVU393850:WVV393850 M459386:N459386 JI459386:JJ459386 TE459386:TF459386 ADA459386:ADB459386 AMW459386:AMX459386 AWS459386:AWT459386 BGO459386:BGP459386 BQK459386:BQL459386 CAG459386:CAH459386 CKC459386:CKD459386 CTY459386:CTZ459386 DDU459386:DDV459386 DNQ459386:DNR459386 DXM459386:DXN459386 EHI459386:EHJ459386 ERE459386:ERF459386 FBA459386:FBB459386 FKW459386:FKX459386 FUS459386:FUT459386 GEO459386:GEP459386 GOK459386:GOL459386 GYG459386:GYH459386 HIC459386:HID459386 HRY459386:HRZ459386 IBU459386:IBV459386 ILQ459386:ILR459386 IVM459386:IVN459386 JFI459386:JFJ459386 JPE459386:JPF459386 JZA459386:JZB459386 KIW459386:KIX459386 KSS459386:KST459386 LCO459386:LCP459386 LMK459386:LML459386 LWG459386:LWH459386 MGC459386:MGD459386 MPY459386:MPZ459386 MZU459386:MZV459386 NJQ459386:NJR459386 NTM459386:NTN459386 ODI459386:ODJ459386 ONE459386:ONF459386 OXA459386:OXB459386 PGW459386:PGX459386 PQS459386:PQT459386 QAO459386:QAP459386 QKK459386:QKL459386 QUG459386:QUH459386 REC459386:RED459386 RNY459386:RNZ459386 RXU459386:RXV459386 SHQ459386:SHR459386 SRM459386:SRN459386 TBI459386:TBJ459386 TLE459386:TLF459386 TVA459386:TVB459386 UEW459386:UEX459386 UOS459386:UOT459386 UYO459386:UYP459386 VIK459386:VIL459386 VSG459386:VSH459386 WCC459386:WCD459386 WLY459386:WLZ459386 WVU459386:WVV459386 M524922:N524922 JI524922:JJ524922 TE524922:TF524922 ADA524922:ADB524922 AMW524922:AMX524922 AWS524922:AWT524922 BGO524922:BGP524922 BQK524922:BQL524922 CAG524922:CAH524922 CKC524922:CKD524922 CTY524922:CTZ524922 DDU524922:DDV524922 DNQ524922:DNR524922 DXM524922:DXN524922 EHI524922:EHJ524922 ERE524922:ERF524922 FBA524922:FBB524922 FKW524922:FKX524922 FUS524922:FUT524922 GEO524922:GEP524922 GOK524922:GOL524922 GYG524922:GYH524922 HIC524922:HID524922 HRY524922:HRZ524922 IBU524922:IBV524922 ILQ524922:ILR524922 IVM524922:IVN524922 JFI524922:JFJ524922 JPE524922:JPF524922 JZA524922:JZB524922 KIW524922:KIX524922 KSS524922:KST524922 LCO524922:LCP524922 LMK524922:LML524922 LWG524922:LWH524922 MGC524922:MGD524922 MPY524922:MPZ524922 MZU524922:MZV524922 NJQ524922:NJR524922 NTM524922:NTN524922 ODI524922:ODJ524922 ONE524922:ONF524922 OXA524922:OXB524922 PGW524922:PGX524922 PQS524922:PQT524922 QAO524922:QAP524922 QKK524922:QKL524922 QUG524922:QUH524922 REC524922:RED524922 RNY524922:RNZ524922 RXU524922:RXV524922 SHQ524922:SHR524922 SRM524922:SRN524922 TBI524922:TBJ524922 TLE524922:TLF524922 TVA524922:TVB524922 UEW524922:UEX524922 UOS524922:UOT524922 UYO524922:UYP524922 VIK524922:VIL524922 VSG524922:VSH524922 WCC524922:WCD524922 WLY524922:WLZ524922 WVU524922:WVV524922 M590458:N590458 JI590458:JJ590458 TE590458:TF590458 ADA590458:ADB590458 AMW590458:AMX590458 AWS590458:AWT590458 BGO590458:BGP590458 BQK590458:BQL590458 CAG590458:CAH590458 CKC590458:CKD590458 CTY590458:CTZ590458 DDU590458:DDV590458 DNQ590458:DNR590458 DXM590458:DXN590458 EHI590458:EHJ590458 ERE590458:ERF590458 FBA590458:FBB590458 FKW590458:FKX590458 FUS590458:FUT590458 GEO590458:GEP590458 GOK590458:GOL590458 GYG590458:GYH590458 HIC590458:HID590458 HRY590458:HRZ590458 IBU590458:IBV590458 ILQ590458:ILR590458 IVM590458:IVN590458 JFI590458:JFJ590458 JPE590458:JPF590458 JZA590458:JZB590458 KIW590458:KIX590458 KSS590458:KST590458 LCO590458:LCP590458 LMK590458:LML590458 LWG590458:LWH590458 MGC590458:MGD590458 MPY590458:MPZ590458 MZU590458:MZV590458 NJQ590458:NJR590458 NTM590458:NTN590458 ODI590458:ODJ590458 ONE590458:ONF590458 OXA590458:OXB590458 PGW590458:PGX590458 PQS590458:PQT590458 QAO590458:QAP590458 QKK590458:QKL590458 QUG590458:QUH590458 REC590458:RED590458 RNY590458:RNZ590458 RXU590458:RXV590458 SHQ590458:SHR590458 SRM590458:SRN590458 TBI590458:TBJ590458 TLE590458:TLF590458 TVA590458:TVB590458 UEW590458:UEX590458 UOS590458:UOT590458 UYO590458:UYP590458 VIK590458:VIL590458 VSG590458:VSH590458 WCC590458:WCD590458 WLY590458:WLZ590458 WVU590458:WVV590458 M655994:N655994 JI655994:JJ655994 TE655994:TF655994 ADA655994:ADB655994 AMW655994:AMX655994 AWS655994:AWT655994 BGO655994:BGP655994 BQK655994:BQL655994 CAG655994:CAH655994 CKC655994:CKD655994 CTY655994:CTZ655994 DDU655994:DDV655994 DNQ655994:DNR655994 DXM655994:DXN655994 EHI655994:EHJ655994 ERE655994:ERF655994 FBA655994:FBB655994 FKW655994:FKX655994 FUS655994:FUT655994 GEO655994:GEP655994 GOK655994:GOL655994 GYG655994:GYH655994 HIC655994:HID655994 HRY655994:HRZ655994 IBU655994:IBV655994 ILQ655994:ILR655994 IVM655994:IVN655994 JFI655994:JFJ655994 JPE655994:JPF655994 JZA655994:JZB655994 KIW655994:KIX655994 KSS655994:KST655994 LCO655994:LCP655994 LMK655994:LML655994 LWG655994:LWH655994 MGC655994:MGD655994 MPY655994:MPZ655994 MZU655994:MZV655994 NJQ655994:NJR655994 NTM655994:NTN655994 ODI655994:ODJ655994 ONE655994:ONF655994 OXA655994:OXB655994 PGW655994:PGX655994 PQS655994:PQT655994 QAO655994:QAP655994 QKK655994:QKL655994 QUG655994:QUH655994 REC655994:RED655994 RNY655994:RNZ655994 RXU655994:RXV655994 SHQ655994:SHR655994 SRM655994:SRN655994 TBI655994:TBJ655994 TLE655994:TLF655994 TVA655994:TVB655994 UEW655994:UEX655994 UOS655994:UOT655994 UYO655994:UYP655994 VIK655994:VIL655994 VSG655994:VSH655994 WCC655994:WCD655994 WLY655994:WLZ655994 WVU655994:WVV655994 M721530:N721530 JI721530:JJ721530 TE721530:TF721530 ADA721530:ADB721530 AMW721530:AMX721530 AWS721530:AWT721530 BGO721530:BGP721530 BQK721530:BQL721530 CAG721530:CAH721530 CKC721530:CKD721530 CTY721530:CTZ721530 DDU721530:DDV721530 DNQ721530:DNR721530 DXM721530:DXN721530 EHI721530:EHJ721530 ERE721530:ERF721530 FBA721530:FBB721530 FKW721530:FKX721530 FUS721530:FUT721530 GEO721530:GEP721530 GOK721530:GOL721530 GYG721530:GYH721530 HIC721530:HID721530 HRY721530:HRZ721530 IBU721530:IBV721530 ILQ721530:ILR721530 IVM721530:IVN721530 JFI721530:JFJ721530 JPE721530:JPF721530 JZA721530:JZB721530 KIW721530:KIX721530 KSS721530:KST721530 LCO721530:LCP721530 LMK721530:LML721530 LWG721530:LWH721530 MGC721530:MGD721530 MPY721530:MPZ721530 MZU721530:MZV721530 NJQ721530:NJR721530 NTM721530:NTN721530 ODI721530:ODJ721530 ONE721530:ONF721530 OXA721530:OXB721530 PGW721530:PGX721530 PQS721530:PQT721530 QAO721530:QAP721530 QKK721530:QKL721530 QUG721530:QUH721530 REC721530:RED721530 RNY721530:RNZ721530 RXU721530:RXV721530 SHQ721530:SHR721530 SRM721530:SRN721530 TBI721530:TBJ721530 TLE721530:TLF721530 TVA721530:TVB721530 UEW721530:UEX721530 UOS721530:UOT721530 UYO721530:UYP721530 VIK721530:VIL721530 VSG721530:VSH721530 WCC721530:WCD721530 WLY721530:WLZ721530 WVU721530:WVV721530 M787066:N787066 JI787066:JJ787066 TE787066:TF787066 ADA787066:ADB787066 AMW787066:AMX787066 AWS787066:AWT787066 BGO787066:BGP787066 BQK787066:BQL787066 CAG787066:CAH787066 CKC787066:CKD787066 CTY787066:CTZ787066 DDU787066:DDV787066 DNQ787066:DNR787066 DXM787066:DXN787066 EHI787066:EHJ787066 ERE787066:ERF787066 FBA787066:FBB787066 FKW787066:FKX787066 FUS787066:FUT787066 GEO787066:GEP787066 GOK787066:GOL787066 GYG787066:GYH787066 HIC787066:HID787066 HRY787066:HRZ787066 IBU787066:IBV787066 ILQ787066:ILR787066 IVM787066:IVN787066 JFI787066:JFJ787066 JPE787066:JPF787066 JZA787066:JZB787066 KIW787066:KIX787066 KSS787066:KST787066 LCO787066:LCP787066 LMK787066:LML787066 LWG787066:LWH787066 MGC787066:MGD787066 MPY787066:MPZ787066 MZU787066:MZV787066 NJQ787066:NJR787066 NTM787066:NTN787066 ODI787066:ODJ787066 ONE787066:ONF787066 OXA787066:OXB787066 PGW787066:PGX787066 PQS787066:PQT787066 QAO787066:QAP787066 QKK787066:QKL787066 QUG787066:QUH787066 REC787066:RED787066 RNY787066:RNZ787066 RXU787066:RXV787066 SHQ787066:SHR787066 SRM787066:SRN787066 TBI787066:TBJ787066 TLE787066:TLF787066 TVA787066:TVB787066 UEW787066:UEX787066 UOS787066:UOT787066 UYO787066:UYP787066 VIK787066:VIL787066 VSG787066:VSH787066 WCC787066:WCD787066 WLY787066:WLZ787066 WVU787066:WVV787066 M852602:N852602 JI852602:JJ852602 TE852602:TF852602 ADA852602:ADB852602 AMW852602:AMX852602 AWS852602:AWT852602 BGO852602:BGP852602 BQK852602:BQL852602 CAG852602:CAH852602 CKC852602:CKD852602 CTY852602:CTZ852602 DDU852602:DDV852602 DNQ852602:DNR852602 DXM852602:DXN852602 EHI852602:EHJ852602 ERE852602:ERF852602 FBA852602:FBB852602 FKW852602:FKX852602 FUS852602:FUT852602 GEO852602:GEP852602 GOK852602:GOL852602 GYG852602:GYH852602 HIC852602:HID852602 HRY852602:HRZ852602 IBU852602:IBV852602 ILQ852602:ILR852602 IVM852602:IVN852602 JFI852602:JFJ852602 JPE852602:JPF852602 JZA852602:JZB852602 KIW852602:KIX852602 KSS852602:KST852602 LCO852602:LCP852602 LMK852602:LML852602 LWG852602:LWH852602 MGC852602:MGD852602 MPY852602:MPZ852602 MZU852602:MZV852602 NJQ852602:NJR852602 NTM852602:NTN852602 ODI852602:ODJ852602 ONE852602:ONF852602 OXA852602:OXB852602 PGW852602:PGX852602 PQS852602:PQT852602 QAO852602:QAP852602 QKK852602:QKL852602 QUG852602:QUH852602 REC852602:RED852602 RNY852602:RNZ852602 RXU852602:RXV852602 SHQ852602:SHR852602 SRM852602:SRN852602 TBI852602:TBJ852602 TLE852602:TLF852602 TVA852602:TVB852602 UEW852602:UEX852602 UOS852602:UOT852602 UYO852602:UYP852602 VIK852602:VIL852602 VSG852602:VSH852602 WCC852602:WCD852602 WLY852602:WLZ852602 WVU852602:WVV852602 M918138:N918138 JI918138:JJ918138 TE918138:TF918138 ADA918138:ADB918138 AMW918138:AMX918138 AWS918138:AWT918138 BGO918138:BGP918138 BQK918138:BQL918138 CAG918138:CAH918138 CKC918138:CKD918138 CTY918138:CTZ918138 DDU918138:DDV918138 DNQ918138:DNR918138 DXM918138:DXN918138 EHI918138:EHJ918138 ERE918138:ERF918138 FBA918138:FBB918138 FKW918138:FKX918138 FUS918138:FUT918138 GEO918138:GEP918138 GOK918138:GOL918138 GYG918138:GYH918138 HIC918138:HID918138 HRY918138:HRZ918138 IBU918138:IBV918138 ILQ918138:ILR918138 IVM918138:IVN918138 JFI918138:JFJ918138 JPE918138:JPF918138 JZA918138:JZB918138 KIW918138:KIX918138 KSS918138:KST918138 LCO918138:LCP918138 LMK918138:LML918138 LWG918138:LWH918138 MGC918138:MGD918138 MPY918138:MPZ918138 MZU918138:MZV918138 NJQ918138:NJR918138 NTM918138:NTN918138 ODI918138:ODJ918138 ONE918138:ONF918138 OXA918138:OXB918138 PGW918138:PGX918138 PQS918138:PQT918138 QAO918138:QAP918138 QKK918138:QKL918138 QUG918138:QUH918138 REC918138:RED918138 RNY918138:RNZ918138 RXU918138:RXV918138 SHQ918138:SHR918138 SRM918138:SRN918138 TBI918138:TBJ918138 TLE918138:TLF918138 TVA918138:TVB918138 UEW918138:UEX918138 UOS918138:UOT918138 UYO918138:UYP918138 VIK918138:VIL918138 VSG918138:VSH918138 WCC918138:WCD918138 WLY918138:WLZ918138 WVU918138:WVV918138 M983674:N983674 JI983674:JJ983674 TE983674:TF983674 ADA983674:ADB983674 AMW983674:AMX983674 AWS983674:AWT983674 BGO983674:BGP983674 BQK983674:BQL983674 CAG983674:CAH983674 CKC983674:CKD983674 CTY983674:CTZ983674 DDU983674:DDV983674 DNQ983674:DNR983674 DXM983674:DXN983674 EHI983674:EHJ983674 ERE983674:ERF983674 FBA983674:FBB983674 FKW983674:FKX983674 FUS983674:FUT983674 GEO983674:GEP983674 GOK983674:GOL983674 GYG983674:GYH983674 HIC983674:HID983674 HRY983674:HRZ983674 IBU983674:IBV983674 ILQ983674:ILR983674 IVM983674:IVN983674 JFI983674:JFJ983674 JPE983674:JPF983674 JZA983674:JZB983674 KIW983674:KIX983674 KSS983674:KST983674 LCO983674:LCP983674 LMK983674:LML983674 LWG983674:LWH983674 MGC983674:MGD983674 MPY983674:MPZ983674 MZU983674:MZV983674 NJQ983674:NJR983674 NTM983674:NTN983674 ODI983674:ODJ983674 ONE983674:ONF983674 OXA983674:OXB983674 PGW983674:PGX983674 PQS983674:PQT983674 QAO983674:QAP983674 QKK983674:QKL983674 QUG983674:QUH983674 REC983674:RED983674 RNY983674:RNZ983674 RXU983674:RXV983674 SHQ983674:SHR983674 SRM983674:SRN983674 TBI983674:TBJ983674 TLE983674:TLF983674 TVA983674:TVB983674 UEW983674:UEX983674 UOS983674:UOT983674 UYO983674:UYP983674 VIK983674:VIL983674 VSG983674:VSH983674 WCC983674:WCD983674 WLY983674:WLZ983674 WVU983674:WVV983674 M330:N330 JI330:JJ330 TE330:TF330 ADA330:ADB330 AMW330:AMX330 AWS330:AWT330 BGO330:BGP330 BQK330:BQL330 CAG330:CAH330 CKC330:CKD330 CTY330:CTZ330 DDU330:DDV330 DNQ330:DNR330 DXM330:DXN330 EHI330:EHJ330 ERE330:ERF330 FBA330:FBB330 FKW330:FKX330 FUS330:FUT330 GEO330:GEP330 GOK330:GOL330 GYG330:GYH330 HIC330:HID330 HRY330:HRZ330 IBU330:IBV330 ILQ330:ILR330 IVM330:IVN330 JFI330:JFJ330 JPE330:JPF330 JZA330:JZB330 KIW330:KIX330 KSS330:KST330 LCO330:LCP330 LMK330:LML330 LWG330:LWH330 MGC330:MGD330 MPY330:MPZ330 MZU330:MZV330 NJQ330:NJR330 NTM330:NTN330 ODI330:ODJ330 ONE330:ONF330 OXA330:OXB330 PGW330:PGX330 PQS330:PQT330 QAO330:QAP330 QKK330:QKL330 QUG330:QUH330 REC330:RED330 RNY330:RNZ330 RXU330:RXV330 SHQ330:SHR330 SRM330:SRN330 TBI330:TBJ330 TLE330:TLF330 TVA330:TVB330 UEW330:UEX330 UOS330:UOT330 UYO330:UYP330 VIK330:VIL330 VSG330:VSH330 WCC330:WCD330 WLY330:WLZ330 WVU330:WVV330 M65866:N65866 JI65866:JJ65866 TE65866:TF65866 ADA65866:ADB65866 AMW65866:AMX65866 AWS65866:AWT65866 BGO65866:BGP65866 BQK65866:BQL65866 CAG65866:CAH65866 CKC65866:CKD65866 CTY65866:CTZ65866 DDU65866:DDV65866 DNQ65866:DNR65866 DXM65866:DXN65866 EHI65866:EHJ65866 ERE65866:ERF65866 FBA65866:FBB65866 FKW65866:FKX65866 FUS65866:FUT65866 GEO65866:GEP65866 GOK65866:GOL65866 GYG65866:GYH65866 HIC65866:HID65866 HRY65866:HRZ65866 IBU65866:IBV65866 ILQ65866:ILR65866 IVM65866:IVN65866 JFI65866:JFJ65866 JPE65866:JPF65866 JZA65866:JZB65866 KIW65866:KIX65866 KSS65866:KST65866 LCO65866:LCP65866 LMK65866:LML65866 LWG65866:LWH65866 MGC65866:MGD65866 MPY65866:MPZ65866 MZU65866:MZV65866 NJQ65866:NJR65866 NTM65866:NTN65866 ODI65866:ODJ65866 ONE65866:ONF65866 OXA65866:OXB65866 PGW65866:PGX65866 PQS65866:PQT65866 QAO65866:QAP65866 QKK65866:QKL65866 QUG65866:QUH65866 REC65866:RED65866 RNY65866:RNZ65866 RXU65866:RXV65866 SHQ65866:SHR65866 SRM65866:SRN65866 TBI65866:TBJ65866 TLE65866:TLF65866 TVA65866:TVB65866 UEW65866:UEX65866 UOS65866:UOT65866 UYO65866:UYP65866 VIK65866:VIL65866 VSG65866:VSH65866 WCC65866:WCD65866 WLY65866:WLZ65866 WVU65866:WVV65866 M131402:N131402 JI131402:JJ131402 TE131402:TF131402 ADA131402:ADB131402 AMW131402:AMX131402 AWS131402:AWT131402 BGO131402:BGP131402 BQK131402:BQL131402 CAG131402:CAH131402 CKC131402:CKD131402 CTY131402:CTZ131402 DDU131402:DDV131402 DNQ131402:DNR131402 DXM131402:DXN131402 EHI131402:EHJ131402 ERE131402:ERF131402 FBA131402:FBB131402 FKW131402:FKX131402 FUS131402:FUT131402 GEO131402:GEP131402 GOK131402:GOL131402 GYG131402:GYH131402 HIC131402:HID131402 HRY131402:HRZ131402 IBU131402:IBV131402 ILQ131402:ILR131402 IVM131402:IVN131402 JFI131402:JFJ131402 JPE131402:JPF131402 JZA131402:JZB131402 KIW131402:KIX131402 KSS131402:KST131402 LCO131402:LCP131402 LMK131402:LML131402 LWG131402:LWH131402 MGC131402:MGD131402 MPY131402:MPZ131402 MZU131402:MZV131402 NJQ131402:NJR131402 NTM131402:NTN131402 ODI131402:ODJ131402 ONE131402:ONF131402 OXA131402:OXB131402 PGW131402:PGX131402 PQS131402:PQT131402 QAO131402:QAP131402 QKK131402:QKL131402 QUG131402:QUH131402 REC131402:RED131402 RNY131402:RNZ131402 RXU131402:RXV131402 SHQ131402:SHR131402 SRM131402:SRN131402 TBI131402:TBJ131402 TLE131402:TLF131402 TVA131402:TVB131402 UEW131402:UEX131402 UOS131402:UOT131402 UYO131402:UYP131402 VIK131402:VIL131402 VSG131402:VSH131402 WCC131402:WCD131402 WLY131402:WLZ131402 WVU131402:WVV131402 M196938:N196938 JI196938:JJ196938 TE196938:TF196938 ADA196938:ADB196938 AMW196938:AMX196938 AWS196938:AWT196938 BGO196938:BGP196938 BQK196938:BQL196938 CAG196938:CAH196938 CKC196938:CKD196938 CTY196938:CTZ196938 DDU196938:DDV196938 DNQ196938:DNR196938 DXM196938:DXN196938 EHI196938:EHJ196938 ERE196938:ERF196938 FBA196938:FBB196938 FKW196938:FKX196938 FUS196938:FUT196938 GEO196938:GEP196938 GOK196938:GOL196938 GYG196938:GYH196938 HIC196938:HID196938 HRY196938:HRZ196938 IBU196938:IBV196938 ILQ196938:ILR196938 IVM196938:IVN196938 JFI196938:JFJ196938 JPE196938:JPF196938 JZA196938:JZB196938 KIW196938:KIX196938 KSS196938:KST196938 LCO196938:LCP196938 LMK196938:LML196938 LWG196938:LWH196938 MGC196938:MGD196938 MPY196938:MPZ196938 MZU196938:MZV196938 NJQ196938:NJR196938 NTM196938:NTN196938 ODI196938:ODJ196938 ONE196938:ONF196938 OXA196938:OXB196938 PGW196938:PGX196938 PQS196938:PQT196938 QAO196938:QAP196938 QKK196938:QKL196938 QUG196938:QUH196938 REC196938:RED196938 RNY196938:RNZ196938 RXU196938:RXV196938 SHQ196938:SHR196938 SRM196938:SRN196938 TBI196938:TBJ196938 TLE196938:TLF196938 TVA196938:TVB196938 UEW196938:UEX196938 UOS196938:UOT196938 UYO196938:UYP196938 VIK196938:VIL196938 VSG196938:VSH196938 WCC196938:WCD196938 WLY196938:WLZ196938 WVU196938:WVV196938 M262474:N262474 JI262474:JJ262474 TE262474:TF262474 ADA262474:ADB262474 AMW262474:AMX262474 AWS262474:AWT262474 BGO262474:BGP262474 BQK262474:BQL262474 CAG262474:CAH262474 CKC262474:CKD262474 CTY262474:CTZ262474 DDU262474:DDV262474 DNQ262474:DNR262474 DXM262474:DXN262474 EHI262474:EHJ262474 ERE262474:ERF262474 FBA262474:FBB262474 FKW262474:FKX262474 FUS262474:FUT262474 GEO262474:GEP262474 GOK262474:GOL262474 GYG262474:GYH262474 HIC262474:HID262474 HRY262474:HRZ262474 IBU262474:IBV262474 ILQ262474:ILR262474 IVM262474:IVN262474 JFI262474:JFJ262474 JPE262474:JPF262474 JZA262474:JZB262474 KIW262474:KIX262474 KSS262474:KST262474 LCO262474:LCP262474 LMK262474:LML262474 LWG262474:LWH262474 MGC262474:MGD262474 MPY262474:MPZ262474 MZU262474:MZV262474 NJQ262474:NJR262474 NTM262474:NTN262474 ODI262474:ODJ262474 ONE262474:ONF262474 OXA262474:OXB262474 PGW262474:PGX262474 PQS262474:PQT262474 QAO262474:QAP262474 QKK262474:QKL262474 QUG262474:QUH262474 REC262474:RED262474 RNY262474:RNZ262474 RXU262474:RXV262474 SHQ262474:SHR262474 SRM262474:SRN262474 TBI262474:TBJ262474 TLE262474:TLF262474 TVA262474:TVB262474 UEW262474:UEX262474 UOS262474:UOT262474 UYO262474:UYP262474 VIK262474:VIL262474 VSG262474:VSH262474 WCC262474:WCD262474 WLY262474:WLZ262474 WVU262474:WVV262474 M328010:N328010 JI328010:JJ328010 TE328010:TF328010 ADA328010:ADB328010 AMW328010:AMX328010 AWS328010:AWT328010 BGO328010:BGP328010 BQK328010:BQL328010 CAG328010:CAH328010 CKC328010:CKD328010 CTY328010:CTZ328010 DDU328010:DDV328010 DNQ328010:DNR328010 DXM328010:DXN328010 EHI328010:EHJ328010 ERE328010:ERF328010 FBA328010:FBB328010 FKW328010:FKX328010 FUS328010:FUT328010 GEO328010:GEP328010 GOK328010:GOL328010 GYG328010:GYH328010 HIC328010:HID328010 HRY328010:HRZ328010 IBU328010:IBV328010 ILQ328010:ILR328010 IVM328010:IVN328010 JFI328010:JFJ328010 JPE328010:JPF328010 JZA328010:JZB328010 KIW328010:KIX328010 KSS328010:KST328010 LCO328010:LCP328010 LMK328010:LML328010 LWG328010:LWH328010 MGC328010:MGD328010 MPY328010:MPZ328010 MZU328010:MZV328010 NJQ328010:NJR328010 NTM328010:NTN328010 ODI328010:ODJ328010 ONE328010:ONF328010 OXA328010:OXB328010 PGW328010:PGX328010 PQS328010:PQT328010 QAO328010:QAP328010 QKK328010:QKL328010 QUG328010:QUH328010 REC328010:RED328010 RNY328010:RNZ328010 RXU328010:RXV328010 SHQ328010:SHR328010 SRM328010:SRN328010 TBI328010:TBJ328010 TLE328010:TLF328010 TVA328010:TVB328010 UEW328010:UEX328010 UOS328010:UOT328010 UYO328010:UYP328010 VIK328010:VIL328010 VSG328010:VSH328010 WCC328010:WCD328010 WLY328010:WLZ328010 WVU328010:WVV328010 M393546:N393546 JI393546:JJ393546 TE393546:TF393546 ADA393546:ADB393546 AMW393546:AMX393546 AWS393546:AWT393546 BGO393546:BGP393546 BQK393546:BQL393546 CAG393546:CAH393546 CKC393546:CKD393546 CTY393546:CTZ393546 DDU393546:DDV393546 DNQ393546:DNR393546 DXM393546:DXN393546 EHI393546:EHJ393546 ERE393546:ERF393546 FBA393546:FBB393546 FKW393546:FKX393546 FUS393546:FUT393546 GEO393546:GEP393546 GOK393546:GOL393546 GYG393546:GYH393546 HIC393546:HID393546 HRY393546:HRZ393546 IBU393546:IBV393546 ILQ393546:ILR393546 IVM393546:IVN393546 JFI393546:JFJ393546 JPE393546:JPF393546 JZA393546:JZB393546 KIW393546:KIX393546 KSS393546:KST393546 LCO393546:LCP393546 LMK393546:LML393546 LWG393546:LWH393546 MGC393546:MGD393546 MPY393546:MPZ393546 MZU393546:MZV393546 NJQ393546:NJR393546 NTM393546:NTN393546 ODI393546:ODJ393546 ONE393546:ONF393546 OXA393546:OXB393546 PGW393546:PGX393546 PQS393546:PQT393546 QAO393546:QAP393546 QKK393546:QKL393546 QUG393546:QUH393546 REC393546:RED393546 RNY393546:RNZ393546 RXU393546:RXV393546 SHQ393546:SHR393546 SRM393546:SRN393546 TBI393546:TBJ393546 TLE393546:TLF393546 TVA393546:TVB393546 UEW393546:UEX393546 UOS393546:UOT393546 UYO393546:UYP393546 VIK393546:VIL393546 VSG393546:VSH393546 WCC393546:WCD393546 WLY393546:WLZ393546 WVU393546:WVV393546 M459082:N459082 JI459082:JJ459082 TE459082:TF459082 ADA459082:ADB459082 AMW459082:AMX459082 AWS459082:AWT459082 BGO459082:BGP459082 BQK459082:BQL459082 CAG459082:CAH459082 CKC459082:CKD459082 CTY459082:CTZ459082 DDU459082:DDV459082 DNQ459082:DNR459082 DXM459082:DXN459082 EHI459082:EHJ459082 ERE459082:ERF459082 FBA459082:FBB459082 FKW459082:FKX459082 FUS459082:FUT459082 GEO459082:GEP459082 GOK459082:GOL459082 GYG459082:GYH459082 HIC459082:HID459082 HRY459082:HRZ459082 IBU459082:IBV459082 ILQ459082:ILR459082 IVM459082:IVN459082 JFI459082:JFJ459082 JPE459082:JPF459082 JZA459082:JZB459082 KIW459082:KIX459082 KSS459082:KST459082 LCO459082:LCP459082 LMK459082:LML459082 LWG459082:LWH459082 MGC459082:MGD459082 MPY459082:MPZ459082 MZU459082:MZV459082 NJQ459082:NJR459082 NTM459082:NTN459082 ODI459082:ODJ459082 ONE459082:ONF459082 OXA459082:OXB459082 PGW459082:PGX459082 PQS459082:PQT459082 QAO459082:QAP459082 QKK459082:QKL459082 QUG459082:QUH459082 REC459082:RED459082 RNY459082:RNZ459082 RXU459082:RXV459082 SHQ459082:SHR459082 SRM459082:SRN459082 TBI459082:TBJ459082 TLE459082:TLF459082 TVA459082:TVB459082 UEW459082:UEX459082 UOS459082:UOT459082 UYO459082:UYP459082 VIK459082:VIL459082 VSG459082:VSH459082 WCC459082:WCD459082 WLY459082:WLZ459082 WVU459082:WVV459082 M524618:N524618 JI524618:JJ524618 TE524618:TF524618 ADA524618:ADB524618 AMW524618:AMX524618 AWS524618:AWT524618 BGO524618:BGP524618 BQK524618:BQL524618 CAG524618:CAH524618 CKC524618:CKD524618 CTY524618:CTZ524618 DDU524618:DDV524618 DNQ524618:DNR524618 DXM524618:DXN524618 EHI524618:EHJ524618 ERE524618:ERF524618 FBA524618:FBB524618 FKW524618:FKX524618 FUS524618:FUT524618 GEO524618:GEP524618 GOK524618:GOL524618 GYG524618:GYH524618 HIC524618:HID524618 HRY524618:HRZ524618 IBU524618:IBV524618 ILQ524618:ILR524618 IVM524618:IVN524618 JFI524618:JFJ524618 JPE524618:JPF524618 JZA524618:JZB524618 KIW524618:KIX524618 KSS524618:KST524618 LCO524618:LCP524618 LMK524618:LML524618 LWG524618:LWH524618 MGC524618:MGD524618 MPY524618:MPZ524618 MZU524618:MZV524618 NJQ524618:NJR524618 NTM524618:NTN524618 ODI524618:ODJ524618 ONE524618:ONF524618 OXA524618:OXB524618 PGW524618:PGX524618 PQS524618:PQT524618 QAO524618:QAP524618 QKK524618:QKL524618 QUG524618:QUH524618 REC524618:RED524618 RNY524618:RNZ524618 RXU524618:RXV524618 SHQ524618:SHR524618 SRM524618:SRN524618 TBI524618:TBJ524618 TLE524618:TLF524618 TVA524618:TVB524618 UEW524618:UEX524618 UOS524618:UOT524618 UYO524618:UYP524618 VIK524618:VIL524618 VSG524618:VSH524618 WCC524618:WCD524618 WLY524618:WLZ524618 WVU524618:WVV524618 M590154:N590154 JI590154:JJ590154 TE590154:TF590154 ADA590154:ADB590154 AMW590154:AMX590154 AWS590154:AWT590154 BGO590154:BGP590154 BQK590154:BQL590154 CAG590154:CAH590154 CKC590154:CKD590154 CTY590154:CTZ590154 DDU590154:DDV590154 DNQ590154:DNR590154 DXM590154:DXN590154 EHI590154:EHJ590154 ERE590154:ERF590154 FBA590154:FBB590154 FKW590154:FKX590154 FUS590154:FUT590154 GEO590154:GEP590154 GOK590154:GOL590154 GYG590154:GYH590154 HIC590154:HID590154 HRY590154:HRZ590154 IBU590154:IBV590154 ILQ590154:ILR590154 IVM590154:IVN590154 JFI590154:JFJ590154 JPE590154:JPF590154 JZA590154:JZB590154 KIW590154:KIX590154 KSS590154:KST590154 LCO590154:LCP590154 LMK590154:LML590154 LWG590154:LWH590154 MGC590154:MGD590154 MPY590154:MPZ590154 MZU590154:MZV590154 NJQ590154:NJR590154 NTM590154:NTN590154 ODI590154:ODJ590154 ONE590154:ONF590154 OXA590154:OXB590154 PGW590154:PGX590154 PQS590154:PQT590154 QAO590154:QAP590154 QKK590154:QKL590154 QUG590154:QUH590154 REC590154:RED590154 RNY590154:RNZ590154 RXU590154:RXV590154 SHQ590154:SHR590154 SRM590154:SRN590154 TBI590154:TBJ590154 TLE590154:TLF590154 TVA590154:TVB590154 UEW590154:UEX590154 UOS590154:UOT590154 UYO590154:UYP590154 VIK590154:VIL590154 VSG590154:VSH590154 WCC590154:WCD590154 WLY590154:WLZ590154 WVU590154:WVV590154 M655690:N655690 JI655690:JJ655690 TE655690:TF655690 ADA655690:ADB655690 AMW655690:AMX655690 AWS655690:AWT655690 BGO655690:BGP655690 BQK655690:BQL655690 CAG655690:CAH655690 CKC655690:CKD655690 CTY655690:CTZ655690 DDU655690:DDV655690 DNQ655690:DNR655690 DXM655690:DXN655690 EHI655690:EHJ655690 ERE655690:ERF655690 FBA655690:FBB655690 FKW655690:FKX655690 FUS655690:FUT655690 GEO655690:GEP655690 GOK655690:GOL655690 GYG655690:GYH655690 HIC655690:HID655690 HRY655690:HRZ655690 IBU655690:IBV655690 ILQ655690:ILR655690 IVM655690:IVN655690 JFI655690:JFJ655690 JPE655690:JPF655690 JZA655690:JZB655690 KIW655690:KIX655690 KSS655690:KST655690 LCO655690:LCP655690 LMK655690:LML655690 LWG655690:LWH655690 MGC655690:MGD655690 MPY655690:MPZ655690 MZU655690:MZV655690 NJQ655690:NJR655690 NTM655690:NTN655690 ODI655690:ODJ655690 ONE655690:ONF655690 OXA655690:OXB655690 PGW655690:PGX655690 PQS655690:PQT655690 QAO655690:QAP655690 QKK655690:QKL655690 QUG655690:QUH655690 REC655690:RED655690 RNY655690:RNZ655690 RXU655690:RXV655690 SHQ655690:SHR655690 SRM655690:SRN655690 TBI655690:TBJ655690 TLE655690:TLF655690 TVA655690:TVB655690 UEW655690:UEX655690 UOS655690:UOT655690 UYO655690:UYP655690 VIK655690:VIL655690 VSG655690:VSH655690 WCC655690:WCD655690 WLY655690:WLZ655690 WVU655690:WVV655690 M721226:N721226 JI721226:JJ721226 TE721226:TF721226 ADA721226:ADB721226 AMW721226:AMX721226 AWS721226:AWT721226 BGO721226:BGP721226 BQK721226:BQL721226 CAG721226:CAH721226 CKC721226:CKD721226 CTY721226:CTZ721226 DDU721226:DDV721226 DNQ721226:DNR721226 DXM721226:DXN721226 EHI721226:EHJ721226 ERE721226:ERF721226 FBA721226:FBB721226 FKW721226:FKX721226 FUS721226:FUT721226 GEO721226:GEP721226 GOK721226:GOL721226 GYG721226:GYH721226 HIC721226:HID721226 HRY721226:HRZ721226 IBU721226:IBV721226 ILQ721226:ILR721226 IVM721226:IVN721226 JFI721226:JFJ721226 JPE721226:JPF721226 JZA721226:JZB721226 KIW721226:KIX721226 KSS721226:KST721226 LCO721226:LCP721226 LMK721226:LML721226 LWG721226:LWH721226 MGC721226:MGD721226 MPY721226:MPZ721226 MZU721226:MZV721226 NJQ721226:NJR721226 NTM721226:NTN721226 ODI721226:ODJ721226 ONE721226:ONF721226 OXA721226:OXB721226 PGW721226:PGX721226 PQS721226:PQT721226 QAO721226:QAP721226 QKK721226:QKL721226 QUG721226:QUH721226 REC721226:RED721226 RNY721226:RNZ721226 RXU721226:RXV721226 SHQ721226:SHR721226 SRM721226:SRN721226 TBI721226:TBJ721226 TLE721226:TLF721226 TVA721226:TVB721226 UEW721226:UEX721226 UOS721226:UOT721226 UYO721226:UYP721226 VIK721226:VIL721226 VSG721226:VSH721226 WCC721226:WCD721226 WLY721226:WLZ721226 WVU721226:WVV721226 M786762:N786762 JI786762:JJ786762 TE786762:TF786762 ADA786762:ADB786762 AMW786762:AMX786762 AWS786762:AWT786762 BGO786762:BGP786762 BQK786762:BQL786762 CAG786762:CAH786762 CKC786762:CKD786762 CTY786762:CTZ786762 DDU786762:DDV786762 DNQ786762:DNR786762 DXM786762:DXN786762 EHI786762:EHJ786762 ERE786762:ERF786762 FBA786762:FBB786762 FKW786762:FKX786762 FUS786762:FUT786762 GEO786762:GEP786762 GOK786762:GOL786762 GYG786762:GYH786762 HIC786762:HID786762 HRY786762:HRZ786762 IBU786762:IBV786762 ILQ786762:ILR786762 IVM786762:IVN786762 JFI786762:JFJ786762 JPE786762:JPF786762 JZA786762:JZB786762 KIW786762:KIX786762 KSS786762:KST786762 LCO786762:LCP786762 LMK786762:LML786762 LWG786762:LWH786762 MGC786762:MGD786762 MPY786762:MPZ786762 MZU786762:MZV786762 NJQ786762:NJR786762 NTM786762:NTN786762 ODI786762:ODJ786762 ONE786762:ONF786762 OXA786762:OXB786762 PGW786762:PGX786762 PQS786762:PQT786762 QAO786762:QAP786762 QKK786762:QKL786762 QUG786762:QUH786762 REC786762:RED786762 RNY786762:RNZ786762 RXU786762:RXV786762 SHQ786762:SHR786762 SRM786762:SRN786762 TBI786762:TBJ786762 TLE786762:TLF786762 TVA786762:TVB786762 UEW786762:UEX786762 UOS786762:UOT786762 UYO786762:UYP786762 VIK786762:VIL786762 VSG786762:VSH786762 WCC786762:WCD786762 WLY786762:WLZ786762 WVU786762:WVV786762 M852298:N852298 JI852298:JJ852298 TE852298:TF852298 ADA852298:ADB852298 AMW852298:AMX852298 AWS852298:AWT852298 BGO852298:BGP852298 BQK852298:BQL852298 CAG852298:CAH852298 CKC852298:CKD852298 CTY852298:CTZ852298 DDU852298:DDV852298 DNQ852298:DNR852298 DXM852298:DXN852298 EHI852298:EHJ852298 ERE852298:ERF852298 FBA852298:FBB852298 FKW852298:FKX852298 FUS852298:FUT852298 GEO852298:GEP852298 GOK852298:GOL852298 GYG852298:GYH852298 HIC852298:HID852298 HRY852298:HRZ852298 IBU852298:IBV852298 ILQ852298:ILR852298 IVM852298:IVN852298 JFI852298:JFJ852298 JPE852298:JPF852298 JZA852298:JZB852298 KIW852298:KIX852298 KSS852298:KST852298 LCO852298:LCP852298 LMK852298:LML852298 LWG852298:LWH852298 MGC852298:MGD852298 MPY852298:MPZ852298 MZU852298:MZV852298 NJQ852298:NJR852298 NTM852298:NTN852298 ODI852298:ODJ852298 ONE852298:ONF852298 OXA852298:OXB852298 PGW852298:PGX852298 PQS852298:PQT852298 QAO852298:QAP852298 QKK852298:QKL852298 QUG852298:QUH852298 REC852298:RED852298 RNY852298:RNZ852298 RXU852298:RXV852298 SHQ852298:SHR852298 SRM852298:SRN852298 TBI852298:TBJ852298 TLE852298:TLF852298 TVA852298:TVB852298 UEW852298:UEX852298 UOS852298:UOT852298 UYO852298:UYP852298 VIK852298:VIL852298 VSG852298:VSH852298 WCC852298:WCD852298 WLY852298:WLZ852298 WVU852298:WVV852298 M917834:N917834 JI917834:JJ917834 TE917834:TF917834 ADA917834:ADB917834 AMW917834:AMX917834 AWS917834:AWT917834 BGO917834:BGP917834 BQK917834:BQL917834 CAG917834:CAH917834 CKC917834:CKD917834 CTY917834:CTZ917834 DDU917834:DDV917834 DNQ917834:DNR917834 DXM917834:DXN917834 EHI917834:EHJ917834 ERE917834:ERF917834 FBA917834:FBB917834 FKW917834:FKX917834 FUS917834:FUT917834 GEO917834:GEP917834 GOK917834:GOL917834 GYG917834:GYH917834 HIC917834:HID917834 HRY917834:HRZ917834 IBU917834:IBV917834 ILQ917834:ILR917834 IVM917834:IVN917834 JFI917834:JFJ917834 JPE917834:JPF917834 JZA917834:JZB917834 KIW917834:KIX917834 KSS917834:KST917834 LCO917834:LCP917834 LMK917834:LML917834 LWG917834:LWH917834 MGC917834:MGD917834 MPY917834:MPZ917834 MZU917834:MZV917834 NJQ917834:NJR917834 NTM917834:NTN917834 ODI917834:ODJ917834 ONE917834:ONF917834 OXA917834:OXB917834 PGW917834:PGX917834 PQS917834:PQT917834 QAO917834:QAP917834 QKK917834:QKL917834 QUG917834:QUH917834 REC917834:RED917834 RNY917834:RNZ917834 RXU917834:RXV917834 SHQ917834:SHR917834 SRM917834:SRN917834 TBI917834:TBJ917834 TLE917834:TLF917834 TVA917834:TVB917834 UEW917834:UEX917834 UOS917834:UOT917834 UYO917834:UYP917834 VIK917834:VIL917834 VSG917834:VSH917834 WCC917834:WCD917834 WLY917834:WLZ917834 WVU917834:WVV917834 M983370:N983370 JI983370:JJ983370 TE983370:TF983370 ADA983370:ADB983370 AMW983370:AMX983370 AWS983370:AWT983370 BGO983370:BGP983370 BQK983370:BQL983370 CAG983370:CAH983370 CKC983370:CKD983370 CTY983370:CTZ983370 DDU983370:DDV983370 DNQ983370:DNR983370 DXM983370:DXN983370 EHI983370:EHJ983370 ERE983370:ERF983370 FBA983370:FBB983370 FKW983370:FKX983370 FUS983370:FUT983370 GEO983370:GEP983370 GOK983370:GOL983370 GYG983370:GYH983370 HIC983370:HID983370 HRY983370:HRZ983370 IBU983370:IBV983370 ILQ983370:ILR983370 IVM983370:IVN983370 JFI983370:JFJ983370 JPE983370:JPF983370 JZA983370:JZB983370 KIW983370:KIX983370 KSS983370:KST983370 LCO983370:LCP983370 LMK983370:LML983370 LWG983370:LWH983370 MGC983370:MGD983370 MPY983370:MPZ983370 MZU983370:MZV983370 NJQ983370:NJR983370 NTM983370:NTN983370 ODI983370:ODJ983370 ONE983370:ONF983370 OXA983370:OXB983370 PGW983370:PGX983370 PQS983370:PQT983370 QAO983370:QAP983370 QKK983370:QKL983370 QUG983370:QUH983370 REC983370:RED983370 RNY983370:RNZ983370 RXU983370:RXV983370 SHQ983370:SHR983370 SRM983370:SRN983370 TBI983370:TBJ983370 TLE983370:TLF983370 TVA983370:TVB983370 UEW983370:UEX983370 UOS983370:UOT983370 UYO983370:UYP983370 VIK983370:VIL983370 VSG983370:VSH983370 WCC983370:WCD983370 WLY983370:WLZ983370 WVU983370:WVV983370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594:N65594 JI65594:JJ65594 TE65594:TF65594 ADA65594:ADB65594 AMW65594:AMX65594 AWS65594:AWT65594 BGO65594:BGP65594 BQK65594:BQL65594 CAG65594:CAH65594 CKC65594:CKD65594 CTY65594:CTZ65594 DDU65594:DDV65594 DNQ65594:DNR65594 DXM65594:DXN65594 EHI65594:EHJ65594 ERE65594:ERF65594 FBA65594:FBB65594 FKW65594:FKX65594 FUS65594:FUT65594 GEO65594:GEP65594 GOK65594:GOL65594 GYG65594:GYH65594 HIC65594:HID65594 HRY65594:HRZ65594 IBU65594:IBV65594 ILQ65594:ILR65594 IVM65594:IVN65594 JFI65594:JFJ65594 JPE65594:JPF65594 JZA65594:JZB65594 KIW65594:KIX65594 KSS65594:KST65594 LCO65594:LCP65594 LMK65594:LML65594 LWG65594:LWH65594 MGC65594:MGD65594 MPY65594:MPZ65594 MZU65594:MZV65594 NJQ65594:NJR65594 NTM65594:NTN65594 ODI65594:ODJ65594 ONE65594:ONF65594 OXA65594:OXB65594 PGW65594:PGX65594 PQS65594:PQT65594 QAO65594:QAP65594 QKK65594:QKL65594 QUG65594:QUH65594 REC65594:RED65594 RNY65594:RNZ65594 RXU65594:RXV65594 SHQ65594:SHR65594 SRM65594:SRN65594 TBI65594:TBJ65594 TLE65594:TLF65594 TVA65594:TVB65594 UEW65594:UEX65594 UOS65594:UOT65594 UYO65594:UYP65594 VIK65594:VIL65594 VSG65594:VSH65594 WCC65594:WCD65594 WLY65594:WLZ65594 WVU65594:WVV65594 M131130:N131130 JI131130:JJ131130 TE131130:TF131130 ADA131130:ADB131130 AMW131130:AMX131130 AWS131130:AWT131130 BGO131130:BGP131130 BQK131130:BQL131130 CAG131130:CAH131130 CKC131130:CKD131130 CTY131130:CTZ131130 DDU131130:DDV131130 DNQ131130:DNR131130 DXM131130:DXN131130 EHI131130:EHJ131130 ERE131130:ERF131130 FBA131130:FBB131130 FKW131130:FKX131130 FUS131130:FUT131130 GEO131130:GEP131130 GOK131130:GOL131130 GYG131130:GYH131130 HIC131130:HID131130 HRY131130:HRZ131130 IBU131130:IBV131130 ILQ131130:ILR131130 IVM131130:IVN131130 JFI131130:JFJ131130 JPE131130:JPF131130 JZA131130:JZB131130 KIW131130:KIX131130 KSS131130:KST131130 LCO131130:LCP131130 LMK131130:LML131130 LWG131130:LWH131130 MGC131130:MGD131130 MPY131130:MPZ131130 MZU131130:MZV131130 NJQ131130:NJR131130 NTM131130:NTN131130 ODI131130:ODJ131130 ONE131130:ONF131130 OXA131130:OXB131130 PGW131130:PGX131130 PQS131130:PQT131130 QAO131130:QAP131130 QKK131130:QKL131130 QUG131130:QUH131130 REC131130:RED131130 RNY131130:RNZ131130 RXU131130:RXV131130 SHQ131130:SHR131130 SRM131130:SRN131130 TBI131130:TBJ131130 TLE131130:TLF131130 TVA131130:TVB131130 UEW131130:UEX131130 UOS131130:UOT131130 UYO131130:UYP131130 VIK131130:VIL131130 VSG131130:VSH131130 WCC131130:WCD131130 WLY131130:WLZ131130 WVU131130:WVV131130 M196666:N196666 JI196666:JJ196666 TE196666:TF196666 ADA196666:ADB196666 AMW196666:AMX196666 AWS196666:AWT196666 BGO196666:BGP196666 BQK196666:BQL196666 CAG196666:CAH196666 CKC196666:CKD196666 CTY196666:CTZ196666 DDU196666:DDV196666 DNQ196666:DNR196666 DXM196666:DXN196666 EHI196666:EHJ196666 ERE196666:ERF196666 FBA196666:FBB196666 FKW196666:FKX196666 FUS196666:FUT196666 GEO196666:GEP196666 GOK196666:GOL196666 GYG196666:GYH196666 HIC196666:HID196666 HRY196666:HRZ196666 IBU196666:IBV196666 ILQ196666:ILR196666 IVM196666:IVN196666 JFI196666:JFJ196666 JPE196666:JPF196666 JZA196666:JZB196666 KIW196666:KIX196666 KSS196666:KST196666 LCO196666:LCP196666 LMK196666:LML196666 LWG196666:LWH196666 MGC196666:MGD196666 MPY196666:MPZ196666 MZU196666:MZV196666 NJQ196666:NJR196666 NTM196666:NTN196666 ODI196666:ODJ196666 ONE196666:ONF196666 OXA196666:OXB196666 PGW196666:PGX196666 PQS196666:PQT196666 QAO196666:QAP196666 QKK196666:QKL196666 QUG196666:QUH196666 REC196666:RED196666 RNY196666:RNZ196666 RXU196666:RXV196666 SHQ196666:SHR196666 SRM196666:SRN196666 TBI196666:TBJ196666 TLE196666:TLF196666 TVA196666:TVB196666 UEW196666:UEX196666 UOS196666:UOT196666 UYO196666:UYP196666 VIK196666:VIL196666 VSG196666:VSH196666 WCC196666:WCD196666 WLY196666:WLZ196666 WVU196666:WVV196666 M262202:N262202 JI262202:JJ262202 TE262202:TF262202 ADA262202:ADB262202 AMW262202:AMX262202 AWS262202:AWT262202 BGO262202:BGP262202 BQK262202:BQL262202 CAG262202:CAH262202 CKC262202:CKD262202 CTY262202:CTZ262202 DDU262202:DDV262202 DNQ262202:DNR262202 DXM262202:DXN262202 EHI262202:EHJ262202 ERE262202:ERF262202 FBA262202:FBB262202 FKW262202:FKX262202 FUS262202:FUT262202 GEO262202:GEP262202 GOK262202:GOL262202 GYG262202:GYH262202 HIC262202:HID262202 HRY262202:HRZ262202 IBU262202:IBV262202 ILQ262202:ILR262202 IVM262202:IVN262202 JFI262202:JFJ262202 JPE262202:JPF262202 JZA262202:JZB262202 KIW262202:KIX262202 KSS262202:KST262202 LCO262202:LCP262202 LMK262202:LML262202 LWG262202:LWH262202 MGC262202:MGD262202 MPY262202:MPZ262202 MZU262202:MZV262202 NJQ262202:NJR262202 NTM262202:NTN262202 ODI262202:ODJ262202 ONE262202:ONF262202 OXA262202:OXB262202 PGW262202:PGX262202 PQS262202:PQT262202 QAO262202:QAP262202 QKK262202:QKL262202 QUG262202:QUH262202 REC262202:RED262202 RNY262202:RNZ262202 RXU262202:RXV262202 SHQ262202:SHR262202 SRM262202:SRN262202 TBI262202:TBJ262202 TLE262202:TLF262202 TVA262202:TVB262202 UEW262202:UEX262202 UOS262202:UOT262202 UYO262202:UYP262202 VIK262202:VIL262202 VSG262202:VSH262202 WCC262202:WCD262202 WLY262202:WLZ262202 WVU262202:WVV262202 M327738:N327738 JI327738:JJ327738 TE327738:TF327738 ADA327738:ADB327738 AMW327738:AMX327738 AWS327738:AWT327738 BGO327738:BGP327738 BQK327738:BQL327738 CAG327738:CAH327738 CKC327738:CKD327738 CTY327738:CTZ327738 DDU327738:DDV327738 DNQ327738:DNR327738 DXM327738:DXN327738 EHI327738:EHJ327738 ERE327738:ERF327738 FBA327738:FBB327738 FKW327738:FKX327738 FUS327738:FUT327738 GEO327738:GEP327738 GOK327738:GOL327738 GYG327738:GYH327738 HIC327738:HID327738 HRY327738:HRZ327738 IBU327738:IBV327738 ILQ327738:ILR327738 IVM327738:IVN327738 JFI327738:JFJ327738 JPE327738:JPF327738 JZA327738:JZB327738 KIW327738:KIX327738 KSS327738:KST327738 LCO327738:LCP327738 LMK327738:LML327738 LWG327738:LWH327738 MGC327738:MGD327738 MPY327738:MPZ327738 MZU327738:MZV327738 NJQ327738:NJR327738 NTM327738:NTN327738 ODI327738:ODJ327738 ONE327738:ONF327738 OXA327738:OXB327738 PGW327738:PGX327738 PQS327738:PQT327738 QAO327738:QAP327738 QKK327738:QKL327738 QUG327738:QUH327738 REC327738:RED327738 RNY327738:RNZ327738 RXU327738:RXV327738 SHQ327738:SHR327738 SRM327738:SRN327738 TBI327738:TBJ327738 TLE327738:TLF327738 TVA327738:TVB327738 UEW327738:UEX327738 UOS327738:UOT327738 UYO327738:UYP327738 VIK327738:VIL327738 VSG327738:VSH327738 WCC327738:WCD327738 WLY327738:WLZ327738 WVU327738:WVV327738 M393274:N393274 JI393274:JJ393274 TE393274:TF393274 ADA393274:ADB393274 AMW393274:AMX393274 AWS393274:AWT393274 BGO393274:BGP393274 BQK393274:BQL393274 CAG393274:CAH393274 CKC393274:CKD393274 CTY393274:CTZ393274 DDU393274:DDV393274 DNQ393274:DNR393274 DXM393274:DXN393274 EHI393274:EHJ393274 ERE393274:ERF393274 FBA393274:FBB393274 FKW393274:FKX393274 FUS393274:FUT393274 GEO393274:GEP393274 GOK393274:GOL393274 GYG393274:GYH393274 HIC393274:HID393274 HRY393274:HRZ393274 IBU393274:IBV393274 ILQ393274:ILR393274 IVM393274:IVN393274 JFI393274:JFJ393274 JPE393274:JPF393274 JZA393274:JZB393274 KIW393274:KIX393274 KSS393274:KST393274 LCO393274:LCP393274 LMK393274:LML393274 LWG393274:LWH393274 MGC393274:MGD393274 MPY393274:MPZ393274 MZU393274:MZV393274 NJQ393274:NJR393274 NTM393274:NTN393274 ODI393274:ODJ393274 ONE393274:ONF393274 OXA393274:OXB393274 PGW393274:PGX393274 PQS393274:PQT393274 QAO393274:QAP393274 QKK393274:QKL393274 QUG393274:QUH393274 REC393274:RED393274 RNY393274:RNZ393274 RXU393274:RXV393274 SHQ393274:SHR393274 SRM393274:SRN393274 TBI393274:TBJ393274 TLE393274:TLF393274 TVA393274:TVB393274 UEW393274:UEX393274 UOS393274:UOT393274 UYO393274:UYP393274 VIK393274:VIL393274 VSG393274:VSH393274 WCC393274:WCD393274 WLY393274:WLZ393274 WVU393274:WVV393274 M458810:N458810 JI458810:JJ458810 TE458810:TF458810 ADA458810:ADB458810 AMW458810:AMX458810 AWS458810:AWT458810 BGO458810:BGP458810 BQK458810:BQL458810 CAG458810:CAH458810 CKC458810:CKD458810 CTY458810:CTZ458810 DDU458810:DDV458810 DNQ458810:DNR458810 DXM458810:DXN458810 EHI458810:EHJ458810 ERE458810:ERF458810 FBA458810:FBB458810 FKW458810:FKX458810 FUS458810:FUT458810 GEO458810:GEP458810 GOK458810:GOL458810 GYG458810:GYH458810 HIC458810:HID458810 HRY458810:HRZ458810 IBU458810:IBV458810 ILQ458810:ILR458810 IVM458810:IVN458810 JFI458810:JFJ458810 JPE458810:JPF458810 JZA458810:JZB458810 KIW458810:KIX458810 KSS458810:KST458810 LCO458810:LCP458810 LMK458810:LML458810 LWG458810:LWH458810 MGC458810:MGD458810 MPY458810:MPZ458810 MZU458810:MZV458810 NJQ458810:NJR458810 NTM458810:NTN458810 ODI458810:ODJ458810 ONE458810:ONF458810 OXA458810:OXB458810 PGW458810:PGX458810 PQS458810:PQT458810 QAO458810:QAP458810 QKK458810:QKL458810 QUG458810:QUH458810 REC458810:RED458810 RNY458810:RNZ458810 RXU458810:RXV458810 SHQ458810:SHR458810 SRM458810:SRN458810 TBI458810:TBJ458810 TLE458810:TLF458810 TVA458810:TVB458810 UEW458810:UEX458810 UOS458810:UOT458810 UYO458810:UYP458810 VIK458810:VIL458810 VSG458810:VSH458810 WCC458810:WCD458810 WLY458810:WLZ458810 WVU458810:WVV458810 M524346:N524346 JI524346:JJ524346 TE524346:TF524346 ADA524346:ADB524346 AMW524346:AMX524346 AWS524346:AWT524346 BGO524346:BGP524346 BQK524346:BQL524346 CAG524346:CAH524346 CKC524346:CKD524346 CTY524346:CTZ524346 DDU524346:DDV524346 DNQ524346:DNR524346 DXM524346:DXN524346 EHI524346:EHJ524346 ERE524346:ERF524346 FBA524346:FBB524346 FKW524346:FKX524346 FUS524346:FUT524346 GEO524346:GEP524346 GOK524346:GOL524346 GYG524346:GYH524346 HIC524346:HID524346 HRY524346:HRZ524346 IBU524346:IBV524346 ILQ524346:ILR524346 IVM524346:IVN524346 JFI524346:JFJ524346 JPE524346:JPF524346 JZA524346:JZB524346 KIW524346:KIX524346 KSS524346:KST524346 LCO524346:LCP524346 LMK524346:LML524346 LWG524346:LWH524346 MGC524346:MGD524346 MPY524346:MPZ524346 MZU524346:MZV524346 NJQ524346:NJR524346 NTM524346:NTN524346 ODI524346:ODJ524346 ONE524346:ONF524346 OXA524346:OXB524346 PGW524346:PGX524346 PQS524346:PQT524346 QAO524346:QAP524346 QKK524346:QKL524346 QUG524346:QUH524346 REC524346:RED524346 RNY524346:RNZ524346 RXU524346:RXV524346 SHQ524346:SHR524346 SRM524346:SRN524346 TBI524346:TBJ524346 TLE524346:TLF524346 TVA524346:TVB524346 UEW524346:UEX524346 UOS524346:UOT524346 UYO524346:UYP524346 VIK524346:VIL524346 VSG524346:VSH524346 WCC524346:WCD524346 WLY524346:WLZ524346 WVU524346:WVV524346 M589882:N589882 JI589882:JJ589882 TE589882:TF589882 ADA589882:ADB589882 AMW589882:AMX589882 AWS589882:AWT589882 BGO589882:BGP589882 BQK589882:BQL589882 CAG589882:CAH589882 CKC589882:CKD589882 CTY589882:CTZ589882 DDU589882:DDV589882 DNQ589882:DNR589882 DXM589882:DXN589882 EHI589882:EHJ589882 ERE589882:ERF589882 FBA589882:FBB589882 FKW589882:FKX589882 FUS589882:FUT589882 GEO589882:GEP589882 GOK589882:GOL589882 GYG589882:GYH589882 HIC589882:HID589882 HRY589882:HRZ589882 IBU589882:IBV589882 ILQ589882:ILR589882 IVM589882:IVN589882 JFI589882:JFJ589882 JPE589882:JPF589882 JZA589882:JZB589882 KIW589882:KIX589882 KSS589882:KST589882 LCO589882:LCP589882 LMK589882:LML589882 LWG589882:LWH589882 MGC589882:MGD589882 MPY589882:MPZ589882 MZU589882:MZV589882 NJQ589882:NJR589882 NTM589882:NTN589882 ODI589882:ODJ589882 ONE589882:ONF589882 OXA589882:OXB589882 PGW589882:PGX589882 PQS589882:PQT589882 QAO589882:QAP589882 QKK589882:QKL589882 QUG589882:QUH589882 REC589882:RED589882 RNY589882:RNZ589882 RXU589882:RXV589882 SHQ589882:SHR589882 SRM589882:SRN589882 TBI589882:TBJ589882 TLE589882:TLF589882 TVA589882:TVB589882 UEW589882:UEX589882 UOS589882:UOT589882 UYO589882:UYP589882 VIK589882:VIL589882 VSG589882:VSH589882 WCC589882:WCD589882 WLY589882:WLZ589882 WVU589882:WVV589882 M655418:N655418 JI655418:JJ655418 TE655418:TF655418 ADA655418:ADB655418 AMW655418:AMX655418 AWS655418:AWT655418 BGO655418:BGP655418 BQK655418:BQL655418 CAG655418:CAH655418 CKC655418:CKD655418 CTY655418:CTZ655418 DDU655418:DDV655418 DNQ655418:DNR655418 DXM655418:DXN655418 EHI655418:EHJ655418 ERE655418:ERF655418 FBA655418:FBB655418 FKW655418:FKX655418 FUS655418:FUT655418 GEO655418:GEP655418 GOK655418:GOL655418 GYG655418:GYH655418 HIC655418:HID655418 HRY655418:HRZ655418 IBU655418:IBV655418 ILQ655418:ILR655418 IVM655418:IVN655418 JFI655418:JFJ655418 JPE655418:JPF655418 JZA655418:JZB655418 KIW655418:KIX655418 KSS655418:KST655418 LCO655418:LCP655418 LMK655418:LML655418 LWG655418:LWH655418 MGC655418:MGD655418 MPY655418:MPZ655418 MZU655418:MZV655418 NJQ655418:NJR655418 NTM655418:NTN655418 ODI655418:ODJ655418 ONE655418:ONF655418 OXA655418:OXB655418 PGW655418:PGX655418 PQS655418:PQT655418 QAO655418:QAP655418 QKK655418:QKL655418 QUG655418:QUH655418 REC655418:RED655418 RNY655418:RNZ655418 RXU655418:RXV655418 SHQ655418:SHR655418 SRM655418:SRN655418 TBI655418:TBJ655418 TLE655418:TLF655418 TVA655418:TVB655418 UEW655418:UEX655418 UOS655418:UOT655418 UYO655418:UYP655418 VIK655418:VIL655418 VSG655418:VSH655418 WCC655418:WCD655418 WLY655418:WLZ655418 WVU655418:WVV655418 M720954:N720954 JI720954:JJ720954 TE720954:TF720954 ADA720954:ADB720954 AMW720954:AMX720954 AWS720954:AWT720954 BGO720954:BGP720954 BQK720954:BQL720954 CAG720954:CAH720954 CKC720954:CKD720954 CTY720954:CTZ720954 DDU720954:DDV720954 DNQ720954:DNR720954 DXM720954:DXN720954 EHI720954:EHJ720954 ERE720954:ERF720954 FBA720954:FBB720954 FKW720954:FKX720954 FUS720954:FUT720954 GEO720954:GEP720954 GOK720954:GOL720954 GYG720954:GYH720954 HIC720954:HID720954 HRY720954:HRZ720954 IBU720954:IBV720954 ILQ720954:ILR720954 IVM720954:IVN720954 JFI720954:JFJ720954 JPE720954:JPF720954 JZA720954:JZB720954 KIW720954:KIX720954 KSS720954:KST720954 LCO720954:LCP720954 LMK720954:LML720954 LWG720954:LWH720954 MGC720954:MGD720954 MPY720954:MPZ720954 MZU720954:MZV720954 NJQ720954:NJR720954 NTM720954:NTN720954 ODI720954:ODJ720954 ONE720954:ONF720954 OXA720954:OXB720954 PGW720954:PGX720954 PQS720954:PQT720954 QAO720954:QAP720954 QKK720954:QKL720954 QUG720954:QUH720954 REC720954:RED720954 RNY720954:RNZ720954 RXU720954:RXV720954 SHQ720954:SHR720954 SRM720954:SRN720954 TBI720954:TBJ720954 TLE720954:TLF720954 TVA720954:TVB720954 UEW720954:UEX720954 UOS720954:UOT720954 UYO720954:UYP720954 VIK720954:VIL720954 VSG720954:VSH720954 WCC720954:WCD720954 WLY720954:WLZ720954 WVU720954:WVV720954 M786490:N786490 JI786490:JJ786490 TE786490:TF786490 ADA786490:ADB786490 AMW786490:AMX786490 AWS786490:AWT786490 BGO786490:BGP786490 BQK786490:BQL786490 CAG786490:CAH786490 CKC786490:CKD786490 CTY786490:CTZ786490 DDU786490:DDV786490 DNQ786490:DNR786490 DXM786490:DXN786490 EHI786490:EHJ786490 ERE786490:ERF786490 FBA786490:FBB786490 FKW786490:FKX786490 FUS786490:FUT786490 GEO786490:GEP786490 GOK786490:GOL786490 GYG786490:GYH786490 HIC786490:HID786490 HRY786490:HRZ786490 IBU786490:IBV786490 ILQ786490:ILR786490 IVM786490:IVN786490 JFI786490:JFJ786490 JPE786490:JPF786490 JZA786490:JZB786490 KIW786490:KIX786490 KSS786490:KST786490 LCO786490:LCP786490 LMK786490:LML786490 LWG786490:LWH786490 MGC786490:MGD786490 MPY786490:MPZ786490 MZU786490:MZV786490 NJQ786490:NJR786490 NTM786490:NTN786490 ODI786490:ODJ786490 ONE786490:ONF786490 OXA786490:OXB786490 PGW786490:PGX786490 PQS786490:PQT786490 QAO786490:QAP786490 QKK786490:QKL786490 QUG786490:QUH786490 REC786490:RED786490 RNY786490:RNZ786490 RXU786490:RXV786490 SHQ786490:SHR786490 SRM786490:SRN786490 TBI786490:TBJ786490 TLE786490:TLF786490 TVA786490:TVB786490 UEW786490:UEX786490 UOS786490:UOT786490 UYO786490:UYP786490 VIK786490:VIL786490 VSG786490:VSH786490 WCC786490:WCD786490 WLY786490:WLZ786490 WVU786490:WVV786490 M852026:N852026 JI852026:JJ852026 TE852026:TF852026 ADA852026:ADB852026 AMW852026:AMX852026 AWS852026:AWT852026 BGO852026:BGP852026 BQK852026:BQL852026 CAG852026:CAH852026 CKC852026:CKD852026 CTY852026:CTZ852026 DDU852026:DDV852026 DNQ852026:DNR852026 DXM852026:DXN852026 EHI852026:EHJ852026 ERE852026:ERF852026 FBA852026:FBB852026 FKW852026:FKX852026 FUS852026:FUT852026 GEO852026:GEP852026 GOK852026:GOL852026 GYG852026:GYH852026 HIC852026:HID852026 HRY852026:HRZ852026 IBU852026:IBV852026 ILQ852026:ILR852026 IVM852026:IVN852026 JFI852026:JFJ852026 JPE852026:JPF852026 JZA852026:JZB852026 KIW852026:KIX852026 KSS852026:KST852026 LCO852026:LCP852026 LMK852026:LML852026 LWG852026:LWH852026 MGC852026:MGD852026 MPY852026:MPZ852026 MZU852026:MZV852026 NJQ852026:NJR852026 NTM852026:NTN852026 ODI852026:ODJ852026 ONE852026:ONF852026 OXA852026:OXB852026 PGW852026:PGX852026 PQS852026:PQT852026 QAO852026:QAP852026 QKK852026:QKL852026 QUG852026:QUH852026 REC852026:RED852026 RNY852026:RNZ852026 RXU852026:RXV852026 SHQ852026:SHR852026 SRM852026:SRN852026 TBI852026:TBJ852026 TLE852026:TLF852026 TVA852026:TVB852026 UEW852026:UEX852026 UOS852026:UOT852026 UYO852026:UYP852026 VIK852026:VIL852026 VSG852026:VSH852026 WCC852026:WCD852026 WLY852026:WLZ852026 WVU852026:WVV852026 M917562:N917562 JI917562:JJ917562 TE917562:TF917562 ADA917562:ADB917562 AMW917562:AMX917562 AWS917562:AWT917562 BGO917562:BGP917562 BQK917562:BQL917562 CAG917562:CAH917562 CKC917562:CKD917562 CTY917562:CTZ917562 DDU917562:DDV917562 DNQ917562:DNR917562 DXM917562:DXN917562 EHI917562:EHJ917562 ERE917562:ERF917562 FBA917562:FBB917562 FKW917562:FKX917562 FUS917562:FUT917562 GEO917562:GEP917562 GOK917562:GOL917562 GYG917562:GYH917562 HIC917562:HID917562 HRY917562:HRZ917562 IBU917562:IBV917562 ILQ917562:ILR917562 IVM917562:IVN917562 JFI917562:JFJ917562 JPE917562:JPF917562 JZA917562:JZB917562 KIW917562:KIX917562 KSS917562:KST917562 LCO917562:LCP917562 LMK917562:LML917562 LWG917562:LWH917562 MGC917562:MGD917562 MPY917562:MPZ917562 MZU917562:MZV917562 NJQ917562:NJR917562 NTM917562:NTN917562 ODI917562:ODJ917562 ONE917562:ONF917562 OXA917562:OXB917562 PGW917562:PGX917562 PQS917562:PQT917562 QAO917562:QAP917562 QKK917562:QKL917562 QUG917562:QUH917562 REC917562:RED917562 RNY917562:RNZ917562 RXU917562:RXV917562 SHQ917562:SHR917562 SRM917562:SRN917562 TBI917562:TBJ917562 TLE917562:TLF917562 TVA917562:TVB917562 UEW917562:UEX917562 UOS917562:UOT917562 UYO917562:UYP917562 VIK917562:VIL917562 VSG917562:VSH917562 WCC917562:WCD917562 WLY917562:WLZ917562 WVU917562:WVV917562 M983098:N983098 JI983098:JJ983098 TE983098:TF983098 ADA983098:ADB983098 AMW983098:AMX983098 AWS983098:AWT983098 BGO983098:BGP983098 BQK983098:BQL983098 CAG983098:CAH983098 CKC983098:CKD983098 CTY983098:CTZ983098 DDU983098:DDV983098 DNQ983098:DNR983098 DXM983098:DXN983098 EHI983098:EHJ983098 ERE983098:ERF983098 FBA983098:FBB983098 FKW983098:FKX983098 FUS983098:FUT983098 GEO983098:GEP983098 GOK983098:GOL983098 GYG983098:GYH983098 HIC983098:HID983098 HRY983098:HRZ983098 IBU983098:IBV983098 ILQ983098:ILR983098 IVM983098:IVN983098 JFI983098:JFJ983098 JPE983098:JPF983098 JZA983098:JZB983098 KIW983098:KIX983098 KSS983098:KST983098 LCO983098:LCP983098 LMK983098:LML983098 LWG983098:LWH983098 MGC983098:MGD983098 MPY983098:MPZ983098 MZU983098:MZV983098 NJQ983098:NJR983098 NTM983098:NTN983098 ODI983098:ODJ983098 ONE983098:ONF983098 OXA983098:OXB983098 PGW983098:PGX983098 PQS983098:PQT983098 QAO983098:QAP983098 QKK983098:QKL983098 QUG983098:QUH983098 REC983098:RED983098 RNY983098:RNZ983098 RXU983098:RXV983098 SHQ983098:SHR983098 SRM983098:SRN983098 TBI983098:TBJ983098 TLE983098:TLF983098 TVA983098:TVB983098 UEW983098:UEX983098 UOS983098:UOT983098 UYO983098:UYP983098 VIK983098:VIL983098 VSG983098:VSH983098 WCC983098:WCD983098 WLY983098:WLZ983098 WVU983098:WVV983098 M195:N195 JI195:JJ195 TE195:TF195 ADA195:ADB195 AMW195:AMX195 AWS195:AWT195 BGO195:BGP195 BQK195:BQL195 CAG195:CAH195 CKC195:CKD195 CTY195:CTZ195 DDU195:DDV195 DNQ195:DNR195 DXM195:DXN195 EHI195:EHJ195 ERE195:ERF195 FBA195:FBB195 FKW195:FKX195 FUS195:FUT195 GEO195:GEP195 GOK195:GOL195 GYG195:GYH195 HIC195:HID195 HRY195:HRZ195 IBU195:IBV195 ILQ195:ILR195 IVM195:IVN195 JFI195:JFJ195 JPE195:JPF195 JZA195:JZB195 KIW195:KIX195 KSS195:KST195 LCO195:LCP195 LMK195:LML195 LWG195:LWH195 MGC195:MGD195 MPY195:MPZ195 MZU195:MZV195 NJQ195:NJR195 NTM195:NTN195 ODI195:ODJ195 ONE195:ONF195 OXA195:OXB195 PGW195:PGX195 PQS195:PQT195 QAO195:QAP195 QKK195:QKL195 QUG195:QUH195 REC195:RED195 RNY195:RNZ195 RXU195:RXV195 SHQ195:SHR195 SRM195:SRN195 TBI195:TBJ195 TLE195:TLF195 TVA195:TVB195 UEW195:UEX195 UOS195:UOT195 UYO195:UYP195 VIK195:VIL195 VSG195:VSH195 WCC195:WCD195 WLY195:WLZ195 WVU195:WVV195 M65728:N65728 JI65728:JJ65728 TE65728:TF65728 ADA65728:ADB65728 AMW65728:AMX65728 AWS65728:AWT65728 BGO65728:BGP65728 BQK65728:BQL65728 CAG65728:CAH65728 CKC65728:CKD65728 CTY65728:CTZ65728 DDU65728:DDV65728 DNQ65728:DNR65728 DXM65728:DXN65728 EHI65728:EHJ65728 ERE65728:ERF65728 FBA65728:FBB65728 FKW65728:FKX65728 FUS65728:FUT65728 GEO65728:GEP65728 GOK65728:GOL65728 GYG65728:GYH65728 HIC65728:HID65728 HRY65728:HRZ65728 IBU65728:IBV65728 ILQ65728:ILR65728 IVM65728:IVN65728 JFI65728:JFJ65728 JPE65728:JPF65728 JZA65728:JZB65728 KIW65728:KIX65728 KSS65728:KST65728 LCO65728:LCP65728 LMK65728:LML65728 LWG65728:LWH65728 MGC65728:MGD65728 MPY65728:MPZ65728 MZU65728:MZV65728 NJQ65728:NJR65728 NTM65728:NTN65728 ODI65728:ODJ65728 ONE65728:ONF65728 OXA65728:OXB65728 PGW65728:PGX65728 PQS65728:PQT65728 QAO65728:QAP65728 QKK65728:QKL65728 QUG65728:QUH65728 REC65728:RED65728 RNY65728:RNZ65728 RXU65728:RXV65728 SHQ65728:SHR65728 SRM65728:SRN65728 TBI65728:TBJ65728 TLE65728:TLF65728 TVA65728:TVB65728 UEW65728:UEX65728 UOS65728:UOT65728 UYO65728:UYP65728 VIK65728:VIL65728 VSG65728:VSH65728 WCC65728:WCD65728 WLY65728:WLZ65728 WVU65728:WVV65728 M131264:N131264 JI131264:JJ131264 TE131264:TF131264 ADA131264:ADB131264 AMW131264:AMX131264 AWS131264:AWT131264 BGO131264:BGP131264 BQK131264:BQL131264 CAG131264:CAH131264 CKC131264:CKD131264 CTY131264:CTZ131264 DDU131264:DDV131264 DNQ131264:DNR131264 DXM131264:DXN131264 EHI131264:EHJ131264 ERE131264:ERF131264 FBA131264:FBB131264 FKW131264:FKX131264 FUS131264:FUT131264 GEO131264:GEP131264 GOK131264:GOL131264 GYG131264:GYH131264 HIC131264:HID131264 HRY131264:HRZ131264 IBU131264:IBV131264 ILQ131264:ILR131264 IVM131264:IVN131264 JFI131264:JFJ131264 JPE131264:JPF131264 JZA131264:JZB131264 KIW131264:KIX131264 KSS131264:KST131264 LCO131264:LCP131264 LMK131264:LML131264 LWG131264:LWH131264 MGC131264:MGD131264 MPY131264:MPZ131264 MZU131264:MZV131264 NJQ131264:NJR131264 NTM131264:NTN131264 ODI131264:ODJ131264 ONE131264:ONF131264 OXA131264:OXB131264 PGW131264:PGX131264 PQS131264:PQT131264 QAO131264:QAP131264 QKK131264:QKL131264 QUG131264:QUH131264 REC131264:RED131264 RNY131264:RNZ131264 RXU131264:RXV131264 SHQ131264:SHR131264 SRM131264:SRN131264 TBI131264:TBJ131264 TLE131264:TLF131264 TVA131264:TVB131264 UEW131264:UEX131264 UOS131264:UOT131264 UYO131264:UYP131264 VIK131264:VIL131264 VSG131264:VSH131264 WCC131264:WCD131264 WLY131264:WLZ131264 WVU131264:WVV131264 M196800:N196800 JI196800:JJ196800 TE196800:TF196800 ADA196800:ADB196800 AMW196800:AMX196800 AWS196800:AWT196800 BGO196800:BGP196800 BQK196800:BQL196800 CAG196800:CAH196800 CKC196800:CKD196800 CTY196800:CTZ196800 DDU196800:DDV196800 DNQ196800:DNR196800 DXM196800:DXN196800 EHI196800:EHJ196800 ERE196800:ERF196800 FBA196800:FBB196800 FKW196800:FKX196800 FUS196800:FUT196800 GEO196800:GEP196800 GOK196800:GOL196800 GYG196800:GYH196800 HIC196800:HID196800 HRY196800:HRZ196800 IBU196800:IBV196800 ILQ196800:ILR196800 IVM196800:IVN196800 JFI196800:JFJ196800 JPE196800:JPF196800 JZA196800:JZB196800 KIW196800:KIX196800 KSS196800:KST196800 LCO196800:LCP196800 LMK196800:LML196800 LWG196800:LWH196800 MGC196800:MGD196800 MPY196800:MPZ196800 MZU196800:MZV196800 NJQ196800:NJR196800 NTM196800:NTN196800 ODI196800:ODJ196800 ONE196800:ONF196800 OXA196800:OXB196800 PGW196800:PGX196800 PQS196800:PQT196800 QAO196800:QAP196800 QKK196800:QKL196800 QUG196800:QUH196800 REC196800:RED196800 RNY196800:RNZ196800 RXU196800:RXV196800 SHQ196800:SHR196800 SRM196800:SRN196800 TBI196800:TBJ196800 TLE196800:TLF196800 TVA196800:TVB196800 UEW196800:UEX196800 UOS196800:UOT196800 UYO196800:UYP196800 VIK196800:VIL196800 VSG196800:VSH196800 WCC196800:WCD196800 WLY196800:WLZ196800 WVU196800:WVV196800 M262336:N262336 JI262336:JJ262336 TE262336:TF262336 ADA262336:ADB262336 AMW262336:AMX262336 AWS262336:AWT262336 BGO262336:BGP262336 BQK262336:BQL262336 CAG262336:CAH262336 CKC262336:CKD262336 CTY262336:CTZ262336 DDU262336:DDV262336 DNQ262336:DNR262336 DXM262336:DXN262336 EHI262336:EHJ262336 ERE262336:ERF262336 FBA262336:FBB262336 FKW262336:FKX262336 FUS262336:FUT262336 GEO262336:GEP262336 GOK262336:GOL262336 GYG262336:GYH262336 HIC262336:HID262336 HRY262336:HRZ262336 IBU262336:IBV262336 ILQ262336:ILR262336 IVM262336:IVN262336 JFI262336:JFJ262336 JPE262336:JPF262336 JZA262336:JZB262336 KIW262336:KIX262336 KSS262336:KST262336 LCO262336:LCP262336 LMK262336:LML262336 LWG262336:LWH262336 MGC262336:MGD262336 MPY262336:MPZ262336 MZU262336:MZV262336 NJQ262336:NJR262336 NTM262336:NTN262336 ODI262336:ODJ262336 ONE262336:ONF262336 OXA262336:OXB262336 PGW262336:PGX262336 PQS262336:PQT262336 QAO262336:QAP262336 QKK262336:QKL262336 QUG262336:QUH262336 REC262336:RED262336 RNY262336:RNZ262336 RXU262336:RXV262336 SHQ262336:SHR262336 SRM262336:SRN262336 TBI262336:TBJ262336 TLE262336:TLF262336 TVA262336:TVB262336 UEW262336:UEX262336 UOS262336:UOT262336 UYO262336:UYP262336 VIK262336:VIL262336 VSG262336:VSH262336 WCC262336:WCD262336 WLY262336:WLZ262336 WVU262336:WVV262336 M327872:N327872 JI327872:JJ327872 TE327872:TF327872 ADA327872:ADB327872 AMW327872:AMX327872 AWS327872:AWT327872 BGO327872:BGP327872 BQK327872:BQL327872 CAG327872:CAH327872 CKC327872:CKD327872 CTY327872:CTZ327872 DDU327872:DDV327872 DNQ327872:DNR327872 DXM327872:DXN327872 EHI327872:EHJ327872 ERE327872:ERF327872 FBA327872:FBB327872 FKW327872:FKX327872 FUS327872:FUT327872 GEO327872:GEP327872 GOK327872:GOL327872 GYG327872:GYH327872 HIC327872:HID327872 HRY327872:HRZ327872 IBU327872:IBV327872 ILQ327872:ILR327872 IVM327872:IVN327872 JFI327872:JFJ327872 JPE327872:JPF327872 JZA327872:JZB327872 KIW327872:KIX327872 KSS327872:KST327872 LCO327872:LCP327872 LMK327872:LML327872 LWG327872:LWH327872 MGC327872:MGD327872 MPY327872:MPZ327872 MZU327872:MZV327872 NJQ327872:NJR327872 NTM327872:NTN327872 ODI327872:ODJ327872 ONE327872:ONF327872 OXA327872:OXB327872 PGW327872:PGX327872 PQS327872:PQT327872 QAO327872:QAP327872 QKK327872:QKL327872 QUG327872:QUH327872 REC327872:RED327872 RNY327872:RNZ327872 RXU327872:RXV327872 SHQ327872:SHR327872 SRM327872:SRN327872 TBI327872:TBJ327872 TLE327872:TLF327872 TVA327872:TVB327872 UEW327872:UEX327872 UOS327872:UOT327872 UYO327872:UYP327872 VIK327872:VIL327872 VSG327872:VSH327872 WCC327872:WCD327872 WLY327872:WLZ327872 WVU327872:WVV327872 M393408:N393408 JI393408:JJ393408 TE393408:TF393408 ADA393408:ADB393408 AMW393408:AMX393408 AWS393408:AWT393408 BGO393408:BGP393408 BQK393408:BQL393408 CAG393408:CAH393408 CKC393408:CKD393408 CTY393408:CTZ393408 DDU393408:DDV393408 DNQ393408:DNR393408 DXM393408:DXN393408 EHI393408:EHJ393408 ERE393408:ERF393408 FBA393408:FBB393408 FKW393408:FKX393408 FUS393408:FUT393408 GEO393408:GEP393408 GOK393408:GOL393408 GYG393408:GYH393408 HIC393408:HID393408 HRY393408:HRZ393408 IBU393408:IBV393408 ILQ393408:ILR393408 IVM393408:IVN393408 JFI393408:JFJ393408 JPE393408:JPF393408 JZA393408:JZB393408 KIW393408:KIX393408 KSS393408:KST393408 LCO393408:LCP393408 LMK393408:LML393408 LWG393408:LWH393408 MGC393408:MGD393408 MPY393408:MPZ393408 MZU393408:MZV393408 NJQ393408:NJR393408 NTM393408:NTN393408 ODI393408:ODJ393408 ONE393408:ONF393408 OXA393408:OXB393408 PGW393408:PGX393408 PQS393408:PQT393408 QAO393408:QAP393408 QKK393408:QKL393408 QUG393408:QUH393408 REC393408:RED393408 RNY393408:RNZ393408 RXU393408:RXV393408 SHQ393408:SHR393408 SRM393408:SRN393408 TBI393408:TBJ393408 TLE393408:TLF393408 TVA393408:TVB393408 UEW393408:UEX393408 UOS393408:UOT393408 UYO393408:UYP393408 VIK393408:VIL393408 VSG393408:VSH393408 WCC393408:WCD393408 WLY393408:WLZ393408 WVU393408:WVV393408 M458944:N458944 JI458944:JJ458944 TE458944:TF458944 ADA458944:ADB458944 AMW458944:AMX458944 AWS458944:AWT458944 BGO458944:BGP458944 BQK458944:BQL458944 CAG458944:CAH458944 CKC458944:CKD458944 CTY458944:CTZ458944 DDU458944:DDV458944 DNQ458944:DNR458944 DXM458944:DXN458944 EHI458944:EHJ458944 ERE458944:ERF458944 FBA458944:FBB458944 FKW458944:FKX458944 FUS458944:FUT458944 GEO458944:GEP458944 GOK458944:GOL458944 GYG458944:GYH458944 HIC458944:HID458944 HRY458944:HRZ458944 IBU458944:IBV458944 ILQ458944:ILR458944 IVM458944:IVN458944 JFI458944:JFJ458944 JPE458944:JPF458944 JZA458944:JZB458944 KIW458944:KIX458944 KSS458944:KST458944 LCO458944:LCP458944 LMK458944:LML458944 LWG458944:LWH458944 MGC458944:MGD458944 MPY458944:MPZ458944 MZU458944:MZV458944 NJQ458944:NJR458944 NTM458944:NTN458944 ODI458944:ODJ458944 ONE458944:ONF458944 OXA458944:OXB458944 PGW458944:PGX458944 PQS458944:PQT458944 QAO458944:QAP458944 QKK458944:QKL458944 QUG458944:QUH458944 REC458944:RED458944 RNY458944:RNZ458944 RXU458944:RXV458944 SHQ458944:SHR458944 SRM458944:SRN458944 TBI458944:TBJ458944 TLE458944:TLF458944 TVA458944:TVB458944 UEW458944:UEX458944 UOS458944:UOT458944 UYO458944:UYP458944 VIK458944:VIL458944 VSG458944:VSH458944 WCC458944:WCD458944 WLY458944:WLZ458944 WVU458944:WVV458944 M524480:N524480 JI524480:JJ524480 TE524480:TF524480 ADA524480:ADB524480 AMW524480:AMX524480 AWS524480:AWT524480 BGO524480:BGP524480 BQK524480:BQL524480 CAG524480:CAH524480 CKC524480:CKD524480 CTY524480:CTZ524480 DDU524480:DDV524480 DNQ524480:DNR524480 DXM524480:DXN524480 EHI524480:EHJ524480 ERE524480:ERF524480 FBA524480:FBB524480 FKW524480:FKX524480 FUS524480:FUT524480 GEO524480:GEP524480 GOK524480:GOL524480 GYG524480:GYH524480 HIC524480:HID524480 HRY524480:HRZ524480 IBU524480:IBV524480 ILQ524480:ILR524480 IVM524480:IVN524480 JFI524480:JFJ524480 JPE524480:JPF524480 JZA524480:JZB524480 KIW524480:KIX524480 KSS524480:KST524480 LCO524480:LCP524480 LMK524480:LML524480 LWG524480:LWH524480 MGC524480:MGD524480 MPY524480:MPZ524480 MZU524480:MZV524480 NJQ524480:NJR524480 NTM524480:NTN524480 ODI524480:ODJ524480 ONE524480:ONF524480 OXA524480:OXB524480 PGW524480:PGX524480 PQS524480:PQT524480 QAO524480:QAP524480 QKK524480:QKL524480 QUG524480:QUH524480 REC524480:RED524480 RNY524480:RNZ524480 RXU524480:RXV524480 SHQ524480:SHR524480 SRM524480:SRN524480 TBI524480:TBJ524480 TLE524480:TLF524480 TVA524480:TVB524480 UEW524480:UEX524480 UOS524480:UOT524480 UYO524480:UYP524480 VIK524480:VIL524480 VSG524480:VSH524480 WCC524480:WCD524480 WLY524480:WLZ524480 WVU524480:WVV524480 M590016:N590016 JI590016:JJ590016 TE590016:TF590016 ADA590016:ADB590016 AMW590016:AMX590016 AWS590016:AWT590016 BGO590016:BGP590016 BQK590016:BQL590016 CAG590016:CAH590016 CKC590016:CKD590016 CTY590016:CTZ590016 DDU590016:DDV590016 DNQ590016:DNR590016 DXM590016:DXN590016 EHI590016:EHJ590016 ERE590016:ERF590016 FBA590016:FBB590016 FKW590016:FKX590016 FUS590016:FUT590016 GEO590016:GEP590016 GOK590016:GOL590016 GYG590016:GYH590016 HIC590016:HID590016 HRY590016:HRZ590016 IBU590016:IBV590016 ILQ590016:ILR590016 IVM590016:IVN590016 JFI590016:JFJ590016 JPE590016:JPF590016 JZA590016:JZB590016 KIW590016:KIX590016 KSS590016:KST590016 LCO590016:LCP590016 LMK590016:LML590016 LWG590016:LWH590016 MGC590016:MGD590016 MPY590016:MPZ590016 MZU590016:MZV590016 NJQ590016:NJR590016 NTM590016:NTN590016 ODI590016:ODJ590016 ONE590016:ONF590016 OXA590016:OXB590016 PGW590016:PGX590016 PQS590016:PQT590016 QAO590016:QAP590016 QKK590016:QKL590016 QUG590016:QUH590016 REC590016:RED590016 RNY590016:RNZ590016 RXU590016:RXV590016 SHQ590016:SHR590016 SRM590016:SRN590016 TBI590016:TBJ590016 TLE590016:TLF590016 TVA590016:TVB590016 UEW590016:UEX590016 UOS590016:UOT590016 UYO590016:UYP590016 VIK590016:VIL590016 VSG590016:VSH590016 WCC590016:WCD590016 WLY590016:WLZ590016 WVU590016:WVV590016 M655552:N655552 JI655552:JJ655552 TE655552:TF655552 ADA655552:ADB655552 AMW655552:AMX655552 AWS655552:AWT655552 BGO655552:BGP655552 BQK655552:BQL655552 CAG655552:CAH655552 CKC655552:CKD655552 CTY655552:CTZ655552 DDU655552:DDV655552 DNQ655552:DNR655552 DXM655552:DXN655552 EHI655552:EHJ655552 ERE655552:ERF655552 FBA655552:FBB655552 FKW655552:FKX655552 FUS655552:FUT655552 GEO655552:GEP655552 GOK655552:GOL655552 GYG655552:GYH655552 HIC655552:HID655552 HRY655552:HRZ655552 IBU655552:IBV655552 ILQ655552:ILR655552 IVM655552:IVN655552 JFI655552:JFJ655552 JPE655552:JPF655552 JZA655552:JZB655552 KIW655552:KIX655552 KSS655552:KST655552 LCO655552:LCP655552 LMK655552:LML655552 LWG655552:LWH655552 MGC655552:MGD655552 MPY655552:MPZ655552 MZU655552:MZV655552 NJQ655552:NJR655552 NTM655552:NTN655552 ODI655552:ODJ655552 ONE655552:ONF655552 OXA655552:OXB655552 PGW655552:PGX655552 PQS655552:PQT655552 QAO655552:QAP655552 QKK655552:QKL655552 QUG655552:QUH655552 REC655552:RED655552 RNY655552:RNZ655552 RXU655552:RXV655552 SHQ655552:SHR655552 SRM655552:SRN655552 TBI655552:TBJ655552 TLE655552:TLF655552 TVA655552:TVB655552 UEW655552:UEX655552 UOS655552:UOT655552 UYO655552:UYP655552 VIK655552:VIL655552 VSG655552:VSH655552 WCC655552:WCD655552 WLY655552:WLZ655552 WVU655552:WVV655552 M721088:N721088 JI721088:JJ721088 TE721088:TF721088 ADA721088:ADB721088 AMW721088:AMX721088 AWS721088:AWT721088 BGO721088:BGP721088 BQK721088:BQL721088 CAG721088:CAH721088 CKC721088:CKD721088 CTY721088:CTZ721088 DDU721088:DDV721088 DNQ721088:DNR721088 DXM721088:DXN721088 EHI721088:EHJ721088 ERE721088:ERF721088 FBA721088:FBB721088 FKW721088:FKX721088 FUS721088:FUT721088 GEO721088:GEP721088 GOK721088:GOL721088 GYG721088:GYH721088 HIC721088:HID721088 HRY721088:HRZ721088 IBU721088:IBV721088 ILQ721088:ILR721088 IVM721088:IVN721088 JFI721088:JFJ721088 JPE721088:JPF721088 JZA721088:JZB721088 KIW721088:KIX721088 KSS721088:KST721088 LCO721088:LCP721088 LMK721088:LML721088 LWG721088:LWH721088 MGC721088:MGD721088 MPY721088:MPZ721088 MZU721088:MZV721088 NJQ721088:NJR721088 NTM721088:NTN721088 ODI721088:ODJ721088 ONE721088:ONF721088 OXA721088:OXB721088 PGW721088:PGX721088 PQS721088:PQT721088 QAO721088:QAP721088 QKK721088:QKL721088 QUG721088:QUH721088 REC721088:RED721088 RNY721088:RNZ721088 RXU721088:RXV721088 SHQ721088:SHR721088 SRM721088:SRN721088 TBI721088:TBJ721088 TLE721088:TLF721088 TVA721088:TVB721088 UEW721088:UEX721088 UOS721088:UOT721088 UYO721088:UYP721088 VIK721088:VIL721088 VSG721088:VSH721088 WCC721088:WCD721088 WLY721088:WLZ721088 WVU721088:WVV721088 M786624:N786624 JI786624:JJ786624 TE786624:TF786624 ADA786624:ADB786624 AMW786624:AMX786624 AWS786624:AWT786624 BGO786624:BGP786624 BQK786624:BQL786624 CAG786624:CAH786624 CKC786624:CKD786624 CTY786624:CTZ786624 DDU786624:DDV786624 DNQ786624:DNR786624 DXM786624:DXN786624 EHI786624:EHJ786624 ERE786624:ERF786624 FBA786624:FBB786624 FKW786624:FKX786624 FUS786624:FUT786624 GEO786624:GEP786624 GOK786624:GOL786624 GYG786624:GYH786624 HIC786624:HID786624 HRY786624:HRZ786624 IBU786624:IBV786624 ILQ786624:ILR786624 IVM786624:IVN786624 JFI786624:JFJ786624 JPE786624:JPF786624 JZA786624:JZB786624 KIW786624:KIX786624 KSS786624:KST786624 LCO786624:LCP786624 LMK786624:LML786624 LWG786624:LWH786624 MGC786624:MGD786624 MPY786624:MPZ786624 MZU786624:MZV786624 NJQ786624:NJR786624 NTM786624:NTN786624 ODI786624:ODJ786624 ONE786624:ONF786624 OXA786624:OXB786624 PGW786624:PGX786624 PQS786624:PQT786624 QAO786624:QAP786624 QKK786624:QKL786624 QUG786624:QUH786624 REC786624:RED786624 RNY786624:RNZ786624 RXU786624:RXV786624 SHQ786624:SHR786624 SRM786624:SRN786624 TBI786624:TBJ786624 TLE786624:TLF786624 TVA786624:TVB786624 UEW786624:UEX786624 UOS786624:UOT786624 UYO786624:UYP786624 VIK786624:VIL786624 VSG786624:VSH786624 WCC786624:WCD786624 WLY786624:WLZ786624 WVU786624:WVV786624 M852160:N852160 JI852160:JJ852160 TE852160:TF852160 ADA852160:ADB852160 AMW852160:AMX852160 AWS852160:AWT852160 BGO852160:BGP852160 BQK852160:BQL852160 CAG852160:CAH852160 CKC852160:CKD852160 CTY852160:CTZ852160 DDU852160:DDV852160 DNQ852160:DNR852160 DXM852160:DXN852160 EHI852160:EHJ852160 ERE852160:ERF852160 FBA852160:FBB852160 FKW852160:FKX852160 FUS852160:FUT852160 GEO852160:GEP852160 GOK852160:GOL852160 GYG852160:GYH852160 HIC852160:HID852160 HRY852160:HRZ852160 IBU852160:IBV852160 ILQ852160:ILR852160 IVM852160:IVN852160 JFI852160:JFJ852160 JPE852160:JPF852160 JZA852160:JZB852160 KIW852160:KIX852160 KSS852160:KST852160 LCO852160:LCP852160 LMK852160:LML852160 LWG852160:LWH852160 MGC852160:MGD852160 MPY852160:MPZ852160 MZU852160:MZV852160 NJQ852160:NJR852160 NTM852160:NTN852160 ODI852160:ODJ852160 ONE852160:ONF852160 OXA852160:OXB852160 PGW852160:PGX852160 PQS852160:PQT852160 QAO852160:QAP852160 QKK852160:QKL852160 QUG852160:QUH852160 REC852160:RED852160 RNY852160:RNZ852160 RXU852160:RXV852160 SHQ852160:SHR852160 SRM852160:SRN852160 TBI852160:TBJ852160 TLE852160:TLF852160 TVA852160:TVB852160 UEW852160:UEX852160 UOS852160:UOT852160 UYO852160:UYP852160 VIK852160:VIL852160 VSG852160:VSH852160 WCC852160:WCD852160 WLY852160:WLZ852160 WVU852160:WVV852160 M917696:N917696 JI917696:JJ917696 TE917696:TF917696 ADA917696:ADB917696 AMW917696:AMX917696 AWS917696:AWT917696 BGO917696:BGP917696 BQK917696:BQL917696 CAG917696:CAH917696 CKC917696:CKD917696 CTY917696:CTZ917696 DDU917696:DDV917696 DNQ917696:DNR917696 DXM917696:DXN917696 EHI917696:EHJ917696 ERE917696:ERF917696 FBA917696:FBB917696 FKW917696:FKX917696 FUS917696:FUT917696 GEO917696:GEP917696 GOK917696:GOL917696 GYG917696:GYH917696 HIC917696:HID917696 HRY917696:HRZ917696 IBU917696:IBV917696 ILQ917696:ILR917696 IVM917696:IVN917696 JFI917696:JFJ917696 JPE917696:JPF917696 JZA917696:JZB917696 KIW917696:KIX917696 KSS917696:KST917696 LCO917696:LCP917696 LMK917696:LML917696 LWG917696:LWH917696 MGC917696:MGD917696 MPY917696:MPZ917696 MZU917696:MZV917696 NJQ917696:NJR917696 NTM917696:NTN917696 ODI917696:ODJ917696 ONE917696:ONF917696 OXA917696:OXB917696 PGW917696:PGX917696 PQS917696:PQT917696 QAO917696:QAP917696 QKK917696:QKL917696 QUG917696:QUH917696 REC917696:RED917696 RNY917696:RNZ917696 RXU917696:RXV917696 SHQ917696:SHR917696 SRM917696:SRN917696 TBI917696:TBJ917696 TLE917696:TLF917696 TVA917696:TVB917696 UEW917696:UEX917696 UOS917696:UOT917696 UYO917696:UYP917696 VIK917696:VIL917696 VSG917696:VSH917696 WCC917696:WCD917696 WLY917696:WLZ917696 WVU917696:WVV917696 M983232:N983232 JI983232:JJ983232 TE983232:TF983232 ADA983232:ADB983232 AMW983232:AMX983232 AWS983232:AWT983232 BGO983232:BGP983232 BQK983232:BQL983232 CAG983232:CAH983232 CKC983232:CKD983232 CTY983232:CTZ983232 DDU983232:DDV983232 DNQ983232:DNR983232 DXM983232:DXN983232 EHI983232:EHJ983232 ERE983232:ERF983232 FBA983232:FBB983232 FKW983232:FKX983232 FUS983232:FUT983232 GEO983232:GEP983232 GOK983232:GOL983232 GYG983232:GYH983232 HIC983232:HID983232 HRY983232:HRZ983232 IBU983232:IBV983232 ILQ983232:ILR983232 IVM983232:IVN983232 JFI983232:JFJ983232 JPE983232:JPF983232 JZA983232:JZB983232 KIW983232:KIX983232 KSS983232:KST983232 LCO983232:LCP983232 LMK983232:LML983232 LWG983232:LWH983232 MGC983232:MGD983232 MPY983232:MPZ983232 MZU983232:MZV983232 NJQ983232:NJR983232 NTM983232:NTN983232 ODI983232:ODJ983232 ONE983232:ONF983232 OXA983232:OXB983232 PGW983232:PGX983232 PQS983232:PQT983232 QAO983232:QAP983232 QKK983232:QKL983232 QUG983232:QUH983232 REC983232:RED983232 RNY983232:RNZ983232 RXU983232:RXV983232 SHQ983232:SHR983232 SRM983232:SRN983232 TBI983232:TBJ983232 TLE983232:TLF983232 TVA983232:TVB983232 UEW983232:UEX983232 UOS983232:UOT983232 UYO983232:UYP983232 VIK983232:VIL983232 VSG983232:VSH983232 WCC983232:WCD983232 WLY983232:WLZ983232 WVU983232:WVV983232 M502:N502 JI502:JJ502 TE502:TF502 ADA502:ADB502 AMW502:AMX502 AWS502:AWT502 BGO502:BGP502 BQK502:BQL502 CAG502:CAH502 CKC502:CKD502 CTY502:CTZ502 DDU502:DDV502 DNQ502:DNR502 DXM502:DXN502 EHI502:EHJ502 ERE502:ERF502 FBA502:FBB502 FKW502:FKX502 FUS502:FUT502 GEO502:GEP502 GOK502:GOL502 GYG502:GYH502 HIC502:HID502 HRY502:HRZ502 IBU502:IBV502 ILQ502:ILR502 IVM502:IVN502 JFI502:JFJ502 JPE502:JPF502 JZA502:JZB502 KIW502:KIX502 KSS502:KST502 LCO502:LCP502 LMK502:LML502 LWG502:LWH502 MGC502:MGD502 MPY502:MPZ502 MZU502:MZV502 NJQ502:NJR502 NTM502:NTN502 ODI502:ODJ502 ONE502:ONF502 OXA502:OXB502 PGW502:PGX502 PQS502:PQT502 QAO502:QAP502 QKK502:QKL502 QUG502:QUH502 REC502:RED502 RNY502:RNZ502 RXU502:RXV502 SHQ502:SHR502 SRM502:SRN502 TBI502:TBJ502 TLE502:TLF502 TVA502:TVB502 UEW502:UEX502 UOS502:UOT502 UYO502:UYP502 VIK502:VIL502 VSG502:VSH502 WCC502:WCD502 WLY502:WLZ502 WVU502:WVV502 M66038:N66038 JI66038:JJ66038 TE66038:TF66038 ADA66038:ADB66038 AMW66038:AMX66038 AWS66038:AWT66038 BGO66038:BGP66038 BQK66038:BQL66038 CAG66038:CAH66038 CKC66038:CKD66038 CTY66038:CTZ66038 DDU66038:DDV66038 DNQ66038:DNR66038 DXM66038:DXN66038 EHI66038:EHJ66038 ERE66038:ERF66038 FBA66038:FBB66038 FKW66038:FKX66038 FUS66038:FUT66038 GEO66038:GEP66038 GOK66038:GOL66038 GYG66038:GYH66038 HIC66038:HID66038 HRY66038:HRZ66038 IBU66038:IBV66038 ILQ66038:ILR66038 IVM66038:IVN66038 JFI66038:JFJ66038 JPE66038:JPF66038 JZA66038:JZB66038 KIW66038:KIX66038 KSS66038:KST66038 LCO66038:LCP66038 LMK66038:LML66038 LWG66038:LWH66038 MGC66038:MGD66038 MPY66038:MPZ66038 MZU66038:MZV66038 NJQ66038:NJR66038 NTM66038:NTN66038 ODI66038:ODJ66038 ONE66038:ONF66038 OXA66038:OXB66038 PGW66038:PGX66038 PQS66038:PQT66038 QAO66038:QAP66038 QKK66038:QKL66038 QUG66038:QUH66038 REC66038:RED66038 RNY66038:RNZ66038 RXU66038:RXV66038 SHQ66038:SHR66038 SRM66038:SRN66038 TBI66038:TBJ66038 TLE66038:TLF66038 TVA66038:TVB66038 UEW66038:UEX66038 UOS66038:UOT66038 UYO66038:UYP66038 VIK66038:VIL66038 VSG66038:VSH66038 WCC66038:WCD66038 WLY66038:WLZ66038 WVU66038:WVV66038 M131574:N131574 JI131574:JJ131574 TE131574:TF131574 ADA131574:ADB131574 AMW131574:AMX131574 AWS131574:AWT131574 BGO131574:BGP131574 BQK131574:BQL131574 CAG131574:CAH131574 CKC131574:CKD131574 CTY131574:CTZ131574 DDU131574:DDV131574 DNQ131574:DNR131574 DXM131574:DXN131574 EHI131574:EHJ131574 ERE131574:ERF131574 FBA131574:FBB131574 FKW131574:FKX131574 FUS131574:FUT131574 GEO131574:GEP131574 GOK131574:GOL131574 GYG131574:GYH131574 HIC131574:HID131574 HRY131574:HRZ131574 IBU131574:IBV131574 ILQ131574:ILR131574 IVM131574:IVN131574 JFI131574:JFJ131574 JPE131574:JPF131574 JZA131574:JZB131574 KIW131574:KIX131574 KSS131574:KST131574 LCO131574:LCP131574 LMK131574:LML131574 LWG131574:LWH131574 MGC131574:MGD131574 MPY131574:MPZ131574 MZU131574:MZV131574 NJQ131574:NJR131574 NTM131574:NTN131574 ODI131574:ODJ131574 ONE131574:ONF131574 OXA131574:OXB131574 PGW131574:PGX131574 PQS131574:PQT131574 QAO131574:QAP131574 QKK131574:QKL131574 QUG131574:QUH131574 REC131574:RED131574 RNY131574:RNZ131574 RXU131574:RXV131574 SHQ131574:SHR131574 SRM131574:SRN131574 TBI131574:TBJ131574 TLE131574:TLF131574 TVA131574:TVB131574 UEW131574:UEX131574 UOS131574:UOT131574 UYO131574:UYP131574 VIK131574:VIL131574 VSG131574:VSH131574 WCC131574:WCD131574 WLY131574:WLZ131574 WVU131574:WVV131574 M197110:N197110 JI197110:JJ197110 TE197110:TF197110 ADA197110:ADB197110 AMW197110:AMX197110 AWS197110:AWT197110 BGO197110:BGP197110 BQK197110:BQL197110 CAG197110:CAH197110 CKC197110:CKD197110 CTY197110:CTZ197110 DDU197110:DDV197110 DNQ197110:DNR197110 DXM197110:DXN197110 EHI197110:EHJ197110 ERE197110:ERF197110 FBA197110:FBB197110 FKW197110:FKX197110 FUS197110:FUT197110 GEO197110:GEP197110 GOK197110:GOL197110 GYG197110:GYH197110 HIC197110:HID197110 HRY197110:HRZ197110 IBU197110:IBV197110 ILQ197110:ILR197110 IVM197110:IVN197110 JFI197110:JFJ197110 JPE197110:JPF197110 JZA197110:JZB197110 KIW197110:KIX197110 KSS197110:KST197110 LCO197110:LCP197110 LMK197110:LML197110 LWG197110:LWH197110 MGC197110:MGD197110 MPY197110:MPZ197110 MZU197110:MZV197110 NJQ197110:NJR197110 NTM197110:NTN197110 ODI197110:ODJ197110 ONE197110:ONF197110 OXA197110:OXB197110 PGW197110:PGX197110 PQS197110:PQT197110 QAO197110:QAP197110 QKK197110:QKL197110 QUG197110:QUH197110 REC197110:RED197110 RNY197110:RNZ197110 RXU197110:RXV197110 SHQ197110:SHR197110 SRM197110:SRN197110 TBI197110:TBJ197110 TLE197110:TLF197110 TVA197110:TVB197110 UEW197110:UEX197110 UOS197110:UOT197110 UYO197110:UYP197110 VIK197110:VIL197110 VSG197110:VSH197110 WCC197110:WCD197110 WLY197110:WLZ197110 WVU197110:WVV197110 M262646:N262646 JI262646:JJ262646 TE262646:TF262646 ADA262646:ADB262646 AMW262646:AMX262646 AWS262646:AWT262646 BGO262646:BGP262646 BQK262646:BQL262646 CAG262646:CAH262646 CKC262646:CKD262646 CTY262646:CTZ262646 DDU262646:DDV262646 DNQ262646:DNR262646 DXM262646:DXN262646 EHI262646:EHJ262646 ERE262646:ERF262646 FBA262646:FBB262646 FKW262646:FKX262646 FUS262646:FUT262646 GEO262646:GEP262646 GOK262646:GOL262646 GYG262646:GYH262646 HIC262646:HID262646 HRY262646:HRZ262646 IBU262646:IBV262646 ILQ262646:ILR262646 IVM262646:IVN262646 JFI262646:JFJ262646 JPE262646:JPF262646 JZA262646:JZB262646 KIW262646:KIX262646 KSS262646:KST262646 LCO262646:LCP262646 LMK262646:LML262646 LWG262646:LWH262646 MGC262646:MGD262646 MPY262646:MPZ262646 MZU262646:MZV262646 NJQ262646:NJR262646 NTM262646:NTN262646 ODI262646:ODJ262646 ONE262646:ONF262646 OXA262646:OXB262646 PGW262646:PGX262646 PQS262646:PQT262646 QAO262646:QAP262646 QKK262646:QKL262646 QUG262646:QUH262646 REC262646:RED262646 RNY262646:RNZ262646 RXU262646:RXV262646 SHQ262646:SHR262646 SRM262646:SRN262646 TBI262646:TBJ262646 TLE262646:TLF262646 TVA262646:TVB262646 UEW262646:UEX262646 UOS262646:UOT262646 UYO262646:UYP262646 VIK262646:VIL262646 VSG262646:VSH262646 WCC262646:WCD262646 WLY262646:WLZ262646 WVU262646:WVV262646 M328182:N328182 JI328182:JJ328182 TE328182:TF328182 ADA328182:ADB328182 AMW328182:AMX328182 AWS328182:AWT328182 BGO328182:BGP328182 BQK328182:BQL328182 CAG328182:CAH328182 CKC328182:CKD328182 CTY328182:CTZ328182 DDU328182:DDV328182 DNQ328182:DNR328182 DXM328182:DXN328182 EHI328182:EHJ328182 ERE328182:ERF328182 FBA328182:FBB328182 FKW328182:FKX328182 FUS328182:FUT328182 GEO328182:GEP328182 GOK328182:GOL328182 GYG328182:GYH328182 HIC328182:HID328182 HRY328182:HRZ328182 IBU328182:IBV328182 ILQ328182:ILR328182 IVM328182:IVN328182 JFI328182:JFJ328182 JPE328182:JPF328182 JZA328182:JZB328182 KIW328182:KIX328182 KSS328182:KST328182 LCO328182:LCP328182 LMK328182:LML328182 LWG328182:LWH328182 MGC328182:MGD328182 MPY328182:MPZ328182 MZU328182:MZV328182 NJQ328182:NJR328182 NTM328182:NTN328182 ODI328182:ODJ328182 ONE328182:ONF328182 OXA328182:OXB328182 PGW328182:PGX328182 PQS328182:PQT328182 QAO328182:QAP328182 QKK328182:QKL328182 QUG328182:QUH328182 REC328182:RED328182 RNY328182:RNZ328182 RXU328182:RXV328182 SHQ328182:SHR328182 SRM328182:SRN328182 TBI328182:TBJ328182 TLE328182:TLF328182 TVA328182:TVB328182 UEW328182:UEX328182 UOS328182:UOT328182 UYO328182:UYP328182 VIK328182:VIL328182 VSG328182:VSH328182 WCC328182:WCD328182 WLY328182:WLZ328182 WVU328182:WVV328182 M393718:N393718 JI393718:JJ393718 TE393718:TF393718 ADA393718:ADB393718 AMW393718:AMX393718 AWS393718:AWT393718 BGO393718:BGP393718 BQK393718:BQL393718 CAG393718:CAH393718 CKC393718:CKD393718 CTY393718:CTZ393718 DDU393718:DDV393718 DNQ393718:DNR393718 DXM393718:DXN393718 EHI393718:EHJ393718 ERE393718:ERF393718 FBA393718:FBB393718 FKW393718:FKX393718 FUS393718:FUT393718 GEO393718:GEP393718 GOK393718:GOL393718 GYG393718:GYH393718 HIC393718:HID393718 HRY393718:HRZ393718 IBU393718:IBV393718 ILQ393718:ILR393718 IVM393718:IVN393718 JFI393718:JFJ393718 JPE393718:JPF393718 JZA393718:JZB393718 KIW393718:KIX393718 KSS393718:KST393718 LCO393718:LCP393718 LMK393718:LML393718 LWG393718:LWH393718 MGC393718:MGD393718 MPY393718:MPZ393718 MZU393718:MZV393718 NJQ393718:NJR393718 NTM393718:NTN393718 ODI393718:ODJ393718 ONE393718:ONF393718 OXA393718:OXB393718 PGW393718:PGX393718 PQS393718:PQT393718 QAO393718:QAP393718 QKK393718:QKL393718 QUG393718:QUH393718 REC393718:RED393718 RNY393718:RNZ393718 RXU393718:RXV393718 SHQ393718:SHR393718 SRM393718:SRN393718 TBI393718:TBJ393718 TLE393718:TLF393718 TVA393718:TVB393718 UEW393718:UEX393718 UOS393718:UOT393718 UYO393718:UYP393718 VIK393718:VIL393718 VSG393718:VSH393718 WCC393718:WCD393718 WLY393718:WLZ393718 WVU393718:WVV393718 M459254:N459254 JI459254:JJ459254 TE459254:TF459254 ADA459254:ADB459254 AMW459254:AMX459254 AWS459254:AWT459254 BGO459254:BGP459254 BQK459254:BQL459254 CAG459254:CAH459254 CKC459254:CKD459254 CTY459254:CTZ459254 DDU459254:DDV459254 DNQ459254:DNR459254 DXM459254:DXN459254 EHI459254:EHJ459254 ERE459254:ERF459254 FBA459254:FBB459254 FKW459254:FKX459254 FUS459254:FUT459254 GEO459254:GEP459254 GOK459254:GOL459254 GYG459254:GYH459254 HIC459254:HID459254 HRY459254:HRZ459254 IBU459254:IBV459254 ILQ459254:ILR459254 IVM459254:IVN459254 JFI459254:JFJ459254 JPE459254:JPF459254 JZA459254:JZB459254 KIW459254:KIX459254 KSS459254:KST459254 LCO459254:LCP459254 LMK459254:LML459254 LWG459254:LWH459254 MGC459254:MGD459254 MPY459254:MPZ459254 MZU459254:MZV459254 NJQ459254:NJR459254 NTM459254:NTN459254 ODI459254:ODJ459254 ONE459254:ONF459254 OXA459254:OXB459254 PGW459254:PGX459254 PQS459254:PQT459254 QAO459254:QAP459254 QKK459254:QKL459254 QUG459254:QUH459254 REC459254:RED459254 RNY459254:RNZ459254 RXU459254:RXV459254 SHQ459254:SHR459254 SRM459254:SRN459254 TBI459254:TBJ459254 TLE459254:TLF459254 TVA459254:TVB459254 UEW459254:UEX459254 UOS459254:UOT459254 UYO459254:UYP459254 VIK459254:VIL459254 VSG459254:VSH459254 WCC459254:WCD459254 WLY459254:WLZ459254 WVU459254:WVV459254 M524790:N524790 JI524790:JJ524790 TE524790:TF524790 ADA524790:ADB524790 AMW524790:AMX524790 AWS524790:AWT524790 BGO524790:BGP524790 BQK524790:BQL524790 CAG524790:CAH524790 CKC524790:CKD524790 CTY524790:CTZ524790 DDU524790:DDV524790 DNQ524790:DNR524790 DXM524790:DXN524790 EHI524790:EHJ524790 ERE524790:ERF524790 FBA524790:FBB524790 FKW524790:FKX524790 FUS524790:FUT524790 GEO524790:GEP524790 GOK524790:GOL524790 GYG524790:GYH524790 HIC524790:HID524790 HRY524790:HRZ524790 IBU524790:IBV524790 ILQ524790:ILR524790 IVM524790:IVN524790 JFI524790:JFJ524790 JPE524790:JPF524790 JZA524790:JZB524790 KIW524790:KIX524790 KSS524790:KST524790 LCO524790:LCP524790 LMK524790:LML524790 LWG524790:LWH524790 MGC524790:MGD524790 MPY524790:MPZ524790 MZU524790:MZV524790 NJQ524790:NJR524790 NTM524790:NTN524790 ODI524790:ODJ524790 ONE524790:ONF524790 OXA524790:OXB524790 PGW524790:PGX524790 PQS524790:PQT524790 QAO524790:QAP524790 QKK524790:QKL524790 QUG524790:QUH524790 REC524790:RED524790 RNY524790:RNZ524790 RXU524790:RXV524790 SHQ524790:SHR524790 SRM524790:SRN524790 TBI524790:TBJ524790 TLE524790:TLF524790 TVA524790:TVB524790 UEW524790:UEX524790 UOS524790:UOT524790 UYO524790:UYP524790 VIK524790:VIL524790 VSG524790:VSH524790 WCC524790:WCD524790 WLY524790:WLZ524790 WVU524790:WVV524790 M590326:N590326 JI590326:JJ590326 TE590326:TF590326 ADA590326:ADB590326 AMW590326:AMX590326 AWS590326:AWT590326 BGO590326:BGP590326 BQK590326:BQL590326 CAG590326:CAH590326 CKC590326:CKD590326 CTY590326:CTZ590326 DDU590326:DDV590326 DNQ590326:DNR590326 DXM590326:DXN590326 EHI590326:EHJ590326 ERE590326:ERF590326 FBA590326:FBB590326 FKW590326:FKX590326 FUS590326:FUT590326 GEO590326:GEP590326 GOK590326:GOL590326 GYG590326:GYH590326 HIC590326:HID590326 HRY590326:HRZ590326 IBU590326:IBV590326 ILQ590326:ILR590326 IVM590326:IVN590326 JFI590326:JFJ590326 JPE590326:JPF590326 JZA590326:JZB590326 KIW590326:KIX590326 KSS590326:KST590326 LCO590326:LCP590326 LMK590326:LML590326 LWG590326:LWH590326 MGC590326:MGD590326 MPY590326:MPZ590326 MZU590326:MZV590326 NJQ590326:NJR590326 NTM590326:NTN590326 ODI590326:ODJ590326 ONE590326:ONF590326 OXA590326:OXB590326 PGW590326:PGX590326 PQS590326:PQT590326 QAO590326:QAP590326 QKK590326:QKL590326 QUG590326:QUH590326 REC590326:RED590326 RNY590326:RNZ590326 RXU590326:RXV590326 SHQ590326:SHR590326 SRM590326:SRN590326 TBI590326:TBJ590326 TLE590326:TLF590326 TVA590326:TVB590326 UEW590326:UEX590326 UOS590326:UOT590326 UYO590326:UYP590326 VIK590326:VIL590326 VSG590326:VSH590326 WCC590326:WCD590326 WLY590326:WLZ590326 WVU590326:WVV590326 M655862:N655862 JI655862:JJ655862 TE655862:TF655862 ADA655862:ADB655862 AMW655862:AMX655862 AWS655862:AWT655862 BGO655862:BGP655862 BQK655862:BQL655862 CAG655862:CAH655862 CKC655862:CKD655862 CTY655862:CTZ655862 DDU655862:DDV655862 DNQ655862:DNR655862 DXM655862:DXN655862 EHI655862:EHJ655862 ERE655862:ERF655862 FBA655862:FBB655862 FKW655862:FKX655862 FUS655862:FUT655862 GEO655862:GEP655862 GOK655862:GOL655862 GYG655862:GYH655862 HIC655862:HID655862 HRY655862:HRZ655862 IBU655862:IBV655862 ILQ655862:ILR655862 IVM655862:IVN655862 JFI655862:JFJ655862 JPE655862:JPF655862 JZA655862:JZB655862 KIW655862:KIX655862 KSS655862:KST655862 LCO655862:LCP655862 LMK655862:LML655862 LWG655862:LWH655862 MGC655862:MGD655862 MPY655862:MPZ655862 MZU655862:MZV655862 NJQ655862:NJR655862 NTM655862:NTN655862 ODI655862:ODJ655862 ONE655862:ONF655862 OXA655862:OXB655862 PGW655862:PGX655862 PQS655862:PQT655862 QAO655862:QAP655862 QKK655862:QKL655862 QUG655862:QUH655862 REC655862:RED655862 RNY655862:RNZ655862 RXU655862:RXV655862 SHQ655862:SHR655862 SRM655862:SRN655862 TBI655862:TBJ655862 TLE655862:TLF655862 TVA655862:TVB655862 UEW655862:UEX655862 UOS655862:UOT655862 UYO655862:UYP655862 VIK655862:VIL655862 VSG655862:VSH655862 WCC655862:WCD655862 WLY655862:WLZ655862 WVU655862:WVV655862 M721398:N721398 JI721398:JJ721398 TE721398:TF721398 ADA721398:ADB721398 AMW721398:AMX721398 AWS721398:AWT721398 BGO721398:BGP721398 BQK721398:BQL721398 CAG721398:CAH721398 CKC721398:CKD721398 CTY721398:CTZ721398 DDU721398:DDV721398 DNQ721398:DNR721398 DXM721398:DXN721398 EHI721398:EHJ721398 ERE721398:ERF721398 FBA721398:FBB721398 FKW721398:FKX721398 FUS721398:FUT721398 GEO721398:GEP721398 GOK721398:GOL721398 GYG721398:GYH721398 HIC721398:HID721398 HRY721398:HRZ721398 IBU721398:IBV721398 ILQ721398:ILR721398 IVM721398:IVN721398 JFI721398:JFJ721398 JPE721398:JPF721398 JZA721398:JZB721398 KIW721398:KIX721398 KSS721398:KST721398 LCO721398:LCP721398 LMK721398:LML721398 LWG721398:LWH721398 MGC721398:MGD721398 MPY721398:MPZ721398 MZU721398:MZV721398 NJQ721398:NJR721398 NTM721398:NTN721398 ODI721398:ODJ721398 ONE721398:ONF721398 OXA721398:OXB721398 PGW721398:PGX721398 PQS721398:PQT721398 QAO721398:QAP721398 QKK721398:QKL721398 QUG721398:QUH721398 REC721398:RED721398 RNY721398:RNZ721398 RXU721398:RXV721398 SHQ721398:SHR721398 SRM721398:SRN721398 TBI721398:TBJ721398 TLE721398:TLF721398 TVA721398:TVB721398 UEW721398:UEX721398 UOS721398:UOT721398 UYO721398:UYP721398 VIK721398:VIL721398 VSG721398:VSH721398 WCC721398:WCD721398 WLY721398:WLZ721398 WVU721398:WVV721398 M786934:N786934 JI786934:JJ786934 TE786934:TF786934 ADA786934:ADB786934 AMW786934:AMX786934 AWS786934:AWT786934 BGO786934:BGP786934 BQK786934:BQL786934 CAG786934:CAH786934 CKC786934:CKD786934 CTY786934:CTZ786934 DDU786934:DDV786934 DNQ786934:DNR786934 DXM786934:DXN786934 EHI786934:EHJ786934 ERE786934:ERF786934 FBA786934:FBB786934 FKW786934:FKX786934 FUS786934:FUT786934 GEO786934:GEP786934 GOK786934:GOL786934 GYG786934:GYH786934 HIC786934:HID786934 HRY786934:HRZ786934 IBU786934:IBV786934 ILQ786934:ILR786934 IVM786934:IVN786934 JFI786934:JFJ786934 JPE786934:JPF786934 JZA786934:JZB786934 KIW786934:KIX786934 KSS786934:KST786934 LCO786934:LCP786934 LMK786934:LML786934 LWG786934:LWH786934 MGC786934:MGD786934 MPY786934:MPZ786934 MZU786934:MZV786934 NJQ786934:NJR786934 NTM786934:NTN786934 ODI786934:ODJ786934 ONE786934:ONF786934 OXA786934:OXB786934 PGW786934:PGX786934 PQS786934:PQT786934 QAO786934:QAP786934 QKK786934:QKL786934 QUG786934:QUH786934 REC786934:RED786934 RNY786934:RNZ786934 RXU786934:RXV786934 SHQ786934:SHR786934 SRM786934:SRN786934 TBI786934:TBJ786934 TLE786934:TLF786934 TVA786934:TVB786934 UEW786934:UEX786934 UOS786934:UOT786934 UYO786934:UYP786934 VIK786934:VIL786934 VSG786934:VSH786934 WCC786934:WCD786934 WLY786934:WLZ786934 WVU786934:WVV786934 M852470:N852470 JI852470:JJ852470 TE852470:TF852470 ADA852470:ADB852470 AMW852470:AMX852470 AWS852470:AWT852470 BGO852470:BGP852470 BQK852470:BQL852470 CAG852470:CAH852470 CKC852470:CKD852470 CTY852470:CTZ852470 DDU852470:DDV852470 DNQ852470:DNR852470 DXM852470:DXN852470 EHI852470:EHJ852470 ERE852470:ERF852470 FBA852470:FBB852470 FKW852470:FKX852470 FUS852470:FUT852470 GEO852470:GEP852470 GOK852470:GOL852470 GYG852470:GYH852470 HIC852470:HID852470 HRY852470:HRZ852470 IBU852470:IBV852470 ILQ852470:ILR852470 IVM852470:IVN852470 JFI852470:JFJ852470 JPE852470:JPF852470 JZA852470:JZB852470 KIW852470:KIX852470 KSS852470:KST852470 LCO852470:LCP852470 LMK852470:LML852470 LWG852470:LWH852470 MGC852470:MGD852470 MPY852470:MPZ852470 MZU852470:MZV852470 NJQ852470:NJR852470 NTM852470:NTN852470 ODI852470:ODJ852470 ONE852470:ONF852470 OXA852470:OXB852470 PGW852470:PGX852470 PQS852470:PQT852470 QAO852470:QAP852470 QKK852470:QKL852470 QUG852470:QUH852470 REC852470:RED852470 RNY852470:RNZ852470 RXU852470:RXV852470 SHQ852470:SHR852470 SRM852470:SRN852470 TBI852470:TBJ852470 TLE852470:TLF852470 TVA852470:TVB852470 UEW852470:UEX852470 UOS852470:UOT852470 UYO852470:UYP852470 VIK852470:VIL852470 VSG852470:VSH852470 WCC852470:WCD852470 WLY852470:WLZ852470 WVU852470:WVV852470 M918006:N918006 JI918006:JJ918006 TE918006:TF918006 ADA918006:ADB918006 AMW918006:AMX918006 AWS918006:AWT918006 BGO918006:BGP918006 BQK918006:BQL918006 CAG918006:CAH918006 CKC918006:CKD918006 CTY918006:CTZ918006 DDU918006:DDV918006 DNQ918006:DNR918006 DXM918006:DXN918006 EHI918006:EHJ918006 ERE918006:ERF918006 FBA918006:FBB918006 FKW918006:FKX918006 FUS918006:FUT918006 GEO918006:GEP918006 GOK918006:GOL918006 GYG918006:GYH918006 HIC918006:HID918006 HRY918006:HRZ918006 IBU918006:IBV918006 ILQ918006:ILR918006 IVM918006:IVN918006 JFI918006:JFJ918006 JPE918006:JPF918006 JZA918006:JZB918006 KIW918006:KIX918006 KSS918006:KST918006 LCO918006:LCP918006 LMK918006:LML918006 LWG918006:LWH918006 MGC918006:MGD918006 MPY918006:MPZ918006 MZU918006:MZV918006 NJQ918006:NJR918006 NTM918006:NTN918006 ODI918006:ODJ918006 ONE918006:ONF918006 OXA918006:OXB918006 PGW918006:PGX918006 PQS918006:PQT918006 QAO918006:QAP918006 QKK918006:QKL918006 QUG918006:QUH918006 REC918006:RED918006 RNY918006:RNZ918006 RXU918006:RXV918006 SHQ918006:SHR918006 SRM918006:SRN918006 TBI918006:TBJ918006 TLE918006:TLF918006 TVA918006:TVB918006 UEW918006:UEX918006 UOS918006:UOT918006 UYO918006:UYP918006 VIK918006:VIL918006 VSG918006:VSH918006 WCC918006:WCD918006 WLY918006:WLZ918006 WVU918006:WVV918006 M983542:N983542 JI983542:JJ983542 TE983542:TF983542 ADA983542:ADB983542 AMW983542:AMX983542 AWS983542:AWT983542 BGO983542:BGP983542 BQK983542:BQL983542 CAG983542:CAH983542 CKC983542:CKD983542 CTY983542:CTZ983542 DDU983542:DDV983542 DNQ983542:DNR983542 DXM983542:DXN983542 EHI983542:EHJ983542 ERE983542:ERF983542 FBA983542:FBB983542 FKW983542:FKX983542 FUS983542:FUT983542 GEO983542:GEP983542 GOK983542:GOL983542 GYG983542:GYH983542 HIC983542:HID983542 HRY983542:HRZ983542 IBU983542:IBV983542 ILQ983542:ILR983542 IVM983542:IVN983542 JFI983542:JFJ983542 JPE983542:JPF983542 JZA983542:JZB983542 KIW983542:KIX983542 KSS983542:KST983542 LCO983542:LCP983542 LMK983542:LML983542 LWG983542:LWH983542 MGC983542:MGD983542 MPY983542:MPZ983542 MZU983542:MZV983542 NJQ983542:NJR983542 NTM983542:NTN983542 ODI983542:ODJ983542 ONE983542:ONF983542 OXA983542:OXB983542 PGW983542:PGX983542 PQS983542:PQT983542 QAO983542:QAP983542 QKK983542:QKL983542 QUG983542:QUH983542 REC983542:RED983542 RNY983542:RNZ983542 RXU983542:RXV983542 SHQ983542:SHR983542 SRM983542:SRN983542 TBI983542:TBJ983542 TLE983542:TLF983542 TVA983542:TVB983542 UEW983542:UEX983542 UOS983542:UOT983542 UYO983542:UYP983542 VIK983542:VIL983542 VSG983542:VSH983542 WCC983542:WCD983542 WLY983542:WLZ983542 WVU983542:WVV983542" xr:uid="{002B05F5-E50A-4DEB-A101-251288987F9A}">
      <formula1>"Y,N"</formula1>
    </dataValidation>
    <dataValidation type="list" allowBlank="1" showInputMessage="1" showErrorMessage="1" sqref="D710 IZ710 SV710 ACR710 AMN710 AWJ710 BGF710 BQB710 BZX710 CJT710 CTP710 DDL710 DNH710 DXD710 EGZ710 EQV710 FAR710 FKN710 FUJ710 GEF710 GOB710 GXX710 HHT710 HRP710 IBL710 ILH710 IVD710 JEZ710 JOV710 JYR710 KIN710 KSJ710 LCF710 LMB710 LVX710 MFT710 MPP710 MZL710 NJH710 NTD710 OCZ710 OMV710 OWR710 PGN710 PQJ710 QAF710 QKB710 QTX710 RDT710 RNP710 RXL710 SHH710 SRD710 TAZ710 TKV710 TUR710 UEN710 UOJ710 UYF710 VIB710 VRX710 WBT710 WLP710 WVL710 D66246 IZ66246 SV66246 ACR66246 AMN66246 AWJ66246 BGF66246 BQB66246 BZX66246 CJT66246 CTP66246 DDL66246 DNH66246 DXD66246 EGZ66246 EQV66246 FAR66246 FKN66246 FUJ66246 GEF66246 GOB66246 GXX66246 HHT66246 HRP66246 IBL66246 ILH66246 IVD66246 JEZ66246 JOV66246 JYR66246 KIN66246 KSJ66246 LCF66246 LMB66246 LVX66246 MFT66246 MPP66246 MZL66246 NJH66246 NTD66246 OCZ66246 OMV66246 OWR66246 PGN66246 PQJ66246 QAF66246 QKB66246 QTX66246 RDT66246 RNP66246 RXL66246 SHH66246 SRD66246 TAZ66246 TKV66246 TUR66246 UEN66246 UOJ66246 UYF66246 VIB66246 VRX66246 WBT66246 WLP66246 WVL66246 D131782 IZ131782 SV131782 ACR131782 AMN131782 AWJ131782 BGF131782 BQB131782 BZX131782 CJT131782 CTP131782 DDL131782 DNH131782 DXD131782 EGZ131782 EQV131782 FAR131782 FKN131782 FUJ131782 GEF131782 GOB131782 GXX131782 HHT131782 HRP131782 IBL131782 ILH131782 IVD131782 JEZ131782 JOV131782 JYR131782 KIN131782 KSJ131782 LCF131782 LMB131782 LVX131782 MFT131782 MPP131782 MZL131782 NJH131782 NTD131782 OCZ131782 OMV131782 OWR131782 PGN131782 PQJ131782 QAF131782 QKB131782 QTX131782 RDT131782 RNP131782 RXL131782 SHH131782 SRD131782 TAZ131782 TKV131782 TUR131782 UEN131782 UOJ131782 UYF131782 VIB131782 VRX131782 WBT131782 WLP131782 WVL131782 D197318 IZ197318 SV197318 ACR197318 AMN197318 AWJ197318 BGF197318 BQB197318 BZX197318 CJT197318 CTP197318 DDL197318 DNH197318 DXD197318 EGZ197318 EQV197318 FAR197318 FKN197318 FUJ197318 GEF197318 GOB197318 GXX197318 HHT197318 HRP197318 IBL197318 ILH197318 IVD197318 JEZ197318 JOV197318 JYR197318 KIN197318 KSJ197318 LCF197318 LMB197318 LVX197318 MFT197318 MPP197318 MZL197318 NJH197318 NTD197318 OCZ197318 OMV197318 OWR197318 PGN197318 PQJ197318 QAF197318 QKB197318 QTX197318 RDT197318 RNP197318 RXL197318 SHH197318 SRD197318 TAZ197318 TKV197318 TUR197318 UEN197318 UOJ197318 UYF197318 VIB197318 VRX197318 WBT197318 WLP197318 WVL197318 D262854 IZ262854 SV262854 ACR262854 AMN262854 AWJ262854 BGF262854 BQB262854 BZX262854 CJT262854 CTP262854 DDL262854 DNH262854 DXD262854 EGZ262854 EQV262854 FAR262854 FKN262854 FUJ262854 GEF262854 GOB262854 GXX262854 HHT262854 HRP262854 IBL262854 ILH262854 IVD262854 JEZ262854 JOV262854 JYR262854 KIN262854 KSJ262854 LCF262854 LMB262854 LVX262854 MFT262854 MPP262854 MZL262854 NJH262854 NTD262854 OCZ262854 OMV262854 OWR262854 PGN262854 PQJ262854 QAF262854 QKB262854 QTX262854 RDT262854 RNP262854 RXL262854 SHH262854 SRD262854 TAZ262854 TKV262854 TUR262854 UEN262854 UOJ262854 UYF262854 VIB262854 VRX262854 WBT262854 WLP262854 WVL262854 D328390 IZ328390 SV328390 ACR328390 AMN328390 AWJ328390 BGF328390 BQB328390 BZX328390 CJT328390 CTP328390 DDL328390 DNH328390 DXD328390 EGZ328390 EQV328390 FAR328390 FKN328390 FUJ328390 GEF328390 GOB328390 GXX328390 HHT328390 HRP328390 IBL328390 ILH328390 IVD328390 JEZ328390 JOV328390 JYR328390 KIN328390 KSJ328390 LCF328390 LMB328390 LVX328390 MFT328390 MPP328390 MZL328390 NJH328390 NTD328390 OCZ328390 OMV328390 OWR328390 PGN328390 PQJ328390 QAF328390 QKB328390 QTX328390 RDT328390 RNP328390 RXL328390 SHH328390 SRD328390 TAZ328390 TKV328390 TUR328390 UEN328390 UOJ328390 UYF328390 VIB328390 VRX328390 WBT328390 WLP328390 WVL328390 D393926 IZ393926 SV393926 ACR393926 AMN393926 AWJ393926 BGF393926 BQB393926 BZX393926 CJT393926 CTP393926 DDL393926 DNH393926 DXD393926 EGZ393926 EQV393926 FAR393926 FKN393926 FUJ393926 GEF393926 GOB393926 GXX393926 HHT393926 HRP393926 IBL393926 ILH393926 IVD393926 JEZ393926 JOV393926 JYR393926 KIN393926 KSJ393926 LCF393926 LMB393926 LVX393926 MFT393926 MPP393926 MZL393926 NJH393926 NTD393926 OCZ393926 OMV393926 OWR393926 PGN393926 PQJ393926 QAF393926 QKB393926 QTX393926 RDT393926 RNP393926 RXL393926 SHH393926 SRD393926 TAZ393926 TKV393926 TUR393926 UEN393926 UOJ393926 UYF393926 VIB393926 VRX393926 WBT393926 WLP393926 WVL393926 D459462 IZ459462 SV459462 ACR459462 AMN459462 AWJ459462 BGF459462 BQB459462 BZX459462 CJT459462 CTP459462 DDL459462 DNH459462 DXD459462 EGZ459462 EQV459462 FAR459462 FKN459462 FUJ459462 GEF459462 GOB459462 GXX459462 HHT459462 HRP459462 IBL459462 ILH459462 IVD459462 JEZ459462 JOV459462 JYR459462 KIN459462 KSJ459462 LCF459462 LMB459462 LVX459462 MFT459462 MPP459462 MZL459462 NJH459462 NTD459462 OCZ459462 OMV459462 OWR459462 PGN459462 PQJ459462 QAF459462 QKB459462 QTX459462 RDT459462 RNP459462 RXL459462 SHH459462 SRD459462 TAZ459462 TKV459462 TUR459462 UEN459462 UOJ459462 UYF459462 VIB459462 VRX459462 WBT459462 WLP459462 WVL459462 D524998 IZ524998 SV524998 ACR524998 AMN524998 AWJ524998 BGF524998 BQB524998 BZX524998 CJT524998 CTP524998 DDL524998 DNH524998 DXD524998 EGZ524998 EQV524998 FAR524998 FKN524998 FUJ524998 GEF524998 GOB524998 GXX524998 HHT524998 HRP524998 IBL524998 ILH524998 IVD524998 JEZ524998 JOV524998 JYR524998 KIN524998 KSJ524998 LCF524998 LMB524998 LVX524998 MFT524998 MPP524998 MZL524998 NJH524998 NTD524998 OCZ524998 OMV524998 OWR524998 PGN524998 PQJ524998 QAF524998 QKB524998 QTX524998 RDT524998 RNP524998 RXL524998 SHH524998 SRD524998 TAZ524998 TKV524998 TUR524998 UEN524998 UOJ524998 UYF524998 VIB524998 VRX524998 WBT524998 WLP524998 WVL524998 D590534 IZ590534 SV590534 ACR590534 AMN590534 AWJ590534 BGF590534 BQB590534 BZX590534 CJT590534 CTP590534 DDL590534 DNH590534 DXD590534 EGZ590534 EQV590534 FAR590534 FKN590534 FUJ590534 GEF590534 GOB590534 GXX590534 HHT590534 HRP590534 IBL590534 ILH590534 IVD590534 JEZ590534 JOV590534 JYR590534 KIN590534 KSJ590534 LCF590534 LMB590534 LVX590534 MFT590534 MPP590534 MZL590534 NJH590534 NTD590534 OCZ590534 OMV590534 OWR590534 PGN590534 PQJ590534 QAF590534 QKB590534 QTX590534 RDT590534 RNP590534 RXL590534 SHH590534 SRD590534 TAZ590534 TKV590534 TUR590534 UEN590534 UOJ590534 UYF590534 VIB590534 VRX590534 WBT590534 WLP590534 WVL590534 D656070 IZ656070 SV656070 ACR656070 AMN656070 AWJ656070 BGF656070 BQB656070 BZX656070 CJT656070 CTP656070 DDL656070 DNH656070 DXD656070 EGZ656070 EQV656070 FAR656070 FKN656070 FUJ656070 GEF656070 GOB656070 GXX656070 HHT656070 HRP656070 IBL656070 ILH656070 IVD656070 JEZ656070 JOV656070 JYR656070 KIN656070 KSJ656070 LCF656070 LMB656070 LVX656070 MFT656070 MPP656070 MZL656070 NJH656070 NTD656070 OCZ656070 OMV656070 OWR656070 PGN656070 PQJ656070 QAF656070 QKB656070 QTX656070 RDT656070 RNP656070 RXL656070 SHH656070 SRD656070 TAZ656070 TKV656070 TUR656070 UEN656070 UOJ656070 UYF656070 VIB656070 VRX656070 WBT656070 WLP656070 WVL656070 D721606 IZ721606 SV721606 ACR721606 AMN721606 AWJ721606 BGF721606 BQB721606 BZX721606 CJT721606 CTP721606 DDL721606 DNH721606 DXD721606 EGZ721606 EQV721606 FAR721606 FKN721606 FUJ721606 GEF721606 GOB721606 GXX721606 HHT721606 HRP721606 IBL721606 ILH721606 IVD721606 JEZ721606 JOV721606 JYR721606 KIN721606 KSJ721606 LCF721606 LMB721606 LVX721606 MFT721606 MPP721606 MZL721606 NJH721606 NTD721606 OCZ721606 OMV721606 OWR721606 PGN721606 PQJ721606 QAF721606 QKB721606 QTX721606 RDT721606 RNP721606 RXL721606 SHH721606 SRD721606 TAZ721606 TKV721606 TUR721606 UEN721606 UOJ721606 UYF721606 VIB721606 VRX721606 WBT721606 WLP721606 WVL721606 D787142 IZ787142 SV787142 ACR787142 AMN787142 AWJ787142 BGF787142 BQB787142 BZX787142 CJT787142 CTP787142 DDL787142 DNH787142 DXD787142 EGZ787142 EQV787142 FAR787142 FKN787142 FUJ787142 GEF787142 GOB787142 GXX787142 HHT787142 HRP787142 IBL787142 ILH787142 IVD787142 JEZ787142 JOV787142 JYR787142 KIN787142 KSJ787142 LCF787142 LMB787142 LVX787142 MFT787142 MPP787142 MZL787142 NJH787142 NTD787142 OCZ787142 OMV787142 OWR787142 PGN787142 PQJ787142 QAF787142 QKB787142 QTX787142 RDT787142 RNP787142 RXL787142 SHH787142 SRD787142 TAZ787142 TKV787142 TUR787142 UEN787142 UOJ787142 UYF787142 VIB787142 VRX787142 WBT787142 WLP787142 WVL787142 D852678 IZ852678 SV852678 ACR852678 AMN852678 AWJ852678 BGF852678 BQB852678 BZX852678 CJT852678 CTP852678 DDL852678 DNH852678 DXD852678 EGZ852678 EQV852678 FAR852678 FKN852678 FUJ852678 GEF852678 GOB852678 GXX852678 HHT852678 HRP852678 IBL852678 ILH852678 IVD852678 JEZ852678 JOV852678 JYR852678 KIN852678 KSJ852678 LCF852678 LMB852678 LVX852678 MFT852678 MPP852678 MZL852678 NJH852678 NTD852678 OCZ852678 OMV852678 OWR852678 PGN852678 PQJ852678 QAF852678 QKB852678 QTX852678 RDT852678 RNP852678 RXL852678 SHH852678 SRD852678 TAZ852678 TKV852678 TUR852678 UEN852678 UOJ852678 UYF852678 VIB852678 VRX852678 WBT852678 WLP852678 WVL852678 D918214 IZ918214 SV918214 ACR918214 AMN918214 AWJ918214 BGF918214 BQB918214 BZX918214 CJT918214 CTP918214 DDL918214 DNH918214 DXD918214 EGZ918214 EQV918214 FAR918214 FKN918214 FUJ918214 GEF918214 GOB918214 GXX918214 HHT918214 HRP918214 IBL918214 ILH918214 IVD918214 JEZ918214 JOV918214 JYR918214 KIN918214 KSJ918214 LCF918214 LMB918214 LVX918214 MFT918214 MPP918214 MZL918214 NJH918214 NTD918214 OCZ918214 OMV918214 OWR918214 PGN918214 PQJ918214 QAF918214 QKB918214 QTX918214 RDT918214 RNP918214 RXL918214 SHH918214 SRD918214 TAZ918214 TKV918214 TUR918214 UEN918214 UOJ918214 UYF918214 VIB918214 VRX918214 WBT918214 WLP918214 WVL918214 D983750 IZ983750 SV983750 ACR983750 AMN983750 AWJ983750 BGF983750 BQB983750 BZX983750 CJT983750 CTP983750 DDL983750 DNH983750 DXD983750 EGZ983750 EQV983750 FAR983750 FKN983750 FUJ983750 GEF983750 GOB983750 GXX983750 HHT983750 HRP983750 IBL983750 ILH983750 IVD983750 JEZ983750 JOV983750 JYR983750 KIN983750 KSJ983750 LCF983750 LMB983750 LVX983750 MFT983750 MPP983750 MZL983750 NJH983750 NTD983750 OCZ983750 OMV983750 OWR983750 PGN983750 PQJ983750 QAF983750 QKB983750 QTX983750 RDT983750 RNP983750 RXL983750 SHH983750 SRD983750 TAZ983750 TKV983750 TUR983750 UEN983750 UOJ983750 UYF983750 VIB983750 VRX983750 WBT983750 WLP983750 WVL983750 D578 IZ578 SV578 ACR578 AMN578 AWJ578 BGF578 BQB578 BZX578 CJT578 CTP578 DDL578 DNH578 DXD578 EGZ578 EQV578 FAR578 FKN578 FUJ578 GEF578 GOB578 GXX578 HHT578 HRP578 IBL578 ILH578 IVD578 JEZ578 JOV578 JYR578 KIN578 KSJ578 LCF578 LMB578 LVX578 MFT578 MPP578 MZL578 NJH578 NTD578 OCZ578 OMV578 OWR578 PGN578 PQJ578 QAF578 QKB578 QTX578 RDT578 RNP578 RXL578 SHH578 SRD578 TAZ578 TKV578 TUR578 UEN578 UOJ578 UYF578 VIB578 VRX578 WBT578 WLP578 WVL578 D66114 IZ66114 SV66114 ACR66114 AMN66114 AWJ66114 BGF66114 BQB66114 BZX66114 CJT66114 CTP66114 DDL66114 DNH66114 DXD66114 EGZ66114 EQV66114 FAR66114 FKN66114 FUJ66114 GEF66114 GOB66114 GXX66114 HHT66114 HRP66114 IBL66114 ILH66114 IVD66114 JEZ66114 JOV66114 JYR66114 KIN66114 KSJ66114 LCF66114 LMB66114 LVX66114 MFT66114 MPP66114 MZL66114 NJH66114 NTD66114 OCZ66114 OMV66114 OWR66114 PGN66114 PQJ66114 QAF66114 QKB66114 QTX66114 RDT66114 RNP66114 RXL66114 SHH66114 SRD66114 TAZ66114 TKV66114 TUR66114 UEN66114 UOJ66114 UYF66114 VIB66114 VRX66114 WBT66114 WLP66114 WVL66114 D131650 IZ131650 SV131650 ACR131650 AMN131650 AWJ131650 BGF131650 BQB131650 BZX131650 CJT131650 CTP131650 DDL131650 DNH131650 DXD131650 EGZ131650 EQV131650 FAR131650 FKN131650 FUJ131650 GEF131650 GOB131650 GXX131650 HHT131650 HRP131650 IBL131650 ILH131650 IVD131650 JEZ131650 JOV131650 JYR131650 KIN131650 KSJ131650 LCF131650 LMB131650 LVX131650 MFT131650 MPP131650 MZL131650 NJH131650 NTD131650 OCZ131650 OMV131650 OWR131650 PGN131650 PQJ131650 QAF131650 QKB131650 QTX131650 RDT131650 RNP131650 RXL131650 SHH131650 SRD131650 TAZ131650 TKV131650 TUR131650 UEN131650 UOJ131650 UYF131650 VIB131650 VRX131650 WBT131650 WLP131650 WVL131650 D197186 IZ197186 SV197186 ACR197186 AMN197186 AWJ197186 BGF197186 BQB197186 BZX197186 CJT197186 CTP197186 DDL197186 DNH197186 DXD197186 EGZ197186 EQV197186 FAR197186 FKN197186 FUJ197186 GEF197186 GOB197186 GXX197186 HHT197186 HRP197186 IBL197186 ILH197186 IVD197186 JEZ197186 JOV197186 JYR197186 KIN197186 KSJ197186 LCF197186 LMB197186 LVX197186 MFT197186 MPP197186 MZL197186 NJH197186 NTD197186 OCZ197186 OMV197186 OWR197186 PGN197186 PQJ197186 QAF197186 QKB197186 QTX197186 RDT197186 RNP197186 RXL197186 SHH197186 SRD197186 TAZ197186 TKV197186 TUR197186 UEN197186 UOJ197186 UYF197186 VIB197186 VRX197186 WBT197186 WLP197186 WVL197186 D262722 IZ262722 SV262722 ACR262722 AMN262722 AWJ262722 BGF262722 BQB262722 BZX262722 CJT262722 CTP262722 DDL262722 DNH262722 DXD262722 EGZ262722 EQV262722 FAR262722 FKN262722 FUJ262722 GEF262722 GOB262722 GXX262722 HHT262722 HRP262722 IBL262722 ILH262722 IVD262722 JEZ262722 JOV262722 JYR262722 KIN262722 KSJ262722 LCF262722 LMB262722 LVX262722 MFT262722 MPP262722 MZL262722 NJH262722 NTD262722 OCZ262722 OMV262722 OWR262722 PGN262722 PQJ262722 QAF262722 QKB262722 QTX262722 RDT262722 RNP262722 RXL262722 SHH262722 SRD262722 TAZ262722 TKV262722 TUR262722 UEN262722 UOJ262722 UYF262722 VIB262722 VRX262722 WBT262722 WLP262722 WVL262722 D328258 IZ328258 SV328258 ACR328258 AMN328258 AWJ328258 BGF328258 BQB328258 BZX328258 CJT328258 CTP328258 DDL328258 DNH328258 DXD328258 EGZ328258 EQV328258 FAR328258 FKN328258 FUJ328258 GEF328258 GOB328258 GXX328258 HHT328258 HRP328258 IBL328258 ILH328258 IVD328258 JEZ328258 JOV328258 JYR328258 KIN328258 KSJ328258 LCF328258 LMB328258 LVX328258 MFT328258 MPP328258 MZL328258 NJH328258 NTD328258 OCZ328258 OMV328258 OWR328258 PGN328258 PQJ328258 QAF328258 QKB328258 QTX328258 RDT328258 RNP328258 RXL328258 SHH328258 SRD328258 TAZ328258 TKV328258 TUR328258 UEN328258 UOJ328258 UYF328258 VIB328258 VRX328258 WBT328258 WLP328258 WVL328258 D393794 IZ393794 SV393794 ACR393794 AMN393794 AWJ393794 BGF393794 BQB393794 BZX393794 CJT393794 CTP393794 DDL393794 DNH393794 DXD393794 EGZ393794 EQV393794 FAR393794 FKN393794 FUJ393794 GEF393794 GOB393794 GXX393794 HHT393794 HRP393794 IBL393794 ILH393794 IVD393794 JEZ393794 JOV393794 JYR393794 KIN393794 KSJ393794 LCF393794 LMB393794 LVX393794 MFT393794 MPP393794 MZL393794 NJH393794 NTD393794 OCZ393794 OMV393794 OWR393794 PGN393794 PQJ393794 QAF393794 QKB393794 QTX393794 RDT393794 RNP393794 RXL393794 SHH393794 SRD393794 TAZ393794 TKV393794 TUR393794 UEN393794 UOJ393794 UYF393794 VIB393794 VRX393794 WBT393794 WLP393794 WVL393794 D459330 IZ459330 SV459330 ACR459330 AMN459330 AWJ459330 BGF459330 BQB459330 BZX459330 CJT459330 CTP459330 DDL459330 DNH459330 DXD459330 EGZ459330 EQV459330 FAR459330 FKN459330 FUJ459330 GEF459330 GOB459330 GXX459330 HHT459330 HRP459330 IBL459330 ILH459330 IVD459330 JEZ459330 JOV459330 JYR459330 KIN459330 KSJ459330 LCF459330 LMB459330 LVX459330 MFT459330 MPP459330 MZL459330 NJH459330 NTD459330 OCZ459330 OMV459330 OWR459330 PGN459330 PQJ459330 QAF459330 QKB459330 QTX459330 RDT459330 RNP459330 RXL459330 SHH459330 SRD459330 TAZ459330 TKV459330 TUR459330 UEN459330 UOJ459330 UYF459330 VIB459330 VRX459330 WBT459330 WLP459330 WVL459330 D524866 IZ524866 SV524866 ACR524866 AMN524866 AWJ524866 BGF524866 BQB524866 BZX524866 CJT524866 CTP524866 DDL524866 DNH524866 DXD524866 EGZ524866 EQV524866 FAR524866 FKN524866 FUJ524866 GEF524866 GOB524866 GXX524866 HHT524866 HRP524866 IBL524866 ILH524866 IVD524866 JEZ524866 JOV524866 JYR524866 KIN524866 KSJ524866 LCF524866 LMB524866 LVX524866 MFT524866 MPP524866 MZL524866 NJH524866 NTD524866 OCZ524866 OMV524866 OWR524866 PGN524866 PQJ524866 QAF524866 QKB524866 QTX524866 RDT524866 RNP524866 RXL524866 SHH524866 SRD524866 TAZ524866 TKV524866 TUR524866 UEN524866 UOJ524866 UYF524866 VIB524866 VRX524866 WBT524866 WLP524866 WVL524866 D590402 IZ590402 SV590402 ACR590402 AMN590402 AWJ590402 BGF590402 BQB590402 BZX590402 CJT590402 CTP590402 DDL590402 DNH590402 DXD590402 EGZ590402 EQV590402 FAR590402 FKN590402 FUJ590402 GEF590402 GOB590402 GXX590402 HHT590402 HRP590402 IBL590402 ILH590402 IVD590402 JEZ590402 JOV590402 JYR590402 KIN590402 KSJ590402 LCF590402 LMB590402 LVX590402 MFT590402 MPP590402 MZL590402 NJH590402 NTD590402 OCZ590402 OMV590402 OWR590402 PGN590402 PQJ590402 QAF590402 QKB590402 QTX590402 RDT590402 RNP590402 RXL590402 SHH590402 SRD590402 TAZ590402 TKV590402 TUR590402 UEN590402 UOJ590402 UYF590402 VIB590402 VRX590402 WBT590402 WLP590402 WVL590402 D655938 IZ655938 SV655938 ACR655938 AMN655938 AWJ655938 BGF655938 BQB655938 BZX655938 CJT655938 CTP655938 DDL655938 DNH655938 DXD655938 EGZ655938 EQV655938 FAR655938 FKN655938 FUJ655938 GEF655938 GOB655938 GXX655938 HHT655938 HRP655938 IBL655938 ILH655938 IVD655938 JEZ655938 JOV655938 JYR655938 KIN655938 KSJ655938 LCF655938 LMB655938 LVX655938 MFT655938 MPP655938 MZL655938 NJH655938 NTD655938 OCZ655938 OMV655938 OWR655938 PGN655938 PQJ655938 QAF655938 QKB655938 QTX655938 RDT655938 RNP655938 RXL655938 SHH655938 SRD655938 TAZ655938 TKV655938 TUR655938 UEN655938 UOJ655938 UYF655938 VIB655938 VRX655938 WBT655938 WLP655938 WVL655938 D721474 IZ721474 SV721474 ACR721474 AMN721474 AWJ721474 BGF721474 BQB721474 BZX721474 CJT721474 CTP721474 DDL721474 DNH721474 DXD721474 EGZ721474 EQV721474 FAR721474 FKN721474 FUJ721474 GEF721474 GOB721474 GXX721474 HHT721474 HRP721474 IBL721474 ILH721474 IVD721474 JEZ721474 JOV721474 JYR721474 KIN721474 KSJ721474 LCF721474 LMB721474 LVX721474 MFT721474 MPP721474 MZL721474 NJH721474 NTD721474 OCZ721474 OMV721474 OWR721474 PGN721474 PQJ721474 QAF721474 QKB721474 QTX721474 RDT721474 RNP721474 RXL721474 SHH721474 SRD721474 TAZ721474 TKV721474 TUR721474 UEN721474 UOJ721474 UYF721474 VIB721474 VRX721474 WBT721474 WLP721474 WVL721474 D787010 IZ787010 SV787010 ACR787010 AMN787010 AWJ787010 BGF787010 BQB787010 BZX787010 CJT787010 CTP787010 DDL787010 DNH787010 DXD787010 EGZ787010 EQV787010 FAR787010 FKN787010 FUJ787010 GEF787010 GOB787010 GXX787010 HHT787010 HRP787010 IBL787010 ILH787010 IVD787010 JEZ787010 JOV787010 JYR787010 KIN787010 KSJ787010 LCF787010 LMB787010 LVX787010 MFT787010 MPP787010 MZL787010 NJH787010 NTD787010 OCZ787010 OMV787010 OWR787010 PGN787010 PQJ787010 QAF787010 QKB787010 QTX787010 RDT787010 RNP787010 RXL787010 SHH787010 SRD787010 TAZ787010 TKV787010 TUR787010 UEN787010 UOJ787010 UYF787010 VIB787010 VRX787010 WBT787010 WLP787010 WVL787010 D852546 IZ852546 SV852546 ACR852546 AMN852546 AWJ852546 BGF852546 BQB852546 BZX852546 CJT852546 CTP852546 DDL852546 DNH852546 DXD852546 EGZ852546 EQV852546 FAR852546 FKN852546 FUJ852546 GEF852546 GOB852546 GXX852546 HHT852546 HRP852546 IBL852546 ILH852546 IVD852546 JEZ852546 JOV852546 JYR852546 KIN852546 KSJ852546 LCF852546 LMB852546 LVX852546 MFT852546 MPP852546 MZL852546 NJH852546 NTD852546 OCZ852546 OMV852546 OWR852546 PGN852546 PQJ852546 QAF852546 QKB852546 QTX852546 RDT852546 RNP852546 RXL852546 SHH852546 SRD852546 TAZ852546 TKV852546 TUR852546 UEN852546 UOJ852546 UYF852546 VIB852546 VRX852546 WBT852546 WLP852546 WVL852546 D918082 IZ918082 SV918082 ACR918082 AMN918082 AWJ918082 BGF918082 BQB918082 BZX918082 CJT918082 CTP918082 DDL918082 DNH918082 DXD918082 EGZ918082 EQV918082 FAR918082 FKN918082 FUJ918082 GEF918082 GOB918082 GXX918082 HHT918082 HRP918082 IBL918082 ILH918082 IVD918082 JEZ918082 JOV918082 JYR918082 KIN918082 KSJ918082 LCF918082 LMB918082 LVX918082 MFT918082 MPP918082 MZL918082 NJH918082 NTD918082 OCZ918082 OMV918082 OWR918082 PGN918082 PQJ918082 QAF918082 QKB918082 QTX918082 RDT918082 RNP918082 RXL918082 SHH918082 SRD918082 TAZ918082 TKV918082 TUR918082 UEN918082 UOJ918082 UYF918082 VIB918082 VRX918082 WBT918082 WLP918082 WVL918082 D983618 IZ983618 SV983618 ACR983618 AMN983618 AWJ983618 BGF983618 BQB983618 BZX983618 CJT983618 CTP983618 DDL983618 DNH983618 DXD983618 EGZ983618 EQV983618 FAR983618 FKN983618 FUJ983618 GEF983618 GOB983618 GXX983618 HHT983618 HRP983618 IBL983618 ILH983618 IVD983618 JEZ983618 JOV983618 JYR983618 KIN983618 KSJ983618 LCF983618 LMB983618 LVX983618 MFT983618 MPP983618 MZL983618 NJH983618 NTD983618 OCZ983618 OMV983618 OWR983618 PGN983618 PQJ983618 QAF983618 QKB983618 QTX983618 RDT983618 RNP983618 RXL983618 SHH983618 SRD983618 TAZ983618 TKV983618 TUR983618 UEN983618 UOJ983618 UYF983618 VIB983618 VRX983618 WBT983618 WLP983618 WVL983618 D274 IZ274 SV274 ACR274 AMN274 AWJ274 BGF274 BQB274 BZX274 CJT274 CTP274 DDL274 DNH274 DXD274 EGZ274 EQV274 FAR274 FKN274 FUJ274 GEF274 GOB274 GXX274 HHT274 HRP274 IBL274 ILH274 IVD274 JEZ274 JOV274 JYR274 KIN274 KSJ274 LCF274 LMB274 LVX274 MFT274 MPP274 MZL274 NJH274 NTD274 OCZ274 OMV274 OWR274 PGN274 PQJ274 QAF274 QKB274 QTX274 RDT274 RNP274 RXL274 SHH274 SRD274 TAZ274 TKV274 TUR274 UEN274 UOJ274 UYF274 VIB274 VRX274 WBT274 WLP274 WVL274 D65810 IZ65810 SV65810 ACR65810 AMN65810 AWJ65810 BGF65810 BQB65810 BZX65810 CJT65810 CTP65810 DDL65810 DNH65810 DXD65810 EGZ65810 EQV65810 FAR65810 FKN65810 FUJ65810 GEF65810 GOB65810 GXX65810 HHT65810 HRP65810 IBL65810 ILH65810 IVD65810 JEZ65810 JOV65810 JYR65810 KIN65810 KSJ65810 LCF65810 LMB65810 LVX65810 MFT65810 MPP65810 MZL65810 NJH65810 NTD65810 OCZ65810 OMV65810 OWR65810 PGN65810 PQJ65810 QAF65810 QKB65810 QTX65810 RDT65810 RNP65810 RXL65810 SHH65810 SRD65810 TAZ65810 TKV65810 TUR65810 UEN65810 UOJ65810 UYF65810 VIB65810 VRX65810 WBT65810 WLP65810 WVL65810 D131346 IZ131346 SV131346 ACR131346 AMN131346 AWJ131346 BGF131346 BQB131346 BZX131346 CJT131346 CTP131346 DDL131346 DNH131346 DXD131346 EGZ131346 EQV131346 FAR131346 FKN131346 FUJ131346 GEF131346 GOB131346 GXX131346 HHT131346 HRP131346 IBL131346 ILH131346 IVD131346 JEZ131346 JOV131346 JYR131346 KIN131346 KSJ131346 LCF131346 LMB131346 LVX131346 MFT131346 MPP131346 MZL131346 NJH131346 NTD131346 OCZ131346 OMV131346 OWR131346 PGN131346 PQJ131346 QAF131346 QKB131346 QTX131346 RDT131346 RNP131346 RXL131346 SHH131346 SRD131346 TAZ131346 TKV131346 TUR131346 UEN131346 UOJ131346 UYF131346 VIB131346 VRX131346 WBT131346 WLP131346 WVL131346 D196882 IZ196882 SV196882 ACR196882 AMN196882 AWJ196882 BGF196882 BQB196882 BZX196882 CJT196882 CTP196882 DDL196882 DNH196882 DXD196882 EGZ196882 EQV196882 FAR196882 FKN196882 FUJ196882 GEF196882 GOB196882 GXX196882 HHT196882 HRP196882 IBL196882 ILH196882 IVD196882 JEZ196882 JOV196882 JYR196882 KIN196882 KSJ196882 LCF196882 LMB196882 LVX196882 MFT196882 MPP196882 MZL196882 NJH196882 NTD196882 OCZ196882 OMV196882 OWR196882 PGN196882 PQJ196882 QAF196882 QKB196882 QTX196882 RDT196882 RNP196882 RXL196882 SHH196882 SRD196882 TAZ196882 TKV196882 TUR196882 UEN196882 UOJ196882 UYF196882 VIB196882 VRX196882 WBT196882 WLP196882 WVL196882 D262418 IZ262418 SV262418 ACR262418 AMN262418 AWJ262418 BGF262418 BQB262418 BZX262418 CJT262418 CTP262418 DDL262418 DNH262418 DXD262418 EGZ262418 EQV262418 FAR262418 FKN262418 FUJ262418 GEF262418 GOB262418 GXX262418 HHT262418 HRP262418 IBL262418 ILH262418 IVD262418 JEZ262418 JOV262418 JYR262418 KIN262418 KSJ262418 LCF262418 LMB262418 LVX262418 MFT262418 MPP262418 MZL262418 NJH262418 NTD262418 OCZ262418 OMV262418 OWR262418 PGN262418 PQJ262418 QAF262418 QKB262418 QTX262418 RDT262418 RNP262418 RXL262418 SHH262418 SRD262418 TAZ262418 TKV262418 TUR262418 UEN262418 UOJ262418 UYF262418 VIB262418 VRX262418 WBT262418 WLP262418 WVL262418 D327954 IZ327954 SV327954 ACR327954 AMN327954 AWJ327954 BGF327954 BQB327954 BZX327954 CJT327954 CTP327954 DDL327954 DNH327954 DXD327954 EGZ327954 EQV327954 FAR327954 FKN327954 FUJ327954 GEF327954 GOB327954 GXX327954 HHT327954 HRP327954 IBL327954 ILH327954 IVD327954 JEZ327954 JOV327954 JYR327954 KIN327954 KSJ327954 LCF327954 LMB327954 LVX327954 MFT327954 MPP327954 MZL327954 NJH327954 NTD327954 OCZ327954 OMV327954 OWR327954 PGN327954 PQJ327954 QAF327954 QKB327954 QTX327954 RDT327954 RNP327954 RXL327954 SHH327954 SRD327954 TAZ327954 TKV327954 TUR327954 UEN327954 UOJ327954 UYF327954 VIB327954 VRX327954 WBT327954 WLP327954 WVL327954 D393490 IZ393490 SV393490 ACR393490 AMN393490 AWJ393490 BGF393490 BQB393490 BZX393490 CJT393490 CTP393490 DDL393490 DNH393490 DXD393490 EGZ393490 EQV393490 FAR393490 FKN393490 FUJ393490 GEF393490 GOB393490 GXX393490 HHT393490 HRP393490 IBL393490 ILH393490 IVD393490 JEZ393490 JOV393490 JYR393490 KIN393490 KSJ393490 LCF393490 LMB393490 LVX393490 MFT393490 MPP393490 MZL393490 NJH393490 NTD393490 OCZ393490 OMV393490 OWR393490 PGN393490 PQJ393490 QAF393490 QKB393490 QTX393490 RDT393490 RNP393490 RXL393490 SHH393490 SRD393490 TAZ393490 TKV393490 TUR393490 UEN393490 UOJ393490 UYF393490 VIB393490 VRX393490 WBT393490 WLP393490 WVL393490 D459026 IZ459026 SV459026 ACR459026 AMN459026 AWJ459026 BGF459026 BQB459026 BZX459026 CJT459026 CTP459026 DDL459026 DNH459026 DXD459026 EGZ459026 EQV459026 FAR459026 FKN459026 FUJ459026 GEF459026 GOB459026 GXX459026 HHT459026 HRP459026 IBL459026 ILH459026 IVD459026 JEZ459026 JOV459026 JYR459026 KIN459026 KSJ459026 LCF459026 LMB459026 LVX459026 MFT459026 MPP459026 MZL459026 NJH459026 NTD459026 OCZ459026 OMV459026 OWR459026 PGN459026 PQJ459026 QAF459026 QKB459026 QTX459026 RDT459026 RNP459026 RXL459026 SHH459026 SRD459026 TAZ459026 TKV459026 TUR459026 UEN459026 UOJ459026 UYF459026 VIB459026 VRX459026 WBT459026 WLP459026 WVL459026 D524562 IZ524562 SV524562 ACR524562 AMN524562 AWJ524562 BGF524562 BQB524562 BZX524562 CJT524562 CTP524562 DDL524562 DNH524562 DXD524562 EGZ524562 EQV524562 FAR524562 FKN524562 FUJ524562 GEF524562 GOB524562 GXX524562 HHT524562 HRP524562 IBL524562 ILH524562 IVD524562 JEZ524562 JOV524562 JYR524562 KIN524562 KSJ524562 LCF524562 LMB524562 LVX524562 MFT524562 MPP524562 MZL524562 NJH524562 NTD524562 OCZ524562 OMV524562 OWR524562 PGN524562 PQJ524562 QAF524562 QKB524562 QTX524562 RDT524562 RNP524562 RXL524562 SHH524562 SRD524562 TAZ524562 TKV524562 TUR524562 UEN524562 UOJ524562 UYF524562 VIB524562 VRX524562 WBT524562 WLP524562 WVL524562 D590098 IZ590098 SV590098 ACR590098 AMN590098 AWJ590098 BGF590098 BQB590098 BZX590098 CJT590098 CTP590098 DDL590098 DNH590098 DXD590098 EGZ590098 EQV590098 FAR590098 FKN590098 FUJ590098 GEF590098 GOB590098 GXX590098 HHT590098 HRP590098 IBL590098 ILH590098 IVD590098 JEZ590098 JOV590098 JYR590098 KIN590098 KSJ590098 LCF590098 LMB590098 LVX590098 MFT590098 MPP590098 MZL590098 NJH590098 NTD590098 OCZ590098 OMV590098 OWR590098 PGN590098 PQJ590098 QAF590098 QKB590098 QTX590098 RDT590098 RNP590098 RXL590098 SHH590098 SRD590098 TAZ590098 TKV590098 TUR590098 UEN590098 UOJ590098 UYF590098 VIB590098 VRX590098 WBT590098 WLP590098 WVL590098 D655634 IZ655634 SV655634 ACR655634 AMN655634 AWJ655634 BGF655634 BQB655634 BZX655634 CJT655634 CTP655634 DDL655634 DNH655634 DXD655634 EGZ655634 EQV655634 FAR655634 FKN655634 FUJ655634 GEF655634 GOB655634 GXX655634 HHT655634 HRP655634 IBL655634 ILH655634 IVD655634 JEZ655634 JOV655634 JYR655634 KIN655634 KSJ655634 LCF655634 LMB655634 LVX655634 MFT655634 MPP655634 MZL655634 NJH655634 NTD655634 OCZ655634 OMV655634 OWR655634 PGN655634 PQJ655634 QAF655634 QKB655634 QTX655634 RDT655634 RNP655634 RXL655634 SHH655634 SRD655634 TAZ655634 TKV655634 TUR655634 UEN655634 UOJ655634 UYF655634 VIB655634 VRX655634 WBT655634 WLP655634 WVL655634 D721170 IZ721170 SV721170 ACR721170 AMN721170 AWJ721170 BGF721170 BQB721170 BZX721170 CJT721170 CTP721170 DDL721170 DNH721170 DXD721170 EGZ721170 EQV721170 FAR721170 FKN721170 FUJ721170 GEF721170 GOB721170 GXX721170 HHT721170 HRP721170 IBL721170 ILH721170 IVD721170 JEZ721170 JOV721170 JYR721170 KIN721170 KSJ721170 LCF721170 LMB721170 LVX721170 MFT721170 MPP721170 MZL721170 NJH721170 NTD721170 OCZ721170 OMV721170 OWR721170 PGN721170 PQJ721170 QAF721170 QKB721170 QTX721170 RDT721170 RNP721170 RXL721170 SHH721170 SRD721170 TAZ721170 TKV721170 TUR721170 UEN721170 UOJ721170 UYF721170 VIB721170 VRX721170 WBT721170 WLP721170 WVL721170 D786706 IZ786706 SV786706 ACR786706 AMN786706 AWJ786706 BGF786706 BQB786706 BZX786706 CJT786706 CTP786706 DDL786706 DNH786706 DXD786706 EGZ786706 EQV786706 FAR786706 FKN786706 FUJ786706 GEF786706 GOB786706 GXX786706 HHT786706 HRP786706 IBL786706 ILH786706 IVD786706 JEZ786706 JOV786706 JYR786706 KIN786706 KSJ786706 LCF786706 LMB786706 LVX786706 MFT786706 MPP786706 MZL786706 NJH786706 NTD786706 OCZ786706 OMV786706 OWR786706 PGN786706 PQJ786706 QAF786706 QKB786706 QTX786706 RDT786706 RNP786706 RXL786706 SHH786706 SRD786706 TAZ786706 TKV786706 TUR786706 UEN786706 UOJ786706 UYF786706 VIB786706 VRX786706 WBT786706 WLP786706 WVL786706 D852242 IZ852242 SV852242 ACR852242 AMN852242 AWJ852242 BGF852242 BQB852242 BZX852242 CJT852242 CTP852242 DDL852242 DNH852242 DXD852242 EGZ852242 EQV852242 FAR852242 FKN852242 FUJ852242 GEF852242 GOB852242 GXX852242 HHT852242 HRP852242 IBL852242 ILH852242 IVD852242 JEZ852242 JOV852242 JYR852242 KIN852242 KSJ852242 LCF852242 LMB852242 LVX852242 MFT852242 MPP852242 MZL852242 NJH852242 NTD852242 OCZ852242 OMV852242 OWR852242 PGN852242 PQJ852242 QAF852242 QKB852242 QTX852242 RDT852242 RNP852242 RXL852242 SHH852242 SRD852242 TAZ852242 TKV852242 TUR852242 UEN852242 UOJ852242 UYF852242 VIB852242 VRX852242 WBT852242 WLP852242 WVL852242 D917778 IZ917778 SV917778 ACR917778 AMN917778 AWJ917778 BGF917778 BQB917778 BZX917778 CJT917778 CTP917778 DDL917778 DNH917778 DXD917778 EGZ917778 EQV917778 FAR917778 FKN917778 FUJ917778 GEF917778 GOB917778 GXX917778 HHT917778 HRP917778 IBL917778 ILH917778 IVD917778 JEZ917778 JOV917778 JYR917778 KIN917778 KSJ917778 LCF917778 LMB917778 LVX917778 MFT917778 MPP917778 MZL917778 NJH917778 NTD917778 OCZ917778 OMV917778 OWR917778 PGN917778 PQJ917778 QAF917778 QKB917778 QTX917778 RDT917778 RNP917778 RXL917778 SHH917778 SRD917778 TAZ917778 TKV917778 TUR917778 UEN917778 UOJ917778 UYF917778 VIB917778 VRX917778 WBT917778 WLP917778 WVL917778 D983314 IZ983314 SV983314 ACR983314 AMN983314 AWJ983314 BGF983314 BQB983314 BZX983314 CJT983314 CTP983314 DDL983314 DNH983314 DXD983314 EGZ983314 EQV983314 FAR983314 FKN983314 FUJ983314 GEF983314 GOB983314 GXX983314 HHT983314 HRP983314 IBL983314 ILH983314 IVD983314 JEZ983314 JOV983314 JYR983314 KIN983314 KSJ983314 LCF983314 LMB983314 LVX983314 MFT983314 MPP983314 MZL983314 NJH983314 NTD983314 OCZ983314 OMV983314 OWR983314 PGN983314 PQJ983314 QAF983314 QKB983314 QTX983314 RDT983314 RNP983314 RXL983314 SHH983314 SRD983314 TAZ983314 TKV983314 TUR983314 UEN983314 UOJ983314 UYF983314 VIB983314 VRX983314 WBT983314 WLP983314 WVL983314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2:D65543 IZ65542:IZ65543 SV65542:SV65543 ACR65542:ACR65543 AMN65542:AMN65543 AWJ65542:AWJ65543 BGF65542:BGF65543 BQB65542:BQB65543 BZX65542:BZX65543 CJT65542:CJT65543 CTP65542:CTP65543 DDL65542:DDL65543 DNH65542:DNH65543 DXD65542:DXD65543 EGZ65542:EGZ65543 EQV65542:EQV65543 FAR65542:FAR65543 FKN65542:FKN65543 FUJ65542:FUJ65543 GEF65542:GEF65543 GOB65542:GOB65543 GXX65542:GXX65543 HHT65542:HHT65543 HRP65542:HRP65543 IBL65542:IBL65543 ILH65542:ILH65543 IVD65542:IVD65543 JEZ65542:JEZ65543 JOV65542:JOV65543 JYR65542:JYR65543 KIN65542:KIN65543 KSJ65542:KSJ65543 LCF65542:LCF65543 LMB65542:LMB65543 LVX65542:LVX65543 MFT65542:MFT65543 MPP65542:MPP65543 MZL65542:MZL65543 NJH65542:NJH65543 NTD65542:NTD65543 OCZ65542:OCZ65543 OMV65542:OMV65543 OWR65542:OWR65543 PGN65542:PGN65543 PQJ65542:PQJ65543 QAF65542:QAF65543 QKB65542:QKB65543 QTX65542:QTX65543 RDT65542:RDT65543 RNP65542:RNP65543 RXL65542:RXL65543 SHH65542:SHH65543 SRD65542:SRD65543 TAZ65542:TAZ65543 TKV65542:TKV65543 TUR65542:TUR65543 UEN65542:UEN65543 UOJ65542:UOJ65543 UYF65542:UYF65543 VIB65542:VIB65543 VRX65542:VRX65543 WBT65542:WBT65543 WLP65542:WLP65543 WVL65542:WVL65543 D131078:D131079 IZ131078:IZ131079 SV131078:SV131079 ACR131078:ACR131079 AMN131078:AMN131079 AWJ131078:AWJ131079 BGF131078:BGF131079 BQB131078:BQB131079 BZX131078:BZX131079 CJT131078:CJT131079 CTP131078:CTP131079 DDL131078:DDL131079 DNH131078:DNH131079 DXD131078:DXD131079 EGZ131078:EGZ131079 EQV131078:EQV131079 FAR131078:FAR131079 FKN131078:FKN131079 FUJ131078:FUJ131079 GEF131078:GEF131079 GOB131078:GOB131079 GXX131078:GXX131079 HHT131078:HHT131079 HRP131078:HRP131079 IBL131078:IBL131079 ILH131078:ILH131079 IVD131078:IVD131079 JEZ131078:JEZ131079 JOV131078:JOV131079 JYR131078:JYR131079 KIN131078:KIN131079 KSJ131078:KSJ131079 LCF131078:LCF131079 LMB131078:LMB131079 LVX131078:LVX131079 MFT131078:MFT131079 MPP131078:MPP131079 MZL131078:MZL131079 NJH131078:NJH131079 NTD131078:NTD131079 OCZ131078:OCZ131079 OMV131078:OMV131079 OWR131078:OWR131079 PGN131078:PGN131079 PQJ131078:PQJ131079 QAF131078:QAF131079 QKB131078:QKB131079 QTX131078:QTX131079 RDT131078:RDT131079 RNP131078:RNP131079 RXL131078:RXL131079 SHH131078:SHH131079 SRD131078:SRD131079 TAZ131078:TAZ131079 TKV131078:TKV131079 TUR131078:TUR131079 UEN131078:UEN131079 UOJ131078:UOJ131079 UYF131078:UYF131079 VIB131078:VIB131079 VRX131078:VRX131079 WBT131078:WBT131079 WLP131078:WLP131079 WVL131078:WVL131079 D196614:D196615 IZ196614:IZ196615 SV196614:SV196615 ACR196614:ACR196615 AMN196614:AMN196615 AWJ196614:AWJ196615 BGF196614:BGF196615 BQB196614:BQB196615 BZX196614:BZX196615 CJT196614:CJT196615 CTP196614:CTP196615 DDL196614:DDL196615 DNH196614:DNH196615 DXD196614:DXD196615 EGZ196614:EGZ196615 EQV196614:EQV196615 FAR196614:FAR196615 FKN196614:FKN196615 FUJ196614:FUJ196615 GEF196614:GEF196615 GOB196614:GOB196615 GXX196614:GXX196615 HHT196614:HHT196615 HRP196614:HRP196615 IBL196614:IBL196615 ILH196614:ILH196615 IVD196614:IVD196615 JEZ196614:JEZ196615 JOV196614:JOV196615 JYR196614:JYR196615 KIN196614:KIN196615 KSJ196614:KSJ196615 LCF196614:LCF196615 LMB196614:LMB196615 LVX196614:LVX196615 MFT196614:MFT196615 MPP196614:MPP196615 MZL196614:MZL196615 NJH196614:NJH196615 NTD196614:NTD196615 OCZ196614:OCZ196615 OMV196614:OMV196615 OWR196614:OWR196615 PGN196614:PGN196615 PQJ196614:PQJ196615 QAF196614:QAF196615 QKB196614:QKB196615 QTX196614:QTX196615 RDT196614:RDT196615 RNP196614:RNP196615 RXL196614:RXL196615 SHH196614:SHH196615 SRD196614:SRD196615 TAZ196614:TAZ196615 TKV196614:TKV196615 TUR196614:TUR196615 UEN196614:UEN196615 UOJ196614:UOJ196615 UYF196614:UYF196615 VIB196614:VIB196615 VRX196614:VRX196615 WBT196614:WBT196615 WLP196614:WLP196615 WVL196614:WVL196615 D262150:D262151 IZ262150:IZ262151 SV262150:SV262151 ACR262150:ACR262151 AMN262150:AMN262151 AWJ262150:AWJ262151 BGF262150:BGF262151 BQB262150:BQB262151 BZX262150:BZX262151 CJT262150:CJT262151 CTP262150:CTP262151 DDL262150:DDL262151 DNH262150:DNH262151 DXD262150:DXD262151 EGZ262150:EGZ262151 EQV262150:EQV262151 FAR262150:FAR262151 FKN262150:FKN262151 FUJ262150:FUJ262151 GEF262150:GEF262151 GOB262150:GOB262151 GXX262150:GXX262151 HHT262150:HHT262151 HRP262150:HRP262151 IBL262150:IBL262151 ILH262150:ILH262151 IVD262150:IVD262151 JEZ262150:JEZ262151 JOV262150:JOV262151 JYR262150:JYR262151 KIN262150:KIN262151 KSJ262150:KSJ262151 LCF262150:LCF262151 LMB262150:LMB262151 LVX262150:LVX262151 MFT262150:MFT262151 MPP262150:MPP262151 MZL262150:MZL262151 NJH262150:NJH262151 NTD262150:NTD262151 OCZ262150:OCZ262151 OMV262150:OMV262151 OWR262150:OWR262151 PGN262150:PGN262151 PQJ262150:PQJ262151 QAF262150:QAF262151 QKB262150:QKB262151 QTX262150:QTX262151 RDT262150:RDT262151 RNP262150:RNP262151 RXL262150:RXL262151 SHH262150:SHH262151 SRD262150:SRD262151 TAZ262150:TAZ262151 TKV262150:TKV262151 TUR262150:TUR262151 UEN262150:UEN262151 UOJ262150:UOJ262151 UYF262150:UYF262151 VIB262150:VIB262151 VRX262150:VRX262151 WBT262150:WBT262151 WLP262150:WLP262151 WVL262150:WVL262151 D327686:D327687 IZ327686:IZ327687 SV327686:SV327687 ACR327686:ACR327687 AMN327686:AMN327687 AWJ327686:AWJ327687 BGF327686:BGF327687 BQB327686:BQB327687 BZX327686:BZX327687 CJT327686:CJT327687 CTP327686:CTP327687 DDL327686:DDL327687 DNH327686:DNH327687 DXD327686:DXD327687 EGZ327686:EGZ327687 EQV327686:EQV327687 FAR327686:FAR327687 FKN327686:FKN327687 FUJ327686:FUJ327687 GEF327686:GEF327687 GOB327686:GOB327687 GXX327686:GXX327687 HHT327686:HHT327687 HRP327686:HRP327687 IBL327686:IBL327687 ILH327686:ILH327687 IVD327686:IVD327687 JEZ327686:JEZ327687 JOV327686:JOV327687 JYR327686:JYR327687 KIN327686:KIN327687 KSJ327686:KSJ327687 LCF327686:LCF327687 LMB327686:LMB327687 LVX327686:LVX327687 MFT327686:MFT327687 MPP327686:MPP327687 MZL327686:MZL327687 NJH327686:NJH327687 NTD327686:NTD327687 OCZ327686:OCZ327687 OMV327686:OMV327687 OWR327686:OWR327687 PGN327686:PGN327687 PQJ327686:PQJ327687 QAF327686:QAF327687 QKB327686:QKB327687 QTX327686:QTX327687 RDT327686:RDT327687 RNP327686:RNP327687 RXL327686:RXL327687 SHH327686:SHH327687 SRD327686:SRD327687 TAZ327686:TAZ327687 TKV327686:TKV327687 TUR327686:TUR327687 UEN327686:UEN327687 UOJ327686:UOJ327687 UYF327686:UYF327687 VIB327686:VIB327687 VRX327686:VRX327687 WBT327686:WBT327687 WLP327686:WLP327687 WVL327686:WVL327687 D393222:D393223 IZ393222:IZ393223 SV393222:SV393223 ACR393222:ACR393223 AMN393222:AMN393223 AWJ393222:AWJ393223 BGF393222:BGF393223 BQB393222:BQB393223 BZX393222:BZX393223 CJT393222:CJT393223 CTP393222:CTP393223 DDL393222:DDL393223 DNH393222:DNH393223 DXD393222:DXD393223 EGZ393222:EGZ393223 EQV393222:EQV393223 FAR393222:FAR393223 FKN393222:FKN393223 FUJ393222:FUJ393223 GEF393222:GEF393223 GOB393222:GOB393223 GXX393222:GXX393223 HHT393222:HHT393223 HRP393222:HRP393223 IBL393222:IBL393223 ILH393222:ILH393223 IVD393222:IVD393223 JEZ393222:JEZ393223 JOV393222:JOV393223 JYR393222:JYR393223 KIN393222:KIN393223 KSJ393222:KSJ393223 LCF393222:LCF393223 LMB393222:LMB393223 LVX393222:LVX393223 MFT393222:MFT393223 MPP393222:MPP393223 MZL393222:MZL393223 NJH393222:NJH393223 NTD393222:NTD393223 OCZ393222:OCZ393223 OMV393222:OMV393223 OWR393222:OWR393223 PGN393222:PGN393223 PQJ393222:PQJ393223 QAF393222:QAF393223 QKB393222:QKB393223 QTX393222:QTX393223 RDT393222:RDT393223 RNP393222:RNP393223 RXL393222:RXL393223 SHH393222:SHH393223 SRD393222:SRD393223 TAZ393222:TAZ393223 TKV393222:TKV393223 TUR393222:TUR393223 UEN393222:UEN393223 UOJ393222:UOJ393223 UYF393222:UYF393223 VIB393222:VIB393223 VRX393222:VRX393223 WBT393222:WBT393223 WLP393222:WLP393223 WVL393222:WVL393223 D458758:D458759 IZ458758:IZ458759 SV458758:SV458759 ACR458758:ACR458759 AMN458758:AMN458759 AWJ458758:AWJ458759 BGF458758:BGF458759 BQB458758:BQB458759 BZX458758:BZX458759 CJT458758:CJT458759 CTP458758:CTP458759 DDL458758:DDL458759 DNH458758:DNH458759 DXD458758:DXD458759 EGZ458758:EGZ458759 EQV458758:EQV458759 FAR458758:FAR458759 FKN458758:FKN458759 FUJ458758:FUJ458759 GEF458758:GEF458759 GOB458758:GOB458759 GXX458758:GXX458759 HHT458758:HHT458759 HRP458758:HRP458759 IBL458758:IBL458759 ILH458758:ILH458759 IVD458758:IVD458759 JEZ458758:JEZ458759 JOV458758:JOV458759 JYR458758:JYR458759 KIN458758:KIN458759 KSJ458758:KSJ458759 LCF458758:LCF458759 LMB458758:LMB458759 LVX458758:LVX458759 MFT458758:MFT458759 MPP458758:MPP458759 MZL458758:MZL458759 NJH458758:NJH458759 NTD458758:NTD458759 OCZ458758:OCZ458759 OMV458758:OMV458759 OWR458758:OWR458759 PGN458758:PGN458759 PQJ458758:PQJ458759 QAF458758:QAF458759 QKB458758:QKB458759 QTX458758:QTX458759 RDT458758:RDT458759 RNP458758:RNP458759 RXL458758:RXL458759 SHH458758:SHH458759 SRD458758:SRD458759 TAZ458758:TAZ458759 TKV458758:TKV458759 TUR458758:TUR458759 UEN458758:UEN458759 UOJ458758:UOJ458759 UYF458758:UYF458759 VIB458758:VIB458759 VRX458758:VRX458759 WBT458758:WBT458759 WLP458758:WLP458759 WVL458758:WVL458759 D524294:D524295 IZ524294:IZ524295 SV524294:SV524295 ACR524294:ACR524295 AMN524294:AMN524295 AWJ524294:AWJ524295 BGF524294:BGF524295 BQB524294:BQB524295 BZX524294:BZX524295 CJT524294:CJT524295 CTP524294:CTP524295 DDL524294:DDL524295 DNH524294:DNH524295 DXD524294:DXD524295 EGZ524294:EGZ524295 EQV524294:EQV524295 FAR524294:FAR524295 FKN524294:FKN524295 FUJ524294:FUJ524295 GEF524294:GEF524295 GOB524294:GOB524295 GXX524294:GXX524295 HHT524294:HHT524295 HRP524294:HRP524295 IBL524294:IBL524295 ILH524294:ILH524295 IVD524294:IVD524295 JEZ524294:JEZ524295 JOV524294:JOV524295 JYR524294:JYR524295 KIN524294:KIN524295 KSJ524294:KSJ524295 LCF524294:LCF524295 LMB524294:LMB524295 LVX524294:LVX524295 MFT524294:MFT524295 MPP524294:MPP524295 MZL524294:MZL524295 NJH524294:NJH524295 NTD524294:NTD524295 OCZ524294:OCZ524295 OMV524294:OMV524295 OWR524294:OWR524295 PGN524294:PGN524295 PQJ524294:PQJ524295 QAF524294:QAF524295 QKB524294:QKB524295 QTX524294:QTX524295 RDT524294:RDT524295 RNP524294:RNP524295 RXL524294:RXL524295 SHH524294:SHH524295 SRD524294:SRD524295 TAZ524294:TAZ524295 TKV524294:TKV524295 TUR524294:TUR524295 UEN524294:UEN524295 UOJ524294:UOJ524295 UYF524294:UYF524295 VIB524294:VIB524295 VRX524294:VRX524295 WBT524294:WBT524295 WLP524294:WLP524295 WVL524294:WVL524295 D589830:D589831 IZ589830:IZ589831 SV589830:SV589831 ACR589830:ACR589831 AMN589830:AMN589831 AWJ589830:AWJ589831 BGF589830:BGF589831 BQB589830:BQB589831 BZX589830:BZX589831 CJT589830:CJT589831 CTP589830:CTP589831 DDL589830:DDL589831 DNH589830:DNH589831 DXD589830:DXD589831 EGZ589830:EGZ589831 EQV589830:EQV589831 FAR589830:FAR589831 FKN589830:FKN589831 FUJ589830:FUJ589831 GEF589830:GEF589831 GOB589830:GOB589831 GXX589830:GXX589831 HHT589830:HHT589831 HRP589830:HRP589831 IBL589830:IBL589831 ILH589830:ILH589831 IVD589830:IVD589831 JEZ589830:JEZ589831 JOV589830:JOV589831 JYR589830:JYR589831 KIN589830:KIN589831 KSJ589830:KSJ589831 LCF589830:LCF589831 LMB589830:LMB589831 LVX589830:LVX589831 MFT589830:MFT589831 MPP589830:MPP589831 MZL589830:MZL589831 NJH589830:NJH589831 NTD589830:NTD589831 OCZ589830:OCZ589831 OMV589830:OMV589831 OWR589830:OWR589831 PGN589830:PGN589831 PQJ589830:PQJ589831 QAF589830:QAF589831 QKB589830:QKB589831 QTX589830:QTX589831 RDT589830:RDT589831 RNP589830:RNP589831 RXL589830:RXL589831 SHH589830:SHH589831 SRD589830:SRD589831 TAZ589830:TAZ589831 TKV589830:TKV589831 TUR589830:TUR589831 UEN589830:UEN589831 UOJ589830:UOJ589831 UYF589830:UYF589831 VIB589830:VIB589831 VRX589830:VRX589831 WBT589830:WBT589831 WLP589830:WLP589831 WVL589830:WVL589831 D655366:D655367 IZ655366:IZ655367 SV655366:SV655367 ACR655366:ACR655367 AMN655366:AMN655367 AWJ655366:AWJ655367 BGF655366:BGF655367 BQB655366:BQB655367 BZX655366:BZX655367 CJT655366:CJT655367 CTP655366:CTP655367 DDL655366:DDL655367 DNH655366:DNH655367 DXD655366:DXD655367 EGZ655366:EGZ655367 EQV655366:EQV655367 FAR655366:FAR655367 FKN655366:FKN655367 FUJ655366:FUJ655367 GEF655366:GEF655367 GOB655366:GOB655367 GXX655366:GXX655367 HHT655366:HHT655367 HRP655366:HRP655367 IBL655366:IBL655367 ILH655366:ILH655367 IVD655366:IVD655367 JEZ655366:JEZ655367 JOV655366:JOV655367 JYR655366:JYR655367 KIN655366:KIN655367 KSJ655366:KSJ655367 LCF655366:LCF655367 LMB655366:LMB655367 LVX655366:LVX655367 MFT655366:MFT655367 MPP655366:MPP655367 MZL655366:MZL655367 NJH655366:NJH655367 NTD655366:NTD655367 OCZ655366:OCZ655367 OMV655366:OMV655367 OWR655366:OWR655367 PGN655366:PGN655367 PQJ655366:PQJ655367 QAF655366:QAF655367 QKB655366:QKB655367 QTX655366:QTX655367 RDT655366:RDT655367 RNP655366:RNP655367 RXL655366:RXL655367 SHH655366:SHH655367 SRD655366:SRD655367 TAZ655366:TAZ655367 TKV655366:TKV655367 TUR655366:TUR655367 UEN655366:UEN655367 UOJ655366:UOJ655367 UYF655366:UYF655367 VIB655366:VIB655367 VRX655366:VRX655367 WBT655366:WBT655367 WLP655366:WLP655367 WVL655366:WVL655367 D720902:D720903 IZ720902:IZ720903 SV720902:SV720903 ACR720902:ACR720903 AMN720902:AMN720903 AWJ720902:AWJ720903 BGF720902:BGF720903 BQB720902:BQB720903 BZX720902:BZX720903 CJT720902:CJT720903 CTP720902:CTP720903 DDL720902:DDL720903 DNH720902:DNH720903 DXD720902:DXD720903 EGZ720902:EGZ720903 EQV720902:EQV720903 FAR720902:FAR720903 FKN720902:FKN720903 FUJ720902:FUJ720903 GEF720902:GEF720903 GOB720902:GOB720903 GXX720902:GXX720903 HHT720902:HHT720903 HRP720902:HRP720903 IBL720902:IBL720903 ILH720902:ILH720903 IVD720902:IVD720903 JEZ720902:JEZ720903 JOV720902:JOV720903 JYR720902:JYR720903 KIN720902:KIN720903 KSJ720902:KSJ720903 LCF720902:LCF720903 LMB720902:LMB720903 LVX720902:LVX720903 MFT720902:MFT720903 MPP720902:MPP720903 MZL720902:MZL720903 NJH720902:NJH720903 NTD720902:NTD720903 OCZ720902:OCZ720903 OMV720902:OMV720903 OWR720902:OWR720903 PGN720902:PGN720903 PQJ720902:PQJ720903 QAF720902:QAF720903 QKB720902:QKB720903 QTX720902:QTX720903 RDT720902:RDT720903 RNP720902:RNP720903 RXL720902:RXL720903 SHH720902:SHH720903 SRD720902:SRD720903 TAZ720902:TAZ720903 TKV720902:TKV720903 TUR720902:TUR720903 UEN720902:UEN720903 UOJ720902:UOJ720903 UYF720902:UYF720903 VIB720902:VIB720903 VRX720902:VRX720903 WBT720902:WBT720903 WLP720902:WLP720903 WVL720902:WVL720903 D786438:D786439 IZ786438:IZ786439 SV786438:SV786439 ACR786438:ACR786439 AMN786438:AMN786439 AWJ786438:AWJ786439 BGF786438:BGF786439 BQB786438:BQB786439 BZX786438:BZX786439 CJT786438:CJT786439 CTP786438:CTP786439 DDL786438:DDL786439 DNH786438:DNH786439 DXD786438:DXD786439 EGZ786438:EGZ786439 EQV786438:EQV786439 FAR786438:FAR786439 FKN786438:FKN786439 FUJ786438:FUJ786439 GEF786438:GEF786439 GOB786438:GOB786439 GXX786438:GXX786439 HHT786438:HHT786439 HRP786438:HRP786439 IBL786438:IBL786439 ILH786438:ILH786439 IVD786438:IVD786439 JEZ786438:JEZ786439 JOV786438:JOV786439 JYR786438:JYR786439 KIN786438:KIN786439 KSJ786438:KSJ786439 LCF786438:LCF786439 LMB786438:LMB786439 LVX786438:LVX786439 MFT786438:MFT786439 MPP786438:MPP786439 MZL786438:MZL786439 NJH786438:NJH786439 NTD786438:NTD786439 OCZ786438:OCZ786439 OMV786438:OMV786439 OWR786438:OWR786439 PGN786438:PGN786439 PQJ786438:PQJ786439 QAF786438:QAF786439 QKB786438:QKB786439 QTX786438:QTX786439 RDT786438:RDT786439 RNP786438:RNP786439 RXL786438:RXL786439 SHH786438:SHH786439 SRD786438:SRD786439 TAZ786438:TAZ786439 TKV786438:TKV786439 TUR786438:TUR786439 UEN786438:UEN786439 UOJ786438:UOJ786439 UYF786438:UYF786439 VIB786438:VIB786439 VRX786438:VRX786439 WBT786438:WBT786439 WLP786438:WLP786439 WVL786438:WVL786439 D851974:D851975 IZ851974:IZ851975 SV851974:SV851975 ACR851974:ACR851975 AMN851974:AMN851975 AWJ851974:AWJ851975 BGF851974:BGF851975 BQB851974:BQB851975 BZX851974:BZX851975 CJT851974:CJT851975 CTP851974:CTP851975 DDL851974:DDL851975 DNH851974:DNH851975 DXD851974:DXD851975 EGZ851974:EGZ851975 EQV851974:EQV851975 FAR851974:FAR851975 FKN851974:FKN851975 FUJ851974:FUJ851975 GEF851974:GEF851975 GOB851974:GOB851975 GXX851974:GXX851975 HHT851974:HHT851975 HRP851974:HRP851975 IBL851974:IBL851975 ILH851974:ILH851975 IVD851974:IVD851975 JEZ851974:JEZ851975 JOV851974:JOV851975 JYR851974:JYR851975 KIN851974:KIN851975 KSJ851974:KSJ851975 LCF851974:LCF851975 LMB851974:LMB851975 LVX851974:LVX851975 MFT851974:MFT851975 MPP851974:MPP851975 MZL851974:MZL851975 NJH851974:NJH851975 NTD851974:NTD851975 OCZ851974:OCZ851975 OMV851974:OMV851975 OWR851974:OWR851975 PGN851974:PGN851975 PQJ851974:PQJ851975 QAF851974:QAF851975 QKB851974:QKB851975 QTX851974:QTX851975 RDT851974:RDT851975 RNP851974:RNP851975 RXL851974:RXL851975 SHH851974:SHH851975 SRD851974:SRD851975 TAZ851974:TAZ851975 TKV851974:TKV851975 TUR851974:TUR851975 UEN851974:UEN851975 UOJ851974:UOJ851975 UYF851974:UYF851975 VIB851974:VIB851975 VRX851974:VRX851975 WBT851974:WBT851975 WLP851974:WLP851975 WVL851974:WVL851975 D917510:D917511 IZ917510:IZ917511 SV917510:SV917511 ACR917510:ACR917511 AMN917510:AMN917511 AWJ917510:AWJ917511 BGF917510:BGF917511 BQB917510:BQB917511 BZX917510:BZX917511 CJT917510:CJT917511 CTP917510:CTP917511 DDL917510:DDL917511 DNH917510:DNH917511 DXD917510:DXD917511 EGZ917510:EGZ917511 EQV917510:EQV917511 FAR917510:FAR917511 FKN917510:FKN917511 FUJ917510:FUJ917511 GEF917510:GEF917511 GOB917510:GOB917511 GXX917510:GXX917511 HHT917510:HHT917511 HRP917510:HRP917511 IBL917510:IBL917511 ILH917510:ILH917511 IVD917510:IVD917511 JEZ917510:JEZ917511 JOV917510:JOV917511 JYR917510:JYR917511 KIN917510:KIN917511 KSJ917510:KSJ917511 LCF917510:LCF917511 LMB917510:LMB917511 LVX917510:LVX917511 MFT917510:MFT917511 MPP917510:MPP917511 MZL917510:MZL917511 NJH917510:NJH917511 NTD917510:NTD917511 OCZ917510:OCZ917511 OMV917510:OMV917511 OWR917510:OWR917511 PGN917510:PGN917511 PQJ917510:PQJ917511 QAF917510:QAF917511 QKB917510:QKB917511 QTX917510:QTX917511 RDT917510:RDT917511 RNP917510:RNP917511 RXL917510:RXL917511 SHH917510:SHH917511 SRD917510:SRD917511 TAZ917510:TAZ917511 TKV917510:TKV917511 TUR917510:TUR917511 UEN917510:UEN917511 UOJ917510:UOJ917511 UYF917510:UYF917511 VIB917510:VIB917511 VRX917510:VRX917511 WBT917510:WBT917511 WLP917510:WLP917511 WVL917510:WVL917511 D983046:D983047 IZ983046:IZ983047 SV983046:SV983047 ACR983046:ACR983047 AMN983046:AMN983047 AWJ983046:AWJ983047 BGF983046:BGF983047 BQB983046:BQB983047 BZX983046:BZX983047 CJT983046:CJT983047 CTP983046:CTP983047 DDL983046:DDL983047 DNH983046:DNH983047 DXD983046:DXD983047 EGZ983046:EGZ983047 EQV983046:EQV983047 FAR983046:FAR983047 FKN983046:FKN983047 FUJ983046:FUJ983047 GEF983046:GEF983047 GOB983046:GOB983047 GXX983046:GXX983047 HHT983046:HHT983047 HRP983046:HRP983047 IBL983046:IBL983047 ILH983046:ILH983047 IVD983046:IVD983047 JEZ983046:JEZ983047 JOV983046:JOV983047 JYR983046:JYR983047 KIN983046:KIN983047 KSJ983046:KSJ983047 LCF983046:LCF983047 LMB983046:LMB983047 LVX983046:LVX983047 MFT983046:MFT983047 MPP983046:MPP983047 MZL983046:MZL983047 NJH983046:NJH983047 NTD983046:NTD983047 OCZ983046:OCZ983047 OMV983046:OMV983047 OWR983046:OWR983047 PGN983046:PGN983047 PQJ983046:PQJ983047 QAF983046:QAF983047 QKB983046:QKB983047 QTX983046:QTX983047 RDT983046:RDT983047 RNP983046:RNP983047 RXL983046:RXL983047 SHH983046:SHH983047 SRD983046:SRD983047 TAZ983046:TAZ983047 TKV983046:TKV983047 TUR983046:TUR983047 UEN983046:UEN983047 UOJ983046:UOJ983047 UYF983046:UYF983047 VIB983046:VIB983047 VRX983046:VRX983047 WBT983046:WBT983047 WLP983046:WLP983047 WVL983046:WVL983047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76 IZ65676 SV65676 ACR65676 AMN65676 AWJ65676 BGF65676 BQB65676 BZX65676 CJT65676 CTP65676 DDL65676 DNH65676 DXD65676 EGZ65676 EQV65676 FAR65676 FKN65676 FUJ65676 GEF65676 GOB65676 GXX65676 HHT65676 HRP65676 IBL65676 ILH65676 IVD65676 JEZ65676 JOV65676 JYR65676 KIN65676 KSJ65676 LCF65676 LMB65676 LVX65676 MFT65676 MPP65676 MZL65676 NJH65676 NTD65676 OCZ65676 OMV65676 OWR65676 PGN65676 PQJ65676 QAF65676 QKB65676 QTX65676 RDT65676 RNP65676 RXL65676 SHH65676 SRD65676 TAZ65676 TKV65676 TUR65676 UEN65676 UOJ65676 UYF65676 VIB65676 VRX65676 WBT65676 WLP65676 WVL65676 D131212 IZ131212 SV131212 ACR131212 AMN131212 AWJ131212 BGF131212 BQB131212 BZX131212 CJT131212 CTP131212 DDL131212 DNH131212 DXD131212 EGZ131212 EQV131212 FAR131212 FKN131212 FUJ131212 GEF131212 GOB131212 GXX131212 HHT131212 HRP131212 IBL131212 ILH131212 IVD131212 JEZ131212 JOV131212 JYR131212 KIN131212 KSJ131212 LCF131212 LMB131212 LVX131212 MFT131212 MPP131212 MZL131212 NJH131212 NTD131212 OCZ131212 OMV131212 OWR131212 PGN131212 PQJ131212 QAF131212 QKB131212 QTX131212 RDT131212 RNP131212 RXL131212 SHH131212 SRD131212 TAZ131212 TKV131212 TUR131212 UEN131212 UOJ131212 UYF131212 VIB131212 VRX131212 WBT131212 WLP131212 WVL131212 D196748 IZ196748 SV196748 ACR196748 AMN196748 AWJ196748 BGF196748 BQB196748 BZX196748 CJT196748 CTP196748 DDL196748 DNH196748 DXD196748 EGZ196748 EQV196748 FAR196748 FKN196748 FUJ196748 GEF196748 GOB196748 GXX196748 HHT196748 HRP196748 IBL196748 ILH196748 IVD196748 JEZ196748 JOV196748 JYR196748 KIN196748 KSJ196748 LCF196748 LMB196748 LVX196748 MFT196748 MPP196748 MZL196748 NJH196748 NTD196748 OCZ196748 OMV196748 OWR196748 PGN196748 PQJ196748 QAF196748 QKB196748 QTX196748 RDT196748 RNP196748 RXL196748 SHH196748 SRD196748 TAZ196748 TKV196748 TUR196748 UEN196748 UOJ196748 UYF196748 VIB196748 VRX196748 WBT196748 WLP196748 WVL196748 D262284 IZ262284 SV262284 ACR262284 AMN262284 AWJ262284 BGF262284 BQB262284 BZX262284 CJT262284 CTP262284 DDL262284 DNH262284 DXD262284 EGZ262284 EQV262284 FAR262284 FKN262284 FUJ262284 GEF262284 GOB262284 GXX262284 HHT262284 HRP262284 IBL262284 ILH262284 IVD262284 JEZ262284 JOV262284 JYR262284 KIN262284 KSJ262284 LCF262284 LMB262284 LVX262284 MFT262284 MPP262284 MZL262284 NJH262284 NTD262284 OCZ262284 OMV262284 OWR262284 PGN262284 PQJ262284 QAF262284 QKB262284 QTX262284 RDT262284 RNP262284 RXL262284 SHH262284 SRD262284 TAZ262284 TKV262284 TUR262284 UEN262284 UOJ262284 UYF262284 VIB262284 VRX262284 WBT262284 WLP262284 WVL262284 D327820 IZ327820 SV327820 ACR327820 AMN327820 AWJ327820 BGF327820 BQB327820 BZX327820 CJT327820 CTP327820 DDL327820 DNH327820 DXD327820 EGZ327820 EQV327820 FAR327820 FKN327820 FUJ327820 GEF327820 GOB327820 GXX327820 HHT327820 HRP327820 IBL327820 ILH327820 IVD327820 JEZ327820 JOV327820 JYR327820 KIN327820 KSJ327820 LCF327820 LMB327820 LVX327820 MFT327820 MPP327820 MZL327820 NJH327820 NTD327820 OCZ327820 OMV327820 OWR327820 PGN327820 PQJ327820 QAF327820 QKB327820 QTX327820 RDT327820 RNP327820 RXL327820 SHH327820 SRD327820 TAZ327820 TKV327820 TUR327820 UEN327820 UOJ327820 UYF327820 VIB327820 VRX327820 WBT327820 WLP327820 WVL327820 D393356 IZ393356 SV393356 ACR393356 AMN393356 AWJ393356 BGF393356 BQB393356 BZX393356 CJT393356 CTP393356 DDL393356 DNH393356 DXD393356 EGZ393356 EQV393356 FAR393356 FKN393356 FUJ393356 GEF393356 GOB393356 GXX393356 HHT393356 HRP393356 IBL393356 ILH393356 IVD393356 JEZ393356 JOV393356 JYR393356 KIN393356 KSJ393356 LCF393356 LMB393356 LVX393356 MFT393356 MPP393356 MZL393356 NJH393356 NTD393356 OCZ393356 OMV393356 OWR393356 PGN393356 PQJ393356 QAF393356 QKB393356 QTX393356 RDT393356 RNP393356 RXL393356 SHH393356 SRD393356 TAZ393356 TKV393356 TUR393356 UEN393356 UOJ393356 UYF393356 VIB393356 VRX393356 WBT393356 WLP393356 WVL393356 D458892 IZ458892 SV458892 ACR458892 AMN458892 AWJ458892 BGF458892 BQB458892 BZX458892 CJT458892 CTP458892 DDL458892 DNH458892 DXD458892 EGZ458892 EQV458892 FAR458892 FKN458892 FUJ458892 GEF458892 GOB458892 GXX458892 HHT458892 HRP458892 IBL458892 ILH458892 IVD458892 JEZ458892 JOV458892 JYR458892 KIN458892 KSJ458892 LCF458892 LMB458892 LVX458892 MFT458892 MPP458892 MZL458892 NJH458892 NTD458892 OCZ458892 OMV458892 OWR458892 PGN458892 PQJ458892 QAF458892 QKB458892 QTX458892 RDT458892 RNP458892 RXL458892 SHH458892 SRD458892 TAZ458892 TKV458892 TUR458892 UEN458892 UOJ458892 UYF458892 VIB458892 VRX458892 WBT458892 WLP458892 WVL458892 D524428 IZ524428 SV524428 ACR524428 AMN524428 AWJ524428 BGF524428 BQB524428 BZX524428 CJT524428 CTP524428 DDL524428 DNH524428 DXD524428 EGZ524428 EQV524428 FAR524428 FKN524428 FUJ524428 GEF524428 GOB524428 GXX524428 HHT524428 HRP524428 IBL524428 ILH524428 IVD524428 JEZ524428 JOV524428 JYR524428 KIN524428 KSJ524428 LCF524428 LMB524428 LVX524428 MFT524428 MPP524428 MZL524428 NJH524428 NTD524428 OCZ524428 OMV524428 OWR524428 PGN524428 PQJ524428 QAF524428 QKB524428 QTX524428 RDT524428 RNP524428 RXL524428 SHH524428 SRD524428 TAZ524428 TKV524428 TUR524428 UEN524428 UOJ524428 UYF524428 VIB524428 VRX524428 WBT524428 WLP524428 WVL524428 D589964 IZ589964 SV589964 ACR589964 AMN589964 AWJ589964 BGF589964 BQB589964 BZX589964 CJT589964 CTP589964 DDL589964 DNH589964 DXD589964 EGZ589964 EQV589964 FAR589964 FKN589964 FUJ589964 GEF589964 GOB589964 GXX589964 HHT589964 HRP589964 IBL589964 ILH589964 IVD589964 JEZ589964 JOV589964 JYR589964 KIN589964 KSJ589964 LCF589964 LMB589964 LVX589964 MFT589964 MPP589964 MZL589964 NJH589964 NTD589964 OCZ589964 OMV589964 OWR589964 PGN589964 PQJ589964 QAF589964 QKB589964 QTX589964 RDT589964 RNP589964 RXL589964 SHH589964 SRD589964 TAZ589964 TKV589964 TUR589964 UEN589964 UOJ589964 UYF589964 VIB589964 VRX589964 WBT589964 WLP589964 WVL589964 D655500 IZ655500 SV655500 ACR655500 AMN655500 AWJ655500 BGF655500 BQB655500 BZX655500 CJT655500 CTP655500 DDL655500 DNH655500 DXD655500 EGZ655500 EQV655500 FAR655500 FKN655500 FUJ655500 GEF655500 GOB655500 GXX655500 HHT655500 HRP655500 IBL655500 ILH655500 IVD655500 JEZ655500 JOV655500 JYR655500 KIN655500 KSJ655500 LCF655500 LMB655500 LVX655500 MFT655500 MPP655500 MZL655500 NJH655500 NTD655500 OCZ655500 OMV655500 OWR655500 PGN655500 PQJ655500 QAF655500 QKB655500 QTX655500 RDT655500 RNP655500 RXL655500 SHH655500 SRD655500 TAZ655500 TKV655500 TUR655500 UEN655500 UOJ655500 UYF655500 VIB655500 VRX655500 WBT655500 WLP655500 WVL655500 D721036 IZ721036 SV721036 ACR721036 AMN721036 AWJ721036 BGF721036 BQB721036 BZX721036 CJT721036 CTP721036 DDL721036 DNH721036 DXD721036 EGZ721036 EQV721036 FAR721036 FKN721036 FUJ721036 GEF721036 GOB721036 GXX721036 HHT721036 HRP721036 IBL721036 ILH721036 IVD721036 JEZ721036 JOV721036 JYR721036 KIN721036 KSJ721036 LCF721036 LMB721036 LVX721036 MFT721036 MPP721036 MZL721036 NJH721036 NTD721036 OCZ721036 OMV721036 OWR721036 PGN721036 PQJ721036 QAF721036 QKB721036 QTX721036 RDT721036 RNP721036 RXL721036 SHH721036 SRD721036 TAZ721036 TKV721036 TUR721036 UEN721036 UOJ721036 UYF721036 VIB721036 VRX721036 WBT721036 WLP721036 WVL721036 D786572 IZ786572 SV786572 ACR786572 AMN786572 AWJ786572 BGF786572 BQB786572 BZX786572 CJT786572 CTP786572 DDL786572 DNH786572 DXD786572 EGZ786572 EQV786572 FAR786572 FKN786572 FUJ786572 GEF786572 GOB786572 GXX786572 HHT786572 HRP786572 IBL786572 ILH786572 IVD786572 JEZ786572 JOV786572 JYR786572 KIN786572 KSJ786572 LCF786572 LMB786572 LVX786572 MFT786572 MPP786572 MZL786572 NJH786572 NTD786572 OCZ786572 OMV786572 OWR786572 PGN786572 PQJ786572 QAF786572 QKB786572 QTX786572 RDT786572 RNP786572 RXL786572 SHH786572 SRD786572 TAZ786572 TKV786572 TUR786572 UEN786572 UOJ786572 UYF786572 VIB786572 VRX786572 WBT786572 WLP786572 WVL786572 D852108 IZ852108 SV852108 ACR852108 AMN852108 AWJ852108 BGF852108 BQB852108 BZX852108 CJT852108 CTP852108 DDL852108 DNH852108 DXD852108 EGZ852108 EQV852108 FAR852108 FKN852108 FUJ852108 GEF852108 GOB852108 GXX852108 HHT852108 HRP852108 IBL852108 ILH852108 IVD852108 JEZ852108 JOV852108 JYR852108 KIN852108 KSJ852108 LCF852108 LMB852108 LVX852108 MFT852108 MPP852108 MZL852108 NJH852108 NTD852108 OCZ852108 OMV852108 OWR852108 PGN852108 PQJ852108 QAF852108 QKB852108 QTX852108 RDT852108 RNP852108 RXL852108 SHH852108 SRD852108 TAZ852108 TKV852108 TUR852108 UEN852108 UOJ852108 UYF852108 VIB852108 VRX852108 WBT852108 WLP852108 WVL852108 D917644 IZ917644 SV917644 ACR917644 AMN917644 AWJ917644 BGF917644 BQB917644 BZX917644 CJT917644 CTP917644 DDL917644 DNH917644 DXD917644 EGZ917644 EQV917644 FAR917644 FKN917644 FUJ917644 GEF917644 GOB917644 GXX917644 HHT917644 HRP917644 IBL917644 ILH917644 IVD917644 JEZ917644 JOV917644 JYR917644 KIN917644 KSJ917644 LCF917644 LMB917644 LVX917644 MFT917644 MPP917644 MZL917644 NJH917644 NTD917644 OCZ917644 OMV917644 OWR917644 PGN917644 PQJ917644 QAF917644 QKB917644 QTX917644 RDT917644 RNP917644 RXL917644 SHH917644 SRD917644 TAZ917644 TKV917644 TUR917644 UEN917644 UOJ917644 UYF917644 VIB917644 VRX917644 WBT917644 WLP917644 WVL917644 D983180 IZ983180 SV983180 ACR983180 AMN983180 AWJ983180 BGF983180 BQB983180 BZX983180 CJT983180 CTP983180 DDL983180 DNH983180 DXD983180 EGZ983180 EQV983180 FAR983180 FKN983180 FUJ983180 GEF983180 GOB983180 GXX983180 HHT983180 HRP983180 IBL983180 ILH983180 IVD983180 JEZ983180 JOV983180 JYR983180 KIN983180 KSJ983180 LCF983180 LMB983180 LVX983180 MFT983180 MPP983180 MZL983180 NJH983180 NTD983180 OCZ983180 OMV983180 OWR983180 PGN983180 PQJ983180 QAF983180 QKB983180 QTX983180 RDT983180 RNP983180 RXL983180 SHH983180 SRD983180 TAZ983180 TKV983180 TUR983180 UEN983180 UOJ983180 UYF983180 VIB983180 VRX983180 WBT983180 WLP983180 WVL983180 D451 IZ451 SV451 ACR451 AMN451 AWJ451 BGF451 BQB451 BZX451 CJT451 CTP451 DDL451 DNH451 DXD451 EGZ451 EQV451 FAR451 FKN451 FUJ451 GEF451 GOB451 GXX451 HHT451 HRP451 IBL451 ILH451 IVD451 JEZ451 JOV451 JYR451 KIN451 KSJ451 LCF451 LMB451 LVX451 MFT451 MPP451 MZL451 NJH451 NTD451 OCZ451 OMV451 OWR451 PGN451 PQJ451 QAF451 QKB451 QTX451 RDT451 RNP451 RXL451 SHH451 SRD451 TAZ451 TKV451 TUR451 UEN451 UOJ451 UYF451 VIB451 VRX451 WBT451 WLP451 WVL451 D65987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523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059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595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131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667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203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739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275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5811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347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6883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419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7955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491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xr:uid="{271A7A8E-2D53-4345-9CF6-129319D790D4}">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96" max="21" man="1"/>
    <brk id="141" max="21"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4530-E053-44E3-AFA4-26506A32B71D}">
  <sheetPr codeName="Sheet64">
    <tabColor rgb="FF00B050"/>
  </sheetPr>
  <dimension ref="A1:AC884"/>
  <sheetViews>
    <sheetView showZeros="0" view="pageBreakPreview" topLeftCell="A405" zoomScaleNormal="100" zoomScaleSheetLayoutView="100" workbookViewId="0">
      <selection activeCell="A315" sqref="A315:C318"/>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22.2"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Title!A5</f>
        <v>Prep. By</v>
      </c>
      <c r="B5" s="943"/>
      <c r="C5" s="25" t="str">
        <f>Title!C5</f>
        <v>AP</v>
      </c>
      <c r="D5" s="880" t="str">
        <f>Title!D5</f>
        <v>Checked By</v>
      </c>
      <c r="E5" s="881"/>
      <c r="F5" s="943"/>
      <c r="G5" s="25" t="str">
        <f>Title!G5</f>
        <v>RB</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964</v>
      </c>
      <c r="C7" s="782"/>
      <c r="D7" s="781" t="s">
        <v>385</v>
      </c>
      <c r="E7" s="782"/>
      <c r="F7" s="186"/>
      <c r="H7" s="684" t="s">
        <v>594</v>
      </c>
      <c r="I7" s="689"/>
      <c r="J7" s="689"/>
      <c r="K7" s="689"/>
      <c r="L7" s="689"/>
      <c r="M7" s="689"/>
      <c r="N7" s="689"/>
      <c r="P7" s="186"/>
      <c r="S7" s="187" t="s">
        <v>387</v>
      </c>
      <c r="T7" s="781" t="s">
        <v>595</v>
      </c>
      <c r="U7" s="782"/>
      <c r="V7" s="185"/>
      <c r="W7" s="30" t="s">
        <v>596</v>
      </c>
    </row>
    <row r="8" spans="1:29" ht="18" customHeight="1">
      <c r="A8" s="184"/>
      <c r="B8" s="1228"/>
      <c r="C8" s="1228"/>
      <c r="D8" s="1228"/>
      <c r="E8" s="1228"/>
      <c r="F8" s="186"/>
      <c r="T8" s="781"/>
      <c r="U8" s="782"/>
      <c r="V8" s="185"/>
      <c r="W8" s="30" t="s">
        <v>597</v>
      </c>
    </row>
    <row r="9" spans="1:29" ht="18" customHeight="1">
      <c r="A9" s="184"/>
      <c r="H9" s="789" t="s">
        <v>390</v>
      </c>
      <c r="I9" s="789"/>
      <c r="J9" s="790" t="s">
        <v>391</v>
      </c>
      <c r="K9" s="790"/>
      <c r="L9" s="790" t="s">
        <v>392</v>
      </c>
      <c r="M9" s="790"/>
      <c r="T9" s="781"/>
      <c r="U9" s="782"/>
      <c r="V9" s="185"/>
      <c r="W9" s="30" t="s">
        <v>598</v>
      </c>
    </row>
    <row r="10" spans="1:29" ht="18" customHeight="1">
      <c r="A10" s="184"/>
      <c r="B10" s="47" t="s">
        <v>393</v>
      </c>
      <c r="H10" s="791">
        <v>1750</v>
      </c>
      <c r="I10" s="792"/>
      <c r="J10" s="781">
        <v>2500</v>
      </c>
      <c r="K10" s="782"/>
      <c r="L10" s="781" t="s">
        <v>6</v>
      </c>
      <c r="M10" s="782"/>
      <c r="N10" s="191" t="s">
        <v>342</v>
      </c>
      <c r="O10" s="125">
        <v>1</v>
      </c>
      <c r="P10" s="27" t="s">
        <v>8</v>
      </c>
      <c r="V10" s="185"/>
    </row>
    <row r="11" spans="1:29" ht="18" customHeight="1">
      <c r="A11" s="184"/>
      <c r="B11" s="47" t="s">
        <v>394</v>
      </c>
      <c r="H11" s="781" t="s">
        <v>395</v>
      </c>
      <c r="I11" s="782"/>
      <c r="V11" s="185"/>
    </row>
    <row r="12" spans="1:29" ht="18" customHeight="1">
      <c r="A12" s="184"/>
      <c r="B12" s="47" t="s">
        <v>396</v>
      </c>
      <c r="G12" s="120" t="s">
        <v>397</v>
      </c>
      <c r="H12" s="781">
        <v>5</v>
      </c>
      <c r="I12" s="782"/>
      <c r="J12" s="192" t="s">
        <v>333</v>
      </c>
      <c r="M12" s="14"/>
      <c r="V12" s="185"/>
    </row>
    <row r="13" spans="1:29" ht="18" customHeight="1">
      <c r="A13" s="184"/>
      <c r="B13" s="47" t="s">
        <v>398</v>
      </c>
      <c r="G13" s="120" t="s">
        <v>498</v>
      </c>
      <c r="H13" s="781">
        <v>300</v>
      </c>
      <c r="I13" s="782"/>
      <c r="J13" s="14" t="s">
        <v>305</v>
      </c>
      <c r="V13" s="185"/>
      <c r="W13" s="30" t="s">
        <v>400</v>
      </c>
      <c r="AB13" s="785">
        <f>Q109</f>
        <v>37.230990323924722</v>
      </c>
      <c r="AC13" s="786"/>
    </row>
    <row r="14" spans="1:29" ht="18" customHeight="1">
      <c r="A14" s="184"/>
      <c r="B14" s="14" t="s">
        <v>401</v>
      </c>
      <c r="G14" s="120" t="s">
        <v>402</v>
      </c>
      <c r="H14" s="781">
        <v>30</v>
      </c>
      <c r="I14" s="782"/>
      <c r="J14" s="14" t="s">
        <v>403</v>
      </c>
      <c r="M14" s="14"/>
      <c r="V14" s="185"/>
    </row>
    <row r="15" spans="1:29" ht="18" customHeight="1">
      <c r="A15" s="184"/>
      <c r="B15" s="14"/>
      <c r="V15" s="185"/>
    </row>
    <row r="16" spans="1:29" ht="18" customHeight="1">
      <c r="A16" s="193" t="s">
        <v>404</v>
      </c>
      <c r="V16" s="185"/>
    </row>
    <row r="17" spans="1:22" ht="18" customHeight="1">
      <c r="A17" s="184"/>
      <c r="V17" s="185"/>
    </row>
    <row r="18" spans="1:22" ht="18" customHeight="1">
      <c r="A18" s="184"/>
      <c r="B18" s="194" t="s">
        <v>405</v>
      </c>
      <c r="C18" s="195"/>
      <c r="D18" s="195" t="str">
        <f>T7</f>
        <v>RET670</v>
      </c>
      <c r="E18" s="196"/>
      <c r="F18" s="196"/>
      <c r="G18" s="196"/>
      <c r="H18" s="182" t="s">
        <v>406</v>
      </c>
      <c r="I18" s="183" t="s">
        <v>127</v>
      </c>
      <c r="J18" s="1193">
        <f>'CT-VT Burdens'!Q104</f>
        <v>0.02</v>
      </c>
      <c r="K18" s="1105"/>
      <c r="L18" s="3" t="s">
        <v>157</v>
      </c>
      <c r="N18" s="197" t="s">
        <v>407</v>
      </c>
      <c r="V18" s="185"/>
    </row>
    <row r="19" spans="1:22" ht="18" customHeight="1">
      <c r="A19" s="184"/>
      <c r="B19" s="96" t="s">
        <v>405</v>
      </c>
      <c r="D19" s="30">
        <f>T8</f>
        <v>0</v>
      </c>
      <c r="H19" s="27"/>
      <c r="I19" s="177" t="s">
        <v>127</v>
      </c>
      <c r="J19" s="1194"/>
      <c r="K19" s="1107"/>
      <c r="L19" s="198" t="s">
        <v>157</v>
      </c>
      <c r="V19" s="185"/>
    </row>
    <row r="20" spans="1:22" ht="18" customHeight="1">
      <c r="A20" s="184"/>
      <c r="B20" s="96" t="s">
        <v>405</v>
      </c>
      <c r="D20" s="30">
        <f>T9</f>
        <v>0</v>
      </c>
      <c r="E20" s="14"/>
      <c r="G20" s="199"/>
      <c r="H20" s="27"/>
      <c r="I20" s="177" t="s">
        <v>127</v>
      </c>
      <c r="J20" s="1108"/>
      <c r="K20" s="788"/>
      <c r="L20" s="202" t="s">
        <v>157</v>
      </c>
      <c r="N20" s="27" t="s">
        <v>408</v>
      </c>
      <c r="O20" s="27" t="s">
        <v>127</v>
      </c>
      <c r="P20" s="27" t="s">
        <v>409</v>
      </c>
      <c r="Q20" s="191" t="s">
        <v>410</v>
      </c>
      <c r="R20" s="27" t="s">
        <v>411</v>
      </c>
      <c r="S20" s="27" t="s">
        <v>315</v>
      </c>
      <c r="T20" s="27" t="s">
        <v>411</v>
      </c>
      <c r="U20" s="30" t="s">
        <v>350</v>
      </c>
      <c r="V20" s="185"/>
    </row>
    <row r="21" spans="1:22" ht="18" customHeight="1">
      <c r="A21" s="184"/>
      <c r="B21" s="184" t="s">
        <v>412</v>
      </c>
      <c r="H21" s="27" t="s">
        <v>599</v>
      </c>
      <c r="I21" s="177" t="s">
        <v>127</v>
      </c>
      <c r="J21" s="793">
        <f>'CT-VT Burdens'!S30</f>
        <v>1.1667743100000001</v>
      </c>
      <c r="K21" s="1156"/>
      <c r="L21" s="203" t="s">
        <v>157</v>
      </c>
      <c r="O21" s="27" t="s">
        <v>127</v>
      </c>
      <c r="P21" s="204">
        <f>J22</f>
        <v>1.1867743100000001</v>
      </c>
      <c r="Q21" s="191" t="s">
        <v>410</v>
      </c>
      <c r="R21" s="27">
        <f>O10</f>
        <v>1</v>
      </c>
      <c r="S21" s="27" t="s">
        <v>315</v>
      </c>
      <c r="T21" s="27">
        <f>O10</f>
        <v>1</v>
      </c>
      <c r="U21" s="30" t="s">
        <v>350</v>
      </c>
      <c r="V21" s="185"/>
    </row>
    <row r="22" spans="1:22" ht="18" customHeight="1">
      <c r="A22" s="184"/>
      <c r="B22" s="205" t="s">
        <v>413</v>
      </c>
      <c r="C22" s="206"/>
      <c r="D22" s="206"/>
      <c r="E22" s="206"/>
      <c r="F22" s="207"/>
      <c r="G22" s="207"/>
      <c r="H22" s="190" t="s">
        <v>409</v>
      </c>
      <c r="I22" s="208" t="s">
        <v>127</v>
      </c>
      <c r="J22" s="766">
        <f>J18+J21</f>
        <v>1.1867743100000001</v>
      </c>
      <c r="K22" s="958"/>
      <c r="L22" s="210" t="s">
        <v>157</v>
      </c>
      <c r="O22" s="27" t="s">
        <v>127</v>
      </c>
      <c r="P22" s="795">
        <f>P21/(R21*T21)</f>
        <v>1.1867743100000001</v>
      </c>
      <c r="Q22" s="795"/>
      <c r="R22" s="192" t="s">
        <v>333</v>
      </c>
      <c r="V22" s="185"/>
    </row>
    <row r="23" spans="1:22" ht="18" customHeight="1">
      <c r="A23" s="184"/>
      <c r="V23" s="185"/>
    </row>
    <row r="24" spans="1:22" s="14" customFormat="1" ht="18" customHeight="1">
      <c r="A24" s="193" t="s">
        <v>600</v>
      </c>
      <c r="B24" s="5"/>
      <c r="C24" s="5"/>
      <c r="D24" s="5"/>
      <c r="E24" s="5"/>
      <c r="F24" s="5"/>
      <c r="G24" s="5"/>
      <c r="H24" s="212"/>
      <c r="I24" s="212"/>
      <c r="J24" s="5"/>
      <c r="K24" s="5"/>
      <c r="L24" s="5"/>
      <c r="M24" s="5"/>
      <c r="N24" s="5"/>
      <c r="O24" s="5"/>
      <c r="P24" s="103"/>
      <c r="Q24" s="212"/>
      <c r="R24" s="213"/>
      <c r="S24" s="214"/>
      <c r="T24" s="18"/>
      <c r="U24" s="18"/>
      <c r="V24" s="97"/>
    </row>
    <row r="25" spans="1:22" s="14" customFormat="1" ht="18" customHeight="1">
      <c r="A25" s="96"/>
      <c r="B25" s="47" t="s">
        <v>601</v>
      </c>
      <c r="C25" s="5"/>
      <c r="D25" s="5"/>
      <c r="E25" s="5"/>
      <c r="I25" s="215"/>
      <c r="M25" s="5"/>
      <c r="O25" s="103" t="s">
        <v>127</v>
      </c>
      <c r="P25" s="743">
        <v>100</v>
      </c>
      <c r="Q25" s="1303"/>
      <c r="R25" s="14" t="s">
        <v>602</v>
      </c>
      <c r="S25" s="214"/>
      <c r="T25" s="18"/>
      <c r="U25" s="18"/>
      <c r="V25" s="97"/>
    </row>
    <row r="26" spans="1:22" s="14" customFormat="1" ht="18" customHeight="1">
      <c r="A26" s="96"/>
      <c r="B26" s="47" t="s">
        <v>603</v>
      </c>
      <c r="C26" s="5"/>
      <c r="D26" s="5"/>
      <c r="E26" s="5"/>
      <c r="I26" s="215"/>
      <c r="M26" s="5"/>
      <c r="O26" s="103" t="s">
        <v>127</v>
      </c>
      <c r="P26" s="743">
        <v>25</v>
      </c>
      <c r="Q26" s="1303"/>
      <c r="R26" s="14" t="s">
        <v>604</v>
      </c>
      <c r="S26" s="214"/>
      <c r="T26" s="18"/>
      <c r="V26" s="97"/>
    </row>
    <row r="27" spans="1:22" s="14" customFormat="1" ht="18" customHeight="1">
      <c r="A27" s="96"/>
      <c r="B27" s="47" t="s">
        <v>605</v>
      </c>
      <c r="C27" s="5"/>
      <c r="D27" s="5"/>
      <c r="E27" s="5"/>
      <c r="N27" s="120" t="s">
        <v>606</v>
      </c>
      <c r="O27" s="103" t="s">
        <v>607</v>
      </c>
      <c r="P27" s="854">
        <v>132</v>
      </c>
      <c r="Q27" s="1270"/>
      <c r="R27" s="14" t="s">
        <v>163</v>
      </c>
      <c r="S27" s="214"/>
      <c r="T27" s="18"/>
      <c r="U27" s="18"/>
      <c r="V27" s="97"/>
    </row>
    <row r="28" spans="1:22" s="14" customFormat="1" ht="18" customHeight="1">
      <c r="A28" s="216"/>
      <c r="B28" s="212"/>
      <c r="C28" s="212"/>
      <c r="D28" s="212"/>
      <c r="E28" s="212"/>
      <c r="T28" s="18"/>
      <c r="U28" s="18"/>
      <c r="V28" s="97"/>
    </row>
    <row r="29" spans="1:22" s="14" customFormat="1" ht="18" customHeight="1">
      <c r="A29" s="96"/>
      <c r="B29" s="14" t="s">
        <v>608</v>
      </c>
      <c r="C29" s="213"/>
      <c r="D29" s="213"/>
      <c r="E29" s="213"/>
      <c r="H29" s="120" t="s">
        <v>609</v>
      </c>
      <c r="I29" s="28" t="s">
        <v>127</v>
      </c>
      <c r="J29" s="689" t="s">
        <v>610</v>
      </c>
      <c r="K29" s="689"/>
      <c r="L29" s="28" t="s">
        <v>315</v>
      </c>
      <c r="M29" s="217">
        <v>1000</v>
      </c>
      <c r="N29" s="102" t="s">
        <v>342</v>
      </c>
      <c r="O29" s="28" t="s">
        <v>611</v>
      </c>
      <c r="P29" s="28" t="s">
        <v>315</v>
      </c>
      <c r="Q29" s="28" t="s">
        <v>606</v>
      </c>
      <c r="R29" s="47"/>
      <c r="T29" s="18"/>
      <c r="U29" s="18"/>
      <c r="V29" s="97"/>
    </row>
    <row r="30" spans="1:22" s="14" customFormat="1" ht="18" customHeight="1">
      <c r="A30" s="216"/>
      <c r="B30" s="213"/>
      <c r="C30" s="213"/>
      <c r="D30" s="213"/>
      <c r="E30" s="213"/>
      <c r="F30" s="212"/>
      <c r="G30" s="212"/>
      <c r="H30" s="28"/>
      <c r="I30" s="28" t="s">
        <v>127</v>
      </c>
      <c r="J30" s="689">
        <f>P25</f>
        <v>100</v>
      </c>
      <c r="K30" s="689"/>
      <c r="L30" s="28" t="s">
        <v>315</v>
      </c>
      <c r="M30" s="217">
        <v>1000</v>
      </c>
      <c r="N30" s="102" t="s">
        <v>342</v>
      </c>
      <c r="O30" s="28" t="s">
        <v>611</v>
      </c>
      <c r="P30" s="28" t="s">
        <v>315</v>
      </c>
      <c r="Q30" s="28">
        <f>P27</f>
        <v>132</v>
      </c>
      <c r="R30" s="47"/>
      <c r="T30" s="18"/>
      <c r="U30" s="18"/>
      <c r="V30" s="97"/>
    </row>
    <row r="31" spans="1:22" s="14" customFormat="1" ht="18" customHeight="1">
      <c r="A31" s="216"/>
      <c r="B31" s="212"/>
      <c r="C31" s="212"/>
      <c r="D31" s="212"/>
      <c r="E31" s="212"/>
      <c r="F31" s="212"/>
      <c r="G31" s="212"/>
      <c r="I31" s="28" t="s">
        <v>127</v>
      </c>
      <c r="J31" s="692">
        <f>(P25*1000)/(SQRT(3)*P27)</f>
        <v>437.38656756789834</v>
      </c>
      <c r="K31" s="692"/>
      <c r="L31" s="14" t="s">
        <v>8</v>
      </c>
      <c r="M31" s="120"/>
      <c r="N31" s="120"/>
      <c r="O31" s="120"/>
      <c r="T31" s="18"/>
      <c r="U31" s="18"/>
      <c r="V31" s="97"/>
    </row>
    <row r="32" spans="1:22" s="14" customFormat="1" ht="18" customHeight="1">
      <c r="A32" s="216"/>
      <c r="B32" s="212"/>
      <c r="C32" s="212"/>
      <c r="D32" s="212"/>
      <c r="E32" s="212"/>
      <c r="G32" s="212"/>
      <c r="H32" s="28"/>
      <c r="I32" s="103"/>
      <c r="J32" s="28"/>
      <c r="M32" s="212"/>
      <c r="N32" s="219"/>
      <c r="O32" s="212"/>
      <c r="T32" s="18"/>
      <c r="U32" s="18"/>
      <c r="V32" s="97"/>
    </row>
    <row r="33" spans="1:25" s="14" customFormat="1" ht="18" customHeight="1">
      <c r="A33" s="147"/>
      <c r="B33" s="5"/>
      <c r="C33" s="5"/>
      <c r="D33" s="5"/>
      <c r="E33" s="5"/>
      <c r="F33" s="212"/>
      <c r="G33" s="212"/>
      <c r="H33" s="5"/>
      <c r="I33" s="5"/>
      <c r="J33" s="5"/>
      <c r="K33" s="5"/>
      <c r="L33" s="103"/>
      <c r="M33" s="103"/>
      <c r="N33" s="103"/>
      <c r="O33" s="103"/>
      <c r="P33" s="212"/>
      <c r="Q33" s="213"/>
      <c r="U33" s="18"/>
      <c r="V33" s="97"/>
    </row>
    <row r="34" spans="1:25" s="14" customFormat="1" ht="18" customHeight="1">
      <c r="A34" s="147"/>
      <c r="B34" s="5"/>
      <c r="C34" s="5"/>
      <c r="D34" s="5"/>
      <c r="E34" s="5"/>
      <c r="F34" s="212"/>
      <c r="G34" s="212"/>
      <c r="H34" s="5"/>
      <c r="I34" s="5"/>
      <c r="J34" s="5"/>
      <c r="K34" s="5"/>
      <c r="L34" s="103"/>
      <c r="M34" s="103"/>
      <c r="N34" s="103"/>
      <c r="O34" s="103"/>
      <c r="P34" s="212"/>
      <c r="Q34" s="213"/>
      <c r="S34" s="214"/>
      <c r="T34" s="18"/>
      <c r="U34" s="18"/>
      <c r="V34" s="97"/>
    </row>
    <row r="35" spans="1:25" ht="18" customHeight="1">
      <c r="A35" s="184"/>
      <c r="B35" s="14" t="s">
        <v>612</v>
      </c>
      <c r="C35" s="14"/>
      <c r="D35" s="14"/>
      <c r="E35" s="14"/>
      <c r="M35" s="28" t="s">
        <v>613</v>
      </c>
      <c r="N35" s="28" t="s">
        <v>127</v>
      </c>
      <c r="O35" s="689" t="s">
        <v>609</v>
      </c>
      <c r="P35" s="689"/>
      <c r="Q35" s="245" t="s">
        <v>342</v>
      </c>
      <c r="R35" s="805" t="str">
        <f>B26</f>
        <v>Percentage Impedance</v>
      </c>
      <c r="S35" s="805"/>
      <c r="T35" s="805"/>
      <c r="U35" s="805"/>
      <c r="V35" s="968"/>
    </row>
    <row r="36" spans="1:25" ht="18" customHeight="1">
      <c r="A36" s="96"/>
      <c r="B36" s="5"/>
      <c r="C36" s="5"/>
      <c r="D36" s="5"/>
      <c r="E36" s="5"/>
      <c r="M36" s="102"/>
      <c r="N36" s="28" t="s">
        <v>127</v>
      </c>
      <c r="O36" s="692">
        <f>+J31</f>
        <v>437.38656756789834</v>
      </c>
      <c r="P36" s="692"/>
      <c r="Q36" s="245" t="s">
        <v>342</v>
      </c>
      <c r="R36" s="221">
        <f>P26%</f>
        <v>0.25</v>
      </c>
      <c r="S36" s="214"/>
      <c r="V36" s="185"/>
    </row>
    <row r="37" spans="1:25" ht="18" customHeight="1">
      <c r="A37" s="96"/>
      <c r="B37" s="5"/>
      <c r="C37" s="5"/>
      <c r="D37" s="5"/>
      <c r="E37" s="5"/>
      <c r="M37" s="28" t="s">
        <v>613</v>
      </c>
      <c r="N37" s="28" t="s">
        <v>127</v>
      </c>
      <c r="O37" s="692">
        <f>O36/R36</f>
        <v>1749.5462702715934</v>
      </c>
      <c r="P37" s="692"/>
      <c r="Q37" s="222" t="s">
        <v>8</v>
      </c>
      <c r="R37" s="28"/>
      <c r="S37" s="214"/>
      <c r="V37" s="185"/>
    </row>
    <row r="38" spans="1:25" ht="18" customHeight="1">
      <c r="A38" s="96"/>
      <c r="B38" s="5"/>
      <c r="C38" s="5"/>
      <c r="D38" s="5"/>
      <c r="E38" s="5"/>
      <c r="M38" s="212"/>
      <c r="N38" s="212"/>
      <c r="O38" s="103"/>
      <c r="Q38" s="223"/>
      <c r="R38" s="14"/>
      <c r="S38" s="214"/>
      <c r="V38" s="185"/>
    </row>
    <row r="39" spans="1:25" ht="18" customHeight="1">
      <c r="A39" s="1206" t="s">
        <v>614</v>
      </c>
      <c r="B39" s="1255"/>
      <c r="C39" s="1255"/>
      <c r="D39" s="1255"/>
      <c r="E39" s="1255"/>
      <c r="F39" s="1255"/>
      <c r="G39" s="1255"/>
      <c r="H39" s="1255"/>
      <c r="I39" s="1255"/>
      <c r="J39" s="1255"/>
      <c r="K39" s="1255"/>
      <c r="L39" s="1255"/>
      <c r="M39" s="1255"/>
      <c r="N39" s="1255"/>
      <c r="O39" s="1255"/>
      <c r="P39" s="1255"/>
      <c r="Q39" s="1255"/>
      <c r="R39" s="1255"/>
      <c r="S39" s="1255"/>
      <c r="T39" s="1255"/>
      <c r="U39" s="1255"/>
      <c r="V39" s="1256"/>
    </row>
    <row r="40" spans="1:25" ht="18" customHeight="1">
      <c r="A40" s="1206"/>
      <c r="B40" s="1255"/>
      <c r="C40" s="1255"/>
      <c r="D40" s="1255"/>
      <c r="E40" s="1255"/>
      <c r="F40" s="1255"/>
      <c r="G40" s="1255"/>
      <c r="H40" s="1255"/>
      <c r="I40" s="1255"/>
      <c r="J40" s="1255"/>
      <c r="K40" s="1255"/>
      <c r="L40" s="1255"/>
      <c r="M40" s="1255"/>
      <c r="N40" s="1255"/>
      <c r="O40" s="1255"/>
      <c r="P40" s="1255"/>
      <c r="Q40" s="1255"/>
      <c r="R40" s="1255"/>
      <c r="S40" s="1255"/>
      <c r="T40" s="1255"/>
      <c r="U40" s="1255"/>
      <c r="V40" s="1256"/>
      <c r="Y40" s="14" t="s">
        <v>615</v>
      </c>
    </row>
    <row r="41" spans="1:25" ht="18" customHeight="1">
      <c r="A41" s="96"/>
      <c r="B41" s="5"/>
      <c r="C41" s="5"/>
      <c r="D41" s="5"/>
      <c r="E41" s="5"/>
      <c r="M41" s="212"/>
      <c r="N41" s="212"/>
      <c r="O41" s="103"/>
      <c r="Q41" s="223"/>
      <c r="R41" s="14"/>
      <c r="S41" s="214"/>
      <c r="V41" s="185"/>
    </row>
    <row r="42" spans="1:25" ht="18" customHeight="1">
      <c r="A42" s="96"/>
      <c r="B42" s="5"/>
      <c r="C42" s="5"/>
      <c r="D42" s="5"/>
      <c r="E42" s="5"/>
      <c r="M42" s="212"/>
      <c r="N42" s="212"/>
      <c r="O42" s="103"/>
      <c r="Q42" s="223"/>
      <c r="R42" s="14"/>
      <c r="S42" s="214"/>
      <c r="V42" s="185"/>
    </row>
    <row r="43" spans="1:25" ht="18" customHeight="1">
      <c r="A43" s="184"/>
      <c r="V43" s="185"/>
    </row>
    <row r="44" spans="1:25" ht="18" customHeight="1">
      <c r="A44" s="184"/>
      <c r="I44" s="14"/>
      <c r="J44" s="14"/>
      <c r="V44" s="185"/>
    </row>
    <row r="45" spans="1:25"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799" t="s">
        <v>417</v>
      </c>
      <c r="B47" s="802"/>
      <c r="C47" s="802"/>
      <c r="D47" s="689">
        <v>30</v>
      </c>
      <c r="E47" s="689" t="s">
        <v>315</v>
      </c>
      <c r="F47" s="689" t="s">
        <v>609</v>
      </c>
      <c r="G47" s="684"/>
      <c r="H47" s="689" t="s">
        <v>315</v>
      </c>
      <c r="I47" s="708" t="s">
        <v>411</v>
      </c>
      <c r="J47" s="828"/>
      <c r="K47" s="689" t="s">
        <v>315</v>
      </c>
      <c r="L47" s="802" t="s">
        <v>419</v>
      </c>
      <c r="M47" s="716" t="s">
        <v>420</v>
      </c>
      <c r="N47" s="729" t="s">
        <v>347</v>
      </c>
      <c r="O47" s="716" t="s">
        <v>408</v>
      </c>
      <c r="P47" s="689" t="s">
        <v>347</v>
      </c>
      <c r="Q47" s="759" t="s">
        <v>421</v>
      </c>
      <c r="R47" s="797"/>
      <c r="S47" s="797"/>
      <c r="T47" s="798" t="s">
        <v>350</v>
      </c>
      <c r="U47" s="230" t="s">
        <v>422</v>
      </c>
      <c r="V47" s="97"/>
    </row>
    <row r="48" spans="1:25" ht="18" customHeight="1">
      <c r="A48" s="827"/>
      <c r="B48" s="802"/>
      <c r="C48" s="802"/>
      <c r="D48" s="689"/>
      <c r="E48" s="689"/>
      <c r="F48" s="684"/>
      <c r="G48" s="684"/>
      <c r="H48" s="689"/>
      <c r="I48" s="689" t="s">
        <v>423</v>
      </c>
      <c r="J48" s="723"/>
      <c r="K48" s="689"/>
      <c r="L48" s="802"/>
      <c r="M48" s="716"/>
      <c r="N48" s="729"/>
      <c r="O48" s="716"/>
      <c r="P48" s="689"/>
      <c r="Q48" s="28" t="s">
        <v>146</v>
      </c>
      <c r="R48" s="28" t="s">
        <v>315</v>
      </c>
      <c r="S48" s="28" t="s">
        <v>146</v>
      </c>
      <c r="T48" s="798"/>
      <c r="U48" s="14"/>
      <c r="V48" s="97"/>
    </row>
    <row r="49" spans="1:22" ht="18" customHeight="1">
      <c r="A49" s="184"/>
      <c r="V49" s="185"/>
    </row>
    <row r="50" spans="1:22" ht="18" customHeight="1">
      <c r="A50" s="799" t="s">
        <v>417</v>
      </c>
      <c r="B50" s="802"/>
      <c r="C50" s="802"/>
      <c r="D50" s="689">
        <v>2</v>
      </c>
      <c r="E50" s="689" t="s">
        <v>315</v>
      </c>
      <c r="F50" s="689" t="s">
        <v>613</v>
      </c>
      <c r="G50" s="684"/>
      <c r="H50" s="689" t="s">
        <v>315</v>
      </c>
      <c r="I50" s="708" t="s">
        <v>411</v>
      </c>
      <c r="J50" s="828"/>
      <c r="K50" s="689" t="s">
        <v>315</v>
      </c>
      <c r="L50" s="802" t="s">
        <v>419</v>
      </c>
      <c r="M50" s="716" t="s">
        <v>420</v>
      </c>
      <c r="N50" s="729" t="s">
        <v>347</v>
      </c>
      <c r="O50" s="716" t="s">
        <v>408</v>
      </c>
      <c r="P50" s="689" t="s">
        <v>347</v>
      </c>
      <c r="Q50" s="759" t="s">
        <v>421</v>
      </c>
      <c r="R50" s="797"/>
      <c r="S50" s="797"/>
      <c r="T50" s="798" t="s">
        <v>350</v>
      </c>
      <c r="U50" s="230" t="s">
        <v>426</v>
      </c>
      <c r="V50" s="97"/>
    </row>
    <row r="51" spans="1:22" ht="18" customHeight="1">
      <c r="A51" s="827"/>
      <c r="B51" s="802"/>
      <c r="C51" s="802"/>
      <c r="D51" s="689"/>
      <c r="E51" s="689"/>
      <c r="F51" s="684"/>
      <c r="G51" s="684"/>
      <c r="H51" s="689"/>
      <c r="I51" s="689" t="s">
        <v>423</v>
      </c>
      <c r="J51" s="723"/>
      <c r="K51" s="689"/>
      <c r="L51" s="802"/>
      <c r="M51" s="716"/>
      <c r="N51" s="729"/>
      <c r="O51" s="716"/>
      <c r="P51" s="689"/>
      <c r="Q51" s="28" t="s">
        <v>146</v>
      </c>
      <c r="R51" s="28" t="s">
        <v>315</v>
      </c>
      <c r="S51" s="28" t="s">
        <v>146</v>
      </c>
      <c r="T51" s="798"/>
      <c r="U51" s="14"/>
      <c r="V51" s="97"/>
    </row>
    <row r="52" spans="1:22" ht="18" customHeight="1">
      <c r="A52" s="184"/>
      <c r="V52" s="185"/>
    </row>
    <row r="53" spans="1:22" ht="18" hidden="1" customHeight="1">
      <c r="A53" s="1206" t="s">
        <v>616</v>
      </c>
      <c r="B53" s="1050"/>
      <c r="C53" s="1050"/>
      <c r="D53" s="1050"/>
      <c r="E53" s="1050"/>
      <c r="F53" s="1050"/>
      <c r="G53" s="1050"/>
      <c r="H53" s="1050"/>
      <c r="I53" s="1050"/>
      <c r="J53" s="1050"/>
      <c r="K53" s="1050"/>
      <c r="L53" s="1050"/>
      <c r="M53" s="1050"/>
      <c r="N53" s="1050"/>
      <c r="O53" s="1050"/>
      <c r="P53" s="1050"/>
      <c r="Q53" s="1050"/>
      <c r="R53" s="1050"/>
      <c r="S53" s="1050"/>
      <c r="T53" s="1050"/>
      <c r="U53" s="1050"/>
      <c r="V53" s="1304"/>
    </row>
    <row r="54" spans="1:22" ht="25.95" hidden="1" customHeight="1">
      <c r="A54" s="1305"/>
      <c r="B54" s="1050"/>
      <c r="C54" s="1050"/>
      <c r="D54" s="1050"/>
      <c r="E54" s="1050"/>
      <c r="F54" s="1050"/>
      <c r="G54" s="1050"/>
      <c r="H54" s="1050"/>
      <c r="I54" s="1050"/>
      <c r="J54" s="1050"/>
      <c r="K54" s="1050"/>
      <c r="L54" s="1050"/>
      <c r="M54" s="1050"/>
      <c r="N54" s="1050"/>
      <c r="O54" s="1050"/>
      <c r="P54" s="1050"/>
      <c r="Q54" s="1050"/>
      <c r="R54" s="1050"/>
      <c r="S54" s="1050"/>
      <c r="T54" s="1050"/>
      <c r="U54" s="1050"/>
      <c r="V54" s="1304"/>
    </row>
    <row r="55" spans="1:22" ht="18" hidden="1" customHeight="1">
      <c r="A55" s="231"/>
      <c r="B55" s="232"/>
      <c r="C55" s="232"/>
      <c r="D55" s="232"/>
      <c r="E55" s="232"/>
      <c r="F55" s="232"/>
      <c r="G55" s="232"/>
      <c r="H55" s="232"/>
      <c r="I55" s="232"/>
      <c r="J55" s="232"/>
      <c r="K55" s="232"/>
      <c r="L55" s="232"/>
      <c r="M55" s="232"/>
      <c r="N55" s="232"/>
      <c r="O55" s="232"/>
      <c r="P55" s="232"/>
      <c r="Q55" s="232"/>
      <c r="R55" s="232"/>
      <c r="S55" s="232"/>
      <c r="T55" s="232"/>
      <c r="U55" s="232"/>
      <c r="V55" s="233"/>
    </row>
    <row r="56" spans="1:22" ht="18" hidden="1" customHeight="1">
      <c r="A56" s="1257" t="s">
        <v>417</v>
      </c>
      <c r="B56" s="716"/>
      <c r="C56" s="716"/>
      <c r="D56" s="689"/>
      <c r="E56" s="689"/>
      <c r="F56" s="689" t="s">
        <v>617</v>
      </c>
      <c r="G56" s="684"/>
      <c r="H56" s="689" t="s">
        <v>315</v>
      </c>
      <c r="I56" s="708" t="s">
        <v>411</v>
      </c>
      <c r="J56" s="828"/>
      <c r="K56" s="689" t="s">
        <v>315</v>
      </c>
      <c r="L56" s="802" t="s">
        <v>419</v>
      </c>
      <c r="M56" s="716" t="s">
        <v>420</v>
      </c>
      <c r="N56" s="729" t="s">
        <v>347</v>
      </c>
      <c r="O56" s="716" t="s">
        <v>408</v>
      </c>
      <c r="P56" s="689" t="s">
        <v>347</v>
      </c>
      <c r="Q56" s="759" t="s">
        <v>421</v>
      </c>
      <c r="R56" s="797"/>
      <c r="S56" s="797"/>
      <c r="T56" s="798" t="s">
        <v>350</v>
      </c>
      <c r="U56" s="230" t="s">
        <v>618</v>
      </c>
      <c r="V56" s="97"/>
    </row>
    <row r="57" spans="1:22" ht="18" hidden="1" customHeight="1">
      <c r="A57" s="1140"/>
      <c r="B57" s="716"/>
      <c r="C57" s="716"/>
      <c r="D57" s="689"/>
      <c r="E57" s="689"/>
      <c r="F57" s="684"/>
      <c r="G57" s="684"/>
      <c r="H57" s="689"/>
      <c r="I57" s="689" t="s">
        <v>423</v>
      </c>
      <c r="J57" s="723"/>
      <c r="K57" s="689"/>
      <c r="L57" s="802"/>
      <c r="M57" s="716"/>
      <c r="N57" s="729"/>
      <c r="O57" s="716"/>
      <c r="P57" s="689"/>
      <c r="Q57" s="28" t="s">
        <v>146</v>
      </c>
      <c r="R57" s="28" t="s">
        <v>315</v>
      </c>
      <c r="S57" s="28" t="s">
        <v>146</v>
      </c>
      <c r="T57" s="798"/>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84"/>
      <c r="H59" s="30" t="s">
        <v>619</v>
      </c>
      <c r="M59" s="781" t="s">
        <v>620</v>
      </c>
      <c r="N59" s="782"/>
      <c r="V59" s="185"/>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84"/>
      <c r="B61" s="14" t="s">
        <v>427</v>
      </c>
      <c r="C61" s="14"/>
      <c r="D61" s="103"/>
      <c r="E61" s="103"/>
      <c r="F61" s="14"/>
      <c r="G61" s="14"/>
      <c r="H61" s="5"/>
      <c r="I61" s="5"/>
      <c r="J61" s="5"/>
      <c r="P61" s="120" t="s">
        <v>428</v>
      </c>
      <c r="V61" s="185"/>
    </row>
    <row r="62" spans="1:22" ht="18" customHeight="1">
      <c r="A62" s="184"/>
      <c r="B62" s="14" t="s">
        <v>429</v>
      </c>
      <c r="C62" s="14"/>
      <c r="D62" s="103"/>
      <c r="E62" s="103"/>
      <c r="F62" s="14"/>
      <c r="G62" s="14"/>
      <c r="H62" s="5"/>
      <c r="I62" s="5"/>
      <c r="J62" s="5"/>
      <c r="P62" s="120" t="s">
        <v>430</v>
      </c>
      <c r="Q62" s="234" t="s">
        <v>127</v>
      </c>
      <c r="R62" s="689">
        <f>H10</f>
        <v>1750</v>
      </c>
      <c r="S62" s="689"/>
      <c r="T62" s="14" t="s">
        <v>8</v>
      </c>
      <c r="V62" s="185"/>
    </row>
    <row r="63" spans="1:22" ht="18" customHeight="1">
      <c r="A63" s="184"/>
      <c r="B63" s="14" t="s">
        <v>621</v>
      </c>
      <c r="C63" s="14"/>
      <c r="D63" s="14"/>
      <c r="E63" s="14"/>
      <c r="F63" s="14"/>
      <c r="G63" s="14"/>
      <c r="H63" s="14"/>
      <c r="I63" s="14"/>
      <c r="J63" s="14"/>
      <c r="P63" s="120" t="s">
        <v>609</v>
      </c>
      <c r="Q63" s="234" t="s">
        <v>127</v>
      </c>
      <c r="R63" s="795">
        <f>J31</f>
        <v>437.38656756789834</v>
      </c>
      <c r="S63" s="684"/>
      <c r="T63" s="14" t="s">
        <v>8</v>
      </c>
      <c r="V63" s="185"/>
    </row>
    <row r="64" spans="1:22" ht="18" customHeight="1">
      <c r="A64" s="184"/>
      <c r="B64" s="14" t="s">
        <v>622</v>
      </c>
      <c r="C64" s="14"/>
      <c r="D64" s="14"/>
      <c r="E64" s="14"/>
      <c r="F64" s="14"/>
      <c r="G64" s="14"/>
      <c r="H64" s="14"/>
      <c r="I64" s="14"/>
      <c r="J64" s="14"/>
      <c r="P64" s="120" t="s">
        <v>613</v>
      </c>
      <c r="Q64" s="234" t="s">
        <v>127</v>
      </c>
      <c r="R64" s="795">
        <f>O37</f>
        <v>1749.5462702715934</v>
      </c>
      <c r="S64" s="684"/>
      <c r="T64" s="14" t="s">
        <v>8</v>
      </c>
      <c r="V64" s="185"/>
    </row>
    <row r="65" spans="1:22" ht="18" hidden="1" customHeight="1">
      <c r="A65" s="184"/>
      <c r="B65" s="235" t="s">
        <v>623</v>
      </c>
      <c r="C65" s="14"/>
      <c r="D65" s="14"/>
      <c r="E65" s="14"/>
      <c r="F65" s="14"/>
      <c r="G65" s="14"/>
      <c r="H65" s="14"/>
      <c r="I65" s="14"/>
      <c r="J65" s="14"/>
      <c r="P65" s="120"/>
      <c r="Q65" s="236"/>
      <c r="R65" s="27"/>
      <c r="S65" s="27"/>
      <c r="T65" s="14"/>
      <c r="V65" s="185"/>
    </row>
    <row r="66" spans="1:22" ht="18" hidden="1" customHeight="1">
      <c r="A66" s="184"/>
      <c r="B66" s="14" t="s">
        <v>622</v>
      </c>
      <c r="C66" s="14"/>
      <c r="D66" s="14"/>
      <c r="E66" s="14"/>
      <c r="F66" s="14"/>
      <c r="G66" s="14"/>
      <c r="H66" s="14"/>
      <c r="I66" s="14"/>
      <c r="J66" s="14"/>
      <c r="P66" s="120" t="s">
        <v>617</v>
      </c>
      <c r="Q66" s="234" t="s">
        <v>127</v>
      </c>
      <c r="R66" s="684" t="str">
        <f>IF(M59="Y",'[2]Parameters &amp; Fault Cal.'!Q31,"-")</f>
        <v>-</v>
      </c>
      <c r="S66" s="684"/>
      <c r="T66" s="14" t="s">
        <v>8</v>
      </c>
      <c r="V66" s="185"/>
    </row>
    <row r="67" spans="1:22" ht="18" hidden="1" customHeight="1">
      <c r="A67" s="184"/>
      <c r="B67" s="235" t="s">
        <v>624</v>
      </c>
      <c r="C67" s="14"/>
      <c r="D67" s="14"/>
      <c r="E67" s="14"/>
      <c r="F67" s="14"/>
      <c r="G67" s="14"/>
      <c r="H67" s="14"/>
      <c r="I67" s="14"/>
      <c r="J67" s="14"/>
      <c r="R67" s="27"/>
      <c r="S67" s="27"/>
      <c r="T67" s="14"/>
      <c r="V67" s="185"/>
    </row>
    <row r="68" spans="1:22" ht="18" customHeight="1">
      <c r="A68" s="184"/>
      <c r="B68" s="14" t="s">
        <v>435</v>
      </c>
      <c r="C68" s="14"/>
      <c r="D68" s="103"/>
      <c r="E68" s="103"/>
      <c r="F68" s="14"/>
      <c r="G68" s="14"/>
      <c r="H68" s="5"/>
      <c r="I68" s="5"/>
      <c r="J68" s="5"/>
      <c r="P68" s="120" t="s">
        <v>436</v>
      </c>
      <c r="Q68" s="234" t="s">
        <v>127</v>
      </c>
      <c r="R68" s="684">
        <f>O10</f>
        <v>1</v>
      </c>
      <c r="S68" s="684"/>
      <c r="T68" s="14" t="s">
        <v>8</v>
      </c>
      <c r="V68" s="185"/>
    </row>
    <row r="69" spans="1:22" ht="18" customHeight="1">
      <c r="A69" s="184"/>
      <c r="B69" s="14" t="s">
        <v>437</v>
      </c>
      <c r="C69" s="14"/>
      <c r="D69" s="103"/>
      <c r="E69" s="103"/>
      <c r="F69" s="14"/>
      <c r="G69" s="14"/>
      <c r="H69" s="5"/>
      <c r="I69" s="5"/>
      <c r="J69" s="5"/>
      <c r="P69" s="120" t="s">
        <v>438</v>
      </c>
      <c r="Q69" s="234" t="s">
        <v>127</v>
      </c>
      <c r="R69" s="684">
        <f>'CT-VT Burdens'!S18</f>
        <v>1</v>
      </c>
      <c r="S69" s="684"/>
      <c r="T69" s="14" t="s">
        <v>8</v>
      </c>
      <c r="V69" s="185"/>
    </row>
    <row r="70" spans="1:22" ht="18" customHeight="1">
      <c r="A70" s="184"/>
      <c r="B70" s="14" t="s">
        <v>439</v>
      </c>
      <c r="C70" s="14"/>
      <c r="D70" s="103"/>
      <c r="E70" s="103"/>
      <c r="F70" s="14"/>
      <c r="G70" s="14"/>
      <c r="H70" s="5"/>
      <c r="I70" s="5"/>
      <c r="J70" s="5"/>
      <c r="P70" s="120" t="s">
        <v>440</v>
      </c>
      <c r="Q70" s="234" t="s">
        <v>127</v>
      </c>
      <c r="R70" s="684">
        <f>H12</f>
        <v>5</v>
      </c>
      <c r="S70" s="684"/>
      <c r="T70" s="192" t="s">
        <v>333</v>
      </c>
      <c r="V70" s="185"/>
    </row>
    <row r="71" spans="1:22" ht="18" customHeight="1">
      <c r="A71" s="184"/>
      <c r="B71" s="14" t="s">
        <v>625</v>
      </c>
      <c r="C71" s="14"/>
      <c r="D71" s="14"/>
      <c r="E71" s="14"/>
      <c r="F71" s="14"/>
      <c r="G71" s="14"/>
      <c r="H71" s="14"/>
      <c r="I71" s="14"/>
      <c r="J71" s="14"/>
      <c r="P71" s="237" t="s">
        <v>441</v>
      </c>
      <c r="Q71" s="234" t="s">
        <v>127</v>
      </c>
      <c r="R71" s="795">
        <f>P22</f>
        <v>1.1867743100000001</v>
      </c>
      <c r="S71" s="684"/>
      <c r="T71" s="192" t="s">
        <v>333</v>
      </c>
      <c r="V71" s="185"/>
    </row>
    <row r="72" spans="1:22" ht="18" customHeight="1">
      <c r="A72" s="184"/>
      <c r="B72" s="40" t="s">
        <v>626</v>
      </c>
      <c r="C72" s="14"/>
      <c r="D72" s="14"/>
      <c r="E72" s="14"/>
      <c r="F72" s="14"/>
      <c r="G72" s="14"/>
      <c r="H72" s="5"/>
      <c r="I72" s="5"/>
      <c r="J72" s="5"/>
      <c r="P72" s="237" t="s">
        <v>443</v>
      </c>
      <c r="Q72" s="234" t="s">
        <v>127</v>
      </c>
      <c r="R72" s="795">
        <f>J18</f>
        <v>0.02</v>
      </c>
      <c r="S72" s="684"/>
      <c r="T72" s="14" t="s">
        <v>157</v>
      </c>
      <c r="V72" s="185"/>
    </row>
    <row r="73" spans="1:22" ht="18" customHeight="1">
      <c r="A73" s="184"/>
      <c r="V73" s="185"/>
    </row>
    <row r="74" spans="1:22" ht="18" customHeight="1">
      <c r="A74" s="799" t="s">
        <v>417</v>
      </c>
      <c r="B74" s="802"/>
      <c r="C74" s="802"/>
      <c r="D74" s="805">
        <v>30</v>
      </c>
      <c r="E74" s="805" t="s">
        <v>315</v>
      </c>
      <c r="F74" s="1184">
        <f>R63</f>
        <v>437.38656756789834</v>
      </c>
      <c r="G74" s="1111"/>
      <c r="H74" s="805" t="s">
        <v>315</v>
      </c>
      <c r="I74" s="822">
        <f>R68</f>
        <v>1</v>
      </c>
      <c r="J74" s="1269"/>
      <c r="K74" s="805" t="s">
        <v>315</v>
      </c>
      <c r="L74" s="815" t="s">
        <v>419</v>
      </c>
      <c r="M74" s="815">
        <f>R70</f>
        <v>5</v>
      </c>
      <c r="N74" s="816" t="s">
        <v>347</v>
      </c>
      <c r="O74" s="817">
        <f>R71</f>
        <v>1.1867743100000001</v>
      </c>
      <c r="P74" s="805" t="s">
        <v>347</v>
      </c>
      <c r="Q74" s="1259">
        <f>R72</f>
        <v>0.02</v>
      </c>
      <c r="R74" s="807"/>
      <c r="S74" s="807"/>
      <c r="T74" s="798" t="s">
        <v>350</v>
      </c>
      <c r="U74" s="230" t="s">
        <v>422</v>
      </c>
      <c r="V74" s="97"/>
    </row>
    <row r="75" spans="1:22" ht="18" customHeight="1">
      <c r="A75" s="827"/>
      <c r="B75" s="802"/>
      <c r="C75" s="802"/>
      <c r="D75" s="805"/>
      <c r="E75" s="805"/>
      <c r="F75" s="1111"/>
      <c r="G75" s="1111"/>
      <c r="H75" s="805"/>
      <c r="I75" s="805">
        <f>R62</f>
        <v>1750</v>
      </c>
      <c r="J75" s="1234"/>
      <c r="K75" s="805"/>
      <c r="L75" s="815"/>
      <c r="M75" s="815"/>
      <c r="N75" s="816"/>
      <c r="O75" s="815"/>
      <c r="P75" s="805"/>
      <c r="Q75" s="221">
        <f>R69</f>
        <v>1</v>
      </c>
      <c r="R75" s="221" t="s">
        <v>315</v>
      </c>
      <c r="S75" s="221">
        <f>R69</f>
        <v>1</v>
      </c>
      <c r="T75" s="798"/>
      <c r="U75" s="14"/>
      <c r="V75" s="97"/>
    </row>
    <row r="76" spans="1:22" ht="18" customHeight="1">
      <c r="A76" s="184"/>
      <c r="V76" s="185"/>
    </row>
    <row r="77" spans="1:22" ht="18" customHeight="1">
      <c r="A77" s="184"/>
      <c r="C77" s="30" t="s">
        <v>127</v>
      </c>
      <c r="D77" s="812">
        <f>D74*F74*(I74/I75)*(M74+O74+(Q74/(Q75*S75)))</f>
        <v>46.538737904905901</v>
      </c>
      <c r="E77" s="813"/>
      <c r="F77" s="30" t="s">
        <v>305</v>
      </c>
      <c r="V77" s="185"/>
    </row>
    <row r="78" spans="1:22" ht="18" customHeight="1">
      <c r="A78" s="184"/>
      <c r="V78" s="185"/>
    </row>
    <row r="79" spans="1:22" ht="18" customHeight="1">
      <c r="A79" s="799" t="s">
        <v>417</v>
      </c>
      <c r="B79" s="802"/>
      <c r="C79" s="802"/>
      <c r="D79" s="805">
        <v>2</v>
      </c>
      <c r="E79" s="805" t="s">
        <v>315</v>
      </c>
      <c r="F79" s="1184">
        <f>R64</f>
        <v>1749.5462702715934</v>
      </c>
      <c r="G79" s="1111"/>
      <c r="H79" s="805" t="s">
        <v>315</v>
      </c>
      <c r="I79" s="822">
        <f>R68</f>
        <v>1</v>
      </c>
      <c r="J79" s="1269"/>
      <c r="K79" s="805" t="s">
        <v>315</v>
      </c>
      <c r="L79" s="808" t="s">
        <v>419</v>
      </c>
      <c r="M79" s="815">
        <f>R70</f>
        <v>5</v>
      </c>
      <c r="N79" s="816" t="s">
        <v>347</v>
      </c>
      <c r="O79" s="817">
        <f>R71</f>
        <v>1.1867743100000001</v>
      </c>
      <c r="P79" s="805" t="s">
        <v>347</v>
      </c>
      <c r="Q79" s="1259">
        <f>R72</f>
        <v>0.02</v>
      </c>
      <c r="R79" s="807"/>
      <c r="S79" s="807"/>
      <c r="T79" s="798" t="s">
        <v>350</v>
      </c>
      <c r="U79" s="230" t="s">
        <v>426</v>
      </c>
      <c r="V79" s="97"/>
    </row>
    <row r="80" spans="1:22" ht="18" customHeight="1">
      <c r="A80" s="827"/>
      <c r="B80" s="802"/>
      <c r="C80" s="802"/>
      <c r="D80" s="805"/>
      <c r="E80" s="805"/>
      <c r="F80" s="1111"/>
      <c r="G80" s="1111"/>
      <c r="H80" s="805"/>
      <c r="I80" s="805">
        <f>R62</f>
        <v>1750</v>
      </c>
      <c r="J80" s="1234"/>
      <c r="K80" s="805"/>
      <c r="L80" s="808"/>
      <c r="M80" s="815"/>
      <c r="N80" s="816"/>
      <c r="O80" s="815"/>
      <c r="P80" s="805"/>
      <c r="Q80" s="221">
        <f>R69</f>
        <v>1</v>
      </c>
      <c r="R80" s="221" t="s">
        <v>315</v>
      </c>
      <c r="S80" s="221">
        <f>R69</f>
        <v>1</v>
      </c>
      <c r="T80" s="798"/>
      <c r="U80" s="14"/>
      <c r="V80" s="97"/>
    </row>
    <row r="81" spans="1:22" ht="18" customHeight="1">
      <c r="A81" s="184"/>
      <c r="L81" s="244"/>
      <c r="V81" s="185"/>
    </row>
    <row r="82" spans="1:22" ht="18" customHeight="1">
      <c r="A82" s="184"/>
      <c r="C82" s="30" t="s">
        <v>127</v>
      </c>
      <c r="D82" s="812">
        <f>D79*F79*(I79/I80)*(M79+O79+(Q79/(Q80*S80)))</f>
        <v>12.410330107974907</v>
      </c>
      <c r="E82" s="813"/>
      <c r="F82" s="30" t="s">
        <v>305</v>
      </c>
      <c r="L82" s="244"/>
      <c r="V82" s="185"/>
    </row>
    <row r="83" spans="1:22" ht="18" customHeight="1">
      <c r="A83" s="184"/>
      <c r="D83" s="211"/>
      <c r="E83" s="211"/>
      <c r="L83" s="244"/>
      <c r="V83" s="185"/>
    </row>
    <row r="84" spans="1:22" ht="18" customHeight="1">
      <c r="A84" s="184"/>
      <c r="D84" s="211"/>
      <c r="E84" s="211"/>
      <c r="L84" s="244"/>
      <c r="V84" s="185"/>
    </row>
    <row r="85" spans="1:22" ht="18" customHeight="1">
      <c r="A85" s="184"/>
      <c r="D85" s="211"/>
      <c r="E85" s="211"/>
      <c r="L85" s="244"/>
      <c r="V85" s="185"/>
    </row>
    <row r="86" spans="1:22" ht="18" customHeight="1">
      <c r="A86" s="184"/>
      <c r="D86" s="211"/>
      <c r="E86" s="211"/>
      <c r="L86" s="244"/>
      <c r="V86" s="185"/>
    </row>
    <row r="87" spans="1:22" ht="18" customHeight="1">
      <c r="A87" s="184"/>
      <c r="D87" s="211"/>
      <c r="E87" s="211"/>
      <c r="L87" s="244"/>
      <c r="V87" s="185"/>
    </row>
    <row r="88" spans="1:22" ht="18" customHeight="1">
      <c r="A88" s="184"/>
      <c r="D88" s="211"/>
      <c r="E88" s="211"/>
      <c r="L88" s="244"/>
      <c r="V88" s="185"/>
    </row>
    <row r="89" spans="1:22" ht="18" customHeight="1">
      <c r="A89" s="184"/>
      <c r="D89" s="211"/>
      <c r="E89" s="211"/>
      <c r="L89" s="244"/>
      <c r="V89" s="185"/>
    </row>
    <row r="90" spans="1:22" ht="18" customHeight="1">
      <c r="A90" s="184"/>
      <c r="D90" s="211"/>
      <c r="E90" s="211"/>
      <c r="L90" s="244"/>
      <c r="V90" s="185"/>
    </row>
    <row r="91" spans="1:22" ht="18" customHeight="1">
      <c r="A91" s="184"/>
      <c r="D91" s="211"/>
      <c r="E91" s="211"/>
      <c r="L91" s="244"/>
      <c r="V91" s="185"/>
    </row>
    <row r="92" spans="1:22" ht="18" customHeight="1">
      <c r="A92" s="184"/>
      <c r="D92" s="211"/>
      <c r="E92" s="211"/>
      <c r="L92" s="244"/>
      <c r="V92" s="185"/>
    </row>
    <row r="93" spans="1:22" ht="18" customHeight="1">
      <c r="A93" s="184"/>
      <c r="D93" s="211"/>
      <c r="E93" s="211"/>
      <c r="L93" s="244"/>
      <c r="V93" s="185"/>
    </row>
    <row r="94" spans="1:22" ht="18" customHeight="1">
      <c r="A94" s="184"/>
      <c r="D94" s="211"/>
      <c r="E94" s="211"/>
      <c r="L94" s="244"/>
      <c r="V94" s="185"/>
    </row>
    <row r="95" spans="1:22" ht="18" customHeight="1">
      <c r="A95" s="290"/>
      <c r="B95" s="196"/>
      <c r="C95" s="196"/>
      <c r="D95" s="308"/>
      <c r="E95" s="308"/>
      <c r="F95" s="196"/>
      <c r="G95" s="196"/>
      <c r="H95" s="196"/>
      <c r="I95" s="196"/>
      <c r="J95" s="196"/>
      <c r="K95" s="196"/>
      <c r="L95" s="306"/>
      <c r="M95" s="196"/>
      <c r="N95" s="196"/>
      <c r="O95" s="196"/>
      <c r="P95" s="196"/>
      <c r="Q95" s="196"/>
      <c r="R95" s="196"/>
      <c r="S95" s="196"/>
      <c r="T95" s="196"/>
      <c r="U95" s="196"/>
      <c r="V95" s="291"/>
    </row>
    <row r="96" spans="1:22" s="14" customFormat="1" ht="18" hidden="1" customHeight="1">
      <c r="A96" s="194"/>
      <c r="B96" s="195"/>
      <c r="C96" s="195"/>
      <c r="D96" s="195"/>
      <c r="E96" s="195"/>
      <c r="F96" s="195"/>
      <c r="G96" s="195"/>
      <c r="H96" s="195"/>
      <c r="I96" s="195"/>
      <c r="J96" s="195"/>
      <c r="K96" s="195"/>
      <c r="L96" s="195"/>
      <c r="M96" s="195"/>
      <c r="N96" s="195"/>
      <c r="O96" s="195"/>
      <c r="P96" s="195"/>
      <c r="Q96" s="224"/>
      <c r="R96" s="182"/>
      <c r="S96" s="225"/>
      <c r="T96" s="195"/>
      <c r="U96" s="195"/>
      <c r="V96" s="134"/>
    </row>
    <row r="97" spans="1:22" ht="18" hidden="1" customHeight="1">
      <c r="A97" s="799" t="s">
        <v>417</v>
      </c>
      <c r="B97" s="802"/>
      <c r="C97" s="802"/>
      <c r="D97" s="689"/>
      <c r="E97" s="689"/>
      <c r="F97" s="805" t="str">
        <f>R66</f>
        <v>-</v>
      </c>
      <c r="G97" s="993"/>
      <c r="H97" s="805" t="s">
        <v>315</v>
      </c>
      <c r="I97" s="822">
        <f>R68</f>
        <v>1</v>
      </c>
      <c r="J97" s="1269"/>
      <c r="K97" s="805" t="s">
        <v>315</v>
      </c>
      <c r="L97" s="808" t="s">
        <v>419</v>
      </c>
      <c r="M97" s="815">
        <f>R70</f>
        <v>5</v>
      </c>
      <c r="N97" s="816" t="s">
        <v>347</v>
      </c>
      <c r="O97" s="817">
        <f>R71</f>
        <v>1.1867743100000001</v>
      </c>
      <c r="P97" s="805" t="s">
        <v>347</v>
      </c>
      <c r="Q97" s="1259">
        <f>R72</f>
        <v>0.02</v>
      </c>
      <c r="R97" s="807"/>
      <c r="S97" s="807"/>
      <c r="T97" s="798" t="s">
        <v>350</v>
      </c>
      <c r="U97" s="230" t="s">
        <v>618</v>
      </c>
      <c r="V97" s="97"/>
    </row>
    <row r="98" spans="1:22" ht="18" hidden="1" customHeight="1">
      <c r="A98" s="827"/>
      <c r="B98" s="802"/>
      <c r="C98" s="802"/>
      <c r="D98" s="689"/>
      <c r="E98" s="689"/>
      <c r="F98" s="993"/>
      <c r="G98" s="993"/>
      <c r="H98" s="805"/>
      <c r="I98" s="805">
        <f>R62</f>
        <v>1750</v>
      </c>
      <c r="J98" s="1234"/>
      <c r="K98" s="805"/>
      <c r="L98" s="808"/>
      <c r="M98" s="815"/>
      <c r="N98" s="816"/>
      <c r="O98" s="815"/>
      <c r="P98" s="805"/>
      <c r="Q98" s="221">
        <f>R69</f>
        <v>1</v>
      </c>
      <c r="R98" s="221" t="s">
        <v>315</v>
      </c>
      <c r="S98" s="221">
        <f>R69</f>
        <v>1</v>
      </c>
      <c r="T98" s="798"/>
      <c r="U98" s="14"/>
      <c r="V98" s="97"/>
    </row>
    <row r="99" spans="1:22" ht="18" hidden="1" customHeight="1">
      <c r="A99" s="184"/>
      <c r="V99" s="185"/>
    </row>
    <row r="100" spans="1:22" ht="18" hidden="1" customHeight="1">
      <c r="A100" s="184"/>
      <c r="C100" s="30" t="s">
        <v>127</v>
      </c>
      <c r="D100" s="812" t="e">
        <f>F97*(I97/I98)*(M97+O97+(Q97/(Q98*S98)))</f>
        <v>#VALUE!</v>
      </c>
      <c r="E100" s="813"/>
      <c r="F100" s="30" t="s">
        <v>305</v>
      </c>
      <c r="G100" s="187" t="s">
        <v>378</v>
      </c>
      <c r="H100" s="186" t="str">
        <f>IF(M59="y","Applicable","Not applicable")</f>
        <v>Not applicable</v>
      </c>
      <c r="V100" s="185"/>
    </row>
    <row r="101" spans="1:22" ht="18" customHeight="1">
      <c r="A101" s="184"/>
      <c r="V101" s="185"/>
    </row>
    <row r="102" spans="1:22" ht="18" customHeight="1">
      <c r="A102" s="96" t="s">
        <v>627</v>
      </c>
      <c r="M102" s="775">
        <f>R62</f>
        <v>1750</v>
      </c>
      <c r="N102" s="776"/>
      <c r="O102" s="30" t="s">
        <v>470</v>
      </c>
      <c r="Q102" s="812">
        <f>IF(M59="Y",MAX(D77,D100),MAX(D77,D82))</f>
        <v>46.538737904905901</v>
      </c>
      <c r="R102" s="820"/>
      <c r="S102" s="30" t="s">
        <v>305</v>
      </c>
      <c r="V102" s="185"/>
    </row>
    <row r="103" spans="1:22" ht="18" customHeight="1">
      <c r="A103" s="184"/>
      <c r="M103" s="247"/>
      <c r="N103" s="247"/>
      <c r="Q103" s="211"/>
      <c r="R103" s="27"/>
      <c r="V103" s="185"/>
    </row>
    <row r="104" spans="1:22" ht="18" customHeight="1">
      <c r="A104" s="248" t="s">
        <v>471</v>
      </c>
      <c r="B104" s="14"/>
      <c r="C104" s="14"/>
      <c r="D104" s="249"/>
      <c r="E104" s="14"/>
      <c r="F104" s="14"/>
      <c r="G104" s="47"/>
      <c r="H104" s="14"/>
      <c r="J104" s="14"/>
      <c r="K104" s="14"/>
      <c r="L104" s="14"/>
      <c r="M104" s="14"/>
      <c r="N104" s="14"/>
      <c r="O104" s="14"/>
      <c r="P104" s="250"/>
      <c r="Q104" s="251"/>
      <c r="R104" s="47"/>
      <c r="S104" s="14"/>
      <c r="V104" s="185"/>
    </row>
    <row r="105" spans="1:22" ht="18" customHeight="1">
      <c r="A105" s="248"/>
      <c r="B105" s="14"/>
      <c r="C105" s="14"/>
      <c r="D105" s="249"/>
      <c r="E105" s="14"/>
      <c r="F105" s="14"/>
      <c r="G105" s="47"/>
      <c r="H105" s="14"/>
      <c r="J105" s="14"/>
      <c r="K105" s="14"/>
      <c r="L105" s="14"/>
      <c r="M105" s="14"/>
      <c r="N105" s="14"/>
      <c r="O105" s="14"/>
      <c r="P105" s="250"/>
      <c r="Q105" s="251"/>
      <c r="R105" s="47"/>
      <c r="S105" s="14"/>
      <c r="V105" s="185"/>
    </row>
    <row r="106" spans="1:22" ht="18" hidden="1" customHeight="1">
      <c r="A106" s="96" t="s">
        <v>628</v>
      </c>
      <c r="V106" s="185"/>
    </row>
    <row r="107" spans="1:22" ht="18" customHeight="1">
      <c r="A107" s="184"/>
      <c r="N107" s="14"/>
      <c r="O107" s="14" t="s">
        <v>473</v>
      </c>
      <c r="P107" s="102" t="s">
        <v>127</v>
      </c>
      <c r="Q107" s="694" t="s">
        <v>474</v>
      </c>
      <c r="R107" s="694"/>
      <c r="S107" s="28" t="s">
        <v>315</v>
      </c>
      <c r="T107" s="28">
        <v>0.8</v>
      </c>
      <c r="V107" s="185"/>
    </row>
    <row r="108" spans="1:22" ht="18" customHeight="1">
      <c r="A108" s="184"/>
      <c r="N108" s="252"/>
      <c r="O108" s="14"/>
      <c r="P108" s="102" t="s">
        <v>127</v>
      </c>
      <c r="Q108" s="829">
        <f>+Q102</f>
        <v>46.538737904905901</v>
      </c>
      <c r="R108" s="708"/>
      <c r="S108" s="222" t="s">
        <v>315</v>
      </c>
      <c r="T108" s="253">
        <f>+T107</f>
        <v>0.8</v>
      </c>
      <c r="V108" s="185"/>
    </row>
    <row r="109" spans="1:22" ht="18" customHeight="1">
      <c r="A109" s="184"/>
      <c r="O109" s="14"/>
      <c r="P109" s="28" t="s">
        <v>127</v>
      </c>
      <c r="Q109" s="830">
        <f>Q108*T108</f>
        <v>37.230990323924722</v>
      </c>
      <c r="R109" s="776"/>
      <c r="S109" s="28" t="s">
        <v>305</v>
      </c>
      <c r="T109" s="28"/>
      <c r="V109" s="185"/>
    </row>
    <row r="110" spans="1:22" ht="18" customHeight="1">
      <c r="A110" s="184"/>
      <c r="F110" s="28"/>
      <c r="G110" s="28"/>
      <c r="H110" s="14"/>
      <c r="V110" s="185"/>
    </row>
    <row r="111" spans="1:22" ht="18" customHeight="1">
      <c r="A111" s="184"/>
      <c r="D111" s="14" t="s">
        <v>475</v>
      </c>
      <c r="G111" s="28" t="s">
        <v>476</v>
      </c>
      <c r="H111" s="14" t="s">
        <v>477</v>
      </c>
      <c r="V111" s="185"/>
    </row>
    <row r="112" spans="1:22" ht="18" customHeight="1">
      <c r="A112" s="184"/>
      <c r="E112" s="684">
        <f>H13</f>
        <v>300</v>
      </c>
      <c r="F112" s="684"/>
      <c r="G112" s="28" t="s">
        <v>476</v>
      </c>
      <c r="H112" s="795">
        <f>Q109</f>
        <v>37.230990323924722</v>
      </c>
      <c r="I112" s="684"/>
      <c r="V112" s="185"/>
    </row>
    <row r="113" spans="1:22" ht="18" customHeight="1">
      <c r="A113" s="184"/>
      <c r="F113" s="244" t="s">
        <v>478</v>
      </c>
      <c r="H113" s="18" t="str">
        <f>IF(E112&gt;H112,"Suitably Dimensioned","Under Dimensioned")</f>
        <v>Suitably Dimensioned</v>
      </c>
      <c r="V113" s="185"/>
    </row>
    <row r="114" spans="1:22" ht="18" customHeight="1">
      <c r="A114" s="184"/>
      <c r="F114" s="244"/>
      <c r="H114" s="18"/>
      <c r="V114" s="185"/>
    </row>
    <row r="115" spans="1:22" ht="18" customHeight="1">
      <c r="A115" s="184"/>
      <c r="F115" s="244"/>
      <c r="H115" s="18"/>
      <c r="V115" s="185"/>
    </row>
    <row r="116" spans="1:22" ht="18" customHeight="1">
      <c r="A116" s="184"/>
      <c r="F116" s="244"/>
      <c r="H116" s="18"/>
      <c r="V116" s="185"/>
    </row>
    <row r="117" spans="1:22" ht="18" customHeight="1">
      <c r="A117" s="184"/>
      <c r="F117" s="244"/>
      <c r="H117" s="18"/>
      <c r="V117" s="185"/>
    </row>
    <row r="118" spans="1:22" ht="18" customHeight="1">
      <c r="A118" s="184"/>
      <c r="F118" s="244"/>
      <c r="H118" s="18"/>
      <c r="V118" s="185"/>
    </row>
    <row r="119" spans="1:22" ht="18" customHeight="1">
      <c r="A119" s="184"/>
      <c r="F119" s="244"/>
      <c r="H119" s="18"/>
      <c r="V119" s="185"/>
    </row>
    <row r="120" spans="1:22" ht="18" customHeight="1">
      <c r="A120" s="184"/>
      <c r="F120" s="244"/>
      <c r="H120" s="18"/>
      <c r="V120" s="185"/>
    </row>
    <row r="121" spans="1:22" ht="18" customHeight="1">
      <c r="A121" s="184"/>
      <c r="F121" s="244"/>
      <c r="H121" s="18"/>
      <c r="V121" s="185"/>
    </row>
    <row r="122" spans="1:22" ht="18" customHeight="1">
      <c r="A122" s="184"/>
      <c r="F122" s="244"/>
      <c r="H122" s="18"/>
      <c r="V122" s="185"/>
    </row>
    <row r="123" spans="1:22" ht="18" customHeight="1">
      <c r="A123" s="184"/>
      <c r="F123" s="244"/>
      <c r="H123" s="18"/>
      <c r="V123" s="185"/>
    </row>
    <row r="124" spans="1:22" ht="18" customHeight="1">
      <c r="A124" s="184"/>
      <c r="F124" s="244"/>
      <c r="H124" s="18"/>
      <c r="V124" s="185"/>
    </row>
    <row r="125" spans="1:22" ht="18" customHeight="1">
      <c r="A125" s="184"/>
      <c r="F125" s="244"/>
      <c r="H125" s="18"/>
      <c r="V125" s="185"/>
    </row>
    <row r="126" spans="1:22" ht="18" customHeight="1">
      <c r="A126" s="184"/>
      <c r="F126" s="244"/>
      <c r="H126" s="18"/>
      <c r="V126" s="185"/>
    </row>
    <row r="127" spans="1:22" ht="18" customHeight="1">
      <c r="A127" s="184"/>
      <c r="F127" s="244"/>
      <c r="H127" s="18"/>
      <c r="V127" s="185"/>
    </row>
    <row r="128" spans="1:22" ht="18" customHeight="1">
      <c r="A128" s="184"/>
      <c r="F128" s="244"/>
      <c r="H128" s="18"/>
      <c r="V128" s="185"/>
    </row>
    <row r="129" spans="1:22" ht="18" customHeight="1">
      <c r="A129" s="184"/>
      <c r="F129" s="244"/>
      <c r="H129" s="18"/>
      <c r="V129" s="185"/>
    </row>
    <row r="130" spans="1:22" ht="18" customHeight="1">
      <c r="A130" s="184"/>
      <c r="F130" s="244"/>
      <c r="H130" s="18"/>
      <c r="V130" s="185"/>
    </row>
    <row r="131" spans="1:22" ht="18" customHeight="1">
      <c r="A131" s="184"/>
      <c r="F131" s="244"/>
      <c r="H131" s="18"/>
      <c r="V131" s="185"/>
    </row>
    <row r="132" spans="1:22" ht="18" customHeight="1">
      <c r="A132" s="184"/>
      <c r="F132" s="244"/>
      <c r="H132" s="18"/>
      <c r="V132" s="185"/>
    </row>
    <row r="133" spans="1:22" ht="18" customHeight="1">
      <c r="A133" s="184"/>
      <c r="F133" s="244"/>
      <c r="H133" s="18"/>
      <c r="V133" s="185"/>
    </row>
    <row r="134" spans="1:22" ht="18" customHeight="1">
      <c r="A134" s="184"/>
      <c r="F134" s="244"/>
      <c r="H134" s="18"/>
      <c r="V134" s="185"/>
    </row>
    <row r="135" spans="1:22" ht="18" customHeight="1">
      <c r="A135" s="184"/>
      <c r="F135" s="244"/>
      <c r="H135" s="18"/>
      <c r="V135" s="185"/>
    </row>
    <row r="136" spans="1:22" ht="18" customHeight="1">
      <c r="A136" s="184"/>
      <c r="F136" s="244"/>
      <c r="H136" s="18"/>
      <c r="V136" s="185"/>
    </row>
    <row r="137" spans="1:22" ht="18" customHeight="1">
      <c r="A137" s="184"/>
      <c r="F137" s="244"/>
      <c r="H137" s="18"/>
      <c r="V137" s="185"/>
    </row>
    <row r="138" spans="1:22" ht="18" customHeight="1">
      <c r="A138" s="184"/>
      <c r="F138" s="244"/>
      <c r="H138" s="18"/>
      <c r="V138" s="185"/>
    </row>
    <row r="139" spans="1:22" ht="18" customHeight="1">
      <c r="A139" s="184"/>
      <c r="V139" s="185"/>
    </row>
    <row r="140" spans="1:22" ht="18" customHeight="1">
      <c r="A140" s="184"/>
      <c r="V140" s="185"/>
    </row>
    <row r="141" spans="1:22" s="14" customFormat="1" ht="18" customHeight="1">
      <c r="A141" s="194"/>
      <c r="B141" s="195"/>
      <c r="C141" s="195"/>
      <c r="D141" s="195"/>
      <c r="E141" s="195"/>
      <c r="F141" s="195"/>
      <c r="G141" s="195"/>
      <c r="H141" s="195"/>
      <c r="I141" s="195"/>
      <c r="J141" s="195"/>
      <c r="K141" s="195"/>
      <c r="L141" s="195"/>
      <c r="M141" s="195"/>
      <c r="N141" s="195"/>
      <c r="O141" s="195"/>
      <c r="P141" s="195"/>
      <c r="Q141" s="224"/>
      <c r="R141" s="182"/>
      <c r="S141" s="225"/>
      <c r="T141" s="195"/>
      <c r="U141" s="195"/>
      <c r="V141" s="134"/>
    </row>
    <row r="142" spans="1:22" ht="18" hidden="1" customHeight="1">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8"/>
    </row>
    <row r="143" spans="1:22" ht="18" hidden="1" customHeight="1">
      <c r="A143" s="184"/>
      <c r="B143" s="781" t="str">
        <f>B7</f>
        <v>T7</v>
      </c>
      <c r="C143" s="782"/>
      <c r="D143" s="781" t="str">
        <f>D7</f>
        <v>Core1</v>
      </c>
      <c r="E143" s="782"/>
      <c r="F143" s="186"/>
      <c r="H143" s="684" t="str">
        <f>H7</f>
        <v>(Transformer Differential)</v>
      </c>
      <c r="I143" s="684"/>
      <c r="J143" s="684"/>
      <c r="K143" s="684"/>
      <c r="L143" s="684"/>
      <c r="M143" s="684"/>
      <c r="N143" s="684"/>
      <c r="P143" s="186"/>
      <c r="S143" s="187" t="s">
        <v>387</v>
      </c>
      <c r="T143" s="835" t="str">
        <f>T7</f>
        <v>RET670</v>
      </c>
      <c r="U143" s="836"/>
      <c r="V143" s="185"/>
    </row>
    <row r="144" spans="1:22" ht="18" hidden="1" customHeight="1">
      <c r="A144" s="184"/>
      <c r="B144" s="18">
        <f>B8</f>
        <v>0</v>
      </c>
      <c r="C144" s="18"/>
      <c r="D144" s="538"/>
      <c r="E144" s="538"/>
      <c r="F144" s="255"/>
      <c r="T144" s="839">
        <f>T8</f>
        <v>0</v>
      </c>
      <c r="U144" s="840"/>
      <c r="V144" s="185"/>
    </row>
    <row r="145" spans="1:29" ht="18" hidden="1" customHeight="1">
      <c r="A145" s="184"/>
      <c r="H145" s="708" t="s">
        <v>390</v>
      </c>
      <c r="I145" s="708"/>
      <c r="J145" s="789" t="s">
        <v>391</v>
      </c>
      <c r="K145" s="789"/>
      <c r="L145" s="708" t="s">
        <v>392</v>
      </c>
      <c r="M145" s="708"/>
      <c r="T145" s="839">
        <f>T9</f>
        <v>0</v>
      </c>
      <c r="U145" s="840"/>
      <c r="V145" s="185"/>
    </row>
    <row r="146" spans="1:29" ht="18" hidden="1" customHeight="1">
      <c r="A146" s="184"/>
      <c r="B146" s="47" t="s">
        <v>393</v>
      </c>
      <c r="H146" s="781">
        <f>H10</f>
        <v>1750</v>
      </c>
      <c r="I146" s="782"/>
      <c r="J146" s="791">
        <f>J10</f>
        <v>2500</v>
      </c>
      <c r="K146" s="792"/>
      <c r="L146" s="839" t="str">
        <f>L10</f>
        <v>-</v>
      </c>
      <c r="M146" s="840"/>
      <c r="N146" s="102" t="s">
        <v>342</v>
      </c>
      <c r="O146" s="254">
        <f>O10</f>
        <v>1</v>
      </c>
      <c r="P146" s="27" t="s">
        <v>8</v>
      </c>
      <c r="V146" s="185"/>
    </row>
    <row r="147" spans="1:29" ht="18" hidden="1" customHeight="1">
      <c r="A147" s="184"/>
      <c r="B147" s="47" t="s">
        <v>394</v>
      </c>
      <c r="H147" s="14"/>
      <c r="I147" s="14"/>
      <c r="J147" s="781" t="s">
        <v>395</v>
      </c>
      <c r="K147" s="782"/>
      <c r="L147" s="14"/>
      <c r="M147" s="14"/>
      <c r="V147" s="185"/>
    </row>
    <row r="148" spans="1:29" ht="18" hidden="1" customHeight="1">
      <c r="A148" s="184"/>
      <c r="B148" s="47" t="s">
        <v>396</v>
      </c>
      <c r="I148" s="120" t="s">
        <v>497</v>
      </c>
      <c r="J148" s="781">
        <v>5</v>
      </c>
      <c r="K148" s="782"/>
      <c r="L148" s="192" t="s">
        <v>333</v>
      </c>
      <c r="N148" s="14"/>
      <c r="V148" s="185"/>
    </row>
    <row r="149" spans="1:29" ht="18" hidden="1" customHeight="1">
      <c r="A149" s="184"/>
      <c r="B149" s="47" t="s">
        <v>398</v>
      </c>
      <c r="I149" s="120" t="s">
        <v>498</v>
      </c>
      <c r="J149" s="781">
        <v>300</v>
      </c>
      <c r="K149" s="782"/>
      <c r="L149" s="14" t="s">
        <v>305</v>
      </c>
      <c r="N149" s="14"/>
      <c r="V149" s="185"/>
      <c r="W149" s="30" t="s">
        <v>400</v>
      </c>
      <c r="AB149" s="785">
        <f>Q241</f>
        <v>27.799139441863787</v>
      </c>
      <c r="AC149" s="786"/>
    </row>
    <row r="150" spans="1:29" ht="18" hidden="1" customHeight="1">
      <c r="A150" s="184"/>
      <c r="B150" s="14" t="s">
        <v>401</v>
      </c>
      <c r="I150" s="120" t="s">
        <v>402</v>
      </c>
      <c r="J150" s="781">
        <v>30</v>
      </c>
      <c r="K150" s="782"/>
      <c r="L150" s="14" t="s">
        <v>403</v>
      </c>
      <c r="N150" s="14"/>
      <c r="V150" s="185"/>
    </row>
    <row r="151" spans="1:29" ht="18" hidden="1" customHeight="1">
      <c r="A151" s="184"/>
      <c r="V151" s="185"/>
    </row>
    <row r="152" spans="1:29" ht="18" hidden="1" customHeight="1">
      <c r="A152" s="193" t="s">
        <v>404</v>
      </c>
      <c r="V152" s="185"/>
    </row>
    <row r="153" spans="1:29" ht="18" hidden="1" customHeight="1">
      <c r="A153" s="184"/>
      <c r="V153" s="185"/>
    </row>
    <row r="154" spans="1:29" ht="18" hidden="1" customHeight="1">
      <c r="A154" s="184"/>
      <c r="B154" s="194" t="s">
        <v>405</v>
      </c>
      <c r="C154" s="195"/>
      <c r="D154" s="195" t="str">
        <f>T143</f>
        <v>RET670</v>
      </c>
      <c r="E154" s="196"/>
      <c r="F154" s="196"/>
      <c r="G154" s="196"/>
      <c r="H154" s="182" t="s">
        <v>406</v>
      </c>
      <c r="I154" s="183" t="s">
        <v>127</v>
      </c>
      <c r="J154" s="766">
        <f>J18</f>
        <v>0.02</v>
      </c>
      <c r="K154" s="958"/>
      <c r="L154" s="3" t="s">
        <v>157</v>
      </c>
      <c r="N154" s="197" t="s">
        <v>407</v>
      </c>
      <c r="V154" s="185"/>
    </row>
    <row r="155" spans="1:29" ht="18" hidden="1" customHeight="1">
      <c r="A155" s="184"/>
      <c r="B155" s="96" t="s">
        <v>405</v>
      </c>
      <c r="D155" s="30">
        <f>T144</f>
        <v>0</v>
      </c>
      <c r="H155" s="27"/>
      <c r="I155" s="177" t="s">
        <v>127</v>
      </c>
      <c r="J155" s="861">
        <f>J19</f>
        <v>0</v>
      </c>
      <c r="K155" s="989"/>
      <c r="L155" s="198" t="s">
        <v>157</v>
      </c>
      <c r="V155" s="185"/>
    </row>
    <row r="156" spans="1:29" ht="18" hidden="1" customHeight="1">
      <c r="A156" s="184"/>
      <c r="B156" s="96" t="s">
        <v>405</v>
      </c>
      <c r="D156" s="30">
        <f>T145</f>
        <v>0</v>
      </c>
      <c r="E156" s="14"/>
      <c r="G156" s="199"/>
      <c r="H156" s="27"/>
      <c r="I156" s="177" t="s">
        <v>127</v>
      </c>
      <c r="J156" s="696">
        <f>J20</f>
        <v>0</v>
      </c>
      <c r="K156" s="820"/>
      <c r="L156" s="202" t="s">
        <v>157</v>
      </c>
      <c r="N156" s="30" t="s">
        <v>408</v>
      </c>
      <c r="O156" s="27" t="s">
        <v>127</v>
      </c>
      <c r="P156" s="30" t="s">
        <v>409</v>
      </c>
      <c r="Q156" s="191" t="s">
        <v>410</v>
      </c>
      <c r="R156" s="244" t="s">
        <v>411</v>
      </c>
      <c r="S156" s="27" t="s">
        <v>315</v>
      </c>
      <c r="T156" s="30" t="s">
        <v>411</v>
      </c>
      <c r="U156" s="30" t="s">
        <v>350</v>
      </c>
      <c r="V156" s="185"/>
    </row>
    <row r="157" spans="1:29" ht="18" hidden="1" customHeight="1">
      <c r="A157" s="184"/>
      <c r="B157" s="184" t="s">
        <v>412</v>
      </c>
      <c r="H157" s="27" t="s">
        <v>599</v>
      </c>
      <c r="I157" s="177" t="s">
        <v>127</v>
      </c>
      <c r="J157" s="861">
        <f>J21</f>
        <v>1.1667743100000001</v>
      </c>
      <c r="K157" s="989"/>
      <c r="L157" s="203" t="s">
        <v>157</v>
      </c>
      <c r="O157" s="27" t="s">
        <v>127</v>
      </c>
      <c r="P157" s="204">
        <f>J158</f>
        <v>1.1867743100000001</v>
      </c>
      <c r="Q157" s="191" t="s">
        <v>410</v>
      </c>
      <c r="R157" s="27">
        <f>O146</f>
        <v>1</v>
      </c>
      <c r="S157" s="27" t="s">
        <v>315</v>
      </c>
      <c r="T157" s="27">
        <f>O146</f>
        <v>1</v>
      </c>
      <c r="U157" s="30" t="s">
        <v>350</v>
      </c>
      <c r="V157" s="185"/>
    </row>
    <row r="158" spans="1:29" ht="18" hidden="1" customHeight="1">
      <c r="A158" s="184"/>
      <c r="B158" s="205" t="s">
        <v>413</v>
      </c>
      <c r="C158" s="206"/>
      <c r="D158" s="206"/>
      <c r="E158" s="206"/>
      <c r="F158" s="207"/>
      <c r="G158" s="207"/>
      <c r="H158" s="190" t="s">
        <v>409</v>
      </c>
      <c r="I158" s="208" t="s">
        <v>127</v>
      </c>
      <c r="J158" s="766">
        <f>J154+J157</f>
        <v>1.1867743100000001</v>
      </c>
      <c r="K158" s="958"/>
      <c r="L158" s="210" t="s">
        <v>157</v>
      </c>
      <c r="O158" s="27" t="s">
        <v>127</v>
      </c>
      <c r="P158" s="795">
        <f>P157/(R157*T157)</f>
        <v>1.1867743100000001</v>
      </c>
      <c r="Q158" s="795"/>
      <c r="R158" s="192" t="s">
        <v>333</v>
      </c>
      <c r="V158" s="185"/>
    </row>
    <row r="159" spans="1:29" ht="18" hidden="1" customHeight="1">
      <c r="A159" s="184"/>
      <c r="V159" s="185"/>
    </row>
    <row r="160" spans="1:29" s="14" customFormat="1" ht="18" hidden="1" customHeight="1">
      <c r="A160" s="193" t="s">
        <v>600</v>
      </c>
      <c r="B160" s="5"/>
      <c r="C160" s="5"/>
      <c r="D160" s="5"/>
      <c r="E160" s="5"/>
      <c r="F160" s="5"/>
      <c r="G160" s="5"/>
      <c r="H160" s="212"/>
      <c r="I160" s="212"/>
      <c r="J160" s="5"/>
      <c r="K160" s="5"/>
      <c r="L160" s="5"/>
      <c r="M160" s="5"/>
      <c r="N160" s="5"/>
      <c r="O160" s="5"/>
      <c r="P160" s="103"/>
      <c r="Q160" s="212"/>
      <c r="R160" s="213"/>
      <c r="S160" s="214"/>
      <c r="T160" s="18"/>
      <c r="U160" s="18"/>
      <c r="V160" s="97"/>
    </row>
    <row r="161" spans="1:27" s="14" customFormat="1" ht="18" hidden="1" customHeight="1">
      <c r="A161" s="96"/>
      <c r="B161" s="47" t="s">
        <v>601</v>
      </c>
      <c r="C161" s="5"/>
      <c r="D161" s="5"/>
      <c r="E161" s="5"/>
      <c r="I161" s="215"/>
      <c r="M161" s="5"/>
      <c r="O161" s="103" t="s">
        <v>127</v>
      </c>
      <c r="P161" s="853">
        <v>100</v>
      </c>
      <c r="Q161" s="1271"/>
      <c r="R161" s="14" t="s">
        <v>602</v>
      </c>
      <c r="S161" s="214"/>
      <c r="T161" s="18"/>
      <c r="U161" s="18"/>
      <c r="V161" s="97"/>
    </row>
    <row r="162" spans="1:27" s="14" customFormat="1" ht="18" hidden="1" customHeight="1">
      <c r="A162" s="96"/>
      <c r="B162" s="47" t="s">
        <v>603</v>
      </c>
      <c r="C162" s="5"/>
      <c r="D162" s="5"/>
      <c r="E162" s="5"/>
      <c r="I162" s="215"/>
      <c r="M162" s="5"/>
      <c r="O162" s="103" t="s">
        <v>127</v>
      </c>
      <c r="P162" s="853">
        <f>P26</f>
        <v>25</v>
      </c>
      <c r="Q162" s="1271"/>
      <c r="R162" s="14" t="s">
        <v>604</v>
      </c>
      <c r="S162" s="214"/>
      <c r="T162" s="18"/>
      <c r="U162" s="18"/>
      <c r="V162" s="97"/>
    </row>
    <row r="163" spans="1:27" s="14" customFormat="1" ht="18" hidden="1" customHeight="1">
      <c r="A163" s="96"/>
      <c r="B163" s="47" t="s">
        <v>605</v>
      </c>
      <c r="C163" s="5"/>
      <c r="D163" s="5"/>
      <c r="E163" s="5"/>
      <c r="N163" s="120" t="s">
        <v>606</v>
      </c>
      <c r="O163" s="103" t="s">
        <v>607</v>
      </c>
      <c r="P163" s="854">
        <f>P27</f>
        <v>132</v>
      </c>
      <c r="Q163" s="1270"/>
      <c r="R163" s="14" t="s">
        <v>163</v>
      </c>
      <c r="S163" s="214"/>
      <c r="T163" s="18"/>
      <c r="U163" s="18"/>
      <c r="V163" s="97"/>
    </row>
    <row r="164" spans="1:27" s="14" customFormat="1" ht="18" hidden="1" customHeight="1">
      <c r="A164" s="216"/>
      <c r="B164" s="212"/>
      <c r="C164" s="212"/>
      <c r="D164" s="212"/>
      <c r="E164" s="212"/>
      <c r="T164" s="18"/>
      <c r="U164" s="18"/>
      <c r="V164" s="97"/>
    </row>
    <row r="165" spans="1:27" s="14" customFormat="1" ht="18" hidden="1" customHeight="1">
      <c r="A165" s="96"/>
      <c r="B165" s="14" t="s">
        <v>608</v>
      </c>
      <c r="C165" s="213"/>
      <c r="D165" s="213"/>
      <c r="E165" s="213"/>
      <c r="H165" s="120" t="s">
        <v>609</v>
      </c>
      <c r="I165" s="28" t="s">
        <v>127</v>
      </c>
      <c r="J165" s="689" t="s">
        <v>610</v>
      </c>
      <c r="K165" s="689"/>
      <c r="L165" s="28" t="s">
        <v>315</v>
      </c>
      <c r="M165" s="217">
        <v>1000</v>
      </c>
      <c r="N165" s="102" t="s">
        <v>342</v>
      </c>
      <c r="O165" s="14" t="s">
        <v>611</v>
      </c>
      <c r="P165" s="28" t="s">
        <v>315</v>
      </c>
      <c r="Q165" s="28" t="s">
        <v>606</v>
      </c>
      <c r="R165" s="47"/>
      <c r="T165" s="18"/>
      <c r="U165" s="18"/>
      <c r="V165" s="97"/>
    </row>
    <row r="166" spans="1:27" s="14" customFormat="1" ht="18" hidden="1" customHeight="1">
      <c r="A166" s="216"/>
      <c r="B166" s="213"/>
      <c r="C166" s="213"/>
      <c r="D166" s="213"/>
      <c r="E166" s="213"/>
      <c r="F166" s="212"/>
      <c r="G166" s="212"/>
      <c r="H166" s="28"/>
      <c r="I166" s="28" t="s">
        <v>127</v>
      </c>
      <c r="J166" s="689">
        <f>P161</f>
        <v>100</v>
      </c>
      <c r="K166" s="689"/>
      <c r="L166" s="28" t="s">
        <v>315</v>
      </c>
      <c r="M166" s="217">
        <v>1000</v>
      </c>
      <c r="N166" s="102" t="s">
        <v>342</v>
      </c>
      <c r="O166" s="14" t="s">
        <v>611</v>
      </c>
      <c r="P166" s="28" t="s">
        <v>315</v>
      </c>
      <c r="Q166" s="28">
        <f>P163</f>
        <v>132</v>
      </c>
      <c r="R166" s="47"/>
      <c r="T166" s="18"/>
      <c r="U166" s="18"/>
      <c r="V166" s="97"/>
    </row>
    <row r="167" spans="1:27" s="14" customFormat="1" ht="18" hidden="1" customHeight="1">
      <c r="A167" s="216"/>
      <c r="B167" s="212"/>
      <c r="C167" s="212"/>
      <c r="D167" s="212"/>
      <c r="E167" s="212"/>
      <c r="F167" s="212"/>
      <c r="G167" s="212"/>
      <c r="I167" s="28" t="s">
        <v>127</v>
      </c>
      <c r="J167" s="692">
        <f>(P161*1000)/(SQRT(3)*P163)</f>
        <v>437.38656756789834</v>
      </c>
      <c r="K167" s="692"/>
      <c r="L167" s="14" t="s">
        <v>8</v>
      </c>
      <c r="M167" s="120"/>
      <c r="N167" s="120"/>
      <c r="O167" s="120"/>
      <c r="T167" s="18"/>
      <c r="U167" s="18"/>
      <c r="V167" s="97"/>
    </row>
    <row r="168" spans="1:27" s="14" customFormat="1" ht="18" hidden="1" customHeight="1">
      <c r="A168" s="216"/>
      <c r="B168" s="212"/>
      <c r="C168" s="212"/>
      <c r="D168" s="212"/>
      <c r="E168" s="212"/>
      <c r="G168" s="212"/>
      <c r="H168" s="28"/>
      <c r="I168" s="103"/>
      <c r="J168" s="28"/>
      <c r="M168" s="212"/>
      <c r="N168" s="219"/>
      <c r="O168" s="212"/>
      <c r="T168" s="18"/>
      <c r="U168" s="18"/>
      <c r="V168" s="97"/>
    </row>
    <row r="169" spans="1:27" s="14" customFormat="1" ht="18" hidden="1" customHeight="1">
      <c r="A169" s="147" t="s">
        <v>629</v>
      </c>
      <c r="B169" s="5"/>
      <c r="C169" s="5"/>
      <c r="D169" s="5"/>
      <c r="E169" s="5"/>
      <c r="F169" s="212"/>
      <c r="G169" s="212"/>
      <c r="H169" s="5"/>
      <c r="I169" s="5"/>
      <c r="J169" s="5"/>
      <c r="K169" s="5"/>
      <c r="L169" s="103"/>
      <c r="M169" s="103"/>
      <c r="N169" s="103"/>
      <c r="O169" s="103"/>
      <c r="P169" s="212"/>
      <c r="Q169" s="213"/>
      <c r="S169" s="220"/>
      <c r="T169" s="18"/>
      <c r="U169" s="18"/>
      <c r="V169" s="97"/>
    </row>
    <row r="170" spans="1:27" s="14" customFormat="1" ht="18" hidden="1" customHeight="1">
      <c r="A170" s="147"/>
      <c r="B170" s="5"/>
      <c r="C170" s="5"/>
      <c r="D170" s="5"/>
      <c r="E170" s="5"/>
      <c r="F170" s="212"/>
      <c r="G170" s="212"/>
      <c r="H170" s="5"/>
      <c r="I170" s="5"/>
      <c r="J170" s="5"/>
      <c r="K170" s="5"/>
      <c r="L170" s="103"/>
      <c r="M170" s="103"/>
      <c r="N170" s="103"/>
      <c r="O170" s="103"/>
      <c r="P170" s="212"/>
      <c r="Q170" s="213"/>
      <c r="S170" s="214"/>
      <c r="T170" s="18"/>
      <c r="U170" s="18"/>
      <c r="V170" s="97"/>
    </row>
    <row r="171" spans="1:27" ht="18" hidden="1" customHeight="1">
      <c r="A171" s="184"/>
      <c r="B171" s="14" t="s">
        <v>612</v>
      </c>
      <c r="C171" s="14"/>
      <c r="D171" s="14"/>
      <c r="E171" s="14"/>
      <c r="M171" s="120" t="s">
        <v>613</v>
      </c>
      <c r="N171" s="28" t="s">
        <v>127</v>
      </c>
      <c r="O171" s="689" t="s">
        <v>609</v>
      </c>
      <c r="P171" s="716"/>
      <c r="Q171" s="221" t="s">
        <v>630</v>
      </c>
      <c r="R171" s="221">
        <v>16</v>
      </c>
      <c r="S171" s="214"/>
      <c r="V171" s="185"/>
    </row>
    <row r="172" spans="1:27" ht="18" hidden="1" customHeight="1">
      <c r="A172" s="96"/>
      <c r="B172" s="5"/>
      <c r="C172" s="5"/>
      <c r="D172" s="5"/>
      <c r="E172" s="5"/>
      <c r="M172" s="250"/>
      <c r="N172" s="28" t="s">
        <v>127</v>
      </c>
      <c r="O172" s="692">
        <f>+J167</f>
        <v>437.38656756789834</v>
      </c>
      <c r="P172" s="1214"/>
      <c r="Q172" s="221" t="s">
        <v>630</v>
      </c>
      <c r="R172" s="221">
        <v>16</v>
      </c>
      <c r="S172" s="214"/>
      <c r="V172" s="185"/>
    </row>
    <row r="173" spans="1:27" ht="18" hidden="1" customHeight="1">
      <c r="A173" s="96"/>
      <c r="B173" s="5"/>
      <c r="C173" s="5"/>
      <c r="D173" s="5"/>
      <c r="E173" s="5"/>
      <c r="M173" s="120" t="s">
        <v>613</v>
      </c>
      <c r="N173" s="28" t="s">
        <v>127</v>
      </c>
      <c r="O173" s="689">
        <f>O172*R172</f>
        <v>6998.1850810863734</v>
      </c>
      <c r="P173" s="716"/>
      <c r="Q173" s="241" t="s">
        <v>8</v>
      </c>
      <c r="R173" s="14"/>
      <c r="S173" s="214"/>
      <c r="V173" s="185"/>
      <c r="AA173" s="30">
        <f>O173/3000</f>
        <v>2.3327283603621245</v>
      </c>
    </row>
    <row r="174" spans="1:27" ht="18" hidden="1" customHeight="1">
      <c r="A174" s="96"/>
      <c r="B174" s="5"/>
      <c r="C174" s="5"/>
      <c r="D174" s="5"/>
      <c r="E174" s="5"/>
      <c r="M174" s="212"/>
      <c r="N174" s="212"/>
      <c r="O174" s="103"/>
      <c r="Q174" s="223"/>
      <c r="R174" s="14"/>
      <c r="S174" s="214"/>
      <c r="V174" s="185"/>
    </row>
    <row r="175" spans="1:27" ht="18" hidden="1" customHeight="1">
      <c r="A175" s="678" t="s">
        <v>614</v>
      </c>
      <c r="B175" s="1207"/>
      <c r="C175" s="1207"/>
      <c r="D175" s="1207"/>
      <c r="E175" s="1207"/>
      <c r="F175" s="1207"/>
      <c r="G175" s="1207"/>
      <c r="H175" s="1207"/>
      <c r="I175" s="1207"/>
      <c r="J175" s="1207"/>
      <c r="K175" s="1207"/>
      <c r="L175" s="1207"/>
      <c r="M175" s="1207"/>
      <c r="N175" s="1207"/>
      <c r="O175" s="1207"/>
      <c r="P175" s="1207"/>
      <c r="Q175" s="1207"/>
      <c r="R175" s="1207"/>
      <c r="S175" s="1207"/>
      <c r="T175" s="1207"/>
      <c r="U175" s="1207"/>
      <c r="V175" s="1208"/>
      <c r="X175" s="14" t="s">
        <v>615</v>
      </c>
    </row>
    <row r="176" spans="1:27" ht="18" hidden="1" customHeight="1">
      <c r="A176" s="1209"/>
      <c r="B176" s="1207"/>
      <c r="C176" s="1207"/>
      <c r="D176" s="1207"/>
      <c r="E176" s="1207"/>
      <c r="F176" s="1207"/>
      <c r="G176" s="1207"/>
      <c r="H176" s="1207"/>
      <c r="I176" s="1207"/>
      <c r="J176" s="1207"/>
      <c r="K176" s="1207"/>
      <c r="L176" s="1207"/>
      <c r="M176" s="1207"/>
      <c r="N176" s="1207"/>
      <c r="O176" s="1207"/>
      <c r="P176" s="1207"/>
      <c r="Q176" s="1207"/>
      <c r="R176" s="1207"/>
      <c r="S176" s="1207"/>
      <c r="T176" s="1207"/>
      <c r="U176" s="1207"/>
      <c r="V176" s="1208"/>
    </row>
    <row r="177" spans="1:22" ht="18" hidden="1" customHeight="1">
      <c r="A177" s="231"/>
      <c r="B177" s="232"/>
      <c r="C177" s="232"/>
      <c r="D177" s="232"/>
      <c r="E177" s="232"/>
      <c r="F177" s="232"/>
      <c r="G177" s="232"/>
      <c r="H177" s="232"/>
      <c r="I177" s="232"/>
      <c r="J177" s="232"/>
      <c r="K177" s="232"/>
      <c r="L177" s="232"/>
      <c r="M177" s="232"/>
      <c r="N177" s="232"/>
      <c r="O177" s="232"/>
      <c r="P177" s="232"/>
      <c r="Q177" s="232"/>
      <c r="R177" s="232"/>
      <c r="S177" s="232"/>
      <c r="T177" s="232"/>
      <c r="U177" s="232"/>
      <c r="V177" s="233"/>
    </row>
    <row r="178" spans="1:22" ht="18" hidden="1" customHeight="1">
      <c r="A178" s="231"/>
      <c r="B178" s="232"/>
      <c r="C178" s="232"/>
      <c r="D178" s="232"/>
      <c r="E178" s="232"/>
      <c r="F178" s="232"/>
      <c r="G178" s="232"/>
      <c r="H178" s="232"/>
      <c r="I178" s="232"/>
      <c r="J178" s="232"/>
      <c r="K178" s="232"/>
      <c r="L178" s="232"/>
      <c r="M178" s="232"/>
      <c r="N178" s="232"/>
      <c r="O178" s="232"/>
      <c r="P178" s="232"/>
      <c r="Q178" s="232"/>
      <c r="R178" s="232"/>
      <c r="S178" s="232"/>
      <c r="T178" s="232"/>
      <c r="U178" s="232"/>
      <c r="V178" s="233"/>
    </row>
    <row r="179" spans="1:22" ht="18" hidden="1" customHeight="1">
      <c r="A179" s="231"/>
      <c r="B179" s="232"/>
      <c r="C179" s="232"/>
      <c r="D179" s="232"/>
      <c r="E179" s="232"/>
      <c r="F179" s="232"/>
      <c r="G179" s="232"/>
      <c r="H179" s="232"/>
      <c r="I179" s="232"/>
      <c r="J179" s="232"/>
      <c r="K179" s="232"/>
      <c r="L179" s="232"/>
      <c r="M179" s="232"/>
      <c r="N179" s="232"/>
      <c r="O179" s="232"/>
      <c r="P179" s="232"/>
      <c r="Q179" s="232"/>
      <c r="R179" s="232"/>
      <c r="S179" s="232"/>
      <c r="T179" s="232"/>
      <c r="U179" s="232"/>
      <c r="V179" s="233"/>
    </row>
    <row r="180" spans="1:22" ht="18" hidden="1" customHeight="1">
      <c r="A180" s="231"/>
      <c r="B180" s="232"/>
      <c r="C180" s="232"/>
      <c r="D180" s="232"/>
      <c r="E180" s="232"/>
      <c r="F180" s="232"/>
      <c r="G180" s="232"/>
      <c r="H180" s="232"/>
      <c r="I180" s="232"/>
      <c r="J180" s="232"/>
      <c r="K180" s="232"/>
      <c r="L180" s="232"/>
      <c r="M180" s="232"/>
      <c r="N180" s="232"/>
      <c r="O180" s="232"/>
      <c r="P180" s="232"/>
      <c r="Q180" s="232"/>
      <c r="R180" s="232"/>
      <c r="S180" s="232"/>
      <c r="T180" s="232"/>
      <c r="U180" s="232"/>
      <c r="V180" s="233"/>
    </row>
    <row r="181" spans="1:22" s="14" customFormat="1" ht="18" hidden="1" customHeight="1">
      <c r="A181" s="194"/>
      <c r="B181" s="195"/>
      <c r="C181" s="195"/>
      <c r="D181" s="195"/>
      <c r="E181" s="195"/>
      <c r="F181" s="195"/>
      <c r="G181" s="195"/>
      <c r="H181" s="195"/>
      <c r="I181" s="195"/>
      <c r="J181" s="195"/>
      <c r="K181" s="195"/>
      <c r="L181" s="195"/>
      <c r="M181" s="195"/>
      <c r="N181" s="195"/>
      <c r="O181" s="195"/>
      <c r="P181" s="195"/>
      <c r="Q181" s="224"/>
      <c r="R181" s="182"/>
      <c r="S181" s="225"/>
      <c r="T181" s="195"/>
      <c r="U181" s="195"/>
      <c r="V181" s="134"/>
    </row>
    <row r="182" spans="1:22" ht="18" hidden="1" customHeight="1">
      <c r="A182" s="226"/>
      <c r="B182" s="227"/>
      <c r="C182" s="227"/>
      <c r="D182" s="227"/>
      <c r="E182" s="227"/>
      <c r="F182" s="227"/>
      <c r="G182" s="227"/>
      <c r="H182" s="227"/>
      <c r="I182" s="227"/>
      <c r="J182" s="227"/>
      <c r="K182" s="227"/>
      <c r="L182" s="227"/>
      <c r="M182" s="227"/>
      <c r="N182" s="227"/>
      <c r="O182" s="227"/>
      <c r="P182" s="227"/>
      <c r="Q182" s="227"/>
      <c r="R182" s="227"/>
      <c r="S182" s="227"/>
      <c r="T182" s="227"/>
      <c r="U182" s="227"/>
      <c r="V182" s="228"/>
    </row>
    <row r="183" spans="1:22" ht="18" hidden="1" customHeight="1">
      <c r="A183" s="799" t="s">
        <v>417</v>
      </c>
      <c r="B183" s="802"/>
      <c r="C183" s="802"/>
      <c r="D183" s="689">
        <v>30</v>
      </c>
      <c r="E183" s="689" t="s">
        <v>315</v>
      </c>
      <c r="F183" s="689" t="s">
        <v>609</v>
      </c>
      <c r="G183" s="684"/>
      <c r="H183" s="689" t="s">
        <v>315</v>
      </c>
      <c r="I183" s="708" t="s">
        <v>411</v>
      </c>
      <c r="J183" s="828"/>
      <c r="K183" s="689" t="s">
        <v>315</v>
      </c>
      <c r="L183" s="802" t="s">
        <v>419</v>
      </c>
      <c r="M183" s="716" t="s">
        <v>420</v>
      </c>
      <c r="N183" s="729" t="s">
        <v>347</v>
      </c>
      <c r="O183" s="716" t="s">
        <v>408</v>
      </c>
      <c r="P183" s="689" t="s">
        <v>347</v>
      </c>
      <c r="Q183" s="759" t="s">
        <v>421</v>
      </c>
      <c r="R183" s="797"/>
      <c r="S183" s="797"/>
      <c r="T183" s="798" t="s">
        <v>350</v>
      </c>
      <c r="U183" s="230" t="s">
        <v>422</v>
      </c>
      <c r="V183" s="97"/>
    </row>
    <row r="184" spans="1:22" ht="18" hidden="1" customHeight="1">
      <c r="A184" s="827"/>
      <c r="B184" s="802"/>
      <c r="C184" s="802"/>
      <c r="D184" s="689"/>
      <c r="E184" s="689"/>
      <c r="F184" s="684"/>
      <c r="G184" s="684"/>
      <c r="H184" s="689"/>
      <c r="I184" s="689" t="s">
        <v>423</v>
      </c>
      <c r="J184" s="723"/>
      <c r="K184" s="689"/>
      <c r="L184" s="802"/>
      <c r="M184" s="716"/>
      <c r="N184" s="729"/>
      <c r="O184" s="716"/>
      <c r="P184" s="689"/>
      <c r="Q184" s="28" t="s">
        <v>146</v>
      </c>
      <c r="R184" s="28" t="s">
        <v>315</v>
      </c>
      <c r="S184" s="28" t="s">
        <v>146</v>
      </c>
      <c r="T184" s="798"/>
      <c r="U184" s="14"/>
      <c r="V184" s="97"/>
    </row>
    <row r="185" spans="1:22" ht="18" hidden="1" customHeight="1">
      <c r="A185" s="184"/>
      <c r="V185" s="185"/>
    </row>
    <row r="186" spans="1:22" ht="18" hidden="1" customHeight="1">
      <c r="A186" s="799" t="s">
        <v>417</v>
      </c>
      <c r="B186" s="802"/>
      <c r="C186" s="802"/>
      <c r="D186" s="689">
        <v>2</v>
      </c>
      <c r="E186" s="689" t="s">
        <v>315</v>
      </c>
      <c r="F186" s="689" t="s">
        <v>613</v>
      </c>
      <c r="G186" s="684"/>
      <c r="H186" s="689" t="s">
        <v>315</v>
      </c>
      <c r="I186" s="708" t="s">
        <v>411</v>
      </c>
      <c r="J186" s="828"/>
      <c r="K186" s="689" t="s">
        <v>315</v>
      </c>
      <c r="L186" s="802" t="s">
        <v>419</v>
      </c>
      <c r="M186" s="716" t="s">
        <v>420</v>
      </c>
      <c r="N186" s="729" t="s">
        <v>347</v>
      </c>
      <c r="O186" s="716" t="s">
        <v>408</v>
      </c>
      <c r="P186" s="689" t="s">
        <v>347</v>
      </c>
      <c r="Q186" s="759" t="s">
        <v>421</v>
      </c>
      <c r="R186" s="797"/>
      <c r="S186" s="797"/>
      <c r="T186" s="798" t="s">
        <v>350</v>
      </c>
      <c r="U186" s="230" t="s">
        <v>426</v>
      </c>
      <c r="V186" s="97"/>
    </row>
    <row r="187" spans="1:22" ht="18" hidden="1" customHeight="1">
      <c r="A187" s="827"/>
      <c r="B187" s="802"/>
      <c r="C187" s="802"/>
      <c r="D187" s="689"/>
      <c r="E187" s="689"/>
      <c r="F187" s="684"/>
      <c r="G187" s="684"/>
      <c r="H187" s="689"/>
      <c r="I187" s="689" t="s">
        <v>423</v>
      </c>
      <c r="J187" s="723"/>
      <c r="K187" s="689"/>
      <c r="L187" s="802"/>
      <c r="M187" s="716"/>
      <c r="N187" s="729"/>
      <c r="O187" s="716"/>
      <c r="P187" s="689"/>
      <c r="Q187" s="28" t="s">
        <v>146</v>
      </c>
      <c r="R187" s="28" t="s">
        <v>315</v>
      </c>
      <c r="S187" s="28" t="s">
        <v>146</v>
      </c>
      <c r="T187" s="798"/>
      <c r="U187" s="14"/>
      <c r="V187" s="97"/>
    </row>
    <row r="188" spans="1:22" ht="18" hidden="1" customHeight="1">
      <c r="A188" s="184"/>
      <c r="V188" s="185"/>
    </row>
    <row r="189" spans="1:22" ht="18" hidden="1" customHeight="1">
      <c r="A189" s="678" t="s">
        <v>616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2"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2" ht="18" hidden="1" customHeight="1">
      <c r="A191" s="231"/>
      <c r="B191" s="232"/>
      <c r="C191" s="232"/>
      <c r="D191" s="232"/>
      <c r="E191" s="232"/>
      <c r="F191" s="232"/>
      <c r="G191" s="232"/>
      <c r="H191" s="232"/>
      <c r="I191" s="232"/>
      <c r="J191" s="232"/>
      <c r="K191" s="232"/>
      <c r="L191" s="232"/>
      <c r="M191" s="232"/>
      <c r="N191" s="232"/>
      <c r="O191" s="232"/>
      <c r="P191" s="232"/>
      <c r="Q191" s="232"/>
      <c r="R191" s="232"/>
      <c r="S191" s="232"/>
      <c r="T191" s="232"/>
      <c r="U191" s="232"/>
      <c r="V191" s="233"/>
    </row>
    <row r="192" spans="1:22" ht="18" hidden="1" customHeight="1">
      <c r="A192" s="799" t="s">
        <v>417</v>
      </c>
      <c r="B192" s="802"/>
      <c r="C192" s="802"/>
      <c r="D192" s="689"/>
      <c r="E192" s="689"/>
      <c r="F192" s="689" t="s">
        <v>617</v>
      </c>
      <c r="G192" s="684"/>
      <c r="H192" s="689" t="s">
        <v>315</v>
      </c>
      <c r="I192" s="708" t="s">
        <v>411</v>
      </c>
      <c r="J192" s="828"/>
      <c r="K192" s="689" t="s">
        <v>315</v>
      </c>
      <c r="L192" s="802" t="s">
        <v>419</v>
      </c>
      <c r="M192" s="716" t="s">
        <v>420</v>
      </c>
      <c r="N192" s="729" t="s">
        <v>347</v>
      </c>
      <c r="O192" s="716" t="s">
        <v>408</v>
      </c>
      <c r="P192" s="689" t="s">
        <v>347</v>
      </c>
      <c r="Q192" s="759" t="s">
        <v>421</v>
      </c>
      <c r="R192" s="797"/>
      <c r="S192" s="797"/>
      <c r="T192" s="798" t="s">
        <v>350</v>
      </c>
      <c r="U192" s="230" t="s">
        <v>618</v>
      </c>
      <c r="V192" s="97"/>
    </row>
    <row r="193" spans="1:22" ht="18" hidden="1" customHeight="1">
      <c r="A193" s="827"/>
      <c r="B193" s="802"/>
      <c r="C193" s="802"/>
      <c r="D193" s="689"/>
      <c r="E193" s="689"/>
      <c r="F193" s="684"/>
      <c r="G193" s="684"/>
      <c r="H193" s="689"/>
      <c r="I193" s="689" t="s">
        <v>423</v>
      </c>
      <c r="J193" s="723"/>
      <c r="K193" s="689"/>
      <c r="L193" s="802"/>
      <c r="M193" s="716"/>
      <c r="N193" s="729"/>
      <c r="O193" s="716"/>
      <c r="P193" s="689"/>
      <c r="Q193" s="28" t="s">
        <v>146</v>
      </c>
      <c r="R193" s="28" t="s">
        <v>315</v>
      </c>
      <c r="S193" s="28" t="s">
        <v>146</v>
      </c>
      <c r="T193" s="798"/>
      <c r="U193" s="14"/>
      <c r="V193" s="97"/>
    </row>
    <row r="194" spans="1:22" ht="18" hidden="1" customHeight="1">
      <c r="A194" s="96"/>
      <c r="B194" s="14"/>
      <c r="C194" s="14"/>
      <c r="D194" s="28"/>
      <c r="E194" s="28"/>
      <c r="F194" s="27"/>
      <c r="G194" s="27"/>
      <c r="H194" s="28"/>
      <c r="I194" s="28"/>
      <c r="K194" s="28"/>
      <c r="L194" s="120"/>
      <c r="M194" s="14"/>
      <c r="N194" s="102"/>
      <c r="O194" s="14"/>
      <c r="P194" s="28"/>
      <c r="Q194" s="28"/>
      <c r="R194" s="28"/>
      <c r="S194" s="28"/>
      <c r="T194" s="40"/>
      <c r="U194" s="14"/>
      <c r="V194" s="97"/>
    </row>
    <row r="195" spans="1:22" ht="18" hidden="1" customHeight="1">
      <c r="A195" s="184"/>
      <c r="H195" s="30" t="s">
        <v>619</v>
      </c>
      <c r="M195" s="854" t="str">
        <f>M59</f>
        <v>N</v>
      </c>
      <c r="N195" s="831"/>
      <c r="V195" s="185"/>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84"/>
      <c r="B197" s="14" t="s">
        <v>427</v>
      </c>
      <c r="C197" s="14"/>
      <c r="D197" s="103"/>
      <c r="E197" s="103"/>
      <c r="F197" s="14"/>
      <c r="G197" s="14"/>
      <c r="H197" s="5"/>
      <c r="I197" s="5"/>
      <c r="J197" s="5"/>
      <c r="P197" s="120" t="s">
        <v>428</v>
      </c>
      <c r="V197" s="185"/>
    </row>
    <row r="198" spans="1:22" ht="18" hidden="1" customHeight="1">
      <c r="A198" s="184"/>
      <c r="B198" s="14" t="s">
        <v>429</v>
      </c>
      <c r="C198" s="14"/>
      <c r="D198" s="103"/>
      <c r="E198" s="103"/>
      <c r="F198" s="14"/>
      <c r="G198" s="14"/>
      <c r="H198" s="5"/>
      <c r="I198" s="5"/>
      <c r="J198" s="5"/>
      <c r="P198" s="120" t="s">
        <v>430</v>
      </c>
      <c r="Q198" s="234" t="s">
        <v>127</v>
      </c>
      <c r="R198" s="684">
        <f>J146</f>
        <v>2500</v>
      </c>
      <c r="S198" s="684"/>
      <c r="T198" s="14" t="s">
        <v>8</v>
      </c>
      <c r="V198" s="185"/>
    </row>
    <row r="199" spans="1:22" ht="18" hidden="1" customHeight="1">
      <c r="A199" s="184"/>
      <c r="B199" s="14" t="s">
        <v>621</v>
      </c>
      <c r="C199" s="14"/>
      <c r="D199" s="14"/>
      <c r="E199" s="14"/>
      <c r="F199" s="14"/>
      <c r="G199" s="14"/>
      <c r="H199" s="14"/>
      <c r="I199" s="14"/>
      <c r="J199" s="14"/>
      <c r="P199" s="120" t="s">
        <v>609</v>
      </c>
      <c r="Q199" s="234" t="s">
        <v>127</v>
      </c>
      <c r="R199" s="684">
        <f>J167</f>
        <v>437.38656756789834</v>
      </c>
      <c r="S199" s="684"/>
      <c r="T199" s="14" t="s">
        <v>8</v>
      </c>
      <c r="V199" s="185"/>
    </row>
    <row r="200" spans="1:22" ht="18" hidden="1" customHeight="1">
      <c r="A200" s="184"/>
      <c r="B200" s="14" t="s">
        <v>622</v>
      </c>
      <c r="C200" s="14"/>
      <c r="D200" s="14"/>
      <c r="E200" s="14"/>
      <c r="F200" s="14"/>
      <c r="G200" s="14"/>
      <c r="H200" s="14"/>
      <c r="I200" s="14"/>
      <c r="J200" s="14"/>
      <c r="P200" s="120" t="s">
        <v>613</v>
      </c>
      <c r="Q200" s="234" t="s">
        <v>127</v>
      </c>
      <c r="R200" s="684">
        <f>O173</f>
        <v>6998.1850810863734</v>
      </c>
      <c r="S200" s="684"/>
      <c r="T200" s="14" t="s">
        <v>8</v>
      </c>
      <c r="V200" s="185"/>
    </row>
    <row r="201" spans="1:22" ht="18" hidden="1" customHeight="1">
      <c r="A201" s="184"/>
      <c r="B201" s="235" t="s">
        <v>623</v>
      </c>
      <c r="C201" s="14"/>
      <c r="D201" s="14"/>
      <c r="E201" s="14"/>
      <c r="F201" s="14"/>
      <c r="G201" s="14"/>
      <c r="H201" s="14"/>
      <c r="I201" s="14"/>
      <c r="J201" s="14"/>
      <c r="P201" s="120"/>
      <c r="Q201" s="236"/>
      <c r="R201" s="27"/>
      <c r="S201" s="27"/>
      <c r="T201" s="14"/>
      <c r="V201" s="185"/>
    </row>
    <row r="202" spans="1:22" ht="18" hidden="1" customHeight="1">
      <c r="A202" s="184"/>
      <c r="B202" s="14" t="s">
        <v>622</v>
      </c>
      <c r="C202" s="14"/>
      <c r="D202" s="14"/>
      <c r="E202" s="14"/>
      <c r="F202" s="14"/>
      <c r="G202" s="14"/>
      <c r="H202" s="14"/>
      <c r="I202" s="14"/>
      <c r="J202" s="14"/>
      <c r="P202" s="120" t="s">
        <v>617</v>
      </c>
      <c r="Q202" s="234" t="s">
        <v>127</v>
      </c>
      <c r="R202" s="684" t="str">
        <f>R66</f>
        <v>-</v>
      </c>
      <c r="S202" s="684"/>
      <c r="T202" s="14" t="s">
        <v>8</v>
      </c>
      <c r="V202" s="185"/>
    </row>
    <row r="203" spans="1:22" ht="18" hidden="1" customHeight="1">
      <c r="A203" s="184"/>
      <c r="B203" s="235" t="s">
        <v>624</v>
      </c>
      <c r="C203" s="14"/>
      <c r="D203" s="14"/>
      <c r="E203" s="14"/>
      <c r="F203" s="14"/>
      <c r="G203" s="14"/>
      <c r="H203" s="14"/>
      <c r="I203" s="14"/>
      <c r="J203" s="14"/>
      <c r="R203" s="27"/>
      <c r="S203" s="27"/>
      <c r="T203" s="14"/>
      <c r="V203" s="185"/>
    </row>
    <row r="204" spans="1:22" ht="18" hidden="1" customHeight="1">
      <c r="A204" s="184"/>
      <c r="B204" s="14" t="s">
        <v>435</v>
      </c>
      <c r="C204" s="14"/>
      <c r="D204" s="103"/>
      <c r="E204" s="103"/>
      <c r="F204" s="14"/>
      <c r="G204" s="14"/>
      <c r="H204" s="5"/>
      <c r="I204" s="5"/>
      <c r="J204" s="5"/>
      <c r="P204" s="120" t="s">
        <v>436</v>
      </c>
      <c r="Q204" s="234" t="s">
        <v>127</v>
      </c>
      <c r="R204" s="684">
        <f>O146</f>
        <v>1</v>
      </c>
      <c r="S204" s="684"/>
      <c r="T204" s="14" t="s">
        <v>8</v>
      </c>
      <c r="V204" s="185"/>
    </row>
    <row r="205" spans="1:22" ht="18" hidden="1" customHeight="1">
      <c r="A205" s="184"/>
      <c r="B205" s="14" t="s">
        <v>437</v>
      </c>
      <c r="C205" s="14"/>
      <c r="D205" s="103"/>
      <c r="E205" s="103"/>
      <c r="F205" s="14"/>
      <c r="G205" s="14"/>
      <c r="H205" s="5"/>
      <c r="I205" s="5"/>
      <c r="J205" s="5"/>
      <c r="P205" s="120" t="s">
        <v>438</v>
      </c>
      <c r="Q205" s="234" t="s">
        <v>127</v>
      </c>
      <c r="R205" s="684">
        <f>R69</f>
        <v>1</v>
      </c>
      <c r="S205" s="684"/>
      <c r="T205" s="14" t="s">
        <v>8</v>
      </c>
      <c r="V205" s="185"/>
    </row>
    <row r="206" spans="1:22" ht="18" hidden="1" customHeight="1">
      <c r="A206" s="184"/>
      <c r="B206" s="14" t="s">
        <v>439</v>
      </c>
      <c r="C206" s="14"/>
      <c r="D206" s="103"/>
      <c r="E206" s="103"/>
      <c r="F206" s="14"/>
      <c r="G206" s="14"/>
      <c r="H206" s="5"/>
      <c r="I206" s="5"/>
      <c r="J206" s="5"/>
      <c r="P206" s="120" t="s">
        <v>440</v>
      </c>
      <c r="Q206" s="234" t="s">
        <v>127</v>
      </c>
      <c r="R206" s="684">
        <f>J148</f>
        <v>5</v>
      </c>
      <c r="S206" s="684"/>
      <c r="T206" s="192" t="s">
        <v>333</v>
      </c>
      <c r="V206" s="185"/>
    </row>
    <row r="207" spans="1:22" ht="18" hidden="1" customHeight="1">
      <c r="A207" s="184"/>
      <c r="B207" s="14" t="s">
        <v>625</v>
      </c>
      <c r="C207" s="14"/>
      <c r="D207" s="14"/>
      <c r="E207" s="14"/>
      <c r="F207" s="14"/>
      <c r="G207" s="14"/>
      <c r="H207" s="14"/>
      <c r="I207" s="14"/>
      <c r="J207" s="14"/>
      <c r="P207" s="237" t="s">
        <v>441</v>
      </c>
      <c r="Q207" s="234" t="s">
        <v>127</v>
      </c>
      <c r="R207" s="795">
        <f>P158</f>
        <v>1.1867743100000001</v>
      </c>
      <c r="S207" s="684"/>
      <c r="T207" s="192" t="s">
        <v>333</v>
      </c>
      <c r="V207" s="185"/>
    </row>
    <row r="208" spans="1:22" ht="18" hidden="1" customHeight="1">
      <c r="A208" s="184"/>
      <c r="B208" s="40" t="s">
        <v>626</v>
      </c>
      <c r="C208" s="14"/>
      <c r="D208" s="14"/>
      <c r="E208" s="14"/>
      <c r="F208" s="14"/>
      <c r="G208" s="14"/>
      <c r="H208" s="5"/>
      <c r="I208" s="5"/>
      <c r="J208" s="5"/>
      <c r="P208" s="237" t="s">
        <v>443</v>
      </c>
      <c r="Q208" s="234" t="s">
        <v>127</v>
      </c>
      <c r="R208" s="795">
        <f>J154</f>
        <v>0.02</v>
      </c>
      <c r="S208" s="684"/>
      <c r="T208" s="14" t="s">
        <v>157</v>
      </c>
      <c r="V208" s="185"/>
    </row>
    <row r="209" spans="1:22" ht="18" hidden="1" customHeight="1">
      <c r="A209" s="184"/>
      <c r="V209" s="185"/>
    </row>
    <row r="210" spans="1:22" ht="18" hidden="1" customHeight="1">
      <c r="A210" s="799" t="s">
        <v>417</v>
      </c>
      <c r="B210" s="802"/>
      <c r="C210" s="802"/>
      <c r="D210" s="805">
        <v>30</v>
      </c>
      <c r="E210" s="805" t="s">
        <v>315</v>
      </c>
      <c r="F210" s="1184">
        <f>R199</f>
        <v>437.38656756789834</v>
      </c>
      <c r="G210" s="1111"/>
      <c r="H210" s="805" t="s">
        <v>315</v>
      </c>
      <c r="I210" s="822">
        <f>R204</f>
        <v>1</v>
      </c>
      <c r="J210" s="1269"/>
      <c r="K210" s="805" t="s">
        <v>315</v>
      </c>
      <c r="L210" s="815" t="s">
        <v>419</v>
      </c>
      <c r="M210" s="815">
        <f>R206</f>
        <v>5</v>
      </c>
      <c r="N210" s="816" t="s">
        <v>347</v>
      </c>
      <c r="O210" s="817">
        <f>R207</f>
        <v>1.1867743100000001</v>
      </c>
      <c r="P210" s="805" t="s">
        <v>347</v>
      </c>
      <c r="Q210" s="1259">
        <f>R208</f>
        <v>0.02</v>
      </c>
      <c r="R210" s="807"/>
      <c r="S210" s="807"/>
      <c r="T210" s="798" t="s">
        <v>350</v>
      </c>
      <c r="U210" s="230" t="s">
        <v>422</v>
      </c>
      <c r="V210" s="97"/>
    </row>
    <row r="211" spans="1:22" ht="18" hidden="1" customHeight="1">
      <c r="A211" s="827"/>
      <c r="B211" s="802"/>
      <c r="C211" s="802"/>
      <c r="D211" s="805"/>
      <c r="E211" s="805"/>
      <c r="F211" s="1111"/>
      <c r="G211" s="1111"/>
      <c r="H211" s="805"/>
      <c r="I211" s="805">
        <f>R198</f>
        <v>2500</v>
      </c>
      <c r="J211" s="1234"/>
      <c r="K211" s="805"/>
      <c r="L211" s="815"/>
      <c r="M211" s="815"/>
      <c r="N211" s="816"/>
      <c r="O211" s="815"/>
      <c r="P211" s="805"/>
      <c r="Q211" s="221">
        <f>R205</f>
        <v>1</v>
      </c>
      <c r="R211" s="221" t="s">
        <v>315</v>
      </c>
      <c r="S211" s="221">
        <f>R205</f>
        <v>1</v>
      </c>
      <c r="T211" s="798"/>
      <c r="U211" s="14"/>
      <c r="V211" s="97"/>
    </row>
    <row r="212" spans="1:22" ht="18" hidden="1" customHeight="1">
      <c r="A212" s="184"/>
      <c r="V212" s="185"/>
    </row>
    <row r="213" spans="1:22" ht="18" hidden="1" customHeight="1">
      <c r="A213" s="184"/>
      <c r="C213" s="30" t="s">
        <v>127</v>
      </c>
      <c r="D213" s="812">
        <f>D210*F210*(I210/I211)*(M210+O210+(Q210/(Q211*S211)))</f>
        <v>32.577116533434129</v>
      </c>
      <c r="E213" s="813"/>
      <c r="F213" s="30" t="s">
        <v>305</v>
      </c>
      <c r="V213" s="185"/>
    </row>
    <row r="214" spans="1:22" ht="18" hidden="1" customHeight="1">
      <c r="A214" s="184"/>
      <c r="V214" s="185"/>
    </row>
    <row r="215" spans="1:22" ht="18" hidden="1" customHeight="1">
      <c r="A215" s="799" t="s">
        <v>417</v>
      </c>
      <c r="B215" s="802"/>
      <c r="C215" s="802"/>
      <c r="D215" s="805">
        <v>2</v>
      </c>
      <c r="E215" s="805" t="s">
        <v>315</v>
      </c>
      <c r="F215" s="1184">
        <f>R200</f>
        <v>6998.1850810863734</v>
      </c>
      <c r="G215" s="1111"/>
      <c r="H215" s="805" t="s">
        <v>315</v>
      </c>
      <c r="I215" s="822">
        <f>R204</f>
        <v>1</v>
      </c>
      <c r="J215" s="1269"/>
      <c r="K215" s="805" t="s">
        <v>315</v>
      </c>
      <c r="L215" s="808" t="s">
        <v>419</v>
      </c>
      <c r="M215" s="815">
        <f>R206</f>
        <v>5</v>
      </c>
      <c r="N215" s="816" t="s">
        <v>347</v>
      </c>
      <c r="O215" s="817">
        <f>R207</f>
        <v>1.1867743100000001</v>
      </c>
      <c r="P215" s="805" t="s">
        <v>347</v>
      </c>
      <c r="Q215" s="1259">
        <f>R208</f>
        <v>0.02</v>
      </c>
      <c r="R215" s="807"/>
      <c r="S215" s="807"/>
      <c r="T215" s="798" t="s">
        <v>350</v>
      </c>
      <c r="U215" s="230" t="s">
        <v>426</v>
      </c>
      <c r="V215" s="97"/>
    </row>
    <row r="216" spans="1:22" ht="18" hidden="1" customHeight="1">
      <c r="A216" s="827"/>
      <c r="B216" s="802"/>
      <c r="C216" s="802"/>
      <c r="D216" s="805"/>
      <c r="E216" s="805"/>
      <c r="F216" s="1111"/>
      <c r="G216" s="1111"/>
      <c r="H216" s="805"/>
      <c r="I216" s="805">
        <f>R198</f>
        <v>2500</v>
      </c>
      <c r="J216" s="1234"/>
      <c r="K216" s="805"/>
      <c r="L216" s="808"/>
      <c r="M216" s="815"/>
      <c r="N216" s="816"/>
      <c r="O216" s="815"/>
      <c r="P216" s="805"/>
      <c r="Q216" s="221">
        <f>R205</f>
        <v>1</v>
      </c>
      <c r="R216" s="221" t="s">
        <v>315</v>
      </c>
      <c r="S216" s="221">
        <f>R205</f>
        <v>1</v>
      </c>
      <c r="T216" s="798"/>
      <c r="U216" s="14"/>
      <c r="V216" s="97"/>
    </row>
    <row r="217" spans="1:22" ht="18" hidden="1" customHeight="1">
      <c r="A217" s="184"/>
      <c r="L217" s="244"/>
      <c r="V217" s="185"/>
    </row>
    <row r="218" spans="1:22" ht="18" hidden="1" customHeight="1">
      <c r="A218" s="184"/>
      <c r="C218" s="30" t="s">
        <v>127</v>
      </c>
      <c r="D218" s="812">
        <f>D215*F215*(I215/I216)*(M215+O215+(Q215/(Q216*S216)))</f>
        <v>34.748924302329733</v>
      </c>
      <c r="E218" s="813"/>
      <c r="F218" s="30" t="s">
        <v>305</v>
      </c>
      <c r="L218" s="244"/>
      <c r="V218" s="185"/>
    </row>
    <row r="219" spans="1:22" ht="18" hidden="1" customHeight="1">
      <c r="A219" s="184"/>
      <c r="L219" s="244"/>
      <c r="V219" s="185"/>
    </row>
    <row r="220" spans="1:22" ht="18" hidden="1" customHeight="1">
      <c r="A220" s="799" t="s">
        <v>417</v>
      </c>
      <c r="B220" s="802"/>
      <c r="C220" s="802"/>
      <c r="D220" s="689"/>
      <c r="E220" s="689"/>
      <c r="F220" s="805" t="str">
        <f>R202</f>
        <v>-</v>
      </c>
      <c r="G220" s="993"/>
      <c r="H220" s="805" t="s">
        <v>315</v>
      </c>
      <c r="I220" s="822">
        <f>R204</f>
        <v>1</v>
      </c>
      <c r="J220" s="1269"/>
      <c r="K220" s="805" t="s">
        <v>315</v>
      </c>
      <c r="L220" s="808" t="s">
        <v>419</v>
      </c>
      <c r="M220" s="815">
        <f>R206</f>
        <v>5</v>
      </c>
      <c r="N220" s="816" t="s">
        <v>347</v>
      </c>
      <c r="O220" s="817">
        <f>R207</f>
        <v>1.1867743100000001</v>
      </c>
      <c r="P220" s="805" t="s">
        <v>347</v>
      </c>
      <c r="Q220" s="1259">
        <f>R208</f>
        <v>0.02</v>
      </c>
      <c r="R220" s="807"/>
      <c r="S220" s="807"/>
      <c r="T220" s="798" t="s">
        <v>350</v>
      </c>
      <c r="U220" s="230" t="s">
        <v>618</v>
      </c>
      <c r="V220" s="97"/>
    </row>
    <row r="221" spans="1:22" ht="18" hidden="1" customHeight="1">
      <c r="A221" s="827"/>
      <c r="B221" s="802"/>
      <c r="C221" s="802"/>
      <c r="D221" s="689"/>
      <c r="E221" s="689"/>
      <c r="F221" s="993"/>
      <c r="G221" s="993"/>
      <c r="H221" s="805"/>
      <c r="I221" s="805">
        <f>R198</f>
        <v>2500</v>
      </c>
      <c r="J221" s="1234"/>
      <c r="K221" s="805"/>
      <c r="L221" s="808"/>
      <c r="M221" s="815"/>
      <c r="N221" s="816"/>
      <c r="O221" s="815"/>
      <c r="P221" s="805"/>
      <c r="Q221" s="221">
        <f>R205</f>
        <v>1</v>
      </c>
      <c r="R221" s="221" t="s">
        <v>315</v>
      </c>
      <c r="S221" s="221">
        <f>R205</f>
        <v>1</v>
      </c>
      <c r="T221" s="798"/>
      <c r="U221" s="14"/>
      <c r="V221" s="97"/>
    </row>
    <row r="222" spans="1:22" ht="18" hidden="1" customHeight="1">
      <c r="A222" s="184"/>
      <c r="V222" s="185"/>
    </row>
    <row r="223" spans="1:22" ht="18" hidden="1" customHeight="1">
      <c r="A223" s="184"/>
      <c r="C223" s="30" t="s">
        <v>127</v>
      </c>
      <c r="D223" s="812" t="e">
        <f>F220*(I220/I221)*(M220+O220+(Q220/(Q221*S221)))</f>
        <v>#VALUE!</v>
      </c>
      <c r="E223" s="813"/>
      <c r="F223" s="30" t="s">
        <v>305</v>
      </c>
      <c r="G223" s="187" t="s">
        <v>378</v>
      </c>
      <c r="H223" s="186" t="str">
        <f>IF(M195="y","Applicable","Not applicable")</f>
        <v>Not applicable</v>
      </c>
      <c r="V223" s="185"/>
    </row>
    <row r="224" spans="1:22" ht="18" hidden="1" customHeight="1">
      <c r="A224" s="184"/>
      <c r="D224" s="211"/>
      <c r="E224" s="211"/>
      <c r="G224" s="187"/>
      <c r="H224" s="186"/>
      <c r="V224" s="185"/>
    </row>
    <row r="225" spans="1:22" ht="18" hidden="1" customHeight="1">
      <c r="A225" s="184"/>
      <c r="D225" s="211"/>
      <c r="E225" s="211"/>
      <c r="G225" s="187"/>
      <c r="H225" s="186"/>
      <c r="V225" s="185"/>
    </row>
    <row r="226" spans="1:22" ht="18" hidden="1" customHeight="1">
      <c r="A226" s="184"/>
      <c r="D226" s="211"/>
      <c r="E226" s="211"/>
      <c r="G226" s="187"/>
      <c r="H226" s="186"/>
      <c r="V226" s="185"/>
    </row>
    <row r="227" spans="1:22" ht="18" hidden="1" customHeight="1">
      <c r="A227" s="184"/>
      <c r="D227" s="211"/>
      <c r="E227" s="211"/>
      <c r="G227" s="187"/>
      <c r="H227" s="186"/>
      <c r="V227" s="185"/>
    </row>
    <row r="228" spans="1:22" ht="18" hidden="1" customHeight="1">
      <c r="A228" s="184"/>
      <c r="D228" s="211"/>
      <c r="E228" s="211"/>
      <c r="G228" s="187"/>
      <c r="H228" s="186"/>
      <c r="V228" s="185"/>
    </row>
    <row r="229" spans="1:22" ht="18" hidden="1" customHeight="1">
      <c r="A229" s="184"/>
      <c r="D229" s="211"/>
      <c r="E229" s="211"/>
      <c r="G229" s="187"/>
      <c r="H229" s="186"/>
      <c r="V229" s="185"/>
    </row>
    <row r="230" spans="1:22" ht="18" hidden="1" customHeight="1">
      <c r="A230" s="184"/>
      <c r="D230" s="211"/>
      <c r="E230" s="211"/>
      <c r="G230" s="187"/>
      <c r="H230" s="186"/>
      <c r="V230" s="185"/>
    </row>
    <row r="231" spans="1:22" ht="18" hidden="1" customHeight="1">
      <c r="A231" s="184"/>
      <c r="V231" s="185"/>
    </row>
    <row r="232" spans="1:22" s="14" customFormat="1" ht="18" hidden="1" customHeight="1">
      <c r="A232" s="194"/>
      <c r="B232" s="195"/>
      <c r="C232" s="195"/>
      <c r="D232" s="195"/>
      <c r="E232" s="195"/>
      <c r="F232" s="195"/>
      <c r="G232" s="195"/>
      <c r="H232" s="195"/>
      <c r="I232" s="195"/>
      <c r="J232" s="195"/>
      <c r="K232" s="195"/>
      <c r="L232" s="195"/>
      <c r="M232" s="195"/>
      <c r="N232" s="195"/>
      <c r="O232" s="195"/>
      <c r="P232" s="195"/>
      <c r="Q232" s="224"/>
      <c r="R232" s="182"/>
      <c r="S232" s="225"/>
      <c r="T232" s="195"/>
      <c r="U232" s="195"/>
      <c r="V232" s="134"/>
    </row>
    <row r="233" spans="1:22" ht="18" hidden="1" customHeight="1">
      <c r="A233" s="226"/>
      <c r="B233" s="227"/>
      <c r="C233" s="227"/>
      <c r="D233" s="227"/>
      <c r="E233" s="227"/>
      <c r="F233" s="227"/>
      <c r="G233" s="227"/>
      <c r="H233" s="227"/>
      <c r="I233" s="227"/>
      <c r="J233" s="227"/>
      <c r="K233" s="227"/>
      <c r="L233" s="227"/>
      <c r="M233" s="227"/>
      <c r="N233" s="227"/>
      <c r="O233" s="227"/>
      <c r="P233" s="227"/>
      <c r="Q233" s="227"/>
      <c r="R233" s="227"/>
      <c r="S233" s="227"/>
      <c r="T233" s="227"/>
      <c r="U233" s="227"/>
      <c r="V233" s="228"/>
    </row>
    <row r="234" spans="1:22" ht="18" hidden="1" customHeight="1">
      <c r="A234" s="96" t="s">
        <v>627</v>
      </c>
      <c r="M234" s="825">
        <f>R198</f>
        <v>2500</v>
      </c>
      <c r="N234" s="826"/>
      <c r="O234" s="30" t="s">
        <v>470</v>
      </c>
      <c r="Q234" s="812">
        <f>IF(M195="Y",MAX(D213,D223),MAX(D213,D218))</f>
        <v>34.748924302329733</v>
      </c>
      <c r="R234" s="820"/>
      <c r="S234" s="30" t="s">
        <v>305</v>
      </c>
      <c r="V234" s="185"/>
    </row>
    <row r="235" spans="1:22" ht="18" hidden="1" customHeight="1">
      <c r="A235" s="184"/>
      <c r="M235" s="247"/>
      <c r="N235" s="247"/>
      <c r="Q235" s="211"/>
      <c r="R235" s="27"/>
      <c r="V235" s="185"/>
    </row>
    <row r="236" spans="1:22" ht="18" hidden="1" customHeight="1">
      <c r="A236" s="248" t="s">
        <v>471</v>
      </c>
      <c r="B236" s="14"/>
      <c r="C236" s="14"/>
      <c r="D236" s="249"/>
      <c r="E236" s="14"/>
      <c r="F236" s="14"/>
      <c r="G236" s="47"/>
      <c r="H236" s="14"/>
      <c r="J236" s="14"/>
      <c r="K236" s="14"/>
      <c r="L236" s="14"/>
      <c r="M236" s="14"/>
      <c r="N236" s="14"/>
      <c r="O236" s="14"/>
      <c r="P236" s="250"/>
      <c r="Q236" s="251"/>
      <c r="R236" s="47"/>
      <c r="S236" s="14"/>
      <c r="V236" s="185"/>
    </row>
    <row r="237" spans="1:22" ht="18" hidden="1" customHeight="1">
      <c r="A237" s="248"/>
      <c r="B237" s="14"/>
      <c r="C237" s="14"/>
      <c r="D237" s="249"/>
      <c r="E237" s="14"/>
      <c r="F237" s="14"/>
      <c r="G237" s="47"/>
      <c r="H237" s="14"/>
      <c r="J237" s="14"/>
      <c r="K237" s="14"/>
      <c r="L237" s="14"/>
      <c r="M237" s="14"/>
      <c r="N237" s="14"/>
      <c r="O237" s="14"/>
      <c r="P237" s="250"/>
      <c r="Q237" s="251"/>
      <c r="R237" s="47"/>
      <c r="S237" s="14"/>
      <c r="V237" s="185"/>
    </row>
    <row r="238" spans="1:22" ht="18" hidden="1" customHeight="1">
      <c r="A238" s="96" t="s">
        <v>628</v>
      </c>
      <c r="V238" s="185"/>
    </row>
    <row r="239" spans="1:22" ht="18" hidden="1" customHeight="1">
      <c r="A239" s="184"/>
      <c r="N239" s="14"/>
      <c r="O239" s="14" t="s">
        <v>473</v>
      </c>
      <c r="P239" s="102" t="s">
        <v>127</v>
      </c>
      <c r="Q239" s="694" t="s">
        <v>474</v>
      </c>
      <c r="R239" s="694"/>
      <c r="S239" s="28" t="s">
        <v>315</v>
      </c>
      <c r="T239" s="28">
        <v>0.8</v>
      </c>
      <c r="V239" s="185"/>
    </row>
    <row r="240" spans="1:22" ht="18" hidden="1" customHeight="1">
      <c r="A240" s="184"/>
      <c r="N240" s="252"/>
      <c r="O240" s="14"/>
      <c r="P240" s="102" t="s">
        <v>127</v>
      </c>
      <c r="Q240" s="829">
        <f>+Q234</f>
        <v>34.748924302329733</v>
      </c>
      <c r="R240" s="1147"/>
      <c r="S240" s="222" t="s">
        <v>315</v>
      </c>
      <c r="T240" s="253">
        <f>+T239</f>
        <v>0.8</v>
      </c>
      <c r="V240" s="185"/>
    </row>
    <row r="241" spans="1:22" ht="18" hidden="1" customHeight="1">
      <c r="A241" s="184"/>
      <c r="O241" s="14"/>
      <c r="P241" s="28" t="s">
        <v>127</v>
      </c>
      <c r="Q241" s="830">
        <f>Q240*T240</f>
        <v>27.799139441863787</v>
      </c>
      <c r="R241" s="1270"/>
      <c r="S241" s="47" t="s">
        <v>305</v>
      </c>
      <c r="T241" s="14"/>
      <c r="V241" s="185"/>
    </row>
    <row r="242" spans="1:22" ht="18" hidden="1" customHeight="1">
      <c r="A242" s="184"/>
      <c r="V242" s="185"/>
    </row>
    <row r="243" spans="1:22" ht="18" hidden="1" customHeight="1">
      <c r="A243" s="184"/>
      <c r="D243" s="30" t="s">
        <v>475</v>
      </c>
      <c r="G243" s="28" t="s">
        <v>476</v>
      </c>
      <c r="H243" s="30" t="s">
        <v>477</v>
      </c>
      <c r="V243" s="185"/>
    </row>
    <row r="244" spans="1:22" ht="18" hidden="1" customHeight="1">
      <c r="A244" s="184"/>
      <c r="E244" s="684">
        <f>J149</f>
        <v>300</v>
      </c>
      <c r="F244" s="684"/>
      <c r="G244" s="28" t="s">
        <v>476</v>
      </c>
      <c r="H244" s="795">
        <f>Q241</f>
        <v>27.799139441863787</v>
      </c>
      <c r="I244" s="684"/>
      <c r="V244" s="185"/>
    </row>
    <row r="245" spans="1:22" ht="18" hidden="1" customHeight="1">
      <c r="A245" s="184"/>
      <c r="F245" s="244" t="s">
        <v>478</v>
      </c>
      <c r="H245" s="18" t="str">
        <f>IF(E244&gt;H244,"Suitable Dimensions","Under Dimensioned")</f>
        <v>Suitable Dimensions</v>
      </c>
      <c r="V245" s="185"/>
    </row>
    <row r="246" spans="1:22" ht="18" hidden="1" customHeight="1">
      <c r="A246" s="184"/>
      <c r="F246" s="244"/>
      <c r="H246" s="18"/>
      <c r="V246" s="185"/>
    </row>
    <row r="247" spans="1:22" ht="18" hidden="1" customHeight="1">
      <c r="A247" s="184"/>
      <c r="F247" s="244"/>
      <c r="H247" s="18"/>
      <c r="V247" s="185"/>
    </row>
    <row r="248" spans="1:22" ht="18" hidden="1" customHeight="1">
      <c r="A248" s="184"/>
      <c r="F248" s="244"/>
      <c r="H248" s="18"/>
      <c r="V248" s="185"/>
    </row>
    <row r="249" spans="1:22" ht="18" hidden="1" customHeight="1">
      <c r="A249" s="184"/>
      <c r="F249" s="244"/>
      <c r="H249" s="18"/>
      <c r="V249" s="185"/>
    </row>
    <row r="250" spans="1:22" ht="18" hidden="1" customHeight="1">
      <c r="A250" s="184"/>
      <c r="F250" s="244"/>
      <c r="H250" s="18"/>
      <c r="V250" s="185"/>
    </row>
    <row r="251" spans="1:22" ht="18" hidden="1" customHeight="1">
      <c r="A251" s="184"/>
      <c r="F251" s="244"/>
      <c r="H251" s="18"/>
      <c r="V251" s="185"/>
    </row>
    <row r="252" spans="1:22" ht="18" hidden="1" customHeight="1">
      <c r="A252" s="184"/>
      <c r="F252" s="244"/>
      <c r="H252" s="18"/>
      <c r="V252" s="185"/>
    </row>
    <row r="253" spans="1:22" ht="18" hidden="1" customHeight="1">
      <c r="A253" s="184"/>
      <c r="F253" s="244"/>
      <c r="H253" s="18"/>
      <c r="V253" s="185"/>
    </row>
    <row r="254" spans="1:22" ht="18" hidden="1" customHeight="1">
      <c r="A254" s="184"/>
      <c r="F254" s="244"/>
      <c r="H254" s="18"/>
      <c r="V254" s="185"/>
    </row>
    <row r="255" spans="1:22" ht="18" hidden="1" customHeight="1">
      <c r="A255" s="184"/>
      <c r="F255" s="244"/>
      <c r="H255" s="18"/>
      <c r="V255" s="185"/>
    </row>
    <row r="256" spans="1:22" ht="18" hidden="1" customHeight="1">
      <c r="A256" s="184"/>
      <c r="F256" s="244"/>
      <c r="H256" s="18"/>
      <c r="V256" s="185"/>
    </row>
    <row r="257" spans="1:22" ht="18" hidden="1" customHeight="1">
      <c r="A257" s="184"/>
      <c r="F257" s="244"/>
      <c r="H257" s="18"/>
      <c r="V257" s="185"/>
    </row>
    <row r="258" spans="1:22" ht="18" hidden="1" customHeight="1">
      <c r="A258" s="184"/>
      <c r="F258" s="244"/>
      <c r="H258" s="18"/>
      <c r="V258" s="185"/>
    </row>
    <row r="259" spans="1:22" ht="18" hidden="1" customHeight="1">
      <c r="A259" s="184"/>
      <c r="F259" s="244"/>
      <c r="H259" s="18"/>
      <c r="V259" s="185"/>
    </row>
    <row r="260" spans="1:22" ht="18" hidden="1" customHeight="1">
      <c r="A260" s="184"/>
      <c r="F260" s="244"/>
      <c r="H260" s="18"/>
      <c r="V260" s="185"/>
    </row>
    <row r="261" spans="1:22" ht="18" hidden="1" customHeight="1">
      <c r="A261" s="184"/>
      <c r="F261" s="244"/>
      <c r="H261" s="18"/>
      <c r="V261" s="185"/>
    </row>
    <row r="262" spans="1:22" ht="18" hidden="1" customHeight="1">
      <c r="A262" s="184"/>
      <c r="F262" s="244"/>
      <c r="H262" s="18"/>
      <c r="V262" s="185"/>
    </row>
    <row r="263" spans="1:22" ht="18" hidden="1" customHeight="1">
      <c r="A263" s="184"/>
      <c r="F263" s="244"/>
      <c r="H263" s="18"/>
      <c r="V263" s="185"/>
    </row>
    <row r="264" spans="1:22" ht="18" hidden="1" customHeight="1">
      <c r="A264" s="184"/>
      <c r="F264" s="244"/>
      <c r="H264" s="18"/>
      <c r="V264" s="185"/>
    </row>
    <row r="265" spans="1:22" ht="18" hidden="1" customHeight="1">
      <c r="A265" s="184"/>
      <c r="F265" s="244"/>
      <c r="H265" s="18"/>
      <c r="V265" s="185"/>
    </row>
    <row r="266" spans="1:22" ht="18" hidden="1" customHeight="1">
      <c r="A266" s="184"/>
      <c r="F266" s="244"/>
      <c r="H266" s="18"/>
      <c r="V266" s="185"/>
    </row>
    <row r="267" spans="1:22" ht="18" hidden="1" customHeight="1">
      <c r="A267" s="184"/>
      <c r="F267" s="244"/>
      <c r="H267" s="18"/>
      <c r="V267" s="185"/>
    </row>
    <row r="268" spans="1:22" ht="18" hidden="1" customHeight="1">
      <c r="A268" s="184"/>
      <c r="F268" s="244"/>
      <c r="H268" s="18"/>
      <c r="V268" s="185"/>
    </row>
    <row r="269" spans="1:22" ht="18" hidden="1" customHeight="1">
      <c r="A269" s="184"/>
      <c r="F269" s="244"/>
      <c r="H269" s="18"/>
      <c r="V269" s="185"/>
    </row>
    <row r="270" spans="1:22" ht="18" hidden="1" customHeight="1">
      <c r="A270" s="184"/>
      <c r="F270" s="244"/>
      <c r="H270" s="18"/>
      <c r="V270" s="185"/>
    </row>
    <row r="271" spans="1:22" ht="18" hidden="1" customHeight="1">
      <c r="A271" s="184"/>
      <c r="F271" s="244"/>
      <c r="H271" s="18"/>
      <c r="V271" s="185"/>
    </row>
    <row r="272" spans="1:22" s="14" customFormat="1" ht="18" hidden="1" customHeight="1">
      <c r="A272" s="194"/>
      <c r="B272" s="195"/>
      <c r="C272" s="195"/>
      <c r="D272" s="195"/>
      <c r="E272" s="195"/>
      <c r="F272" s="195"/>
      <c r="G272" s="195"/>
      <c r="H272" s="195"/>
      <c r="I272" s="195"/>
      <c r="J272" s="195"/>
      <c r="K272" s="195"/>
      <c r="L272" s="195"/>
      <c r="M272" s="195"/>
      <c r="N272" s="195"/>
      <c r="O272" s="195"/>
      <c r="P272" s="195"/>
      <c r="Q272" s="224"/>
      <c r="R272" s="182"/>
      <c r="S272" s="225"/>
      <c r="T272" s="195"/>
      <c r="U272" s="195"/>
      <c r="V272" s="134"/>
    </row>
    <row r="273" spans="1:29" ht="18" hidden="1" customHeight="1">
      <c r="A273" s="226"/>
      <c r="B273" s="227"/>
      <c r="C273" s="227"/>
      <c r="D273" s="227"/>
      <c r="E273" s="227"/>
      <c r="F273" s="227"/>
      <c r="G273" s="227"/>
      <c r="H273" s="227"/>
      <c r="I273" s="227"/>
      <c r="J273" s="227"/>
      <c r="K273" s="227"/>
      <c r="L273" s="227"/>
      <c r="M273" s="227"/>
      <c r="N273" s="227"/>
      <c r="O273" s="227"/>
      <c r="P273" s="227"/>
      <c r="Q273" s="227"/>
      <c r="R273" s="227"/>
      <c r="S273" s="227"/>
      <c r="T273" s="227"/>
      <c r="U273" s="227"/>
      <c r="V273" s="228"/>
    </row>
    <row r="274" spans="1:29" ht="18" hidden="1" customHeight="1">
      <c r="A274" s="184"/>
      <c r="B274" s="854" t="str">
        <f>B143</f>
        <v>T7</v>
      </c>
      <c r="C274" s="831"/>
      <c r="D274" s="855" t="str">
        <f>D143</f>
        <v>Core1</v>
      </c>
      <c r="E274" s="856"/>
      <c r="F274" s="186" t="s">
        <v>631</v>
      </c>
      <c r="H274" s="684" t="str">
        <f>H143</f>
        <v>(Transformer Differential)</v>
      </c>
      <c r="I274" s="684"/>
      <c r="J274" s="684"/>
      <c r="K274" s="684"/>
      <c r="L274" s="684"/>
      <c r="M274" s="684"/>
      <c r="P274" s="186"/>
      <c r="S274" s="187" t="s">
        <v>387</v>
      </c>
      <c r="T274" s="854" t="str">
        <f>T143</f>
        <v>RET670</v>
      </c>
      <c r="U274" s="831"/>
      <c r="V274" s="185"/>
    </row>
    <row r="275" spans="1:29" ht="18" hidden="1" customHeight="1">
      <c r="A275" s="184"/>
      <c r="B275" s="853">
        <f>B144</f>
        <v>0</v>
      </c>
      <c r="C275" s="853"/>
      <c r="D275" s="857"/>
      <c r="E275" s="858"/>
      <c r="F275" s="255"/>
      <c r="T275" s="854">
        <f>T144</f>
        <v>0</v>
      </c>
      <c r="U275" s="831"/>
      <c r="V275" s="185"/>
    </row>
    <row r="276" spans="1:29" ht="18" hidden="1" customHeight="1">
      <c r="A276" s="184"/>
      <c r="H276" s="708" t="s">
        <v>390</v>
      </c>
      <c r="I276" s="708"/>
      <c r="J276" s="708" t="s">
        <v>391</v>
      </c>
      <c r="K276" s="708"/>
      <c r="L276" s="789" t="s">
        <v>392</v>
      </c>
      <c r="M276" s="789"/>
      <c r="T276" s="854">
        <f>T145</f>
        <v>0</v>
      </c>
      <c r="U276" s="831"/>
      <c r="V276" s="185"/>
    </row>
    <row r="277" spans="1:29" ht="18" hidden="1" customHeight="1">
      <c r="A277" s="184"/>
      <c r="B277" s="47" t="s">
        <v>393</v>
      </c>
      <c r="H277" s="854">
        <f>H146</f>
        <v>1750</v>
      </c>
      <c r="I277" s="831"/>
      <c r="J277" s="854">
        <f>J146</f>
        <v>2500</v>
      </c>
      <c r="K277" s="831"/>
      <c r="L277" s="863" t="str">
        <f>L146</f>
        <v>-</v>
      </c>
      <c r="M277" s="864"/>
      <c r="N277" s="102" t="s">
        <v>342</v>
      </c>
      <c r="O277" s="256">
        <f>O146</f>
        <v>1</v>
      </c>
      <c r="P277" s="27" t="s">
        <v>8</v>
      </c>
      <c r="V277" s="185"/>
    </row>
    <row r="278" spans="1:29" ht="18" hidden="1" customHeight="1">
      <c r="A278" s="184"/>
      <c r="B278" s="47" t="s">
        <v>394</v>
      </c>
      <c r="H278" s="14"/>
      <c r="I278" s="14"/>
      <c r="L278" s="854" t="str">
        <f>J147</f>
        <v>PX</v>
      </c>
      <c r="M278" s="831"/>
      <c r="V278" s="185"/>
    </row>
    <row r="279" spans="1:29" ht="18" hidden="1" customHeight="1">
      <c r="A279" s="184"/>
      <c r="B279" s="47" t="s">
        <v>396</v>
      </c>
      <c r="K279" s="120" t="s">
        <v>497</v>
      </c>
      <c r="L279" s="781" t="s">
        <v>6</v>
      </c>
      <c r="M279" s="782"/>
      <c r="N279" s="192" t="s">
        <v>333</v>
      </c>
      <c r="V279" s="185"/>
    </row>
    <row r="280" spans="1:29" ht="18" hidden="1" customHeight="1">
      <c r="A280" s="184"/>
      <c r="B280" s="47" t="s">
        <v>398</v>
      </c>
      <c r="K280" s="120" t="s">
        <v>498</v>
      </c>
      <c r="L280" s="781" t="s">
        <v>6</v>
      </c>
      <c r="M280" s="782"/>
      <c r="N280" s="14" t="s">
        <v>305</v>
      </c>
      <c r="V280" s="185"/>
      <c r="W280" s="30" t="s">
        <v>400</v>
      </c>
      <c r="AB280" s="785" t="e">
        <f>Q369</f>
        <v>#VALUE!</v>
      </c>
      <c r="AC280" s="786"/>
    </row>
    <row r="281" spans="1:29" ht="18" hidden="1" customHeight="1">
      <c r="A281" s="184"/>
      <c r="B281" s="14" t="s">
        <v>401</v>
      </c>
      <c r="K281" s="120" t="s">
        <v>402</v>
      </c>
      <c r="L281" s="781" t="s">
        <v>6</v>
      </c>
      <c r="M281" s="782"/>
      <c r="N281" s="14" t="s">
        <v>403</v>
      </c>
      <c r="V281" s="185"/>
    </row>
    <row r="282" spans="1:29" ht="18" hidden="1" customHeight="1">
      <c r="A282" s="184"/>
      <c r="V282" s="185"/>
    </row>
    <row r="283" spans="1:29" ht="18" hidden="1" customHeight="1">
      <c r="A283" s="193" t="s">
        <v>404</v>
      </c>
      <c r="V283" s="185"/>
    </row>
    <row r="284" spans="1:29" ht="18" hidden="1" customHeight="1">
      <c r="A284" s="184"/>
      <c r="V284" s="185"/>
    </row>
    <row r="285" spans="1:29" ht="18" hidden="1" customHeight="1">
      <c r="A285" s="184"/>
      <c r="B285" s="194" t="s">
        <v>405</v>
      </c>
      <c r="C285" s="195"/>
      <c r="D285" s="195" t="str">
        <f>T274</f>
        <v>RET670</v>
      </c>
      <c r="E285" s="196"/>
      <c r="F285" s="196"/>
      <c r="G285" s="196"/>
      <c r="H285" s="182" t="s">
        <v>406</v>
      </c>
      <c r="I285" s="183" t="s">
        <v>127</v>
      </c>
      <c r="J285" s="766">
        <f>J154</f>
        <v>0.02</v>
      </c>
      <c r="K285" s="958"/>
      <c r="L285" s="3" t="s">
        <v>157</v>
      </c>
      <c r="N285" s="197" t="s">
        <v>407</v>
      </c>
      <c r="V285" s="185"/>
    </row>
    <row r="286" spans="1:29" ht="18" hidden="1" customHeight="1">
      <c r="A286" s="184"/>
      <c r="B286" s="96" t="s">
        <v>405</v>
      </c>
      <c r="D286" s="30">
        <f>T275</f>
        <v>0</v>
      </c>
      <c r="H286" s="27"/>
      <c r="I286" s="177" t="s">
        <v>127</v>
      </c>
      <c r="J286" s="861">
        <f>J155</f>
        <v>0</v>
      </c>
      <c r="K286" s="989"/>
      <c r="L286" s="198" t="s">
        <v>157</v>
      </c>
      <c r="V286" s="185"/>
    </row>
    <row r="287" spans="1:29" ht="18" hidden="1" customHeight="1">
      <c r="A287" s="184"/>
      <c r="B287" s="96" t="s">
        <v>405</v>
      </c>
      <c r="D287" s="30">
        <f>T276</f>
        <v>0</v>
      </c>
      <c r="E287" s="14"/>
      <c r="G287" s="199"/>
      <c r="H287" s="27"/>
      <c r="I287" s="177" t="s">
        <v>127</v>
      </c>
      <c r="J287" s="696">
        <f>J156</f>
        <v>0</v>
      </c>
      <c r="K287" s="820"/>
      <c r="L287" s="202" t="s">
        <v>157</v>
      </c>
      <c r="N287" s="30" t="s">
        <v>408</v>
      </c>
      <c r="O287" s="27" t="s">
        <v>127</v>
      </c>
      <c r="P287" s="30" t="s">
        <v>409</v>
      </c>
      <c r="Q287" s="191" t="s">
        <v>410</v>
      </c>
      <c r="R287" s="244" t="s">
        <v>411</v>
      </c>
      <c r="S287" s="27" t="s">
        <v>315</v>
      </c>
      <c r="T287" s="30" t="s">
        <v>411</v>
      </c>
      <c r="U287" s="30" t="s">
        <v>350</v>
      </c>
      <c r="V287" s="185"/>
    </row>
    <row r="288" spans="1:29" ht="18" hidden="1" customHeight="1">
      <c r="A288" s="184"/>
      <c r="B288" s="184" t="s">
        <v>412</v>
      </c>
      <c r="H288" s="27" t="s">
        <v>599</v>
      </c>
      <c r="I288" s="177" t="s">
        <v>127</v>
      </c>
      <c r="J288" s="861">
        <f>J157</f>
        <v>1.1667743100000001</v>
      </c>
      <c r="K288" s="989"/>
      <c r="L288" s="203" t="s">
        <v>157</v>
      </c>
      <c r="O288" s="27" t="s">
        <v>127</v>
      </c>
      <c r="P288" s="204">
        <f>J289</f>
        <v>1.1667743100000001</v>
      </c>
      <c r="Q288" s="191" t="s">
        <v>410</v>
      </c>
      <c r="R288" s="27">
        <f>O277</f>
        <v>1</v>
      </c>
      <c r="S288" s="27" t="s">
        <v>315</v>
      </c>
      <c r="T288" s="27">
        <f>O277</f>
        <v>1</v>
      </c>
      <c r="U288" s="30" t="s">
        <v>350</v>
      </c>
      <c r="V288" s="185"/>
    </row>
    <row r="289" spans="1:22" ht="18" hidden="1" customHeight="1">
      <c r="A289" s="184"/>
      <c r="B289" s="205" t="s">
        <v>413</v>
      </c>
      <c r="C289" s="206"/>
      <c r="D289" s="206"/>
      <c r="E289" s="206"/>
      <c r="F289" s="207"/>
      <c r="G289" s="207"/>
      <c r="H289" s="190" t="s">
        <v>409</v>
      </c>
      <c r="I289" s="208" t="s">
        <v>127</v>
      </c>
      <c r="J289" s="766">
        <f>J286+J288</f>
        <v>1.1667743100000001</v>
      </c>
      <c r="K289" s="958"/>
      <c r="L289" s="210" t="s">
        <v>157</v>
      </c>
      <c r="O289" s="27" t="s">
        <v>127</v>
      </c>
      <c r="P289" s="795">
        <f>P288/(R288*T288)</f>
        <v>1.1667743100000001</v>
      </c>
      <c r="Q289" s="795"/>
      <c r="R289" s="192" t="s">
        <v>333</v>
      </c>
      <c r="V289" s="185"/>
    </row>
    <row r="290" spans="1:22" ht="18" hidden="1" customHeight="1">
      <c r="A290" s="184"/>
      <c r="V290" s="185"/>
    </row>
    <row r="291" spans="1:22" s="14" customFormat="1" ht="18" hidden="1" customHeight="1">
      <c r="A291" s="193" t="s">
        <v>600</v>
      </c>
      <c r="B291" s="5"/>
      <c r="C291" s="5"/>
      <c r="D291" s="5"/>
      <c r="E291" s="5"/>
      <c r="F291" s="5"/>
      <c r="G291" s="5"/>
      <c r="H291" s="212"/>
      <c r="I291" s="212"/>
      <c r="J291" s="5"/>
      <c r="K291" s="5"/>
      <c r="L291" s="5"/>
      <c r="M291" s="5"/>
      <c r="N291" s="5"/>
      <c r="O291" s="5"/>
      <c r="P291" s="103"/>
      <c r="Q291" s="212"/>
      <c r="R291" s="213"/>
      <c r="S291" s="214"/>
      <c r="T291" s="18"/>
      <c r="U291" s="18"/>
      <c r="V291" s="97"/>
    </row>
    <row r="292" spans="1:22" s="14" customFormat="1" ht="18" hidden="1" customHeight="1">
      <c r="A292" s="96"/>
      <c r="B292" s="47" t="s">
        <v>601</v>
      </c>
      <c r="C292" s="5"/>
      <c r="D292" s="5"/>
      <c r="E292" s="5"/>
      <c r="I292" s="215"/>
      <c r="M292" s="5"/>
      <c r="O292" s="103" t="s">
        <v>127</v>
      </c>
      <c r="P292" s="853">
        <f>P161</f>
        <v>100</v>
      </c>
      <c r="Q292" s="1271"/>
      <c r="R292" s="14" t="s">
        <v>602</v>
      </c>
      <c r="S292" s="214"/>
      <c r="T292" s="18"/>
      <c r="U292" s="18"/>
      <c r="V292" s="97"/>
    </row>
    <row r="293" spans="1:22" s="14" customFormat="1" ht="18" hidden="1" customHeight="1">
      <c r="A293" s="96"/>
      <c r="B293" s="47" t="s">
        <v>603</v>
      </c>
      <c r="C293" s="5"/>
      <c r="D293" s="5"/>
      <c r="E293" s="5"/>
      <c r="I293" s="215"/>
      <c r="M293" s="5"/>
      <c r="O293" s="103" t="s">
        <v>127</v>
      </c>
      <c r="P293" s="853">
        <f>P162</f>
        <v>25</v>
      </c>
      <c r="Q293" s="1271"/>
      <c r="R293" s="14" t="s">
        <v>604</v>
      </c>
      <c r="S293" s="214"/>
      <c r="T293" s="18"/>
      <c r="U293" s="18"/>
      <c r="V293" s="97"/>
    </row>
    <row r="294" spans="1:22" s="14" customFormat="1" ht="18" hidden="1" customHeight="1">
      <c r="A294" s="96"/>
      <c r="B294" s="47" t="s">
        <v>605</v>
      </c>
      <c r="C294" s="5"/>
      <c r="D294" s="5"/>
      <c r="E294" s="5"/>
      <c r="N294" s="120" t="s">
        <v>606</v>
      </c>
      <c r="O294" s="103" t="s">
        <v>607</v>
      </c>
      <c r="P294" s="854">
        <f>P163</f>
        <v>132</v>
      </c>
      <c r="Q294" s="1270"/>
      <c r="R294" s="14" t="s">
        <v>163</v>
      </c>
      <c r="S294" s="214"/>
      <c r="T294" s="18"/>
      <c r="U294" s="18"/>
      <c r="V294" s="97"/>
    </row>
    <row r="295" spans="1:22" s="14" customFormat="1" ht="18" hidden="1" customHeight="1">
      <c r="A295" s="216"/>
      <c r="B295" s="212"/>
      <c r="C295" s="212"/>
      <c r="D295" s="212"/>
      <c r="E295" s="212"/>
      <c r="T295" s="18"/>
      <c r="U295" s="18"/>
      <c r="V295" s="97"/>
    </row>
    <row r="296" spans="1:22" s="14" customFormat="1" ht="18" hidden="1" customHeight="1">
      <c r="A296" s="96"/>
      <c r="B296" s="14" t="s">
        <v>608</v>
      </c>
      <c r="C296" s="213"/>
      <c r="D296" s="213"/>
      <c r="E296" s="213"/>
      <c r="H296" s="120" t="s">
        <v>609</v>
      </c>
      <c r="I296" s="28" t="s">
        <v>127</v>
      </c>
      <c r="J296" s="689" t="s">
        <v>610</v>
      </c>
      <c r="K296" s="689"/>
      <c r="L296" s="28" t="s">
        <v>315</v>
      </c>
      <c r="M296" s="217">
        <v>1000</v>
      </c>
      <c r="N296" s="102" t="s">
        <v>342</v>
      </c>
      <c r="O296" s="28" t="s">
        <v>611</v>
      </c>
      <c r="P296" s="28" t="s">
        <v>315</v>
      </c>
      <c r="Q296" s="28" t="s">
        <v>606</v>
      </c>
      <c r="R296" s="47"/>
      <c r="T296" s="18"/>
      <c r="U296" s="18"/>
      <c r="V296" s="97"/>
    </row>
    <row r="297" spans="1:22" s="14" customFormat="1" ht="18" hidden="1" customHeight="1">
      <c r="A297" s="216"/>
      <c r="B297" s="213"/>
      <c r="C297" s="213"/>
      <c r="D297" s="213"/>
      <c r="E297" s="213"/>
      <c r="F297" s="212"/>
      <c r="G297" s="212"/>
      <c r="H297" s="28"/>
      <c r="I297" s="28" t="s">
        <v>127</v>
      </c>
      <c r="J297" s="689">
        <f>P292</f>
        <v>100</v>
      </c>
      <c r="K297" s="689"/>
      <c r="L297" s="28" t="s">
        <v>315</v>
      </c>
      <c r="M297" s="217">
        <v>1000</v>
      </c>
      <c r="N297" s="102" t="s">
        <v>342</v>
      </c>
      <c r="O297" s="28" t="s">
        <v>611</v>
      </c>
      <c r="P297" s="28" t="s">
        <v>315</v>
      </c>
      <c r="Q297" s="28">
        <f>P294</f>
        <v>132</v>
      </c>
      <c r="R297" s="47"/>
      <c r="T297" s="18"/>
      <c r="U297" s="18"/>
      <c r="V297" s="97"/>
    </row>
    <row r="298" spans="1:22" s="14" customFormat="1" ht="18" hidden="1" customHeight="1">
      <c r="A298" s="216"/>
      <c r="B298" s="212"/>
      <c r="C298" s="212"/>
      <c r="D298" s="212"/>
      <c r="E298" s="212"/>
      <c r="F298" s="212"/>
      <c r="G298" s="212"/>
      <c r="I298" s="28" t="s">
        <v>127</v>
      </c>
      <c r="J298" s="692">
        <f>(P292*1000)/(SQRT(3)*P294)</f>
        <v>437.38656756789834</v>
      </c>
      <c r="K298" s="692"/>
      <c r="L298" s="14" t="s">
        <v>8</v>
      </c>
      <c r="M298" s="120"/>
      <c r="N298" s="120"/>
      <c r="O298" s="120"/>
      <c r="T298" s="18"/>
      <c r="U298" s="18"/>
      <c r="V298" s="97"/>
    </row>
    <row r="299" spans="1:22" s="14" customFormat="1" ht="18" hidden="1" customHeight="1">
      <c r="A299" s="216"/>
      <c r="B299" s="212"/>
      <c r="C299" s="212"/>
      <c r="D299" s="212"/>
      <c r="E299" s="212"/>
      <c r="G299" s="212"/>
      <c r="H299" s="28"/>
      <c r="I299" s="103"/>
      <c r="J299" s="28"/>
      <c r="M299" s="212"/>
      <c r="N299" s="219"/>
      <c r="O299" s="212"/>
      <c r="T299" s="18"/>
      <c r="U299" s="18"/>
      <c r="V299" s="97"/>
    </row>
    <row r="300" spans="1:22" s="14" customFormat="1" ht="18" hidden="1" customHeight="1">
      <c r="A300" s="147" t="s">
        <v>629</v>
      </c>
      <c r="B300" s="5"/>
      <c r="C300" s="5"/>
      <c r="D300" s="5"/>
      <c r="E300" s="5"/>
      <c r="F300" s="212"/>
      <c r="G300" s="212"/>
      <c r="H300" s="5"/>
      <c r="I300" s="5"/>
      <c r="J300" s="5"/>
      <c r="K300" s="5"/>
      <c r="L300" s="103"/>
      <c r="M300" s="103"/>
      <c r="N300" s="103"/>
      <c r="O300" s="103"/>
      <c r="P300" s="212"/>
      <c r="Q300" s="213"/>
      <c r="S300" s="220"/>
      <c r="T300" s="18"/>
      <c r="U300" s="18"/>
      <c r="V300" s="97"/>
    </row>
    <row r="301" spans="1:22" s="14" customFormat="1" ht="18" hidden="1" customHeight="1">
      <c r="A301" s="147"/>
      <c r="B301" s="5"/>
      <c r="C301" s="5"/>
      <c r="D301" s="5"/>
      <c r="E301" s="5"/>
      <c r="F301" s="212"/>
      <c r="G301" s="212"/>
      <c r="H301" s="5"/>
      <c r="I301" s="5"/>
      <c r="J301" s="5"/>
      <c r="K301" s="5"/>
      <c r="L301" s="103"/>
      <c r="M301" s="103"/>
      <c r="N301" s="103"/>
      <c r="O301" s="103"/>
      <c r="P301" s="212"/>
      <c r="Q301" s="213"/>
      <c r="S301" s="214"/>
      <c r="T301" s="18"/>
      <c r="U301" s="18"/>
      <c r="V301" s="97"/>
    </row>
    <row r="302" spans="1:22" ht="18" hidden="1" customHeight="1">
      <c r="A302" s="184"/>
      <c r="B302" s="14" t="s">
        <v>632</v>
      </c>
      <c r="C302" s="14"/>
      <c r="D302" s="14"/>
      <c r="E302" s="14"/>
      <c r="M302" s="120" t="s">
        <v>613</v>
      </c>
      <c r="N302" s="28" t="s">
        <v>127</v>
      </c>
      <c r="O302" s="689" t="s">
        <v>609</v>
      </c>
      <c r="P302" s="716"/>
      <c r="Q302" s="221" t="s">
        <v>630</v>
      </c>
      <c r="R302" s="221">
        <v>16</v>
      </c>
      <c r="S302" s="186"/>
      <c r="V302" s="185"/>
    </row>
    <row r="303" spans="1:22" ht="18" hidden="1" customHeight="1">
      <c r="A303" s="96"/>
      <c r="B303" s="5"/>
      <c r="C303" s="5"/>
      <c r="D303" s="5"/>
      <c r="E303" s="5"/>
      <c r="M303" s="250"/>
      <c r="N303" s="28" t="s">
        <v>127</v>
      </c>
      <c r="O303" s="692">
        <f>+J298</f>
        <v>437.38656756789834</v>
      </c>
      <c r="P303" s="1214"/>
      <c r="Q303" s="221" t="s">
        <v>630</v>
      </c>
      <c r="R303" s="221">
        <v>16</v>
      </c>
      <c r="S303" s="186"/>
      <c r="V303" s="185"/>
    </row>
    <row r="304" spans="1:22" ht="18" hidden="1" customHeight="1">
      <c r="A304" s="96"/>
      <c r="B304" s="5"/>
      <c r="C304" s="5"/>
      <c r="D304" s="5"/>
      <c r="E304" s="5"/>
      <c r="M304" s="120" t="s">
        <v>613</v>
      </c>
      <c r="N304" s="28" t="s">
        <v>127</v>
      </c>
      <c r="O304" s="689">
        <f>O303*R303</f>
        <v>6998.1850810863734</v>
      </c>
      <c r="P304" s="716"/>
      <c r="Q304" s="241" t="s">
        <v>8</v>
      </c>
      <c r="R304" s="14"/>
      <c r="S304" s="186"/>
      <c r="V304" s="185"/>
    </row>
    <row r="305" spans="1:22" ht="18" hidden="1" customHeight="1">
      <c r="A305" s="96"/>
      <c r="B305" s="5"/>
      <c r="C305" s="5"/>
      <c r="D305" s="5"/>
      <c r="E305" s="5"/>
      <c r="M305" s="212"/>
      <c r="N305" s="212"/>
      <c r="O305" s="103"/>
      <c r="Q305" s="223"/>
      <c r="R305" s="14"/>
      <c r="S305" s="214"/>
      <c r="V305" s="185"/>
    </row>
    <row r="306" spans="1:22" ht="18" hidden="1" customHeight="1">
      <c r="A306" s="678" t="s">
        <v>633</v>
      </c>
      <c r="B306" s="1207"/>
      <c r="C306" s="1207"/>
      <c r="D306" s="1207"/>
      <c r="E306" s="1207"/>
      <c r="F306" s="1207"/>
      <c r="G306" s="1207"/>
      <c r="H306" s="1207"/>
      <c r="I306" s="1207"/>
      <c r="J306" s="1207"/>
      <c r="K306" s="1207"/>
      <c r="L306" s="1207"/>
      <c r="M306" s="1207"/>
      <c r="N306" s="1207"/>
      <c r="O306" s="1207"/>
      <c r="P306" s="1207"/>
      <c r="Q306" s="1207"/>
      <c r="R306" s="1207"/>
      <c r="S306" s="1207"/>
      <c r="T306" s="1207"/>
      <c r="U306" s="1207"/>
      <c r="V306" s="1208"/>
    </row>
    <row r="307" spans="1:22" ht="18" hidden="1" customHeight="1">
      <c r="A307" s="1209"/>
      <c r="B307" s="1207"/>
      <c r="C307" s="1207"/>
      <c r="D307" s="1207"/>
      <c r="E307" s="1207"/>
      <c r="F307" s="1207"/>
      <c r="G307" s="1207"/>
      <c r="H307" s="1207"/>
      <c r="I307" s="1207"/>
      <c r="J307" s="1207"/>
      <c r="K307" s="1207"/>
      <c r="L307" s="1207"/>
      <c r="M307" s="1207"/>
      <c r="N307" s="1207"/>
      <c r="O307" s="1207"/>
      <c r="P307" s="1207"/>
      <c r="Q307" s="1207"/>
      <c r="R307" s="1207"/>
      <c r="S307" s="1207"/>
      <c r="T307" s="1207"/>
      <c r="U307" s="1207"/>
      <c r="V307" s="1208"/>
    </row>
    <row r="308" spans="1:22" ht="18" hidden="1" customHeight="1">
      <c r="A308" s="231"/>
      <c r="B308" s="232"/>
      <c r="C308" s="232"/>
      <c r="D308" s="232"/>
      <c r="E308" s="232"/>
      <c r="F308" s="232"/>
      <c r="G308" s="232"/>
      <c r="H308" s="232"/>
      <c r="I308" s="232"/>
      <c r="J308" s="232"/>
      <c r="K308" s="232"/>
      <c r="L308" s="232"/>
      <c r="M308" s="232"/>
      <c r="N308" s="232"/>
      <c r="O308" s="232"/>
      <c r="P308" s="232"/>
      <c r="Q308" s="232"/>
      <c r="R308" s="232"/>
      <c r="S308" s="232"/>
      <c r="T308" s="232"/>
      <c r="U308" s="232"/>
      <c r="V308" s="233"/>
    </row>
    <row r="309" spans="1:22" ht="18" hidden="1" customHeight="1">
      <c r="A309" s="231"/>
      <c r="B309" s="232"/>
      <c r="C309" s="232"/>
      <c r="D309" s="232"/>
      <c r="E309" s="232"/>
      <c r="F309" s="232"/>
      <c r="G309" s="232"/>
      <c r="H309" s="232"/>
      <c r="I309" s="232"/>
      <c r="J309" s="232"/>
      <c r="K309" s="232"/>
      <c r="L309" s="232"/>
      <c r="M309" s="232"/>
      <c r="N309" s="232"/>
      <c r="O309" s="232"/>
      <c r="P309" s="232"/>
      <c r="Q309" s="232"/>
      <c r="R309" s="232"/>
      <c r="S309" s="232"/>
      <c r="T309" s="232"/>
      <c r="U309" s="232"/>
      <c r="V309" s="233"/>
    </row>
    <row r="310" spans="1:22" ht="18" hidden="1" customHeight="1">
      <c r="A310" s="231"/>
      <c r="B310" s="232"/>
      <c r="C310" s="232"/>
      <c r="D310" s="232"/>
      <c r="E310" s="232"/>
      <c r="F310" s="232"/>
      <c r="G310" s="232"/>
      <c r="H310" s="232"/>
      <c r="I310" s="232"/>
      <c r="J310" s="232"/>
      <c r="K310" s="232"/>
      <c r="L310" s="232"/>
      <c r="M310" s="232"/>
      <c r="N310" s="232"/>
      <c r="O310" s="232"/>
      <c r="P310" s="232"/>
      <c r="Q310" s="232"/>
      <c r="R310" s="232"/>
      <c r="S310" s="232"/>
      <c r="T310" s="232"/>
      <c r="U310" s="232"/>
      <c r="V310" s="233"/>
    </row>
    <row r="311" spans="1:22" ht="18" hidden="1" customHeight="1">
      <c r="A311" s="231"/>
      <c r="B311" s="232"/>
      <c r="C311" s="232"/>
      <c r="D311" s="232"/>
      <c r="E311" s="232"/>
      <c r="F311" s="232"/>
      <c r="G311" s="232"/>
      <c r="H311" s="232"/>
      <c r="I311" s="232"/>
      <c r="J311" s="232"/>
      <c r="K311" s="232"/>
      <c r="L311" s="232"/>
      <c r="M311" s="232"/>
      <c r="N311" s="232"/>
      <c r="O311" s="232"/>
      <c r="P311" s="232"/>
      <c r="Q311" s="232"/>
      <c r="R311" s="232"/>
      <c r="S311" s="232"/>
      <c r="T311" s="232"/>
      <c r="U311" s="232"/>
      <c r="V311" s="233"/>
    </row>
    <row r="312" spans="1:22" ht="18" hidden="1" customHeight="1">
      <c r="A312" s="231"/>
      <c r="B312" s="232"/>
      <c r="C312" s="232"/>
      <c r="D312" s="232"/>
      <c r="E312" s="232"/>
      <c r="F312" s="232"/>
      <c r="G312" s="232"/>
      <c r="H312" s="232"/>
      <c r="I312" s="232"/>
      <c r="J312" s="232"/>
      <c r="K312" s="232"/>
      <c r="L312" s="232"/>
      <c r="M312" s="232"/>
      <c r="N312" s="232"/>
      <c r="O312" s="232"/>
      <c r="P312" s="232"/>
      <c r="Q312" s="232"/>
      <c r="R312" s="232"/>
      <c r="S312" s="232"/>
      <c r="T312" s="232"/>
      <c r="U312" s="232"/>
      <c r="V312" s="233"/>
    </row>
    <row r="313" spans="1:22" ht="18" hidden="1" customHeight="1">
      <c r="A313" s="96"/>
      <c r="B313" s="5"/>
      <c r="C313" s="5"/>
      <c r="D313" s="5"/>
      <c r="E313" s="5"/>
      <c r="M313" s="212"/>
      <c r="N313" s="212"/>
      <c r="O313" s="103"/>
      <c r="Q313" s="223"/>
      <c r="R313" s="14"/>
      <c r="S313" s="214"/>
      <c r="V313" s="185"/>
    </row>
    <row r="314" spans="1:22" ht="18" hidden="1" customHeight="1">
      <c r="A314" s="184"/>
      <c r="V314" s="185"/>
    </row>
    <row r="315" spans="1:22" ht="18" hidden="1" customHeight="1">
      <c r="A315" s="184"/>
      <c r="V315" s="185"/>
    </row>
    <row r="316" spans="1:22" s="14" customFormat="1" ht="18" hidden="1" customHeight="1">
      <c r="A316" s="194"/>
      <c r="B316" s="195"/>
      <c r="C316" s="195"/>
      <c r="D316" s="195"/>
      <c r="E316" s="195"/>
      <c r="F316" s="195"/>
      <c r="G316" s="195"/>
      <c r="H316" s="195"/>
      <c r="I316" s="195"/>
      <c r="J316" s="195"/>
      <c r="K316" s="195"/>
      <c r="L316" s="195"/>
      <c r="M316" s="195"/>
      <c r="N316" s="195"/>
      <c r="O316" s="195"/>
      <c r="P316" s="195"/>
      <c r="Q316" s="224"/>
      <c r="R316" s="182"/>
      <c r="S316" s="225"/>
      <c r="T316" s="195"/>
      <c r="U316" s="195"/>
      <c r="V316" s="134"/>
    </row>
    <row r="317" spans="1:22" ht="18" hidden="1" customHeight="1">
      <c r="A317" s="226"/>
      <c r="B317" s="227"/>
      <c r="C317" s="227"/>
      <c r="D317" s="227"/>
      <c r="E317" s="227"/>
      <c r="F317" s="227"/>
      <c r="G317" s="227"/>
      <c r="H317" s="227"/>
      <c r="I317" s="227"/>
      <c r="J317" s="227"/>
      <c r="K317" s="227"/>
      <c r="L317" s="227"/>
      <c r="M317" s="227"/>
      <c r="N317" s="227"/>
      <c r="O317" s="227"/>
      <c r="P317" s="227"/>
      <c r="Q317" s="227"/>
      <c r="R317" s="227"/>
      <c r="S317" s="227"/>
      <c r="T317" s="227"/>
      <c r="U317" s="227"/>
      <c r="V317" s="228"/>
    </row>
    <row r="318" spans="1:22" ht="18" hidden="1" customHeight="1">
      <c r="A318" s="799" t="s">
        <v>417</v>
      </c>
      <c r="B318" s="802"/>
      <c r="C318" s="802"/>
      <c r="D318" s="689">
        <v>30</v>
      </c>
      <c r="E318" s="689" t="s">
        <v>315</v>
      </c>
      <c r="F318" s="689" t="s">
        <v>609</v>
      </c>
      <c r="G318" s="684"/>
      <c r="H318" s="689" t="s">
        <v>315</v>
      </c>
      <c r="I318" s="708" t="s">
        <v>411</v>
      </c>
      <c r="J318" s="828"/>
      <c r="K318" s="689" t="s">
        <v>315</v>
      </c>
      <c r="L318" s="802" t="s">
        <v>419</v>
      </c>
      <c r="M318" s="716" t="s">
        <v>420</v>
      </c>
      <c r="N318" s="729" t="s">
        <v>347</v>
      </c>
      <c r="O318" s="716" t="s">
        <v>408</v>
      </c>
      <c r="P318" s="689" t="s">
        <v>347</v>
      </c>
      <c r="Q318" s="759" t="s">
        <v>421</v>
      </c>
      <c r="R318" s="797"/>
      <c r="S318" s="797"/>
      <c r="T318" s="798" t="s">
        <v>350</v>
      </c>
      <c r="U318" s="230" t="s">
        <v>422</v>
      </c>
      <c r="V318" s="97"/>
    </row>
    <row r="319" spans="1:22" ht="18" hidden="1" customHeight="1">
      <c r="A319" s="827"/>
      <c r="B319" s="802"/>
      <c r="C319" s="802"/>
      <c r="D319" s="689"/>
      <c r="E319" s="689"/>
      <c r="F319" s="684"/>
      <c r="G319" s="684"/>
      <c r="H319" s="689"/>
      <c r="I319" s="689" t="s">
        <v>423</v>
      </c>
      <c r="J319" s="723"/>
      <c r="K319" s="689"/>
      <c r="L319" s="802"/>
      <c r="M319" s="716"/>
      <c r="N319" s="729"/>
      <c r="O319" s="716"/>
      <c r="P319" s="689"/>
      <c r="Q319" s="28" t="s">
        <v>146</v>
      </c>
      <c r="R319" s="28" t="s">
        <v>315</v>
      </c>
      <c r="S319" s="28" t="s">
        <v>146</v>
      </c>
      <c r="T319" s="798"/>
      <c r="U319" s="14"/>
      <c r="V319" s="97"/>
    </row>
    <row r="320" spans="1:22" ht="18" hidden="1" customHeight="1">
      <c r="A320" s="184"/>
      <c r="V320" s="185"/>
    </row>
    <row r="321" spans="1:22" ht="18" hidden="1" customHeight="1">
      <c r="A321" s="799" t="s">
        <v>417</v>
      </c>
      <c r="B321" s="802"/>
      <c r="C321" s="802"/>
      <c r="D321" s="689">
        <v>2</v>
      </c>
      <c r="E321" s="689" t="s">
        <v>315</v>
      </c>
      <c r="F321" s="689" t="s">
        <v>613</v>
      </c>
      <c r="G321" s="684"/>
      <c r="H321" s="689" t="s">
        <v>315</v>
      </c>
      <c r="I321" s="708" t="s">
        <v>411</v>
      </c>
      <c r="J321" s="828"/>
      <c r="K321" s="689" t="s">
        <v>315</v>
      </c>
      <c r="L321" s="802" t="s">
        <v>419</v>
      </c>
      <c r="M321" s="716" t="s">
        <v>420</v>
      </c>
      <c r="N321" s="729" t="s">
        <v>347</v>
      </c>
      <c r="O321" s="716" t="s">
        <v>408</v>
      </c>
      <c r="P321" s="689" t="s">
        <v>347</v>
      </c>
      <c r="Q321" s="759" t="s">
        <v>421</v>
      </c>
      <c r="R321" s="797"/>
      <c r="S321" s="797"/>
      <c r="T321" s="798" t="s">
        <v>350</v>
      </c>
      <c r="U321" s="230" t="s">
        <v>426</v>
      </c>
      <c r="V321" s="97"/>
    </row>
    <row r="322" spans="1:22" ht="18" hidden="1" customHeight="1">
      <c r="A322" s="827"/>
      <c r="B322" s="802"/>
      <c r="C322" s="802"/>
      <c r="D322" s="689"/>
      <c r="E322" s="689"/>
      <c r="F322" s="684"/>
      <c r="G322" s="684"/>
      <c r="H322" s="689"/>
      <c r="I322" s="689" t="s">
        <v>423</v>
      </c>
      <c r="J322" s="723"/>
      <c r="K322" s="689"/>
      <c r="L322" s="802"/>
      <c r="M322" s="716"/>
      <c r="N322" s="729"/>
      <c r="O322" s="716"/>
      <c r="P322" s="689"/>
      <c r="Q322" s="28" t="s">
        <v>146</v>
      </c>
      <c r="R322" s="28" t="s">
        <v>315</v>
      </c>
      <c r="S322" s="28" t="s">
        <v>146</v>
      </c>
      <c r="T322" s="798"/>
      <c r="U322" s="14"/>
      <c r="V322" s="97"/>
    </row>
    <row r="323" spans="1:22" ht="18" hidden="1" customHeight="1">
      <c r="A323" s="184"/>
      <c r="V323" s="185"/>
    </row>
    <row r="324" spans="1:22" ht="18" hidden="1" customHeight="1">
      <c r="A324" s="678" t="s">
        <v>616</v>
      </c>
      <c r="B324" s="1207"/>
      <c r="C324" s="1207"/>
      <c r="D324" s="1207"/>
      <c r="E324" s="1207"/>
      <c r="F324" s="1207"/>
      <c r="G324" s="1207"/>
      <c r="H324" s="1207"/>
      <c r="I324" s="1207"/>
      <c r="J324" s="1207"/>
      <c r="K324" s="1207"/>
      <c r="L324" s="1207"/>
      <c r="M324" s="1207"/>
      <c r="N324" s="1207"/>
      <c r="O324" s="1207"/>
      <c r="P324" s="1207"/>
      <c r="Q324" s="1207"/>
      <c r="R324" s="1207"/>
      <c r="S324" s="1207"/>
      <c r="T324" s="1207"/>
      <c r="U324" s="1207"/>
      <c r="V324" s="1208"/>
    </row>
    <row r="325" spans="1:22" ht="18" hidden="1" customHeight="1">
      <c r="A325" s="1209"/>
      <c r="B325" s="1207"/>
      <c r="C325" s="1207"/>
      <c r="D325" s="1207"/>
      <c r="E325" s="1207"/>
      <c r="F325" s="1207"/>
      <c r="G325" s="1207"/>
      <c r="H325" s="1207"/>
      <c r="I325" s="1207"/>
      <c r="J325" s="1207"/>
      <c r="K325" s="1207"/>
      <c r="L325" s="1207"/>
      <c r="M325" s="1207"/>
      <c r="N325" s="1207"/>
      <c r="O325" s="1207"/>
      <c r="P325" s="1207"/>
      <c r="Q325" s="1207"/>
      <c r="R325" s="1207"/>
      <c r="S325" s="1207"/>
      <c r="T325" s="1207"/>
      <c r="U325" s="1207"/>
      <c r="V325" s="1208"/>
    </row>
    <row r="326" spans="1:22" ht="18" hidden="1" customHeight="1">
      <c r="A326" s="231"/>
      <c r="B326" s="232"/>
      <c r="C326" s="232"/>
      <c r="D326" s="232"/>
      <c r="E326" s="232"/>
      <c r="F326" s="232"/>
      <c r="G326" s="232"/>
      <c r="H326" s="232"/>
      <c r="I326" s="232"/>
      <c r="J326" s="232"/>
      <c r="K326" s="232"/>
      <c r="L326" s="232"/>
      <c r="M326" s="232"/>
      <c r="N326" s="232"/>
      <c r="O326" s="232"/>
      <c r="P326" s="232"/>
      <c r="Q326" s="232"/>
      <c r="R326" s="232"/>
      <c r="S326" s="232"/>
      <c r="T326" s="232"/>
      <c r="U326" s="232"/>
      <c r="V326" s="233"/>
    </row>
    <row r="327" spans="1:22" ht="18" hidden="1" customHeight="1">
      <c r="A327" s="799" t="s">
        <v>417</v>
      </c>
      <c r="B327" s="802"/>
      <c r="C327" s="802"/>
      <c r="D327" s="689"/>
      <c r="E327" s="689"/>
      <c r="F327" s="689" t="s">
        <v>617</v>
      </c>
      <c r="G327" s="684"/>
      <c r="H327" s="689" t="s">
        <v>315</v>
      </c>
      <c r="I327" s="708" t="s">
        <v>411</v>
      </c>
      <c r="J327" s="828"/>
      <c r="K327" s="689" t="s">
        <v>315</v>
      </c>
      <c r="L327" s="802" t="s">
        <v>419</v>
      </c>
      <c r="M327" s="716" t="s">
        <v>420</v>
      </c>
      <c r="N327" s="729" t="s">
        <v>347</v>
      </c>
      <c r="O327" s="716" t="s">
        <v>408</v>
      </c>
      <c r="P327" s="689" t="s">
        <v>347</v>
      </c>
      <c r="Q327" s="759" t="s">
        <v>421</v>
      </c>
      <c r="R327" s="797"/>
      <c r="S327" s="797"/>
      <c r="T327" s="798" t="s">
        <v>350</v>
      </c>
      <c r="U327" s="230" t="s">
        <v>618</v>
      </c>
      <c r="V327" s="97"/>
    </row>
    <row r="328" spans="1:22" ht="18" hidden="1" customHeight="1">
      <c r="A328" s="827"/>
      <c r="B328" s="802"/>
      <c r="C328" s="802"/>
      <c r="D328" s="689"/>
      <c r="E328" s="689"/>
      <c r="F328" s="684"/>
      <c r="G328" s="684"/>
      <c r="H328" s="689"/>
      <c r="I328" s="689" t="s">
        <v>423</v>
      </c>
      <c r="J328" s="723"/>
      <c r="K328" s="689"/>
      <c r="L328" s="802"/>
      <c r="M328" s="716"/>
      <c r="N328" s="729"/>
      <c r="O328" s="716"/>
      <c r="P328" s="689"/>
      <c r="Q328" s="28" t="s">
        <v>146</v>
      </c>
      <c r="R328" s="28" t="s">
        <v>315</v>
      </c>
      <c r="S328" s="28" t="s">
        <v>146</v>
      </c>
      <c r="T328" s="798"/>
      <c r="U328" s="14"/>
      <c r="V328" s="97"/>
    </row>
    <row r="329" spans="1:22" ht="18" hidden="1" customHeight="1">
      <c r="A329" s="96"/>
      <c r="B329" s="14"/>
      <c r="C329" s="14"/>
      <c r="D329" s="28"/>
      <c r="E329" s="28"/>
      <c r="F329" s="27"/>
      <c r="G329" s="27"/>
      <c r="H329" s="28"/>
      <c r="I329" s="28"/>
      <c r="K329" s="28"/>
      <c r="L329" s="120"/>
      <c r="M329" s="14"/>
      <c r="N329" s="102"/>
      <c r="O329" s="14"/>
      <c r="P329" s="28"/>
      <c r="Q329" s="28"/>
      <c r="R329" s="28"/>
      <c r="S329" s="28"/>
      <c r="T329" s="40"/>
      <c r="U329" s="14"/>
      <c r="V329" s="97"/>
    </row>
    <row r="330" spans="1:22" ht="18" hidden="1" customHeight="1">
      <c r="A330" s="184"/>
      <c r="H330" s="30" t="s">
        <v>619</v>
      </c>
      <c r="M330" s="854" t="str">
        <f>M195</f>
        <v>N</v>
      </c>
      <c r="N330" s="831"/>
      <c r="V330" s="185"/>
    </row>
    <row r="331" spans="1:22" ht="18" hidden="1" customHeight="1">
      <c r="A331" s="96"/>
      <c r="B331" s="14"/>
      <c r="C331" s="14"/>
      <c r="D331" s="28"/>
      <c r="E331" s="28"/>
      <c r="F331" s="27"/>
      <c r="G331" s="27"/>
      <c r="H331" s="28"/>
      <c r="I331" s="28"/>
      <c r="K331" s="28"/>
      <c r="L331" s="120"/>
      <c r="M331" s="14"/>
      <c r="N331" s="102"/>
      <c r="O331" s="14"/>
      <c r="P331" s="28"/>
      <c r="Q331" s="28"/>
      <c r="R331" s="28"/>
      <c r="S331" s="28"/>
      <c r="T331" s="40"/>
      <c r="U331" s="14"/>
      <c r="V331" s="97"/>
    </row>
    <row r="332" spans="1:22" ht="18" hidden="1" customHeight="1">
      <c r="A332" s="184"/>
      <c r="B332" s="14" t="s">
        <v>427</v>
      </c>
      <c r="C332" s="14"/>
      <c r="D332" s="103"/>
      <c r="E332" s="103"/>
      <c r="F332" s="14"/>
      <c r="G332" s="14"/>
      <c r="H332" s="5"/>
      <c r="I332" s="5"/>
      <c r="J332" s="5"/>
      <c r="P332" s="120" t="s">
        <v>428</v>
      </c>
      <c r="V332" s="185"/>
    </row>
    <row r="333" spans="1:22" ht="18" hidden="1" customHeight="1">
      <c r="A333" s="184"/>
      <c r="B333" s="14" t="s">
        <v>429</v>
      </c>
      <c r="C333" s="14"/>
      <c r="D333" s="103"/>
      <c r="E333" s="103"/>
      <c r="F333" s="14"/>
      <c r="G333" s="14"/>
      <c r="H333" s="5"/>
      <c r="I333" s="5"/>
      <c r="J333" s="5"/>
      <c r="P333" s="120" t="s">
        <v>430</v>
      </c>
      <c r="Q333" s="234" t="s">
        <v>127</v>
      </c>
      <c r="R333" s="684" t="str">
        <f>L277</f>
        <v>-</v>
      </c>
      <c r="S333" s="684"/>
      <c r="T333" s="14" t="s">
        <v>8</v>
      </c>
      <c r="V333" s="185"/>
    </row>
    <row r="334" spans="1:22" ht="18" hidden="1" customHeight="1">
      <c r="A334" s="184"/>
      <c r="B334" s="14" t="s">
        <v>621</v>
      </c>
      <c r="C334" s="14"/>
      <c r="D334" s="14"/>
      <c r="E334" s="14"/>
      <c r="F334" s="14"/>
      <c r="G334" s="14"/>
      <c r="H334" s="14"/>
      <c r="I334" s="14"/>
      <c r="J334" s="14"/>
      <c r="P334" s="120" t="s">
        <v>609</v>
      </c>
      <c r="Q334" s="234" t="s">
        <v>127</v>
      </c>
      <c r="R334" s="684">
        <f>J298</f>
        <v>437.38656756789834</v>
      </c>
      <c r="S334" s="684"/>
      <c r="T334" s="14" t="s">
        <v>8</v>
      </c>
      <c r="V334" s="185"/>
    </row>
    <row r="335" spans="1:22" ht="18" hidden="1" customHeight="1">
      <c r="A335" s="184"/>
      <c r="B335" s="14" t="s">
        <v>622</v>
      </c>
      <c r="C335" s="14"/>
      <c r="D335" s="14"/>
      <c r="E335" s="14"/>
      <c r="F335" s="14"/>
      <c r="G335" s="14"/>
      <c r="H335" s="14"/>
      <c r="I335" s="14"/>
      <c r="J335" s="14"/>
      <c r="P335" s="120" t="s">
        <v>613</v>
      </c>
      <c r="Q335" s="234" t="s">
        <v>127</v>
      </c>
      <c r="R335" s="684">
        <f>O304</f>
        <v>6998.1850810863734</v>
      </c>
      <c r="S335" s="684"/>
      <c r="T335" s="14" t="s">
        <v>8</v>
      </c>
      <c r="V335" s="185"/>
    </row>
    <row r="336" spans="1:22" ht="18" hidden="1" customHeight="1">
      <c r="A336" s="184"/>
      <c r="B336" s="235" t="s">
        <v>623</v>
      </c>
      <c r="C336" s="14"/>
      <c r="D336" s="14"/>
      <c r="E336" s="14"/>
      <c r="F336" s="14"/>
      <c r="G336" s="14"/>
      <c r="H336" s="14"/>
      <c r="I336" s="14"/>
      <c r="J336" s="14"/>
      <c r="P336" s="120"/>
      <c r="Q336" s="236"/>
      <c r="R336" s="27"/>
      <c r="S336" s="27"/>
      <c r="T336" s="14"/>
      <c r="V336" s="185"/>
    </row>
    <row r="337" spans="1:22" ht="18" hidden="1" customHeight="1">
      <c r="A337" s="184"/>
      <c r="B337" s="14" t="s">
        <v>622</v>
      </c>
      <c r="C337" s="14"/>
      <c r="D337" s="14"/>
      <c r="E337" s="14"/>
      <c r="F337" s="14"/>
      <c r="G337" s="14"/>
      <c r="H337" s="14"/>
      <c r="I337" s="14"/>
      <c r="J337" s="14"/>
      <c r="P337" s="120" t="s">
        <v>617</v>
      </c>
      <c r="Q337" s="234" t="s">
        <v>127</v>
      </c>
      <c r="R337" s="684" t="str">
        <f>R202</f>
        <v>-</v>
      </c>
      <c r="S337" s="684"/>
      <c r="T337" s="14" t="s">
        <v>8</v>
      </c>
      <c r="V337" s="185"/>
    </row>
    <row r="338" spans="1:22" ht="18" hidden="1" customHeight="1">
      <c r="A338" s="184"/>
      <c r="B338" s="235" t="s">
        <v>624</v>
      </c>
      <c r="C338" s="14"/>
      <c r="D338" s="14"/>
      <c r="E338" s="14"/>
      <c r="F338" s="14"/>
      <c r="G338" s="14"/>
      <c r="H338" s="14"/>
      <c r="I338" s="14"/>
      <c r="J338" s="14"/>
      <c r="R338" s="27"/>
      <c r="S338" s="27"/>
      <c r="T338" s="14"/>
      <c r="V338" s="185"/>
    </row>
    <row r="339" spans="1:22" ht="18" hidden="1" customHeight="1">
      <c r="A339" s="184"/>
      <c r="B339" s="14" t="s">
        <v>435</v>
      </c>
      <c r="C339" s="14"/>
      <c r="D339" s="103"/>
      <c r="E339" s="103"/>
      <c r="F339" s="14"/>
      <c r="G339" s="14"/>
      <c r="H339" s="5"/>
      <c r="I339" s="5"/>
      <c r="J339" s="5"/>
      <c r="P339" s="120" t="s">
        <v>436</v>
      </c>
      <c r="Q339" s="234" t="s">
        <v>127</v>
      </c>
      <c r="R339" s="684">
        <f>O277</f>
        <v>1</v>
      </c>
      <c r="S339" s="684"/>
      <c r="T339" s="14" t="s">
        <v>8</v>
      </c>
      <c r="V339" s="185"/>
    </row>
    <row r="340" spans="1:22" ht="18" hidden="1" customHeight="1">
      <c r="A340" s="184"/>
      <c r="B340" s="14" t="s">
        <v>437</v>
      </c>
      <c r="C340" s="14"/>
      <c r="D340" s="103"/>
      <c r="E340" s="103"/>
      <c r="F340" s="14"/>
      <c r="G340" s="14"/>
      <c r="H340" s="5"/>
      <c r="I340" s="5"/>
      <c r="J340" s="5"/>
      <c r="P340" s="120" t="s">
        <v>438</v>
      </c>
      <c r="Q340" s="234" t="s">
        <v>127</v>
      </c>
      <c r="R340" s="684">
        <f>R205</f>
        <v>1</v>
      </c>
      <c r="S340" s="684"/>
      <c r="T340" s="14" t="s">
        <v>8</v>
      </c>
      <c r="V340" s="185"/>
    </row>
    <row r="341" spans="1:22" ht="18" hidden="1" customHeight="1">
      <c r="A341" s="184"/>
      <c r="B341" s="14" t="s">
        <v>439</v>
      </c>
      <c r="C341" s="14"/>
      <c r="D341" s="103"/>
      <c r="E341" s="103"/>
      <c r="F341" s="14"/>
      <c r="G341" s="14"/>
      <c r="H341" s="5"/>
      <c r="I341" s="5"/>
      <c r="J341" s="5"/>
      <c r="P341" s="120" t="s">
        <v>440</v>
      </c>
      <c r="Q341" s="234" t="s">
        <v>127</v>
      </c>
      <c r="R341" s="684" t="str">
        <f>L279</f>
        <v>-</v>
      </c>
      <c r="S341" s="684"/>
      <c r="T341" s="192" t="s">
        <v>333</v>
      </c>
      <c r="V341" s="185"/>
    </row>
    <row r="342" spans="1:22" ht="18" hidden="1" customHeight="1">
      <c r="A342" s="184"/>
      <c r="B342" s="14" t="s">
        <v>625</v>
      </c>
      <c r="C342" s="14"/>
      <c r="D342" s="14"/>
      <c r="E342" s="14"/>
      <c r="F342" s="14"/>
      <c r="G342" s="14"/>
      <c r="H342" s="14"/>
      <c r="I342" s="14"/>
      <c r="J342" s="14"/>
      <c r="P342" s="237" t="s">
        <v>441</v>
      </c>
      <c r="Q342" s="234" t="s">
        <v>127</v>
      </c>
      <c r="R342" s="795">
        <f>P289</f>
        <v>1.1667743100000001</v>
      </c>
      <c r="S342" s="684"/>
      <c r="T342" s="192" t="s">
        <v>333</v>
      </c>
      <c r="V342" s="185"/>
    </row>
    <row r="343" spans="1:22" ht="18" hidden="1" customHeight="1">
      <c r="A343" s="184"/>
      <c r="B343" s="40" t="s">
        <v>442</v>
      </c>
      <c r="C343" s="14"/>
      <c r="D343" s="14"/>
      <c r="E343" s="14"/>
      <c r="F343" s="14"/>
      <c r="G343" s="14"/>
      <c r="H343" s="5"/>
      <c r="I343" s="5"/>
      <c r="J343" s="5"/>
      <c r="P343" s="237" t="s">
        <v>443</v>
      </c>
      <c r="Q343" s="234" t="s">
        <v>127</v>
      </c>
      <c r="R343" s="795">
        <f>J285</f>
        <v>0.02</v>
      </c>
      <c r="S343" s="684"/>
      <c r="T343" s="14" t="s">
        <v>157</v>
      </c>
      <c r="V343" s="185"/>
    </row>
    <row r="344" spans="1:22" ht="18" hidden="1" customHeight="1">
      <c r="A344" s="184"/>
      <c r="V344" s="185"/>
    </row>
    <row r="345" spans="1:22" ht="18" hidden="1" customHeight="1">
      <c r="A345" s="799" t="s">
        <v>417</v>
      </c>
      <c r="B345" s="802"/>
      <c r="C345" s="802"/>
      <c r="D345" s="805">
        <v>30</v>
      </c>
      <c r="E345" s="805" t="s">
        <v>315</v>
      </c>
      <c r="F345" s="1184">
        <f>R334</f>
        <v>437.38656756789834</v>
      </c>
      <c r="G345" s="1111"/>
      <c r="H345" s="805" t="s">
        <v>315</v>
      </c>
      <c r="I345" s="822">
        <f>R339</f>
        <v>1</v>
      </c>
      <c r="J345" s="1269"/>
      <c r="K345" s="805" t="s">
        <v>315</v>
      </c>
      <c r="L345" s="815" t="s">
        <v>419</v>
      </c>
      <c r="M345" s="815" t="str">
        <f>R341</f>
        <v>-</v>
      </c>
      <c r="N345" s="816" t="s">
        <v>347</v>
      </c>
      <c r="O345" s="817">
        <f>R342</f>
        <v>1.1667743100000001</v>
      </c>
      <c r="P345" s="805" t="s">
        <v>347</v>
      </c>
      <c r="Q345" s="1259">
        <f>R343</f>
        <v>0.02</v>
      </c>
      <c r="R345" s="807"/>
      <c r="S345" s="807"/>
      <c r="T345" s="798" t="s">
        <v>350</v>
      </c>
      <c r="U345" s="230" t="s">
        <v>422</v>
      </c>
      <c r="V345" s="97"/>
    </row>
    <row r="346" spans="1:22" ht="18" hidden="1" customHeight="1">
      <c r="A346" s="827"/>
      <c r="B346" s="802"/>
      <c r="C346" s="802"/>
      <c r="D346" s="805"/>
      <c r="E346" s="805"/>
      <c r="F346" s="1111"/>
      <c r="G346" s="1111"/>
      <c r="H346" s="805"/>
      <c r="I346" s="805" t="str">
        <f>R333</f>
        <v>-</v>
      </c>
      <c r="J346" s="1234"/>
      <c r="K346" s="805"/>
      <c r="L346" s="815"/>
      <c r="M346" s="815"/>
      <c r="N346" s="816"/>
      <c r="O346" s="815"/>
      <c r="P346" s="805"/>
      <c r="Q346" s="221">
        <f>R340</f>
        <v>1</v>
      </c>
      <c r="R346" s="221" t="s">
        <v>315</v>
      </c>
      <c r="S346" s="221">
        <f>R340</f>
        <v>1</v>
      </c>
      <c r="T346" s="798"/>
      <c r="U346" s="14"/>
      <c r="V346" s="97"/>
    </row>
    <row r="347" spans="1:22" ht="18" hidden="1" customHeight="1">
      <c r="A347" s="184"/>
      <c r="V347" s="185"/>
    </row>
    <row r="348" spans="1:22" ht="18" hidden="1" customHeight="1">
      <c r="A348" s="184"/>
      <c r="C348" s="30" t="s">
        <v>127</v>
      </c>
      <c r="D348" s="812" t="e">
        <f>D345*F345*(I345/I346)*(M345+O345+(Q345/(Q346*S346)))</f>
        <v>#VALUE!</v>
      </c>
      <c r="E348" s="813"/>
      <c r="F348" s="30" t="s">
        <v>305</v>
      </c>
      <c r="V348" s="185"/>
    </row>
    <row r="349" spans="1:22" ht="18" hidden="1" customHeight="1">
      <c r="A349" s="184"/>
      <c r="V349" s="185"/>
    </row>
    <row r="350" spans="1:22" ht="18" hidden="1" customHeight="1">
      <c r="A350" s="799" t="s">
        <v>417</v>
      </c>
      <c r="B350" s="802"/>
      <c r="C350" s="802"/>
      <c r="D350" s="805">
        <v>2</v>
      </c>
      <c r="E350" s="805" t="s">
        <v>315</v>
      </c>
      <c r="F350" s="1184">
        <f>R335</f>
        <v>6998.1850810863734</v>
      </c>
      <c r="G350" s="1111"/>
      <c r="H350" s="805" t="s">
        <v>315</v>
      </c>
      <c r="I350" s="822">
        <f>R339</f>
        <v>1</v>
      </c>
      <c r="J350" s="1269"/>
      <c r="K350" s="805" t="s">
        <v>315</v>
      </c>
      <c r="L350" s="808" t="s">
        <v>419</v>
      </c>
      <c r="M350" s="815" t="str">
        <f>R341</f>
        <v>-</v>
      </c>
      <c r="N350" s="816" t="s">
        <v>347</v>
      </c>
      <c r="O350" s="817">
        <f>R342</f>
        <v>1.1667743100000001</v>
      </c>
      <c r="P350" s="805" t="s">
        <v>347</v>
      </c>
      <c r="Q350" s="1259">
        <f>R343</f>
        <v>0.02</v>
      </c>
      <c r="R350" s="807"/>
      <c r="S350" s="807"/>
      <c r="T350" s="798" t="s">
        <v>350</v>
      </c>
      <c r="U350" s="230" t="s">
        <v>426</v>
      </c>
      <c r="V350" s="97"/>
    </row>
    <row r="351" spans="1:22" ht="18" hidden="1" customHeight="1">
      <c r="A351" s="827"/>
      <c r="B351" s="802"/>
      <c r="C351" s="802"/>
      <c r="D351" s="805"/>
      <c r="E351" s="805"/>
      <c r="F351" s="1111"/>
      <c r="G351" s="1111"/>
      <c r="H351" s="805"/>
      <c r="I351" s="805" t="str">
        <f>R333</f>
        <v>-</v>
      </c>
      <c r="J351" s="1234"/>
      <c r="K351" s="805"/>
      <c r="L351" s="808"/>
      <c r="M351" s="815"/>
      <c r="N351" s="816"/>
      <c r="O351" s="815"/>
      <c r="P351" s="805"/>
      <c r="Q351" s="221">
        <f>R340</f>
        <v>1</v>
      </c>
      <c r="R351" s="221" t="s">
        <v>315</v>
      </c>
      <c r="S351" s="221">
        <f>R340</f>
        <v>1</v>
      </c>
      <c r="T351" s="798"/>
      <c r="U351" s="14"/>
      <c r="V351" s="97"/>
    </row>
    <row r="352" spans="1:22" ht="18" hidden="1" customHeight="1">
      <c r="A352" s="184"/>
      <c r="L352" s="244"/>
      <c r="V352" s="185"/>
    </row>
    <row r="353" spans="1:22" ht="18" hidden="1" customHeight="1">
      <c r="A353" s="184"/>
      <c r="C353" s="30" t="s">
        <v>127</v>
      </c>
      <c r="D353" s="812" t="e">
        <f>D350*F350*(I350/I351)*(M350+O350+(Q350/(Q351*S351)))</f>
        <v>#VALUE!</v>
      </c>
      <c r="E353" s="813"/>
      <c r="F353" s="30" t="s">
        <v>305</v>
      </c>
      <c r="L353" s="244"/>
      <c r="V353" s="185"/>
    </row>
    <row r="354" spans="1:22" ht="18" hidden="1" customHeight="1">
      <c r="A354" s="184"/>
      <c r="L354" s="244"/>
      <c r="V354" s="185"/>
    </row>
    <row r="355" spans="1:22" ht="18" hidden="1" customHeight="1">
      <c r="A355" s="799" t="s">
        <v>417</v>
      </c>
      <c r="B355" s="802"/>
      <c r="C355" s="802"/>
      <c r="D355" s="689"/>
      <c r="E355" s="689"/>
      <c r="F355" s="805" t="str">
        <f>R337</f>
        <v>-</v>
      </c>
      <c r="G355" s="993"/>
      <c r="H355" s="805" t="s">
        <v>315</v>
      </c>
      <c r="I355" s="822">
        <f>R339</f>
        <v>1</v>
      </c>
      <c r="J355" s="1269"/>
      <c r="K355" s="805" t="s">
        <v>315</v>
      </c>
      <c r="L355" s="808" t="s">
        <v>419</v>
      </c>
      <c r="M355" s="815" t="str">
        <f>R341</f>
        <v>-</v>
      </c>
      <c r="N355" s="816" t="s">
        <v>347</v>
      </c>
      <c r="O355" s="817">
        <f>R342</f>
        <v>1.1667743100000001</v>
      </c>
      <c r="P355" s="805" t="s">
        <v>347</v>
      </c>
      <c r="Q355" s="1259">
        <f>R343</f>
        <v>0.02</v>
      </c>
      <c r="R355" s="807"/>
      <c r="S355" s="807"/>
      <c r="T355" s="798" t="s">
        <v>350</v>
      </c>
      <c r="U355" s="230" t="s">
        <v>618</v>
      </c>
      <c r="V355" s="97"/>
    </row>
    <row r="356" spans="1:22" ht="18" hidden="1" customHeight="1">
      <c r="A356" s="827"/>
      <c r="B356" s="802"/>
      <c r="C356" s="802"/>
      <c r="D356" s="689"/>
      <c r="E356" s="689"/>
      <c r="F356" s="993"/>
      <c r="G356" s="993"/>
      <c r="H356" s="805"/>
      <c r="I356" s="805" t="str">
        <f>R333</f>
        <v>-</v>
      </c>
      <c r="J356" s="1234"/>
      <c r="K356" s="805"/>
      <c r="L356" s="808"/>
      <c r="M356" s="815"/>
      <c r="N356" s="816"/>
      <c r="O356" s="815"/>
      <c r="P356" s="805"/>
      <c r="Q356" s="221">
        <f>R340</f>
        <v>1</v>
      </c>
      <c r="R356" s="221" t="s">
        <v>315</v>
      </c>
      <c r="S356" s="221">
        <f>R340</f>
        <v>1</v>
      </c>
      <c r="T356" s="798"/>
      <c r="U356" s="14"/>
      <c r="V356" s="97"/>
    </row>
    <row r="357" spans="1:22" ht="18" hidden="1" customHeight="1">
      <c r="A357" s="184"/>
      <c r="V357" s="185"/>
    </row>
    <row r="358" spans="1:22" ht="18" hidden="1" customHeight="1">
      <c r="A358" s="184"/>
      <c r="C358" s="30" t="s">
        <v>127</v>
      </c>
      <c r="D358" s="812" t="e">
        <f>F355*(I355/I356)*(M355+O355+(Q355/(Q356*S356)))</f>
        <v>#VALUE!</v>
      </c>
      <c r="E358" s="813"/>
      <c r="F358" s="30" t="s">
        <v>305</v>
      </c>
      <c r="G358" s="187" t="s">
        <v>378</v>
      </c>
      <c r="H358" s="186" t="str">
        <f>IF(M330="y","Applicable","Not applicable")</f>
        <v>Not applicable</v>
      </c>
      <c r="V358" s="185"/>
    </row>
    <row r="359" spans="1:22" ht="18" hidden="1" customHeight="1">
      <c r="A359" s="184"/>
      <c r="V359" s="185"/>
    </row>
    <row r="360" spans="1:22" s="14" customFormat="1" ht="18" hidden="1" customHeight="1">
      <c r="A360" s="194"/>
      <c r="B360" s="195"/>
      <c r="C360" s="195"/>
      <c r="D360" s="195"/>
      <c r="E360" s="195"/>
      <c r="F360" s="195"/>
      <c r="G360" s="195"/>
      <c r="H360" s="195"/>
      <c r="I360" s="195"/>
      <c r="J360" s="195"/>
      <c r="K360" s="195"/>
      <c r="L360" s="195"/>
      <c r="M360" s="195"/>
      <c r="N360" s="195"/>
      <c r="O360" s="195"/>
      <c r="P360" s="195"/>
      <c r="Q360" s="224"/>
      <c r="R360" s="182"/>
      <c r="S360" s="225"/>
      <c r="T360" s="195"/>
      <c r="U360" s="195"/>
      <c r="V360" s="134"/>
    </row>
    <row r="361" spans="1:22" ht="18" hidden="1" customHeight="1">
      <c r="A361" s="226"/>
      <c r="B361" s="227"/>
      <c r="C361" s="227"/>
      <c r="D361" s="227"/>
      <c r="E361" s="227"/>
      <c r="F361" s="227"/>
      <c r="G361" s="227"/>
      <c r="H361" s="227"/>
      <c r="I361" s="227"/>
      <c r="J361" s="227"/>
      <c r="K361" s="227"/>
      <c r="L361" s="227"/>
      <c r="M361" s="227"/>
      <c r="N361" s="227"/>
      <c r="O361" s="227"/>
      <c r="P361" s="227"/>
      <c r="Q361" s="227"/>
      <c r="R361" s="227"/>
      <c r="S361" s="227"/>
      <c r="T361" s="227"/>
      <c r="U361" s="227"/>
      <c r="V361" s="228"/>
    </row>
    <row r="362" spans="1:22" ht="18" hidden="1" customHeight="1">
      <c r="A362" s="184" t="s">
        <v>634</v>
      </c>
      <c r="M362" s="825" t="str">
        <f>R333</f>
        <v>-</v>
      </c>
      <c r="N362" s="826"/>
      <c r="O362" s="30" t="s">
        <v>470</v>
      </c>
      <c r="Q362" s="812" t="e">
        <f>IF(M330="Y",MAX(D348,D358),MAX(D348,D353))</f>
        <v>#VALUE!</v>
      </c>
      <c r="R362" s="820"/>
      <c r="S362" s="30" t="s">
        <v>305</v>
      </c>
      <c r="V362" s="185"/>
    </row>
    <row r="363" spans="1:22" ht="18" hidden="1" customHeight="1">
      <c r="A363" s="184"/>
      <c r="M363" s="247"/>
      <c r="N363" s="247"/>
      <c r="Q363" s="211"/>
      <c r="R363" s="27"/>
      <c r="V363" s="185"/>
    </row>
    <row r="364" spans="1:22" ht="18" hidden="1" customHeight="1">
      <c r="A364" s="248" t="s">
        <v>471</v>
      </c>
      <c r="B364" s="14"/>
      <c r="C364" s="14"/>
      <c r="D364" s="249"/>
      <c r="E364" s="14"/>
      <c r="F364" s="14"/>
      <c r="G364" s="47"/>
      <c r="H364" s="14"/>
      <c r="J364" s="14"/>
      <c r="K364" s="14"/>
      <c r="L364" s="14"/>
      <c r="M364" s="14"/>
      <c r="N364" s="14"/>
      <c r="O364" s="14"/>
      <c r="P364" s="250"/>
      <c r="Q364" s="251"/>
      <c r="R364" s="47"/>
      <c r="S364" s="14"/>
      <c r="V364" s="185"/>
    </row>
    <row r="365" spans="1:22" ht="18" hidden="1" customHeight="1">
      <c r="A365" s="248"/>
      <c r="B365" s="14"/>
      <c r="C365" s="14"/>
      <c r="D365" s="249"/>
      <c r="E365" s="14"/>
      <c r="F365" s="14"/>
      <c r="G365" s="47"/>
      <c r="H365" s="14"/>
      <c r="J365" s="14"/>
      <c r="K365" s="14"/>
      <c r="L365" s="14"/>
      <c r="M365" s="14"/>
      <c r="N365" s="14"/>
      <c r="O365" s="14"/>
      <c r="P365" s="250"/>
      <c r="Q365" s="251"/>
      <c r="R365" s="47"/>
      <c r="S365" s="14"/>
      <c r="V365" s="185"/>
    </row>
    <row r="366" spans="1:22" ht="18" hidden="1" customHeight="1">
      <c r="A366" s="96" t="s">
        <v>500</v>
      </c>
      <c r="V366" s="185"/>
    </row>
    <row r="367" spans="1:22" ht="18" hidden="1" customHeight="1">
      <c r="A367" s="184"/>
      <c r="N367" s="14"/>
      <c r="O367" s="14" t="s">
        <v>473</v>
      </c>
      <c r="P367" s="102" t="s">
        <v>127</v>
      </c>
      <c r="Q367" s="694" t="s">
        <v>474</v>
      </c>
      <c r="R367" s="694"/>
      <c r="S367" s="28" t="s">
        <v>315</v>
      </c>
      <c r="T367" s="28">
        <v>0.8</v>
      </c>
      <c r="V367" s="185"/>
    </row>
    <row r="368" spans="1:22" ht="18" hidden="1" customHeight="1">
      <c r="A368" s="184"/>
      <c r="N368" s="252"/>
      <c r="O368" s="14"/>
      <c r="P368" s="102" t="s">
        <v>127</v>
      </c>
      <c r="Q368" s="829" t="e">
        <f>+Q362</f>
        <v>#VALUE!</v>
      </c>
      <c r="R368" s="1147"/>
      <c r="S368" s="222" t="s">
        <v>315</v>
      </c>
      <c r="T368" s="253">
        <f>+T367</f>
        <v>0.8</v>
      </c>
      <c r="V368" s="185"/>
    </row>
    <row r="369" spans="1:22" ht="18" hidden="1" customHeight="1">
      <c r="A369" s="184"/>
      <c r="O369" s="14"/>
      <c r="P369" s="28" t="s">
        <v>127</v>
      </c>
      <c r="Q369" s="830" t="e">
        <f>Q368*T368</f>
        <v>#VALUE!</v>
      </c>
      <c r="R369" s="1270"/>
      <c r="S369" s="47" t="s">
        <v>305</v>
      </c>
      <c r="T369" s="14"/>
      <c r="V369" s="185"/>
    </row>
    <row r="370" spans="1:22" ht="18" hidden="1" customHeight="1">
      <c r="A370" s="184"/>
      <c r="V370" s="185"/>
    </row>
    <row r="371" spans="1:22" ht="18" hidden="1" customHeight="1">
      <c r="A371" s="184"/>
      <c r="D371" s="30" t="s">
        <v>475</v>
      </c>
      <c r="G371" s="27" t="e">
        <f>IF(E372&gt;H372,"&gt;","&lt;")</f>
        <v>#VALUE!</v>
      </c>
      <c r="H371" s="30" t="s">
        <v>477</v>
      </c>
      <c r="V371" s="185"/>
    </row>
    <row r="372" spans="1:22" ht="18" hidden="1" customHeight="1">
      <c r="A372" s="184"/>
      <c r="E372" s="684" t="str">
        <f>L280</f>
        <v>-</v>
      </c>
      <c r="F372" s="684"/>
      <c r="G372" s="27" t="e">
        <f>G371</f>
        <v>#VALUE!</v>
      </c>
      <c r="H372" s="795" t="e">
        <f>Q369</f>
        <v>#VALUE!</v>
      </c>
      <c r="I372" s="684"/>
      <c r="V372" s="185"/>
    </row>
    <row r="373" spans="1:22" ht="18" hidden="1" customHeight="1">
      <c r="A373" s="184"/>
      <c r="F373" s="244" t="s">
        <v>478</v>
      </c>
      <c r="H373" s="18" t="e">
        <f>IF(G371="&gt;","Suitably Dimensioned","Under Dimensioned")</f>
        <v>#VALUE!</v>
      </c>
      <c r="V373" s="185"/>
    </row>
    <row r="374" spans="1:22" ht="18" hidden="1" customHeight="1">
      <c r="A374" s="184"/>
      <c r="F374" s="244"/>
      <c r="H374" s="18"/>
      <c r="V374" s="185"/>
    </row>
    <row r="375" spans="1:22" ht="18" hidden="1" customHeight="1">
      <c r="A375" s="184"/>
      <c r="F375" s="244"/>
      <c r="H375" s="18"/>
      <c r="V375" s="185"/>
    </row>
    <row r="376" spans="1:22" ht="18" hidden="1" customHeight="1">
      <c r="A376" s="184"/>
      <c r="F376" s="244"/>
      <c r="H376" s="18"/>
      <c r="V376" s="185"/>
    </row>
    <row r="377" spans="1:22" ht="18" hidden="1" customHeight="1">
      <c r="A377" s="184"/>
      <c r="F377" s="244"/>
      <c r="H377" s="18"/>
      <c r="V377" s="185"/>
    </row>
    <row r="378" spans="1:22" ht="18" hidden="1" customHeight="1">
      <c r="A378" s="184"/>
      <c r="F378" s="244"/>
      <c r="H378" s="18"/>
      <c r="V378" s="185"/>
    </row>
    <row r="379" spans="1:22" ht="18" hidden="1" customHeight="1">
      <c r="A379" s="184"/>
      <c r="F379" s="244"/>
      <c r="H379" s="18"/>
      <c r="V379" s="185"/>
    </row>
    <row r="380" spans="1:22" ht="18" hidden="1" customHeight="1">
      <c r="A380" s="184"/>
      <c r="F380" s="244"/>
      <c r="H380" s="18"/>
      <c r="V380" s="185"/>
    </row>
    <row r="381" spans="1:22" ht="18" hidden="1" customHeight="1">
      <c r="A381" s="184"/>
      <c r="F381" s="244"/>
      <c r="H381" s="18"/>
      <c r="V381" s="185"/>
    </row>
    <row r="382" spans="1:22" ht="18" hidden="1" customHeight="1">
      <c r="A382" s="184"/>
      <c r="F382" s="244"/>
      <c r="H382" s="18"/>
      <c r="V382" s="185"/>
    </row>
    <row r="383" spans="1:22" ht="18" hidden="1" customHeight="1">
      <c r="A383" s="184"/>
      <c r="F383" s="244"/>
      <c r="H383" s="18"/>
      <c r="V383" s="185"/>
    </row>
    <row r="384" spans="1:22" ht="18" hidden="1" customHeight="1">
      <c r="A384" s="184"/>
      <c r="F384" s="244"/>
      <c r="H384" s="18"/>
      <c r="V384" s="185"/>
    </row>
    <row r="385" spans="1:22" ht="18" hidden="1" customHeight="1">
      <c r="A385" s="184"/>
      <c r="F385" s="244"/>
      <c r="H385" s="18"/>
      <c r="V385" s="185"/>
    </row>
    <row r="386" spans="1:22" ht="18" hidden="1" customHeight="1">
      <c r="A386" s="184"/>
      <c r="F386" s="244"/>
      <c r="H386" s="18"/>
      <c r="V386" s="185"/>
    </row>
    <row r="387" spans="1:22" ht="18" hidden="1" customHeight="1">
      <c r="A387" s="184"/>
      <c r="F387" s="244"/>
      <c r="H387" s="18"/>
      <c r="V387" s="185"/>
    </row>
    <row r="388" spans="1:22" ht="18" hidden="1" customHeight="1">
      <c r="A388" s="184"/>
      <c r="F388" s="244"/>
      <c r="H388" s="18"/>
      <c r="V388" s="185"/>
    </row>
    <row r="389" spans="1:22" ht="18" hidden="1" customHeight="1">
      <c r="A389" s="184"/>
      <c r="F389" s="244"/>
      <c r="H389" s="18"/>
      <c r="V389" s="185"/>
    </row>
    <row r="390" spans="1:22" ht="18" hidden="1" customHeight="1">
      <c r="A390" s="184"/>
      <c r="F390" s="244"/>
      <c r="H390" s="18"/>
      <c r="V390" s="185"/>
    </row>
    <row r="391" spans="1:22" ht="18" hidden="1" customHeight="1">
      <c r="A391" s="184"/>
      <c r="F391" s="244"/>
      <c r="H391" s="18"/>
      <c r="V391" s="185"/>
    </row>
    <row r="392" spans="1:22" ht="18" hidden="1" customHeight="1">
      <c r="A392" s="184"/>
      <c r="F392" s="244"/>
      <c r="H392" s="18"/>
      <c r="V392" s="185"/>
    </row>
    <row r="393" spans="1:22" ht="18" hidden="1" customHeight="1">
      <c r="A393" s="184"/>
      <c r="F393" s="244"/>
      <c r="H393" s="18"/>
      <c r="V393" s="185"/>
    </row>
    <row r="394" spans="1:22" ht="18" hidden="1" customHeight="1">
      <c r="A394" s="184"/>
      <c r="F394" s="244"/>
      <c r="H394" s="18"/>
      <c r="V394" s="185"/>
    </row>
    <row r="395" spans="1:22" ht="18" hidden="1" customHeight="1">
      <c r="A395" s="184"/>
      <c r="F395" s="244"/>
      <c r="H395" s="18"/>
      <c r="V395" s="185"/>
    </row>
    <row r="396" spans="1:22" ht="18" hidden="1" customHeight="1">
      <c r="A396" s="184"/>
      <c r="F396" s="244"/>
      <c r="H396" s="18"/>
      <c r="V396" s="185"/>
    </row>
    <row r="397" spans="1:22" ht="18" hidden="1" customHeight="1">
      <c r="A397" s="184"/>
      <c r="F397" s="244"/>
      <c r="H397" s="18"/>
      <c r="V397" s="185"/>
    </row>
    <row r="398" spans="1:22" ht="18" hidden="1" customHeight="1">
      <c r="A398" s="184"/>
      <c r="F398" s="244"/>
      <c r="H398" s="18"/>
      <c r="V398" s="185"/>
    </row>
    <row r="399" spans="1:22" ht="18" hidden="1" customHeight="1">
      <c r="A399" s="184"/>
      <c r="F399" s="244"/>
      <c r="H399" s="18"/>
      <c r="V399" s="185"/>
    </row>
    <row r="400" spans="1:22" ht="18" hidden="1" customHeight="1">
      <c r="A400" s="184"/>
      <c r="F400" s="244"/>
      <c r="H400" s="18"/>
      <c r="V400" s="185"/>
    </row>
    <row r="401" spans="1:22" ht="18" hidden="1" customHeight="1">
      <c r="A401" s="184"/>
      <c r="F401" s="244"/>
      <c r="H401" s="18"/>
      <c r="V401" s="185"/>
    </row>
    <row r="402" spans="1:22" ht="18" hidden="1" customHeight="1">
      <c r="A402" s="184"/>
      <c r="F402" s="244"/>
      <c r="H402" s="18"/>
      <c r="V402" s="185"/>
    </row>
    <row r="403" spans="1:22" ht="18" hidden="1" customHeight="1">
      <c r="A403" s="184"/>
      <c r="F403" s="244"/>
      <c r="H403" s="18"/>
      <c r="V403" s="185"/>
    </row>
    <row r="404" spans="1:22" s="14" customFormat="1" ht="18" hidden="1" customHeight="1">
      <c r="A404" s="194"/>
      <c r="B404" s="195"/>
      <c r="C404" s="195"/>
      <c r="D404" s="195"/>
      <c r="E404" s="195"/>
      <c r="F404" s="195"/>
      <c r="G404" s="195"/>
      <c r="H404" s="195"/>
      <c r="I404" s="195"/>
      <c r="J404" s="195"/>
      <c r="K404" s="195"/>
      <c r="L404" s="195"/>
      <c r="M404" s="195"/>
      <c r="N404" s="195"/>
      <c r="O404" s="195"/>
      <c r="P404" s="195"/>
      <c r="Q404" s="224"/>
      <c r="R404" s="182"/>
      <c r="S404" s="225"/>
      <c r="T404" s="195"/>
      <c r="U404" s="195"/>
      <c r="V404" s="134"/>
    </row>
    <row r="405" spans="1:22" ht="18" customHeight="1">
      <c r="A405" s="226"/>
      <c r="B405" s="227"/>
      <c r="C405" s="227"/>
      <c r="D405" s="227"/>
      <c r="E405" s="227"/>
      <c r="F405" s="227"/>
      <c r="G405" s="227"/>
      <c r="H405" s="227"/>
      <c r="I405" s="227"/>
      <c r="J405" s="227"/>
      <c r="K405" s="227"/>
      <c r="L405" s="227"/>
      <c r="M405" s="227"/>
      <c r="N405" s="227"/>
      <c r="O405" s="227"/>
      <c r="P405" s="227"/>
      <c r="Q405" s="227"/>
      <c r="R405" s="227"/>
      <c r="S405" s="227"/>
      <c r="T405" s="227"/>
      <c r="U405" s="227"/>
      <c r="V405" s="228"/>
    </row>
    <row r="406" spans="1:22" ht="18" customHeight="1">
      <c r="A406" s="262" t="s">
        <v>501</v>
      </c>
      <c r="B406" s="14"/>
      <c r="C406" s="14"/>
      <c r="D406" s="120"/>
      <c r="E406" s="120"/>
      <c r="F406" s="18"/>
      <c r="G406" s="18"/>
      <c r="H406" s="14"/>
      <c r="I406" s="14"/>
      <c r="J406" s="14"/>
      <c r="K406" s="14"/>
      <c r="L406" s="14"/>
      <c r="M406" s="14"/>
      <c r="N406" s="14"/>
      <c r="O406" s="14"/>
      <c r="P406" s="28"/>
      <c r="Q406" s="120"/>
      <c r="R406" s="47"/>
      <c r="S406" s="206"/>
      <c r="T406" s="259"/>
      <c r="U406" s="14"/>
      <c r="V406" s="97"/>
    </row>
    <row r="407" spans="1:22" ht="18" customHeight="1">
      <c r="A407" s="955" t="s">
        <v>85</v>
      </c>
      <c r="B407" s="956"/>
      <c r="C407" s="957"/>
      <c r="D407" s="955" t="s">
        <v>86</v>
      </c>
      <c r="E407" s="956"/>
      <c r="F407" s="957"/>
      <c r="G407" s="955" t="s">
        <v>87</v>
      </c>
      <c r="H407" s="957"/>
      <c r="I407" s="955" t="s">
        <v>88</v>
      </c>
      <c r="J407" s="957"/>
      <c r="K407" s="955" t="s">
        <v>502</v>
      </c>
      <c r="L407" s="957"/>
      <c r="M407" s="955" t="s">
        <v>503</v>
      </c>
      <c r="N407" s="957"/>
      <c r="O407" s="955" t="s">
        <v>504</v>
      </c>
      <c r="P407" s="957"/>
      <c r="Q407" s="955" t="s">
        <v>505</v>
      </c>
      <c r="R407" s="957"/>
      <c r="S407" s="955" t="s">
        <v>93</v>
      </c>
      <c r="T407" s="956"/>
      <c r="U407" s="956"/>
      <c r="V407" s="957"/>
    </row>
    <row r="408" spans="1:22" ht="18" customHeight="1">
      <c r="A408" s="1125"/>
      <c r="B408" s="983"/>
      <c r="C408" s="1126"/>
      <c r="D408" s="1125"/>
      <c r="E408" s="983"/>
      <c r="F408" s="1126"/>
      <c r="G408" s="1125"/>
      <c r="H408" s="1126"/>
      <c r="I408" s="1125"/>
      <c r="J408" s="1126"/>
      <c r="K408" s="1125"/>
      <c r="L408" s="1126"/>
      <c r="M408" s="1125"/>
      <c r="N408" s="1126"/>
      <c r="O408" s="1125"/>
      <c r="P408" s="1126"/>
      <c r="Q408" s="1125"/>
      <c r="R408" s="1126"/>
      <c r="S408" s="1125"/>
      <c r="T408" s="983"/>
      <c r="U408" s="983"/>
      <c r="V408" s="1126"/>
    </row>
    <row r="409" spans="1:22" ht="18" customHeight="1">
      <c r="A409" s="1125"/>
      <c r="B409" s="983"/>
      <c r="C409" s="1126"/>
      <c r="D409" s="1125"/>
      <c r="E409" s="983"/>
      <c r="F409" s="1126"/>
      <c r="G409" s="1125"/>
      <c r="H409" s="1126"/>
      <c r="I409" s="1125"/>
      <c r="J409" s="1126"/>
      <c r="K409" s="1125"/>
      <c r="L409" s="1126"/>
      <c r="M409" s="1125"/>
      <c r="N409" s="1126"/>
      <c r="O409" s="1125"/>
      <c r="P409" s="1126"/>
      <c r="Q409" s="1125"/>
      <c r="R409" s="1126"/>
      <c r="S409" s="1125"/>
      <c r="T409" s="983"/>
      <c r="U409" s="983"/>
      <c r="V409" s="1126"/>
    </row>
    <row r="410" spans="1:22" ht="18" customHeight="1">
      <c r="A410" s="1047"/>
      <c r="B410" s="1048"/>
      <c r="C410" s="1049"/>
      <c r="D410" s="1047"/>
      <c r="E410" s="1048"/>
      <c r="F410" s="1049"/>
      <c r="G410" s="1047"/>
      <c r="H410" s="1049"/>
      <c r="I410" s="1047"/>
      <c r="J410" s="1049"/>
      <c r="K410" s="1047"/>
      <c r="L410" s="1049"/>
      <c r="M410" s="1047"/>
      <c r="N410" s="1049"/>
      <c r="O410" s="1047"/>
      <c r="P410" s="1049"/>
      <c r="Q410" s="1047"/>
      <c r="R410" s="1049"/>
      <c r="S410" s="1047"/>
      <c r="T410" s="1048"/>
      <c r="U410" s="1048"/>
      <c r="V410" s="1049"/>
    </row>
    <row r="411" spans="1:22" ht="18" customHeight="1">
      <c r="A411" s="765" t="str">
        <f>B7</f>
        <v>T7</v>
      </c>
      <c r="B411" s="765" t="str">
        <f>D7</f>
        <v>Core1</v>
      </c>
      <c r="C411" s="765"/>
      <c r="D411" s="870">
        <f>H10</f>
        <v>1750</v>
      </c>
      <c r="E411" s="870"/>
      <c r="F411" s="871">
        <f>O10</f>
        <v>1</v>
      </c>
      <c r="G411" s="870">
        <f>'CT-VT Burdens'!S21</f>
        <v>120</v>
      </c>
      <c r="H411" s="874">
        <f>'CT-VT Burdens'!S10</f>
        <v>6</v>
      </c>
      <c r="I411" s="874" t="str">
        <f>H11</f>
        <v>PX</v>
      </c>
      <c r="J411" s="874"/>
      <c r="K411" s="869">
        <f>H12</f>
        <v>5</v>
      </c>
      <c r="L411" s="869"/>
      <c r="M411" s="869">
        <f>H13</f>
        <v>300</v>
      </c>
      <c r="N411" s="869"/>
      <c r="O411" s="870">
        <f>H14</f>
        <v>30</v>
      </c>
      <c r="P411" s="870"/>
      <c r="Q411" s="879" t="str">
        <f>D154</f>
        <v>RET670</v>
      </c>
      <c r="R411" s="879"/>
      <c r="S411" s="878" t="str">
        <f>H113</f>
        <v>Suitably Dimensioned</v>
      </c>
      <c r="T411" s="878"/>
      <c r="U411" s="878"/>
      <c r="V411" s="878"/>
    </row>
    <row r="412" spans="1:22" ht="18" customHeight="1">
      <c r="A412" s="765"/>
      <c r="B412" s="765"/>
      <c r="C412" s="765"/>
      <c r="D412" s="870">
        <f>J10</f>
        <v>2500</v>
      </c>
      <c r="E412" s="870"/>
      <c r="F412" s="872"/>
      <c r="G412" s="870"/>
      <c r="H412" s="870"/>
      <c r="I412" s="874"/>
      <c r="J412" s="874"/>
      <c r="K412" s="875" t="s">
        <v>6</v>
      </c>
      <c r="L412" s="869"/>
      <c r="M412" s="875" t="s">
        <v>6</v>
      </c>
      <c r="N412" s="869"/>
      <c r="O412" s="876" t="s">
        <v>6</v>
      </c>
      <c r="P412" s="870"/>
      <c r="Q412" s="879"/>
      <c r="R412" s="879"/>
      <c r="S412" s="877" t="s">
        <v>6</v>
      </c>
      <c r="T412" s="878"/>
      <c r="U412" s="878"/>
      <c r="V412" s="878"/>
    </row>
    <row r="413" spans="1:22" ht="18" customHeight="1">
      <c r="A413" s="765"/>
      <c r="B413" s="765"/>
      <c r="C413" s="765"/>
      <c r="D413" s="870" t="str">
        <f>L10</f>
        <v>-</v>
      </c>
      <c r="E413" s="870"/>
      <c r="F413" s="873"/>
      <c r="G413" s="870"/>
      <c r="H413" s="870"/>
      <c r="I413" s="874"/>
      <c r="J413" s="874"/>
      <c r="K413" s="869" t="str">
        <f>L279</f>
        <v>-</v>
      </c>
      <c r="L413" s="869"/>
      <c r="M413" s="869" t="str">
        <f>L280</f>
        <v>-</v>
      </c>
      <c r="N413" s="869"/>
      <c r="O413" s="870" t="str">
        <f>L281</f>
        <v>-</v>
      </c>
      <c r="P413" s="870"/>
      <c r="Q413" s="879"/>
      <c r="R413" s="879"/>
      <c r="S413" s="878" t="s">
        <v>6</v>
      </c>
      <c r="T413" s="878"/>
      <c r="U413" s="878"/>
      <c r="V413" s="878"/>
    </row>
    <row r="414" spans="1:22" ht="18" customHeight="1">
      <c r="A414" s="265"/>
      <c r="B414" s="239"/>
      <c r="C414" s="239"/>
      <c r="D414" s="239"/>
      <c r="E414" s="239"/>
      <c r="F414" s="239"/>
      <c r="G414" s="239"/>
      <c r="H414" s="239"/>
      <c r="I414" s="239"/>
      <c r="J414" s="93"/>
      <c r="K414" s="93"/>
      <c r="L414" s="239"/>
      <c r="M414" s="239"/>
      <c r="N414" s="239"/>
      <c r="O414" s="239"/>
      <c r="P414" s="239"/>
      <c r="Q414" s="239"/>
      <c r="R414" s="239"/>
      <c r="S414" s="239"/>
      <c r="T414" s="239"/>
      <c r="U414" s="93"/>
      <c r="V414" s="266"/>
    </row>
    <row r="415" spans="1:22" ht="18" customHeight="1">
      <c r="A415" s="265"/>
      <c r="B415" s="239"/>
      <c r="C415" s="239"/>
      <c r="D415" s="239"/>
      <c r="E415" s="239"/>
      <c r="F415" s="239"/>
      <c r="G415" s="239"/>
      <c r="H415" s="239"/>
      <c r="I415" s="239"/>
      <c r="J415" s="93"/>
      <c r="K415" s="93"/>
      <c r="L415" s="239"/>
      <c r="M415" s="239"/>
      <c r="N415" s="239"/>
      <c r="O415" s="239"/>
      <c r="P415" s="239"/>
      <c r="Q415" s="239"/>
      <c r="R415" s="239"/>
      <c r="S415" s="239"/>
      <c r="T415" s="239"/>
      <c r="U415" s="93"/>
      <c r="V415" s="266"/>
    </row>
    <row r="416" spans="1:22" ht="18" customHeight="1">
      <c r="A416" s="265"/>
      <c r="B416" s="239"/>
      <c r="C416" s="239"/>
      <c r="D416" s="239"/>
      <c r="E416" s="239"/>
      <c r="F416" s="239"/>
      <c r="G416" s="239"/>
      <c r="H416" s="239"/>
      <c r="I416" s="239"/>
      <c r="J416" s="93"/>
      <c r="K416" s="93"/>
      <c r="L416" s="239"/>
      <c r="M416" s="239"/>
      <c r="N416" s="239"/>
      <c r="O416" s="239"/>
      <c r="P416" s="239"/>
      <c r="Q416" s="239"/>
      <c r="R416" s="239"/>
      <c r="S416" s="239"/>
      <c r="T416" s="239"/>
      <c r="U416" s="93"/>
      <c r="V416" s="266"/>
    </row>
    <row r="417" spans="1:22" ht="18" customHeight="1">
      <c r="A417" s="265"/>
      <c r="B417" s="239"/>
      <c r="C417" s="239"/>
      <c r="D417" s="239"/>
      <c r="E417" s="239"/>
      <c r="F417" s="239"/>
      <c r="G417" s="239"/>
      <c r="H417" s="239"/>
      <c r="I417" s="239"/>
      <c r="J417" s="93"/>
      <c r="K417" s="93"/>
      <c r="L417" s="239"/>
      <c r="M417" s="239"/>
      <c r="N417" s="239"/>
      <c r="O417" s="239"/>
      <c r="P417" s="239"/>
      <c r="Q417" s="239"/>
      <c r="R417" s="239"/>
      <c r="S417" s="239"/>
      <c r="T417" s="239"/>
      <c r="U417" s="93"/>
      <c r="V417" s="266"/>
    </row>
    <row r="418" spans="1:22" ht="18" customHeight="1">
      <c r="A418" s="265"/>
      <c r="B418" s="239"/>
      <c r="C418" s="239"/>
      <c r="D418" s="239"/>
      <c r="E418" s="239"/>
      <c r="F418" s="239"/>
      <c r="G418" s="239"/>
      <c r="H418" s="239"/>
      <c r="I418" s="239"/>
      <c r="J418" s="93"/>
      <c r="K418" s="93"/>
      <c r="L418" s="239"/>
      <c r="M418" s="239"/>
      <c r="N418" s="239"/>
      <c r="O418" s="239"/>
      <c r="P418" s="239"/>
      <c r="Q418" s="239"/>
      <c r="R418" s="239"/>
      <c r="S418" s="239"/>
      <c r="T418" s="239"/>
      <c r="U418" s="93"/>
      <c r="V418" s="266"/>
    </row>
    <row r="419" spans="1:22" ht="18" customHeight="1">
      <c r="A419" s="265"/>
      <c r="B419" s="239"/>
      <c r="C419" s="239"/>
      <c r="D419" s="239"/>
      <c r="E419" s="239"/>
      <c r="F419" s="239"/>
      <c r="G419" s="239"/>
      <c r="H419" s="239"/>
      <c r="I419" s="239"/>
      <c r="J419" s="93"/>
      <c r="K419" s="93"/>
      <c r="L419" s="239"/>
      <c r="M419" s="239"/>
      <c r="N419" s="239"/>
      <c r="O419" s="239"/>
      <c r="P419" s="239"/>
      <c r="Q419" s="239"/>
      <c r="R419" s="239"/>
      <c r="S419" s="239"/>
      <c r="T419" s="239"/>
      <c r="U419" s="93"/>
      <c r="V419" s="266"/>
    </row>
    <row r="420" spans="1:22" ht="18" customHeight="1">
      <c r="A420" s="265"/>
      <c r="B420" s="239"/>
      <c r="C420" s="239"/>
      <c r="D420" s="239"/>
      <c r="E420" s="239"/>
      <c r="F420" s="239"/>
      <c r="G420" s="239"/>
      <c r="H420" s="239"/>
      <c r="I420" s="239"/>
      <c r="J420" s="93"/>
      <c r="K420" s="93"/>
      <c r="L420" s="239"/>
      <c r="M420" s="239"/>
      <c r="N420" s="239"/>
      <c r="O420" s="239"/>
      <c r="P420" s="239"/>
      <c r="Q420" s="239"/>
      <c r="R420" s="239"/>
      <c r="S420" s="239"/>
      <c r="T420" s="239"/>
      <c r="U420" s="93"/>
      <c r="V420" s="266"/>
    </row>
    <row r="421" spans="1:22" ht="18" customHeight="1">
      <c r="A421" s="265"/>
      <c r="B421" s="239"/>
      <c r="C421" s="239"/>
      <c r="D421" s="239"/>
      <c r="E421" s="239"/>
      <c r="F421" s="239"/>
      <c r="G421" s="239"/>
      <c r="H421" s="239"/>
      <c r="I421" s="239"/>
      <c r="J421" s="93"/>
      <c r="K421" s="93"/>
      <c r="L421" s="239"/>
      <c r="M421" s="239"/>
      <c r="N421" s="239"/>
      <c r="O421" s="239"/>
      <c r="P421" s="239"/>
      <c r="Q421" s="239"/>
      <c r="R421" s="239"/>
      <c r="S421" s="239"/>
      <c r="T421" s="239"/>
      <c r="U421" s="93"/>
      <c r="V421" s="266"/>
    </row>
    <row r="422" spans="1:22" ht="18" customHeight="1">
      <c r="A422" s="265"/>
      <c r="B422" s="239"/>
      <c r="C422" s="239"/>
      <c r="D422" s="239"/>
      <c r="E422" s="239"/>
      <c r="F422" s="239"/>
      <c r="G422" s="239"/>
      <c r="H422" s="239"/>
      <c r="I422" s="239"/>
      <c r="J422" s="93"/>
      <c r="K422" s="93"/>
      <c r="L422" s="239"/>
      <c r="M422" s="239"/>
      <c r="N422" s="239"/>
      <c r="O422" s="239"/>
      <c r="P422" s="239"/>
      <c r="Q422" s="239"/>
      <c r="R422" s="239"/>
      <c r="S422" s="239"/>
      <c r="T422" s="239"/>
      <c r="U422" s="93"/>
      <c r="V422" s="266"/>
    </row>
    <row r="423" spans="1:22" ht="18" customHeight="1">
      <c r="A423" s="265"/>
      <c r="B423" s="239"/>
      <c r="C423" s="239"/>
      <c r="D423" s="239"/>
      <c r="E423" s="239"/>
      <c r="F423" s="239"/>
      <c r="G423" s="239"/>
      <c r="H423" s="239"/>
      <c r="I423" s="239"/>
      <c r="J423" s="93"/>
      <c r="K423" s="93"/>
      <c r="L423" s="239"/>
      <c r="M423" s="239"/>
      <c r="N423" s="239"/>
      <c r="O423" s="239"/>
      <c r="P423" s="239"/>
      <c r="Q423" s="239"/>
      <c r="R423" s="239"/>
      <c r="S423" s="239"/>
      <c r="T423" s="239"/>
      <c r="U423" s="93"/>
      <c r="V423" s="266"/>
    </row>
    <row r="424" spans="1:22" ht="18" customHeight="1">
      <c r="A424" s="265"/>
      <c r="B424" s="239"/>
      <c r="C424" s="239"/>
      <c r="D424" s="239"/>
      <c r="E424" s="239"/>
      <c r="F424" s="239"/>
      <c r="G424" s="239"/>
      <c r="H424" s="239"/>
      <c r="I424" s="239"/>
      <c r="J424" s="93"/>
      <c r="K424" s="93"/>
      <c r="L424" s="239"/>
      <c r="M424" s="239"/>
      <c r="N424" s="239"/>
      <c r="O424" s="239"/>
      <c r="P424" s="239"/>
      <c r="Q424" s="239"/>
      <c r="R424" s="239"/>
      <c r="S424" s="239"/>
      <c r="T424" s="239"/>
      <c r="U424" s="93"/>
      <c r="V424" s="266"/>
    </row>
    <row r="425" spans="1:22" ht="18" customHeight="1">
      <c r="A425" s="265"/>
      <c r="B425" s="239"/>
      <c r="C425" s="239"/>
      <c r="D425" s="239"/>
      <c r="E425" s="239"/>
      <c r="F425" s="239"/>
      <c r="G425" s="239"/>
      <c r="H425" s="239"/>
      <c r="I425" s="239"/>
      <c r="J425" s="93"/>
      <c r="K425" s="93"/>
      <c r="L425" s="239"/>
      <c r="M425" s="239"/>
      <c r="N425" s="239"/>
      <c r="O425" s="239"/>
      <c r="P425" s="239"/>
      <c r="Q425" s="239"/>
      <c r="R425" s="239"/>
      <c r="S425" s="239"/>
      <c r="T425" s="239"/>
      <c r="U425" s="93"/>
      <c r="V425" s="266"/>
    </row>
    <row r="426" spans="1:22" ht="18" customHeight="1">
      <c r="A426" s="265"/>
      <c r="B426" s="239"/>
      <c r="C426" s="239"/>
      <c r="D426" s="239"/>
      <c r="E426" s="239"/>
      <c r="F426" s="239"/>
      <c r="G426" s="239"/>
      <c r="H426" s="239"/>
      <c r="I426" s="239"/>
      <c r="J426" s="93"/>
      <c r="K426" s="93"/>
      <c r="L426" s="239"/>
      <c r="M426" s="239"/>
      <c r="N426" s="239"/>
      <c r="O426" s="239"/>
      <c r="P426" s="239"/>
      <c r="Q426" s="239"/>
      <c r="R426" s="239"/>
      <c r="S426" s="239"/>
      <c r="T426" s="239"/>
      <c r="U426" s="93"/>
      <c r="V426" s="266"/>
    </row>
    <row r="427" spans="1:22" ht="18" customHeight="1">
      <c r="A427" s="265"/>
      <c r="B427" s="239"/>
      <c r="C427" s="239"/>
      <c r="D427" s="239"/>
      <c r="E427" s="239"/>
      <c r="F427" s="239"/>
      <c r="G427" s="239"/>
      <c r="H427" s="239"/>
      <c r="I427" s="239"/>
      <c r="J427" s="93"/>
      <c r="K427" s="93"/>
      <c r="L427" s="239"/>
      <c r="M427" s="239"/>
      <c r="N427" s="239"/>
      <c r="O427" s="239"/>
      <c r="P427" s="239"/>
      <c r="Q427" s="239"/>
      <c r="R427" s="239"/>
      <c r="S427" s="239"/>
      <c r="T427" s="239"/>
      <c r="U427" s="93"/>
      <c r="V427" s="266"/>
    </row>
    <row r="428" spans="1:22" ht="18" customHeight="1">
      <c r="A428" s="265"/>
      <c r="B428" s="239"/>
      <c r="C428" s="239"/>
      <c r="D428" s="239"/>
      <c r="E428" s="239"/>
      <c r="F428" s="239"/>
      <c r="G428" s="239"/>
      <c r="H428" s="239"/>
      <c r="I428" s="239"/>
      <c r="J428" s="93"/>
      <c r="K428" s="93"/>
      <c r="L428" s="239"/>
      <c r="M428" s="239"/>
      <c r="N428" s="239"/>
      <c r="O428" s="239"/>
      <c r="P428" s="239"/>
      <c r="Q428" s="239"/>
      <c r="R428" s="239"/>
      <c r="S428" s="239"/>
      <c r="T428" s="239"/>
      <c r="U428" s="93"/>
      <c r="V428" s="266"/>
    </row>
    <row r="429" spans="1:22" ht="18" customHeight="1">
      <c r="A429" s="265"/>
      <c r="B429" s="239"/>
      <c r="C429" s="239"/>
      <c r="D429" s="239"/>
      <c r="E429" s="239"/>
      <c r="F429" s="239"/>
      <c r="G429" s="239"/>
      <c r="H429" s="239"/>
      <c r="I429" s="239"/>
      <c r="J429" s="93"/>
      <c r="K429" s="93"/>
      <c r="L429" s="239"/>
      <c r="M429" s="239"/>
      <c r="N429" s="239"/>
      <c r="O429" s="239"/>
      <c r="P429" s="239"/>
      <c r="Q429" s="239"/>
      <c r="R429" s="239"/>
      <c r="S429" s="239"/>
      <c r="T429" s="239"/>
      <c r="U429" s="93"/>
      <c r="V429" s="266"/>
    </row>
    <row r="430" spans="1:22" ht="18" customHeight="1">
      <c r="A430" s="265"/>
      <c r="B430" s="239"/>
      <c r="C430" s="239"/>
      <c r="D430" s="239"/>
      <c r="E430" s="239"/>
      <c r="F430" s="239"/>
      <c r="G430" s="239"/>
      <c r="H430" s="239"/>
      <c r="I430" s="239"/>
      <c r="J430" s="93"/>
      <c r="K430" s="93"/>
      <c r="L430" s="239"/>
      <c r="M430" s="239"/>
      <c r="N430" s="239"/>
      <c r="O430" s="239"/>
      <c r="P430" s="239"/>
      <c r="Q430" s="239"/>
      <c r="R430" s="239"/>
      <c r="S430" s="239"/>
      <c r="T430" s="239"/>
      <c r="U430" s="93"/>
      <c r="V430" s="266"/>
    </row>
    <row r="431" spans="1:22" ht="18" customHeight="1">
      <c r="A431" s="265"/>
      <c r="B431" s="239"/>
      <c r="C431" s="239"/>
      <c r="D431" s="239"/>
      <c r="E431" s="239"/>
      <c r="F431" s="239"/>
      <c r="G431" s="239"/>
      <c r="H431" s="239"/>
      <c r="I431" s="239"/>
      <c r="J431" s="93"/>
      <c r="K431" s="93"/>
      <c r="L431" s="239"/>
      <c r="M431" s="239"/>
      <c r="N431" s="239"/>
      <c r="O431" s="239"/>
      <c r="P431" s="239"/>
      <c r="Q431" s="239"/>
      <c r="R431" s="239"/>
      <c r="S431" s="239"/>
      <c r="T431" s="239"/>
      <c r="U431" s="93"/>
      <c r="V431" s="266"/>
    </row>
    <row r="432" spans="1:22" ht="18" customHeight="1">
      <c r="A432" s="265"/>
      <c r="B432" s="239"/>
      <c r="C432" s="239"/>
      <c r="D432" s="239"/>
      <c r="E432" s="239"/>
      <c r="F432" s="239"/>
      <c r="G432" s="239"/>
      <c r="H432" s="239"/>
      <c r="I432" s="239"/>
      <c r="J432" s="93"/>
      <c r="K432" s="93"/>
      <c r="L432" s="239"/>
      <c r="M432" s="239"/>
      <c r="N432" s="239"/>
      <c r="O432" s="239"/>
      <c r="P432" s="239"/>
      <c r="Q432" s="239"/>
      <c r="R432" s="239"/>
      <c r="S432" s="239"/>
      <c r="T432" s="239"/>
      <c r="U432" s="93"/>
      <c r="V432" s="266"/>
    </row>
    <row r="433" spans="1:22" ht="18" customHeight="1">
      <c r="A433" s="265"/>
      <c r="B433" s="239"/>
      <c r="C433" s="239"/>
      <c r="D433" s="239"/>
      <c r="E433" s="239"/>
      <c r="F433" s="239"/>
      <c r="G433" s="239"/>
      <c r="H433" s="239"/>
      <c r="I433" s="239"/>
      <c r="J433" s="93"/>
      <c r="K433" s="93"/>
      <c r="L433" s="239"/>
      <c r="M433" s="239"/>
      <c r="N433" s="239"/>
      <c r="O433" s="239"/>
      <c r="P433" s="239"/>
      <c r="Q433" s="239"/>
      <c r="R433" s="239"/>
      <c r="S433" s="239"/>
      <c r="T433" s="239"/>
      <c r="U433" s="93"/>
      <c r="V433" s="266"/>
    </row>
    <row r="434" spans="1:22" ht="18" customHeight="1">
      <c r="A434" s="265"/>
      <c r="B434" s="239"/>
      <c r="C434" s="239"/>
      <c r="D434" s="239"/>
      <c r="E434" s="239"/>
      <c r="F434" s="239"/>
      <c r="G434" s="239"/>
      <c r="H434" s="239"/>
      <c r="I434" s="239"/>
      <c r="J434" s="93"/>
      <c r="K434" s="93"/>
      <c r="L434" s="239"/>
      <c r="M434" s="239"/>
      <c r="N434" s="239"/>
      <c r="O434" s="239"/>
      <c r="P434" s="239"/>
      <c r="Q434" s="239"/>
      <c r="R434" s="239"/>
      <c r="S434" s="239"/>
      <c r="T434" s="239"/>
      <c r="U434" s="93"/>
      <c r="V434" s="266"/>
    </row>
    <row r="435" spans="1:22" ht="18" customHeight="1">
      <c r="A435" s="265"/>
      <c r="B435" s="239"/>
      <c r="C435" s="239"/>
      <c r="D435" s="239"/>
      <c r="E435" s="239"/>
      <c r="F435" s="239"/>
      <c r="G435" s="239"/>
      <c r="H435" s="239"/>
      <c r="I435" s="239"/>
      <c r="J435" s="93"/>
      <c r="K435" s="93"/>
      <c r="L435" s="239"/>
      <c r="M435" s="239"/>
      <c r="N435" s="239"/>
      <c r="O435" s="239"/>
      <c r="P435" s="239"/>
      <c r="Q435" s="239"/>
      <c r="R435" s="239"/>
      <c r="S435" s="239"/>
      <c r="T435" s="239"/>
      <c r="U435" s="93"/>
      <c r="V435" s="266"/>
    </row>
    <row r="436" spans="1:22" ht="18" customHeight="1">
      <c r="A436" s="265"/>
      <c r="B436" s="239"/>
      <c r="C436" s="239"/>
      <c r="D436" s="239"/>
      <c r="E436" s="239"/>
      <c r="F436" s="239"/>
      <c r="G436" s="239"/>
      <c r="H436" s="239"/>
      <c r="I436" s="239"/>
      <c r="J436" s="93"/>
      <c r="K436" s="93"/>
      <c r="L436" s="239"/>
      <c r="M436" s="239"/>
      <c r="N436" s="239"/>
      <c r="O436" s="239"/>
      <c r="P436" s="239"/>
      <c r="Q436" s="239"/>
      <c r="R436" s="239"/>
      <c r="S436" s="239"/>
      <c r="T436" s="239"/>
      <c r="U436" s="93"/>
      <c r="V436" s="266"/>
    </row>
    <row r="437" spans="1:22" ht="18" customHeight="1">
      <c r="A437" s="265"/>
      <c r="B437" s="239"/>
      <c r="C437" s="239"/>
      <c r="D437" s="239"/>
      <c r="E437" s="239"/>
      <c r="F437" s="239"/>
      <c r="G437" s="239"/>
      <c r="H437" s="239"/>
      <c r="I437" s="239"/>
      <c r="J437" s="93"/>
      <c r="K437" s="93"/>
      <c r="L437" s="239"/>
      <c r="M437" s="239"/>
      <c r="N437" s="239"/>
      <c r="O437" s="239"/>
      <c r="P437" s="239"/>
      <c r="Q437" s="239"/>
      <c r="R437" s="239"/>
      <c r="S437" s="239"/>
      <c r="T437" s="239"/>
      <c r="U437" s="93"/>
      <c r="V437" s="266"/>
    </row>
    <row r="438" spans="1:22" ht="18" customHeight="1">
      <c r="A438" s="184"/>
      <c r="V438" s="185"/>
    </row>
    <row r="439" spans="1:22" ht="18" customHeight="1">
      <c r="A439" s="184"/>
      <c r="V439" s="185"/>
    </row>
    <row r="440" spans="1:22" ht="18" customHeight="1">
      <c r="A440" s="184"/>
      <c r="V440" s="185"/>
    </row>
    <row r="441" spans="1:22" ht="18" customHeight="1">
      <c r="A441" s="184"/>
      <c r="V441" s="185"/>
    </row>
    <row r="442" spans="1:22" ht="18" customHeight="1">
      <c r="A442" s="184"/>
      <c r="V442" s="185"/>
    </row>
    <row r="443" spans="1:22" ht="18" customHeight="1">
      <c r="A443" s="184"/>
      <c r="V443" s="185"/>
    </row>
    <row r="444" spans="1:22" s="14" customFormat="1" ht="18" customHeight="1">
      <c r="A444" s="194"/>
      <c r="B444" s="195"/>
      <c r="C444" s="195"/>
      <c r="D444" s="195"/>
      <c r="E444" s="195"/>
      <c r="F444" s="195"/>
      <c r="G444" s="195"/>
      <c r="H444" s="195"/>
      <c r="I444" s="195"/>
      <c r="J444" s="195"/>
      <c r="K444" s="195"/>
      <c r="L444" s="195"/>
      <c r="M444" s="195"/>
      <c r="N444" s="195"/>
      <c r="O444" s="195"/>
      <c r="P444" s="195"/>
      <c r="Q444" s="224"/>
      <c r="R444" s="182"/>
      <c r="S444" s="225"/>
      <c r="T444" s="195"/>
      <c r="U444" s="195"/>
      <c r="V444" s="134"/>
    </row>
    <row r="445" spans="1:22" ht="18" hidden="1" customHeight="1">
      <c r="A445" s="1178" t="str">
        <f>A1</f>
        <v>HITACHI</v>
      </c>
      <c r="B445" s="1179"/>
      <c r="C445" s="1179"/>
      <c r="D445" s="1179"/>
      <c r="E445" s="1179"/>
      <c r="F445" s="1179"/>
      <c r="G445" s="1180"/>
      <c r="H445" s="906" t="str">
        <f>H1</f>
        <v>CT / VT</v>
      </c>
      <c r="I445" s="929"/>
      <c r="J445" s="929"/>
      <c r="K445" s="929"/>
      <c r="L445" s="929"/>
      <c r="M445" s="929"/>
      <c r="N445" s="930"/>
      <c r="O445" s="885" t="str">
        <f>O1</f>
        <v>Contract No.</v>
      </c>
      <c r="P445" s="886"/>
      <c r="Q445" s="887"/>
      <c r="R445" s="775" t="str">
        <f>R1</f>
        <v>N-19957.2-DF4W</v>
      </c>
      <c r="S445" s="1068"/>
      <c r="T445" s="1068"/>
      <c r="U445" s="1068"/>
      <c r="V445" s="776"/>
    </row>
    <row r="446" spans="1:22" ht="18" hidden="1" customHeight="1">
      <c r="A446" s="1181"/>
      <c r="B446" s="1182"/>
      <c r="C446" s="1182"/>
      <c r="D446" s="1182"/>
      <c r="E446" s="1182"/>
      <c r="F446" s="1182"/>
      <c r="G446" s="1183"/>
      <c r="H446" s="909" t="str">
        <f>H2</f>
        <v>ADEQUACY CHECK</v>
      </c>
      <c r="I446" s="934"/>
      <c r="J446" s="934"/>
      <c r="K446" s="934"/>
      <c r="L446" s="934"/>
      <c r="M446" s="934"/>
      <c r="N446" s="935"/>
      <c r="O446" s="885" t="str">
        <f>O2</f>
        <v>Date</v>
      </c>
      <c r="P446" s="886"/>
      <c r="Q446" s="887"/>
      <c r="R446" s="775">
        <f>R2</f>
        <v>46134</v>
      </c>
      <c r="S446" s="1068"/>
      <c r="T446" s="1068"/>
      <c r="U446" s="1068"/>
      <c r="V446" s="776"/>
    </row>
    <row r="447" spans="1:22" ht="18" hidden="1" customHeight="1">
      <c r="A447" s="955">
        <f>A3</f>
        <v>0</v>
      </c>
      <c r="B447" s="956"/>
      <c r="C447" s="956"/>
      <c r="D447" s="956"/>
      <c r="E447" s="956"/>
      <c r="F447" s="956"/>
      <c r="G447" s="957"/>
      <c r="H447" s="1083" t="str">
        <f>H3</f>
        <v xml:space="preserve">132/33kV SUBSTATION DF4W    AT AL DHAFRA AREA </v>
      </c>
      <c r="I447" s="1084"/>
      <c r="J447" s="1084"/>
      <c r="K447" s="1084"/>
      <c r="L447" s="1084"/>
      <c r="M447" s="1084"/>
      <c r="N447" s="1085"/>
      <c r="O447" s="885" t="str">
        <f>O3</f>
        <v>Document No.</v>
      </c>
      <c r="P447" s="886"/>
      <c r="Q447" s="887"/>
      <c r="R447" s="775" t="str">
        <f>R3</f>
        <v>-</v>
      </c>
      <c r="S447" s="1068"/>
      <c r="T447" s="1068"/>
      <c r="U447" s="1068"/>
      <c r="V447" s="776"/>
    </row>
    <row r="448" spans="1:22" ht="18" hidden="1" customHeight="1">
      <c r="A448" s="1047"/>
      <c r="B448" s="1048"/>
      <c r="C448" s="1048"/>
      <c r="D448" s="1048"/>
      <c r="E448" s="1048"/>
      <c r="F448" s="1048"/>
      <c r="G448" s="1049"/>
      <c r="H448" s="1086"/>
      <c r="I448" s="1087"/>
      <c r="J448" s="1087"/>
      <c r="K448" s="1087"/>
      <c r="L448" s="1087"/>
      <c r="M448" s="1087"/>
      <c r="N448" s="1088"/>
      <c r="O448" s="885" t="str">
        <f>O4</f>
        <v>Revision No.</v>
      </c>
      <c r="P448" s="886"/>
      <c r="Q448" s="887"/>
      <c r="R448" s="775" t="str">
        <f>R4</f>
        <v>A</v>
      </c>
      <c r="S448" s="1068"/>
      <c r="T448" s="1068"/>
      <c r="U448" s="1068"/>
      <c r="V448" s="776"/>
    </row>
    <row r="449" spans="1:29" ht="18" hidden="1" customHeight="1">
      <c r="A449" s="880" t="str">
        <f>A5</f>
        <v>Prep. By</v>
      </c>
      <c r="B449" s="943"/>
      <c r="C449" s="25" t="str">
        <f>C5</f>
        <v>AP</v>
      </c>
      <c r="D449" s="880" t="str">
        <f>D5</f>
        <v>Checked By</v>
      </c>
      <c r="E449" s="881"/>
      <c r="F449" s="943"/>
      <c r="G449" s="25" t="str">
        <f>G5</f>
        <v>RB</v>
      </c>
      <c r="H449" s="1163" t="str">
        <f>H5</f>
        <v>132kV_100MVA TR. FEEDERS</v>
      </c>
      <c r="I449" s="1164"/>
      <c r="J449" s="1164"/>
      <c r="K449" s="1164"/>
      <c r="L449" s="1164"/>
      <c r="M449" s="1164"/>
      <c r="N449" s="1165"/>
      <c r="O449" s="947" t="str">
        <f>O5</f>
        <v>Contractor</v>
      </c>
      <c r="P449" s="948"/>
      <c r="Q449" s="949"/>
      <c r="R449" s="775" t="str">
        <f>R5</f>
        <v>HITACHI</v>
      </c>
      <c r="S449" s="1068"/>
      <c r="T449" s="1068"/>
      <c r="U449" s="1068"/>
      <c r="V449" s="776"/>
    </row>
    <row r="450" spans="1:29" ht="18" hidden="1" customHeight="1">
      <c r="A450" s="184"/>
      <c r="V450" s="185"/>
    </row>
    <row r="451" spans="1:29" ht="18" hidden="1" customHeight="1">
      <c r="A451" s="184"/>
      <c r="B451" s="1272" t="s">
        <v>635</v>
      </c>
      <c r="C451" s="1273"/>
      <c r="D451" s="1099" t="s">
        <v>506</v>
      </c>
      <c r="E451" s="1101"/>
      <c r="F451" s="186" t="s">
        <v>636</v>
      </c>
      <c r="H451" s="684" t="str">
        <f>H274</f>
        <v>(Transformer Differential)</v>
      </c>
      <c r="I451" s="684"/>
      <c r="J451" s="684"/>
      <c r="K451" s="684"/>
      <c r="L451" s="684"/>
      <c r="M451" s="684"/>
      <c r="P451" s="186"/>
      <c r="S451" s="187" t="s">
        <v>387</v>
      </c>
      <c r="T451" s="781" t="str">
        <f>T143</f>
        <v>RET670</v>
      </c>
      <c r="U451" s="782"/>
      <c r="V451" s="185"/>
    </row>
    <row r="452" spans="1:29" ht="18" hidden="1" customHeight="1">
      <c r="A452" s="184"/>
      <c r="B452" s="743"/>
      <c r="C452" s="743"/>
      <c r="D452" s="1102"/>
      <c r="E452" s="1103"/>
      <c r="F452" s="255"/>
      <c r="T452" s="781"/>
      <c r="U452" s="782"/>
      <c r="V452" s="185"/>
    </row>
    <row r="453" spans="1:29" ht="18" hidden="1" customHeight="1">
      <c r="A453" s="184"/>
      <c r="H453" s="789" t="s">
        <v>390</v>
      </c>
      <c r="I453" s="789"/>
      <c r="J453" s="790" t="s">
        <v>391</v>
      </c>
      <c r="K453" s="790"/>
      <c r="L453" s="790" t="s">
        <v>392</v>
      </c>
      <c r="M453" s="790"/>
      <c r="T453" s="781"/>
      <c r="U453" s="782"/>
      <c r="V453" s="185"/>
    </row>
    <row r="454" spans="1:29" ht="18" hidden="1" customHeight="1">
      <c r="A454" s="184"/>
      <c r="B454" s="47" t="s">
        <v>393</v>
      </c>
      <c r="H454" s="791">
        <v>1200</v>
      </c>
      <c r="I454" s="792"/>
      <c r="J454" s="781" t="s">
        <v>6</v>
      </c>
      <c r="K454" s="782"/>
      <c r="L454" s="781" t="s">
        <v>6</v>
      </c>
      <c r="M454" s="782"/>
      <c r="N454" s="191" t="s">
        <v>342</v>
      </c>
      <c r="O454" s="267">
        <v>1</v>
      </c>
      <c r="P454" s="27" t="s">
        <v>8</v>
      </c>
      <c r="V454" s="185"/>
    </row>
    <row r="455" spans="1:29" ht="18" hidden="1" customHeight="1">
      <c r="A455" s="184"/>
      <c r="B455" s="47" t="s">
        <v>394</v>
      </c>
      <c r="H455" s="781" t="s">
        <v>637</v>
      </c>
      <c r="I455" s="782"/>
      <c r="V455" s="185"/>
    </row>
    <row r="456" spans="1:29" ht="18" hidden="1" customHeight="1">
      <c r="A456" s="184"/>
      <c r="B456" s="47" t="s">
        <v>396</v>
      </c>
      <c r="G456" s="120" t="s">
        <v>397</v>
      </c>
      <c r="H456" s="781">
        <v>5</v>
      </c>
      <c r="I456" s="782"/>
      <c r="J456" s="192" t="s">
        <v>333</v>
      </c>
      <c r="V456" s="185"/>
    </row>
    <row r="457" spans="1:29" ht="18" hidden="1" customHeight="1">
      <c r="A457" s="184"/>
      <c r="B457" s="47" t="s">
        <v>398</v>
      </c>
      <c r="G457" s="120" t="s">
        <v>638</v>
      </c>
      <c r="H457" s="781">
        <v>430</v>
      </c>
      <c r="I457" s="782"/>
      <c r="J457" s="14" t="s">
        <v>305</v>
      </c>
      <c r="V457" s="185"/>
      <c r="W457" s="30" t="s">
        <v>400</v>
      </c>
      <c r="AB457" s="785">
        <f>Q541</f>
        <v>57.728255568387262</v>
      </c>
      <c r="AC457" s="786"/>
    </row>
    <row r="458" spans="1:29" ht="18" hidden="1" customHeight="1">
      <c r="A458" s="184"/>
      <c r="B458" s="14" t="s">
        <v>401</v>
      </c>
      <c r="G458" s="120" t="s">
        <v>402</v>
      </c>
      <c r="H458" s="781">
        <v>20</v>
      </c>
      <c r="I458" s="782"/>
      <c r="J458" s="14" t="s">
        <v>403</v>
      </c>
      <c r="V458" s="185"/>
    </row>
    <row r="459" spans="1:29" ht="18" hidden="1" customHeight="1">
      <c r="A459" s="184"/>
      <c r="V459" s="185"/>
    </row>
    <row r="460" spans="1:29" ht="18" hidden="1" customHeight="1">
      <c r="A460" s="193" t="s">
        <v>404</v>
      </c>
      <c r="V460" s="185"/>
    </row>
    <row r="461" spans="1:29" ht="18" hidden="1" customHeight="1">
      <c r="A461" s="184"/>
      <c r="V461" s="185"/>
    </row>
    <row r="462" spans="1:29" ht="18" hidden="1" customHeight="1">
      <c r="A462" s="184"/>
      <c r="B462" s="194" t="s">
        <v>405</v>
      </c>
      <c r="C462" s="195"/>
      <c r="D462" s="195" t="str">
        <f>T451</f>
        <v>RET670</v>
      </c>
      <c r="E462" s="196"/>
      <c r="F462" s="196"/>
      <c r="G462" s="196"/>
      <c r="H462" s="182" t="s">
        <v>406</v>
      </c>
      <c r="I462" s="183" t="s">
        <v>127</v>
      </c>
      <c r="J462" s="1276">
        <f>J285</f>
        <v>0.02</v>
      </c>
      <c r="K462" s="1144"/>
      <c r="L462" s="3" t="s">
        <v>157</v>
      </c>
      <c r="N462" s="197" t="s">
        <v>407</v>
      </c>
      <c r="V462" s="185"/>
    </row>
    <row r="463" spans="1:29" s="14" customFormat="1" ht="18" hidden="1" customHeight="1">
      <c r="A463" s="184"/>
      <c r="B463" s="96" t="s">
        <v>405</v>
      </c>
      <c r="C463" s="30"/>
      <c r="D463" s="30">
        <f>T452</f>
        <v>0</v>
      </c>
      <c r="E463" s="30"/>
      <c r="F463" s="30"/>
      <c r="G463" s="30"/>
      <c r="H463" s="27"/>
      <c r="I463" s="177" t="s">
        <v>127</v>
      </c>
      <c r="J463" s="1274"/>
      <c r="K463" s="1275"/>
      <c r="L463" s="198" t="s">
        <v>157</v>
      </c>
      <c r="M463" s="30"/>
      <c r="N463" s="30"/>
      <c r="O463" s="30"/>
      <c r="P463" s="30"/>
      <c r="Q463" s="30"/>
      <c r="R463" s="30"/>
      <c r="S463" s="30"/>
      <c r="T463" s="30"/>
      <c r="U463" s="30"/>
      <c r="V463" s="185"/>
    </row>
    <row r="464" spans="1:29" s="14" customFormat="1" ht="18" hidden="1" customHeight="1">
      <c r="A464" s="184"/>
      <c r="B464" s="96" t="s">
        <v>405</v>
      </c>
      <c r="C464" s="30"/>
      <c r="D464" s="30">
        <f>T453</f>
        <v>0</v>
      </c>
      <c r="F464" s="30"/>
      <c r="G464" s="199"/>
      <c r="H464" s="27"/>
      <c r="I464" s="177" t="s">
        <v>127</v>
      </c>
      <c r="J464" s="696"/>
      <c r="K464" s="820"/>
      <c r="L464" s="202" t="s">
        <v>157</v>
      </c>
      <c r="M464" s="30"/>
      <c r="N464" s="30" t="s">
        <v>408</v>
      </c>
      <c r="O464" s="27" t="s">
        <v>127</v>
      </c>
      <c r="P464" s="30" t="s">
        <v>409</v>
      </c>
      <c r="Q464" s="191" t="s">
        <v>410</v>
      </c>
      <c r="R464" s="244" t="s">
        <v>411</v>
      </c>
      <c r="S464" s="27" t="s">
        <v>315</v>
      </c>
      <c r="T464" s="30" t="s">
        <v>411</v>
      </c>
      <c r="U464" s="30" t="s">
        <v>350</v>
      </c>
      <c r="V464" s="185"/>
    </row>
    <row r="465" spans="1:22" s="14" customFormat="1" ht="18" hidden="1" customHeight="1">
      <c r="A465" s="184"/>
      <c r="B465" s="184" t="s">
        <v>412</v>
      </c>
      <c r="C465" s="30"/>
      <c r="D465" s="30"/>
      <c r="E465" s="30"/>
      <c r="F465" s="30"/>
      <c r="G465" s="30"/>
      <c r="H465" s="27" t="s">
        <v>599</v>
      </c>
      <c r="I465" s="177" t="s">
        <v>127</v>
      </c>
      <c r="J465" s="1274">
        <f>J288</f>
        <v>1.1667743100000001</v>
      </c>
      <c r="K465" s="1275"/>
      <c r="L465" s="203" t="s">
        <v>157</v>
      </c>
      <c r="M465" s="30"/>
      <c r="N465" s="30"/>
      <c r="O465" s="27" t="s">
        <v>127</v>
      </c>
      <c r="P465" s="204">
        <f>J466</f>
        <v>1.1667743100000001</v>
      </c>
      <c r="Q465" s="191" t="s">
        <v>410</v>
      </c>
      <c r="R465" s="27">
        <f>O454</f>
        <v>1</v>
      </c>
      <c r="S465" s="27" t="s">
        <v>315</v>
      </c>
      <c r="T465" s="27">
        <f>O454</f>
        <v>1</v>
      </c>
      <c r="U465" s="30" t="s">
        <v>350</v>
      </c>
      <c r="V465" s="185"/>
    </row>
    <row r="466" spans="1:22" s="14" customFormat="1" ht="18" hidden="1" customHeight="1">
      <c r="A466" s="184"/>
      <c r="B466" s="205" t="s">
        <v>413</v>
      </c>
      <c r="C466" s="206"/>
      <c r="D466" s="206"/>
      <c r="E466" s="206"/>
      <c r="F466" s="207"/>
      <c r="G466" s="207"/>
      <c r="H466" s="190" t="s">
        <v>409</v>
      </c>
      <c r="I466" s="208" t="s">
        <v>127</v>
      </c>
      <c r="J466" s="1276">
        <f>J463+J465</f>
        <v>1.1667743100000001</v>
      </c>
      <c r="K466" s="1144"/>
      <c r="L466" s="210" t="s">
        <v>157</v>
      </c>
      <c r="M466" s="30"/>
      <c r="N466" s="30"/>
      <c r="O466" s="27" t="s">
        <v>127</v>
      </c>
      <c r="P466" s="795">
        <f>P465/(R465*T465)</f>
        <v>1.1667743100000001</v>
      </c>
      <c r="Q466" s="795"/>
      <c r="R466" s="192" t="s">
        <v>333</v>
      </c>
      <c r="S466" s="30"/>
      <c r="T466" s="30"/>
      <c r="U466" s="30"/>
      <c r="V466" s="185"/>
    </row>
    <row r="467" spans="1:22" s="14" customFormat="1" ht="18" hidden="1" customHeight="1">
      <c r="A467" s="184"/>
      <c r="B467" s="30"/>
      <c r="C467" s="30"/>
      <c r="D467" s="30"/>
      <c r="E467" s="30"/>
      <c r="F467" s="30"/>
      <c r="G467" s="30"/>
      <c r="H467" s="30"/>
      <c r="I467" s="30"/>
      <c r="J467" s="30"/>
      <c r="K467" s="30"/>
      <c r="L467" s="30"/>
      <c r="M467" s="30"/>
      <c r="N467" s="30"/>
      <c r="O467" s="30"/>
      <c r="P467" s="30"/>
      <c r="Q467" s="30"/>
      <c r="R467" s="30"/>
      <c r="S467" s="30"/>
      <c r="T467" s="30"/>
      <c r="U467" s="30"/>
      <c r="V467" s="185"/>
    </row>
    <row r="468" spans="1:22" s="14" customFormat="1" ht="18" hidden="1" customHeight="1">
      <c r="A468" s="193" t="s">
        <v>600</v>
      </c>
      <c r="B468" s="5"/>
      <c r="C468" s="5"/>
      <c r="D468" s="5"/>
      <c r="E468" s="5"/>
      <c r="F468" s="5"/>
      <c r="G468" s="5"/>
      <c r="H468" s="212"/>
      <c r="I468" s="212"/>
      <c r="J468" s="5"/>
      <c r="K468" s="5"/>
      <c r="L468" s="5"/>
      <c r="M468" s="5"/>
      <c r="N468" s="5"/>
      <c r="O468" s="5"/>
      <c r="P468" s="103"/>
      <c r="Q468" s="212"/>
      <c r="R468" s="213"/>
      <c r="S468" s="214"/>
      <c r="T468" s="18"/>
      <c r="U468" s="18"/>
      <c r="V468" s="97"/>
    </row>
    <row r="469" spans="1:22" s="14" customFormat="1" ht="18" hidden="1" customHeight="1">
      <c r="A469" s="96"/>
      <c r="B469" s="47" t="s">
        <v>601</v>
      </c>
      <c r="C469" s="5"/>
      <c r="D469" s="5"/>
      <c r="E469" s="5"/>
      <c r="I469" s="215"/>
      <c r="M469" s="5"/>
      <c r="O469" s="103" t="s">
        <v>127</v>
      </c>
      <c r="P469" s="853">
        <f>P161</f>
        <v>100</v>
      </c>
      <c r="Q469" s="1271"/>
      <c r="R469" s="14" t="s">
        <v>602</v>
      </c>
      <c r="S469" s="214"/>
      <c r="T469" s="18"/>
      <c r="U469" s="18"/>
      <c r="V469" s="97"/>
    </row>
    <row r="470" spans="1:22" s="14" customFormat="1" ht="18" hidden="1" customHeight="1">
      <c r="A470" s="96"/>
      <c r="B470" s="47" t="s">
        <v>603</v>
      </c>
      <c r="C470" s="5"/>
      <c r="D470" s="5"/>
      <c r="E470" s="5"/>
      <c r="I470" s="215"/>
      <c r="M470" s="5"/>
      <c r="O470" s="103" t="s">
        <v>127</v>
      </c>
      <c r="P470" s="853">
        <f>P162</f>
        <v>25</v>
      </c>
      <c r="Q470" s="1271"/>
      <c r="R470" s="14" t="s">
        <v>604</v>
      </c>
      <c r="S470" s="214"/>
      <c r="T470" s="18" t="s">
        <v>129</v>
      </c>
      <c r="U470" s="18"/>
      <c r="V470" s="97"/>
    </row>
    <row r="471" spans="1:22" s="14" customFormat="1" ht="18" hidden="1" customHeight="1">
      <c r="A471" s="96"/>
      <c r="B471" s="47" t="s">
        <v>605</v>
      </c>
      <c r="C471" s="5"/>
      <c r="D471" s="5"/>
      <c r="E471" s="5"/>
      <c r="N471" s="120" t="s">
        <v>606</v>
      </c>
      <c r="O471" s="103" t="s">
        <v>607</v>
      </c>
      <c r="P471" s="854">
        <f>'[2]Parameters &amp; Fault Cal.'!Q12</f>
        <v>132</v>
      </c>
      <c r="Q471" s="1270"/>
      <c r="R471" s="14" t="s">
        <v>163</v>
      </c>
      <c r="S471" s="214"/>
      <c r="T471" s="18"/>
      <c r="U471" s="18"/>
      <c r="V471" s="97"/>
    </row>
    <row r="472" spans="1:22" s="14" customFormat="1" ht="18" hidden="1" customHeight="1">
      <c r="A472" s="216"/>
      <c r="B472" s="212"/>
      <c r="C472" s="212"/>
      <c r="D472" s="212"/>
      <c r="E472" s="212"/>
      <c r="T472" s="18"/>
      <c r="U472" s="18"/>
      <c r="V472" s="97"/>
    </row>
    <row r="473" spans="1:22" s="14" customFormat="1" ht="18" hidden="1" customHeight="1">
      <c r="A473" s="96"/>
      <c r="B473" s="14" t="s">
        <v>608</v>
      </c>
      <c r="C473" s="213"/>
      <c r="D473" s="213"/>
      <c r="E473" s="213"/>
      <c r="H473" s="120" t="s">
        <v>609</v>
      </c>
      <c r="I473" s="28" t="s">
        <v>127</v>
      </c>
      <c r="J473" s="689" t="s">
        <v>610</v>
      </c>
      <c r="K473" s="689"/>
      <c r="L473" s="28" t="s">
        <v>315</v>
      </c>
      <c r="M473" s="217">
        <v>1000</v>
      </c>
      <c r="N473" s="102" t="s">
        <v>342</v>
      </c>
      <c r="O473" s="28" t="s">
        <v>611</v>
      </c>
      <c r="P473" s="28" t="s">
        <v>315</v>
      </c>
      <c r="Q473" s="28" t="s">
        <v>606</v>
      </c>
      <c r="R473" s="47"/>
      <c r="T473" s="18"/>
      <c r="U473" s="18"/>
      <c r="V473" s="97"/>
    </row>
    <row r="474" spans="1:22" ht="18" hidden="1" customHeight="1">
      <c r="A474" s="216"/>
      <c r="B474" s="213"/>
      <c r="C474" s="213"/>
      <c r="D474" s="213"/>
      <c r="E474" s="213"/>
      <c r="F474" s="212"/>
      <c r="G474" s="212"/>
      <c r="H474" s="28"/>
      <c r="I474" s="28" t="s">
        <v>127</v>
      </c>
      <c r="J474" s="689">
        <f>P469</f>
        <v>100</v>
      </c>
      <c r="K474" s="689"/>
      <c r="L474" s="28" t="s">
        <v>315</v>
      </c>
      <c r="M474" s="217">
        <v>1000</v>
      </c>
      <c r="N474" s="102" t="s">
        <v>342</v>
      </c>
      <c r="O474" s="28" t="s">
        <v>611</v>
      </c>
      <c r="P474" s="28" t="s">
        <v>315</v>
      </c>
      <c r="Q474" s="28">
        <f>P471</f>
        <v>132</v>
      </c>
      <c r="R474" s="47"/>
      <c r="S474" s="14"/>
      <c r="T474" s="18"/>
      <c r="U474" s="18"/>
      <c r="V474" s="97"/>
    </row>
    <row r="475" spans="1:22" ht="18" hidden="1" customHeight="1">
      <c r="A475" s="216"/>
      <c r="B475" s="212"/>
      <c r="C475" s="212"/>
      <c r="D475" s="212"/>
      <c r="E475" s="212"/>
      <c r="F475" s="212"/>
      <c r="G475" s="212"/>
      <c r="H475" s="14"/>
      <c r="I475" s="28" t="s">
        <v>127</v>
      </c>
      <c r="J475" s="692">
        <f>(P469*1000)/(SQRT(3)*P471)</f>
        <v>437.38656756789834</v>
      </c>
      <c r="K475" s="692"/>
      <c r="L475" s="14" t="s">
        <v>8</v>
      </c>
      <c r="M475" s="120"/>
      <c r="N475" s="120"/>
      <c r="O475" s="120"/>
      <c r="P475" s="14"/>
      <c r="Q475" s="14"/>
      <c r="R475" s="14"/>
      <c r="S475" s="14"/>
      <c r="T475" s="18"/>
      <c r="U475" s="18"/>
      <c r="V475" s="97"/>
    </row>
    <row r="476" spans="1:22" ht="18" hidden="1" customHeight="1">
      <c r="A476" s="216"/>
      <c r="B476" s="212"/>
      <c r="C476" s="212"/>
      <c r="D476" s="212"/>
      <c r="E476" s="212"/>
      <c r="F476" s="14"/>
      <c r="G476" s="212"/>
      <c r="H476" s="28"/>
      <c r="I476" s="103"/>
      <c r="J476" s="28"/>
      <c r="K476" s="14"/>
      <c r="L476" s="14"/>
      <c r="M476" s="212"/>
      <c r="N476" s="219"/>
      <c r="O476" s="212"/>
      <c r="P476" s="14"/>
      <c r="Q476" s="14"/>
      <c r="R476" s="14"/>
      <c r="S476" s="14"/>
      <c r="T476" s="18"/>
      <c r="U476" s="18"/>
      <c r="V476" s="97"/>
    </row>
    <row r="477" spans="1:22" ht="18" hidden="1" customHeight="1">
      <c r="A477" s="147" t="s">
        <v>629</v>
      </c>
      <c r="B477" s="5"/>
      <c r="C477" s="5"/>
      <c r="D477" s="5"/>
      <c r="E477" s="5"/>
      <c r="F477" s="212"/>
      <c r="G477" s="212"/>
      <c r="H477" s="5"/>
      <c r="I477" s="5"/>
      <c r="J477" s="5"/>
      <c r="K477" s="5"/>
      <c r="L477" s="103"/>
      <c r="M477" s="103"/>
      <c r="N477" s="103"/>
      <c r="O477" s="103"/>
      <c r="P477" s="212"/>
      <c r="Q477" s="213"/>
      <c r="R477" s="14"/>
      <c r="S477" s="220"/>
      <c r="T477" s="18"/>
      <c r="U477" s="18"/>
      <c r="V477" s="97"/>
    </row>
    <row r="478" spans="1:22" ht="18" hidden="1" customHeight="1">
      <c r="A478" s="147"/>
      <c r="B478" s="5"/>
      <c r="C478" s="5"/>
      <c r="D478" s="5"/>
      <c r="E478" s="5"/>
      <c r="F478" s="212"/>
      <c r="G478" s="212"/>
      <c r="H478" s="5"/>
      <c r="I478" s="5"/>
      <c r="J478" s="5"/>
      <c r="K478" s="5"/>
      <c r="L478" s="103"/>
      <c r="M478" s="103"/>
      <c r="N478" s="103"/>
      <c r="O478" s="103"/>
      <c r="P478" s="212"/>
      <c r="Q478" s="213"/>
      <c r="R478" s="14"/>
      <c r="S478" s="214"/>
      <c r="T478" s="18"/>
      <c r="U478" s="18"/>
      <c r="V478" s="97"/>
    </row>
    <row r="479" spans="1:22" ht="18" hidden="1" customHeight="1">
      <c r="A479" s="184"/>
      <c r="B479" s="14" t="s">
        <v>612</v>
      </c>
      <c r="C479" s="14"/>
      <c r="D479" s="14"/>
      <c r="E479" s="14"/>
      <c r="M479" s="120" t="s">
        <v>613</v>
      </c>
      <c r="N479" s="28" t="s">
        <v>127</v>
      </c>
      <c r="O479" s="689" t="s">
        <v>609</v>
      </c>
      <c r="P479" s="716"/>
      <c r="Q479" s="221" t="s">
        <v>630</v>
      </c>
      <c r="R479" s="221">
        <v>16</v>
      </c>
      <c r="S479" s="214"/>
      <c r="V479" s="185"/>
    </row>
    <row r="480" spans="1:22" ht="18" hidden="1" customHeight="1">
      <c r="A480" s="96"/>
      <c r="B480" s="5"/>
      <c r="C480" s="5"/>
      <c r="D480" s="5"/>
      <c r="E480" s="5"/>
      <c r="M480" s="250"/>
      <c r="N480" s="28" t="s">
        <v>127</v>
      </c>
      <c r="O480" s="689">
        <f>+J475</f>
        <v>437.38656756789834</v>
      </c>
      <c r="P480" s="716"/>
      <c r="Q480" s="221" t="s">
        <v>630</v>
      </c>
      <c r="R480" s="221">
        <v>16</v>
      </c>
      <c r="S480" s="214"/>
      <c r="V480" s="185"/>
    </row>
    <row r="481" spans="1:22" ht="18" hidden="1" customHeight="1">
      <c r="A481" s="96"/>
      <c r="B481" s="5"/>
      <c r="C481" s="5"/>
      <c r="D481" s="5"/>
      <c r="E481" s="5"/>
      <c r="M481" s="120" t="s">
        <v>613</v>
      </c>
      <c r="N481" s="28" t="s">
        <v>127</v>
      </c>
      <c r="O481" s="689">
        <f>O480*R480</f>
        <v>6998.1850810863734</v>
      </c>
      <c r="P481" s="716"/>
      <c r="Q481" s="241" t="s">
        <v>8</v>
      </c>
      <c r="R481" s="14"/>
      <c r="S481" s="214"/>
      <c r="V481" s="185"/>
    </row>
    <row r="482" spans="1:22" ht="18" hidden="1" customHeight="1">
      <c r="A482" s="96"/>
      <c r="B482" s="5"/>
      <c r="C482" s="5"/>
      <c r="D482" s="5"/>
      <c r="E482" s="5"/>
      <c r="M482" s="212"/>
      <c r="N482" s="212"/>
      <c r="O482" s="103"/>
      <c r="Q482" s="223"/>
      <c r="R482" s="14"/>
      <c r="S482" s="214"/>
      <c r="V482" s="185"/>
    </row>
    <row r="483" spans="1:22" ht="18" hidden="1" customHeight="1">
      <c r="A483" s="678" t="s">
        <v>639</v>
      </c>
      <c r="B483" s="1207"/>
      <c r="C483" s="1207"/>
      <c r="D483" s="1207"/>
      <c r="E483" s="1207"/>
      <c r="F483" s="1207"/>
      <c r="G483" s="1207"/>
      <c r="H483" s="1207"/>
      <c r="I483" s="1207"/>
      <c r="J483" s="1207"/>
      <c r="K483" s="1207"/>
      <c r="L483" s="1207"/>
      <c r="M483" s="1207"/>
      <c r="N483" s="1207"/>
      <c r="O483" s="1207"/>
      <c r="P483" s="1207"/>
      <c r="Q483" s="1207"/>
      <c r="R483" s="1207"/>
      <c r="S483" s="1207"/>
      <c r="T483" s="1207"/>
      <c r="U483" s="1207"/>
      <c r="V483" s="1208"/>
    </row>
    <row r="484" spans="1:22" ht="18" hidden="1" customHeight="1">
      <c r="A484" s="1209"/>
      <c r="B484" s="1207"/>
      <c r="C484" s="1207"/>
      <c r="D484" s="1207"/>
      <c r="E484" s="1207"/>
      <c r="F484" s="1207"/>
      <c r="G484" s="1207"/>
      <c r="H484" s="1207"/>
      <c r="I484" s="1207"/>
      <c r="J484" s="1207"/>
      <c r="K484" s="1207"/>
      <c r="L484" s="1207"/>
      <c r="M484" s="1207"/>
      <c r="N484" s="1207"/>
      <c r="O484" s="1207"/>
      <c r="P484" s="1207"/>
      <c r="Q484" s="1207"/>
      <c r="R484" s="1207"/>
      <c r="S484" s="1207"/>
      <c r="T484" s="1207"/>
      <c r="U484" s="1207"/>
      <c r="V484" s="1208"/>
    </row>
    <row r="485" spans="1:22" ht="18" hidden="1" customHeight="1">
      <c r="A485" s="231"/>
      <c r="B485" s="232"/>
      <c r="C485" s="232"/>
      <c r="D485" s="232"/>
      <c r="E485" s="232"/>
      <c r="F485" s="232"/>
      <c r="G485" s="232"/>
      <c r="H485" s="232"/>
      <c r="I485" s="232"/>
      <c r="J485" s="232"/>
      <c r="K485" s="232"/>
      <c r="L485" s="232"/>
      <c r="M485" s="232"/>
      <c r="N485" s="232"/>
      <c r="O485" s="232"/>
      <c r="P485" s="232"/>
      <c r="Q485" s="232"/>
      <c r="R485" s="232"/>
      <c r="S485" s="232"/>
      <c r="T485" s="232"/>
      <c r="U485" s="232"/>
      <c r="V485" s="233"/>
    </row>
    <row r="486" spans="1:22" ht="18" hidden="1" customHeight="1">
      <c r="A486" s="184"/>
      <c r="V486" s="185"/>
    </row>
    <row r="487" spans="1:22" ht="18" hidden="1" customHeight="1">
      <c r="A487" s="184"/>
      <c r="I487" s="14" t="s">
        <v>129</v>
      </c>
      <c r="J487" s="14" t="s">
        <v>170</v>
      </c>
      <c r="V487" s="185"/>
    </row>
    <row r="488" spans="1:22" ht="18" hidden="1" customHeight="1">
      <c r="A488" s="194"/>
      <c r="B488" s="195"/>
      <c r="C488" s="195"/>
      <c r="D488" s="195"/>
      <c r="E488" s="195"/>
      <c r="F488" s="195"/>
      <c r="G488" s="195"/>
      <c r="H488" s="195"/>
      <c r="I488" s="195"/>
      <c r="J488" s="195"/>
      <c r="K488" s="195"/>
      <c r="L488" s="195"/>
      <c r="M488" s="195"/>
      <c r="N488" s="195"/>
      <c r="O488" s="195"/>
      <c r="P488" s="195"/>
      <c r="Q488" s="224"/>
      <c r="R488" s="182"/>
      <c r="S488" s="225"/>
      <c r="T488" s="195"/>
      <c r="U488" s="195"/>
      <c r="V488" s="134"/>
    </row>
    <row r="489" spans="1:22" ht="18" hidden="1" customHeight="1">
      <c r="A489" s="226"/>
      <c r="B489" s="227"/>
      <c r="C489" s="227"/>
      <c r="D489" s="227"/>
      <c r="E489" s="227"/>
      <c r="F489" s="227"/>
      <c r="G489" s="227"/>
      <c r="H489" s="227"/>
      <c r="I489" s="227"/>
      <c r="J489" s="227"/>
      <c r="K489" s="227"/>
      <c r="L489" s="227"/>
      <c r="M489" s="227"/>
      <c r="N489" s="227"/>
      <c r="O489" s="227"/>
      <c r="P489" s="227"/>
      <c r="Q489" s="227"/>
      <c r="R489" s="227"/>
      <c r="S489" s="227"/>
      <c r="T489" s="227"/>
      <c r="U489" s="227"/>
      <c r="V489" s="228"/>
    </row>
    <row r="490" spans="1:22" ht="18" hidden="1" customHeight="1">
      <c r="A490" s="799" t="s">
        <v>417</v>
      </c>
      <c r="B490" s="802"/>
      <c r="C490" s="802"/>
      <c r="D490" s="689">
        <v>30</v>
      </c>
      <c r="E490" s="689" t="s">
        <v>315</v>
      </c>
      <c r="F490" s="689" t="s">
        <v>609</v>
      </c>
      <c r="G490" s="684"/>
      <c r="H490" s="689" t="s">
        <v>315</v>
      </c>
      <c r="I490" s="708" t="s">
        <v>411</v>
      </c>
      <c r="J490" s="828"/>
      <c r="K490" s="689" t="s">
        <v>315</v>
      </c>
      <c r="L490" s="802" t="s">
        <v>419</v>
      </c>
      <c r="M490" s="716" t="s">
        <v>420</v>
      </c>
      <c r="N490" s="729" t="s">
        <v>347</v>
      </c>
      <c r="O490" s="716" t="s">
        <v>408</v>
      </c>
      <c r="P490" s="689" t="s">
        <v>347</v>
      </c>
      <c r="Q490" s="759" t="s">
        <v>421</v>
      </c>
      <c r="R490" s="797"/>
      <c r="S490" s="797"/>
      <c r="T490" s="798" t="s">
        <v>350</v>
      </c>
      <c r="U490" s="230" t="s">
        <v>422</v>
      </c>
      <c r="V490" s="97"/>
    </row>
    <row r="491" spans="1:22" ht="18" hidden="1" customHeight="1">
      <c r="A491" s="827"/>
      <c r="B491" s="802"/>
      <c r="C491" s="802"/>
      <c r="D491" s="689"/>
      <c r="E491" s="689"/>
      <c r="F491" s="684"/>
      <c r="G491" s="684"/>
      <c r="H491" s="689"/>
      <c r="I491" s="689" t="s">
        <v>423</v>
      </c>
      <c r="J491" s="723"/>
      <c r="K491" s="689"/>
      <c r="L491" s="802"/>
      <c r="M491" s="716"/>
      <c r="N491" s="729"/>
      <c r="O491" s="716"/>
      <c r="P491" s="689"/>
      <c r="Q491" s="28" t="s">
        <v>146</v>
      </c>
      <c r="R491" s="28" t="s">
        <v>315</v>
      </c>
      <c r="S491" s="28" t="s">
        <v>146</v>
      </c>
      <c r="T491" s="798"/>
      <c r="U491" s="14"/>
      <c r="V491" s="97"/>
    </row>
    <row r="492" spans="1:22" ht="18" hidden="1" customHeight="1">
      <c r="A492" s="184"/>
      <c r="V492" s="185"/>
    </row>
    <row r="493" spans="1:22" ht="18" hidden="1" customHeight="1">
      <c r="A493" s="799" t="s">
        <v>417</v>
      </c>
      <c r="B493" s="802"/>
      <c r="C493" s="802"/>
      <c r="D493" s="689">
        <v>2</v>
      </c>
      <c r="E493" s="689" t="s">
        <v>315</v>
      </c>
      <c r="F493" s="689" t="s">
        <v>613</v>
      </c>
      <c r="G493" s="684"/>
      <c r="H493" s="689" t="s">
        <v>315</v>
      </c>
      <c r="I493" s="708" t="s">
        <v>411</v>
      </c>
      <c r="J493" s="828"/>
      <c r="K493" s="689" t="s">
        <v>315</v>
      </c>
      <c r="L493" s="802" t="s">
        <v>419</v>
      </c>
      <c r="M493" s="716" t="s">
        <v>420</v>
      </c>
      <c r="N493" s="729" t="s">
        <v>347</v>
      </c>
      <c r="O493" s="716" t="s">
        <v>408</v>
      </c>
      <c r="P493" s="689" t="s">
        <v>347</v>
      </c>
      <c r="Q493" s="759" t="s">
        <v>421</v>
      </c>
      <c r="R493" s="797"/>
      <c r="S493" s="797"/>
      <c r="T493" s="798" t="s">
        <v>350</v>
      </c>
      <c r="U493" s="230" t="s">
        <v>426</v>
      </c>
      <c r="V493" s="97"/>
    </row>
    <row r="494" spans="1:22" ht="18" hidden="1" customHeight="1">
      <c r="A494" s="827"/>
      <c r="B494" s="802"/>
      <c r="C494" s="802"/>
      <c r="D494" s="689"/>
      <c r="E494" s="689"/>
      <c r="F494" s="684"/>
      <c r="G494" s="684"/>
      <c r="H494" s="689"/>
      <c r="I494" s="689" t="s">
        <v>423</v>
      </c>
      <c r="J494" s="723"/>
      <c r="K494" s="689"/>
      <c r="L494" s="802"/>
      <c r="M494" s="716"/>
      <c r="N494" s="729"/>
      <c r="O494" s="716"/>
      <c r="P494" s="689"/>
      <c r="Q494" s="28" t="s">
        <v>146</v>
      </c>
      <c r="R494" s="28" t="s">
        <v>315</v>
      </c>
      <c r="S494" s="28" t="s">
        <v>146</v>
      </c>
      <c r="T494" s="798"/>
      <c r="U494" s="14"/>
      <c r="V494" s="97"/>
    </row>
    <row r="495" spans="1:22" ht="18" hidden="1" customHeight="1">
      <c r="A495" s="184"/>
      <c r="V495" s="185"/>
    </row>
    <row r="496" spans="1:22" ht="18" hidden="1" customHeight="1">
      <c r="A496" s="678" t="s">
        <v>616</v>
      </c>
      <c r="B496" s="1207"/>
      <c r="C496" s="1207"/>
      <c r="D496" s="1207"/>
      <c r="E496" s="1207"/>
      <c r="F496" s="1207"/>
      <c r="G496" s="1207"/>
      <c r="H496" s="1207"/>
      <c r="I496" s="1207"/>
      <c r="J496" s="1207"/>
      <c r="K496" s="1207"/>
      <c r="L496" s="1207"/>
      <c r="M496" s="1207"/>
      <c r="N496" s="1207"/>
      <c r="O496" s="1207"/>
      <c r="P496" s="1207"/>
      <c r="Q496" s="1207"/>
      <c r="R496" s="1207"/>
      <c r="S496" s="1207"/>
      <c r="T496" s="1207"/>
      <c r="U496" s="1207"/>
      <c r="V496" s="1208"/>
    </row>
    <row r="497" spans="1:22" ht="18" hidden="1" customHeight="1">
      <c r="A497" s="1209"/>
      <c r="B497" s="1207"/>
      <c r="C497" s="1207"/>
      <c r="D497" s="1207"/>
      <c r="E497" s="1207"/>
      <c r="F497" s="1207"/>
      <c r="G497" s="1207"/>
      <c r="H497" s="1207"/>
      <c r="I497" s="1207"/>
      <c r="J497" s="1207"/>
      <c r="K497" s="1207"/>
      <c r="L497" s="1207"/>
      <c r="M497" s="1207"/>
      <c r="N497" s="1207"/>
      <c r="O497" s="1207"/>
      <c r="P497" s="1207"/>
      <c r="Q497" s="1207"/>
      <c r="R497" s="1207"/>
      <c r="S497" s="1207"/>
      <c r="T497" s="1207"/>
      <c r="U497" s="1207"/>
      <c r="V497" s="1208"/>
    </row>
    <row r="498" spans="1:22" ht="18" hidden="1" customHeight="1">
      <c r="A498" s="231"/>
      <c r="B498" s="232"/>
      <c r="C498" s="232"/>
      <c r="D498" s="232"/>
      <c r="E498" s="232"/>
      <c r="F498" s="232"/>
      <c r="G498" s="232"/>
      <c r="H498" s="232"/>
      <c r="I498" s="232"/>
      <c r="J498" s="232"/>
      <c r="K498" s="232"/>
      <c r="L498" s="232"/>
      <c r="M498" s="232"/>
      <c r="N498" s="232"/>
      <c r="O498" s="232"/>
      <c r="P498" s="232"/>
      <c r="Q498" s="232"/>
      <c r="R498" s="232"/>
      <c r="S498" s="232"/>
      <c r="T498" s="232"/>
      <c r="U498" s="232"/>
      <c r="V498" s="233"/>
    </row>
    <row r="499" spans="1:22" ht="18" hidden="1" customHeight="1">
      <c r="A499" s="799" t="s">
        <v>417</v>
      </c>
      <c r="B499" s="802"/>
      <c r="C499" s="802"/>
      <c r="D499" s="689"/>
      <c r="E499" s="689"/>
      <c r="F499" s="689" t="s">
        <v>617</v>
      </c>
      <c r="G499" s="684"/>
      <c r="H499" s="689" t="s">
        <v>315</v>
      </c>
      <c r="I499" s="708" t="s">
        <v>411</v>
      </c>
      <c r="J499" s="828"/>
      <c r="K499" s="689" t="s">
        <v>315</v>
      </c>
      <c r="L499" s="802" t="s">
        <v>419</v>
      </c>
      <c r="M499" s="716" t="s">
        <v>420</v>
      </c>
      <c r="N499" s="729" t="s">
        <v>347</v>
      </c>
      <c r="O499" s="716" t="s">
        <v>408</v>
      </c>
      <c r="P499" s="689" t="s">
        <v>347</v>
      </c>
      <c r="Q499" s="759" t="s">
        <v>421</v>
      </c>
      <c r="R499" s="797"/>
      <c r="S499" s="797"/>
      <c r="T499" s="798" t="s">
        <v>350</v>
      </c>
      <c r="U499" s="230" t="s">
        <v>618</v>
      </c>
      <c r="V499" s="97"/>
    </row>
    <row r="500" spans="1:22" ht="18" hidden="1" customHeight="1">
      <c r="A500" s="827"/>
      <c r="B500" s="802"/>
      <c r="C500" s="802"/>
      <c r="D500" s="689"/>
      <c r="E500" s="689"/>
      <c r="F500" s="684"/>
      <c r="G500" s="684"/>
      <c r="H500" s="689"/>
      <c r="I500" s="689" t="s">
        <v>423</v>
      </c>
      <c r="J500" s="723"/>
      <c r="K500" s="689"/>
      <c r="L500" s="802"/>
      <c r="M500" s="716"/>
      <c r="N500" s="729"/>
      <c r="O500" s="716"/>
      <c r="P500" s="689"/>
      <c r="Q500" s="28" t="s">
        <v>146</v>
      </c>
      <c r="R500" s="28" t="s">
        <v>315</v>
      </c>
      <c r="S500" s="28" t="s">
        <v>146</v>
      </c>
      <c r="T500" s="798"/>
      <c r="U500" s="14"/>
      <c r="V500" s="97"/>
    </row>
    <row r="501" spans="1:22" ht="18" hidden="1" customHeight="1">
      <c r="A501" s="96"/>
      <c r="B501" s="14"/>
      <c r="C501" s="14"/>
      <c r="D501" s="28"/>
      <c r="E501" s="28"/>
      <c r="F501" s="27"/>
      <c r="G501" s="27"/>
      <c r="H501" s="28"/>
      <c r="I501" s="28"/>
      <c r="K501" s="28"/>
      <c r="L501" s="120"/>
      <c r="M501" s="14"/>
      <c r="N501" s="102"/>
      <c r="O501" s="14"/>
      <c r="P501" s="28"/>
      <c r="Q501" s="28"/>
      <c r="R501" s="28"/>
      <c r="S501" s="28"/>
      <c r="T501" s="40"/>
      <c r="U501" s="14"/>
      <c r="V501" s="97"/>
    </row>
    <row r="502" spans="1:22" ht="18" hidden="1" customHeight="1">
      <c r="A502" s="184"/>
      <c r="H502" s="30" t="s">
        <v>619</v>
      </c>
      <c r="M502" s="781" t="s">
        <v>620</v>
      </c>
      <c r="N502" s="782"/>
      <c r="V502" s="185"/>
    </row>
    <row r="503" spans="1:22" ht="18" hidden="1" customHeight="1">
      <c r="A503" s="96"/>
      <c r="B503" s="14"/>
      <c r="C503" s="14"/>
      <c r="D503" s="28"/>
      <c r="E503" s="28"/>
      <c r="F503" s="27"/>
      <c r="G503" s="27"/>
      <c r="H503" s="28"/>
      <c r="I503" s="28"/>
      <c r="K503" s="28"/>
      <c r="L503" s="120"/>
      <c r="M503" s="14"/>
      <c r="N503" s="102"/>
      <c r="O503" s="14"/>
      <c r="P503" s="28"/>
      <c r="Q503" s="28"/>
      <c r="R503" s="28"/>
      <c r="S503" s="28"/>
      <c r="T503" s="40"/>
      <c r="U503" s="14"/>
      <c r="V503" s="97"/>
    </row>
    <row r="504" spans="1:22" ht="18" hidden="1" customHeight="1">
      <c r="A504" s="184"/>
      <c r="B504" s="14" t="s">
        <v>427</v>
      </c>
      <c r="C504" s="14"/>
      <c r="D504" s="103"/>
      <c r="E504" s="103"/>
      <c r="F504" s="14"/>
      <c r="G504" s="14"/>
      <c r="H504" s="5"/>
      <c r="I504" s="5"/>
      <c r="J504" s="5"/>
      <c r="P504" s="120" t="s">
        <v>428</v>
      </c>
      <c r="V504" s="185"/>
    </row>
    <row r="505" spans="1:22" ht="18" hidden="1" customHeight="1">
      <c r="A505" s="184"/>
      <c r="B505" s="14" t="s">
        <v>429</v>
      </c>
      <c r="C505" s="14"/>
      <c r="D505" s="103"/>
      <c r="E505" s="103"/>
      <c r="F505" s="14"/>
      <c r="G505" s="14"/>
      <c r="H505" s="5"/>
      <c r="I505" s="5"/>
      <c r="J505" s="5"/>
      <c r="P505" s="120" t="s">
        <v>430</v>
      </c>
      <c r="Q505" s="234" t="s">
        <v>127</v>
      </c>
      <c r="R505" s="684">
        <f>H454</f>
        <v>1200</v>
      </c>
      <c r="S505" s="684"/>
      <c r="T505" s="14" t="s">
        <v>8</v>
      </c>
      <c r="V505" s="185"/>
    </row>
    <row r="506" spans="1:22" ht="18" hidden="1" customHeight="1">
      <c r="A506" s="184"/>
      <c r="B506" s="14" t="s">
        <v>621</v>
      </c>
      <c r="C506" s="14"/>
      <c r="D506" s="14"/>
      <c r="E506" s="14"/>
      <c r="F506" s="14"/>
      <c r="G506" s="14"/>
      <c r="H506" s="14"/>
      <c r="I506" s="14"/>
      <c r="J506" s="14"/>
      <c r="P506" s="120" t="s">
        <v>609</v>
      </c>
      <c r="Q506" s="234" t="s">
        <v>127</v>
      </c>
      <c r="R506" s="795">
        <f>J475</f>
        <v>437.38656756789834</v>
      </c>
      <c r="S506" s="684"/>
      <c r="T506" s="14" t="s">
        <v>8</v>
      </c>
      <c r="V506" s="185"/>
    </row>
    <row r="507" spans="1:22" ht="18" hidden="1" customHeight="1">
      <c r="A507" s="184"/>
      <c r="B507" s="14" t="s">
        <v>622</v>
      </c>
      <c r="C507" s="14"/>
      <c r="D507" s="14"/>
      <c r="E507" s="14"/>
      <c r="F507" s="14"/>
      <c r="G507" s="14"/>
      <c r="H507" s="14"/>
      <c r="I507" s="14"/>
      <c r="J507" s="14"/>
      <c r="P507" s="120" t="s">
        <v>613</v>
      </c>
      <c r="Q507" s="234" t="s">
        <v>127</v>
      </c>
      <c r="R507" s="684">
        <f>O481</f>
        <v>6998.1850810863734</v>
      </c>
      <c r="S507" s="684"/>
      <c r="T507" s="14" t="s">
        <v>8</v>
      </c>
      <c r="V507" s="185"/>
    </row>
    <row r="508" spans="1:22" ht="18" hidden="1" customHeight="1">
      <c r="A508" s="184"/>
      <c r="B508" s="235" t="s">
        <v>623</v>
      </c>
      <c r="C508" s="14"/>
      <c r="D508" s="14"/>
      <c r="E508" s="14"/>
      <c r="F508" s="14"/>
      <c r="G508" s="14"/>
      <c r="H508" s="14"/>
      <c r="I508" s="14"/>
      <c r="J508" s="14"/>
      <c r="P508" s="120"/>
      <c r="Q508" s="236"/>
      <c r="R508" s="27"/>
      <c r="S508" s="27"/>
      <c r="T508" s="14"/>
      <c r="V508" s="185"/>
    </row>
    <row r="509" spans="1:22" ht="18" hidden="1" customHeight="1">
      <c r="A509" s="184"/>
      <c r="B509" s="14" t="s">
        <v>622</v>
      </c>
      <c r="C509" s="14"/>
      <c r="D509" s="14"/>
      <c r="E509" s="14"/>
      <c r="F509" s="14"/>
      <c r="G509" s="14"/>
      <c r="H509" s="14"/>
      <c r="I509" s="14"/>
      <c r="J509" s="14"/>
      <c r="P509" s="120" t="s">
        <v>617</v>
      </c>
      <c r="Q509" s="234" t="s">
        <v>127</v>
      </c>
      <c r="R509" s="684" t="str">
        <f>IF(M502="Y",'[2]Parameters &amp; Fault Cal.'!Q33,"-")</f>
        <v>-</v>
      </c>
      <c r="S509" s="684"/>
      <c r="T509" s="14" t="s">
        <v>8</v>
      </c>
      <c r="V509" s="185"/>
    </row>
    <row r="510" spans="1:22" ht="18" hidden="1" customHeight="1">
      <c r="A510" s="184"/>
      <c r="B510" s="235" t="s">
        <v>624</v>
      </c>
      <c r="C510" s="14"/>
      <c r="D510" s="14"/>
      <c r="E510" s="14"/>
      <c r="F510" s="14"/>
      <c r="G510" s="14"/>
      <c r="H510" s="14"/>
      <c r="I510" s="14"/>
      <c r="J510" s="14"/>
      <c r="R510" s="27"/>
      <c r="S510" s="27"/>
      <c r="T510" s="14"/>
      <c r="V510" s="185"/>
    </row>
    <row r="511" spans="1:22" ht="18" hidden="1" customHeight="1">
      <c r="A511" s="184"/>
      <c r="B511" s="14" t="s">
        <v>435</v>
      </c>
      <c r="C511" s="14"/>
      <c r="D511" s="103"/>
      <c r="E511" s="103"/>
      <c r="F511" s="14"/>
      <c r="G511" s="14"/>
      <c r="H511" s="5"/>
      <c r="I511" s="5"/>
      <c r="J511" s="5"/>
      <c r="P511" s="120" t="s">
        <v>436</v>
      </c>
      <c r="Q511" s="234" t="s">
        <v>127</v>
      </c>
      <c r="R511" s="684">
        <f>O454</f>
        <v>1</v>
      </c>
      <c r="S511" s="684"/>
      <c r="T511" s="14" t="s">
        <v>8</v>
      </c>
      <c r="V511" s="185"/>
    </row>
    <row r="512" spans="1:22" ht="18" hidden="1" customHeight="1">
      <c r="A512" s="184"/>
      <c r="B512" s="14" t="s">
        <v>437</v>
      </c>
      <c r="C512" s="14"/>
      <c r="D512" s="103"/>
      <c r="E512" s="103"/>
      <c r="F512" s="14"/>
      <c r="G512" s="14"/>
      <c r="H512" s="5"/>
      <c r="I512" s="5"/>
      <c r="J512" s="5"/>
      <c r="P512" s="120" t="s">
        <v>438</v>
      </c>
      <c r="Q512" s="234" t="s">
        <v>127</v>
      </c>
      <c r="R512" s="684">
        <f>'CT-VT Burdens'!S18</f>
        <v>1</v>
      </c>
      <c r="S512" s="684"/>
      <c r="T512" s="14" t="s">
        <v>8</v>
      </c>
      <c r="V512" s="185"/>
    </row>
    <row r="513" spans="1:22" ht="18" hidden="1" customHeight="1">
      <c r="A513" s="184"/>
      <c r="B513" s="14" t="s">
        <v>439</v>
      </c>
      <c r="C513" s="14"/>
      <c r="D513" s="103"/>
      <c r="E513" s="103"/>
      <c r="F513" s="14"/>
      <c r="G513" s="14"/>
      <c r="H513" s="5"/>
      <c r="I513" s="5"/>
      <c r="J513" s="5"/>
      <c r="P513" s="120" t="s">
        <v>440</v>
      </c>
      <c r="Q513" s="234" t="s">
        <v>127</v>
      </c>
      <c r="R513" s="684">
        <f>H456</f>
        <v>5</v>
      </c>
      <c r="S513" s="684"/>
      <c r="T513" s="192" t="s">
        <v>333</v>
      </c>
      <c r="V513" s="185"/>
    </row>
    <row r="514" spans="1:22" ht="18" hidden="1" customHeight="1">
      <c r="A514" s="184"/>
      <c r="B514" s="14" t="s">
        <v>625</v>
      </c>
      <c r="C514" s="14"/>
      <c r="D514" s="14"/>
      <c r="E514" s="14"/>
      <c r="F514" s="14"/>
      <c r="G514" s="14"/>
      <c r="H514" s="14"/>
      <c r="I514" s="14"/>
      <c r="J514" s="14"/>
      <c r="P514" s="237" t="s">
        <v>441</v>
      </c>
      <c r="Q514" s="234" t="s">
        <v>127</v>
      </c>
      <c r="R514" s="795">
        <f>P466</f>
        <v>1.1667743100000001</v>
      </c>
      <c r="S514" s="684"/>
      <c r="T514" s="192" t="s">
        <v>333</v>
      </c>
      <c r="V514" s="185"/>
    </row>
    <row r="515" spans="1:22" ht="18" hidden="1" customHeight="1">
      <c r="A515" s="184"/>
      <c r="B515" s="40" t="s">
        <v>442</v>
      </c>
      <c r="C515" s="14"/>
      <c r="D515" s="14"/>
      <c r="E515" s="14"/>
      <c r="F515" s="14"/>
      <c r="G515" s="14"/>
      <c r="H515" s="5"/>
      <c r="I515" s="5"/>
      <c r="J515" s="5"/>
      <c r="P515" s="237" t="s">
        <v>443</v>
      </c>
      <c r="Q515" s="234" t="s">
        <v>127</v>
      </c>
      <c r="R515" s="795">
        <f>J462</f>
        <v>0.02</v>
      </c>
      <c r="S515" s="684"/>
      <c r="T515" s="14" t="s">
        <v>157</v>
      </c>
      <c r="V515" s="185"/>
    </row>
    <row r="516" spans="1:22" ht="18" hidden="1" customHeight="1">
      <c r="A516" s="184"/>
      <c r="V516" s="185"/>
    </row>
    <row r="517" spans="1:22" ht="18" hidden="1" customHeight="1">
      <c r="A517" s="799" t="s">
        <v>417</v>
      </c>
      <c r="B517" s="802"/>
      <c r="C517" s="802"/>
      <c r="D517" s="689">
        <v>30</v>
      </c>
      <c r="E517" s="689" t="s">
        <v>315</v>
      </c>
      <c r="F517" s="689">
        <f>R506</f>
        <v>437.38656756789834</v>
      </c>
      <c r="G517" s="684"/>
      <c r="H517" s="689" t="s">
        <v>315</v>
      </c>
      <c r="I517" s="708">
        <f>R511</f>
        <v>1</v>
      </c>
      <c r="J517" s="828"/>
      <c r="K517" s="689" t="s">
        <v>315</v>
      </c>
      <c r="L517" s="716" t="s">
        <v>419</v>
      </c>
      <c r="M517" s="716">
        <f>R513</f>
        <v>5</v>
      </c>
      <c r="N517" s="729" t="s">
        <v>347</v>
      </c>
      <c r="O517" s="1214">
        <f>R514</f>
        <v>1.1667743100000001</v>
      </c>
      <c r="P517" s="689" t="s">
        <v>347</v>
      </c>
      <c r="Q517" s="833">
        <f>R515</f>
        <v>0.02</v>
      </c>
      <c r="R517" s="797"/>
      <c r="S517" s="797"/>
      <c r="T517" s="798" t="s">
        <v>350</v>
      </c>
      <c r="U517" s="230" t="s">
        <v>422</v>
      </c>
      <c r="V517" s="97"/>
    </row>
    <row r="518" spans="1:22" ht="18" hidden="1" customHeight="1">
      <c r="A518" s="827"/>
      <c r="B518" s="802"/>
      <c r="C518" s="802"/>
      <c r="D518" s="689"/>
      <c r="E518" s="689"/>
      <c r="F518" s="684"/>
      <c r="G518" s="684"/>
      <c r="H518" s="689"/>
      <c r="I518" s="689">
        <f>R505</f>
        <v>1200</v>
      </c>
      <c r="J518" s="723"/>
      <c r="K518" s="689"/>
      <c r="L518" s="716"/>
      <c r="M518" s="716"/>
      <c r="N518" s="729"/>
      <c r="O518" s="716"/>
      <c r="P518" s="689"/>
      <c r="Q518" s="28">
        <f>R512</f>
        <v>1</v>
      </c>
      <c r="R518" s="28" t="s">
        <v>315</v>
      </c>
      <c r="S518" s="28">
        <f>R512</f>
        <v>1</v>
      </c>
      <c r="T518" s="798"/>
      <c r="U518" s="14"/>
      <c r="V518" s="97"/>
    </row>
    <row r="519" spans="1:22" ht="18" hidden="1" customHeight="1">
      <c r="A519" s="184"/>
      <c r="V519" s="185"/>
    </row>
    <row r="520" spans="1:22" ht="18" hidden="1" customHeight="1">
      <c r="A520" s="184"/>
      <c r="C520" s="30" t="s">
        <v>127</v>
      </c>
      <c r="D520" s="812">
        <f>D517*F517*(I517/I518)*(M517+O517+(Q517/(Q518*S518)))</f>
        <v>67.650299494203821</v>
      </c>
      <c r="E520" s="813"/>
      <c r="F520" s="30" t="s">
        <v>305</v>
      </c>
      <c r="V520" s="185"/>
    </row>
    <row r="521" spans="1:22" ht="18" hidden="1" customHeight="1">
      <c r="A521" s="184"/>
      <c r="V521" s="185"/>
    </row>
    <row r="522" spans="1:22" ht="18" hidden="1" customHeight="1">
      <c r="A522" s="799" t="s">
        <v>417</v>
      </c>
      <c r="B522" s="802"/>
      <c r="C522" s="802"/>
      <c r="D522" s="689">
        <v>2</v>
      </c>
      <c r="E522" s="689" t="s">
        <v>315</v>
      </c>
      <c r="F522" s="689">
        <f>R507</f>
        <v>6998.1850810863734</v>
      </c>
      <c r="G522" s="684"/>
      <c r="H522" s="689" t="s">
        <v>315</v>
      </c>
      <c r="I522" s="708">
        <f>R511</f>
        <v>1</v>
      </c>
      <c r="J522" s="828"/>
      <c r="K522" s="689" t="s">
        <v>315</v>
      </c>
      <c r="L522" s="802" t="s">
        <v>419</v>
      </c>
      <c r="M522" s="716">
        <f>R513</f>
        <v>5</v>
      </c>
      <c r="N522" s="729" t="s">
        <v>347</v>
      </c>
      <c r="O522" s="1214">
        <f>R514</f>
        <v>1.1667743100000001</v>
      </c>
      <c r="P522" s="689" t="s">
        <v>347</v>
      </c>
      <c r="Q522" s="833">
        <f>R515</f>
        <v>0.02</v>
      </c>
      <c r="R522" s="797"/>
      <c r="S522" s="797"/>
      <c r="T522" s="798" t="s">
        <v>350</v>
      </c>
      <c r="U522" s="230" t="s">
        <v>426</v>
      </c>
      <c r="V522" s="97"/>
    </row>
    <row r="523" spans="1:22" ht="18" hidden="1" customHeight="1">
      <c r="A523" s="827"/>
      <c r="B523" s="802"/>
      <c r="C523" s="802"/>
      <c r="D523" s="689"/>
      <c r="E523" s="689"/>
      <c r="F523" s="684"/>
      <c r="G523" s="684"/>
      <c r="H523" s="689"/>
      <c r="I523" s="689">
        <f>R505</f>
        <v>1200</v>
      </c>
      <c r="J523" s="723"/>
      <c r="K523" s="689"/>
      <c r="L523" s="802"/>
      <c r="M523" s="716"/>
      <c r="N523" s="729"/>
      <c r="O523" s="716"/>
      <c r="P523" s="689"/>
      <c r="Q523" s="28">
        <f>R512</f>
        <v>1</v>
      </c>
      <c r="R523" s="28" t="s">
        <v>315</v>
      </c>
      <c r="S523" s="28">
        <f>R512</f>
        <v>1</v>
      </c>
      <c r="T523" s="798"/>
      <c r="U523" s="14"/>
      <c r="V523" s="97"/>
    </row>
    <row r="524" spans="1:22" ht="18" hidden="1" customHeight="1">
      <c r="A524" s="184"/>
      <c r="L524" s="244"/>
      <c r="V524" s="185"/>
    </row>
    <row r="525" spans="1:22" ht="18" hidden="1" customHeight="1">
      <c r="A525" s="184"/>
      <c r="C525" s="30" t="s">
        <v>127</v>
      </c>
      <c r="D525" s="812">
        <f>D522*F522*(I522/I523)*(M522+O522+(Q522/(Q523*S523)))</f>
        <v>72.160319460484075</v>
      </c>
      <c r="E525" s="813"/>
      <c r="F525" s="30" t="s">
        <v>305</v>
      </c>
      <c r="L525" s="244"/>
      <c r="V525" s="185"/>
    </row>
    <row r="526" spans="1:22" ht="18" hidden="1" customHeight="1">
      <c r="A526" s="184"/>
      <c r="L526" s="244"/>
      <c r="V526" s="185"/>
    </row>
    <row r="527" spans="1:22" s="14" customFormat="1" ht="18" hidden="1" customHeight="1">
      <c r="A527" s="799" t="s">
        <v>417</v>
      </c>
      <c r="B527" s="802"/>
      <c r="C527" s="802"/>
      <c r="D527" s="689"/>
      <c r="E527" s="689"/>
      <c r="F527" s="689" t="str">
        <f>R509</f>
        <v>-</v>
      </c>
      <c r="G527" s="684"/>
      <c r="H527" s="689" t="s">
        <v>315</v>
      </c>
      <c r="I527" s="708">
        <f>R511</f>
        <v>1</v>
      </c>
      <c r="J527" s="828"/>
      <c r="K527" s="689" t="s">
        <v>315</v>
      </c>
      <c r="L527" s="802" t="s">
        <v>419</v>
      </c>
      <c r="M527" s="716">
        <f>R513</f>
        <v>5</v>
      </c>
      <c r="N527" s="729" t="s">
        <v>347</v>
      </c>
      <c r="O527" s="1214">
        <f>R514</f>
        <v>1.1667743100000001</v>
      </c>
      <c r="P527" s="689" t="s">
        <v>347</v>
      </c>
      <c r="Q527" s="833">
        <f>R515</f>
        <v>0.02</v>
      </c>
      <c r="R527" s="797"/>
      <c r="S527" s="797"/>
      <c r="T527" s="798" t="s">
        <v>350</v>
      </c>
      <c r="U527" s="230" t="s">
        <v>618</v>
      </c>
      <c r="V527" s="97"/>
    </row>
    <row r="528" spans="1:22" ht="18" hidden="1" customHeight="1">
      <c r="A528" s="827"/>
      <c r="B528" s="802"/>
      <c r="C528" s="802"/>
      <c r="D528" s="689"/>
      <c r="E528" s="689"/>
      <c r="F528" s="684"/>
      <c r="G528" s="684"/>
      <c r="H528" s="689"/>
      <c r="I528" s="689">
        <f>R505</f>
        <v>1200</v>
      </c>
      <c r="J528" s="723"/>
      <c r="K528" s="689"/>
      <c r="L528" s="802"/>
      <c r="M528" s="716"/>
      <c r="N528" s="729"/>
      <c r="O528" s="716"/>
      <c r="P528" s="689"/>
      <c r="Q528" s="28">
        <f>R512</f>
        <v>1</v>
      </c>
      <c r="R528" s="28" t="s">
        <v>315</v>
      </c>
      <c r="S528" s="28">
        <f>R512</f>
        <v>1</v>
      </c>
      <c r="T528" s="798"/>
      <c r="U528" s="14"/>
      <c r="V528" s="97"/>
    </row>
    <row r="529" spans="1:22" ht="18" hidden="1" customHeight="1">
      <c r="A529" s="184"/>
      <c r="V529" s="185"/>
    </row>
    <row r="530" spans="1:22" ht="18" hidden="1" customHeight="1">
      <c r="A530" s="184"/>
      <c r="C530" s="30" t="s">
        <v>127</v>
      </c>
      <c r="D530" s="812" t="e">
        <f>F527*(I527/I528)*(M527+O527+(Q527/(Q528*S528)))</f>
        <v>#VALUE!</v>
      </c>
      <c r="E530" s="813"/>
      <c r="F530" s="30" t="s">
        <v>305</v>
      </c>
      <c r="G530" s="187" t="s">
        <v>378</v>
      </c>
      <c r="H530" s="186" t="str">
        <f>IF(M502="y","Applicable","Not applicable")</f>
        <v>Not applicable</v>
      </c>
      <c r="V530" s="185"/>
    </row>
    <row r="531" spans="1:22" ht="18" hidden="1" customHeight="1">
      <c r="A531" s="184"/>
      <c r="V531" s="185"/>
    </row>
    <row r="532" spans="1:22" ht="18" hidden="1" customHeight="1">
      <c r="A532" s="194"/>
      <c r="B532" s="195"/>
      <c r="C532" s="195"/>
      <c r="D532" s="195"/>
      <c r="E532" s="195"/>
      <c r="F532" s="195"/>
      <c r="G532" s="195"/>
      <c r="H532" s="195"/>
      <c r="I532" s="195"/>
      <c r="J532" s="195"/>
      <c r="K532" s="195"/>
      <c r="L532" s="195"/>
      <c r="M532" s="195"/>
      <c r="N532" s="195"/>
      <c r="O532" s="195"/>
      <c r="P532" s="195"/>
      <c r="Q532" s="224"/>
      <c r="R532" s="182"/>
      <c r="S532" s="225"/>
      <c r="T532" s="195"/>
      <c r="U532" s="195"/>
      <c r="V532" s="134"/>
    </row>
    <row r="533" spans="1:22" ht="18" hidden="1" customHeight="1">
      <c r="A533" s="226"/>
      <c r="B533" s="227"/>
      <c r="C533" s="227"/>
      <c r="D533" s="227"/>
      <c r="E533" s="227"/>
      <c r="F533" s="227"/>
      <c r="G533" s="227"/>
      <c r="H533" s="227"/>
      <c r="I533" s="227"/>
      <c r="J533" s="227"/>
      <c r="K533" s="227"/>
      <c r="L533" s="227"/>
      <c r="M533" s="227"/>
      <c r="N533" s="227"/>
      <c r="O533" s="227"/>
      <c r="P533" s="227"/>
      <c r="Q533" s="227"/>
      <c r="R533" s="227"/>
      <c r="S533" s="227"/>
      <c r="T533" s="227"/>
      <c r="U533" s="227"/>
      <c r="V533" s="228"/>
    </row>
    <row r="534" spans="1:22" ht="18" hidden="1" customHeight="1">
      <c r="A534" s="96" t="s">
        <v>640</v>
      </c>
      <c r="M534" s="825">
        <f>R505</f>
        <v>1200</v>
      </c>
      <c r="N534" s="826"/>
      <c r="O534" s="30" t="s">
        <v>470</v>
      </c>
      <c r="Q534" s="812">
        <f>IF(M502="Y",MAX(D520,D530),MAX(D520,D525))</f>
        <v>72.160319460484075</v>
      </c>
      <c r="R534" s="820"/>
      <c r="S534" s="30" t="s">
        <v>305</v>
      </c>
      <c r="V534" s="185"/>
    </row>
    <row r="535" spans="1:22" ht="18" hidden="1" customHeight="1">
      <c r="A535" s="184"/>
      <c r="M535" s="247"/>
      <c r="N535" s="247"/>
      <c r="Q535" s="211"/>
      <c r="R535" s="27"/>
      <c r="V535" s="185"/>
    </row>
    <row r="536" spans="1:22" ht="18" hidden="1" customHeight="1">
      <c r="A536" s="248" t="s">
        <v>471</v>
      </c>
      <c r="B536" s="14"/>
      <c r="C536" s="14"/>
      <c r="D536" s="249"/>
      <c r="E536" s="14"/>
      <c r="F536" s="14"/>
      <c r="G536" s="47"/>
      <c r="H536" s="14"/>
      <c r="J536" s="14"/>
      <c r="K536" s="14"/>
      <c r="L536" s="14"/>
      <c r="M536" s="14"/>
      <c r="N536" s="14"/>
      <c r="O536" s="14"/>
      <c r="P536" s="250"/>
      <c r="Q536" s="251"/>
      <c r="R536" s="47"/>
      <c r="S536" s="14"/>
      <c r="V536" s="185"/>
    </row>
    <row r="537" spans="1:22" ht="18" hidden="1" customHeight="1">
      <c r="A537" s="248"/>
      <c r="B537" s="14"/>
      <c r="C537" s="14"/>
      <c r="D537" s="249"/>
      <c r="E537" s="14"/>
      <c r="F537" s="14"/>
      <c r="G537" s="47"/>
      <c r="H537" s="14"/>
      <c r="J537" s="14"/>
      <c r="K537" s="14"/>
      <c r="L537" s="14"/>
      <c r="M537" s="14"/>
      <c r="N537" s="14"/>
      <c r="O537" s="14"/>
      <c r="P537" s="250"/>
      <c r="Q537" s="251"/>
      <c r="R537" s="47"/>
      <c r="S537" s="14"/>
      <c r="V537" s="185"/>
    </row>
    <row r="538" spans="1:22" ht="18" hidden="1" customHeight="1">
      <c r="A538" s="96" t="s">
        <v>641</v>
      </c>
      <c r="V538" s="185"/>
    </row>
    <row r="539" spans="1:22" ht="18" hidden="1" customHeight="1">
      <c r="A539" s="184"/>
      <c r="N539" s="14"/>
      <c r="O539" s="14" t="s">
        <v>473</v>
      </c>
      <c r="P539" s="268" t="s">
        <v>127</v>
      </c>
      <c r="Q539" s="249" t="s">
        <v>474</v>
      </c>
      <c r="R539" s="14"/>
      <c r="S539" s="28" t="s">
        <v>315</v>
      </c>
      <c r="T539" s="28">
        <v>0.8</v>
      </c>
      <c r="V539" s="185"/>
    </row>
    <row r="540" spans="1:22" ht="18" hidden="1" customHeight="1">
      <c r="A540" s="184"/>
      <c r="N540" s="252"/>
      <c r="O540" s="14"/>
      <c r="P540" s="268" t="s">
        <v>127</v>
      </c>
      <c r="Q540" s="829">
        <f>+Q534</f>
        <v>72.160319460484075</v>
      </c>
      <c r="R540" s="1147"/>
      <c r="S540" s="222" t="s">
        <v>315</v>
      </c>
      <c r="T540" s="253">
        <f>+T539</f>
        <v>0.8</v>
      </c>
      <c r="V540" s="185"/>
    </row>
    <row r="541" spans="1:22" ht="18" hidden="1" customHeight="1">
      <c r="A541" s="184"/>
      <c r="O541" s="14"/>
      <c r="P541" s="14" t="s">
        <v>127</v>
      </c>
      <c r="Q541" s="830">
        <f>Q540*T540</f>
        <v>57.728255568387262</v>
      </c>
      <c r="R541" s="1270"/>
      <c r="S541" s="47" t="s">
        <v>305</v>
      </c>
      <c r="T541" s="14"/>
      <c r="V541" s="185"/>
    </row>
    <row r="542" spans="1:22" ht="18" hidden="1" customHeight="1">
      <c r="A542" s="184"/>
      <c r="F542" s="28"/>
      <c r="G542" s="28"/>
      <c r="H542" s="14"/>
      <c r="V542" s="185"/>
    </row>
    <row r="543" spans="1:22" ht="18" hidden="1" customHeight="1">
      <c r="A543" s="184"/>
      <c r="D543" s="14" t="s">
        <v>642</v>
      </c>
      <c r="G543" s="27" t="str">
        <f>IF(E544&gt;H544,"&gt;","&lt;")</f>
        <v>&gt;</v>
      </c>
      <c r="H543" s="14" t="s">
        <v>643</v>
      </c>
      <c r="V543" s="185"/>
    </row>
    <row r="544" spans="1:22" ht="18" hidden="1" customHeight="1">
      <c r="A544" s="184"/>
      <c r="E544" s="684">
        <f>H457</f>
        <v>430</v>
      </c>
      <c r="F544" s="684"/>
      <c r="G544" s="27" t="str">
        <f>G543</f>
        <v>&gt;</v>
      </c>
      <c r="H544" s="795">
        <f>Q541</f>
        <v>57.728255568387262</v>
      </c>
      <c r="I544" s="684"/>
      <c r="V544" s="185"/>
    </row>
    <row r="545" spans="1:22" ht="18" hidden="1" customHeight="1">
      <c r="A545" s="184"/>
      <c r="F545" s="244" t="s">
        <v>478</v>
      </c>
      <c r="H545" s="18" t="str">
        <f>IF(G543="&gt;","Suitably Dimensioned","Under Dimensioned")</f>
        <v>Suitably Dimensioned</v>
      </c>
      <c r="V545" s="185"/>
    </row>
    <row r="546" spans="1:22" ht="18" hidden="1" customHeight="1">
      <c r="A546" s="184"/>
      <c r="F546" s="244"/>
      <c r="H546" s="18"/>
      <c r="V546" s="185"/>
    </row>
    <row r="547" spans="1:22" ht="18" hidden="1" customHeight="1">
      <c r="A547" s="184"/>
      <c r="F547" s="244"/>
      <c r="H547" s="18"/>
      <c r="V547" s="185"/>
    </row>
    <row r="548" spans="1:22" ht="18" hidden="1" customHeight="1">
      <c r="A548" s="184"/>
      <c r="F548" s="244"/>
      <c r="H548" s="18"/>
      <c r="V548" s="185"/>
    </row>
    <row r="549" spans="1:22" ht="18" hidden="1" customHeight="1">
      <c r="A549" s="184"/>
      <c r="F549" s="244"/>
      <c r="H549" s="18"/>
      <c r="V549" s="185"/>
    </row>
    <row r="550" spans="1:22" ht="18" hidden="1" customHeight="1">
      <c r="A550" s="184"/>
      <c r="F550" s="244"/>
      <c r="H550" s="18"/>
      <c r="V550" s="185"/>
    </row>
    <row r="551" spans="1:22" ht="18" hidden="1" customHeight="1">
      <c r="A551" s="184"/>
      <c r="F551" s="244"/>
      <c r="H551" s="18"/>
      <c r="V551" s="185"/>
    </row>
    <row r="552" spans="1:22" ht="18" hidden="1" customHeight="1">
      <c r="A552" s="184"/>
      <c r="F552" s="244"/>
      <c r="H552" s="18"/>
      <c r="V552" s="185"/>
    </row>
    <row r="553" spans="1:22" ht="18" hidden="1" customHeight="1">
      <c r="A553" s="184"/>
      <c r="F553" s="244"/>
      <c r="H553" s="18"/>
      <c r="V553" s="185"/>
    </row>
    <row r="554" spans="1:22" ht="18" hidden="1" customHeight="1">
      <c r="A554" s="184"/>
      <c r="F554" s="244"/>
      <c r="H554" s="18"/>
      <c r="V554" s="185"/>
    </row>
    <row r="555" spans="1:22" ht="18" hidden="1" customHeight="1">
      <c r="A555" s="184"/>
      <c r="F555" s="244"/>
      <c r="H555" s="18"/>
      <c r="V555" s="185"/>
    </row>
    <row r="556" spans="1:22" ht="18" hidden="1" customHeight="1">
      <c r="A556" s="184"/>
      <c r="F556" s="244"/>
      <c r="H556" s="18"/>
      <c r="V556" s="185"/>
    </row>
    <row r="557" spans="1:22" ht="18" hidden="1" customHeight="1">
      <c r="A557" s="184"/>
      <c r="F557" s="244"/>
      <c r="H557" s="18"/>
      <c r="V557" s="185"/>
    </row>
    <row r="558" spans="1:22" ht="18" hidden="1" customHeight="1">
      <c r="A558" s="184"/>
      <c r="F558" s="244"/>
      <c r="H558" s="18"/>
      <c r="V558" s="185"/>
    </row>
    <row r="559" spans="1:22" ht="18" hidden="1" customHeight="1">
      <c r="A559" s="184"/>
      <c r="F559" s="244"/>
      <c r="H559" s="18"/>
      <c r="V559" s="185"/>
    </row>
    <row r="560" spans="1:22" ht="18" hidden="1" customHeight="1">
      <c r="A560" s="184"/>
      <c r="F560" s="244"/>
      <c r="H560" s="18"/>
      <c r="V560" s="185"/>
    </row>
    <row r="561" spans="1:22" ht="18" hidden="1" customHeight="1">
      <c r="A561" s="184"/>
      <c r="F561" s="244"/>
      <c r="H561" s="18"/>
      <c r="V561" s="185"/>
    </row>
    <row r="562" spans="1:22" ht="18" hidden="1" customHeight="1">
      <c r="A562" s="184"/>
      <c r="F562" s="244"/>
      <c r="H562" s="18"/>
      <c r="V562" s="185"/>
    </row>
    <row r="563" spans="1:22" ht="18" hidden="1" customHeight="1">
      <c r="A563" s="184"/>
      <c r="F563" s="244"/>
      <c r="H563" s="18"/>
      <c r="V563" s="185"/>
    </row>
    <row r="564" spans="1:22" ht="18" hidden="1" customHeight="1">
      <c r="A564" s="184"/>
      <c r="F564" s="244"/>
      <c r="H564" s="18"/>
      <c r="V564" s="185"/>
    </row>
    <row r="565" spans="1:22" ht="18" hidden="1" customHeight="1">
      <c r="A565" s="184"/>
      <c r="F565" s="244"/>
      <c r="H565" s="18"/>
      <c r="V565" s="185"/>
    </row>
    <row r="566" spans="1:22" ht="18" hidden="1" customHeight="1">
      <c r="A566" s="184"/>
      <c r="V566" s="185"/>
    </row>
    <row r="567" spans="1:22" ht="18" hidden="1" customHeight="1">
      <c r="A567" s="184"/>
      <c r="V567" s="185"/>
    </row>
    <row r="568" spans="1:22" ht="18" hidden="1" customHeight="1">
      <c r="A568" s="184"/>
      <c r="V568" s="185"/>
    </row>
    <row r="569" spans="1:22" ht="18" hidden="1" customHeight="1">
      <c r="A569" s="184"/>
      <c r="V569" s="185"/>
    </row>
    <row r="570" spans="1:22" ht="18" hidden="1" customHeight="1">
      <c r="A570" s="184"/>
      <c r="V570" s="185"/>
    </row>
    <row r="571" spans="1:22" s="14" customFormat="1" ht="18" hidden="1" customHeight="1">
      <c r="A571" s="184"/>
      <c r="B571" s="30"/>
      <c r="C571" s="30"/>
      <c r="D571" s="30"/>
      <c r="E571" s="30"/>
      <c r="F571" s="30"/>
      <c r="G571" s="30"/>
      <c r="H571" s="30"/>
      <c r="I571" s="30"/>
      <c r="J571" s="30"/>
      <c r="K571" s="30"/>
      <c r="L571" s="30"/>
      <c r="M571" s="30"/>
      <c r="N571" s="30"/>
      <c r="O571" s="30"/>
      <c r="P571" s="30"/>
      <c r="Q571" s="30"/>
      <c r="R571" s="30"/>
      <c r="S571" s="30"/>
      <c r="T571" s="30"/>
      <c r="U571" s="30"/>
      <c r="V571" s="185"/>
    </row>
    <row r="572" spans="1:22" ht="18" hidden="1" customHeight="1">
      <c r="A572" s="184"/>
      <c r="V572" s="185"/>
    </row>
    <row r="573" spans="1:22" ht="18" hidden="1" customHeight="1">
      <c r="A573" s="184"/>
      <c r="V573" s="185"/>
    </row>
    <row r="574" spans="1:22" ht="18" hidden="1" customHeight="1">
      <c r="A574" s="184"/>
      <c r="V574" s="185"/>
    </row>
    <row r="575" spans="1:22" ht="18" hidden="1" customHeight="1">
      <c r="A575" s="184"/>
      <c r="V575" s="185"/>
    </row>
    <row r="576" spans="1:22" ht="18" hidden="1" customHeight="1">
      <c r="A576" s="194"/>
      <c r="B576" s="195"/>
      <c r="C576" s="195"/>
      <c r="D576" s="195"/>
      <c r="E576" s="195"/>
      <c r="F576" s="195"/>
      <c r="G576" s="195"/>
      <c r="H576" s="195"/>
      <c r="I576" s="195"/>
      <c r="J576" s="195"/>
      <c r="K576" s="195"/>
      <c r="L576" s="195"/>
      <c r="M576" s="195"/>
      <c r="N576" s="195"/>
      <c r="O576" s="195"/>
      <c r="P576" s="195"/>
      <c r="Q576" s="224"/>
      <c r="R576" s="182"/>
      <c r="S576" s="225"/>
      <c r="T576" s="195"/>
      <c r="U576" s="195"/>
      <c r="V576" s="134"/>
    </row>
    <row r="577" spans="1:29" ht="18" hidden="1" customHeight="1">
      <c r="A577" s="226"/>
      <c r="B577" s="227"/>
      <c r="C577" s="227"/>
      <c r="D577" s="227"/>
      <c r="E577" s="227"/>
      <c r="F577" s="227"/>
      <c r="G577" s="227"/>
      <c r="H577" s="227"/>
      <c r="I577" s="227"/>
      <c r="J577" s="227"/>
      <c r="K577" s="227"/>
      <c r="L577" s="227"/>
      <c r="M577" s="227"/>
      <c r="N577" s="227"/>
      <c r="O577" s="227"/>
      <c r="P577" s="227"/>
      <c r="Q577" s="227"/>
      <c r="R577" s="227"/>
      <c r="S577" s="227"/>
      <c r="T577" s="227"/>
      <c r="U577" s="227"/>
      <c r="V577" s="228"/>
    </row>
    <row r="578" spans="1:29" ht="18" hidden="1" customHeight="1">
      <c r="A578" s="184"/>
      <c r="B578" s="854" t="str">
        <f>B451</f>
        <v>BCT13,14,15</v>
      </c>
      <c r="C578" s="831"/>
      <c r="D578" s="855" t="str">
        <f>D451</f>
        <v>Core2</v>
      </c>
      <c r="E578" s="856"/>
      <c r="F578" s="186" t="s">
        <v>636</v>
      </c>
      <c r="H578" s="684" t="str">
        <f>H451</f>
        <v>(Transformer Differential)</v>
      </c>
      <c r="I578" s="684"/>
      <c r="J578" s="684"/>
      <c r="K578" s="684"/>
      <c r="L578" s="684"/>
      <c r="M578" s="684"/>
      <c r="P578" s="186"/>
      <c r="S578" s="187" t="s">
        <v>387</v>
      </c>
      <c r="T578" s="854" t="str">
        <f>T451</f>
        <v>RET670</v>
      </c>
      <c r="U578" s="831"/>
      <c r="V578" s="185"/>
    </row>
    <row r="579" spans="1:29" ht="18" hidden="1" customHeight="1">
      <c r="A579" s="184"/>
      <c r="B579" s="853">
        <f>B452</f>
        <v>0</v>
      </c>
      <c r="C579" s="853"/>
      <c r="D579" s="857"/>
      <c r="E579" s="858"/>
      <c r="F579" s="255"/>
      <c r="T579" s="854">
        <f>T452</f>
        <v>0</v>
      </c>
      <c r="U579" s="831"/>
      <c r="V579" s="185"/>
    </row>
    <row r="580" spans="1:29" ht="18" hidden="1" customHeight="1">
      <c r="A580" s="184"/>
      <c r="H580" s="708" t="s">
        <v>390</v>
      </c>
      <c r="I580" s="708"/>
      <c r="J580" s="789" t="s">
        <v>391</v>
      </c>
      <c r="K580" s="789"/>
      <c r="L580" s="708" t="s">
        <v>392</v>
      </c>
      <c r="M580" s="708"/>
      <c r="T580" s="854">
        <f>T453</f>
        <v>0</v>
      </c>
      <c r="U580" s="831"/>
      <c r="V580" s="185"/>
    </row>
    <row r="581" spans="1:29" ht="18" hidden="1" customHeight="1">
      <c r="A581" s="184"/>
      <c r="B581" s="47" t="s">
        <v>393</v>
      </c>
      <c r="H581" s="854">
        <f>H454</f>
        <v>1200</v>
      </c>
      <c r="I581" s="831"/>
      <c r="J581" s="863" t="str">
        <f>J454</f>
        <v>-</v>
      </c>
      <c r="K581" s="864"/>
      <c r="L581" s="854" t="str">
        <f>L454</f>
        <v>-</v>
      </c>
      <c r="M581" s="831"/>
      <c r="N581" s="102" t="s">
        <v>342</v>
      </c>
      <c r="O581" s="256">
        <f>O454</f>
        <v>1</v>
      </c>
      <c r="P581" s="27" t="s">
        <v>8</v>
      </c>
      <c r="V581" s="185"/>
    </row>
    <row r="582" spans="1:29" ht="18" hidden="1" customHeight="1">
      <c r="A582" s="184"/>
      <c r="B582" s="47" t="s">
        <v>394</v>
      </c>
      <c r="H582" s="14"/>
      <c r="I582" s="14"/>
      <c r="J582" s="854" t="str">
        <f>H455</f>
        <v>TPS</v>
      </c>
      <c r="K582" s="831"/>
      <c r="L582" s="14"/>
      <c r="M582" s="14"/>
      <c r="V582" s="185"/>
    </row>
    <row r="583" spans="1:29" ht="18" hidden="1" customHeight="1">
      <c r="A583" s="184"/>
      <c r="B583" s="47" t="s">
        <v>396</v>
      </c>
      <c r="I583" s="120" t="s">
        <v>497</v>
      </c>
      <c r="J583" s="781" t="s">
        <v>6</v>
      </c>
      <c r="K583" s="782"/>
      <c r="L583" s="192" t="s">
        <v>333</v>
      </c>
      <c r="V583" s="185"/>
    </row>
    <row r="584" spans="1:29" ht="18" hidden="1" customHeight="1">
      <c r="A584" s="184"/>
      <c r="B584" s="47" t="s">
        <v>398</v>
      </c>
      <c r="I584" s="120" t="s">
        <v>498</v>
      </c>
      <c r="J584" s="781" t="s">
        <v>6</v>
      </c>
      <c r="K584" s="782"/>
      <c r="L584" s="14" t="s">
        <v>305</v>
      </c>
      <c r="V584" s="185"/>
      <c r="W584" s="30" t="s">
        <v>400</v>
      </c>
      <c r="AB584" s="785" t="e">
        <f>Q673</f>
        <v>#VALUE!</v>
      </c>
      <c r="AC584" s="786"/>
    </row>
    <row r="585" spans="1:29" ht="18" hidden="1" customHeight="1">
      <c r="A585" s="184"/>
      <c r="B585" s="14" t="s">
        <v>401</v>
      </c>
      <c r="I585" s="120" t="s">
        <v>402</v>
      </c>
      <c r="J585" s="781" t="s">
        <v>6</v>
      </c>
      <c r="K585" s="782"/>
      <c r="L585" s="14" t="s">
        <v>403</v>
      </c>
      <c r="V585" s="185"/>
    </row>
    <row r="586" spans="1:29" ht="18" hidden="1" customHeight="1">
      <c r="A586" s="184"/>
      <c r="V586" s="185"/>
    </row>
    <row r="587" spans="1:29" ht="18" hidden="1" customHeight="1">
      <c r="A587" s="193" t="s">
        <v>404</v>
      </c>
      <c r="V587" s="185"/>
    </row>
    <row r="588" spans="1:29" ht="18" hidden="1" customHeight="1">
      <c r="A588" s="184"/>
      <c r="V588" s="185"/>
    </row>
    <row r="589" spans="1:29" ht="18" hidden="1" customHeight="1">
      <c r="A589" s="184"/>
      <c r="B589" s="194" t="s">
        <v>405</v>
      </c>
      <c r="C589" s="195"/>
      <c r="D589" s="195" t="str">
        <f>T578</f>
        <v>RET670</v>
      </c>
      <c r="E589" s="196"/>
      <c r="F589" s="196"/>
      <c r="G589" s="196"/>
      <c r="H589" s="182" t="s">
        <v>406</v>
      </c>
      <c r="I589" s="183" t="s">
        <v>127</v>
      </c>
      <c r="J589" s="1276">
        <f>J462</f>
        <v>0.02</v>
      </c>
      <c r="K589" s="1144"/>
      <c r="L589" s="3" t="s">
        <v>157</v>
      </c>
      <c r="N589" s="197" t="s">
        <v>407</v>
      </c>
      <c r="V589" s="185"/>
    </row>
    <row r="590" spans="1:29" s="14" customFormat="1" ht="18" hidden="1" customHeight="1">
      <c r="A590" s="184"/>
      <c r="B590" s="96" t="s">
        <v>405</v>
      </c>
      <c r="C590" s="30"/>
      <c r="D590" s="30">
        <f>T579</f>
        <v>0</v>
      </c>
      <c r="E590" s="30"/>
      <c r="F590" s="30"/>
      <c r="G590" s="30"/>
      <c r="H590" s="27"/>
      <c r="I590" s="177"/>
      <c r="J590" s="1274">
        <f>J463</f>
        <v>0</v>
      </c>
      <c r="K590" s="1275"/>
      <c r="L590" s="198" t="s">
        <v>157</v>
      </c>
      <c r="M590" s="30"/>
      <c r="N590" s="30"/>
      <c r="O590" s="30"/>
      <c r="P590" s="30"/>
      <c r="Q590" s="30"/>
      <c r="R590" s="30"/>
      <c r="S590" s="30"/>
      <c r="T590" s="30"/>
      <c r="U590" s="30"/>
      <c r="V590" s="185"/>
    </row>
    <row r="591" spans="1:29" s="14" customFormat="1" ht="18" hidden="1" customHeight="1">
      <c r="A591" s="184"/>
      <c r="B591" s="96" t="s">
        <v>405</v>
      </c>
      <c r="C591" s="30"/>
      <c r="D591" s="30">
        <f>T580</f>
        <v>0</v>
      </c>
      <c r="F591" s="30"/>
      <c r="G591" s="199"/>
      <c r="H591" s="27"/>
      <c r="I591" s="101"/>
      <c r="J591" s="696">
        <f>J464</f>
        <v>0</v>
      </c>
      <c r="K591" s="820"/>
      <c r="L591" s="202" t="s">
        <v>157</v>
      </c>
      <c r="M591" s="30"/>
      <c r="N591" s="30" t="s">
        <v>408</v>
      </c>
      <c r="O591" s="27" t="s">
        <v>127</v>
      </c>
      <c r="P591" s="30" t="s">
        <v>409</v>
      </c>
      <c r="Q591" s="191" t="s">
        <v>410</v>
      </c>
      <c r="R591" s="244" t="s">
        <v>411</v>
      </c>
      <c r="S591" s="27" t="s">
        <v>315</v>
      </c>
      <c r="T591" s="30" t="s">
        <v>411</v>
      </c>
      <c r="U591" s="30" t="s">
        <v>350</v>
      </c>
      <c r="V591" s="185"/>
    </row>
    <row r="592" spans="1:29" s="14" customFormat="1" ht="18" hidden="1" customHeight="1">
      <c r="A592" s="184"/>
      <c r="B592" s="184" t="s">
        <v>412</v>
      </c>
      <c r="C592" s="30"/>
      <c r="D592" s="30"/>
      <c r="E592" s="30"/>
      <c r="F592" s="30"/>
      <c r="G592" s="30"/>
      <c r="H592" s="27" t="s">
        <v>599</v>
      </c>
      <c r="I592" s="177" t="s">
        <v>127</v>
      </c>
      <c r="J592" s="1274">
        <f>J465</f>
        <v>1.1667743100000001</v>
      </c>
      <c r="K592" s="1275"/>
      <c r="L592" s="203" t="s">
        <v>157</v>
      </c>
      <c r="M592" s="30"/>
      <c r="N592" s="30"/>
      <c r="O592" s="27" t="s">
        <v>127</v>
      </c>
      <c r="P592" s="204">
        <f>J593</f>
        <v>1.1667743100000001</v>
      </c>
      <c r="Q592" s="191" t="s">
        <v>410</v>
      </c>
      <c r="R592" s="27">
        <f>O581</f>
        <v>1</v>
      </c>
      <c r="S592" s="27" t="s">
        <v>315</v>
      </c>
      <c r="T592" s="27">
        <f>O581</f>
        <v>1</v>
      </c>
      <c r="U592" s="30" t="s">
        <v>350</v>
      </c>
      <c r="V592" s="185"/>
    </row>
    <row r="593" spans="1:22" s="14" customFormat="1" ht="18" hidden="1" customHeight="1">
      <c r="A593" s="184"/>
      <c r="B593" s="205" t="s">
        <v>413</v>
      </c>
      <c r="C593" s="206"/>
      <c r="D593" s="206"/>
      <c r="E593" s="206"/>
      <c r="F593" s="207"/>
      <c r="G593" s="207"/>
      <c r="H593" s="190" t="s">
        <v>409</v>
      </c>
      <c r="I593" s="208" t="s">
        <v>127</v>
      </c>
      <c r="J593" s="1276">
        <f>J590+J592</f>
        <v>1.1667743100000001</v>
      </c>
      <c r="K593" s="1144"/>
      <c r="L593" s="210" t="s">
        <v>157</v>
      </c>
      <c r="M593" s="30"/>
      <c r="N593" s="30"/>
      <c r="O593" s="27" t="s">
        <v>127</v>
      </c>
      <c r="P593" s="795">
        <f>P592/(R592*T592)</f>
        <v>1.1667743100000001</v>
      </c>
      <c r="Q593" s="795"/>
      <c r="R593" s="192" t="s">
        <v>333</v>
      </c>
      <c r="S593" s="30"/>
      <c r="T593" s="30"/>
      <c r="U593" s="30"/>
      <c r="V593" s="185"/>
    </row>
    <row r="594" spans="1:22" s="14" customFormat="1" ht="18" hidden="1" customHeight="1">
      <c r="A594" s="184"/>
      <c r="B594" s="30"/>
      <c r="C594" s="30"/>
      <c r="D594" s="30"/>
      <c r="E594" s="30"/>
      <c r="F594" s="30"/>
      <c r="G594" s="30"/>
      <c r="H594" s="30"/>
      <c r="I594" s="30"/>
      <c r="J594" s="30"/>
      <c r="K594" s="30"/>
      <c r="L594" s="30"/>
      <c r="M594" s="30"/>
      <c r="N594" s="30"/>
      <c r="O594" s="30"/>
      <c r="P594" s="30"/>
      <c r="Q594" s="30"/>
      <c r="R594" s="30"/>
      <c r="S594" s="30"/>
      <c r="T594" s="30"/>
      <c r="U594" s="30"/>
      <c r="V594" s="185"/>
    </row>
    <row r="595" spans="1:22" s="14" customFormat="1" ht="18" hidden="1" customHeight="1">
      <c r="A595" s="193" t="s">
        <v>600</v>
      </c>
      <c r="B595" s="5"/>
      <c r="C595" s="5"/>
      <c r="D595" s="5"/>
      <c r="E595" s="5"/>
      <c r="F595" s="5"/>
      <c r="G595" s="5"/>
      <c r="H595" s="212"/>
      <c r="I595" s="212"/>
      <c r="J595" s="5"/>
      <c r="K595" s="5"/>
      <c r="L595" s="5"/>
      <c r="M595" s="5"/>
      <c r="N595" s="5"/>
      <c r="O595" s="5"/>
      <c r="P595" s="103"/>
      <c r="Q595" s="212"/>
      <c r="R595" s="213"/>
      <c r="S595" s="214"/>
      <c r="T595" s="18"/>
      <c r="U595" s="18"/>
      <c r="V595" s="97"/>
    </row>
    <row r="596" spans="1:22" s="14" customFormat="1" ht="18" hidden="1" customHeight="1">
      <c r="A596" s="96"/>
      <c r="B596" s="47" t="s">
        <v>601</v>
      </c>
      <c r="C596" s="5"/>
      <c r="D596" s="5"/>
      <c r="E596" s="5"/>
      <c r="I596" s="215"/>
      <c r="M596" s="5"/>
      <c r="O596" s="103" t="s">
        <v>127</v>
      </c>
      <c r="P596" s="853">
        <f>P469</f>
        <v>100</v>
      </c>
      <c r="Q596" s="1271"/>
      <c r="R596" s="14" t="s">
        <v>602</v>
      </c>
      <c r="S596" s="214"/>
      <c r="T596" s="18"/>
      <c r="U596" s="18"/>
      <c r="V596" s="97"/>
    </row>
    <row r="597" spans="1:22" s="14" customFormat="1" ht="18" hidden="1" customHeight="1">
      <c r="A597" s="96"/>
      <c r="B597" s="47" t="s">
        <v>603</v>
      </c>
      <c r="C597" s="5"/>
      <c r="D597" s="5"/>
      <c r="E597" s="5"/>
      <c r="I597" s="215"/>
      <c r="M597" s="5"/>
      <c r="O597" s="103" t="s">
        <v>127</v>
      </c>
      <c r="P597" s="853">
        <f>P470</f>
        <v>25</v>
      </c>
      <c r="Q597" s="1271"/>
      <c r="R597" s="14" t="s">
        <v>604</v>
      </c>
      <c r="S597" s="214"/>
      <c r="T597" s="18"/>
      <c r="U597" s="18"/>
      <c r="V597" s="97"/>
    </row>
    <row r="598" spans="1:22" s="14" customFormat="1" ht="18" hidden="1" customHeight="1">
      <c r="A598" s="96"/>
      <c r="B598" s="47" t="s">
        <v>605</v>
      </c>
      <c r="C598" s="5"/>
      <c r="D598" s="5"/>
      <c r="E598" s="5"/>
      <c r="N598" s="120" t="s">
        <v>644</v>
      </c>
      <c r="O598" s="103" t="s">
        <v>607</v>
      </c>
      <c r="P598" s="854">
        <f>P471</f>
        <v>132</v>
      </c>
      <c r="Q598" s="1270"/>
      <c r="R598" s="14" t="s">
        <v>163</v>
      </c>
      <c r="S598" s="214"/>
      <c r="T598" s="18"/>
      <c r="U598" s="18"/>
      <c r="V598" s="97"/>
    </row>
    <row r="599" spans="1:22" s="14" customFormat="1" ht="18" hidden="1" customHeight="1">
      <c r="A599" s="216"/>
      <c r="B599" s="212"/>
      <c r="C599" s="212"/>
      <c r="D599" s="212"/>
      <c r="E599" s="212"/>
      <c r="T599" s="18"/>
      <c r="U599" s="18"/>
      <c r="V599" s="97"/>
    </row>
    <row r="600" spans="1:22" s="14" customFormat="1" ht="18" hidden="1" customHeight="1">
      <c r="A600" s="96"/>
      <c r="B600" s="14" t="s">
        <v>608</v>
      </c>
      <c r="C600" s="213"/>
      <c r="D600" s="213"/>
      <c r="E600" s="213"/>
      <c r="H600" s="120" t="s">
        <v>609</v>
      </c>
      <c r="I600" s="28" t="s">
        <v>127</v>
      </c>
      <c r="J600" s="689" t="s">
        <v>610</v>
      </c>
      <c r="K600" s="689"/>
      <c r="L600" s="28" t="s">
        <v>315</v>
      </c>
      <c r="M600" s="217">
        <v>1000</v>
      </c>
      <c r="N600" s="102" t="s">
        <v>342</v>
      </c>
      <c r="O600" s="28" t="s">
        <v>611</v>
      </c>
      <c r="P600" s="28" t="s">
        <v>315</v>
      </c>
      <c r="Q600" s="28" t="s">
        <v>606</v>
      </c>
      <c r="R600" s="47"/>
      <c r="T600" s="18"/>
      <c r="U600" s="18"/>
      <c r="V600" s="97"/>
    </row>
    <row r="601" spans="1:22" ht="18" hidden="1" customHeight="1">
      <c r="A601" s="216"/>
      <c r="B601" s="213"/>
      <c r="C601" s="213"/>
      <c r="D601" s="213"/>
      <c r="E601" s="213"/>
      <c r="F601" s="212"/>
      <c r="G601" s="212"/>
      <c r="H601" s="28"/>
      <c r="I601" s="28" t="s">
        <v>127</v>
      </c>
      <c r="J601" s="689">
        <f>P596</f>
        <v>100</v>
      </c>
      <c r="K601" s="689"/>
      <c r="L601" s="28" t="s">
        <v>315</v>
      </c>
      <c r="M601" s="217">
        <v>1000</v>
      </c>
      <c r="N601" s="102" t="s">
        <v>342</v>
      </c>
      <c r="O601" s="28" t="s">
        <v>611</v>
      </c>
      <c r="P601" s="28" t="s">
        <v>315</v>
      </c>
      <c r="Q601" s="28">
        <f>P598</f>
        <v>132</v>
      </c>
      <c r="R601" s="47"/>
      <c r="S601" s="14"/>
      <c r="T601" s="18"/>
      <c r="U601" s="18"/>
      <c r="V601" s="97"/>
    </row>
    <row r="602" spans="1:22" ht="18" hidden="1" customHeight="1">
      <c r="A602" s="216"/>
      <c r="B602" s="212"/>
      <c r="C602" s="212"/>
      <c r="D602" s="212"/>
      <c r="E602" s="212"/>
      <c r="F602" s="212"/>
      <c r="G602" s="212"/>
      <c r="H602" s="14"/>
      <c r="I602" s="28" t="s">
        <v>127</v>
      </c>
      <c r="J602" s="692">
        <f>(P596*1000)/(SQRT(3)*P598)</f>
        <v>437.38656756789834</v>
      </c>
      <c r="K602" s="692"/>
      <c r="L602" s="14" t="s">
        <v>8</v>
      </c>
      <c r="M602" s="120"/>
      <c r="N602" s="120"/>
      <c r="O602" s="120"/>
      <c r="P602" s="14"/>
      <c r="Q602" s="14"/>
      <c r="R602" s="14"/>
      <c r="S602" s="14"/>
      <c r="T602" s="18"/>
      <c r="U602" s="18"/>
      <c r="V602" s="97"/>
    </row>
    <row r="603" spans="1:22" ht="18" hidden="1" customHeight="1">
      <c r="A603" s="216"/>
      <c r="B603" s="212"/>
      <c r="C603" s="212"/>
      <c r="D603" s="212"/>
      <c r="E603" s="212"/>
      <c r="F603" s="14"/>
      <c r="G603" s="212"/>
      <c r="H603" s="28"/>
      <c r="I603" s="103"/>
      <c r="J603" s="28"/>
      <c r="K603" s="14"/>
      <c r="L603" s="14"/>
      <c r="M603" s="212"/>
      <c r="N603" s="219"/>
      <c r="O603" s="212"/>
      <c r="P603" s="14"/>
      <c r="Q603" s="14"/>
      <c r="R603" s="14"/>
      <c r="S603" s="14"/>
      <c r="T603" s="18"/>
      <c r="U603" s="18"/>
      <c r="V603" s="97"/>
    </row>
    <row r="604" spans="1:22" ht="18" hidden="1" customHeight="1">
      <c r="A604" s="147" t="s">
        <v>629</v>
      </c>
      <c r="B604" s="5"/>
      <c r="C604" s="5"/>
      <c r="D604" s="5"/>
      <c r="E604" s="5"/>
      <c r="F604" s="212"/>
      <c r="G604" s="212"/>
      <c r="H604" s="5"/>
      <c r="I604" s="5"/>
      <c r="J604" s="5"/>
      <c r="K604" s="5"/>
      <c r="L604" s="103"/>
      <c r="M604" s="103"/>
      <c r="N604" s="103"/>
      <c r="O604" s="103"/>
      <c r="P604" s="212"/>
      <c r="Q604" s="213"/>
      <c r="R604" s="14"/>
      <c r="S604" s="220"/>
      <c r="T604" s="18"/>
      <c r="U604" s="18"/>
      <c r="V604" s="97"/>
    </row>
    <row r="605" spans="1:22" ht="18" hidden="1" customHeight="1">
      <c r="A605" s="147"/>
      <c r="B605" s="5"/>
      <c r="C605" s="5"/>
      <c r="D605" s="5"/>
      <c r="E605" s="5"/>
      <c r="F605" s="212"/>
      <c r="G605" s="212"/>
      <c r="H605" s="5"/>
      <c r="I605" s="5"/>
      <c r="J605" s="5"/>
      <c r="K605" s="5"/>
      <c r="L605" s="103"/>
      <c r="M605" s="103"/>
      <c r="N605" s="103"/>
      <c r="O605" s="103"/>
      <c r="P605" s="212"/>
      <c r="Q605" s="213"/>
      <c r="R605" s="14"/>
      <c r="S605" s="214"/>
      <c r="T605" s="18"/>
      <c r="U605" s="18"/>
      <c r="V605" s="97"/>
    </row>
    <row r="606" spans="1:22" ht="18" hidden="1" customHeight="1">
      <c r="A606" s="184"/>
      <c r="B606" s="14" t="s">
        <v>612</v>
      </c>
      <c r="C606" s="14"/>
      <c r="D606" s="14"/>
      <c r="E606" s="14"/>
      <c r="M606" s="120" t="s">
        <v>613</v>
      </c>
      <c r="N606" s="28" t="s">
        <v>127</v>
      </c>
      <c r="O606" s="689" t="s">
        <v>609</v>
      </c>
      <c r="P606" s="716"/>
      <c r="Q606" s="221" t="s">
        <v>630</v>
      </c>
      <c r="R606" s="221">
        <v>16</v>
      </c>
      <c r="S606" s="214"/>
      <c r="V606" s="185"/>
    </row>
    <row r="607" spans="1:22" ht="18" hidden="1" customHeight="1">
      <c r="A607" s="96"/>
      <c r="B607" s="5"/>
      <c r="C607" s="5"/>
      <c r="D607" s="5"/>
      <c r="E607" s="5"/>
      <c r="M607" s="250"/>
      <c r="N607" s="28" t="s">
        <v>127</v>
      </c>
      <c r="O607" s="689">
        <f>+J602</f>
        <v>437.38656756789834</v>
      </c>
      <c r="P607" s="716"/>
      <c r="Q607" s="221" t="s">
        <v>630</v>
      </c>
      <c r="R607" s="221">
        <v>16</v>
      </c>
      <c r="S607" s="214"/>
      <c r="V607" s="185"/>
    </row>
    <row r="608" spans="1:22" ht="18" hidden="1" customHeight="1">
      <c r="A608" s="96"/>
      <c r="B608" s="5"/>
      <c r="C608" s="5"/>
      <c r="D608" s="5"/>
      <c r="E608" s="5"/>
      <c r="M608" s="120" t="s">
        <v>613</v>
      </c>
      <c r="N608" s="28" t="s">
        <v>127</v>
      </c>
      <c r="O608" s="689">
        <f>O607*R607</f>
        <v>6998.1850810863734</v>
      </c>
      <c r="P608" s="716"/>
      <c r="Q608" s="241" t="s">
        <v>8</v>
      </c>
      <c r="R608" s="14"/>
      <c r="S608" s="214"/>
      <c r="V608" s="185"/>
    </row>
    <row r="609" spans="1:22" ht="18" hidden="1" customHeight="1">
      <c r="A609" s="96"/>
      <c r="B609" s="5"/>
      <c r="C609" s="5"/>
      <c r="D609" s="5"/>
      <c r="E609" s="5"/>
      <c r="M609" s="212"/>
      <c r="N609" s="212"/>
      <c r="O609" s="103"/>
      <c r="Q609" s="223"/>
      <c r="R609" s="14"/>
      <c r="S609" s="214"/>
      <c r="V609" s="185"/>
    </row>
    <row r="610" spans="1:22" s="14" customFormat="1" ht="18" hidden="1" customHeight="1">
      <c r="A610" s="678" t="s">
        <v>633</v>
      </c>
      <c r="B610" s="1207"/>
      <c r="C610" s="1207"/>
      <c r="D610" s="1207"/>
      <c r="E610" s="1207"/>
      <c r="F610" s="1207"/>
      <c r="G610" s="1207"/>
      <c r="H610" s="1207"/>
      <c r="I610" s="1207"/>
      <c r="J610" s="1207"/>
      <c r="K610" s="1207"/>
      <c r="L610" s="1207"/>
      <c r="M610" s="1207"/>
      <c r="N610" s="1207"/>
      <c r="O610" s="1207"/>
      <c r="P610" s="1207"/>
      <c r="Q610" s="1207"/>
      <c r="R610" s="1207"/>
      <c r="S610" s="1207"/>
      <c r="T610" s="1207"/>
      <c r="U610" s="1207"/>
      <c r="V610" s="1208"/>
    </row>
    <row r="611" spans="1:22" ht="18" hidden="1" customHeight="1">
      <c r="A611" s="1209"/>
      <c r="B611" s="1207"/>
      <c r="C611" s="1207"/>
      <c r="D611" s="1207"/>
      <c r="E611" s="1207"/>
      <c r="F611" s="1207"/>
      <c r="G611" s="1207"/>
      <c r="H611" s="1207"/>
      <c r="I611" s="1207"/>
      <c r="J611" s="1207"/>
      <c r="K611" s="1207"/>
      <c r="L611" s="1207"/>
      <c r="M611" s="1207"/>
      <c r="N611" s="1207"/>
      <c r="O611" s="1207"/>
      <c r="P611" s="1207"/>
      <c r="Q611" s="1207"/>
      <c r="R611" s="1207"/>
      <c r="S611" s="1207"/>
      <c r="T611" s="1207"/>
      <c r="U611" s="1207"/>
      <c r="V611" s="1208"/>
    </row>
    <row r="612" spans="1:22" ht="18" hidden="1" customHeight="1">
      <c r="A612" s="231"/>
      <c r="B612" s="232"/>
      <c r="C612" s="232"/>
      <c r="D612" s="232"/>
      <c r="E612" s="232"/>
      <c r="F612" s="232"/>
      <c r="G612" s="232"/>
      <c r="H612" s="232"/>
      <c r="I612" s="232"/>
      <c r="J612" s="232"/>
      <c r="K612" s="232"/>
      <c r="L612" s="232"/>
      <c r="M612" s="232"/>
      <c r="N612" s="232"/>
      <c r="O612" s="232"/>
      <c r="P612" s="232"/>
      <c r="Q612" s="232"/>
      <c r="R612" s="232"/>
      <c r="S612" s="232"/>
      <c r="T612" s="232"/>
      <c r="U612" s="232"/>
      <c r="V612" s="233"/>
    </row>
    <row r="613" spans="1:22" ht="18" hidden="1" customHeight="1">
      <c r="A613" s="231"/>
      <c r="B613" s="232"/>
      <c r="C613" s="232"/>
      <c r="D613" s="232"/>
      <c r="E613" s="232"/>
      <c r="F613" s="232"/>
      <c r="G613" s="232"/>
      <c r="H613" s="232"/>
      <c r="I613" s="232"/>
      <c r="J613" s="232"/>
      <c r="K613" s="232"/>
      <c r="L613" s="232"/>
      <c r="M613" s="232"/>
      <c r="N613" s="232"/>
      <c r="O613" s="232"/>
      <c r="P613" s="232"/>
      <c r="Q613" s="232"/>
      <c r="R613" s="232"/>
      <c r="S613" s="232"/>
      <c r="T613" s="232"/>
      <c r="U613" s="232"/>
      <c r="V613" s="233"/>
    </row>
    <row r="614" spans="1:22" ht="18" hidden="1" customHeight="1">
      <c r="A614" s="231"/>
      <c r="B614" s="232"/>
      <c r="C614" s="232"/>
      <c r="D614" s="232"/>
      <c r="E614" s="232"/>
      <c r="F614" s="232"/>
      <c r="G614" s="232"/>
      <c r="H614" s="232"/>
      <c r="I614" s="232"/>
      <c r="J614" s="232"/>
      <c r="K614" s="232"/>
      <c r="L614" s="232"/>
      <c r="M614" s="232"/>
      <c r="N614" s="232"/>
      <c r="O614" s="232"/>
      <c r="P614" s="232"/>
      <c r="Q614" s="232"/>
      <c r="R614" s="232"/>
      <c r="S614" s="232"/>
      <c r="T614" s="232"/>
      <c r="U614" s="232"/>
      <c r="V614" s="233"/>
    </row>
    <row r="615" spans="1:22" ht="18" hidden="1" customHeight="1">
      <c r="A615" s="231"/>
      <c r="B615" s="232"/>
      <c r="C615" s="232"/>
      <c r="D615" s="232"/>
      <c r="E615" s="232"/>
      <c r="F615" s="232"/>
      <c r="G615" s="232"/>
      <c r="H615" s="232"/>
      <c r="I615" s="232"/>
      <c r="J615" s="232"/>
      <c r="K615" s="232"/>
      <c r="L615" s="232"/>
      <c r="M615" s="232"/>
      <c r="N615" s="232"/>
      <c r="O615" s="232"/>
      <c r="P615" s="232"/>
      <c r="Q615" s="232"/>
      <c r="R615" s="232"/>
      <c r="S615" s="232"/>
      <c r="T615" s="232"/>
      <c r="U615" s="232"/>
      <c r="V615" s="233"/>
    </row>
    <row r="616" spans="1:22" ht="18" hidden="1" customHeight="1">
      <c r="A616" s="231"/>
      <c r="B616" s="232"/>
      <c r="C616" s="232"/>
      <c r="D616" s="232"/>
      <c r="E616" s="232"/>
      <c r="F616" s="232"/>
      <c r="G616" s="232"/>
      <c r="H616" s="232"/>
      <c r="I616" s="232"/>
      <c r="J616" s="232"/>
      <c r="K616" s="232"/>
      <c r="L616" s="232"/>
      <c r="M616" s="232"/>
      <c r="N616" s="232"/>
      <c r="O616" s="232"/>
      <c r="P616" s="232"/>
      <c r="Q616" s="232"/>
      <c r="R616" s="232"/>
      <c r="S616" s="232"/>
      <c r="T616" s="232"/>
      <c r="U616" s="232"/>
      <c r="V616" s="233"/>
    </row>
    <row r="617" spans="1:22" ht="18" hidden="1" customHeight="1">
      <c r="A617" s="96"/>
      <c r="B617" s="5"/>
      <c r="C617" s="5"/>
      <c r="D617" s="5"/>
      <c r="E617" s="5"/>
      <c r="M617" s="212"/>
      <c r="N617" s="212"/>
      <c r="O617" s="103"/>
      <c r="Q617" s="223"/>
      <c r="R617" s="14"/>
      <c r="S617" s="214"/>
      <c r="V617" s="185"/>
    </row>
    <row r="618" spans="1:22" ht="18" hidden="1" customHeight="1">
      <c r="A618" s="184"/>
      <c r="V618" s="185"/>
    </row>
    <row r="619" spans="1:22" ht="18" hidden="1" customHeight="1">
      <c r="A619" s="184"/>
      <c r="V619" s="185"/>
    </row>
    <row r="620" spans="1:22" ht="18" hidden="1" customHeight="1">
      <c r="A620" s="194"/>
      <c r="B620" s="195"/>
      <c r="C620" s="195"/>
      <c r="D620" s="195"/>
      <c r="E620" s="195"/>
      <c r="F620" s="195"/>
      <c r="G620" s="195"/>
      <c r="H620" s="195"/>
      <c r="I620" s="195"/>
      <c r="J620" s="195"/>
      <c r="K620" s="195"/>
      <c r="L620" s="195"/>
      <c r="M620" s="195"/>
      <c r="N620" s="195"/>
      <c r="O620" s="195"/>
      <c r="P620" s="195"/>
      <c r="Q620" s="224"/>
      <c r="R620" s="182"/>
      <c r="S620" s="225"/>
      <c r="T620" s="195"/>
      <c r="U620" s="195"/>
      <c r="V620" s="134"/>
    </row>
    <row r="621" spans="1:22" ht="18" hidden="1" customHeight="1">
      <c r="A621" s="226"/>
      <c r="B621" s="227"/>
      <c r="C621" s="227"/>
      <c r="D621" s="227"/>
      <c r="E621" s="227"/>
      <c r="F621" s="227"/>
      <c r="G621" s="227"/>
      <c r="H621" s="227"/>
      <c r="I621" s="227"/>
      <c r="J621" s="227"/>
      <c r="K621" s="227"/>
      <c r="L621" s="227"/>
      <c r="M621" s="227"/>
      <c r="N621" s="227"/>
      <c r="O621" s="227"/>
      <c r="P621" s="227"/>
      <c r="Q621" s="227"/>
      <c r="R621" s="227"/>
      <c r="S621" s="227"/>
      <c r="T621" s="227"/>
      <c r="U621" s="227"/>
      <c r="V621" s="228"/>
    </row>
    <row r="622" spans="1:22" ht="18" hidden="1" customHeight="1">
      <c r="A622" s="799" t="s">
        <v>417</v>
      </c>
      <c r="B622" s="802"/>
      <c r="C622" s="802"/>
      <c r="D622" s="689">
        <v>30</v>
      </c>
      <c r="E622" s="689" t="s">
        <v>315</v>
      </c>
      <c r="F622" s="689" t="s">
        <v>609</v>
      </c>
      <c r="G622" s="684"/>
      <c r="H622" s="689" t="s">
        <v>315</v>
      </c>
      <c r="I622" s="708" t="s">
        <v>411</v>
      </c>
      <c r="J622" s="828"/>
      <c r="K622" s="689" t="s">
        <v>315</v>
      </c>
      <c r="L622" s="802" t="s">
        <v>419</v>
      </c>
      <c r="M622" s="716" t="s">
        <v>420</v>
      </c>
      <c r="N622" s="729" t="s">
        <v>347</v>
      </c>
      <c r="O622" s="716" t="s">
        <v>408</v>
      </c>
      <c r="P622" s="689" t="s">
        <v>347</v>
      </c>
      <c r="Q622" s="759" t="s">
        <v>421</v>
      </c>
      <c r="R622" s="797"/>
      <c r="S622" s="797"/>
      <c r="T622" s="798" t="s">
        <v>350</v>
      </c>
      <c r="U622" s="230" t="s">
        <v>422</v>
      </c>
      <c r="V622" s="97"/>
    </row>
    <row r="623" spans="1:22" ht="18" hidden="1" customHeight="1">
      <c r="A623" s="827"/>
      <c r="B623" s="802"/>
      <c r="C623" s="802"/>
      <c r="D623" s="689"/>
      <c r="E623" s="689"/>
      <c r="F623" s="684"/>
      <c r="G623" s="684"/>
      <c r="H623" s="689"/>
      <c r="I623" s="689" t="s">
        <v>423</v>
      </c>
      <c r="J623" s="723"/>
      <c r="K623" s="689"/>
      <c r="L623" s="802"/>
      <c r="M623" s="716"/>
      <c r="N623" s="729"/>
      <c r="O623" s="716"/>
      <c r="P623" s="689"/>
      <c r="Q623" s="28" t="s">
        <v>146</v>
      </c>
      <c r="R623" s="28" t="s">
        <v>315</v>
      </c>
      <c r="S623" s="28" t="s">
        <v>146</v>
      </c>
      <c r="T623" s="798"/>
      <c r="U623" s="14"/>
      <c r="V623" s="97"/>
    </row>
    <row r="624" spans="1:22" ht="18" hidden="1" customHeight="1">
      <c r="A624" s="184"/>
      <c r="V624" s="185"/>
    </row>
    <row r="625" spans="1:22" ht="18" hidden="1" customHeight="1">
      <c r="A625" s="799" t="s">
        <v>417</v>
      </c>
      <c r="B625" s="802"/>
      <c r="C625" s="802"/>
      <c r="D625" s="689">
        <v>2</v>
      </c>
      <c r="E625" s="689" t="s">
        <v>315</v>
      </c>
      <c r="F625" s="689" t="s">
        <v>613</v>
      </c>
      <c r="G625" s="684"/>
      <c r="H625" s="689" t="s">
        <v>315</v>
      </c>
      <c r="I625" s="708" t="s">
        <v>411</v>
      </c>
      <c r="J625" s="828"/>
      <c r="K625" s="689" t="s">
        <v>315</v>
      </c>
      <c r="L625" s="802" t="s">
        <v>419</v>
      </c>
      <c r="M625" s="716" t="s">
        <v>420</v>
      </c>
      <c r="N625" s="729" t="s">
        <v>347</v>
      </c>
      <c r="O625" s="716" t="s">
        <v>408</v>
      </c>
      <c r="P625" s="689" t="s">
        <v>347</v>
      </c>
      <c r="Q625" s="759" t="s">
        <v>421</v>
      </c>
      <c r="R625" s="797"/>
      <c r="S625" s="797"/>
      <c r="T625" s="798" t="s">
        <v>350</v>
      </c>
      <c r="U625" s="230" t="s">
        <v>426</v>
      </c>
      <c r="V625" s="97"/>
    </row>
    <row r="626" spans="1:22" ht="18" hidden="1" customHeight="1">
      <c r="A626" s="827"/>
      <c r="B626" s="802"/>
      <c r="C626" s="802"/>
      <c r="D626" s="689"/>
      <c r="E626" s="689"/>
      <c r="F626" s="684"/>
      <c r="G626" s="684"/>
      <c r="H626" s="689"/>
      <c r="I626" s="689" t="s">
        <v>423</v>
      </c>
      <c r="J626" s="723"/>
      <c r="K626" s="689"/>
      <c r="L626" s="802"/>
      <c r="M626" s="716"/>
      <c r="N626" s="729"/>
      <c r="O626" s="716"/>
      <c r="P626" s="689"/>
      <c r="Q626" s="28" t="s">
        <v>146</v>
      </c>
      <c r="R626" s="28" t="s">
        <v>315</v>
      </c>
      <c r="S626" s="28" t="s">
        <v>146</v>
      </c>
      <c r="T626" s="798"/>
      <c r="U626" s="14"/>
      <c r="V626" s="97"/>
    </row>
    <row r="627" spans="1:22" ht="18" hidden="1" customHeight="1">
      <c r="A627" s="184"/>
      <c r="V627" s="185"/>
    </row>
    <row r="628" spans="1:22" ht="18" hidden="1" customHeight="1">
      <c r="A628" s="678" t="s">
        <v>616</v>
      </c>
      <c r="B628" s="1207"/>
      <c r="C628" s="1207"/>
      <c r="D628" s="1207"/>
      <c r="E628" s="1207"/>
      <c r="F628" s="1207"/>
      <c r="G628" s="1207"/>
      <c r="H628" s="1207"/>
      <c r="I628" s="1207"/>
      <c r="J628" s="1207"/>
      <c r="K628" s="1207"/>
      <c r="L628" s="1207"/>
      <c r="M628" s="1207"/>
      <c r="N628" s="1207"/>
      <c r="O628" s="1207"/>
      <c r="P628" s="1207"/>
      <c r="Q628" s="1207"/>
      <c r="R628" s="1207"/>
      <c r="S628" s="1207"/>
      <c r="T628" s="1207"/>
      <c r="U628" s="1207"/>
      <c r="V628" s="1208"/>
    </row>
    <row r="629" spans="1:22" ht="18" hidden="1" customHeight="1">
      <c r="A629" s="1209"/>
      <c r="B629" s="1207"/>
      <c r="C629" s="1207"/>
      <c r="D629" s="1207"/>
      <c r="E629" s="1207"/>
      <c r="F629" s="1207"/>
      <c r="G629" s="1207"/>
      <c r="H629" s="1207"/>
      <c r="I629" s="1207"/>
      <c r="J629" s="1207"/>
      <c r="K629" s="1207"/>
      <c r="L629" s="1207"/>
      <c r="M629" s="1207"/>
      <c r="N629" s="1207"/>
      <c r="O629" s="1207"/>
      <c r="P629" s="1207"/>
      <c r="Q629" s="1207"/>
      <c r="R629" s="1207"/>
      <c r="S629" s="1207"/>
      <c r="T629" s="1207"/>
      <c r="U629" s="1207"/>
      <c r="V629" s="1208"/>
    </row>
    <row r="630" spans="1:22" ht="18" hidden="1" customHeight="1">
      <c r="A630" s="231"/>
      <c r="B630" s="232"/>
      <c r="C630" s="232"/>
      <c r="D630" s="232"/>
      <c r="E630" s="232"/>
      <c r="F630" s="232"/>
      <c r="G630" s="232"/>
      <c r="H630" s="232"/>
      <c r="I630" s="232"/>
      <c r="J630" s="232"/>
      <c r="K630" s="232"/>
      <c r="L630" s="232"/>
      <c r="M630" s="232"/>
      <c r="N630" s="232"/>
      <c r="O630" s="232"/>
      <c r="P630" s="232"/>
      <c r="Q630" s="232"/>
      <c r="R630" s="232"/>
      <c r="S630" s="232"/>
      <c r="T630" s="232"/>
      <c r="U630" s="232"/>
      <c r="V630" s="233"/>
    </row>
    <row r="631" spans="1:22" ht="18" hidden="1" customHeight="1">
      <c r="A631" s="799" t="s">
        <v>417</v>
      </c>
      <c r="B631" s="802"/>
      <c r="C631" s="802"/>
      <c r="D631" s="689"/>
      <c r="E631" s="689"/>
      <c r="F631" s="689" t="s">
        <v>617</v>
      </c>
      <c r="G631" s="684"/>
      <c r="H631" s="689" t="s">
        <v>315</v>
      </c>
      <c r="I631" s="708" t="s">
        <v>411</v>
      </c>
      <c r="J631" s="828"/>
      <c r="K631" s="689" t="s">
        <v>315</v>
      </c>
      <c r="L631" s="802" t="s">
        <v>419</v>
      </c>
      <c r="M631" s="716" t="s">
        <v>420</v>
      </c>
      <c r="N631" s="729" t="s">
        <v>347</v>
      </c>
      <c r="O631" s="716" t="s">
        <v>408</v>
      </c>
      <c r="P631" s="689" t="s">
        <v>347</v>
      </c>
      <c r="Q631" s="759" t="s">
        <v>421</v>
      </c>
      <c r="R631" s="797"/>
      <c r="S631" s="797"/>
      <c r="T631" s="798" t="s">
        <v>350</v>
      </c>
      <c r="U631" s="230" t="s">
        <v>618</v>
      </c>
      <c r="V631" s="97"/>
    </row>
    <row r="632" spans="1:22" ht="18" hidden="1" customHeight="1">
      <c r="A632" s="827"/>
      <c r="B632" s="802"/>
      <c r="C632" s="802"/>
      <c r="D632" s="689"/>
      <c r="E632" s="689"/>
      <c r="F632" s="684"/>
      <c r="G632" s="684"/>
      <c r="H632" s="689"/>
      <c r="I632" s="689" t="s">
        <v>423</v>
      </c>
      <c r="J632" s="723"/>
      <c r="K632" s="689"/>
      <c r="L632" s="802"/>
      <c r="M632" s="716"/>
      <c r="N632" s="729"/>
      <c r="O632" s="716"/>
      <c r="P632" s="689"/>
      <c r="Q632" s="28" t="s">
        <v>146</v>
      </c>
      <c r="R632" s="28" t="s">
        <v>315</v>
      </c>
      <c r="S632" s="28" t="s">
        <v>146</v>
      </c>
      <c r="T632" s="798"/>
      <c r="U632" s="14"/>
      <c r="V632" s="97"/>
    </row>
    <row r="633" spans="1:22" ht="18" hidden="1" customHeight="1">
      <c r="A633" s="96"/>
      <c r="B633" s="14"/>
      <c r="C633" s="14"/>
      <c r="D633" s="28"/>
      <c r="E633" s="28"/>
      <c r="F633" s="27"/>
      <c r="G633" s="27"/>
      <c r="H633" s="28"/>
      <c r="I633" s="28"/>
      <c r="K633" s="28"/>
      <c r="L633" s="120"/>
      <c r="M633" s="14"/>
      <c r="N633" s="102"/>
      <c r="O633" s="14"/>
      <c r="P633" s="28"/>
      <c r="Q633" s="28"/>
      <c r="R633" s="28"/>
      <c r="S633" s="28"/>
      <c r="T633" s="40"/>
      <c r="U633" s="14"/>
      <c r="V633" s="97"/>
    </row>
    <row r="634" spans="1:22" ht="18" hidden="1" customHeight="1">
      <c r="A634" s="184"/>
      <c r="H634" s="30" t="s">
        <v>619</v>
      </c>
      <c r="M634" s="854" t="str">
        <f>M502</f>
        <v>N</v>
      </c>
      <c r="N634" s="831"/>
      <c r="V634" s="185"/>
    </row>
    <row r="635" spans="1:22" ht="18" hidden="1" customHeight="1">
      <c r="A635" s="96"/>
      <c r="B635" s="14"/>
      <c r="C635" s="14"/>
      <c r="D635" s="28"/>
      <c r="E635" s="28"/>
      <c r="F635" s="27"/>
      <c r="G635" s="27"/>
      <c r="H635" s="28"/>
      <c r="I635" s="28"/>
      <c r="K635" s="28"/>
      <c r="L635" s="120"/>
      <c r="M635" s="14"/>
      <c r="N635" s="102"/>
      <c r="O635" s="14"/>
      <c r="P635" s="28"/>
      <c r="Q635" s="28"/>
      <c r="R635" s="28"/>
      <c r="S635" s="28"/>
      <c r="T635" s="40"/>
      <c r="U635" s="14"/>
      <c r="V635" s="97"/>
    </row>
    <row r="636" spans="1:22" ht="18" hidden="1" customHeight="1">
      <c r="A636" s="184"/>
      <c r="B636" s="14" t="s">
        <v>427</v>
      </c>
      <c r="C636" s="14"/>
      <c r="D636" s="103"/>
      <c r="E636" s="103"/>
      <c r="F636" s="14"/>
      <c r="G636" s="14"/>
      <c r="H636" s="5"/>
      <c r="I636" s="5"/>
      <c r="J636" s="5"/>
      <c r="P636" s="120" t="s">
        <v>428</v>
      </c>
      <c r="V636" s="185"/>
    </row>
    <row r="637" spans="1:22" ht="18" hidden="1" customHeight="1">
      <c r="A637" s="184"/>
      <c r="B637" s="14" t="s">
        <v>429</v>
      </c>
      <c r="C637" s="14"/>
      <c r="D637" s="103"/>
      <c r="E637" s="103"/>
      <c r="F637" s="14"/>
      <c r="G637" s="14"/>
      <c r="H637" s="5"/>
      <c r="I637" s="5"/>
      <c r="J637" s="5"/>
      <c r="P637" s="120" t="s">
        <v>430</v>
      </c>
      <c r="Q637" s="234" t="s">
        <v>127</v>
      </c>
      <c r="R637" s="684" t="str">
        <f>J581</f>
        <v>-</v>
      </c>
      <c r="S637" s="684"/>
      <c r="T637" s="14" t="s">
        <v>8</v>
      </c>
      <c r="V637" s="185"/>
    </row>
    <row r="638" spans="1:22" ht="18" hidden="1" customHeight="1">
      <c r="A638" s="184"/>
      <c r="B638" s="14" t="s">
        <v>621</v>
      </c>
      <c r="C638" s="14"/>
      <c r="D638" s="14"/>
      <c r="E638" s="14"/>
      <c r="F638" s="14"/>
      <c r="G638" s="14"/>
      <c r="H638" s="14"/>
      <c r="I638" s="14"/>
      <c r="J638" s="14"/>
      <c r="P638" s="120" t="s">
        <v>609</v>
      </c>
      <c r="Q638" s="234" t="s">
        <v>127</v>
      </c>
      <c r="R638" s="684">
        <f>J602</f>
        <v>437.38656756789834</v>
      </c>
      <c r="S638" s="684"/>
      <c r="T638" s="14" t="s">
        <v>8</v>
      </c>
      <c r="V638" s="185"/>
    </row>
    <row r="639" spans="1:22" ht="18" hidden="1" customHeight="1">
      <c r="A639" s="184"/>
      <c r="B639" s="14" t="s">
        <v>622</v>
      </c>
      <c r="C639" s="14"/>
      <c r="D639" s="14"/>
      <c r="E639" s="14"/>
      <c r="F639" s="14"/>
      <c r="G639" s="14"/>
      <c r="H639" s="14"/>
      <c r="I639" s="14"/>
      <c r="J639" s="14"/>
      <c r="P639" s="120" t="s">
        <v>613</v>
      </c>
      <c r="Q639" s="234" t="s">
        <v>127</v>
      </c>
      <c r="R639" s="684">
        <f>O608</f>
        <v>6998.1850810863734</v>
      </c>
      <c r="S639" s="684"/>
      <c r="T639" s="14" t="s">
        <v>8</v>
      </c>
      <c r="V639" s="185"/>
    </row>
    <row r="640" spans="1:22" ht="18" hidden="1" customHeight="1">
      <c r="A640" s="184"/>
      <c r="B640" s="235" t="s">
        <v>623</v>
      </c>
      <c r="C640" s="14"/>
      <c r="D640" s="14"/>
      <c r="E640" s="14"/>
      <c r="F640" s="14"/>
      <c r="G640" s="14"/>
      <c r="H640" s="14"/>
      <c r="I640" s="14"/>
      <c r="J640" s="14"/>
      <c r="P640" s="120"/>
      <c r="Q640" s="236"/>
      <c r="R640" s="27"/>
      <c r="S640" s="27"/>
      <c r="T640" s="14"/>
      <c r="V640" s="185"/>
    </row>
    <row r="641" spans="1:22" ht="18" hidden="1" customHeight="1">
      <c r="A641" s="184"/>
      <c r="B641" s="14" t="s">
        <v>622</v>
      </c>
      <c r="C641" s="14"/>
      <c r="D641" s="14"/>
      <c r="E641" s="14"/>
      <c r="F641" s="14"/>
      <c r="G641" s="14"/>
      <c r="H641" s="14"/>
      <c r="I641" s="14"/>
      <c r="J641" s="14"/>
      <c r="P641" s="120" t="s">
        <v>617</v>
      </c>
      <c r="Q641" s="234" t="s">
        <v>127</v>
      </c>
      <c r="R641" s="684" t="str">
        <f>R509</f>
        <v>-</v>
      </c>
      <c r="S641" s="684"/>
      <c r="T641" s="14" t="s">
        <v>8</v>
      </c>
      <c r="V641" s="185"/>
    </row>
    <row r="642" spans="1:22" ht="18" hidden="1" customHeight="1">
      <c r="A642" s="184"/>
      <c r="B642" s="235" t="s">
        <v>645</v>
      </c>
      <c r="C642" s="14"/>
      <c r="D642" s="14"/>
      <c r="E642" s="14"/>
      <c r="F642" s="14"/>
      <c r="G642" s="14"/>
      <c r="H642" s="14"/>
      <c r="I642" s="14"/>
      <c r="J642" s="14"/>
      <c r="R642" s="27"/>
      <c r="S642" s="27"/>
      <c r="T642" s="14"/>
      <c r="V642" s="185"/>
    </row>
    <row r="643" spans="1:22" ht="18" hidden="1" customHeight="1">
      <c r="A643" s="184"/>
      <c r="B643" s="14" t="s">
        <v>435</v>
      </c>
      <c r="C643" s="14"/>
      <c r="D643" s="103"/>
      <c r="E643" s="103"/>
      <c r="F643" s="14"/>
      <c r="G643" s="14"/>
      <c r="H643" s="5"/>
      <c r="I643" s="5"/>
      <c r="J643" s="5"/>
      <c r="P643" s="120" t="s">
        <v>436</v>
      </c>
      <c r="Q643" s="234" t="s">
        <v>127</v>
      </c>
      <c r="R643" s="684">
        <f>O581</f>
        <v>1</v>
      </c>
      <c r="S643" s="684"/>
      <c r="T643" s="14" t="s">
        <v>8</v>
      </c>
      <c r="V643" s="185"/>
    </row>
    <row r="644" spans="1:22" ht="18" hidden="1" customHeight="1">
      <c r="A644" s="184"/>
      <c r="B644" s="14" t="s">
        <v>437</v>
      </c>
      <c r="C644" s="14"/>
      <c r="D644" s="103"/>
      <c r="E644" s="103"/>
      <c r="F644" s="14"/>
      <c r="G644" s="14"/>
      <c r="H644" s="5"/>
      <c r="I644" s="5"/>
      <c r="J644" s="5"/>
      <c r="P644" s="120" t="s">
        <v>438</v>
      </c>
      <c r="Q644" s="234" t="s">
        <v>127</v>
      </c>
      <c r="R644" s="684">
        <f>R512</f>
        <v>1</v>
      </c>
      <c r="S644" s="684"/>
      <c r="T644" s="14" t="s">
        <v>8</v>
      </c>
      <c r="V644" s="185"/>
    </row>
    <row r="645" spans="1:22" ht="18" hidden="1" customHeight="1">
      <c r="A645" s="184"/>
      <c r="B645" s="14" t="s">
        <v>439</v>
      </c>
      <c r="C645" s="14"/>
      <c r="D645" s="103"/>
      <c r="E645" s="103"/>
      <c r="F645" s="14"/>
      <c r="G645" s="14"/>
      <c r="H645" s="5"/>
      <c r="I645" s="5"/>
      <c r="J645" s="5"/>
      <c r="P645" s="120" t="s">
        <v>440</v>
      </c>
      <c r="Q645" s="234" t="s">
        <v>127</v>
      </c>
      <c r="R645" s="684" t="str">
        <f>J583</f>
        <v>-</v>
      </c>
      <c r="S645" s="684"/>
      <c r="T645" s="192" t="s">
        <v>333</v>
      </c>
      <c r="V645" s="185"/>
    </row>
    <row r="646" spans="1:22" ht="18" hidden="1" customHeight="1">
      <c r="A646" s="184"/>
      <c r="B646" s="14" t="s">
        <v>625</v>
      </c>
      <c r="C646" s="14"/>
      <c r="D646" s="14"/>
      <c r="E646" s="14"/>
      <c r="F646" s="14"/>
      <c r="G646" s="14"/>
      <c r="H646" s="14"/>
      <c r="I646" s="14"/>
      <c r="J646" s="14"/>
      <c r="P646" s="237" t="s">
        <v>441</v>
      </c>
      <c r="Q646" s="234" t="s">
        <v>127</v>
      </c>
      <c r="R646" s="795">
        <f>P593</f>
        <v>1.1667743100000001</v>
      </c>
      <c r="S646" s="684"/>
      <c r="T646" s="192" t="s">
        <v>333</v>
      </c>
      <c r="V646" s="185"/>
    </row>
    <row r="647" spans="1:22" ht="18" hidden="1" customHeight="1">
      <c r="A647" s="184"/>
      <c r="B647" s="40" t="s">
        <v>442</v>
      </c>
      <c r="C647" s="14"/>
      <c r="D647" s="14"/>
      <c r="E647" s="14"/>
      <c r="F647" s="14"/>
      <c r="G647" s="14"/>
      <c r="H647" s="5"/>
      <c r="I647" s="5"/>
      <c r="J647" s="5"/>
      <c r="P647" s="237" t="s">
        <v>443</v>
      </c>
      <c r="Q647" s="234" t="s">
        <v>127</v>
      </c>
      <c r="R647" s="795">
        <f>J589</f>
        <v>0.02</v>
      </c>
      <c r="S647" s="684"/>
      <c r="T647" s="14" t="s">
        <v>157</v>
      </c>
      <c r="V647" s="185"/>
    </row>
    <row r="648" spans="1:22" ht="18" hidden="1" customHeight="1">
      <c r="A648" s="184"/>
      <c r="V648" s="185"/>
    </row>
    <row r="649" spans="1:22" ht="18" hidden="1" customHeight="1">
      <c r="A649" s="799" t="s">
        <v>417</v>
      </c>
      <c r="B649" s="802"/>
      <c r="C649" s="802"/>
      <c r="D649" s="689">
        <v>30</v>
      </c>
      <c r="E649" s="689" t="s">
        <v>315</v>
      </c>
      <c r="F649" s="689">
        <f>R638</f>
        <v>437.38656756789834</v>
      </c>
      <c r="G649" s="684"/>
      <c r="H649" s="689" t="s">
        <v>315</v>
      </c>
      <c r="I649" s="708">
        <f>R643</f>
        <v>1</v>
      </c>
      <c r="J649" s="828"/>
      <c r="K649" s="689" t="s">
        <v>315</v>
      </c>
      <c r="L649" s="716" t="s">
        <v>419</v>
      </c>
      <c r="M649" s="716" t="str">
        <f>R645</f>
        <v>-</v>
      </c>
      <c r="N649" s="729" t="s">
        <v>347</v>
      </c>
      <c r="O649" s="1214">
        <f>R646</f>
        <v>1.1667743100000001</v>
      </c>
      <c r="P649" s="689" t="s">
        <v>347</v>
      </c>
      <c r="Q649" s="833">
        <f>R647</f>
        <v>0.02</v>
      </c>
      <c r="R649" s="797"/>
      <c r="S649" s="797"/>
      <c r="T649" s="798" t="s">
        <v>350</v>
      </c>
      <c r="U649" s="230" t="s">
        <v>422</v>
      </c>
      <c r="V649" s="97"/>
    </row>
    <row r="650" spans="1:22" ht="18" hidden="1" customHeight="1">
      <c r="A650" s="827"/>
      <c r="B650" s="802"/>
      <c r="C650" s="802"/>
      <c r="D650" s="689"/>
      <c r="E650" s="689"/>
      <c r="F650" s="684"/>
      <c r="G650" s="684"/>
      <c r="H650" s="689"/>
      <c r="I650" s="689" t="str">
        <f>R637</f>
        <v>-</v>
      </c>
      <c r="J650" s="723"/>
      <c r="K650" s="689"/>
      <c r="L650" s="716"/>
      <c r="M650" s="716"/>
      <c r="N650" s="729"/>
      <c r="O650" s="716"/>
      <c r="P650" s="689"/>
      <c r="Q650" s="28">
        <f>R644</f>
        <v>1</v>
      </c>
      <c r="R650" s="28" t="s">
        <v>315</v>
      </c>
      <c r="S650" s="28">
        <f>R644</f>
        <v>1</v>
      </c>
      <c r="T650" s="798"/>
      <c r="U650" s="14"/>
      <c r="V650" s="97"/>
    </row>
    <row r="651" spans="1:22" ht="18" hidden="1" customHeight="1">
      <c r="A651" s="184"/>
      <c r="V651" s="185"/>
    </row>
    <row r="652" spans="1:22" ht="18" hidden="1" customHeight="1">
      <c r="A652" s="184"/>
      <c r="C652" s="30" t="s">
        <v>127</v>
      </c>
      <c r="D652" s="812" t="e">
        <f>D649*F649*(I649/I650)*(M649+O649+(Q649/(Q650*S650)))</f>
        <v>#VALUE!</v>
      </c>
      <c r="E652" s="813"/>
      <c r="F652" s="30" t="s">
        <v>305</v>
      </c>
      <c r="V652" s="185"/>
    </row>
    <row r="653" spans="1:22" ht="18" hidden="1" customHeight="1">
      <c r="A653" s="184"/>
      <c r="V653" s="185"/>
    </row>
    <row r="654" spans="1:22" ht="18" hidden="1" customHeight="1">
      <c r="A654" s="799" t="s">
        <v>417</v>
      </c>
      <c r="B654" s="802"/>
      <c r="C654" s="802"/>
      <c r="D654" s="689">
        <v>2</v>
      </c>
      <c r="E654" s="689" t="s">
        <v>315</v>
      </c>
      <c r="F654" s="689">
        <f>R639</f>
        <v>6998.1850810863734</v>
      </c>
      <c r="G654" s="684"/>
      <c r="H654" s="689" t="s">
        <v>315</v>
      </c>
      <c r="I654" s="708">
        <f>R643</f>
        <v>1</v>
      </c>
      <c r="J654" s="828"/>
      <c r="K654" s="689" t="s">
        <v>315</v>
      </c>
      <c r="L654" s="802" t="s">
        <v>419</v>
      </c>
      <c r="M654" s="716" t="str">
        <f>R645</f>
        <v>-</v>
      </c>
      <c r="N654" s="729" t="s">
        <v>347</v>
      </c>
      <c r="O654" s="1214">
        <f>R646</f>
        <v>1.1667743100000001</v>
      </c>
      <c r="P654" s="689" t="s">
        <v>347</v>
      </c>
      <c r="Q654" s="833">
        <f>R647</f>
        <v>0.02</v>
      </c>
      <c r="R654" s="797"/>
      <c r="S654" s="797"/>
      <c r="T654" s="798" t="s">
        <v>350</v>
      </c>
      <c r="U654" s="230" t="s">
        <v>426</v>
      </c>
      <c r="V654" s="97"/>
    </row>
    <row r="655" spans="1:22" ht="18" hidden="1" customHeight="1">
      <c r="A655" s="827"/>
      <c r="B655" s="802"/>
      <c r="C655" s="802"/>
      <c r="D655" s="689"/>
      <c r="E655" s="689"/>
      <c r="F655" s="684"/>
      <c r="G655" s="684"/>
      <c r="H655" s="689"/>
      <c r="I655" s="689" t="str">
        <f>R637</f>
        <v>-</v>
      </c>
      <c r="J655" s="723"/>
      <c r="K655" s="689"/>
      <c r="L655" s="802"/>
      <c r="M655" s="716"/>
      <c r="N655" s="729"/>
      <c r="O655" s="716"/>
      <c r="P655" s="689"/>
      <c r="Q655" s="28">
        <f>R644</f>
        <v>1</v>
      </c>
      <c r="R655" s="28" t="s">
        <v>315</v>
      </c>
      <c r="S655" s="28">
        <f>R644</f>
        <v>1</v>
      </c>
      <c r="T655" s="798"/>
      <c r="U655" s="14"/>
      <c r="V655" s="97"/>
    </row>
    <row r="656" spans="1:22" ht="18" hidden="1" customHeight="1">
      <c r="A656" s="184"/>
      <c r="L656" s="244"/>
      <c r="V656" s="185"/>
    </row>
    <row r="657" spans="1:22" ht="18" hidden="1" customHeight="1">
      <c r="A657" s="184"/>
      <c r="C657" s="30" t="s">
        <v>127</v>
      </c>
      <c r="D657" s="812" t="e">
        <f>D654*F654*(I654/I655)*(M654+O654+(Q654/(Q655*S655)))</f>
        <v>#VALUE!</v>
      </c>
      <c r="E657" s="813"/>
      <c r="F657" s="30" t="s">
        <v>305</v>
      </c>
      <c r="L657" s="244"/>
      <c r="V657" s="185"/>
    </row>
    <row r="658" spans="1:22" ht="18" hidden="1" customHeight="1">
      <c r="A658" s="184"/>
      <c r="L658" s="244"/>
      <c r="V658" s="185"/>
    </row>
    <row r="659" spans="1:22" s="14" customFormat="1" ht="18" hidden="1" customHeight="1">
      <c r="A659" s="799" t="s">
        <v>417</v>
      </c>
      <c r="B659" s="802"/>
      <c r="C659" s="802"/>
      <c r="D659" s="689"/>
      <c r="E659" s="689"/>
      <c r="F659" s="689" t="str">
        <f>R641</f>
        <v>-</v>
      </c>
      <c r="G659" s="684"/>
      <c r="H659" s="689" t="s">
        <v>315</v>
      </c>
      <c r="I659" s="708">
        <f>R643</f>
        <v>1</v>
      </c>
      <c r="J659" s="828"/>
      <c r="K659" s="689" t="s">
        <v>315</v>
      </c>
      <c r="L659" s="802" t="s">
        <v>419</v>
      </c>
      <c r="M659" s="716" t="str">
        <f>R645</f>
        <v>-</v>
      </c>
      <c r="N659" s="729" t="s">
        <v>347</v>
      </c>
      <c r="O659" s="1214">
        <f>R646</f>
        <v>1.1667743100000001</v>
      </c>
      <c r="P659" s="689" t="s">
        <v>347</v>
      </c>
      <c r="Q659" s="833">
        <f>R647</f>
        <v>0.02</v>
      </c>
      <c r="R659" s="797"/>
      <c r="S659" s="797"/>
      <c r="T659" s="798" t="s">
        <v>350</v>
      </c>
      <c r="U659" s="230" t="s">
        <v>618</v>
      </c>
      <c r="V659" s="97"/>
    </row>
    <row r="660" spans="1:22" ht="18" hidden="1" customHeight="1">
      <c r="A660" s="827"/>
      <c r="B660" s="802"/>
      <c r="C660" s="802"/>
      <c r="D660" s="689"/>
      <c r="E660" s="689"/>
      <c r="F660" s="684"/>
      <c r="G660" s="684"/>
      <c r="H660" s="689"/>
      <c r="I660" s="689" t="str">
        <f>R637</f>
        <v>-</v>
      </c>
      <c r="J660" s="723"/>
      <c r="K660" s="689"/>
      <c r="L660" s="802"/>
      <c r="M660" s="716"/>
      <c r="N660" s="729"/>
      <c r="O660" s="716"/>
      <c r="P660" s="689"/>
      <c r="Q660" s="28">
        <f>R644</f>
        <v>1</v>
      </c>
      <c r="R660" s="28" t="s">
        <v>315</v>
      </c>
      <c r="S660" s="28">
        <f>R644</f>
        <v>1</v>
      </c>
      <c r="T660" s="798"/>
      <c r="U660" s="14"/>
      <c r="V660" s="97"/>
    </row>
    <row r="661" spans="1:22" ht="18" hidden="1" customHeight="1">
      <c r="A661" s="184"/>
      <c r="V661" s="185"/>
    </row>
    <row r="662" spans="1:22" ht="18" hidden="1" customHeight="1">
      <c r="A662" s="184"/>
      <c r="C662" s="30" t="s">
        <v>127</v>
      </c>
      <c r="D662" s="812" t="e">
        <f>F659*(I659/I660)*(M659+O659+(Q659/(Q660*S660)))</f>
        <v>#VALUE!</v>
      </c>
      <c r="E662" s="813"/>
      <c r="F662" s="30" t="s">
        <v>305</v>
      </c>
      <c r="G662" s="187" t="s">
        <v>378</v>
      </c>
      <c r="H662" s="186" t="str">
        <f>IF(M634="y","Applicable","Not applicable")</f>
        <v>Not applicable</v>
      </c>
      <c r="V662" s="185"/>
    </row>
    <row r="663" spans="1:22" ht="18" hidden="1" customHeight="1">
      <c r="A663" s="184"/>
      <c r="V663" s="185"/>
    </row>
    <row r="664" spans="1:22" ht="18" hidden="1" customHeight="1">
      <c r="A664" s="194"/>
      <c r="B664" s="195"/>
      <c r="C664" s="195"/>
      <c r="D664" s="195"/>
      <c r="E664" s="195"/>
      <c r="F664" s="195"/>
      <c r="G664" s="195"/>
      <c r="H664" s="195"/>
      <c r="I664" s="195"/>
      <c r="J664" s="195"/>
      <c r="K664" s="195"/>
      <c r="L664" s="195"/>
      <c r="M664" s="195"/>
      <c r="N664" s="195"/>
      <c r="O664" s="195"/>
      <c r="P664" s="195"/>
      <c r="Q664" s="224"/>
      <c r="R664" s="182"/>
      <c r="S664" s="225"/>
      <c r="T664" s="195"/>
      <c r="U664" s="195"/>
      <c r="V664" s="134"/>
    </row>
    <row r="665" spans="1:22" ht="18" hidden="1" customHeight="1">
      <c r="A665" s="226"/>
      <c r="B665" s="227"/>
      <c r="C665" s="227"/>
      <c r="D665" s="227"/>
      <c r="E665" s="227"/>
      <c r="F665" s="227"/>
      <c r="G665" s="227"/>
      <c r="H665" s="227"/>
      <c r="I665" s="227"/>
      <c r="J665" s="227"/>
      <c r="K665" s="227"/>
      <c r="L665" s="227"/>
      <c r="M665" s="227"/>
      <c r="N665" s="227"/>
      <c r="O665" s="227"/>
      <c r="P665" s="227"/>
      <c r="Q665" s="227"/>
      <c r="R665" s="227"/>
      <c r="S665" s="227"/>
      <c r="T665" s="227"/>
      <c r="U665" s="227"/>
      <c r="V665" s="228"/>
    </row>
    <row r="666" spans="1:22" ht="18" hidden="1" customHeight="1">
      <c r="A666" s="184" t="s">
        <v>634</v>
      </c>
      <c r="M666" s="825" t="str">
        <f>R637</f>
        <v>-</v>
      </c>
      <c r="N666" s="826"/>
      <c r="O666" s="30" t="s">
        <v>470</v>
      </c>
      <c r="Q666" s="812" t="e">
        <f>IF(M634="Y",MAX(D652,D662),MAX(D652,D657))</f>
        <v>#VALUE!</v>
      </c>
      <c r="R666" s="820"/>
      <c r="S666" s="30" t="s">
        <v>305</v>
      </c>
      <c r="V666" s="185"/>
    </row>
    <row r="667" spans="1:22" ht="18" hidden="1" customHeight="1">
      <c r="A667" s="184"/>
      <c r="M667" s="247"/>
      <c r="N667" s="247"/>
      <c r="Q667" s="211"/>
      <c r="R667" s="27"/>
      <c r="V667" s="185"/>
    </row>
    <row r="668" spans="1:22" ht="18" hidden="1" customHeight="1">
      <c r="A668" s="248" t="s">
        <v>471</v>
      </c>
      <c r="B668" s="14"/>
      <c r="C668" s="14"/>
      <c r="D668" s="249"/>
      <c r="E668" s="14"/>
      <c r="F668" s="14"/>
      <c r="G668" s="47"/>
      <c r="H668" s="14"/>
      <c r="J668" s="14"/>
      <c r="K668" s="14"/>
      <c r="L668" s="14"/>
      <c r="M668" s="14"/>
      <c r="N668" s="14"/>
      <c r="O668" s="14"/>
      <c r="P668" s="250"/>
      <c r="Q668" s="251"/>
      <c r="R668" s="47"/>
      <c r="S668" s="14"/>
      <c r="V668" s="185"/>
    </row>
    <row r="669" spans="1:22" ht="18" hidden="1" customHeight="1">
      <c r="A669" s="248"/>
      <c r="B669" s="14"/>
      <c r="C669" s="14"/>
      <c r="D669" s="249"/>
      <c r="E669" s="14"/>
      <c r="F669" s="14"/>
      <c r="G669" s="47"/>
      <c r="H669" s="14"/>
      <c r="J669" s="14"/>
      <c r="K669" s="14"/>
      <c r="L669" s="14"/>
      <c r="M669" s="14"/>
      <c r="N669" s="14"/>
      <c r="O669" s="14"/>
      <c r="P669" s="250"/>
      <c r="Q669" s="251"/>
      <c r="R669" s="47"/>
      <c r="S669" s="14"/>
      <c r="V669" s="185"/>
    </row>
    <row r="670" spans="1:22" ht="18" hidden="1" customHeight="1">
      <c r="A670" s="96" t="s">
        <v>500</v>
      </c>
      <c r="V670" s="185"/>
    </row>
    <row r="671" spans="1:22" ht="18" hidden="1" customHeight="1">
      <c r="A671" s="184"/>
      <c r="N671" s="14"/>
      <c r="O671" s="14" t="s">
        <v>473</v>
      </c>
      <c r="P671" s="102" t="s">
        <v>127</v>
      </c>
      <c r="Q671" s="249" t="s">
        <v>474</v>
      </c>
      <c r="R671" s="14"/>
      <c r="S671" s="28" t="s">
        <v>315</v>
      </c>
      <c r="T671" s="28">
        <v>0.8</v>
      </c>
      <c r="V671" s="185"/>
    </row>
    <row r="672" spans="1:22" ht="18" hidden="1" customHeight="1">
      <c r="A672" s="184"/>
      <c r="N672" s="252"/>
      <c r="O672" s="14"/>
      <c r="P672" s="102" t="s">
        <v>127</v>
      </c>
      <c r="Q672" s="829" t="e">
        <f>+Q666</f>
        <v>#VALUE!</v>
      </c>
      <c r="R672" s="1147"/>
      <c r="S672" s="222" t="s">
        <v>315</v>
      </c>
      <c r="T672" s="253">
        <f>+T671</f>
        <v>0.8</v>
      </c>
      <c r="V672" s="185"/>
    </row>
    <row r="673" spans="1:22" ht="18" hidden="1" customHeight="1">
      <c r="A673" s="184"/>
      <c r="O673" s="14"/>
      <c r="P673" s="28" t="s">
        <v>127</v>
      </c>
      <c r="Q673" s="830" t="e">
        <f>Q672*T672</f>
        <v>#VALUE!</v>
      </c>
      <c r="R673" s="1270"/>
      <c r="S673" s="47" t="s">
        <v>305</v>
      </c>
      <c r="T673" s="14"/>
      <c r="V673" s="185"/>
    </row>
    <row r="674" spans="1:22" ht="18" hidden="1" customHeight="1">
      <c r="A674" s="184"/>
      <c r="V674" s="185"/>
    </row>
    <row r="675" spans="1:22" ht="18" hidden="1" customHeight="1">
      <c r="A675" s="184"/>
      <c r="D675" s="30" t="s">
        <v>475</v>
      </c>
      <c r="G675" s="27" t="e">
        <f>IF(E676&gt;H676,"&gt;","&lt;")</f>
        <v>#VALUE!</v>
      </c>
      <c r="H675" s="30" t="s">
        <v>477</v>
      </c>
      <c r="V675" s="185"/>
    </row>
    <row r="676" spans="1:22" ht="18" hidden="1" customHeight="1">
      <c r="A676" s="184"/>
      <c r="E676" s="684" t="str">
        <f>J584</f>
        <v>-</v>
      </c>
      <c r="F676" s="684"/>
      <c r="G676" s="27" t="e">
        <f>G675</f>
        <v>#VALUE!</v>
      </c>
      <c r="H676" s="795" t="e">
        <f>Q673</f>
        <v>#VALUE!</v>
      </c>
      <c r="I676" s="684"/>
      <c r="V676" s="185"/>
    </row>
    <row r="677" spans="1:22" ht="18" hidden="1" customHeight="1">
      <c r="A677" s="184"/>
      <c r="F677" s="244" t="s">
        <v>478</v>
      </c>
      <c r="H677" s="18" t="e">
        <f>IF(G675="&gt;","Suitably Dimensioned","Under Dimensioned")</f>
        <v>#VALUE!</v>
      </c>
      <c r="V677" s="185"/>
    </row>
    <row r="678" spans="1:22" ht="18" hidden="1" customHeight="1">
      <c r="A678" s="184"/>
      <c r="F678" s="244"/>
      <c r="H678" s="18"/>
      <c r="V678" s="185"/>
    </row>
    <row r="679" spans="1:22" ht="18" hidden="1" customHeight="1">
      <c r="A679" s="184"/>
      <c r="F679" s="244"/>
      <c r="H679" s="18"/>
      <c r="V679" s="185"/>
    </row>
    <row r="680" spans="1:22" ht="18" hidden="1" customHeight="1">
      <c r="A680" s="184"/>
      <c r="F680" s="244"/>
      <c r="H680" s="18"/>
      <c r="V680" s="185"/>
    </row>
    <row r="681" spans="1:22" ht="18" hidden="1" customHeight="1">
      <c r="A681" s="184"/>
      <c r="F681" s="244"/>
      <c r="H681" s="18"/>
      <c r="V681" s="185"/>
    </row>
    <row r="682" spans="1:22" ht="18" hidden="1" customHeight="1">
      <c r="A682" s="184"/>
      <c r="F682" s="244"/>
      <c r="H682" s="18"/>
      <c r="V682" s="185"/>
    </row>
    <row r="683" spans="1:22" ht="18" hidden="1" customHeight="1">
      <c r="A683" s="184"/>
      <c r="F683" s="244"/>
      <c r="H683" s="18"/>
      <c r="V683" s="185"/>
    </row>
    <row r="684" spans="1:22" ht="18" hidden="1" customHeight="1">
      <c r="A684" s="184"/>
      <c r="F684" s="244"/>
      <c r="H684" s="18"/>
      <c r="V684" s="185"/>
    </row>
    <row r="685" spans="1:22" ht="18" hidden="1" customHeight="1">
      <c r="A685" s="184"/>
      <c r="F685" s="244"/>
      <c r="H685" s="18"/>
      <c r="V685" s="185"/>
    </row>
    <row r="686" spans="1:22" ht="18" hidden="1" customHeight="1">
      <c r="A686" s="184"/>
      <c r="F686" s="244"/>
      <c r="H686" s="18"/>
      <c r="V686" s="185"/>
    </row>
    <row r="687" spans="1:22" ht="18" hidden="1" customHeight="1">
      <c r="A687" s="184"/>
      <c r="F687" s="244"/>
      <c r="H687" s="18"/>
      <c r="V687" s="185"/>
    </row>
    <row r="688" spans="1:22" ht="18" hidden="1" customHeight="1">
      <c r="A688" s="184"/>
      <c r="F688" s="244"/>
      <c r="H688" s="18"/>
      <c r="V688" s="185"/>
    </row>
    <row r="689" spans="1:22" ht="18" hidden="1" customHeight="1">
      <c r="A689" s="184"/>
      <c r="F689" s="244"/>
      <c r="H689" s="18"/>
      <c r="V689" s="185"/>
    </row>
    <row r="690" spans="1:22" ht="18" hidden="1" customHeight="1">
      <c r="A690" s="184"/>
      <c r="F690" s="244"/>
      <c r="H690" s="18"/>
      <c r="V690" s="185"/>
    </row>
    <row r="691" spans="1:22" ht="18" hidden="1" customHeight="1">
      <c r="A691" s="184"/>
      <c r="F691" s="244"/>
      <c r="H691" s="18"/>
      <c r="V691" s="185"/>
    </row>
    <row r="692" spans="1:22" ht="18" hidden="1" customHeight="1">
      <c r="A692" s="184"/>
      <c r="F692" s="244"/>
      <c r="H692" s="18"/>
      <c r="V692" s="185"/>
    </row>
    <row r="693" spans="1:22" ht="18" hidden="1" customHeight="1">
      <c r="A693" s="184"/>
      <c r="F693" s="244"/>
      <c r="H693" s="18"/>
      <c r="V693" s="185"/>
    </row>
    <row r="694" spans="1:22" ht="18" hidden="1" customHeight="1">
      <c r="A694" s="184"/>
      <c r="F694" s="244"/>
      <c r="H694" s="18"/>
      <c r="V694" s="185"/>
    </row>
    <row r="695" spans="1:22" ht="18" hidden="1" customHeight="1">
      <c r="A695" s="184"/>
      <c r="F695" s="244"/>
      <c r="H695" s="18"/>
      <c r="V695" s="185"/>
    </row>
    <row r="696" spans="1:22" ht="18" hidden="1" customHeight="1">
      <c r="A696" s="184"/>
      <c r="F696" s="244"/>
      <c r="H696" s="18"/>
      <c r="V696" s="185"/>
    </row>
    <row r="697" spans="1:22" ht="18" hidden="1" customHeight="1">
      <c r="A697" s="184"/>
      <c r="F697" s="244"/>
      <c r="H697" s="18"/>
      <c r="V697" s="185"/>
    </row>
    <row r="698" spans="1:22" ht="18" hidden="1" customHeight="1">
      <c r="A698" s="184"/>
      <c r="F698" s="244"/>
      <c r="H698" s="18"/>
      <c r="V698" s="185"/>
    </row>
    <row r="699" spans="1:22" ht="18" hidden="1" customHeight="1">
      <c r="A699" s="184"/>
      <c r="F699" s="244"/>
      <c r="H699" s="18"/>
      <c r="V699" s="185"/>
    </row>
    <row r="700" spans="1:22" ht="18" hidden="1" customHeight="1">
      <c r="A700" s="184"/>
      <c r="F700" s="244"/>
      <c r="H700" s="18"/>
      <c r="V700" s="185"/>
    </row>
    <row r="701" spans="1:22" ht="18" hidden="1" customHeight="1">
      <c r="A701" s="184"/>
      <c r="F701" s="244"/>
      <c r="H701" s="18"/>
      <c r="V701" s="185"/>
    </row>
    <row r="702" spans="1:22" ht="18" hidden="1" customHeight="1">
      <c r="A702" s="184"/>
      <c r="F702" s="244"/>
      <c r="H702" s="18"/>
      <c r="V702" s="185"/>
    </row>
    <row r="703" spans="1:22" s="14" customFormat="1" ht="18" hidden="1" customHeight="1">
      <c r="A703" s="184"/>
      <c r="B703" s="30"/>
      <c r="C703" s="30"/>
      <c r="D703" s="30"/>
      <c r="E703" s="30"/>
      <c r="F703" s="244"/>
      <c r="G703" s="30"/>
      <c r="H703" s="18"/>
      <c r="I703" s="30"/>
      <c r="J703" s="30"/>
      <c r="K703" s="30"/>
      <c r="L703" s="30"/>
      <c r="M703" s="30"/>
      <c r="N703" s="30"/>
      <c r="O703" s="30"/>
      <c r="P703" s="30"/>
      <c r="Q703" s="30"/>
      <c r="R703" s="30"/>
      <c r="S703" s="30"/>
      <c r="T703" s="30"/>
      <c r="U703" s="30"/>
      <c r="V703" s="185"/>
    </row>
    <row r="704" spans="1:22" ht="18" hidden="1" customHeight="1">
      <c r="A704" s="184"/>
      <c r="F704" s="244"/>
      <c r="H704" s="18"/>
      <c r="V704" s="185"/>
    </row>
    <row r="705" spans="1:29" ht="18" hidden="1" customHeight="1">
      <c r="A705" s="184"/>
      <c r="H705" s="18"/>
      <c r="V705" s="185"/>
    </row>
    <row r="706" spans="1:29" ht="18" hidden="1" customHeight="1">
      <c r="A706" s="184"/>
      <c r="H706" s="18"/>
      <c r="V706" s="185"/>
    </row>
    <row r="707" spans="1:29" ht="18" hidden="1" customHeight="1">
      <c r="A707" s="184"/>
      <c r="F707" s="244"/>
      <c r="H707" s="18"/>
      <c r="V707" s="185"/>
    </row>
    <row r="708" spans="1:29" ht="18" hidden="1" customHeight="1">
      <c r="A708" s="194"/>
      <c r="B708" s="195"/>
      <c r="C708" s="195"/>
      <c r="D708" s="195"/>
      <c r="E708" s="195"/>
      <c r="F708" s="195"/>
      <c r="G708" s="195"/>
      <c r="H708" s="195"/>
      <c r="I708" s="195"/>
      <c r="J708" s="195"/>
      <c r="K708" s="195"/>
      <c r="L708" s="195"/>
      <c r="M708" s="195"/>
      <c r="N708" s="195"/>
      <c r="O708" s="195"/>
      <c r="P708" s="195"/>
      <c r="Q708" s="224"/>
      <c r="R708" s="182"/>
      <c r="S708" s="225"/>
      <c r="T708" s="195"/>
      <c r="U708" s="195"/>
      <c r="V708" s="134"/>
    </row>
    <row r="709" spans="1:29" ht="18" hidden="1" customHeight="1">
      <c r="A709" s="226"/>
      <c r="B709" s="227"/>
      <c r="C709" s="227"/>
      <c r="D709" s="227"/>
      <c r="E709" s="227"/>
      <c r="F709" s="227"/>
      <c r="G709" s="227"/>
      <c r="H709" s="227"/>
      <c r="I709" s="227"/>
      <c r="J709" s="227"/>
      <c r="K709" s="227"/>
      <c r="L709" s="227"/>
      <c r="M709" s="227"/>
      <c r="N709" s="227"/>
      <c r="O709" s="227"/>
      <c r="P709" s="227"/>
      <c r="Q709" s="227"/>
      <c r="R709" s="227"/>
      <c r="S709" s="227"/>
      <c r="T709" s="227"/>
      <c r="U709" s="227"/>
      <c r="V709" s="228"/>
    </row>
    <row r="710" spans="1:29" ht="18" hidden="1" customHeight="1">
      <c r="A710" s="184"/>
      <c r="B710" s="854" t="str">
        <f>B578</f>
        <v>BCT13,14,15</v>
      </c>
      <c r="C710" s="831"/>
      <c r="D710" s="855" t="str">
        <f>D578</f>
        <v>Core2</v>
      </c>
      <c r="E710" s="856"/>
      <c r="F710" s="186" t="s">
        <v>636</v>
      </c>
      <c r="H710" s="684" t="str">
        <f>H578</f>
        <v>(Transformer Differential)</v>
      </c>
      <c r="I710" s="684"/>
      <c r="J710" s="684"/>
      <c r="K710" s="684"/>
      <c r="L710" s="684"/>
      <c r="M710" s="684"/>
      <c r="P710" s="186"/>
      <c r="S710" s="187" t="s">
        <v>387</v>
      </c>
      <c r="T710" s="854" t="str">
        <f>T578</f>
        <v>RET670</v>
      </c>
      <c r="U710" s="831"/>
      <c r="V710" s="185"/>
    </row>
    <row r="711" spans="1:29" ht="18" hidden="1" customHeight="1">
      <c r="A711" s="184"/>
      <c r="B711" s="853">
        <f>B579</f>
        <v>0</v>
      </c>
      <c r="C711" s="853"/>
      <c r="D711" s="857"/>
      <c r="E711" s="858"/>
      <c r="F711" s="255"/>
      <c r="T711" s="854">
        <f>T579</f>
        <v>0</v>
      </c>
      <c r="U711" s="831"/>
      <c r="V711" s="185"/>
    </row>
    <row r="712" spans="1:29" ht="18" hidden="1" customHeight="1">
      <c r="A712" s="184"/>
      <c r="H712" s="708" t="s">
        <v>390</v>
      </c>
      <c r="I712" s="708"/>
      <c r="J712" s="708" t="s">
        <v>391</v>
      </c>
      <c r="K712" s="708"/>
      <c r="L712" s="789" t="s">
        <v>392</v>
      </c>
      <c r="M712" s="789"/>
      <c r="T712" s="854">
        <f>T580</f>
        <v>0</v>
      </c>
      <c r="U712" s="831"/>
      <c r="V712" s="185"/>
    </row>
    <row r="713" spans="1:29" ht="18" hidden="1" customHeight="1">
      <c r="A713" s="184"/>
      <c r="B713" s="47" t="s">
        <v>393</v>
      </c>
      <c r="H713" s="854">
        <f>H581</f>
        <v>1200</v>
      </c>
      <c r="I713" s="831"/>
      <c r="J713" s="854" t="str">
        <f>J581</f>
        <v>-</v>
      </c>
      <c r="K713" s="831"/>
      <c r="L713" s="863" t="str">
        <f>L581</f>
        <v>-</v>
      </c>
      <c r="M713" s="864"/>
      <c r="N713" s="102" t="s">
        <v>342</v>
      </c>
      <c r="O713" s="256">
        <f>O581</f>
        <v>1</v>
      </c>
      <c r="P713" s="27" t="s">
        <v>8</v>
      </c>
      <c r="V713" s="185"/>
    </row>
    <row r="714" spans="1:29" ht="18" hidden="1" customHeight="1">
      <c r="A714" s="184"/>
      <c r="B714" s="47" t="s">
        <v>394</v>
      </c>
      <c r="H714" s="14"/>
      <c r="K714" s="14"/>
      <c r="L714" s="854" t="str">
        <f>J582</f>
        <v>TPS</v>
      </c>
      <c r="M714" s="831"/>
      <c r="N714" s="14"/>
      <c r="V714" s="185"/>
    </row>
    <row r="715" spans="1:29" ht="18" hidden="1" customHeight="1">
      <c r="A715" s="184"/>
      <c r="B715" s="47" t="s">
        <v>396</v>
      </c>
      <c r="K715" s="120" t="s">
        <v>497</v>
      </c>
      <c r="L715" s="781" t="s">
        <v>6</v>
      </c>
      <c r="M715" s="782"/>
      <c r="N715" s="192" t="s">
        <v>333</v>
      </c>
      <c r="V715" s="185"/>
    </row>
    <row r="716" spans="1:29" ht="18" hidden="1" customHeight="1">
      <c r="A716" s="184"/>
      <c r="B716" s="47" t="s">
        <v>398</v>
      </c>
      <c r="K716" s="120" t="s">
        <v>498</v>
      </c>
      <c r="L716" s="781" t="s">
        <v>6</v>
      </c>
      <c r="M716" s="782"/>
      <c r="N716" s="14" t="s">
        <v>305</v>
      </c>
      <c r="V716" s="185"/>
      <c r="W716" s="30" t="s">
        <v>400</v>
      </c>
      <c r="AB716" s="785" t="e">
        <f>Q805</f>
        <v>#VALUE!</v>
      </c>
      <c r="AC716" s="786"/>
    </row>
    <row r="717" spans="1:29" ht="18" hidden="1" customHeight="1">
      <c r="A717" s="184"/>
      <c r="B717" s="14" t="s">
        <v>401</v>
      </c>
      <c r="K717" s="120" t="s">
        <v>402</v>
      </c>
      <c r="L717" s="781" t="s">
        <v>6</v>
      </c>
      <c r="M717" s="782"/>
      <c r="N717" s="14" t="s">
        <v>403</v>
      </c>
      <c r="V717" s="185"/>
    </row>
    <row r="718" spans="1:29" ht="18" hidden="1" customHeight="1">
      <c r="A718" s="184"/>
      <c r="V718" s="185"/>
    </row>
    <row r="719" spans="1:29" ht="18" hidden="1" customHeight="1">
      <c r="A719" s="193" t="s">
        <v>404</v>
      </c>
      <c r="V719" s="185"/>
    </row>
    <row r="720" spans="1:29" ht="18" hidden="1" customHeight="1">
      <c r="A720" s="184"/>
      <c r="V720" s="185"/>
    </row>
    <row r="721" spans="1:22" ht="18" hidden="1" customHeight="1">
      <c r="A721" s="184"/>
      <c r="B721" s="194" t="s">
        <v>405</v>
      </c>
      <c r="C721" s="195"/>
      <c r="D721" s="195" t="str">
        <f>T710</f>
        <v>RET670</v>
      </c>
      <c r="E721" s="196"/>
      <c r="F721" s="196"/>
      <c r="G721" s="196"/>
      <c r="H721" s="182" t="s">
        <v>406</v>
      </c>
      <c r="I721" s="183" t="s">
        <v>127</v>
      </c>
      <c r="J721" s="1276">
        <f>J589</f>
        <v>0.02</v>
      </c>
      <c r="K721" s="1144"/>
      <c r="L721" s="3" t="s">
        <v>157</v>
      </c>
      <c r="N721" s="197" t="s">
        <v>407</v>
      </c>
      <c r="V721" s="185"/>
    </row>
    <row r="722" spans="1:22" s="14" customFormat="1" ht="18" hidden="1" customHeight="1">
      <c r="A722" s="184"/>
      <c r="B722" s="96" t="s">
        <v>405</v>
      </c>
      <c r="C722" s="30"/>
      <c r="D722" s="30">
        <f>T711</f>
        <v>0</v>
      </c>
      <c r="E722" s="30"/>
      <c r="F722" s="30"/>
      <c r="G722" s="30"/>
      <c r="H722" s="27"/>
      <c r="I722" s="177"/>
      <c r="J722" s="1274">
        <f>J590</f>
        <v>0</v>
      </c>
      <c r="K722" s="1275"/>
      <c r="L722" s="198" t="s">
        <v>157</v>
      </c>
      <c r="M722" s="30"/>
      <c r="N722" s="30"/>
      <c r="O722" s="30"/>
      <c r="P722" s="30"/>
      <c r="Q722" s="30"/>
      <c r="R722" s="30"/>
      <c r="S722" s="30"/>
      <c r="T722" s="30"/>
      <c r="U722" s="30"/>
      <c r="V722" s="185"/>
    </row>
    <row r="723" spans="1:22" s="14" customFormat="1" ht="18" hidden="1" customHeight="1">
      <c r="A723" s="184"/>
      <c r="B723" s="96" t="s">
        <v>405</v>
      </c>
      <c r="C723" s="30"/>
      <c r="D723" s="30">
        <f>T712</f>
        <v>0</v>
      </c>
      <c r="F723" s="30"/>
      <c r="G723" s="199"/>
      <c r="H723" s="27"/>
      <c r="I723" s="101"/>
      <c r="J723" s="696">
        <f>J591</f>
        <v>0</v>
      </c>
      <c r="K723" s="820"/>
      <c r="L723" s="202" t="s">
        <v>157</v>
      </c>
      <c r="M723" s="30"/>
      <c r="N723" s="30" t="s">
        <v>408</v>
      </c>
      <c r="O723" s="27" t="s">
        <v>127</v>
      </c>
      <c r="P723" s="30" t="s">
        <v>409</v>
      </c>
      <c r="Q723" s="191" t="s">
        <v>410</v>
      </c>
      <c r="R723" s="244" t="s">
        <v>411</v>
      </c>
      <c r="S723" s="27" t="s">
        <v>315</v>
      </c>
      <c r="T723" s="30" t="s">
        <v>411</v>
      </c>
      <c r="U723" s="30" t="s">
        <v>350</v>
      </c>
      <c r="V723" s="185"/>
    </row>
    <row r="724" spans="1:22" s="14" customFormat="1" ht="18" hidden="1" customHeight="1">
      <c r="A724" s="184"/>
      <c r="B724" s="184" t="s">
        <v>412</v>
      </c>
      <c r="C724" s="30"/>
      <c r="D724" s="30"/>
      <c r="E724" s="30"/>
      <c r="F724" s="30"/>
      <c r="G724" s="30"/>
      <c r="H724" s="27" t="s">
        <v>599</v>
      </c>
      <c r="I724" s="177" t="s">
        <v>127</v>
      </c>
      <c r="J724" s="1274">
        <f>J592</f>
        <v>1.1667743100000001</v>
      </c>
      <c r="K724" s="1275"/>
      <c r="L724" s="203" t="s">
        <v>157</v>
      </c>
      <c r="M724" s="30"/>
      <c r="N724" s="30"/>
      <c r="O724" s="27" t="s">
        <v>127</v>
      </c>
      <c r="P724" s="204">
        <f>J725</f>
        <v>1.1667743100000001</v>
      </c>
      <c r="Q724" s="191" t="s">
        <v>410</v>
      </c>
      <c r="R724" s="27">
        <f>O713</f>
        <v>1</v>
      </c>
      <c r="S724" s="27" t="s">
        <v>315</v>
      </c>
      <c r="T724" s="27">
        <f>O713</f>
        <v>1</v>
      </c>
      <c r="U724" s="30" t="s">
        <v>350</v>
      </c>
      <c r="V724" s="185"/>
    </row>
    <row r="725" spans="1:22" s="14" customFormat="1" ht="18" hidden="1" customHeight="1">
      <c r="A725" s="184"/>
      <c r="B725" s="205" t="s">
        <v>413</v>
      </c>
      <c r="C725" s="206"/>
      <c r="D725" s="206"/>
      <c r="E725" s="206"/>
      <c r="F725" s="207"/>
      <c r="G725" s="207"/>
      <c r="H725" s="190" t="s">
        <v>409</v>
      </c>
      <c r="I725" s="208" t="s">
        <v>127</v>
      </c>
      <c r="J725" s="1276">
        <f>J722+J724</f>
        <v>1.1667743100000001</v>
      </c>
      <c r="K725" s="1144"/>
      <c r="L725" s="210" t="s">
        <v>157</v>
      </c>
      <c r="M725" s="30"/>
      <c r="N725" s="30"/>
      <c r="O725" s="27" t="s">
        <v>127</v>
      </c>
      <c r="P725" s="795">
        <f>P724/(R724*T724)</f>
        <v>1.1667743100000001</v>
      </c>
      <c r="Q725" s="795"/>
      <c r="R725" s="192" t="s">
        <v>333</v>
      </c>
      <c r="S725" s="30"/>
      <c r="T725" s="30"/>
      <c r="U725" s="30"/>
      <c r="V725" s="185"/>
    </row>
    <row r="726" spans="1:22" s="14" customFormat="1" ht="18" hidden="1" customHeight="1">
      <c r="A726" s="184"/>
      <c r="B726" s="30"/>
      <c r="C726" s="30"/>
      <c r="D726" s="30"/>
      <c r="E726" s="30"/>
      <c r="F726" s="30"/>
      <c r="G726" s="30"/>
      <c r="H726" s="30"/>
      <c r="I726" s="30"/>
      <c r="J726" s="30"/>
      <c r="K726" s="30"/>
      <c r="L726" s="30"/>
      <c r="M726" s="30"/>
      <c r="N726" s="30"/>
      <c r="O726" s="30"/>
      <c r="P726" s="30"/>
      <c r="Q726" s="30"/>
      <c r="R726" s="30"/>
      <c r="S726" s="30"/>
      <c r="T726" s="30"/>
      <c r="U726" s="30"/>
      <c r="V726" s="185"/>
    </row>
    <row r="727" spans="1:22" s="14" customFormat="1" ht="18" hidden="1" customHeight="1">
      <c r="A727" s="193" t="s">
        <v>600</v>
      </c>
      <c r="B727" s="5"/>
      <c r="C727" s="5"/>
      <c r="D727" s="5"/>
      <c r="E727" s="5"/>
      <c r="F727" s="5"/>
      <c r="G727" s="5"/>
      <c r="H727" s="212"/>
      <c r="I727" s="212"/>
      <c r="J727" s="5"/>
      <c r="K727" s="5"/>
      <c r="L727" s="5"/>
      <c r="M727" s="5"/>
      <c r="N727" s="5"/>
      <c r="O727" s="5"/>
      <c r="P727" s="103"/>
      <c r="Q727" s="212"/>
      <c r="R727" s="213"/>
      <c r="S727" s="214"/>
      <c r="T727" s="18"/>
      <c r="U727" s="18"/>
      <c r="V727" s="97"/>
    </row>
    <row r="728" spans="1:22" s="14" customFormat="1" ht="18" hidden="1" customHeight="1">
      <c r="A728" s="96"/>
      <c r="B728" s="47" t="s">
        <v>601</v>
      </c>
      <c r="C728" s="5"/>
      <c r="D728" s="5"/>
      <c r="E728" s="5"/>
      <c r="I728" s="215"/>
      <c r="M728" s="5"/>
      <c r="O728" s="103" t="s">
        <v>127</v>
      </c>
      <c r="P728" s="853">
        <f>P596</f>
        <v>100</v>
      </c>
      <c r="Q728" s="1271"/>
      <c r="R728" s="14" t="s">
        <v>602</v>
      </c>
      <c r="S728" s="214"/>
      <c r="T728" s="18"/>
      <c r="U728" s="18"/>
      <c r="V728" s="97"/>
    </row>
    <row r="729" spans="1:22" s="14" customFormat="1" ht="18" hidden="1" customHeight="1">
      <c r="A729" s="96"/>
      <c r="B729" s="47" t="s">
        <v>603</v>
      </c>
      <c r="C729" s="5"/>
      <c r="D729" s="5"/>
      <c r="E729" s="5"/>
      <c r="I729" s="215"/>
      <c r="M729" s="5"/>
      <c r="O729" s="103" t="s">
        <v>127</v>
      </c>
      <c r="P729" s="853">
        <f>P597</f>
        <v>25</v>
      </c>
      <c r="Q729" s="1271"/>
      <c r="R729" s="14" t="s">
        <v>604</v>
      </c>
      <c r="S729" s="214"/>
      <c r="T729" s="18"/>
      <c r="U729" s="18"/>
      <c r="V729" s="97"/>
    </row>
    <row r="730" spans="1:22" s="14" customFormat="1" ht="18" hidden="1" customHeight="1">
      <c r="A730" s="96"/>
      <c r="B730" s="47" t="s">
        <v>605</v>
      </c>
      <c r="C730" s="5"/>
      <c r="D730" s="5"/>
      <c r="E730" s="5"/>
      <c r="N730" s="120" t="s">
        <v>606</v>
      </c>
      <c r="O730" s="103" t="s">
        <v>607</v>
      </c>
      <c r="P730" s="854">
        <f>P598</f>
        <v>132</v>
      </c>
      <c r="Q730" s="1270"/>
      <c r="R730" s="14" t="s">
        <v>163</v>
      </c>
      <c r="S730" s="214"/>
      <c r="T730" s="18"/>
      <c r="U730" s="18"/>
      <c r="V730" s="97"/>
    </row>
    <row r="731" spans="1:22" s="14" customFormat="1" ht="18" hidden="1" customHeight="1">
      <c r="A731" s="216"/>
      <c r="B731" s="212"/>
      <c r="C731" s="212"/>
      <c r="D731" s="212"/>
      <c r="E731" s="212"/>
      <c r="T731" s="18"/>
      <c r="U731" s="18"/>
      <c r="V731" s="97"/>
    </row>
    <row r="732" spans="1:22" s="14" customFormat="1" ht="18" hidden="1" customHeight="1">
      <c r="A732" s="96"/>
      <c r="B732" s="14" t="s">
        <v>608</v>
      </c>
      <c r="C732" s="213"/>
      <c r="D732" s="213"/>
      <c r="E732" s="213"/>
      <c r="H732" s="120" t="s">
        <v>609</v>
      </c>
      <c r="I732" s="28" t="s">
        <v>127</v>
      </c>
      <c r="J732" s="689" t="s">
        <v>610</v>
      </c>
      <c r="K732" s="689"/>
      <c r="L732" s="28" t="s">
        <v>315</v>
      </c>
      <c r="M732" s="217">
        <v>1000</v>
      </c>
      <c r="N732" s="102" t="s">
        <v>342</v>
      </c>
      <c r="O732" s="28" t="s">
        <v>611</v>
      </c>
      <c r="P732" s="28" t="s">
        <v>315</v>
      </c>
      <c r="Q732" s="28" t="s">
        <v>606</v>
      </c>
      <c r="R732" s="47"/>
      <c r="T732" s="18"/>
      <c r="U732" s="18"/>
      <c r="V732" s="97"/>
    </row>
    <row r="733" spans="1:22" ht="18" hidden="1" customHeight="1">
      <c r="A733" s="216"/>
      <c r="B733" s="213"/>
      <c r="C733" s="213"/>
      <c r="D733" s="213"/>
      <c r="E733" s="213"/>
      <c r="F733" s="212"/>
      <c r="G733" s="212"/>
      <c r="H733" s="28"/>
      <c r="I733" s="28" t="s">
        <v>127</v>
      </c>
      <c r="J733" s="689">
        <f>P728</f>
        <v>100</v>
      </c>
      <c r="K733" s="689"/>
      <c r="L733" s="28" t="s">
        <v>315</v>
      </c>
      <c r="M733" s="217">
        <v>1000</v>
      </c>
      <c r="N733" s="102" t="s">
        <v>342</v>
      </c>
      <c r="O733" s="28" t="s">
        <v>611</v>
      </c>
      <c r="P733" s="28" t="s">
        <v>315</v>
      </c>
      <c r="Q733" s="28">
        <f>P730</f>
        <v>132</v>
      </c>
      <c r="R733" s="47"/>
      <c r="S733" s="14"/>
      <c r="T733" s="18"/>
      <c r="U733" s="18"/>
      <c r="V733" s="97"/>
    </row>
    <row r="734" spans="1:22" ht="18" hidden="1" customHeight="1">
      <c r="A734" s="216"/>
      <c r="B734" s="212"/>
      <c r="C734" s="212"/>
      <c r="D734" s="212"/>
      <c r="E734" s="212"/>
      <c r="F734" s="212"/>
      <c r="G734" s="212"/>
      <c r="H734" s="14"/>
      <c r="I734" s="28" t="s">
        <v>127</v>
      </c>
      <c r="J734" s="692">
        <f>(P728*1000)/(SQRT(3)*P730)</f>
        <v>437.38656756789834</v>
      </c>
      <c r="K734" s="692"/>
      <c r="L734" s="14" t="s">
        <v>8</v>
      </c>
      <c r="M734" s="120"/>
      <c r="N734" s="120"/>
      <c r="O734" s="120"/>
      <c r="P734" s="14"/>
      <c r="Q734" s="14"/>
      <c r="R734" s="14"/>
      <c r="S734" s="14"/>
      <c r="T734" s="18"/>
      <c r="U734" s="18"/>
      <c r="V734" s="97"/>
    </row>
    <row r="735" spans="1:22" ht="18" hidden="1" customHeight="1">
      <c r="A735" s="216"/>
      <c r="B735" s="212"/>
      <c r="C735" s="212"/>
      <c r="D735" s="212"/>
      <c r="E735" s="212"/>
      <c r="F735" s="14"/>
      <c r="G735" s="212"/>
      <c r="H735" s="28"/>
      <c r="I735" s="103"/>
      <c r="J735" s="28"/>
      <c r="K735" s="14"/>
      <c r="L735" s="14"/>
      <c r="M735" s="212"/>
      <c r="N735" s="219"/>
      <c r="O735" s="212"/>
      <c r="P735" s="14"/>
      <c r="Q735" s="14"/>
      <c r="R735" s="14"/>
      <c r="S735" s="14"/>
      <c r="T735" s="18"/>
      <c r="U735" s="18"/>
      <c r="V735" s="97"/>
    </row>
    <row r="736" spans="1:22" ht="18" hidden="1" customHeight="1">
      <c r="A736" s="147" t="s">
        <v>629</v>
      </c>
      <c r="B736" s="5"/>
      <c r="C736" s="5"/>
      <c r="D736" s="5"/>
      <c r="E736" s="5"/>
      <c r="F736" s="212"/>
      <c r="G736" s="212"/>
      <c r="H736" s="5"/>
      <c r="I736" s="5"/>
      <c r="J736" s="5"/>
      <c r="K736" s="5"/>
      <c r="L736" s="103"/>
      <c r="M736" s="103"/>
      <c r="N736" s="103"/>
      <c r="O736" s="103"/>
      <c r="P736" s="212"/>
      <c r="Q736" s="213"/>
      <c r="R736" s="14"/>
      <c r="S736" s="220"/>
      <c r="T736" s="18"/>
      <c r="U736" s="18"/>
      <c r="V736" s="97"/>
    </row>
    <row r="737" spans="1:22" ht="18" hidden="1" customHeight="1">
      <c r="A737" s="147"/>
      <c r="B737" s="5"/>
      <c r="C737" s="5"/>
      <c r="D737" s="5"/>
      <c r="E737" s="5"/>
      <c r="F737" s="212"/>
      <c r="G737" s="212"/>
      <c r="H737" s="5"/>
      <c r="I737" s="5"/>
      <c r="J737" s="5"/>
      <c r="K737" s="5"/>
      <c r="L737" s="103"/>
      <c r="M737" s="103"/>
      <c r="N737" s="103"/>
      <c r="O737" s="103"/>
      <c r="P737" s="212"/>
      <c r="Q737" s="213"/>
      <c r="R737" s="14"/>
      <c r="S737" s="214"/>
      <c r="T737" s="18"/>
      <c r="U737" s="18"/>
      <c r="V737" s="97"/>
    </row>
    <row r="738" spans="1:22" ht="18" hidden="1" customHeight="1">
      <c r="A738" s="184"/>
      <c r="B738" s="14" t="s">
        <v>612</v>
      </c>
      <c r="C738" s="14"/>
      <c r="D738" s="14"/>
      <c r="E738" s="14"/>
      <c r="M738" s="120" t="s">
        <v>613</v>
      </c>
      <c r="N738" s="28" t="s">
        <v>127</v>
      </c>
      <c r="O738" s="689" t="s">
        <v>609</v>
      </c>
      <c r="P738" s="716"/>
      <c r="Q738" s="221" t="s">
        <v>630</v>
      </c>
      <c r="R738" s="221">
        <v>16</v>
      </c>
      <c r="S738" s="214"/>
      <c r="V738" s="185"/>
    </row>
    <row r="739" spans="1:22" ht="18" hidden="1" customHeight="1">
      <c r="A739" s="96"/>
      <c r="B739" s="5"/>
      <c r="C739" s="5"/>
      <c r="D739" s="5"/>
      <c r="E739" s="5"/>
      <c r="M739" s="250"/>
      <c r="N739" s="28" t="s">
        <v>127</v>
      </c>
      <c r="O739" s="689">
        <f>+J734</f>
        <v>437.38656756789834</v>
      </c>
      <c r="P739" s="716"/>
      <c r="Q739" s="221" t="s">
        <v>630</v>
      </c>
      <c r="R739" s="221">
        <v>16</v>
      </c>
      <c r="S739" s="214"/>
      <c r="V739" s="185"/>
    </row>
    <row r="740" spans="1:22" ht="18" hidden="1" customHeight="1">
      <c r="A740" s="96"/>
      <c r="B740" s="5"/>
      <c r="C740" s="5"/>
      <c r="D740" s="5"/>
      <c r="E740" s="5"/>
      <c r="M740" s="120" t="s">
        <v>613</v>
      </c>
      <c r="N740" s="28" t="s">
        <v>127</v>
      </c>
      <c r="O740" s="689">
        <f>O739*R739</f>
        <v>6998.1850810863734</v>
      </c>
      <c r="P740" s="716"/>
      <c r="Q740" s="241" t="s">
        <v>8</v>
      </c>
      <c r="R740" s="14"/>
      <c r="S740" s="214"/>
      <c r="V740" s="185"/>
    </row>
    <row r="741" spans="1:22" ht="18" hidden="1" customHeight="1">
      <c r="A741" s="96"/>
      <c r="B741" s="5"/>
      <c r="C741" s="5"/>
      <c r="D741" s="5"/>
      <c r="E741" s="5"/>
      <c r="M741" s="212"/>
      <c r="N741" s="212"/>
      <c r="O741" s="103"/>
      <c r="Q741" s="223"/>
      <c r="R741" s="14"/>
      <c r="S741" s="214"/>
      <c r="V741" s="185"/>
    </row>
    <row r="742" spans="1:22" s="14" customFormat="1" ht="18" hidden="1" customHeight="1">
      <c r="A742" s="678" t="s">
        <v>633</v>
      </c>
      <c r="B742" s="1207"/>
      <c r="C742" s="1207"/>
      <c r="D742" s="1207"/>
      <c r="E742" s="1207"/>
      <c r="F742" s="1207"/>
      <c r="G742" s="1207"/>
      <c r="H742" s="1207"/>
      <c r="I742" s="1207"/>
      <c r="J742" s="1207"/>
      <c r="K742" s="1207"/>
      <c r="L742" s="1207"/>
      <c r="M742" s="1207"/>
      <c r="N742" s="1207"/>
      <c r="O742" s="1207"/>
      <c r="P742" s="1207"/>
      <c r="Q742" s="1207"/>
      <c r="R742" s="1207"/>
      <c r="S742" s="1207"/>
      <c r="T742" s="1207"/>
      <c r="U742" s="1207"/>
      <c r="V742" s="1208"/>
    </row>
    <row r="743" spans="1:22" ht="18" hidden="1" customHeight="1">
      <c r="A743" s="1209"/>
      <c r="B743" s="1207"/>
      <c r="C743" s="1207"/>
      <c r="D743" s="1207"/>
      <c r="E743" s="1207"/>
      <c r="F743" s="1207"/>
      <c r="G743" s="1207"/>
      <c r="H743" s="1207"/>
      <c r="I743" s="1207"/>
      <c r="J743" s="1207"/>
      <c r="K743" s="1207"/>
      <c r="L743" s="1207"/>
      <c r="M743" s="1207"/>
      <c r="N743" s="1207"/>
      <c r="O743" s="1207"/>
      <c r="P743" s="1207"/>
      <c r="Q743" s="1207"/>
      <c r="R743" s="1207"/>
      <c r="S743" s="1207"/>
      <c r="T743" s="1207"/>
      <c r="U743" s="1207"/>
      <c r="V743" s="1208"/>
    </row>
    <row r="744" spans="1:22" ht="18" hidden="1" customHeight="1">
      <c r="A744" s="231"/>
      <c r="B744" s="232"/>
      <c r="C744" s="232"/>
      <c r="D744" s="232"/>
      <c r="E744" s="232"/>
      <c r="F744" s="232"/>
      <c r="G744" s="232"/>
      <c r="H744" s="232"/>
      <c r="I744" s="232"/>
      <c r="J744" s="232"/>
      <c r="K744" s="232"/>
      <c r="L744" s="232"/>
      <c r="M744" s="232"/>
      <c r="N744" s="232"/>
      <c r="O744" s="232"/>
      <c r="P744" s="232"/>
      <c r="Q744" s="232"/>
      <c r="R744" s="232"/>
      <c r="S744" s="232"/>
      <c r="T744" s="232"/>
      <c r="U744" s="232"/>
      <c r="V744" s="233"/>
    </row>
    <row r="745" spans="1:22" ht="18" hidden="1" customHeight="1">
      <c r="A745" s="231"/>
      <c r="B745" s="232"/>
      <c r="C745" s="232"/>
      <c r="D745" s="232"/>
      <c r="E745" s="232"/>
      <c r="F745" s="232"/>
      <c r="G745" s="232"/>
      <c r="H745" s="232"/>
      <c r="I745" s="232"/>
      <c r="J745" s="232"/>
      <c r="K745" s="232"/>
      <c r="L745" s="232"/>
      <c r="M745" s="232"/>
      <c r="N745" s="232"/>
      <c r="O745" s="232"/>
      <c r="P745" s="232"/>
      <c r="Q745" s="232"/>
      <c r="R745" s="232"/>
      <c r="S745" s="232"/>
      <c r="T745" s="232"/>
      <c r="U745" s="232"/>
      <c r="V745" s="233"/>
    </row>
    <row r="746" spans="1:22" ht="18" hidden="1" customHeight="1">
      <c r="A746" s="231"/>
      <c r="B746" s="232"/>
      <c r="C746" s="232"/>
      <c r="D746" s="232"/>
      <c r="E746" s="232"/>
      <c r="F746" s="232"/>
      <c r="G746" s="232"/>
      <c r="H746" s="232"/>
      <c r="I746" s="232"/>
      <c r="J746" s="232"/>
      <c r="K746" s="232"/>
      <c r="L746" s="232"/>
      <c r="M746" s="232"/>
      <c r="N746" s="232"/>
      <c r="O746" s="232"/>
      <c r="P746" s="232"/>
      <c r="Q746" s="232"/>
      <c r="R746" s="232"/>
      <c r="S746" s="232"/>
      <c r="T746" s="232"/>
      <c r="U746" s="232"/>
      <c r="V746" s="233"/>
    </row>
    <row r="747" spans="1:22" ht="18" hidden="1" customHeight="1">
      <c r="A747" s="231"/>
      <c r="B747" s="232"/>
      <c r="C747" s="232"/>
      <c r="D747" s="232"/>
      <c r="E747" s="232"/>
      <c r="F747" s="232"/>
      <c r="G747" s="232"/>
      <c r="H747" s="232"/>
      <c r="I747" s="232"/>
      <c r="J747" s="232"/>
      <c r="K747" s="232"/>
      <c r="L747" s="232"/>
      <c r="M747" s="232"/>
      <c r="N747" s="232"/>
      <c r="O747" s="232"/>
      <c r="P747" s="232"/>
      <c r="Q747" s="232"/>
      <c r="R747" s="232"/>
      <c r="S747" s="232"/>
      <c r="T747" s="232"/>
      <c r="U747" s="232"/>
      <c r="V747" s="233"/>
    </row>
    <row r="748" spans="1:22" ht="18" hidden="1" customHeight="1">
      <c r="A748" s="231"/>
      <c r="B748" s="232"/>
      <c r="C748" s="232"/>
      <c r="D748" s="232"/>
      <c r="E748" s="232"/>
      <c r="F748" s="232"/>
      <c r="G748" s="232"/>
      <c r="H748" s="232"/>
      <c r="I748" s="232"/>
      <c r="J748" s="232"/>
      <c r="K748" s="232"/>
      <c r="L748" s="232"/>
      <c r="M748" s="232"/>
      <c r="N748" s="232"/>
      <c r="O748" s="232"/>
      <c r="P748" s="232"/>
      <c r="Q748" s="232"/>
      <c r="R748" s="232"/>
      <c r="S748" s="232"/>
      <c r="T748" s="232"/>
      <c r="U748" s="232"/>
      <c r="V748" s="233"/>
    </row>
    <row r="749" spans="1:22" ht="18" hidden="1" customHeight="1">
      <c r="A749" s="96"/>
      <c r="B749" s="5"/>
      <c r="C749" s="5"/>
      <c r="D749" s="5"/>
      <c r="E749" s="5"/>
      <c r="M749" s="212"/>
      <c r="N749" s="212"/>
      <c r="O749" s="103"/>
      <c r="Q749" s="223"/>
      <c r="R749" s="14"/>
      <c r="S749" s="214"/>
      <c r="V749" s="185"/>
    </row>
    <row r="750" spans="1:22" ht="18" hidden="1" customHeight="1">
      <c r="A750" s="184"/>
      <c r="V750" s="185"/>
    </row>
    <row r="751" spans="1:22" ht="18" hidden="1" customHeight="1">
      <c r="A751" s="184"/>
      <c r="V751" s="185"/>
    </row>
    <row r="752" spans="1:22" ht="18" hidden="1" customHeight="1">
      <c r="A752" s="194"/>
      <c r="B752" s="195"/>
      <c r="C752" s="195"/>
      <c r="D752" s="195"/>
      <c r="E752" s="195"/>
      <c r="F752" s="195"/>
      <c r="G752" s="195"/>
      <c r="H752" s="195"/>
      <c r="I752" s="195"/>
      <c r="J752" s="195"/>
      <c r="K752" s="195"/>
      <c r="L752" s="195"/>
      <c r="M752" s="195"/>
      <c r="N752" s="195"/>
      <c r="O752" s="195"/>
      <c r="P752" s="195"/>
      <c r="Q752" s="224"/>
      <c r="R752" s="182"/>
      <c r="S752" s="225"/>
      <c r="T752" s="195"/>
      <c r="U752" s="195"/>
      <c r="V752" s="134"/>
    </row>
    <row r="753" spans="1:22" ht="18" hidden="1" customHeight="1">
      <c r="A753" s="226"/>
      <c r="B753" s="227"/>
      <c r="C753" s="227"/>
      <c r="D753" s="227"/>
      <c r="E753" s="227"/>
      <c r="F753" s="227"/>
      <c r="G753" s="227"/>
      <c r="H753" s="227"/>
      <c r="I753" s="227"/>
      <c r="J753" s="227"/>
      <c r="K753" s="227"/>
      <c r="L753" s="227"/>
      <c r="M753" s="227"/>
      <c r="N753" s="227"/>
      <c r="O753" s="227"/>
      <c r="P753" s="227"/>
      <c r="Q753" s="227"/>
      <c r="R753" s="227"/>
      <c r="S753" s="227"/>
      <c r="T753" s="227"/>
      <c r="U753" s="227"/>
      <c r="V753" s="228"/>
    </row>
    <row r="754" spans="1:22" ht="18" hidden="1" customHeight="1">
      <c r="A754" s="799" t="s">
        <v>417</v>
      </c>
      <c r="B754" s="802"/>
      <c r="C754" s="802"/>
      <c r="D754" s="689">
        <v>30</v>
      </c>
      <c r="E754" s="689" t="s">
        <v>315</v>
      </c>
      <c r="F754" s="689" t="s">
        <v>609</v>
      </c>
      <c r="G754" s="684"/>
      <c r="H754" s="689" t="s">
        <v>315</v>
      </c>
      <c r="I754" s="708" t="s">
        <v>411</v>
      </c>
      <c r="J754" s="828"/>
      <c r="K754" s="689" t="s">
        <v>315</v>
      </c>
      <c r="L754" s="802" t="s">
        <v>419</v>
      </c>
      <c r="M754" s="716" t="s">
        <v>420</v>
      </c>
      <c r="N754" s="729" t="s">
        <v>347</v>
      </c>
      <c r="O754" s="716" t="s">
        <v>408</v>
      </c>
      <c r="P754" s="689" t="s">
        <v>347</v>
      </c>
      <c r="Q754" s="759" t="s">
        <v>421</v>
      </c>
      <c r="R754" s="797"/>
      <c r="S754" s="797"/>
      <c r="T754" s="798" t="s">
        <v>350</v>
      </c>
      <c r="U754" s="230" t="s">
        <v>422</v>
      </c>
      <c r="V754" s="97"/>
    </row>
    <row r="755" spans="1:22" ht="18" hidden="1" customHeight="1">
      <c r="A755" s="827"/>
      <c r="B755" s="802"/>
      <c r="C755" s="802"/>
      <c r="D755" s="689"/>
      <c r="E755" s="689"/>
      <c r="F755" s="684"/>
      <c r="G755" s="684"/>
      <c r="H755" s="689"/>
      <c r="I755" s="689" t="s">
        <v>423</v>
      </c>
      <c r="J755" s="723"/>
      <c r="K755" s="689"/>
      <c r="L755" s="802"/>
      <c r="M755" s="716"/>
      <c r="N755" s="729"/>
      <c r="O755" s="716"/>
      <c r="P755" s="689"/>
      <c r="Q755" s="28" t="s">
        <v>146</v>
      </c>
      <c r="R755" s="28" t="s">
        <v>315</v>
      </c>
      <c r="S755" s="28" t="s">
        <v>146</v>
      </c>
      <c r="T755" s="798"/>
      <c r="U755" s="14"/>
      <c r="V755" s="97"/>
    </row>
    <row r="756" spans="1:22" ht="18" hidden="1" customHeight="1">
      <c r="A756" s="184"/>
      <c r="V756" s="185"/>
    </row>
    <row r="757" spans="1:22" ht="18" hidden="1" customHeight="1">
      <c r="A757" s="799" t="s">
        <v>417</v>
      </c>
      <c r="B757" s="802"/>
      <c r="C757" s="802"/>
      <c r="D757" s="689">
        <v>2</v>
      </c>
      <c r="E757" s="689" t="s">
        <v>315</v>
      </c>
      <c r="F757" s="689" t="s">
        <v>613</v>
      </c>
      <c r="G757" s="684"/>
      <c r="H757" s="689" t="s">
        <v>315</v>
      </c>
      <c r="I757" s="708" t="s">
        <v>411</v>
      </c>
      <c r="J757" s="828"/>
      <c r="K757" s="689" t="s">
        <v>315</v>
      </c>
      <c r="L757" s="802" t="s">
        <v>419</v>
      </c>
      <c r="M757" s="716" t="s">
        <v>420</v>
      </c>
      <c r="N757" s="729" t="s">
        <v>347</v>
      </c>
      <c r="O757" s="716" t="s">
        <v>408</v>
      </c>
      <c r="P757" s="689" t="s">
        <v>347</v>
      </c>
      <c r="Q757" s="759" t="s">
        <v>421</v>
      </c>
      <c r="R757" s="797"/>
      <c r="S757" s="797"/>
      <c r="T757" s="798" t="s">
        <v>350</v>
      </c>
      <c r="U757" s="230" t="s">
        <v>426</v>
      </c>
      <c r="V757" s="97"/>
    </row>
    <row r="758" spans="1:22" ht="18" hidden="1" customHeight="1">
      <c r="A758" s="827"/>
      <c r="B758" s="802"/>
      <c r="C758" s="802"/>
      <c r="D758" s="689"/>
      <c r="E758" s="689"/>
      <c r="F758" s="684"/>
      <c r="G758" s="684"/>
      <c r="H758" s="689"/>
      <c r="I758" s="689" t="s">
        <v>423</v>
      </c>
      <c r="J758" s="723"/>
      <c r="K758" s="689"/>
      <c r="L758" s="802"/>
      <c r="M758" s="716"/>
      <c r="N758" s="729"/>
      <c r="O758" s="716"/>
      <c r="P758" s="689"/>
      <c r="Q758" s="28" t="s">
        <v>146</v>
      </c>
      <c r="R758" s="28" t="s">
        <v>315</v>
      </c>
      <c r="S758" s="28" t="s">
        <v>146</v>
      </c>
      <c r="T758" s="798"/>
      <c r="U758" s="14"/>
      <c r="V758" s="97"/>
    </row>
    <row r="759" spans="1:22" ht="18" hidden="1" customHeight="1">
      <c r="A759" s="184"/>
      <c r="V759" s="185"/>
    </row>
    <row r="760" spans="1:22" ht="18" hidden="1" customHeight="1">
      <c r="A760" s="678" t="s">
        <v>616</v>
      </c>
      <c r="B760" s="1207"/>
      <c r="C760" s="1207"/>
      <c r="D760" s="1207"/>
      <c r="E760" s="1207"/>
      <c r="F760" s="1207"/>
      <c r="G760" s="1207"/>
      <c r="H760" s="1207"/>
      <c r="I760" s="1207"/>
      <c r="J760" s="1207"/>
      <c r="K760" s="1207"/>
      <c r="L760" s="1207"/>
      <c r="M760" s="1207"/>
      <c r="N760" s="1207"/>
      <c r="O760" s="1207"/>
      <c r="P760" s="1207"/>
      <c r="Q760" s="1207"/>
      <c r="R760" s="1207"/>
      <c r="S760" s="1207"/>
      <c r="T760" s="1207"/>
      <c r="U760" s="1207"/>
      <c r="V760" s="1208"/>
    </row>
    <row r="761" spans="1:22" ht="18" hidden="1" customHeight="1">
      <c r="A761" s="1209"/>
      <c r="B761" s="1207"/>
      <c r="C761" s="1207"/>
      <c r="D761" s="1207"/>
      <c r="E761" s="1207"/>
      <c r="F761" s="1207"/>
      <c r="G761" s="1207"/>
      <c r="H761" s="1207"/>
      <c r="I761" s="1207"/>
      <c r="J761" s="1207"/>
      <c r="K761" s="1207"/>
      <c r="L761" s="1207"/>
      <c r="M761" s="1207"/>
      <c r="N761" s="1207"/>
      <c r="O761" s="1207"/>
      <c r="P761" s="1207"/>
      <c r="Q761" s="1207"/>
      <c r="R761" s="1207"/>
      <c r="S761" s="1207"/>
      <c r="T761" s="1207"/>
      <c r="U761" s="1207"/>
      <c r="V761" s="1208"/>
    </row>
    <row r="762" spans="1:22" ht="18" hidden="1" customHeight="1">
      <c r="A762" s="231"/>
      <c r="B762" s="232"/>
      <c r="C762" s="232"/>
      <c r="D762" s="232"/>
      <c r="E762" s="232"/>
      <c r="F762" s="232"/>
      <c r="G762" s="232"/>
      <c r="H762" s="232"/>
      <c r="I762" s="232"/>
      <c r="J762" s="232"/>
      <c r="K762" s="232"/>
      <c r="L762" s="232"/>
      <c r="M762" s="232"/>
      <c r="N762" s="232"/>
      <c r="O762" s="232"/>
      <c r="P762" s="232"/>
      <c r="Q762" s="232"/>
      <c r="R762" s="232"/>
      <c r="S762" s="232"/>
      <c r="T762" s="232"/>
      <c r="U762" s="232"/>
      <c r="V762" s="233"/>
    </row>
    <row r="763" spans="1:22" ht="18" hidden="1" customHeight="1">
      <c r="A763" s="799" t="s">
        <v>417</v>
      </c>
      <c r="B763" s="802"/>
      <c r="C763" s="802"/>
      <c r="D763" s="689"/>
      <c r="E763" s="689"/>
      <c r="F763" s="689" t="s">
        <v>617</v>
      </c>
      <c r="G763" s="684"/>
      <c r="H763" s="689" t="s">
        <v>315</v>
      </c>
      <c r="I763" s="708" t="s">
        <v>411</v>
      </c>
      <c r="J763" s="828"/>
      <c r="K763" s="689" t="s">
        <v>315</v>
      </c>
      <c r="L763" s="802" t="s">
        <v>419</v>
      </c>
      <c r="M763" s="716" t="s">
        <v>420</v>
      </c>
      <c r="N763" s="729" t="s">
        <v>347</v>
      </c>
      <c r="O763" s="716" t="s">
        <v>408</v>
      </c>
      <c r="P763" s="689" t="s">
        <v>347</v>
      </c>
      <c r="Q763" s="759" t="s">
        <v>421</v>
      </c>
      <c r="R763" s="797"/>
      <c r="S763" s="797"/>
      <c r="T763" s="798" t="s">
        <v>350</v>
      </c>
      <c r="U763" s="230" t="s">
        <v>618</v>
      </c>
      <c r="V763" s="97"/>
    </row>
    <row r="764" spans="1:22" ht="18" hidden="1" customHeight="1">
      <c r="A764" s="827"/>
      <c r="B764" s="802"/>
      <c r="C764" s="802"/>
      <c r="D764" s="689"/>
      <c r="E764" s="689"/>
      <c r="F764" s="684"/>
      <c r="G764" s="684"/>
      <c r="H764" s="689"/>
      <c r="I764" s="689" t="s">
        <v>423</v>
      </c>
      <c r="J764" s="723"/>
      <c r="K764" s="689"/>
      <c r="L764" s="802"/>
      <c r="M764" s="716"/>
      <c r="N764" s="729"/>
      <c r="O764" s="716"/>
      <c r="P764" s="689"/>
      <c r="Q764" s="28" t="s">
        <v>146</v>
      </c>
      <c r="R764" s="28" t="s">
        <v>315</v>
      </c>
      <c r="S764" s="28" t="s">
        <v>146</v>
      </c>
      <c r="T764" s="798"/>
      <c r="U764" s="14"/>
      <c r="V764" s="97"/>
    </row>
    <row r="765" spans="1:22" ht="18" hidden="1" customHeight="1">
      <c r="A765" s="96"/>
      <c r="B765" s="14"/>
      <c r="C765" s="14"/>
      <c r="D765" s="28"/>
      <c r="E765" s="28"/>
      <c r="F765" s="27"/>
      <c r="G765" s="27"/>
      <c r="H765" s="28"/>
      <c r="I765" s="28"/>
      <c r="K765" s="28"/>
      <c r="L765" s="120"/>
      <c r="M765" s="14"/>
      <c r="N765" s="102"/>
      <c r="O765" s="14"/>
      <c r="P765" s="28"/>
      <c r="Q765" s="28"/>
      <c r="R765" s="28"/>
      <c r="S765" s="28"/>
      <c r="T765" s="40"/>
      <c r="U765" s="14"/>
      <c r="V765" s="97"/>
    </row>
    <row r="766" spans="1:22" ht="18" hidden="1" customHeight="1">
      <c r="A766" s="184"/>
      <c r="H766" s="30" t="s">
        <v>619</v>
      </c>
      <c r="M766" s="854" t="str">
        <f>M634</f>
        <v>N</v>
      </c>
      <c r="N766" s="831"/>
      <c r="V766" s="185"/>
    </row>
    <row r="767" spans="1:22" ht="18" hidden="1" customHeight="1">
      <c r="A767" s="96"/>
      <c r="B767" s="14"/>
      <c r="C767" s="14"/>
      <c r="D767" s="28"/>
      <c r="E767" s="28"/>
      <c r="F767" s="27"/>
      <c r="G767" s="27"/>
      <c r="H767" s="28"/>
      <c r="I767" s="28"/>
      <c r="K767" s="28"/>
      <c r="L767" s="120"/>
      <c r="M767" s="14"/>
      <c r="N767" s="102"/>
      <c r="O767" s="14"/>
      <c r="P767" s="28"/>
      <c r="Q767" s="28"/>
      <c r="R767" s="28"/>
      <c r="S767" s="28"/>
      <c r="T767" s="40"/>
      <c r="U767" s="14"/>
      <c r="V767" s="97"/>
    </row>
    <row r="768" spans="1:22" ht="18" hidden="1" customHeight="1">
      <c r="A768" s="184"/>
      <c r="B768" s="14" t="s">
        <v>427</v>
      </c>
      <c r="C768" s="14"/>
      <c r="D768" s="103"/>
      <c r="E768" s="103"/>
      <c r="F768" s="14"/>
      <c r="G768" s="14"/>
      <c r="H768" s="5"/>
      <c r="I768" s="5"/>
      <c r="J768" s="5"/>
      <c r="P768" s="120" t="s">
        <v>428</v>
      </c>
      <c r="V768" s="185"/>
    </row>
    <row r="769" spans="1:22" ht="18" hidden="1" customHeight="1">
      <c r="A769" s="184"/>
      <c r="B769" s="14" t="s">
        <v>429</v>
      </c>
      <c r="C769" s="14"/>
      <c r="D769" s="103"/>
      <c r="E769" s="103"/>
      <c r="F769" s="14"/>
      <c r="G769" s="14"/>
      <c r="H769" s="5"/>
      <c r="I769" s="5"/>
      <c r="J769" s="5"/>
      <c r="P769" s="120" t="s">
        <v>430</v>
      </c>
      <c r="Q769" s="234" t="s">
        <v>127</v>
      </c>
      <c r="R769" s="684" t="str">
        <f>L713</f>
        <v>-</v>
      </c>
      <c r="S769" s="684"/>
      <c r="T769" s="14" t="s">
        <v>8</v>
      </c>
      <c r="V769" s="185"/>
    </row>
    <row r="770" spans="1:22" ht="18" hidden="1" customHeight="1">
      <c r="A770" s="184"/>
      <c r="B770" s="14" t="s">
        <v>621</v>
      </c>
      <c r="C770" s="14"/>
      <c r="D770" s="14"/>
      <c r="E770" s="14"/>
      <c r="F770" s="14"/>
      <c r="G770" s="14"/>
      <c r="H770" s="14"/>
      <c r="I770" s="14"/>
      <c r="J770" s="14"/>
      <c r="P770" s="120" t="s">
        <v>609</v>
      </c>
      <c r="Q770" s="234" t="s">
        <v>127</v>
      </c>
      <c r="R770" s="684">
        <f>J734</f>
        <v>437.38656756789834</v>
      </c>
      <c r="S770" s="684"/>
      <c r="T770" s="14" t="s">
        <v>8</v>
      </c>
      <c r="V770" s="185"/>
    </row>
    <row r="771" spans="1:22" ht="18" hidden="1" customHeight="1">
      <c r="A771" s="184"/>
      <c r="B771" s="14" t="s">
        <v>622</v>
      </c>
      <c r="C771" s="14"/>
      <c r="D771" s="14"/>
      <c r="E771" s="14"/>
      <c r="F771" s="14"/>
      <c r="G771" s="14"/>
      <c r="H771" s="14"/>
      <c r="I771" s="14"/>
      <c r="J771" s="14"/>
      <c r="P771" s="120" t="s">
        <v>613</v>
      </c>
      <c r="Q771" s="234" t="s">
        <v>127</v>
      </c>
      <c r="R771" s="684">
        <f>O740</f>
        <v>6998.1850810863734</v>
      </c>
      <c r="S771" s="684"/>
      <c r="T771" s="14" t="s">
        <v>8</v>
      </c>
      <c r="V771" s="185"/>
    </row>
    <row r="772" spans="1:22" ht="18" hidden="1" customHeight="1">
      <c r="A772" s="184"/>
      <c r="B772" s="235" t="s">
        <v>623</v>
      </c>
      <c r="C772" s="14"/>
      <c r="D772" s="14"/>
      <c r="E772" s="14"/>
      <c r="F772" s="14"/>
      <c r="G772" s="14"/>
      <c r="H772" s="14"/>
      <c r="I772" s="14"/>
      <c r="J772" s="14"/>
      <c r="P772" s="120"/>
      <c r="Q772" s="236"/>
      <c r="R772" s="27"/>
      <c r="S772" s="27"/>
      <c r="T772" s="14"/>
      <c r="V772" s="185"/>
    </row>
    <row r="773" spans="1:22" ht="18" hidden="1" customHeight="1">
      <c r="A773" s="184"/>
      <c r="B773" s="14" t="s">
        <v>622</v>
      </c>
      <c r="C773" s="14"/>
      <c r="D773" s="14"/>
      <c r="E773" s="14"/>
      <c r="F773" s="14"/>
      <c r="G773" s="14"/>
      <c r="H773" s="14"/>
      <c r="I773" s="14"/>
      <c r="J773" s="14"/>
      <c r="P773" s="120" t="s">
        <v>617</v>
      </c>
      <c r="Q773" s="234" t="s">
        <v>127</v>
      </c>
      <c r="R773" s="684" t="str">
        <f>R641</f>
        <v>-</v>
      </c>
      <c r="S773" s="684"/>
      <c r="T773" s="14" t="s">
        <v>8</v>
      </c>
      <c r="V773" s="185"/>
    </row>
    <row r="774" spans="1:22" ht="18" hidden="1" customHeight="1">
      <c r="A774" s="184"/>
      <c r="B774" s="235" t="s">
        <v>645</v>
      </c>
      <c r="C774" s="14"/>
      <c r="D774" s="14"/>
      <c r="E774" s="14"/>
      <c r="F774" s="14"/>
      <c r="G774" s="14"/>
      <c r="H774" s="14"/>
      <c r="I774" s="14"/>
      <c r="J774" s="14"/>
      <c r="R774" s="27"/>
      <c r="S774" s="27"/>
      <c r="T774" s="14"/>
      <c r="V774" s="185"/>
    </row>
    <row r="775" spans="1:22" ht="18" hidden="1" customHeight="1">
      <c r="A775" s="184"/>
      <c r="B775" s="14" t="s">
        <v>435</v>
      </c>
      <c r="C775" s="14"/>
      <c r="D775" s="103"/>
      <c r="E775" s="103"/>
      <c r="F775" s="14"/>
      <c r="G775" s="14"/>
      <c r="H775" s="5"/>
      <c r="I775" s="5"/>
      <c r="J775" s="5"/>
      <c r="P775" s="120" t="s">
        <v>436</v>
      </c>
      <c r="Q775" s="234" t="s">
        <v>127</v>
      </c>
      <c r="R775" s="684">
        <f>O713</f>
        <v>1</v>
      </c>
      <c r="S775" s="684"/>
      <c r="T775" s="14" t="s">
        <v>8</v>
      </c>
      <c r="V775" s="185"/>
    </row>
    <row r="776" spans="1:22" ht="18" hidden="1" customHeight="1">
      <c r="A776" s="184"/>
      <c r="B776" s="14" t="s">
        <v>437</v>
      </c>
      <c r="C776" s="14"/>
      <c r="D776" s="103"/>
      <c r="E776" s="103"/>
      <c r="F776" s="14"/>
      <c r="G776" s="14"/>
      <c r="H776" s="5"/>
      <c r="I776" s="5"/>
      <c r="J776" s="5"/>
      <c r="P776" s="120" t="s">
        <v>438</v>
      </c>
      <c r="Q776" s="234" t="s">
        <v>127</v>
      </c>
      <c r="R776" s="684">
        <f>R644</f>
        <v>1</v>
      </c>
      <c r="S776" s="684"/>
      <c r="T776" s="14" t="s">
        <v>8</v>
      </c>
      <c r="V776" s="185"/>
    </row>
    <row r="777" spans="1:22" ht="18" hidden="1" customHeight="1">
      <c r="A777" s="184"/>
      <c r="B777" s="14" t="s">
        <v>439</v>
      </c>
      <c r="C777" s="14"/>
      <c r="D777" s="103"/>
      <c r="E777" s="103"/>
      <c r="F777" s="14"/>
      <c r="G777" s="14"/>
      <c r="H777" s="5"/>
      <c r="I777" s="5"/>
      <c r="J777" s="5"/>
      <c r="P777" s="120" t="s">
        <v>440</v>
      </c>
      <c r="Q777" s="234" t="s">
        <v>127</v>
      </c>
      <c r="R777" s="684" t="str">
        <f>L715</f>
        <v>-</v>
      </c>
      <c r="S777" s="684"/>
      <c r="T777" s="192" t="s">
        <v>333</v>
      </c>
      <c r="V777" s="185"/>
    </row>
    <row r="778" spans="1:22" ht="18" hidden="1" customHeight="1">
      <c r="A778" s="184"/>
      <c r="B778" s="14" t="s">
        <v>625</v>
      </c>
      <c r="C778" s="14"/>
      <c r="D778" s="14"/>
      <c r="E778" s="14"/>
      <c r="F778" s="14"/>
      <c r="G778" s="14"/>
      <c r="H778" s="14"/>
      <c r="I778" s="14"/>
      <c r="J778" s="14"/>
      <c r="P778" s="237" t="s">
        <v>441</v>
      </c>
      <c r="Q778" s="234" t="s">
        <v>127</v>
      </c>
      <c r="R778" s="795">
        <f>P725</f>
        <v>1.1667743100000001</v>
      </c>
      <c r="S778" s="684"/>
      <c r="T778" s="192" t="s">
        <v>333</v>
      </c>
      <c r="V778" s="185"/>
    </row>
    <row r="779" spans="1:22" ht="18" hidden="1" customHeight="1">
      <c r="A779" s="184"/>
      <c r="B779" s="40" t="s">
        <v>442</v>
      </c>
      <c r="C779" s="14"/>
      <c r="D779" s="14"/>
      <c r="E779" s="14"/>
      <c r="F779" s="14"/>
      <c r="G779" s="14"/>
      <c r="H779" s="5"/>
      <c r="I779" s="5"/>
      <c r="J779" s="5"/>
      <c r="P779" s="237" t="s">
        <v>443</v>
      </c>
      <c r="Q779" s="234" t="s">
        <v>127</v>
      </c>
      <c r="R779" s="795">
        <f>J721</f>
        <v>0.02</v>
      </c>
      <c r="S779" s="684"/>
      <c r="T779" s="14" t="s">
        <v>157</v>
      </c>
      <c r="V779" s="185"/>
    </row>
    <row r="780" spans="1:22" ht="18" hidden="1" customHeight="1">
      <c r="A780" s="184"/>
      <c r="V780" s="185"/>
    </row>
    <row r="781" spans="1:22" ht="18" hidden="1" customHeight="1">
      <c r="A781" s="799" t="s">
        <v>417</v>
      </c>
      <c r="B781" s="802"/>
      <c r="C781" s="802"/>
      <c r="D781" s="689">
        <v>30</v>
      </c>
      <c r="E781" s="689" t="s">
        <v>315</v>
      </c>
      <c r="F781" s="689">
        <f>R770</f>
        <v>437.38656756789834</v>
      </c>
      <c r="G781" s="684"/>
      <c r="H781" s="689" t="s">
        <v>315</v>
      </c>
      <c r="I781" s="708">
        <f>R775</f>
        <v>1</v>
      </c>
      <c r="J781" s="828"/>
      <c r="K781" s="689" t="s">
        <v>315</v>
      </c>
      <c r="L781" s="716" t="s">
        <v>419</v>
      </c>
      <c r="M781" s="716" t="str">
        <f>R777</f>
        <v>-</v>
      </c>
      <c r="N781" s="729" t="s">
        <v>347</v>
      </c>
      <c r="O781" s="1214">
        <f>R778</f>
        <v>1.1667743100000001</v>
      </c>
      <c r="P781" s="689" t="s">
        <v>347</v>
      </c>
      <c r="Q781" s="833">
        <f>R779</f>
        <v>0.02</v>
      </c>
      <c r="R781" s="797"/>
      <c r="S781" s="797"/>
      <c r="T781" s="798" t="s">
        <v>350</v>
      </c>
      <c r="U781" s="230" t="s">
        <v>422</v>
      </c>
      <c r="V781" s="97"/>
    </row>
    <row r="782" spans="1:22" ht="18" hidden="1" customHeight="1">
      <c r="A782" s="827"/>
      <c r="B782" s="802"/>
      <c r="C782" s="802"/>
      <c r="D782" s="689"/>
      <c r="E782" s="689"/>
      <c r="F782" s="684"/>
      <c r="G782" s="684"/>
      <c r="H782" s="689"/>
      <c r="I782" s="689" t="str">
        <f>R769</f>
        <v>-</v>
      </c>
      <c r="J782" s="723"/>
      <c r="K782" s="689"/>
      <c r="L782" s="716"/>
      <c r="M782" s="716"/>
      <c r="N782" s="729"/>
      <c r="O782" s="716"/>
      <c r="P782" s="689"/>
      <c r="Q782" s="28">
        <f>R776</f>
        <v>1</v>
      </c>
      <c r="R782" s="28" t="s">
        <v>315</v>
      </c>
      <c r="S782" s="28">
        <f>R776</f>
        <v>1</v>
      </c>
      <c r="T782" s="798"/>
      <c r="U782" s="14"/>
      <c r="V782" s="97"/>
    </row>
    <row r="783" spans="1:22" ht="18" hidden="1" customHeight="1">
      <c r="A783" s="184"/>
      <c r="V783" s="185"/>
    </row>
    <row r="784" spans="1:22" ht="18" hidden="1" customHeight="1">
      <c r="A784" s="184"/>
      <c r="C784" s="30" t="s">
        <v>127</v>
      </c>
      <c r="D784" s="812" t="e">
        <f>D781*F781*(I781/I782)*(M781+O781+(Q781/(Q782*S782)))</f>
        <v>#VALUE!</v>
      </c>
      <c r="E784" s="813"/>
      <c r="F784" s="30" t="s">
        <v>305</v>
      </c>
      <c r="V784" s="185"/>
    </row>
    <row r="785" spans="1:22" ht="18" hidden="1" customHeight="1">
      <c r="A785" s="184"/>
      <c r="V785" s="185"/>
    </row>
    <row r="786" spans="1:22" ht="18" hidden="1" customHeight="1">
      <c r="A786" s="799" t="s">
        <v>417</v>
      </c>
      <c r="B786" s="802"/>
      <c r="C786" s="802"/>
      <c r="D786" s="689">
        <v>2</v>
      </c>
      <c r="E786" s="689" t="s">
        <v>315</v>
      </c>
      <c r="F786" s="689">
        <f>R771</f>
        <v>6998.1850810863734</v>
      </c>
      <c r="G786" s="684"/>
      <c r="H786" s="689" t="s">
        <v>315</v>
      </c>
      <c r="I786" s="708">
        <f>R775</f>
        <v>1</v>
      </c>
      <c r="J786" s="828"/>
      <c r="K786" s="689" t="s">
        <v>315</v>
      </c>
      <c r="L786" s="802" t="s">
        <v>419</v>
      </c>
      <c r="M786" s="716" t="str">
        <f>R777</f>
        <v>-</v>
      </c>
      <c r="N786" s="729" t="s">
        <v>347</v>
      </c>
      <c r="O786" s="1214">
        <f>R778</f>
        <v>1.1667743100000001</v>
      </c>
      <c r="P786" s="689" t="s">
        <v>347</v>
      </c>
      <c r="Q786" s="833">
        <f>R779</f>
        <v>0.02</v>
      </c>
      <c r="R786" s="797"/>
      <c r="S786" s="797"/>
      <c r="T786" s="798" t="s">
        <v>350</v>
      </c>
      <c r="U786" s="230" t="s">
        <v>426</v>
      </c>
      <c r="V786" s="97"/>
    </row>
    <row r="787" spans="1:22" ht="18" hidden="1" customHeight="1">
      <c r="A787" s="827"/>
      <c r="B787" s="802"/>
      <c r="C787" s="802"/>
      <c r="D787" s="689"/>
      <c r="E787" s="689"/>
      <c r="F787" s="684"/>
      <c r="G787" s="684"/>
      <c r="H787" s="689"/>
      <c r="I787" s="689" t="str">
        <f>R769</f>
        <v>-</v>
      </c>
      <c r="J787" s="723"/>
      <c r="K787" s="689"/>
      <c r="L787" s="802"/>
      <c r="M787" s="716"/>
      <c r="N787" s="729"/>
      <c r="O787" s="716"/>
      <c r="P787" s="689"/>
      <c r="Q787" s="28">
        <f>R776</f>
        <v>1</v>
      </c>
      <c r="R787" s="28" t="s">
        <v>315</v>
      </c>
      <c r="S787" s="28">
        <f>R776</f>
        <v>1</v>
      </c>
      <c r="T787" s="798"/>
      <c r="U787" s="14"/>
      <c r="V787" s="97"/>
    </row>
    <row r="788" spans="1:22" ht="18" hidden="1" customHeight="1">
      <c r="A788" s="184"/>
      <c r="L788" s="244"/>
      <c r="V788" s="185"/>
    </row>
    <row r="789" spans="1:22" ht="18" hidden="1" customHeight="1">
      <c r="A789" s="184"/>
      <c r="C789" s="30" t="s">
        <v>127</v>
      </c>
      <c r="D789" s="812" t="e">
        <f>D786*F786*(I786/I787)*(M786+O786+(Q786/(Q787*S787)))</f>
        <v>#VALUE!</v>
      </c>
      <c r="E789" s="813"/>
      <c r="F789" s="30" t="s">
        <v>305</v>
      </c>
      <c r="L789" s="244"/>
      <c r="V789" s="185"/>
    </row>
    <row r="790" spans="1:22" ht="18" hidden="1" customHeight="1">
      <c r="A790" s="184"/>
      <c r="L790" s="244"/>
      <c r="V790" s="185"/>
    </row>
    <row r="791" spans="1:22" s="14" customFormat="1" ht="18" hidden="1" customHeight="1">
      <c r="A791" s="799" t="s">
        <v>417</v>
      </c>
      <c r="B791" s="802"/>
      <c r="C791" s="802"/>
      <c r="D791" s="689"/>
      <c r="E791" s="689"/>
      <c r="F791" s="689" t="str">
        <f>R773</f>
        <v>-</v>
      </c>
      <c r="G791" s="684"/>
      <c r="H791" s="689" t="s">
        <v>315</v>
      </c>
      <c r="I791" s="708">
        <f>R775</f>
        <v>1</v>
      </c>
      <c r="J791" s="828"/>
      <c r="K791" s="689" t="s">
        <v>315</v>
      </c>
      <c r="L791" s="802" t="s">
        <v>419</v>
      </c>
      <c r="M791" s="716" t="str">
        <f>R777</f>
        <v>-</v>
      </c>
      <c r="N791" s="729" t="s">
        <v>347</v>
      </c>
      <c r="O791" s="1214">
        <f>R778</f>
        <v>1.1667743100000001</v>
      </c>
      <c r="P791" s="689" t="s">
        <v>347</v>
      </c>
      <c r="Q791" s="833">
        <f>R779</f>
        <v>0.02</v>
      </c>
      <c r="R791" s="797"/>
      <c r="S791" s="797"/>
      <c r="T791" s="798" t="s">
        <v>350</v>
      </c>
      <c r="U791" s="230" t="s">
        <v>618</v>
      </c>
      <c r="V791" s="97"/>
    </row>
    <row r="792" spans="1:22" ht="18" hidden="1" customHeight="1">
      <c r="A792" s="827"/>
      <c r="B792" s="802"/>
      <c r="C792" s="802"/>
      <c r="D792" s="689"/>
      <c r="E792" s="689"/>
      <c r="F792" s="684"/>
      <c r="G792" s="684"/>
      <c r="H792" s="689"/>
      <c r="I792" s="689" t="str">
        <f>R769</f>
        <v>-</v>
      </c>
      <c r="J792" s="723"/>
      <c r="K792" s="689"/>
      <c r="L792" s="802"/>
      <c r="M792" s="716"/>
      <c r="N792" s="729"/>
      <c r="O792" s="716"/>
      <c r="P792" s="689"/>
      <c r="Q792" s="28">
        <f>R776</f>
        <v>1</v>
      </c>
      <c r="R792" s="28" t="s">
        <v>315</v>
      </c>
      <c r="S792" s="28">
        <f>R776</f>
        <v>1</v>
      </c>
      <c r="T792" s="798"/>
      <c r="U792" s="14"/>
      <c r="V792" s="97"/>
    </row>
    <row r="793" spans="1:22" ht="18" hidden="1" customHeight="1">
      <c r="A793" s="184"/>
      <c r="V793" s="185"/>
    </row>
    <row r="794" spans="1:22" ht="18" hidden="1" customHeight="1">
      <c r="A794" s="184"/>
      <c r="C794" s="30" t="s">
        <v>127</v>
      </c>
      <c r="D794" s="812" t="e">
        <f>F791*(I791/I792)*(M791+O791+(Q791/(Q792*S792)))</f>
        <v>#VALUE!</v>
      </c>
      <c r="E794" s="813"/>
      <c r="F794" s="30" t="s">
        <v>305</v>
      </c>
      <c r="G794" s="187" t="s">
        <v>378</v>
      </c>
      <c r="H794" s="186" t="str">
        <f>IF(M766="y","Applicable","Not applicable")</f>
        <v>Not applicable</v>
      </c>
      <c r="V794" s="185"/>
    </row>
    <row r="795" spans="1:22" ht="18" hidden="1" customHeight="1">
      <c r="A795" s="184"/>
      <c r="V795" s="185"/>
    </row>
    <row r="796" spans="1:22" ht="18" hidden="1" customHeight="1">
      <c r="A796" s="194"/>
      <c r="B796" s="195"/>
      <c r="C796" s="195"/>
      <c r="D796" s="195"/>
      <c r="E796" s="195"/>
      <c r="F796" s="195"/>
      <c r="G796" s="195"/>
      <c r="H796" s="195"/>
      <c r="I796" s="195"/>
      <c r="J796" s="195"/>
      <c r="K796" s="195"/>
      <c r="L796" s="195"/>
      <c r="M796" s="195"/>
      <c r="N796" s="195"/>
      <c r="O796" s="195"/>
      <c r="P796" s="195"/>
      <c r="Q796" s="224"/>
      <c r="R796" s="182"/>
      <c r="S796" s="225"/>
      <c r="T796" s="195"/>
      <c r="U796" s="195"/>
      <c r="V796" s="134"/>
    </row>
    <row r="797" spans="1:22" ht="18" hidden="1" customHeight="1">
      <c r="A797" s="226"/>
      <c r="B797" s="227"/>
      <c r="C797" s="227"/>
      <c r="D797" s="227"/>
      <c r="E797" s="227"/>
      <c r="F797" s="227"/>
      <c r="G797" s="227"/>
      <c r="H797" s="227"/>
      <c r="I797" s="227"/>
      <c r="J797" s="227"/>
      <c r="K797" s="227"/>
      <c r="L797" s="227"/>
      <c r="M797" s="227"/>
      <c r="N797" s="227"/>
      <c r="O797" s="227"/>
      <c r="P797" s="227"/>
      <c r="Q797" s="227"/>
      <c r="R797" s="227"/>
      <c r="S797" s="227"/>
      <c r="T797" s="227"/>
      <c r="U797" s="227"/>
      <c r="V797" s="228"/>
    </row>
    <row r="798" spans="1:22" ht="18" hidden="1" customHeight="1">
      <c r="A798" s="184" t="s">
        <v>634</v>
      </c>
      <c r="M798" s="825" t="str">
        <f>R769</f>
        <v>-</v>
      </c>
      <c r="N798" s="826"/>
      <c r="O798" s="30" t="s">
        <v>470</v>
      </c>
      <c r="Q798" s="812" t="e">
        <f>IF(M766="Y",MAX(D784,D794),MAX(D784,D789))</f>
        <v>#VALUE!</v>
      </c>
      <c r="R798" s="820"/>
      <c r="S798" s="30" t="s">
        <v>305</v>
      </c>
      <c r="V798" s="185"/>
    </row>
    <row r="799" spans="1:22" ht="18" hidden="1" customHeight="1">
      <c r="A799" s="184"/>
      <c r="M799" s="247"/>
      <c r="N799" s="247"/>
      <c r="Q799" s="211"/>
      <c r="R799" s="27"/>
      <c r="V799" s="185"/>
    </row>
    <row r="800" spans="1:22" ht="18" hidden="1" customHeight="1">
      <c r="A800" s="248" t="s">
        <v>471</v>
      </c>
      <c r="B800" s="14"/>
      <c r="C800" s="14"/>
      <c r="D800" s="249"/>
      <c r="E800" s="14"/>
      <c r="F800" s="14"/>
      <c r="G800" s="47"/>
      <c r="H800" s="14"/>
      <c r="J800" s="14"/>
      <c r="K800" s="14"/>
      <c r="L800" s="14"/>
      <c r="M800" s="14"/>
      <c r="N800" s="14"/>
      <c r="O800" s="14"/>
      <c r="P800" s="250"/>
      <c r="Q800" s="251"/>
      <c r="R800" s="47"/>
      <c r="S800" s="14"/>
      <c r="V800" s="185"/>
    </row>
    <row r="801" spans="1:22" ht="18" hidden="1" customHeight="1">
      <c r="A801" s="248"/>
      <c r="B801" s="14"/>
      <c r="C801" s="14"/>
      <c r="D801" s="249"/>
      <c r="E801" s="14"/>
      <c r="F801" s="14"/>
      <c r="G801" s="47"/>
      <c r="H801" s="14"/>
      <c r="J801" s="14"/>
      <c r="K801" s="14"/>
      <c r="L801" s="14"/>
      <c r="M801" s="14"/>
      <c r="N801" s="14"/>
      <c r="O801" s="14"/>
      <c r="P801" s="250"/>
      <c r="Q801" s="251"/>
      <c r="R801" s="47"/>
      <c r="S801" s="14"/>
      <c r="V801" s="185"/>
    </row>
    <row r="802" spans="1:22" ht="18" hidden="1" customHeight="1">
      <c r="A802" s="96" t="s">
        <v>500</v>
      </c>
      <c r="V802" s="185"/>
    </row>
    <row r="803" spans="1:22" ht="18" hidden="1" customHeight="1">
      <c r="A803" s="184"/>
      <c r="N803" s="14"/>
      <c r="O803" s="14" t="s">
        <v>473</v>
      </c>
      <c r="P803" s="102" t="s">
        <v>127</v>
      </c>
      <c r="Q803" s="249" t="s">
        <v>474</v>
      </c>
      <c r="R803" s="14"/>
      <c r="S803" s="28" t="s">
        <v>315</v>
      </c>
      <c r="T803" s="28">
        <v>0.8</v>
      </c>
      <c r="V803" s="185"/>
    </row>
    <row r="804" spans="1:22" ht="18" hidden="1" customHeight="1">
      <c r="A804" s="184"/>
      <c r="N804" s="252"/>
      <c r="O804" s="14"/>
      <c r="P804" s="102" t="s">
        <v>127</v>
      </c>
      <c r="Q804" s="829" t="e">
        <f>+Q798</f>
        <v>#VALUE!</v>
      </c>
      <c r="R804" s="829"/>
      <c r="S804" s="222" t="s">
        <v>315</v>
      </c>
      <c r="T804" s="253">
        <f>+T803</f>
        <v>0.8</v>
      </c>
      <c r="V804" s="185"/>
    </row>
    <row r="805" spans="1:22" ht="18" hidden="1" customHeight="1">
      <c r="A805" s="184"/>
      <c r="O805" s="14"/>
      <c r="P805" s="28" t="s">
        <v>127</v>
      </c>
      <c r="Q805" s="830" t="e">
        <f>Q804*T804</f>
        <v>#VALUE!</v>
      </c>
      <c r="R805" s="1270"/>
      <c r="S805" s="47" t="s">
        <v>305</v>
      </c>
      <c r="T805" s="14"/>
      <c r="V805" s="185"/>
    </row>
    <row r="806" spans="1:22" ht="18" hidden="1" customHeight="1">
      <c r="A806" s="184"/>
      <c r="V806" s="185"/>
    </row>
    <row r="807" spans="1:22" ht="18" hidden="1" customHeight="1">
      <c r="A807" s="184"/>
      <c r="D807" s="30" t="s">
        <v>475</v>
      </c>
      <c r="G807" s="27" t="e">
        <f>IF(E808&gt;H808,"&gt;","&lt;")</f>
        <v>#VALUE!</v>
      </c>
      <c r="H807" s="30" t="s">
        <v>477</v>
      </c>
      <c r="V807" s="185"/>
    </row>
    <row r="808" spans="1:22" ht="18" hidden="1" customHeight="1">
      <c r="A808" s="184"/>
      <c r="E808" s="684" t="str">
        <f>L716</f>
        <v>-</v>
      </c>
      <c r="F808" s="684"/>
      <c r="G808" s="27" t="e">
        <f>G807</f>
        <v>#VALUE!</v>
      </c>
      <c r="H808" s="795" t="e">
        <f>Q805</f>
        <v>#VALUE!</v>
      </c>
      <c r="I808" s="684"/>
      <c r="V808" s="185"/>
    </row>
    <row r="809" spans="1:22" ht="18" hidden="1" customHeight="1">
      <c r="A809" s="184"/>
      <c r="F809" s="244" t="s">
        <v>478</v>
      </c>
      <c r="H809" s="18" t="e">
        <f>IF(G807="&gt;","Suitably Dimensioned","Under Dimensioned")</f>
        <v>#VALUE!</v>
      </c>
      <c r="V809" s="185"/>
    </row>
    <row r="810" spans="1:22" ht="18" hidden="1" customHeight="1">
      <c r="A810" s="184"/>
      <c r="F810" s="244"/>
      <c r="H810" s="18"/>
      <c r="V810" s="185"/>
    </row>
    <row r="811" spans="1:22" ht="18" hidden="1" customHeight="1">
      <c r="A811" s="184"/>
      <c r="F811" s="244"/>
      <c r="H811" s="18"/>
      <c r="V811" s="185"/>
    </row>
    <row r="812" spans="1:22" ht="18" hidden="1" customHeight="1">
      <c r="A812" s="184"/>
      <c r="F812" s="244"/>
      <c r="H812" s="18"/>
      <c r="V812" s="185"/>
    </row>
    <row r="813" spans="1:22" ht="18" hidden="1" customHeight="1">
      <c r="A813" s="184"/>
      <c r="F813" s="244"/>
      <c r="H813" s="18"/>
      <c r="V813" s="185"/>
    </row>
    <row r="814" spans="1:22" ht="18" hidden="1" customHeight="1">
      <c r="A814" s="184"/>
      <c r="F814" s="244"/>
      <c r="H814" s="18"/>
      <c r="V814" s="185"/>
    </row>
    <row r="815" spans="1:22" ht="18" hidden="1" customHeight="1">
      <c r="A815" s="184"/>
      <c r="F815" s="244"/>
      <c r="H815" s="18"/>
      <c r="V815" s="185"/>
    </row>
    <row r="816" spans="1:22" ht="18" hidden="1" customHeight="1">
      <c r="A816" s="184"/>
      <c r="F816" s="244"/>
      <c r="H816" s="18"/>
      <c r="V816" s="185"/>
    </row>
    <row r="817" spans="1:22" ht="18" hidden="1" customHeight="1">
      <c r="A817" s="184"/>
      <c r="F817" s="244"/>
      <c r="H817" s="18"/>
      <c r="V817" s="185"/>
    </row>
    <row r="818" spans="1:22" ht="18" hidden="1" customHeight="1">
      <c r="A818" s="184"/>
      <c r="F818" s="244"/>
      <c r="H818" s="18"/>
      <c r="V818" s="185"/>
    </row>
    <row r="819" spans="1:22" ht="18" hidden="1" customHeight="1">
      <c r="A819" s="184"/>
      <c r="F819" s="244"/>
      <c r="H819" s="18"/>
      <c r="V819" s="185"/>
    </row>
    <row r="820" spans="1:22" ht="18" hidden="1" customHeight="1">
      <c r="A820" s="184"/>
      <c r="F820" s="244"/>
      <c r="H820" s="18"/>
      <c r="V820" s="185"/>
    </row>
    <row r="821" spans="1:22" ht="18" hidden="1" customHeight="1">
      <c r="A821" s="184"/>
      <c r="F821" s="244"/>
      <c r="H821" s="18"/>
      <c r="V821" s="185"/>
    </row>
    <row r="822" spans="1:22" ht="18" hidden="1" customHeight="1">
      <c r="A822" s="184"/>
      <c r="F822" s="244"/>
      <c r="H822" s="18"/>
      <c r="V822" s="185"/>
    </row>
    <row r="823" spans="1:22" ht="18" hidden="1" customHeight="1">
      <c r="A823" s="184"/>
      <c r="F823" s="244"/>
      <c r="H823" s="18"/>
      <c r="V823" s="185"/>
    </row>
    <row r="824" spans="1:22" ht="18" hidden="1" customHeight="1">
      <c r="A824" s="184"/>
      <c r="F824" s="244"/>
      <c r="H824" s="18"/>
      <c r="V824" s="185"/>
    </row>
    <row r="825" spans="1:22" ht="18" hidden="1" customHeight="1">
      <c r="A825" s="184"/>
      <c r="F825" s="244"/>
      <c r="H825" s="18"/>
      <c r="V825" s="185"/>
    </row>
    <row r="826" spans="1:22" ht="18" hidden="1" customHeight="1">
      <c r="A826" s="184"/>
      <c r="F826" s="244"/>
      <c r="H826" s="18"/>
      <c r="V826" s="185"/>
    </row>
    <row r="827" spans="1:22" ht="18" hidden="1" customHeight="1">
      <c r="A827" s="184"/>
      <c r="F827" s="244"/>
      <c r="H827" s="18"/>
      <c r="V827" s="185"/>
    </row>
    <row r="828" spans="1:22" ht="18" hidden="1" customHeight="1">
      <c r="A828" s="184"/>
      <c r="F828" s="244"/>
      <c r="H828" s="18"/>
      <c r="V828" s="185"/>
    </row>
    <row r="829" spans="1:22" ht="18" hidden="1" customHeight="1">
      <c r="A829" s="184"/>
      <c r="F829" s="244"/>
      <c r="H829" s="18"/>
      <c r="V829" s="185"/>
    </row>
    <row r="830" spans="1:22" ht="18" hidden="1" customHeight="1">
      <c r="A830" s="184"/>
      <c r="F830" s="244"/>
      <c r="H830" s="18"/>
      <c r="V830" s="185"/>
    </row>
    <row r="831" spans="1:22" ht="18" hidden="1" customHeight="1">
      <c r="A831" s="184"/>
      <c r="F831" s="244"/>
      <c r="H831" s="18"/>
      <c r="V831" s="185"/>
    </row>
    <row r="832" spans="1:22" ht="18" hidden="1" customHeight="1">
      <c r="A832" s="184"/>
      <c r="F832" s="244"/>
      <c r="H832" s="18"/>
      <c r="V832" s="185"/>
    </row>
    <row r="833" spans="1:22" ht="18" hidden="1" customHeight="1">
      <c r="A833" s="184"/>
      <c r="F833" s="244"/>
      <c r="H833" s="18"/>
      <c r="V833" s="185"/>
    </row>
    <row r="834" spans="1:22" ht="18" hidden="1" customHeight="1">
      <c r="A834" s="184"/>
      <c r="F834" s="244"/>
      <c r="H834" s="18"/>
      <c r="V834" s="185"/>
    </row>
    <row r="835" spans="1:22" s="14" customFormat="1" ht="18" hidden="1" customHeight="1">
      <c r="A835" s="184"/>
      <c r="B835" s="30"/>
      <c r="C835" s="30"/>
      <c r="D835" s="30"/>
      <c r="E835" s="30"/>
      <c r="F835" s="244"/>
      <c r="G835" s="30"/>
      <c r="H835" s="18"/>
      <c r="I835" s="30"/>
      <c r="J835" s="30"/>
      <c r="K835" s="30"/>
      <c r="L835" s="30"/>
      <c r="M835" s="30"/>
      <c r="N835" s="30"/>
      <c r="O835" s="30"/>
      <c r="P835" s="30"/>
      <c r="Q835" s="30"/>
      <c r="R835" s="30"/>
      <c r="S835" s="30"/>
      <c r="T835" s="30"/>
      <c r="U835" s="30"/>
      <c r="V835" s="185"/>
    </row>
    <row r="836" spans="1:22" ht="18" hidden="1" customHeight="1">
      <c r="A836" s="184"/>
      <c r="F836" s="244"/>
      <c r="H836" s="18"/>
      <c r="V836" s="185"/>
    </row>
    <row r="837" spans="1:22" ht="18" hidden="1" customHeight="1">
      <c r="A837" s="184"/>
      <c r="F837" s="244"/>
      <c r="H837" s="18"/>
      <c r="V837" s="185"/>
    </row>
    <row r="838" spans="1:22" ht="18" hidden="1" customHeight="1">
      <c r="A838" s="184"/>
      <c r="F838" s="244"/>
      <c r="H838" s="18"/>
      <c r="V838" s="185"/>
    </row>
    <row r="839" spans="1:22" ht="18" hidden="1" customHeight="1">
      <c r="A839" s="184"/>
      <c r="F839" s="244"/>
      <c r="H839" s="18"/>
      <c r="V839" s="185"/>
    </row>
    <row r="840" spans="1:22" ht="18" hidden="1" customHeight="1">
      <c r="A840" s="194"/>
      <c r="B840" s="195"/>
      <c r="C840" s="195"/>
      <c r="D840" s="195"/>
      <c r="E840" s="195"/>
      <c r="F840" s="195"/>
      <c r="G840" s="195"/>
      <c r="H840" s="195"/>
      <c r="I840" s="195"/>
      <c r="J840" s="195"/>
      <c r="K840" s="195"/>
      <c r="L840" s="195"/>
      <c r="M840" s="195"/>
      <c r="N840" s="195"/>
      <c r="O840" s="195"/>
      <c r="P840" s="195"/>
      <c r="Q840" s="224"/>
      <c r="R840" s="182"/>
      <c r="S840" s="225"/>
      <c r="T840" s="195"/>
      <c r="U840" s="195"/>
      <c r="V840" s="134"/>
    </row>
    <row r="841" spans="1:22" ht="18" hidden="1" customHeight="1">
      <c r="A841" s="226"/>
      <c r="B841" s="227"/>
      <c r="C841" s="227"/>
      <c r="D841" s="227"/>
      <c r="E841" s="227"/>
      <c r="F841" s="227"/>
      <c r="G841" s="227"/>
      <c r="H841" s="227"/>
      <c r="I841" s="227"/>
      <c r="J841" s="227"/>
      <c r="K841" s="227"/>
      <c r="L841" s="227"/>
      <c r="M841" s="227"/>
      <c r="N841" s="227"/>
      <c r="O841" s="227"/>
      <c r="P841" s="227"/>
      <c r="Q841" s="227"/>
      <c r="R841" s="227"/>
      <c r="S841" s="227"/>
      <c r="T841" s="227"/>
      <c r="U841" s="227"/>
      <c r="V841" s="228"/>
    </row>
    <row r="842" spans="1:22" ht="18" hidden="1" customHeight="1">
      <c r="A842" s="262" t="s">
        <v>501</v>
      </c>
      <c r="B842" s="14"/>
      <c r="C842" s="14"/>
      <c r="D842" s="120"/>
      <c r="E842" s="120"/>
      <c r="F842" s="18"/>
      <c r="G842" s="18"/>
      <c r="H842" s="14"/>
      <c r="I842" s="14"/>
      <c r="J842" s="14"/>
      <c r="K842" s="14"/>
      <c r="L842" s="14"/>
      <c r="M842" s="14"/>
      <c r="N842" s="14"/>
      <c r="O842" s="14"/>
      <c r="P842" s="28"/>
      <c r="Q842" s="120"/>
      <c r="R842" s="47"/>
      <c r="S842" s="206"/>
      <c r="T842" s="259"/>
      <c r="U842" s="14"/>
      <c r="V842" s="97"/>
    </row>
    <row r="843" spans="1:22" ht="18" hidden="1" customHeight="1">
      <c r="A843" s="955" t="s">
        <v>85</v>
      </c>
      <c r="B843" s="956"/>
      <c r="C843" s="1132"/>
      <c r="D843" s="955" t="s">
        <v>86</v>
      </c>
      <c r="E843" s="1146"/>
      <c r="F843" s="1146"/>
      <c r="G843" s="1132"/>
      <c r="H843" s="955" t="s">
        <v>87</v>
      </c>
      <c r="I843" s="957"/>
      <c r="J843" s="955" t="s">
        <v>88</v>
      </c>
      <c r="K843" s="1132"/>
      <c r="L843" s="955" t="s">
        <v>502</v>
      </c>
      <c r="M843" s="956"/>
      <c r="N843" s="957" t="s">
        <v>556</v>
      </c>
      <c r="O843" s="955" t="s">
        <v>503</v>
      </c>
      <c r="P843" s="956"/>
      <c r="Q843" s="1132"/>
      <c r="R843" s="955" t="s">
        <v>646</v>
      </c>
      <c r="S843" s="1277"/>
      <c r="T843" s="1278"/>
      <c r="U843" s="955" t="s">
        <v>505</v>
      </c>
      <c r="V843" s="1139"/>
    </row>
    <row r="844" spans="1:22" ht="18" hidden="1" customHeight="1">
      <c r="A844" s="1125"/>
      <c r="B844" s="983"/>
      <c r="C844" s="1133"/>
      <c r="D844" s="1136"/>
      <c r="E844" s="1135"/>
      <c r="F844" s="1135"/>
      <c r="G844" s="1133"/>
      <c r="H844" s="1125"/>
      <c r="I844" s="1126"/>
      <c r="J844" s="1136"/>
      <c r="K844" s="1133"/>
      <c r="L844" s="1125"/>
      <c r="M844" s="983"/>
      <c r="N844" s="1126"/>
      <c r="O844" s="1125"/>
      <c r="P844" s="983"/>
      <c r="Q844" s="1133"/>
      <c r="R844" s="1279"/>
      <c r="S844" s="1277"/>
      <c r="T844" s="1278"/>
      <c r="U844" s="1140"/>
      <c r="V844" s="1141"/>
    </row>
    <row r="845" spans="1:22" ht="18" hidden="1" customHeight="1">
      <c r="A845" s="1047"/>
      <c r="B845" s="1048"/>
      <c r="C845" s="1134"/>
      <c r="D845" s="1137"/>
      <c r="E845" s="1138"/>
      <c r="F845" s="1138"/>
      <c r="G845" s="1134"/>
      <c r="H845" s="1047"/>
      <c r="I845" s="1049"/>
      <c r="J845" s="1137"/>
      <c r="K845" s="1134"/>
      <c r="L845" s="1047"/>
      <c r="M845" s="1048"/>
      <c r="N845" s="1049"/>
      <c r="O845" s="1047"/>
      <c r="P845" s="1048"/>
      <c r="Q845" s="1134"/>
      <c r="R845" s="1280"/>
      <c r="S845" s="1281"/>
      <c r="T845" s="1282"/>
      <c r="U845" s="1142"/>
      <c r="V845" s="1143"/>
    </row>
    <row r="846" spans="1:22" ht="18" hidden="1" customHeight="1">
      <c r="A846" s="1283" t="str">
        <f>B710</f>
        <v>BCT13,14,15</v>
      </c>
      <c r="B846" s="1284">
        <f>B711</f>
        <v>0</v>
      </c>
      <c r="C846" s="871" t="str">
        <f>D710</f>
        <v>Core2</v>
      </c>
      <c r="D846" s="871">
        <f>H581</f>
        <v>1200</v>
      </c>
      <c r="E846" s="871" t="str">
        <f>J581</f>
        <v>-</v>
      </c>
      <c r="F846" s="871" t="str">
        <f>L713</f>
        <v>-</v>
      </c>
      <c r="G846" s="871">
        <f>O581</f>
        <v>1</v>
      </c>
      <c r="H846" s="871">
        <f>'CT-VT Burdens'!S21</f>
        <v>120</v>
      </c>
      <c r="I846" s="1036">
        <f>'CT-VT Burdens'!S10</f>
        <v>6</v>
      </c>
      <c r="J846" s="869" t="str">
        <f>J582</f>
        <v>TPS</v>
      </c>
      <c r="K846" s="869"/>
      <c r="L846" s="871">
        <f>H456</f>
        <v>5</v>
      </c>
      <c r="M846" s="871" t="str">
        <f>J583</f>
        <v>-</v>
      </c>
      <c r="N846" s="871" t="str">
        <f>L715</f>
        <v>-</v>
      </c>
      <c r="O846" s="871">
        <f>H457</f>
        <v>430</v>
      </c>
      <c r="P846" s="871" t="str">
        <f>J584</f>
        <v>-</v>
      </c>
      <c r="Q846" s="871" t="str">
        <f>L716</f>
        <v>-</v>
      </c>
      <c r="R846" s="871">
        <f>H458</f>
        <v>20</v>
      </c>
      <c r="S846" s="871" t="str">
        <f>J585</f>
        <v>-</v>
      </c>
      <c r="T846" s="871" t="str">
        <f>L717</f>
        <v>-</v>
      </c>
      <c r="U846" s="869" t="str">
        <f>D589</f>
        <v>RET670</v>
      </c>
      <c r="V846" s="869"/>
    </row>
    <row r="847" spans="1:22" ht="18" hidden="1" customHeight="1">
      <c r="A847" s="765">
        <f>B711</f>
        <v>0</v>
      </c>
      <c r="B847" s="1144">
        <f>A712</f>
        <v>0</v>
      </c>
      <c r="C847" s="1130"/>
      <c r="D847" s="1130"/>
      <c r="E847" s="1130"/>
      <c r="F847" s="1130"/>
      <c r="G847" s="1130"/>
      <c r="H847" s="1130"/>
      <c r="I847" s="1130"/>
      <c r="J847" s="1129"/>
      <c r="K847" s="1129"/>
      <c r="L847" s="1130"/>
      <c r="M847" s="1130"/>
      <c r="N847" s="1130"/>
      <c r="O847" s="1130"/>
      <c r="P847" s="1130"/>
      <c r="Q847" s="1130"/>
      <c r="R847" s="1130"/>
      <c r="S847" s="1130"/>
      <c r="T847" s="1130"/>
      <c r="U847" s="1129"/>
      <c r="V847" s="1129"/>
    </row>
    <row r="848" spans="1:22" ht="18" hidden="1" customHeight="1">
      <c r="A848" s="765">
        <f>A712</f>
        <v>0</v>
      </c>
      <c r="B848" s="1144" t="str">
        <f>B713</f>
        <v>CT Ratio:</v>
      </c>
      <c r="C848" s="1131"/>
      <c r="D848" s="1131"/>
      <c r="E848" s="1131"/>
      <c r="F848" s="1131"/>
      <c r="G848" s="1131"/>
      <c r="H848" s="1131"/>
      <c r="I848" s="1131"/>
      <c r="J848" s="1129"/>
      <c r="K848" s="1129"/>
      <c r="L848" s="1131"/>
      <c r="M848" s="1131"/>
      <c r="N848" s="1131"/>
      <c r="O848" s="1131"/>
      <c r="P848" s="1131"/>
      <c r="Q848" s="1131"/>
      <c r="R848" s="1131"/>
      <c r="S848" s="1131"/>
      <c r="T848" s="1131"/>
      <c r="U848" s="1129"/>
      <c r="V848" s="1129"/>
    </row>
    <row r="849" spans="1:22" ht="18" hidden="1" customHeight="1">
      <c r="A849" s="184"/>
      <c r="V849" s="185"/>
    </row>
    <row r="850" spans="1:22" ht="18" hidden="1" customHeight="1">
      <c r="A850" s="184"/>
      <c r="V850" s="185"/>
    </row>
    <row r="851" spans="1:22" ht="18" hidden="1" customHeight="1">
      <c r="A851" s="184"/>
      <c r="V851" s="185"/>
    </row>
    <row r="852" spans="1:22" ht="18" hidden="1" customHeight="1">
      <c r="A852" s="184"/>
      <c r="V852" s="185"/>
    </row>
    <row r="853" spans="1:22" ht="18" hidden="1" customHeight="1">
      <c r="A853" s="184"/>
      <c r="V853" s="185"/>
    </row>
    <row r="854" spans="1:22" ht="18" hidden="1" customHeight="1">
      <c r="A854" s="184"/>
      <c r="V854" s="185"/>
    </row>
    <row r="855" spans="1:22" ht="18" hidden="1" customHeight="1">
      <c r="A855" s="184"/>
      <c r="V855" s="185"/>
    </row>
    <row r="856" spans="1:22" ht="18" hidden="1" customHeight="1">
      <c r="A856" s="184"/>
      <c r="V856" s="185"/>
    </row>
    <row r="857" spans="1:22" ht="18" hidden="1" customHeight="1">
      <c r="A857" s="184"/>
      <c r="V857" s="185"/>
    </row>
    <row r="858" spans="1:22" ht="18" hidden="1" customHeight="1">
      <c r="A858" s="184"/>
      <c r="V858" s="185"/>
    </row>
    <row r="859" spans="1:22" ht="18" hidden="1" customHeight="1">
      <c r="A859" s="184"/>
      <c r="V859" s="185"/>
    </row>
    <row r="860" spans="1:22" ht="18" hidden="1" customHeight="1">
      <c r="A860" s="184"/>
      <c r="V860" s="185"/>
    </row>
    <row r="861" spans="1:22" ht="18" hidden="1" customHeight="1">
      <c r="A861" s="184"/>
      <c r="V861" s="185"/>
    </row>
    <row r="862" spans="1:22" ht="18" hidden="1" customHeight="1">
      <c r="A862" s="184"/>
      <c r="V862" s="185"/>
    </row>
    <row r="863" spans="1:22" ht="18" hidden="1" customHeight="1">
      <c r="A863" s="184"/>
      <c r="V863" s="185"/>
    </row>
    <row r="864" spans="1:22" ht="18" hidden="1" customHeight="1">
      <c r="A864" s="184"/>
      <c r="V864" s="185"/>
    </row>
    <row r="865" spans="1:22" ht="18" hidden="1" customHeight="1">
      <c r="A865" s="184"/>
      <c r="V865" s="185"/>
    </row>
    <row r="866" spans="1:22" ht="18" hidden="1" customHeight="1">
      <c r="A866" s="184"/>
      <c r="V866" s="185"/>
    </row>
    <row r="867" spans="1:22" ht="18" hidden="1" customHeight="1">
      <c r="A867" s="184"/>
      <c r="V867" s="185"/>
    </row>
    <row r="868" spans="1:22" ht="18" hidden="1" customHeight="1">
      <c r="A868" s="184"/>
      <c r="V868" s="185"/>
    </row>
    <row r="869" spans="1:22" ht="18" hidden="1" customHeight="1">
      <c r="A869" s="184"/>
      <c r="V869" s="185"/>
    </row>
    <row r="870" spans="1:22" ht="18" hidden="1" customHeight="1">
      <c r="A870" s="184"/>
      <c r="V870" s="185"/>
    </row>
    <row r="871" spans="1:22" ht="18" hidden="1" customHeight="1">
      <c r="A871" s="184"/>
      <c r="V871" s="185"/>
    </row>
    <row r="872" spans="1:22" ht="18" hidden="1" customHeight="1">
      <c r="A872" s="184"/>
      <c r="V872" s="185"/>
    </row>
    <row r="873" spans="1:22" ht="18" hidden="1" customHeight="1">
      <c r="A873" s="184"/>
      <c r="V873" s="185"/>
    </row>
    <row r="874" spans="1:22" ht="18" hidden="1" customHeight="1">
      <c r="A874" s="184"/>
      <c r="V874" s="185"/>
    </row>
    <row r="875" spans="1:22" ht="18" hidden="1" customHeight="1">
      <c r="A875" s="184"/>
      <c r="V875" s="185"/>
    </row>
    <row r="876" spans="1:22" ht="18" hidden="1" customHeight="1">
      <c r="A876" s="184"/>
      <c r="V876" s="185"/>
    </row>
    <row r="877" spans="1:22" ht="18" hidden="1" customHeight="1">
      <c r="A877" s="184"/>
      <c r="V877" s="185"/>
    </row>
    <row r="878" spans="1:22" ht="18" hidden="1" customHeight="1">
      <c r="A878" s="184"/>
      <c r="V878" s="185"/>
    </row>
    <row r="879" spans="1:22" s="14" customFormat="1" ht="18" hidden="1" customHeight="1">
      <c r="A879" s="184"/>
      <c r="B879" s="30"/>
      <c r="C879" s="30"/>
      <c r="D879" s="30"/>
      <c r="E879" s="30"/>
      <c r="F879" s="30"/>
      <c r="G879" s="30"/>
      <c r="H879" s="30"/>
      <c r="I879" s="30"/>
      <c r="J879" s="30"/>
      <c r="K879" s="30"/>
      <c r="L879" s="30"/>
      <c r="M879" s="30"/>
      <c r="N879" s="30"/>
      <c r="O879" s="30"/>
      <c r="P879" s="30"/>
      <c r="Q879" s="30"/>
      <c r="R879" s="30"/>
      <c r="S879" s="30"/>
      <c r="T879" s="30"/>
      <c r="U879" s="30"/>
      <c r="V879" s="185"/>
    </row>
    <row r="880" spans="1:22" ht="18" hidden="1" customHeight="1">
      <c r="A880" s="184"/>
      <c r="V880" s="185"/>
    </row>
    <row r="881" spans="1:22" ht="18" hidden="1" customHeight="1">
      <c r="A881" s="184"/>
      <c r="V881" s="185"/>
    </row>
    <row r="882" spans="1:22" ht="18" hidden="1" customHeight="1">
      <c r="A882" s="184"/>
      <c r="V882" s="185"/>
    </row>
    <row r="883" spans="1:22" ht="18" hidden="1" customHeight="1">
      <c r="A883" s="184"/>
      <c r="V883" s="185"/>
    </row>
    <row r="884" spans="1:22" ht="18" hidden="1" customHeight="1">
      <c r="A884" s="194"/>
      <c r="B884" s="195"/>
      <c r="C884" s="195"/>
      <c r="D884" s="195"/>
      <c r="E884" s="195"/>
      <c r="F884" s="195"/>
      <c r="G884" s="195"/>
      <c r="H884" s="195"/>
      <c r="I884" s="195"/>
      <c r="J884" s="195"/>
      <c r="K884" s="195"/>
      <c r="L884" s="195"/>
      <c r="M884" s="195"/>
      <c r="N884" s="195"/>
      <c r="O884" s="195"/>
      <c r="P884" s="195"/>
      <c r="Q884" s="224"/>
      <c r="R884" s="182"/>
      <c r="S884" s="225"/>
      <c r="T884" s="195"/>
      <c r="U884" s="195"/>
      <c r="V884" s="134"/>
    </row>
  </sheetData>
  <mergeCells count="963">
    <mergeCell ref="U843:V845"/>
    <mergeCell ref="A846:B846"/>
    <mergeCell ref="C846:C848"/>
    <mergeCell ref="D846:D848"/>
    <mergeCell ref="E846:E848"/>
    <mergeCell ref="F846:F848"/>
    <mergeCell ref="G846:G848"/>
    <mergeCell ref="H846:H848"/>
    <mergeCell ref="I846:I848"/>
    <mergeCell ref="Q846:Q848"/>
    <mergeCell ref="R846:R848"/>
    <mergeCell ref="S846:S848"/>
    <mergeCell ref="T846:T848"/>
    <mergeCell ref="U846:V848"/>
    <mergeCell ref="A847:B847"/>
    <mergeCell ref="A848:B848"/>
    <mergeCell ref="J846:K848"/>
    <mergeCell ref="L846:L848"/>
    <mergeCell ref="M846:M848"/>
    <mergeCell ref="N846:N848"/>
    <mergeCell ref="O846:O848"/>
    <mergeCell ref="P846:P848"/>
    <mergeCell ref="Q804:R804"/>
    <mergeCell ref="Q805:R805"/>
    <mergeCell ref="E808:F808"/>
    <mergeCell ref="H808:I808"/>
    <mergeCell ref="A843:C845"/>
    <mergeCell ref="D843:G845"/>
    <mergeCell ref="H843:I845"/>
    <mergeCell ref="J843:K845"/>
    <mergeCell ref="L843:N845"/>
    <mergeCell ref="O843:Q845"/>
    <mergeCell ref="R843:T845"/>
    <mergeCell ref="Q791:S791"/>
    <mergeCell ref="T791:T792"/>
    <mergeCell ref="I792:J792"/>
    <mergeCell ref="D794:E794"/>
    <mergeCell ref="I787:J787"/>
    <mergeCell ref="D789:E789"/>
    <mergeCell ref="M798:N798"/>
    <mergeCell ref="Q798:R798"/>
    <mergeCell ref="K791:K792"/>
    <mergeCell ref="L791:L792"/>
    <mergeCell ref="M791:M792"/>
    <mergeCell ref="N791:N792"/>
    <mergeCell ref="O791:O792"/>
    <mergeCell ref="P791:P792"/>
    <mergeCell ref="A791:C792"/>
    <mergeCell ref="D791:D792"/>
    <mergeCell ref="E791:E792"/>
    <mergeCell ref="F791:G792"/>
    <mergeCell ref="H791:H792"/>
    <mergeCell ref="I791:J791"/>
    <mergeCell ref="K786:K787"/>
    <mergeCell ref="Q781:S781"/>
    <mergeCell ref="T781:T782"/>
    <mergeCell ref="I782:J782"/>
    <mergeCell ref="D784:E784"/>
    <mergeCell ref="A786:C787"/>
    <mergeCell ref="D786:D787"/>
    <mergeCell ref="E786:E787"/>
    <mergeCell ref="F786:G787"/>
    <mergeCell ref="H786:H787"/>
    <mergeCell ref="I786:J786"/>
    <mergeCell ref="K781:K782"/>
    <mergeCell ref="L781:L782"/>
    <mergeCell ref="M781:M782"/>
    <mergeCell ref="N781:N782"/>
    <mergeCell ref="O781:O782"/>
    <mergeCell ref="P781:P782"/>
    <mergeCell ref="A781:C782"/>
    <mergeCell ref="D781:D782"/>
    <mergeCell ref="E781:E782"/>
    <mergeCell ref="F781:G782"/>
    <mergeCell ref="H781:H782"/>
    <mergeCell ref="I781:J781"/>
    <mergeCell ref="Q786:S786"/>
    <mergeCell ref="T786:T787"/>
    <mergeCell ref="R773:S773"/>
    <mergeCell ref="R775:S775"/>
    <mergeCell ref="R776:S776"/>
    <mergeCell ref="R777:S777"/>
    <mergeCell ref="R778:S778"/>
    <mergeCell ref="R779:S779"/>
    <mergeCell ref="L786:L787"/>
    <mergeCell ref="M786:M787"/>
    <mergeCell ref="N786:N787"/>
    <mergeCell ref="O786:O787"/>
    <mergeCell ref="P786:P787"/>
    <mergeCell ref="M766:N766"/>
    <mergeCell ref="R769:S769"/>
    <mergeCell ref="R770:S770"/>
    <mergeCell ref="R771:S771"/>
    <mergeCell ref="L763:L764"/>
    <mergeCell ref="M763:M764"/>
    <mergeCell ref="N763:N764"/>
    <mergeCell ref="O763:O764"/>
    <mergeCell ref="P763:P764"/>
    <mergeCell ref="Q763:S763"/>
    <mergeCell ref="A760:V761"/>
    <mergeCell ref="A763:C764"/>
    <mergeCell ref="D763:D764"/>
    <mergeCell ref="E763:E764"/>
    <mergeCell ref="F763:G764"/>
    <mergeCell ref="H763:H764"/>
    <mergeCell ref="I763:J763"/>
    <mergeCell ref="K763:K764"/>
    <mergeCell ref="L757:L758"/>
    <mergeCell ref="M757:M758"/>
    <mergeCell ref="N757:N758"/>
    <mergeCell ref="O757:O758"/>
    <mergeCell ref="P757:P758"/>
    <mergeCell ref="Q757:S757"/>
    <mergeCell ref="T763:T764"/>
    <mergeCell ref="I764:J764"/>
    <mergeCell ref="Q754:S754"/>
    <mergeCell ref="T754:T755"/>
    <mergeCell ref="I755:J755"/>
    <mergeCell ref="A757:C758"/>
    <mergeCell ref="D757:D758"/>
    <mergeCell ref="E757:E758"/>
    <mergeCell ref="F757:G758"/>
    <mergeCell ref="H757:H758"/>
    <mergeCell ref="I757:J757"/>
    <mergeCell ref="K757:K758"/>
    <mergeCell ref="K754:K755"/>
    <mergeCell ref="L754:L755"/>
    <mergeCell ref="M754:M755"/>
    <mergeCell ref="N754:N755"/>
    <mergeCell ref="O754:O755"/>
    <mergeCell ref="P754:P755"/>
    <mergeCell ref="A754:C755"/>
    <mergeCell ref="D754:D755"/>
    <mergeCell ref="E754:E755"/>
    <mergeCell ref="F754:G755"/>
    <mergeCell ref="H754:H755"/>
    <mergeCell ref="I754:J754"/>
    <mergeCell ref="T757:T758"/>
    <mergeCell ref="I758:J758"/>
    <mergeCell ref="J733:K733"/>
    <mergeCell ref="J734:K734"/>
    <mergeCell ref="O738:P738"/>
    <mergeCell ref="O739:P739"/>
    <mergeCell ref="O740:P740"/>
    <mergeCell ref="A742:V743"/>
    <mergeCell ref="J725:K725"/>
    <mergeCell ref="P725:Q725"/>
    <mergeCell ref="P728:Q728"/>
    <mergeCell ref="P729:Q729"/>
    <mergeCell ref="P730:Q730"/>
    <mergeCell ref="J732:K732"/>
    <mergeCell ref="AB716:AC716"/>
    <mergeCell ref="L717:M717"/>
    <mergeCell ref="J721:K721"/>
    <mergeCell ref="J722:K722"/>
    <mergeCell ref="J723:K723"/>
    <mergeCell ref="J724:K724"/>
    <mergeCell ref="H713:I713"/>
    <mergeCell ref="J713:K713"/>
    <mergeCell ref="L713:M713"/>
    <mergeCell ref="L714:M714"/>
    <mergeCell ref="L715:M715"/>
    <mergeCell ref="L716:M716"/>
    <mergeCell ref="T710:U710"/>
    <mergeCell ref="B711:C711"/>
    <mergeCell ref="T711:U711"/>
    <mergeCell ref="H712:I712"/>
    <mergeCell ref="J712:K712"/>
    <mergeCell ref="L712:M712"/>
    <mergeCell ref="T712:U712"/>
    <mergeCell ref="Q672:R672"/>
    <mergeCell ref="Q673:R673"/>
    <mergeCell ref="E676:F676"/>
    <mergeCell ref="H676:I676"/>
    <mergeCell ref="B710:C710"/>
    <mergeCell ref="D710:E711"/>
    <mergeCell ref="H710:M710"/>
    <mergeCell ref="Q659:S659"/>
    <mergeCell ref="T659:T660"/>
    <mergeCell ref="I660:J660"/>
    <mergeCell ref="D662:E662"/>
    <mergeCell ref="I655:J655"/>
    <mergeCell ref="D657:E657"/>
    <mergeCell ref="M666:N666"/>
    <mergeCell ref="Q666:R666"/>
    <mergeCell ref="K659:K660"/>
    <mergeCell ref="L659:L660"/>
    <mergeCell ref="M659:M660"/>
    <mergeCell ref="N659:N660"/>
    <mergeCell ref="O659:O660"/>
    <mergeCell ref="P659:P660"/>
    <mergeCell ref="A659:C660"/>
    <mergeCell ref="D659:D660"/>
    <mergeCell ref="E659:E660"/>
    <mergeCell ref="F659:G660"/>
    <mergeCell ref="H659:H660"/>
    <mergeCell ref="I659:J659"/>
    <mergeCell ref="K654:K655"/>
    <mergeCell ref="Q649:S649"/>
    <mergeCell ref="T649:T650"/>
    <mergeCell ref="I650:J650"/>
    <mergeCell ref="D652:E652"/>
    <mergeCell ref="A654:C655"/>
    <mergeCell ref="D654:D655"/>
    <mergeCell ref="E654:E655"/>
    <mergeCell ref="F654:G655"/>
    <mergeCell ref="H654:H655"/>
    <mergeCell ref="I654:J654"/>
    <mergeCell ref="K649:K650"/>
    <mergeCell ref="L649:L650"/>
    <mergeCell ref="M649:M650"/>
    <mergeCell ref="N649:N650"/>
    <mergeCell ref="O649:O650"/>
    <mergeCell ref="P649:P650"/>
    <mergeCell ref="A649:C650"/>
    <mergeCell ref="D649:D650"/>
    <mergeCell ref="E649:E650"/>
    <mergeCell ref="F649:G650"/>
    <mergeCell ref="H649:H650"/>
    <mergeCell ref="I649:J649"/>
    <mergeCell ref="Q654:S654"/>
    <mergeCell ref="T654:T655"/>
    <mergeCell ref="R641:S641"/>
    <mergeCell ref="R643:S643"/>
    <mergeCell ref="R644:S644"/>
    <mergeCell ref="R645:S645"/>
    <mergeCell ref="R646:S646"/>
    <mergeCell ref="R647:S647"/>
    <mergeCell ref="L654:L655"/>
    <mergeCell ref="M654:M655"/>
    <mergeCell ref="N654:N655"/>
    <mergeCell ref="O654:O655"/>
    <mergeCell ref="P654:P655"/>
    <mergeCell ref="M634:N634"/>
    <mergeCell ref="R637:S637"/>
    <mergeCell ref="R638:S638"/>
    <mergeCell ref="R639:S639"/>
    <mergeCell ref="L631:L632"/>
    <mergeCell ref="M631:M632"/>
    <mergeCell ref="N631:N632"/>
    <mergeCell ref="O631:O632"/>
    <mergeCell ref="P631:P632"/>
    <mergeCell ref="Q631:S631"/>
    <mergeCell ref="A628:V629"/>
    <mergeCell ref="A631:C632"/>
    <mergeCell ref="D631:D632"/>
    <mergeCell ref="E631:E632"/>
    <mergeCell ref="F631:G632"/>
    <mergeCell ref="H631:H632"/>
    <mergeCell ref="I631:J631"/>
    <mergeCell ref="K631:K632"/>
    <mergeCell ref="L625:L626"/>
    <mergeCell ref="M625:M626"/>
    <mergeCell ref="N625:N626"/>
    <mergeCell ref="O625:O626"/>
    <mergeCell ref="P625:P626"/>
    <mergeCell ref="Q625:S625"/>
    <mergeCell ref="T631:T632"/>
    <mergeCell ref="I632:J632"/>
    <mergeCell ref="Q622:S622"/>
    <mergeCell ref="T622:T623"/>
    <mergeCell ref="I623:J623"/>
    <mergeCell ref="A625:C626"/>
    <mergeCell ref="D625:D626"/>
    <mergeCell ref="E625:E626"/>
    <mergeCell ref="F625:G626"/>
    <mergeCell ref="H625:H626"/>
    <mergeCell ref="I625:J625"/>
    <mergeCell ref="K625:K626"/>
    <mergeCell ref="K622:K623"/>
    <mergeCell ref="L622:L623"/>
    <mergeCell ref="M622:M623"/>
    <mergeCell ref="N622:N623"/>
    <mergeCell ref="O622:O623"/>
    <mergeCell ref="P622:P623"/>
    <mergeCell ref="A622:C623"/>
    <mergeCell ref="D622:D623"/>
    <mergeCell ref="E622:E623"/>
    <mergeCell ref="F622:G623"/>
    <mergeCell ref="H622:H623"/>
    <mergeCell ref="I622:J622"/>
    <mergeCell ref="T625:T626"/>
    <mergeCell ref="I626:J626"/>
    <mergeCell ref="J601:K601"/>
    <mergeCell ref="J602:K602"/>
    <mergeCell ref="O606:P606"/>
    <mergeCell ref="O607:P607"/>
    <mergeCell ref="O608:P608"/>
    <mergeCell ref="A610:V611"/>
    <mergeCell ref="J593:K593"/>
    <mergeCell ref="P593:Q593"/>
    <mergeCell ref="P596:Q596"/>
    <mergeCell ref="P597:Q597"/>
    <mergeCell ref="P598:Q598"/>
    <mergeCell ref="J600:K600"/>
    <mergeCell ref="AB584:AC584"/>
    <mergeCell ref="J585:K585"/>
    <mergeCell ref="J589:K589"/>
    <mergeCell ref="J590:K590"/>
    <mergeCell ref="J591:K591"/>
    <mergeCell ref="J592:K592"/>
    <mergeCell ref="H581:I581"/>
    <mergeCell ref="J581:K581"/>
    <mergeCell ref="L581:M581"/>
    <mergeCell ref="J582:K582"/>
    <mergeCell ref="J583:K583"/>
    <mergeCell ref="J584:K584"/>
    <mergeCell ref="T578:U578"/>
    <mergeCell ref="B579:C579"/>
    <mergeCell ref="T579:U579"/>
    <mergeCell ref="H580:I580"/>
    <mergeCell ref="J580:K580"/>
    <mergeCell ref="L580:M580"/>
    <mergeCell ref="T580:U580"/>
    <mergeCell ref="Q540:R540"/>
    <mergeCell ref="Q541:R541"/>
    <mergeCell ref="E544:F544"/>
    <mergeCell ref="H544:I544"/>
    <mergeCell ref="B578:C578"/>
    <mergeCell ref="D578:E579"/>
    <mergeCell ref="H578:M578"/>
    <mergeCell ref="P527:P528"/>
    <mergeCell ref="Q527:S527"/>
    <mergeCell ref="T527:T528"/>
    <mergeCell ref="I528:J528"/>
    <mergeCell ref="D530:E530"/>
    <mergeCell ref="M534:N534"/>
    <mergeCell ref="Q534:R534"/>
    <mergeCell ref="I527:J527"/>
    <mergeCell ref="K527:K528"/>
    <mergeCell ref="L527:L528"/>
    <mergeCell ref="M527:M528"/>
    <mergeCell ref="N527:N528"/>
    <mergeCell ref="O527:O528"/>
    <mergeCell ref="D525:E525"/>
    <mergeCell ref="A527:C528"/>
    <mergeCell ref="D527:D528"/>
    <mergeCell ref="E527:E528"/>
    <mergeCell ref="F527:G528"/>
    <mergeCell ref="H527:H528"/>
    <mergeCell ref="I522:J522"/>
    <mergeCell ref="K522:K523"/>
    <mergeCell ref="L522:L523"/>
    <mergeCell ref="T517:T518"/>
    <mergeCell ref="I518:J518"/>
    <mergeCell ref="D520:E520"/>
    <mergeCell ref="A522:C523"/>
    <mergeCell ref="D522:D523"/>
    <mergeCell ref="E522:E523"/>
    <mergeCell ref="F522:G523"/>
    <mergeCell ref="H522:H523"/>
    <mergeCell ref="I517:J517"/>
    <mergeCell ref="K517:K518"/>
    <mergeCell ref="L517:L518"/>
    <mergeCell ref="M517:M518"/>
    <mergeCell ref="N517:N518"/>
    <mergeCell ref="O517:O518"/>
    <mergeCell ref="P522:P523"/>
    <mergeCell ref="Q522:S522"/>
    <mergeCell ref="T522:T523"/>
    <mergeCell ref="I523:J523"/>
    <mergeCell ref="M522:M523"/>
    <mergeCell ref="N522:N523"/>
    <mergeCell ref="O522:O523"/>
    <mergeCell ref="R511:S511"/>
    <mergeCell ref="R512:S512"/>
    <mergeCell ref="R513:S513"/>
    <mergeCell ref="R514:S514"/>
    <mergeCell ref="R515:S515"/>
    <mergeCell ref="A517:C518"/>
    <mergeCell ref="D517:D518"/>
    <mergeCell ref="E517:E518"/>
    <mergeCell ref="F517:G518"/>
    <mergeCell ref="H517:H518"/>
    <mergeCell ref="P517:P518"/>
    <mergeCell ref="Q517:S517"/>
    <mergeCell ref="M502:N502"/>
    <mergeCell ref="R505:S505"/>
    <mergeCell ref="R506:S506"/>
    <mergeCell ref="R507:S507"/>
    <mergeCell ref="R509:S509"/>
    <mergeCell ref="M499:M500"/>
    <mergeCell ref="N499:N500"/>
    <mergeCell ref="O499:O500"/>
    <mergeCell ref="P499:P500"/>
    <mergeCell ref="Q499:S499"/>
    <mergeCell ref="T499:T500"/>
    <mergeCell ref="I494:J494"/>
    <mergeCell ref="A496:V497"/>
    <mergeCell ref="A499:C500"/>
    <mergeCell ref="D499:D500"/>
    <mergeCell ref="E499:E500"/>
    <mergeCell ref="F499:G500"/>
    <mergeCell ref="H499:H500"/>
    <mergeCell ref="I499:J499"/>
    <mergeCell ref="K499:K500"/>
    <mergeCell ref="L499:L500"/>
    <mergeCell ref="M493:M494"/>
    <mergeCell ref="N493:N494"/>
    <mergeCell ref="O493:O494"/>
    <mergeCell ref="P493:P494"/>
    <mergeCell ref="Q493:S493"/>
    <mergeCell ref="T493:T494"/>
    <mergeCell ref="I500:J500"/>
    <mergeCell ref="A493:C494"/>
    <mergeCell ref="D493:D494"/>
    <mergeCell ref="E493:E494"/>
    <mergeCell ref="F493:G494"/>
    <mergeCell ref="H493:H494"/>
    <mergeCell ref="I493:J493"/>
    <mergeCell ref="K493:K494"/>
    <mergeCell ref="L493:L494"/>
    <mergeCell ref="L490:L491"/>
    <mergeCell ref="O480:P480"/>
    <mergeCell ref="O481:P481"/>
    <mergeCell ref="A483:V484"/>
    <mergeCell ref="A490:C491"/>
    <mergeCell ref="D490:D491"/>
    <mergeCell ref="E490:E491"/>
    <mergeCell ref="F490:G491"/>
    <mergeCell ref="H490:H491"/>
    <mergeCell ref="I490:J490"/>
    <mergeCell ref="K490:K491"/>
    <mergeCell ref="T490:T491"/>
    <mergeCell ref="I491:J491"/>
    <mergeCell ref="M490:M491"/>
    <mergeCell ref="N490:N491"/>
    <mergeCell ref="O490:O491"/>
    <mergeCell ref="P490:P491"/>
    <mergeCell ref="Q490:S490"/>
    <mergeCell ref="P470:Q470"/>
    <mergeCell ref="P471:Q471"/>
    <mergeCell ref="J473:K473"/>
    <mergeCell ref="J474:K474"/>
    <mergeCell ref="J475:K475"/>
    <mergeCell ref="O479:P479"/>
    <mergeCell ref="J463:K463"/>
    <mergeCell ref="J464:K464"/>
    <mergeCell ref="J465:K465"/>
    <mergeCell ref="J466:K466"/>
    <mergeCell ref="P466:Q466"/>
    <mergeCell ref="P469:Q469"/>
    <mergeCell ref="H455:I455"/>
    <mergeCell ref="H456:I456"/>
    <mergeCell ref="H457:I457"/>
    <mergeCell ref="AB457:AC457"/>
    <mergeCell ref="H458:I458"/>
    <mergeCell ref="J462:K462"/>
    <mergeCell ref="T452:U452"/>
    <mergeCell ref="H453:I453"/>
    <mergeCell ref="J453:K453"/>
    <mergeCell ref="L453:M453"/>
    <mergeCell ref="T453:U453"/>
    <mergeCell ref="H454:I454"/>
    <mergeCell ref="J454:K454"/>
    <mergeCell ref="L454:M454"/>
    <mergeCell ref="A449:B449"/>
    <mergeCell ref="D449:F449"/>
    <mergeCell ref="H449:N449"/>
    <mergeCell ref="O449:Q449"/>
    <mergeCell ref="R449:V449"/>
    <mergeCell ref="B451:C451"/>
    <mergeCell ref="D451:E452"/>
    <mergeCell ref="H451:M451"/>
    <mergeCell ref="T451:U451"/>
    <mergeCell ref="B452:C452"/>
    <mergeCell ref="A447:G448"/>
    <mergeCell ref="H447:N448"/>
    <mergeCell ref="O447:Q447"/>
    <mergeCell ref="R447:V447"/>
    <mergeCell ref="O448:Q448"/>
    <mergeCell ref="R448:V448"/>
    <mergeCell ref="A445:G446"/>
    <mergeCell ref="H445:N445"/>
    <mergeCell ref="O445:Q445"/>
    <mergeCell ref="R445:V445"/>
    <mergeCell ref="H446:N446"/>
    <mergeCell ref="O446:Q446"/>
    <mergeCell ref="R446:V446"/>
    <mergeCell ref="S407:V410"/>
    <mergeCell ref="A411:A413"/>
    <mergeCell ref="B411:C413"/>
    <mergeCell ref="D411:E411"/>
    <mergeCell ref="F411:F413"/>
    <mergeCell ref="G411:G413"/>
    <mergeCell ref="H411:H413"/>
    <mergeCell ref="D412:E412"/>
    <mergeCell ref="K412:L412"/>
    <mergeCell ref="M412:N412"/>
    <mergeCell ref="O412:P412"/>
    <mergeCell ref="S412:V412"/>
    <mergeCell ref="D413:E413"/>
    <mergeCell ref="K413:L413"/>
    <mergeCell ref="M413:N413"/>
    <mergeCell ref="O413:P413"/>
    <mergeCell ref="S413:V413"/>
    <mergeCell ref="I411:J413"/>
    <mergeCell ref="K411:L411"/>
    <mergeCell ref="M411:N411"/>
    <mergeCell ref="O411:P411"/>
    <mergeCell ref="Q411:R413"/>
    <mergeCell ref="S411:V411"/>
    <mergeCell ref="Q367:R367"/>
    <mergeCell ref="Q368:R368"/>
    <mergeCell ref="Q369:R369"/>
    <mergeCell ref="E372:F372"/>
    <mergeCell ref="H372:I372"/>
    <mergeCell ref="A407:C410"/>
    <mergeCell ref="D407:F410"/>
    <mergeCell ref="G407:H410"/>
    <mergeCell ref="I407:J410"/>
    <mergeCell ref="K407:L410"/>
    <mergeCell ref="M407:N410"/>
    <mergeCell ref="O407:P410"/>
    <mergeCell ref="Q407:R410"/>
    <mergeCell ref="Q355:S355"/>
    <mergeCell ref="T355:T356"/>
    <mergeCell ref="I356:J356"/>
    <mergeCell ref="D358:E358"/>
    <mergeCell ref="I351:J351"/>
    <mergeCell ref="D353:E353"/>
    <mergeCell ref="M362:N362"/>
    <mergeCell ref="Q362:R362"/>
    <mergeCell ref="K355:K356"/>
    <mergeCell ref="L355:L356"/>
    <mergeCell ref="M355:M356"/>
    <mergeCell ref="N355:N356"/>
    <mergeCell ref="O355:O356"/>
    <mergeCell ref="P355:P356"/>
    <mergeCell ref="A355:C356"/>
    <mergeCell ref="D355:D356"/>
    <mergeCell ref="E355:E356"/>
    <mergeCell ref="F355:G356"/>
    <mergeCell ref="H355:H356"/>
    <mergeCell ref="I355:J355"/>
    <mergeCell ref="K350:K351"/>
    <mergeCell ref="Q345:S345"/>
    <mergeCell ref="T345:T346"/>
    <mergeCell ref="I346:J346"/>
    <mergeCell ref="D348:E348"/>
    <mergeCell ref="A350:C351"/>
    <mergeCell ref="D350:D351"/>
    <mergeCell ref="E350:E351"/>
    <mergeCell ref="F350:G351"/>
    <mergeCell ref="H350:H351"/>
    <mergeCell ref="I350:J350"/>
    <mergeCell ref="K345:K346"/>
    <mergeCell ref="L345:L346"/>
    <mergeCell ref="M345:M346"/>
    <mergeCell ref="N345:N346"/>
    <mergeCell ref="O345:O346"/>
    <mergeCell ref="P345:P346"/>
    <mergeCell ref="A345:C346"/>
    <mergeCell ref="D345:D346"/>
    <mergeCell ref="E345:E346"/>
    <mergeCell ref="F345:G346"/>
    <mergeCell ref="H345:H346"/>
    <mergeCell ref="I345:J345"/>
    <mergeCell ref="Q350:S350"/>
    <mergeCell ref="T350:T351"/>
    <mergeCell ref="R337:S337"/>
    <mergeCell ref="R339:S339"/>
    <mergeCell ref="R340:S340"/>
    <mergeCell ref="R341:S341"/>
    <mergeCell ref="R342:S342"/>
    <mergeCell ref="R343:S343"/>
    <mergeCell ref="L350:L351"/>
    <mergeCell ref="M350:M351"/>
    <mergeCell ref="N350:N351"/>
    <mergeCell ref="O350:O351"/>
    <mergeCell ref="P350:P351"/>
    <mergeCell ref="M330:N330"/>
    <mergeCell ref="R333:S333"/>
    <mergeCell ref="R334:S334"/>
    <mergeCell ref="R335:S335"/>
    <mergeCell ref="L327:L328"/>
    <mergeCell ref="M327:M328"/>
    <mergeCell ref="N327:N328"/>
    <mergeCell ref="O327:O328"/>
    <mergeCell ref="P327:P328"/>
    <mergeCell ref="Q327:S327"/>
    <mergeCell ref="A324:V325"/>
    <mergeCell ref="A327:C328"/>
    <mergeCell ref="D327:D328"/>
    <mergeCell ref="E327:E328"/>
    <mergeCell ref="F327:G328"/>
    <mergeCell ref="H327:H328"/>
    <mergeCell ref="I327:J327"/>
    <mergeCell ref="K327:K328"/>
    <mergeCell ref="L321:L322"/>
    <mergeCell ref="M321:M322"/>
    <mergeCell ref="N321:N322"/>
    <mergeCell ref="O321:O322"/>
    <mergeCell ref="P321:P322"/>
    <mergeCell ref="Q321:S321"/>
    <mergeCell ref="T327:T328"/>
    <mergeCell ref="I328:J328"/>
    <mergeCell ref="Q318:S318"/>
    <mergeCell ref="T318:T319"/>
    <mergeCell ref="I319:J319"/>
    <mergeCell ref="A321:C322"/>
    <mergeCell ref="D321:D322"/>
    <mergeCell ref="E321:E322"/>
    <mergeCell ref="F321:G322"/>
    <mergeCell ref="H321:H322"/>
    <mergeCell ref="I321:J321"/>
    <mergeCell ref="K321:K322"/>
    <mergeCell ref="K318:K319"/>
    <mergeCell ref="L318:L319"/>
    <mergeCell ref="M318:M319"/>
    <mergeCell ref="N318:N319"/>
    <mergeCell ref="O318:O319"/>
    <mergeCell ref="P318:P319"/>
    <mergeCell ref="A318:C319"/>
    <mergeCell ref="D318:D319"/>
    <mergeCell ref="E318:E319"/>
    <mergeCell ref="F318:G319"/>
    <mergeCell ref="H318:H319"/>
    <mergeCell ref="I318:J318"/>
    <mergeCell ref="T321:T322"/>
    <mergeCell ref="I322:J322"/>
    <mergeCell ref="J297:K297"/>
    <mergeCell ref="J298:K298"/>
    <mergeCell ref="O302:P302"/>
    <mergeCell ref="O303:P303"/>
    <mergeCell ref="O304:P304"/>
    <mergeCell ref="A306:V307"/>
    <mergeCell ref="J289:K289"/>
    <mergeCell ref="P289:Q289"/>
    <mergeCell ref="P292:Q292"/>
    <mergeCell ref="P293:Q293"/>
    <mergeCell ref="P294:Q294"/>
    <mergeCell ref="J296:K296"/>
    <mergeCell ref="AB280:AC280"/>
    <mergeCell ref="L281:M281"/>
    <mergeCell ref="J285:K285"/>
    <mergeCell ref="J286:K286"/>
    <mergeCell ref="J287:K287"/>
    <mergeCell ref="J288:K288"/>
    <mergeCell ref="H277:I277"/>
    <mergeCell ref="J277:K277"/>
    <mergeCell ref="L277:M277"/>
    <mergeCell ref="L278:M278"/>
    <mergeCell ref="L279:M279"/>
    <mergeCell ref="L280:M280"/>
    <mergeCell ref="T274:U274"/>
    <mergeCell ref="B275:C275"/>
    <mergeCell ref="T275:U275"/>
    <mergeCell ref="H276:I276"/>
    <mergeCell ref="J276:K276"/>
    <mergeCell ref="L276:M276"/>
    <mergeCell ref="T276:U276"/>
    <mergeCell ref="Q239:R239"/>
    <mergeCell ref="Q240:R240"/>
    <mergeCell ref="Q241:R241"/>
    <mergeCell ref="E244:F244"/>
    <mergeCell ref="H244:I244"/>
    <mergeCell ref="B274:C274"/>
    <mergeCell ref="D274:E275"/>
    <mergeCell ref="H274:M274"/>
    <mergeCell ref="Q220:S220"/>
    <mergeCell ref="T220:T221"/>
    <mergeCell ref="I221:J221"/>
    <mergeCell ref="D223:E223"/>
    <mergeCell ref="I216:J216"/>
    <mergeCell ref="D218:E218"/>
    <mergeCell ref="M234:N234"/>
    <mergeCell ref="Q234:R234"/>
    <mergeCell ref="K220:K221"/>
    <mergeCell ref="L220:L221"/>
    <mergeCell ref="M220:M221"/>
    <mergeCell ref="N220:N221"/>
    <mergeCell ref="O220:O221"/>
    <mergeCell ref="P220:P221"/>
    <mergeCell ref="A220:C221"/>
    <mergeCell ref="D220:D221"/>
    <mergeCell ref="E220:E221"/>
    <mergeCell ref="F220:G221"/>
    <mergeCell ref="H220:H221"/>
    <mergeCell ref="I220:J220"/>
    <mergeCell ref="K215:K216"/>
    <mergeCell ref="Q210:S210"/>
    <mergeCell ref="T210:T211"/>
    <mergeCell ref="I211:J211"/>
    <mergeCell ref="D213:E213"/>
    <mergeCell ref="A215:C216"/>
    <mergeCell ref="D215:D216"/>
    <mergeCell ref="E215:E216"/>
    <mergeCell ref="F215:G216"/>
    <mergeCell ref="H215:H216"/>
    <mergeCell ref="I215:J215"/>
    <mergeCell ref="K210:K211"/>
    <mergeCell ref="L210:L211"/>
    <mergeCell ref="M210:M211"/>
    <mergeCell ref="N210:N211"/>
    <mergeCell ref="O210:O211"/>
    <mergeCell ref="P210:P211"/>
    <mergeCell ref="A210:C211"/>
    <mergeCell ref="D210:D211"/>
    <mergeCell ref="E210:E211"/>
    <mergeCell ref="F210:G211"/>
    <mergeCell ref="H210:H211"/>
    <mergeCell ref="I210:J210"/>
    <mergeCell ref="Q215:S215"/>
    <mergeCell ref="T215:T216"/>
    <mergeCell ref="R202:S202"/>
    <mergeCell ref="R204:S204"/>
    <mergeCell ref="R205:S205"/>
    <mergeCell ref="R206:S206"/>
    <mergeCell ref="R207:S207"/>
    <mergeCell ref="R208:S208"/>
    <mergeCell ref="L215:L216"/>
    <mergeCell ref="M215:M216"/>
    <mergeCell ref="N215:N216"/>
    <mergeCell ref="O215:O216"/>
    <mergeCell ref="P215:P216"/>
    <mergeCell ref="M195:N195"/>
    <mergeCell ref="R198:S198"/>
    <mergeCell ref="R199:S199"/>
    <mergeCell ref="R200:S200"/>
    <mergeCell ref="L192:L193"/>
    <mergeCell ref="M192:M193"/>
    <mergeCell ref="N192:N193"/>
    <mergeCell ref="O192:O193"/>
    <mergeCell ref="P192:P193"/>
    <mergeCell ref="Q192:S192"/>
    <mergeCell ref="A189:V190"/>
    <mergeCell ref="A192:C193"/>
    <mergeCell ref="D192:D193"/>
    <mergeCell ref="E192:E193"/>
    <mergeCell ref="F192:G193"/>
    <mergeCell ref="H192:H193"/>
    <mergeCell ref="I192:J192"/>
    <mergeCell ref="K192:K193"/>
    <mergeCell ref="L186:L187"/>
    <mergeCell ref="M186:M187"/>
    <mergeCell ref="N186:N187"/>
    <mergeCell ref="O186:O187"/>
    <mergeCell ref="P186:P187"/>
    <mergeCell ref="Q186:S186"/>
    <mergeCell ref="T192:T193"/>
    <mergeCell ref="I193:J193"/>
    <mergeCell ref="Q183:S183"/>
    <mergeCell ref="T183:T184"/>
    <mergeCell ref="I184:J184"/>
    <mergeCell ref="A186:C187"/>
    <mergeCell ref="D186:D187"/>
    <mergeCell ref="E186:E187"/>
    <mergeCell ref="F186:G187"/>
    <mergeCell ref="H186:H187"/>
    <mergeCell ref="I186:J186"/>
    <mergeCell ref="K186:K187"/>
    <mergeCell ref="K183:K184"/>
    <mergeCell ref="L183:L184"/>
    <mergeCell ref="M183:M184"/>
    <mergeCell ref="N183:N184"/>
    <mergeCell ref="O183:O184"/>
    <mergeCell ref="P183:P184"/>
    <mergeCell ref="A183:C184"/>
    <mergeCell ref="D183:D184"/>
    <mergeCell ref="E183:E184"/>
    <mergeCell ref="F183:G184"/>
    <mergeCell ref="H183:H184"/>
    <mergeCell ref="I183:J183"/>
    <mergeCell ref="T186:T187"/>
    <mergeCell ref="I187:J187"/>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T144:U144"/>
    <mergeCell ref="H145:I145"/>
    <mergeCell ref="J145:K145"/>
    <mergeCell ref="L145:M145"/>
    <mergeCell ref="T145:U145"/>
    <mergeCell ref="Q107:R107"/>
    <mergeCell ref="Q108:R108"/>
    <mergeCell ref="Q109:R109"/>
    <mergeCell ref="Q97:S97"/>
    <mergeCell ref="T97:T98"/>
    <mergeCell ref="I98:J98"/>
    <mergeCell ref="D100:E100"/>
    <mergeCell ref="M102:N102"/>
    <mergeCell ref="Q102:R102"/>
    <mergeCell ref="K97:K98"/>
    <mergeCell ref="L97:L98"/>
    <mergeCell ref="M97:M98"/>
    <mergeCell ref="N97:N98"/>
    <mergeCell ref="O97:O98"/>
    <mergeCell ref="P97:P98"/>
    <mergeCell ref="L79:L80"/>
    <mergeCell ref="M79:M80"/>
    <mergeCell ref="N79:N80"/>
    <mergeCell ref="O79:O80"/>
    <mergeCell ref="P79:P80"/>
    <mergeCell ref="E112:F112"/>
    <mergeCell ref="H112:I112"/>
    <mergeCell ref="B143:C143"/>
    <mergeCell ref="D143:E143"/>
    <mergeCell ref="H143:N143"/>
    <mergeCell ref="I80:J80"/>
    <mergeCell ref="D82:E82"/>
    <mergeCell ref="A97:C98"/>
    <mergeCell ref="D97:D98"/>
    <mergeCell ref="E97:E98"/>
    <mergeCell ref="F97:G98"/>
    <mergeCell ref="H97:H98"/>
    <mergeCell ref="I97:J97"/>
    <mergeCell ref="K79:K80"/>
    <mergeCell ref="Q74:S74"/>
    <mergeCell ref="T74:T75"/>
    <mergeCell ref="I75:J75"/>
    <mergeCell ref="D77:E77"/>
    <mergeCell ref="A79:C80"/>
    <mergeCell ref="D79:D80"/>
    <mergeCell ref="E79:E80"/>
    <mergeCell ref="F79:G80"/>
    <mergeCell ref="H79:H80"/>
    <mergeCell ref="I79:J79"/>
    <mergeCell ref="K74:K75"/>
    <mergeCell ref="L74:L75"/>
    <mergeCell ref="M74:M75"/>
    <mergeCell ref="N74:N75"/>
    <mergeCell ref="O74:O75"/>
    <mergeCell ref="P74:P75"/>
    <mergeCell ref="A74:C75"/>
    <mergeCell ref="D74:D75"/>
    <mergeCell ref="E74:E75"/>
    <mergeCell ref="F74:G75"/>
    <mergeCell ref="H74:H75"/>
    <mergeCell ref="I74:J74"/>
    <mergeCell ref="Q79:S79"/>
    <mergeCell ref="T79:T80"/>
    <mergeCell ref="R66:S66"/>
    <mergeCell ref="R68:S68"/>
    <mergeCell ref="R69:S69"/>
    <mergeCell ref="R70:S70"/>
    <mergeCell ref="R71:S71"/>
    <mergeCell ref="R72:S72"/>
    <mergeCell ref="T56:T57"/>
    <mergeCell ref="I57:J57"/>
    <mergeCell ref="M59:N59"/>
    <mergeCell ref="R62:S62"/>
    <mergeCell ref="R63:S63"/>
    <mergeCell ref="R64:S64"/>
    <mergeCell ref="L56:L57"/>
    <mergeCell ref="M56:M57"/>
    <mergeCell ref="N56:N57"/>
    <mergeCell ref="O56:O57"/>
    <mergeCell ref="P56:P57"/>
    <mergeCell ref="Q56:S56"/>
    <mergeCell ref="T50:T51"/>
    <mergeCell ref="I51:J51"/>
    <mergeCell ref="A53:V54"/>
    <mergeCell ref="A56:C57"/>
    <mergeCell ref="D56:D57"/>
    <mergeCell ref="E56:E57"/>
    <mergeCell ref="F56:G57"/>
    <mergeCell ref="H56:H57"/>
    <mergeCell ref="I56:J56"/>
    <mergeCell ref="K56:K57"/>
    <mergeCell ref="L50:L51"/>
    <mergeCell ref="M50:M51"/>
    <mergeCell ref="N50:N51"/>
    <mergeCell ref="O50:O51"/>
    <mergeCell ref="P50:P51"/>
    <mergeCell ref="Q50:S50"/>
    <mergeCell ref="A50:C51"/>
    <mergeCell ref="D50:D51"/>
    <mergeCell ref="E50:E51"/>
    <mergeCell ref="F50:G51"/>
    <mergeCell ref="H50:H51"/>
    <mergeCell ref="I50:J50"/>
    <mergeCell ref="K50:K51"/>
    <mergeCell ref="K47:K48"/>
    <mergeCell ref="L47:L48"/>
    <mergeCell ref="R35:V35"/>
    <mergeCell ref="O36:P36"/>
    <mergeCell ref="O37:P37"/>
    <mergeCell ref="A39:V40"/>
    <mergeCell ref="A47:C48"/>
    <mergeCell ref="D47:D48"/>
    <mergeCell ref="E47:E48"/>
    <mergeCell ref="F47:G48"/>
    <mergeCell ref="H47:H48"/>
    <mergeCell ref="I47:J47"/>
    <mergeCell ref="Q47:S47"/>
    <mergeCell ref="T47:T48"/>
    <mergeCell ref="I48:J48"/>
    <mergeCell ref="M47:M48"/>
    <mergeCell ref="N47:N48"/>
    <mergeCell ref="O47:O48"/>
    <mergeCell ref="P47:P48"/>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3:H138 H245 H373 H545:H565 H677:H697 H809:H829">
    <cfRule type="cellIs" dxfId="164" priority="1" stopIfTrue="1" operator="equal">
      <formula>"Under Dimentioned"</formula>
    </cfRule>
  </conditionalFormatting>
  <dataValidations count="2">
    <dataValidation type="list" allowBlank="1" showInputMessage="1" showErrorMessage="1" sqref="M766:N766 JI766:JJ766 TE766:TF766 ADA766:ADB766 AMW766:AMX766 AWS766:AWT766 BGO766:BGP766 BQK766:BQL766 CAG766:CAH766 CKC766:CKD766 CTY766:CTZ766 DDU766:DDV766 DNQ766:DNR766 DXM766:DXN766 EHI766:EHJ766 ERE766:ERF766 FBA766:FBB766 FKW766:FKX766 FUS766:FUT766 GEO766:GEP766 GOK766:GOL766 GYG766:GYH766 HIC766:HID766 HRY766:HRZ766 IBU766:IBV766 ILQ766:ILR766 IVM766:IVN766 JFI766:JFJ766 JPE766:JPF766 JZA766:JZB766 KIW766:KIX766 KSS766:KST766 LCO766:LCP766 LMK766:LML766 LWG766:LWH766 MGC766:MGD766 MPY766:MPZ766 MZU766:MZV766 NJQ766:NJR766 NTM766:NTN766 ODI766:ODJ766 ONE766:ONF766 OXA766:OXB766 PGW766:PGX766 PQS766:PQT766 QAO766:QAP766 QKK766:QKL766 QUG766:QUH766 REC766:RED766 RNY766:RNZ766 RXU766:RXV766 SHQ766:SHR766 SRM766:SRN766 TBI766:TBJ766 TLE766:TLF766 TVA766:TVB766 UEW766:UEX766 UOS766:UOT766 UYO766:UYP766 VIK766:VIL766 VSG766:VSH766 WCC766:WCD766 WLY766:WLZ766 WVU766:WVV766 M66302:N66302 JI66302:JJ66302 TE66302:TF66302 ADA66302:ADB66302 AMW66302:AMX66302 AWS66302:AWT66302 BGO66302:BGP66302 BQK66302:BQL66302 CAG66302:CAH66302 CKC66302:CKD66302 CTY66302:CTZ66302 DDU66302:DDV66302 DNQ66302:DNR66302 DXM66302:DXN66302 EHI66302:EHJ66302 ERE66302:ERF66302 FBA66302:FBB66302 FKW66302:FKX66302 FUS66302:FUT66302 GEO66302:GEP66302 GOK66302:GOL66302 GYG66302:GYH66302 HIC66302:HID66302 HRY66302:HRZ66302 IBU66302:IBV66302 ILQ66302:ILR66302 IVM66302:IVN66302 JFI66302:JFJ66302 JPE66302:JPF66302 JZA66302:JZB66302 KIW66302:KIX66302 KSS66302:KST66302 LCO66302:LCP66302 LMK66302:LML66302 LWG66302:LWH66302 MGC66302:MGD66302 MPY66302:MPZ66302 MZU66302:MZV66302 NJQ66302:NJR66302 NTM66302:NTN66302 ODI66302:ODJ66302 ONE66302:ONF66302 OXA66302:OXB66302 PGW66302:PGX66302 PQS66302:PQT66302 QAO66302:QAP66302 QKK66302:QKL66302 QUG66302:QUH66302 REC66302:RED66302 RNY66302:RNZ66302 RXU66302:RXV66302 SHQ66302:SHR66302 SRM66302:SRN66302 TBI66302:TBJ66302 TLE66302:TLF66302 TVA66302:TVB66302 UEW66302:UEX66302 UOS66302:UOT66302 UYO66302:UYP66302 VIK66302:VIL66302 VSG66302:VSH66302 WCC66302:WCD66302 WLY66302:WLZ66302 WVU66302:WVV66302 M131838:N131838 JI131838:JJ131838 TE131838:TF131838 ADA131838:ADB131838 AMW131838:AMX131838 AWS131838:AWT131838 BGO131838:BGP131838 BQK131838:BQL131838 CAG131838:CAH131838 CKC131838:CKD131838 CTY131838:CTZ131838 DDU131838:DDV131838 DNQ131838:DNR131838 DXM131838:DXN131838 EHI131838:EHJ131838 ERE131838:ERF131838 FBA131838:FBB131838 FKW131838:FKX131838 FUS131838:FUT131838 GEO131838:GEP131838 GOK131838:GOL131838 GYG131838:GYH131838 HIC131838:HID131838 HRY131838:HRZ131838 IBU131838:IBV131838 ILQ131838:ILR131838 IVM131838:IVN131838 JFI131838:JFJ131838 JPE131838:JPF131838 JZA131838:JZB131838 KIW131838:KIX131838 KSS131838:KST131838 LCO131838:LCP131838 LMK131838:LML131838 LWG131838:LWH131838 MGC131838:MGD131838 MPY131838:MPZ131838 MZU131838:MZV131838 NJQ131838:NJR131838 NTM131838:NTN131838 ODI131838:ODJ131838 ONE131838:ONF131838 OXA131838:OXB131838 PGW131838:PGX131838 PQS131838:PQT131838 QAO131838:QAP131838 QKK131838:QKL131838 QUG131838:QUH131838 REC131838:RED131838 RNY131838:RNZ131838 RXU131838:RXV131838 SHQ131838:SHR131838 SRM131838:SRN131838 TBI131838:TBJ131838 TLE131838:TLF131838 TVA131838:TVB131838 UEW131838:UEX131838 UOS131838:UOT131838 UYO131838:UYP131838 VIK131838:VIL131838 VSG131838:VSH131838 WCC131838:WCD131838 WLY131838:WLZ131838 WVU131838:WVV131838 M197374:N197374 JI197374:JJ197374 TE197374:TF197374 ADA197374:ADB197374 AMW197374:AMX197374 AWS197374:AWT197374 BGO197374:BGP197374 BQK197374:BQL197374 CAG197374:CAH197374 CKC197374:CKD197374 CTY197374:CTZ197374 DDU197374:DDV197374 DNQ197374:DNR197374 DXM197374:DXN197374 EHI197374:EHJ197374 ERE197374:ERF197374 FBA197374:FBB197374 FKW197374:FKX197374 FUS197374:FUT197374 GEO197374:GEP197374 GOK197374:GOL197374 GYG197374:GYH197374 HIC197374:HID197374 HRY197374:HRZ197374 IBU197374:IBV197374 ILQ197374:ILR197374 IVM197374:IVN197374 JFI197374:JFJ197374 JPE197374:JPF197374 JZA197374:JZB197374 KIW197374:KIX197374 KSS197374:KST197374 LCO197374:LCP197374 LMK197374:LML197374 LWG197374:LWH197374 MGC197374:MGD197374 MPY197374:MPZ197374 MZU197374:MZV197374 NJQ197374:NJR197374 NTM197374:NTN197374 ODI197374:ODJ197374 ONE197374:ONF197374 OXA197374:OXB197374 PGW197374:PGX197374 PQS197374:PQT197374 QAO197374:QAP197374 QKK197374:QKL197374 QUG197374:QUH197374 REC197374:RED197374 RNY197374:RNZ197374 RXU197374:RXV197374 SHQ197374:SHR197374 SRM197374:SRN197374 TBI197374:TBJ197374 TLE197374:TLF197374 TVA197374:TVB197374 UEW197374:UEX197374 UOS197374:UOT197374 UYO197374:UYP197374 VIK197374:VIL197374 VSG197374:VSH197374 WCC197374:WCD197374 WLY197374:WLZ197374 WVU197374:WVV197374 M262910:N262910 JI262910:JJ262910 TE262910:TF262910 ADA262910:ADB262910 AMW262910:AMX262910 AWS262910:AWT262910 BGO262910:BGP262910 BQK262910:BQL262910 CAG262910:CAH262910 CKC262910:CKD262910 CTY262910:CTZ262910 DDU262910:DDV262910 DNQ262910:DNR262910 DXM262910:DXN262910 EHI262910:EHJ262910 ERE262910:ERF262910 FBA262910:FBB262910 FKW262910:FKX262910 FUS262910:FUT262910 GEO262910:GEP262910 GOK262910:GOL262910 GYG262910:GYH262910 HIC262910:HID262910 HRY262910:HRZ262910 IBU262910:IBV262910 ILQ262910:ILR262910 IVM262910:IVN262910 JFI262910:JFJ262910 JPE262910:JPF262910 JZA262910:JZB262910 KIW262910:KIX262910 KSS262910:KST262910 LCO262910:LCP262910 LMK262910:LML262910 LWG262910:LWH262910 MGC262910:MGD262910 MPY262910:MPZ262910 MZU262910:MZV262910 NJQ262910:NJR262910 NTM262910:NTN262910 ODI262910:ODJ262910 ONE262910:ONF262910 OXA262910:OXB262910 PGW262910:PGX262910 PQS262910:PQT262910 QAO262910:QAP262910 QKK262910:QKL262910 QUG262910:QUH262910 REC262910:RED262910 RNY262910:RNZ262910 RXU262910:RXV262910 SHQ262910:SHR262910 SRM262910:SRN262910 TBI262910:TBJ262910 TLE262910:TLF262910 TVA262910:TVB262910 UEW262910:UEX262910 UOS262910:UOT262910 UYO262910:UYP262910 VIK262910:VIL262910 VSG262910:VSH262910 WCC262910:WCD262910 WLY262910:WLZ262910 WVU262910:WVV262910 M328446:N328446 JI328446:JJ328446 TE328446:TF328446 ADA328446:ADB328446 AMW328446:AMX328446 AWS328446:AWT328446 BGO328446:BGP328446 BQK328446:BQL328446 CAG328446:CAH328446 CKC328446:CKD328446 CTY328446:CTZ328446 DDU328446:DDV328446 DNQ328446:DNR328446 DXM328446:DXN328446 EHI328446:EHJ328446 ERE328446:ERF328446 FBA328446:FBB328446 FKW328446:FKX328446 FUS328446:FUT328446 GEO328446:GEP328446 GOK328446:GOL328446 GYG328446:GYH328446 HIC328446:HID328446 HRY328446:HRZ328446 IBU328446:IBV328446 ILQ328446:ILR328446 IVM328446:IVN328446 JFI328446:JFJ328446 JPE328446:JPF328446 JZA328446:JZB328446 KIW328446:KIX328446 KSS328446:KST328446 LCO328446:LCP328446 LMK328446:LML328446 LWG328446:LWH328446 MGC328446:MGD328446 MPY328446:MPZ328446 MZU328446:MZV328446 NJQ328446:NJR328446 NTM328446:NTN328446 ODI328446:ODJ328446 ONE328446:ONF328446 OXA328446:OXB328446 PGW328446:PGX328446 PQS328446:PQT328446 QAO328446:QAP328446 QKK328446:QKL328446 QUG328446:QUH328446 REC328446:RED328446 RNY328446:RNZ328446 RXU328446:RXV328446 SHQ328446:SHR328446 SRM328446:SRN328446 TBI328446:TBJ328446 TLE328446:TLF328446 TVA328446:TVB328446 UEW328446:UEX328446 UOS328446:UOT328446 UYO328446:UYP328446 VIK328446:VIL328446 VSG328446:VSH328446 WCC328446:WCD328446 WLY328446:WLZ328446 WVU328446:WVV328446 M393982:N393982 JI393982:JJ393982 TE393982:TF393982 ADA393982:ADB393982 AMW393982:AMX393982 AWS393982:AWT393982 BGO393982:BGP393982 BQK393982:BQL393982 CAG393982:CAH393982 CKC393982:CKD393982 CTY393982:CTZ393982 DDU393982:DDV393982 DNQ393982:DNR393982 DXM393982:DXN393982 EHI393982:EHJ393982 ERE393982:ERF393982 FBA393982:FBB393982 FKW393982:FKX393982 FUS393982:FUT393982 GEO393982:GEP393982 GOK393982:GOL393982 GYG393982:GYH393982 HIC393982:HID393982 HRY393982:HRZ393982 IBU393982:IBV393982 ILQ393982:ILR393982 IVM393982:IVN393982 JFI393982:JFJ393982 JPE393982:JPF393982 JZA393982:JZB393982 KIW393982:KIX393982 KSS393982:KST393982 LCO393982:LCP393982 LMK393982:LML393982 LWG393982:LWH393982 MGC393982:MGD393982 MPY393982:MPZ393982 MZU393982:MZV393982 NJQ393982:NJR393982 NTM393982:NTN393982 ODI393982:ODJ393982 ONE393982:ONF393982 OXA393982:OXB393982 PGW393982:PGX393982 PQS393982:PQT393982 QAO393982:QAP393982 QKK393982:QKL393982 QUG393982:QUH393982 REC393982:RED393982 RNY393982:RNZ393982 RXU393982:RXV393982 SHQ393982:SHR393982 SRM393982:SRN393982 TBI393982:TBJ393982 TLE393982:TLF393982 TVA393982:TVB393982 UEW393982:UEX393982 UOS393982:UOT393982 UYO393982:UYP393982 VIK393982:VIL393982 VSG393982:VSH393982 WCC393982:WCD393982 WLY393982:WLZ393982 WVU393982:WVV393982 M459518:N459518 JI459518:JJ459518 TE459518:TF459518 ADA459518:ADB459518 AMW459518:AMX459518 AWS459518:AWT459518 BGO459518:BGP459518 BQK459518:BQL459518 CAG459518:CAH459518 CKC459518:CKD459518 CTY459518:CTZ459518 DDU459518:DDV459518 DNQ459518:DNR459518 DXM459518:DXN459518 EHI459518:EHJ459518 ERE459518:ERF459518 FBA459518:FBB459518 FKW459518:FKX459518 FUS459518:FUT459518 GEO459518:GEP459518 GOK459518:GOL459518 GYG459518:GYH459518 HIC459518:HID459518 HRY459518:HRZ459518 IBU459518:IBV459518 ILQ459518:ILR459518 IVM459518:IVN459518 JFI459518:JFJ459518 JPE459518:JPF459518 JZA459518:JZB459518 KIW459518:KIX459518 KSS459518:KST459518 LCO459518:LCP459518 LMK459518:LML459518 LWG459518:LWH459518 MGC459518:MGD459518 MPY459518:MPZ459518 MZU459518:MZV459518 NJQ459518:NJR459518 NTM459518:NTN459518 ODI459518:ODJ459518 ONE459518:ONF459518 OXA459518:OXB459518 PGW459518:PGX459518 PQS459518:PQT459518 QAO459518:QAP459518 QKK459518:QKL459518 QUG459518:QUH459518 REC459518:RED459518 RNY459518:RNZ459518 RXU459518:RXV459518 SHQ459518:SHR459518 SRM459518:SRN459518 TBI459518:TBJ459518 TLE459518:TLF459518 TVA459518:TVB459518 UEW459518:UEX459518 UOS459518:UOT459518 UYO459518:UYP459518 VIK459518:VIL459518 VSG459518:VSH459518 WCC459518:WCD459518 WLY459518:WLZ459518 WVU459518:WVV459518 M525054:N525054 JI525054:JJ525054 TE525054:TF525054 ADA525054:ADB525054 AMW525054:AMX525054 AWS525054:AWT525054 BGO525054:BGP525054 BQK525054:BQL525054 CAG525054:CAH525054 CKC525054:CKD525054 CTY525054:CTZ525054 DDU525054:DDV525054 DNQ525054:DNR525054 DXM525054:DXN525054 EHI525054:EHJ525054 ERE525054:ERF525054 FBA525054:FBB525054 FKW525054:FKX525054 FUS525054:FUT525054 GEO525054:GEP525054 GOK525054:GOL525054 GYG525054:GYH525054 HIC525054:HID525054 HRY525054:HRZ525054 IBU525054:IBV525054 ILQ525054:ILR525054 IVM525054:IVN525054 JFI525054:JFJ525054 JPE525054:JPF525054 JZA525054:JZB525054 KIW525054:KIX525054 KSS525054:KST525054 LCO525054:LCP525054 LMK525054:LML525054 LWG525054:LWH525054 MGC525054:MGD525054 MPY525054:MPZ525054 MZU525054:MZV525054 NJQ525054:NJR525054 NTM525054:NTN525054 ODI525054:ODJ525054 ONE525054:ONF525054 OXA525054:OXB525054 PGW525054:PGX525054 PQS525054:PQT525054 QAO525054:QAP525054 QKK525054:QKL525054 QUG525054:QUH525054 REC525054:RED525054 RNY525054:RNZ525054 RXU525054:RXV525054 SHQ525054:SHR525054 SRM525054:SRN525054 TBI525054:TBJ525054 TLE525054:TLF525054 TVA525054:TVB525054 UEW525054:UEX525054 UOS525054:UOT525054 UYO525054:UYP525054 VIK525054:VIL525054 VSG525054:VSH525054 WCC525054:WCD525054 WLY525054:WLZ525054 WVU525054:WVV525054 M590590:N590590 JI590590:JJ590590 TE590590:TF590590 ADA590590:ADB590590 AMW590590:AMX590590 AWS590590:AWT590590 BGO590590:BGP590590 BQK590590:BQL590590 CAG590590:CAH590590 CKC590590:CKD590590 CTY590590:CTZ590590 DDU590590:DDV590590 DNQ590590:DNR590590 DXM590590:DXN590590 EHI590590:EHJ590590 ERE590590:ERF590590 FBA590590:FBB590590 FKW590590:FKX590590 FUS590590:FUT590590 GEO590590:GEP590590 GOK590590:GOL590590 GYG590590:GYH590590 HIC590590:HID590590 HRY590590:HRZ590590 IBU590590:IBV590590 ILQ590590:ILR590590 IVM590590:IVN590590 JFI590590:JFJ590590 JPE590590:JPF590590 JZA590590:JZB590590 KIW590590:KIX590590 KSS590590:KST590590 LCO590590:LCP590590 LMK590590:LML590590 LWG590590:LWH590590 MGC590590:MGD590590 MPY590590:MPZ590590 MZU590590:MZV590590 NJQ590590:NJR590590 NTM590590:NTN590590 ODI590590:ODJ590590 ONE590590:ONF590590 OXA590590:OXB590590 PGW590590:PGX590590 PQS590590:PQT590590 QAO590590:QAP590590 QKK590590:QKL590590 QUG590590:QUH590590 REC590590:RED590590 RNY590590:RNZ590590 RXU590590:RXV590590 SHQ590590:SHR590590 SRM590590:SRN590590 TBI590590:TBJ590590 TLE590590:TLF590590 TVA590590:TVB590590 UEW590590:UEX590590 UOS590590:UOT590590 UYO590590:UYP590590 VIK590590:VIL590590 VSG590590:VSH590590 WCC590590:WCD590590 WLY590590:WLZ590590 WVU590590:WVV590590 M656126:N656126 JI656126:JJ656126 TE656126:TF656126 ADA656126:ADB656126 AMW656126:AMX656126 AWS656126:AWT656126 BGO656126:BGP656126 BQK656126:BQL656126 CAG656126:CAH656126 CKC656126:CKD656126 CTY656126:CTZ656126 DDU656126:DDV656126 DNQ656126:DNR656126 DXM656126:DXN656126 EHI656126:EHJ656126 ERE656126:ERF656126 FBA656126:FBB656126 FKW656126:FKX656126 FUS656126:FUT656126 GEO656126:GEP656126 GOK656126:GOL656126 GYG656126:GYH656126 HIC656126:HID656126 HRY656126:HRZ656126 IBU656126:IBV656126 ILQ656126:ILR656126 IVM656126:IVN656126 JFI656126:JFJ656126 JPE656126:JPF656126 JZA656126:JZB656126 KIW656126:KIX656126 KSS656126:KST656126 LCO656126:LCP656126 LMK656126:LML656126 LWG656126:LWH656126 MGC656126:MGD656126 MPY656126:MPZ656126 MZU656126:MZV656126 NJQ656126:NJR656126 NTM656126:NTN656126 ODI656126:ODJ656126 ONE656126:ONF656126 OXA656126:OXB656126 PGW656126:PGX656126 PQS656126:PQT656126 QAO656126:QAP656126 QKK656126:QKL656126 QUG656126:QUH656126 REC656126:RED656126 RNY656126:RNZ656126 RXU656126:RXV656126 SHQ656126:SHR656126 SRM656126:SRN656126 TBI656126:TBJ656126 TLE656126:TLF656126 TVA656126:TVB656126 UEW656126:UEX656126 UOS656126:UOT656126 UYO656126:UYP656126 VIK656126:VIL656126 VSG656126:VSH656126 WCC656126:WCD656126 WLY656126:WLZ656126 WVU656126:WVV656126 M721662:N721662 JI721662:JJ721662 TE721662:TF721662 ADA721662:ADB721662 AMW721662:AMX721662 AWS721662:AWT721662 BGO721662:BGP721662 BQK721662:BQL721662 CAG721662:CAH721662 CKC721662:CKD721662 CTY721662:CTZ721662 DDU721662:DDV721662 DNQ721662:DNR721662 DXM721662:DXN721662 EHI721662:EHJ721662 ERE721662:ERF721662 FBA721662:FBB721662 FKW721662:FKX721662 FUS721662:FUT721662 GEO721662:GEP721662 GOK721662:GOL721662 GYG721662:GYH721662 HIC721662:HID721662 HRY721662:HRZ721662 IBU721662:IBV721662 ILQ721662:ILR721662 IVM721662:IVN721662 JFI721662:JFJ721662 JPE721662:JPF721662 JZA721662:JZB721662 KIW721662:KIX721662 KSS721662:KST721662 LCO721662:LCP721662 LMK721662:LML721662 LWG721662:LWH721662 MGC721662:MGD721662 MPY721662:MPZ721662 MZU721662:MZV721662 NJQ721662:NJR721662 NTM721662:NTN721662 ODI721662:ODJ721662 ONE721662:ONF721662 OXA721662:OXB721662 PGW721662:PGX721662 PQS721662:PQT721662 QAO721662:QAP721662 QKK721662:QKL721662 QUG721662:QUH721662 REC721662:RED721662 RNY721662:RNZ721662 RXU721662:RXV721662 SHQ721662:SHR721662 SRM721662:SRN721662 TBI721662:TBJ721662 TLE721662:TLF721662 TVA721662:TVB721662 UEW721662:UEX721662 UOS721662:UOT721662 UYO721662:UYP721662 VIK721662:VIL721662 VSG721662:VSH721662 WCC721662:WCD721662 WLY721662:WLZ721662 WVU721662:WVV721662 M787198:N787198 JI787198:JJ787198 TE787198:TF787198 ADA787198:ADB787198 AMW787198:AMX787198 AWS787198:AWT787198 BGO787198:BGP787198 BQK787198:BQL787198 CAG787198:CAH787198 CKC787198:CKD787198 CTY787198:CTZ787198 DDU787198:DDV787198 DNQ787198:DNR787198 DXM787198:DXN787198 EHI787198:EHJ787198 ERE787198:ERF787198 FBA787198:FBB787198 FKW787198:FKX787198 FUS787198:FUT787198 GEO787198:GEP787198 GOK787198:GOL787198 GYG787198:GYH787198 HIC787198:HID787198 HRY787198:HRZ787198 IBU787198:IBV787198 ILQ787198:ILR787198 IVM787198:IVN787198 JFI787198:JFJ787198 JPE787198:JPF787198 JZA787198:JZB787198 KIW787198:KIX787198 KSS787198:KST787198 LCO787198:LCP787198 LMK787198:LML787198 LWG787198:LWH787198 MGC787198:MGD787198 MPY787198:MPZ787198 MZU787198:MZV787198 NJQ787198:NJR787198 NTM787198:NTN787198 ODI787198:ODJ787198 ONE787198:ONF787198 OXA787198:OXB787198 PGW787198:PGX787198 PQS787198:PQT787198 QAO787198:QAP787198 QKK787198:QKL787198 QUG787198:QUH787198 REC787198:RED787198 RNY787198:RNZ787198 RXU787198:RXV787198 SHQ787198:SHR787198 SRM787198:SRN787198 TBI787198:TBJ787198 TLE787198:TLF787198 TVA787198:TVB787198 UEW787198:UEX787198 UOS787198:UOT787198 UYO787198:UYP787198 VIK787198:VIL787198 VSG787198:VSH787198 WCC787198:WCD787198 WLY787198:WLZ787198 WVU787198:WVV787198 M852734:N852734 JI852734:JJ852734 TE852734:TF852734 ADA852734:ADB852734 AMW852734:AMX852734 AWS852734:AWT852734 BGO852734:BGP852734 BQK852734:BQL852734 CAG852734:CAH852734 CKC852734:CKD852734 CTY852734:CTZ852734 DDU852734:DDV852734 DNQ852734:DNR852734 DXM852734:DXN852734 EHI852734:EHJ852734 ERE852734:ERF852734 FBA852734:FBB852734 FKW852734:FKX852734 FUS852734:FUT852734 GEO852734:GEP852734 GOK852734:GOL852734 GYG852734:GYH852734 HIC852734:HID852734 HRY852734:HRZ852734 IBU852734:IBV852734 ILQ852734:ILR852734 IVM852734:IVN852734 JFI852734:JFJ852734 JPE852734:JPF852734 JZA852734:JZB852734 KIW852734:KIX852734 KSS852734:KST852734 LCO852734:LCP852734 LMK852734:LML852734 LWG852734:LWH852734 MGC852734:MGD852734 MPY852734:MPZ852734 MZU852734:MZV852734 NJQ852734:NJR852734 NTM852734:NTN852734 ODI852734:ODJ852734 ONE852734:ONF852734 OXA852734:OXB852734 PGW852734:PGX852734 PQS852734:PQT852734 QAO852734:QAP852734 QKK852734:QKL852734 QUG852734:QUH852734 REC852734:RED852734 RNY852734:RNZ852734 RXU852734:RXV852734 SHQ852734:SHR852734 SRM852734:SRN852734 TBI852734:TBJ852734 TLE852734:TLF852734 TVA852734:TVB852734 UEW852734:UEX852734 UOS852734:UOT852734 UYO852734:UYP852734 VIK852734:VIL852734 VSG852734:VSH852734 WCC852734:WCD852734 WLY852734:WLZ852734 WVU852734:WVV852734 M918270:N918270 JI918270:JJ918270 TE918270:TF918270 ADA918270:ADB918270 AMW918270:AMX918270 AWS918270:AWT918270 BGO918270:BGP918270 BQK918270:BQL918270 CAG918270:CAH918270 CKC918270:CKD918270 CTY918270:CTZ918270 DDU918270:DDV918270 DNQ918270:DNR918270 DXM918270:DXN918270 EHI918270:EHJ918270 ERE918270:ERF918270 FBA918270:FBB918270 FKW918270:FKX918270 FUS918270:FUT918270 GEO918270:GEP918270 GOK918270:GOL918270 GYG918270:GYH918270 HIC918270:HID918270 HRY918270:HRZ918270 IBU918270:IBV918270 ILQ918270:ILR918270 IVM918270:IVN918270 JFI918270:JFJ918270 JPE918270:JPF918270 JZA918270:JZB918270 KIW918270:KIX918270 KSS918270:KST918270 LCO918270:LCP918270 LMK918270:LML918270 LWG918270:LWH918270 MGC918270:MGD918270 MPY918270:MPZ918270 MZU918270:MZV918270 NJQ918270:NJR918270 NTM918270:NTN918270 ODI918270:ODJ918270 ONE918270:ONF918270 OXA918270:OXB918270 PGW918270:PGX918270 PQS918270:PQT918270 QAO918270:QAP918270 QKK918270:QKL918270 QUG918270:QUH918270 REC918270:RED918270 RNY918270:RNZ918270 RXU918270:RXV918270 SHQ918270:SHR918270 SRM918270:SRN918270 TBI918270:TBJ918270 TLE918270:TLF918270 TVA918270:TVB918270 UEW918270:UEX918270 UOS918270:UOT918270 UYO918270:UYP918270 VIK918270:VIL918270 VSG918270:VSH918270 WCC918270:WCD918270 WLY918270:WLZ918270 WVU918270:WVV918270 M983806:N983806 JI983806:JJ983806 TE983806:TF983806 ADA983806:ADB983806 AMW983806:AMX983806 AWS983806:AWT983806 BGO983806:BGP983806 BQK983806:BQL983806 CAG983806:CAH983806 CKC983806:CKD983806 CTY983806:CTZ983806 DDU983806:DDV983806 DNQ983806:DNR983806 DXM983806:DXN983806 EHI983806:EHJ983806 ERE983806:ERF983806 FBA983806:FBB983806 FKW983806:FKX983806 FUS983806:FUT983806 GEO983806:GEP983806 GOK983806:GOL983806 GYG983806:GYH983806 HIC983806:HID983806 HRY983806:HRZ983806 IBU983806:IBV983806 ILQ983806:ILR983806 IVM983806:IVN983806 JFI983806:JFJ983806 JPE983806:JPF983806 JZA983806:JZB983806 KIW983806:KIX983806 KSS983806:KST983806 LCO983806:LCP983806 LMK983806:LML983806 LWG983806:LWH983806 MGC983806:MGD983806 MPY983806:MPZ983806 MZU983806:MZV983806 NJQ983806:NJR983806 NTM983806:NTN983806 ODI983806:ODJ983806 ONE983806:ONF983806 OXA983806:OXB983806 PGW983806:PGX983806 PQS983806:PQT983806 QAO983806:QAP983806 QKK983806:QKL983806 QUG983806:QUH983806 REC983806:RED983806 RNY983806:RNZ983806 RXU983806:RXV983806 SHQ983806:SHR983806 SRM983806:SRN983806 TBI983806:TBJ983806 TLE983806:TLF983806 TVA983806:TVB983806 UEW983806:UEX983806 UOS983806:UOT983806 UYO983806:UYP983806 VIK983806:VIL983806 VSG983806:VSH983806 WCC983806:WCD983806 WLY983806:WLZ983806 WVU983806:WVV983806 M634:N634 JI634:JJ634 TE634:TF634 ADA634:ADB634 AMW634:AMX634 AWS634:AWT634 BGO634:BGP634 BQK634:BQL634 CAG634:CAH634 CKC634:CKD634 CTY634:CTZ634 DDU634:DDV634 DNQ634:DNR634 DXM634:DXN634 EHI634:EHJ634 ERE634:ERF634 FBA634:FBB634 FKW634:FKX634 FUS634:FUT634 GEO634:GEP634 GOK634:GOL634 GYG634:GYH634 HIC634:HID634 HRY634:HRZ634 IBU634:IBV634 ILQ634:ILR634 IVM634:IVN634 JFI634:JFJ634 JPE634:JPF634 JZA634:JZB634 KIW634:KIX634 KSS634:KST634 LCO634:LCP634 LMK634:LML634 LWG634:LWH634 MGC634:MGD634 MPY634:MPZ634 MZU634:MZV634 NJQ634:NJR634 NTM634:NTN634 ODI634:ODJ634 ONE634:ONF634 OXA634:OXB634 PGW634:PGX634 PQS634:PQT634 QAO634:QAP634 QKK634:QKL634 QUG634:QUH634 REC634:RED634 RNY634:RNZ634 RXU634:RXV634 SHQ634:SHR634 SRM634:SRN634 TBI634:TBJ634 TLE634:TLF634 TVA634:TVB634 UEW634:UEX634 UOS634:UOT634 UYO634:UYP634 VIK634:VIL634 VSG634:VSH634 WCC634:WCD634 WLY634:WLZ634 WVU634:WVV634 M66170:N66170 JI66170:JJ66170 TE66170:TF66170 ADA66170:ADB66170 AMW66170:AMX66170 AWS66170:AWT66170 BGO66170:BGP66170 BQK66170:BQL66170 CAG66170:CAH66170 CKC66170:CKD66170 CTY66170:CTZ66170 DDU66170:DDV66170 DNQ66170:DNR66170 DXM66170:DXN66170 EHI66170:EHJ66170 ERE66170:ERF66170 FBA66170:FBB66170 FKW66170:FKX66170 FUS66170:FUT66170 GEO66170:GEP66170 GOK66170:GOL66170 GYG66170:GYH66170 HIC66170:HID66170 HRY66170:HRZ66170 IBU66170:IBV66170 ILQ66170:ILR66170 IVM66170:IVN66170 JFI66170:JFJ66170 JPE66170:JPF66170 JZA66170:JZB66170 KIW66170:KIX66170 KSS66170:KST66170 LCO66170:LCP66170 LMK66170:LML66170 LWG66170:LWH66170 MGC66170:MGD66170 MPY66170:MPZ66170 MZU66170:MZV66170 NJQ66170:NJR66170 NTM66170:NTN66170 ODI66170:ODJ66170 ONE66170:ONF66170 OXA66170:OXB66170 PGW66170:PGX66170 PQS66170:PQT66170 QAO66170:QAP66170 QKK66170:QKL66170 QUG66170:QUH66170 REC66170:RED66170 RNY66170:RNZ66170 RXU66170:RXV66170 SHQ66170:SHR66170 SRM66170:SRN66170 TBI66170:TBJ66170 TLE66170:TLF66170 TVA66170:TVB66170 UEW66170:UEX66170 UOS66170:UOT66170 UYO66170:UYP66170 VIK66170:VIL66170 VSG66170:VSH66170 WCC66170:WCD66170 WLY66170:WLZ66170 WVU66170:WVV66170 M131706:N131706 JI131706:JJ131706 TE131706:TF131706 ADA131706:ADB131706 AMW131706:AMX131706 AWS131706:AWT131706 BGO131706:BGP131706 BQK131706:BQL131706 CAG131706:CAH131706 CKC131706:CKD131706 CTY131706:CTZ131706 DDU131706:DDV131706 DNQ131706:DNR131706 DXM131706:DXN131706 EHI131706:EHJ131706 ERE131706:ERF131706 FBA131706:FBB131706 FKW131706:FKX131706 FUS131706:FUT131706 GEO131706:GEP131706 GOK131706:GOL131706 GYG131706:GYH131706 HIC131706:HID131706 HRY131706:HRZ131706 IBU131706:IBV131706 ILQ131706:ILR131706 IVM131706:IVN131706 JFI131706:JFJ131706 JPE131706:JPF131706 JZA131706:JZB131706 KIW131706:KIX131706 KSS131706:KST131706 LCO131706:LCP131706 LMK131706:LML131706 LWG131706:LWH131706 MGC131706:MGD131706 MPY131706:MPZ131706 MZU131706:MZV131706 NJQ131706:NJR131706 NTM131706:NTN131706 ODI131706:ODJ131706 ONE131706:ONF131706 OXA131706:OXB131706 PGW131706:PGX131706 PQS131706:PQT131706 QAO131706:QAP131706 QKK131706:QKL131706 QUG131706:QUH131706 REC131706:RED131706 RNY131706:RNZ131706 RXU131706:RXV131706 SHQ131706:SHR131706 SRM131706:SRN131706 TBI131706:TBJ131706 TLE131706:TLF131706 TVA131706:TVB131706 UEW131706:UEX131706 UOS131706:UOT131706 UYO131706:UYP131706 VIK131706:VIL131706 VSG131706:VSH131706 WCC131706:WCD131706 WLY131706:WLZ131706 WVU131706:WVV131706 M197242:N197242 JI197242:JJ197242 TE197242:TF197242 ADA197242:ADB197242 AMW197242:AMX197242 AWS197242:AWT197242 BGO197242:BGP197242 BQK197242:BQL197242 CAG197242:CAH197242 CKC197242:CKD197242 CTY197242:CTZ197242 DDU197242:DDV197242 DNQ197242:DNR197242 DXM197242:DXN197242 EHI197242:EHJ197242 ERE197242:ERF197242 FBA197242:FBB197242 FKW197242:FKX197242 FUS197242:FUT197242 GEO197242:GEP197242 GOK197242:GOL197242 GYG197242:GYH197242 HIC197242:HID197242 HRY197242:HRZ197242 IBU197242:IBV197242 ILQ197242:ILR197242 IVM197242:IVN197242 JFI197242:JFJ197242 JPE197242:JPF197242 JZA197242:JZB197242 KIW197242:KIX197242 KSS197242:KST197242 LCO197242:LCP197242 LMK197242:LML197242 LWG197242:LWH197242 MGC197242:MGD197242 MPY197242:MPZ197242 MZU197242:MZV197242 NJQ197242:NJR197242 NTM197242:NTN197242 ODI197242:ODJ197242 ONE197242:ONF197242 OXA197242:OXB197242 PGW197242:PGX197242 PQS197242:PQT197242 QAO197242:QAP197242 QKK197242:QKL197242 QUG197242:QUH197242 REC197242:RED197242 RNY197242:RNZ197242 RXU197242:RXV197242 SHQ197242:SHR197242 SRM197242:SRN197242 TBI197242:TBJ197242 TLE197242:TLF197242 TVA197242:TVB197242 UEW197242:UEX197242 UOS197242:UOT197242 UYO197242:UYP197242 VIK197242:VIL197242 VSG197242:VSH197242 WCC197242:WCD197242 WLY197242:WLZ197242 WVU197242:WVV197242 M262778:N262778 JI262778:JJ262778 TE262778:TF262778 ADA262778:ADB262778 AMW262778:AMX262778 AWS262778:AWT262778 BGO262778:BGP262778 BQK262778:BQL262778 CAG262778:CAH262778 CKC262778:CKD262778 CTY262778:CTZ262778 DDU262778:DDV262778 DNQ262778:DNR262778 DXM262778:DXN262778 EHI262778:EHJ262778 ERE262778:ERF262778 FBA262778:FBB262778 FKW262778:FKX262778 FUS262778:FUT262778 GEO262778:GEP262778 GOK262778:GOL262778 GYG262778:GYH262778 HIC262778:HID262778 HRY262778:HRZ262778 IBU262778:IBV262778 ILQ262778:ILR262778 IVM262778:IVN262778 JFI262778:JFJ262778 JPE262778:JPF262778 JZA262778:JZB262778 KIW262778:KIX262778 KSS262778:KST262778 LCO262778:LCP262778 LMK262778:LML262778 LWG262778:LWH262778 MGC262778:MGD262778 MPY262778:MPZ262778 MZU262778:MZV262778 NJQ262778:NJR262778 NTM262778:NTN262778 ODI262778:ODJ262778 ONE262778:ONF262778 OXA262778:OXB262778 PGW262778:PGX262778 PQS262778:PQT262778 QAO262778:QAP262778 QKK262778:QKL262778 QUG262778:QUH262778 REC262778:RED262778 RNY262778:RNZ262778 RXU262778:RXV262778 SHQ262778:SHR262778 SRM262778:SRN262778 TBI262778:TBJ262778 TLE262778:TLF262778 TVA262778:TVB262778 UEW262778:UEX262778 UOS262778:UOT262778 UYO262778:UYP262778 VIK262778:VIL262778 VSG262778:VSH262778 WCC262778:WCD262778 WLY262778:WLZ262778 WVU262778:WVV262778 M328314:N328314 JI328314:JJ328314 TE328314:TF328314 ADA328314:ADB328314 AMW328314:AMX328314 AWS328314:AWT328314 BGO328314:BGP328314 BQK328314:BQL328314 CAG328314:CAH328314 CKC328314:CKD328314 CTY328314:CTZ328314 DDU328314:DDV328314 DNQ328314:DNR328314 DXM328314:DXN328314 EHI328314:EHJ328314 ERE328314:ERF328314 FBA328314:FBB328314 FKW328314:FKX328314 FUS328314:FUT328314 GEO328314:GEP328314 GOK328314:GOL328314 GYG328314:GYH328314 HIC328314:HID328314 HRY328314:HRZ328314 IBU328314:IBV328314 ILQ328314:ILR328314 IVM328314:IVN328314 JFI328314:JFJ328314 JPE328314:JPF328314 JZA328314:JZB328314 KIW328314:KIX328314 KSS328314:KST328314 LCO328314:LCP328314 LMK328314:LML328314 LWG328314:LWH328314 MGC328314:MGD328314 MPY328314:MPZ328314 MZU328314:MZV328314 NJQ328314:NJR328314 NTM328314:NTN328314 ODI328314:ODJ328314 ONE328314:ONF328314 OXA328314:OXB328314 PGW328314:PGX328314 PQS328314:PQT328314 QAO328314:QAP328314 QKK328314:QKL328314 QUG328314:QUH328314 REC328314:RED328314 RNY328314:RNZ328314 RXU328314:RXV328314 SHQ328314:SHR328314 SRM328314:SRN328314 TBI328314:TBJ328314 TLE328314:TLF328314 TVA328314:TVB328314 UEW328314:UEX328314 UOS328314:UOT328314 UYO328314:UYP328314 VIK328314:VIL328314 VSG328314:VSH328314 WCC328314:WCD328314 WLY328314:WLZ328314 WVU328314:WVV328314 M393850:N393850 JI393850:JJ393850 TE393850:TF393850 ADA393850:ADB393850 AMW393850:AMX393850 AWS393850:AWT393850 BGO393850:BGP393850 BQK393850:BQL393850 CAG393850:CAH393850 CKC393850:CKD393850 CTY393850:CTZ393850 DDU393850:DDV393850 DNQ393850:DNR393850 DXM393850:DXN393850 EHI393850:EHJ393850 ERE393850:ERF393850 FBA393850:FBB393850 FKW393850:FKX393850 FUS393850:FUT393850 GEO393850:GEP393850 GOK393850:GOL393850 GYG393850:GYH393850 HIC393850:HID393850 HRY393850:HRZ393850 IBU393850:IBV393850 ILQ393850:ILR393850 IVM393850:IVN393850 JFI393850:JFJ393850 JPE393850:JPF393850 JZA393850:JZB393850 KIW393850:KIX393850 KSS393850:KST393850 LCO393850:LCP393850 LMK393850:LML393850 LWG393850:LWH393850 MGC393850:MGD393850 MPY393850:MPZ393850 MZU393850:MZV393850 NJQ393850:NJR393850 NTM393850:NTN393850 ODI393850:ODJ393850 ONE393850:ONF393850 OXA393850:OXB393850 PGW393850:PGX393850 PQS393850:PQT393850 QAO393850:QAP393850 QKK393850:QKL393850 QUG393850:QUH393850 REC393850:RED393850 RNY393850:RNZ393850 RXU393850:RXV393850 SHQ393850:SHR393850 SRM393850:SRN393850 TBI393850:TBJ393850 TLE393850:TLF393850 TVA393850:TVB393850 UEW393850:UEX393850 UOS393850:UOT393850 UYO393850:UYP393850 VIK393850:VIL393850 VSG393850:VSH393850 WCC393850:WCD393850 WLY393850:WLZ393850 WVU393850:WVV393850 M459386:N459386 JI459386:JJ459386 TE459386:TF459386 ADA459386:ADB459386 AMW459386:AMX459386 AWS459386:AWT459386 BGO459386:BGP459386 BQK459386:BQL459386 CAG459386:CAH459386 CKC459386:CKD459386 CTY459386:CTZ459386 DDU459386:DDV459386 DNQ459386:DNR459386 DXM459386:DXN459386 EHI459386:EHJ459386 ERE459386:ERF459386 FBA459386:FBB459386 FKW459386:FKX459386 FUS459386:FUT459386 GEO459386:GEP459386 GOK459386:GOL459386 GYG459386:GYH459386 HIC459386:HID459386 HRY459386:HRZ459386 IBU459386:IBV459386 ILQ459386:ILR459386 IVM459386:IVN459386 JFI459386:JFJ459386 JPE459386:JPF459386 JZA459386:JZB459386 KIW459386:KIX459386 KSS459386:KST459386 LCO459386:LCP459386 LMK459386:LML459386 LWG459386:LWH459386 MGC459386:MGD459386 MPY459386:MPZ459386 MZU459386:MZV459386 NJQ459386:NJR459386 NTM459386:NTN459386 ODI459386:ODJ459386 ONE459386:ONF459386 OXA459386:OXB459386 PGW459386:PGX459386 PQS459386:PQT459386 QAO459386:QAP459386 QKK459386:QKL459386 QUG459386:QUH459386 REC459386:RED459386 RNY459386:RNZ459386 RXU459386:RXV459386 SHQ459386:SHR459386 SRM459386:SRN459386 TBI459386:TBJ459386 TLE459386:TLF459386 TVA459386:TVB459386 UEW459386:UEX459386 UOS459386:UOT459386 UYO459386:UYP459386 VIK459386:VIL459386 VSG459386:VSH459386 WCC459386:WCD459386 WLY459386:WLZ459386 WVU459386:WVV459386 M524922:N524922 JI524922:JJ524922 TE524922:TF524922 ADA524922:ADB524922 AMW524922:AMX524922 AWS524922:AWT524922 BGO524922:BGP524922 BQK524922:BQL524922 CAG524922:CAH524922 CKC524922:CKD524922 CTY524922:CTZ524922 DDU524922:DDV524922 DNQ524922:DNR524922 DXM524922:DXN524922 EHI524922:EHJ524922 ERE524922:ERF524922 FBA524922:FBB524922 FKW524922:FKX524922 FUS524922:FUT524922 GEO524922:GEP524922 GOK524922:GOL524922 GYG524922:GYH524922 HIC524922:HID524922 HRY524922:HRZ524922 IBU524922:IBV524922 ILQ524922:ILR524922 IVM524922:IVN524922 JFI524922:JFJ524922 JPE524922:JPF524922 JZA524922:JZB524922 KIW524922:KIX524922 KSS524922:KST524922 LCO524922:LCP524922 LMK524922:LML524922 LWG524922:LWH524922 MGC524922:MGD524922 MPY524922:MPZ524922 MZU524922:MZV524922 NJQ524922:NJR524922 NTM524922:NTN524922 ODI524922:ODJ524922 ONE524922:ONF524922 OXA524922:OXB524922 PGW524922:PGX524922 PQS524922:PQT524922 QAO524922:QAP524922 QKK524922:QKL524922 QUG524922:QUH524922 REC524922:RED524922 RNY524922:RNZ524922 RXU524922:RXV524922 SHQ524922:SHR524922 SRM524922:SRN524922 TBI524922:TBJ524922 TLE524922:TLF524922 TVA524922:TVB524922 UEW524922:UEX524922 UOS524922:UOT524922 UYO524922:UYP524922 VIK524922:VIL524922 VSG524922:VSH524922 WCC524922:WCD524922 WLY524922:WLZ524922 WVU524922:WVV524922 M590458:N590458 JI590458:JJ590458 TE590458:TF590458 ADA590458:ADB590458 AMW590458:AMX590458 AWS590458:AWT590458 BGO590458:BGP590458 BQK590458:BQL590458 CAG590458:CAH590458 CKC590458:CKD590458 CTY590458:CTZ590458 DDU590458:DDV590458 DNQ590458:DNR590458 DXM590458:DXN590458 EHI590458:EHJ590458 ERE590458:ERF590458 FBA590458:FBB590458 FKW590458:FKX590458 FUS590458:FUT590458 GEO590458:GEP590458 GOK590458:GOL590458 GYG590458:GYH590458 HIC590458:HID590458 HRY590458:HRZ590458 IBU590458:IBV590458 ILQ590458:ILR590458 IVM590458:IVN590458 JFI590458:JFJ590458 JPE590458:JPF590458 JZA590458:JZB590458 KIW590458:KIX590458 KSS590458:KST590458 LCO590458:LCP590458 LMK590458:LML590458 LWG590458:LWH590458 MGC590458:MGD590458 MPY590458:MPZ590458 MZU590458:MZV590458 NJQ590458:NJR590458 NTM590458:NTN590458 ODI590458:ODJ590458 ONE590458:ONF590458 OXA590458:OXB590458 PGW590458:PGX590458 PQS590458:PQT590458 QAO590458:QAP590458 QKK590458:QKL590458 QUG590458:QUH590458 REC590458:RED590458 RNY590458:RNZ590458 RXU590458:RXV590458 SHQ590458:SHR590458 SRM590458:SRN590458 TBI590458:TBJ590458 TLE590458:TLF590458 TVA590458:TVB590458 UEW590458:UEX590458 UOS590458:UOT590458 UYO590458:UYP590458 VIK590458:VIL590458 VSG590458:VSH590458 WCC590458:WCD590458 WLY590458:WLZ590458 WVU590458:WVV590458 M655994:N655994 JI655994:JJ655994 TE655994:TF655994 ADA655994:ADB655994 AMW655994:AMX655994 AWS655994:AWT655994 BGO655994:BGP655994 BQK655994:BQL655994 CAG655994:CAH655994 CKC655994:CKD655994 CTY655994:CTZ655994 DDU655994:DDV655994 DNQ655994:DNR655994 DXM655994:DXN655994 EHI655994:EHJ655994 ERE655994:ERF655994 FBA655994:FBB655994 FKW655994:FKX655994 FUS655994:FUT655994 GEO655994:GEP655994 GOK655994:GOL655994 GYG655994:GYH655994 HIC655994:HID655994 HRY655994:HRZ655994 IBU655994:IBV655994 ILQ655994:ILR655994 IVM655994:IVN655994 JFI655994:JFJ655994 JPE655994:JPF655994 JZA655994:JZB655994 KIW655994:KIX655994 KSS655994:KST655994 LCO655994:LCP655994 LMK655994:LML655994 LWG655994:LWH655994 MGC655994:MGD655994 MPY655994:MPZ655994 MZU655994:MZV655994 NJQ655994:NJR655994 NTM655994:NTN655994 ODI655994:ODJ655994 ONE655994:ONF655994 OXA655994:OXB655994 PGW655994:PGX655994 PQS655994:PQT655994 QAO655994:QAP655994 QKK655994:QKL655994 QUG655994:QUH655994 REC655994:RED655994 RNY655994:RNZ655994 RXU655994:RXV655994 SHQ655994:SHR655994 SRM655994:SRN655994 TBI655994:TBJ655994 TLE655994:TLF655994 TVA655994:TVB655994 UEW655994:UEX655994 UOS655994:UOT655994 UYO655994:UYP655994 VIK655994:VIL655994 VSG655994:VSH655994 WCC655994:WCD655994 WLY655994:WLZ655994 WVU655994:WVV655994 M721530:N721530 JI721530:JJ721530 TE721530:TF721530 ADA721530:ADB721530 AMW721530:AMX721530 AWS721530:AWT721530 BGO721530:BGP721530 BQK721530:BQL721530 CAG721530:CAH721530 CKC721530:CKD721530 CTY721530:CTZ721530 DDU721530:DDV721530 DNQ721530:DNR721530 DXM721530:DXN721530 EHI721530:EHJ721530 ERE721530:ERF721530 FBA721530:FBB721530 FKW721530:FKX721530 FUS721530:FUT721530 GEO721530:GEP721530 GOK721530:GOL721530 GYG721530:GYH721530 HIC721530:HID721530 HRY721530:HRZ721530 IBU721530:IBV721530 ILQ721530:ILR721530 IVM721530:IVN721530 JFI721530:JFJ721530 JPE721530:JPF721530 JZA721530:JZB721530 KIW721530:KIX721530 KSS721530:KST721530 LCO721530:LCP721530 LMK721530:LML721530 LWG721530:LWH721530 MGC721530:MGD721530 MPY721530:MPZ721530 MZU721530:MZV721530 NJQ721530:NJR721530 NTM721530:NTN721530 ODI721530:ODJ721530 ONE721530:ONF721530 OXA721530:OXB721530 PGW721530:PGX721530 PQS721530:PQT721530 QAO721530:QAP721530 QKK721530:QKL721530 QUG721530:QUH721530 REC721530:RED721530 RNY721530:RNZ721530 RXU721530:RXV721530 SHQ721530:SHR721530 SRM721530:SRN721530 TBI721530:TBJ721530 TLE721530:TLF721530 TVA721530:TVB721530 UEW721530:UEX721530 UOS721530:UOT721530 UYO721530:UYP721530 VIK721530:VIL721530 VSG721530:VSH721530 WCC721530:WCD721530 WLY721530:WLZ721530 WVU721530:WVV721530 M787066:N787066 JI787066:JJ787066 TE787066:TF787066 ADA787066:ADB787066 AMW787066:AMX787066 AWS787066:AWT787066 BGO787066:BGP787066 BQK787066:BQL787066 CAG787066:CAH787066 CKC787066:CKD787066 CTY787066:CTZ787066 DDU787066:DDV787066 DNQ787066:DNR787066 DXM787066:DXN787066 EHI787066:EHJ787066 ERE787066:ERF787066 FBA787066:FBB787066 FKW787066:FKX787066 FUS787066:FUT787066 GEO787066:GEP787066 GOK787066:GOL787066 GYG787066:GYH787066 HIC787066:HID787066 HRY787066:HRZ787066 IBU787066:IBV787066 ILQ787066:ILR787066 IVM787066:IVN787066 JFI787066:JFJ787066 JPE787066:JPF787066 JZA787066:JZB787066 KIW787066:KIX787066 KSS787066:KST787066 LCO787066:LCP787066 LMK787066:LML787066 LWG787066:LWH787066 MGC787066:MGD787066 MPY787066:MPZ787066 MZU787066:MZV787066 NJQ787066:NJR787066 NTM787066:NTN787066 ODI787066:ODJ787066 ONE787066:ONF787066 OXA787066:OXB787066 PGW787066:PGX787066 PQS787066:PQT787066 QAO787066:QAP787066 QKK787066:QKL787066 QUG787066:QUH787066 REC787066:RED787066 RNY787066:RNZ787066 RXU787066:RXV787066 SHQ787066:SHR787066 SRM787066:SRN787066 TBI787066:TBJ787066 TLE787066:TLF787066 TVA787066:TVB787066 UEW787066:UEX787066 UOS787066:UOT787066 UYO787066:UYP787066 VIK787066:VIL787066 VSG787066:VSH787066 WCC787066:WCD787066 WLY787066:WLZ787066 WVU787066:WVV787066 M852602:N852602 JI852602:JJ852602 TE852602:TF852602 ADA852602:ADB852602 AMW852602:AMX852602 AWS852602:AWT852602 BGO852602:BGP852602 BQK852602:BQL852602 CAG852602:CAH852602 CKC852602:CKD852602 CTY852602:CTZ852602 DDU852602:DDV852602 DNQ852602:DNR852602 DXM852602:DXN852602 EHI852602:EHJ852602 ERE852602:ERF852602 FBA852602:FBB852602 FKW852602:FKX852602 FUS852602:FUT852602 GEO852602:GEP852602 GOK852602:GOL852602 GYG852602:GYH852602 HIC852602:HID852602 HRY852602:HRZ852602 IBU852602:IBV852602 ILQ852602:ILR852602 IVM852602:IVN852602 JFI852602:JFJ852602 JPE852602:JPF852602 JZA852602:JZB852602 KIW852602:KIX852602 KSS852602:KST852602 LCO852602:LCP852602 LMK852602:LML852602 LWG852602:LWH852602 MGC852602:MGD852602 MPY852602:MPZ852602 MZU852602:MZV852602 NJQ852602:NJR852602 NTM852602:NTN852602 ODI852602:ODJ852602 ONE852602:ONF852602 OXA852602:OXB852602 PGW852602:PGX852602 PQS852602:PQT852602 QAO852602:QAP852602 QKK852602:QKL852602 QUG852602:QUH852602 REC852602:RED852602 RNY852602:RNZ852602 RXU852602:RXV852602 SHQ852602:SHR852602 SRM852602:SRN852602 TBI852602:TBJ852602 TLE852602:TLF852602 TVA852602:TVB852602 UEW852602:UEX852602 UOS852602:UOT852602 UYO852602:UYP852602 VIK852602:VIL852602 VSG852602:VSH852602 WCC852602:WCD852602 WLY852602:WLZ852602 WVU852602:WVV852602 M918138:N918138 JI918138:JJ918138 TE918138:TF918138 ADA918138:ADB918138 AMW918138:AMX918138 AWS918138:AWT918138 BGO918138:BGP918138 BQK918138:BQL918138 CAG918138:CAH918138 CKC918138:CKD918138 CTY918138:CTZ918138 DDU918138:DDV918138 DNQ918138:DNR918138 DXM918138:DXN918138 EHI918138:EHJ918138 ERE918138:ERF918138 FBA918138:FBB918138 FKW918138:FKX918138 FUS918138:FUT918138 GEO918138:GEP918138 GOK918138:GOL918138 GYG918138:GYH918138 HIC918138:HID918138 HRY918138:HRZ918138 IBU918138:IBV918138 ILQ918138:ILR918138 IVM918138:IVN918138 JFI918138:JFJ918138 JPE918138:JPF918138 JZA918138:JZB918138 KIW918138:KIX918138 KSS918138:KST918138 LCO918138:LCP918138 LMK918138:LML918138 LWG918138:LWH918138 MGC918138:MGD918138 MPY918138:MPZ918138 MZU918138:MZV918138 NJQ918138:NJR918138 NTM918138:NTN918138 ODI918138:ODJ918138 ONE918138:ONF918138 OXA918138:OXB918138 PGW918138:PGX918138 PQS918138:PQT918138 QAO918138:QAP918138 QKK918138:QKL918138 QUG918138:QUH918138 REC918138:RED918138 RNY918138:RNZ918138 RXU918138:RXV918138 SHQ918138:SHR918138 SRM918138:SRN918138 TBI918138:TBJ918138 TLE918138:TLF918138 TVA918138:TVB918138 UEW918138:UEX918138 UOS918138:UOT918138 UYO918138:UYP918138 VIK918138:VIL918138 VSG918138:VSH918138 WCC918138:WCD918138 WLY918138:WLZ918138 WVU918138:WVV918138 M983674:N983674 JI983674:JJ983674 TE983674:TF983674 ADA983674:ADB983674 AMW983674:AMX983674 AWS983674:AWT983674 BGO983674:BGP983674 BQK983674:BQL983674 CAG983674:CAH983674 CKC983674:CKD983674 CTY983674:CTZ983674 DDU983674:DDV983674 DNQ983674:DNR983674 DXM983674:DXN983674 EHI983674:EHJ983674 ERE983674:ERF983674 FBA983674:FBB983674 FKW983674:FKX983674 FUS983674:FUT983674 GEO983674:GEP983674 GOK983674:GOL983674 GYG983674:GYH983674 HIC983674:HID983674 HRY983674:HRZ983674 IBU983674:IBV983674 ILQ983674:ILR983674 IVM983674:IVN983674 JFI983674:JFJ983674 JPE983674:JPF983674 JZA983674:JZB983674 KIW983674:KIX983674 KSS983674:KST983674 LCO983674:LCP983674 LMK983674:LML983674 LWG983674:LWH983674 MGC983674:MGD983674 MPY983674:MPZ983674 MZU983674:MZV983674 NJQ983674:NJR983674 NTM983674:NTN983674 ODI983674:ODJ983674 ONE983674:ONF983674 OXA983674:OXB983674 PGW983674:PGX983674 PQS983674:PQT983674 QAO983674:QAP983674 QKK983674:QKL983674 QUG983674:QUH983674 REC983674:RED983674 RNY983674:RNZ983674 RXU983674:RXV983674 SHQ983674:SHR983674 SRM983674:SRN983674 TBI983674:TBJ983674 TLE983674:TLF983674 TVA983674:TVB983674 UEW983674:UEX983674 UOS983674:UOT983674 UYO983674:UYP983674 VIK983674:VIL983674 VSG983674:VSH983674 WCC983674:WCD983674 WLY983674:WLZ983674 WVU983674:WVV983674 M330:N330 JI330:JJ330 TE330:TF330 ADA330:ADB330 AMW330:AMX330 AWS330:AWT330 BGO330:BGP330 BQK330:BQL330 CAG330:CAH330 CKC330:CKD330 CTY330:CTZ330 DDU330:DDV330 DNQ330:DNR330 DXM330:DXN330 EHI330:EHJ330 ERE330:ERF330 FBA330:FBB330 FKW330:FKX330 FUS330:FUT330 GEO330:GEP330 GOK330:GOL330 GYG330:GYH330 HIC330:HID330 HRY330:HRZ330 IBU330:IBV330 ILQ330:ILR330 IVM330:IVN330 JFI330:JFJ330 JPE330:JPF330 JZA330:JZB330 KIW330:KIX330 KSS330:KST330 LCO330:LCP330 LMK330:LML330 LWG330:LWH330 MGC330:MGD330 MPY330:MPZ330 MZU330:MZV330 NJQ330:NJR330 NTM330:NTN330 ODI330:ODJ330 ONE330:ONF330 OXA330:OXB330 PGW330:PGX330 PQS330:PQT330 QAO330:QAP330 QKK330:QKL330 QUG330:QUH330 REC330:RED330 RNY330:RNZ330 RXU330:RXV330 SHQ330:SHR330 SRM330:SRN330 TBI330:TBJ330 TLE330:TLF330 TVA330:TVB330 UEW330:UEX330 UOS330:UOT330 UYO330:UYP330 VIK330:VIL330 VSG330:VSH330 WCC330:WCD330 WLY330:WLZ330 WVU330:WVV330 M65866:N65866 JI65866:JJ65866 TE65866:TF65866 ADA65866:ADB65866 AMW65866:AMX65866 AWS65866:AWT65866 BGO65866:BGP65866 BQK65866:BQL65866 CAG65866:CAH65866 CKC65866:CKD65866 CTY65866:CTZ65866 DDU65866:DDV65866 DNQ65866:DNR65866 DXM65866:DXN65866 EHI65866:EHJ65866 ERE65866:ERF65866 FBA65866:FBB65866 FKW65866:FKX65866 FUS65866:FUT65866 GEO65866:GEP65866 GOK65866:GOL65866 GYG65866:GYH65866 HIC65866:HID65866 HRY65866:HRZ65866 IBU65866:IBV65866 ILQ65866:ILR65866 IVM65866:IVN65866 JFI65866:JFJ65866 JPE65866:JPF65866 JZA65866:JZB65866 KIW65866:KIX65866 KSS65866:KST65866 LCO65866:LCP65866 LMK65866:LML65866 LWG65866:LWH65866 MGC65866:MGD65866 MPY65866:MPZ65866 MZU65866:MZV65866 NJQ65866:NJR65866 NTM65866:NTN65866 ODI65866:ODJ65866 ONE65866:ONF65866 OXA65866:OXB65866 PGW65866:PGX65866 PQS65866:PQT65866 QAO65866:QAP65866 QKK65866:QKL65866 QUG65866:QUH65866 REC65866:RED65866 RNY65866:RNZ65866 RXU65866:RXV65866 SHQ65866:SHR65866 SRM65866:SRN65866 TBI65866:TBJ65866 TLE65866:TLF65866 TVA65866:TVB65866 UEW65866:UEX65866 UOS65866:UOT65866 UYO65866:UYP65866 VIK65866:VIL65866 VSG65866:VSH65866 WCC65866:WCD65866 WLY65866:WLZ65866 WVU65866:WVV65866 M131402:N131402 JI131402:JJ131402 TE131402:TF131402 ADA131402:ADB131402 AMW131402:AMX131402 AWS131402:AWT131402 BGO131402:BGP131402 BQK131402:BQL131402 CAG131402:CAH131402 CKC131402:CKD131402 CTY131402:CTZ131402 DDU131402:DDV131402 DNQ131402:DNR131402 DXM131402:DXN131402 EHI131402:EHJ131402 ERE131402:ERF131402 FBA131402:FBB131402 FKW131402:FKX131402 FUS131402:FUT131402 GEO131402:GEP131402 GOK131402:GOL131402 GYG131402:GYH131402 HIC131402:HID131402 HRY131402:HRZ131402 IBU131402:IBV131402 ILQ131402:ILR131402 IVM131402:IVN131402 JFI131402:JFJ131402 JPE131402:JPF131402 JZA131402:JZB131402 KIW131402:KIX131402 KSS131402:KST131402 LCO131402:LCP131402 LMK131402:LML131402 LWG131402:LWH131402 MGC131402:MGD131402 MPY131402:MPZ131402 MZU131402:MZV131402 NJQ131402:NJR131402 NTM131402:NTN131402 ODI131402:ODJ131402 ONE131402:ONF131402 OXA131402:OXB131402 PGW131402:PGX131402 PQS131402:PQT131402 QAO131402:QAP131402 QKK131402:QKL131402 QUG131402:QUH131402 REC131402:RED131402 RNY131402:RNZ131402 RXU131402:RXV131402 SHQ131402:SHR131402 SRM131402:SRN131402 TBI131402:TBJ131402 TLE131402:TLF131402 TVA131402:TVB131402 UEW131402:UEX131402 UOS131402:UOT131402 UYO131402:UYP131402 VIK131402:VIL131402 VSG131402:VSH131402 WCC131402:WCD131402 WLY131402:WLZ131402 WVU131402:WVV131402 M196938:N196938 JI196938:JJ196938 TE196938:TF196938 ADA196938:ADB196938 AMW196938:AMX196938 AWS196938:AWT196938 BGO196938:BGP196938 BQK196938:BQL196938 CAG196938:CAH196938 CKC196938:CKD196938 CTY196938:CTZ196938 DDU196938:DDV196938 DNQ196938:DNR196938 DXM196938:DXN196938 EHI196938:EHJ196938 ERE196938:ERF196938 FBA196938:FBB196938 FKW196938:FKX196938 FUS196938:FUT196938 GEO196938:GEP196938 GOK196938:GOL196938 GYG196938:GYH196938 HIC196938:HID196938 HRY196938:HRZ196938 IBU196938:IBV196938 ILQ196938:ILR196938 IVM196938:IVN196938 JFI196938:JFJ196938 JPE196938:JPF196938 JZA196938:JZB196938 KIW196938:KIX196938 KSS196938:KST196938 LCO196938:LCP196938 LMK196938:LML196938 LWG196938:LWH196938 MGC196938:MGD196938 MPY196938:MPZ196938 MZU196938:MZV196938 NJQ196938:NJR196938 NTM196938:NTN196938 ODI196938:ODJ196938 ONE196938:ONF196938 OXA196938:OXB196938 PGW196938:PGX196938 PQS196938:PQT196938 QAO196938:QAP196938 QKK196938:QKL196938 QUG196938:QUH196938 REC196938:RED196938 RNY196938:RNZ196938 RXU196938:RXV196938 SHQ196938:SHR196938 SRM196938:SRN196938 TBI196938:TBJ196938 TLE196938:TLF196938 TVA196938:TVB196938 UEW196938:UEX196938 UOS196938:UOT196938 UYO196938:UYP196938 VIK196938:VIL196938 VSG196938:VSH196938 WCC196938:WCD196938 WLY196938:WLZ196938 WVU196938:WVV196938 M262474:N262474 JI262474:JJ262474 TE262474:TF262474 ADA262474:ADB262474 AMW262474:AMX262474 AWS262474:AWT262474 BGO262474:BGP262474 BQK262474:BQL262474 CAG262474:CAH262474 CKC262474:CKD262474 CTY262474:CTZ262474 DDU262474:DDV262474 DNQ262474:DNR262474 DXM262474:DXN262474 EHI262474:EHJ262474 ERE262474:ERF262474 FBA262474:FBB262474 FKW262474:FKX262474 FUS262474:FUT262474 GEO262474:GEP262474 GOK262474:GOL262474 GYG262474:GYH262474 HIC262474:HID262474 HRY262474:HRZ262474 IBU262474:IBV262474 ILQ262474:ILR262474 IVM262474:IVN262474 JFI262474:JFJ262474 JPE262474:JPF262474 JZA262474:JZB262474 KIW262474:KIX262474 KSS262474:KST262474 LCO262474:LCP262474 LMK262474:LML262474 LWG262474:LWH262474 MGC262474:MGD262474 MPY262474:MPZ262474 MZU262474:MZV262474 NJQ262474:NJR262474 NTM262474:NTN262474 ODI262474:ODJ262474 ONE262474:ONF262474 OXA262474:OXB262474 PGW262474:PGX262474 PQS262474:PQT262474 QAO262474:QAP262474 QKK262474:QKL262474 QUG262474:QUH262474 REC262474:RED262474 RNY262474:RNZ262474 RXU262474:RXV262474 SHQ262474:SHR262474 SRM262474:SRN262474 TBI262474:TBJ262474 TLE262474:TLF262474 TVA262474:TVB262474 UEW262474:UEX262474 UOS262474:UOT262474 UYO262474:UYP262474 VIK262474:VIL262474 VSG262474:VSH262474 WCC262474:WCD262474 WLY262474:WLZ262474 WVU262474:WVV262474 M328010:N328010 JI328010:JJ328010 TE328010:TF328010 ADA328010:ADB328010 AMW328010:AMX328010 AWS328010:AWT328010 BGO328010:BGP328010 BQK328010:BQL328010 CAG328010:CAH328010 CKC328010:CKD328010 CTY328010:CTZ328010 DDU328010:DDV328010 DNQ328010:DNR328010 DXM328010:DXN328010 EHI328010:EHJ328010 ERE328010:ERF328010 FBA328010:FBB328010 FKW328010:FKX328010 FUS328010:FUT328010 GEO328010:GEP328010 GOK328010:GOL328010 GYG328010:GYH328010 HIC328010:HID328010 HRY328010:HRZ328010 IBU328010:IBV328010 ILQ328010:ILR328010 IVM328010:IVN328010 JFI328010:JFJ328010 JPE328010:JPF328010 JZA328010:JZB328010 KIW328010:KIX328010 KSS328010:KST328010 LCO328010:LCP328010 LMK328010:LML328010 LWG328010:LWH328010 MGC328010:MGD328010 MPY328010:MPZ328010 MZU328010:MZV328010 NJQ328010:NJR328010 NTM328010:NTN328010 ODI328010:ODJ328010 ONE328010:ONF328010 OXA328010:OXB328010 PGW328010:PGX328010 PQS328010:PQT328010 QAO328010:QAP328010 QKK328010:QKL328010 QUG328010:QUH328010 REC328010:RED328010 RNY328010:RNZ328010 RXU328010:RXV328010 SHQ328010:SHR328010 SRM328010:SRN328010 TBI328010:TBJ328010 TLE328010:TLF328010 TVA328010:TVB328010 UEW328010:UEX328010 UOS328010:UOT328010 UYO328010:UYP328010 VIK328010:VIL328010 VSG328010:VSH328010 WCC328010:WCD328010 WLY328010:WLZ328010 WVU328010:WVV328010 M393546:N393546 JI393546:JJ393546 TE393546:TF393546 ADA393546:ADB393546 AMW393546:AMX393546 AWS393546:AWT393546 BGO393546:BGP393546 BQK393546:BQL393546 CAG393546:CAH393546 CKC393546:CKD393546 CTY393546:CTZ393546 DDU393546:DDV393546 DNQ393546:DNR393546 DXM393546:DXN393546 EHI393546:EHJ393546 ERE393546:ERF393546 FBA393546:FBB393546 FKW393546:FKX393546 FUS393546:FUT393546 GEO393546:GEP393546 GOK393546:GOL393546 GYG393546:GYH393546 HIC393546:HID393546 HRY393546:HRZ393546 IBU393546:IBV393546 ILQ393546:ILR393546 IVM393546:IVN393546 JFI393546:JFJ393546 JPE393546:JPF393546 JZA393546:JZB393546 KIW393546:KIX393546 KSS393546:KST393546 LCO393546:LCP393546 LMK393546:LML393546 LWG393546:LWH393546 MGC393546:MGD393546 MPY393546:MPZ393546 MZU393546:MZV393546 NJQ393546:NJR393546 NTM393546:NTN393546 ODI393546:ODJ393546 ONE393546:ONF393546 OXA393546:OXB393546 PGW393546:PGX393546 PQS393546:PQT393546 QAO393546:QAP393546 QKK393546:QKL393546 QUG393546:QUH393546 REC393546:RED393546 RNY393546:RNZ393546 RXU393546:RXV393546 SHQ393546:SHR393546 SRM393546:SRN393546 TBI393546:TBJ393546 TLE393546:TLF393546 TVA393546:TVB393546 UEW393546:UEX393546 UOS393546:UOT393546 UYO393546:UYP393546 VIK393546:VIL393546 VSG393546:VSH393546 WCC393546:WCD393546 WLY393546:WLZ393546 WVU393546:WVV393546 M459082:N459082 JI459082:JJ459082 TE459082:TF459082 ADA459082:ADB459082 AMW459082:AMX459082 AWS459082:AWT459082 BGO459082:BGP459082 BQK459082:BQL459082 CAG459082:CAH459082 CKC459082:CKD459082 CTY459082:CTZ459082 DDU459082:DDV459082 DNQ459082:DNR459082 DXM459082:DXN459082 EHI459082:EHJ459082 ERE459082:ERF459082 FBA459082:FBB459082 FKW459082:FKX459082 FUS459082:FUT459082 GEO459082:GEP459082 GOK459082:GOL459082 GYG459082:GYH459082 HIC459082:HID459082 HRY459082:HRZ459082 IBU459082:IBV459082 ILQ459082:ILR459082 IVM459082:IVN459082 JFI459082:JFJ459082 JPE459082:JPF459082 JZA459082:JZB459082 KIW459082:KIX459082 KSS459082:KST459082 LCO459082:LCP459082 LMK459082:LML459082 LWG459082:LWH459082 MGC459082:MGD459082 MPY459082:MPZ459082 MZU459082:MZV459082 NJQ459082:NJR459082 NTM459082:NTN459082 ODI459082:ODJ459082 ONE459082:ONF459082 OXA459082:OXB459082 PGW459082:PGX459082 PQS459082:PQT459082 QAO459082:QAP459082 QKK459082:QKL459082 QUG459082:QUH459082 REC459082:RED459082 RNY459082:RNZ459082 RXU459082:RXV459082 SHQ459082:SHR459082 SRM459082:SRN459082 TBI459082:TBJ459082 TLE459082:TLF459082 TVA459082:TVB459082 UEW459082:UEX459082 UOS459082:UOT459082 UYO459082:UYP459082 VIK459082:VIL459082 VSG459082:VSH459082 WCC459082:WCD459082 WLY459082:WLZ459082 WVU459082:WVV459082 M524618:N524618 JI524618:JJ524618 TE524618:TF524618 ADA524618:ADB524618 AMW524618:AMX524618 AWS524618:AWT524618 BGO524618:BGP524618 BQK524618:BQL524618 CAG524618:CAH524618 CKC524618:CKD524618 CTY524618:CTZ524618 DDU524618:DDV524618 DNQ524618:DNR524618 DXM524618:DXN524618 EHI524618:EHJ524618 ERE524618:ERF524618 FBA524618:FBB524618 FKW524618:FKX524618 FUS524618:FUT524618 GEO524618:GEP524618 GOK524618:GOL524618 GYG524618:GYH524618 HIC524618:HID524618 HRY524618:HRZ524618 IBU524618:IBV524618 ILQ524618:ILR524618 IVM524618:IVN524618 JFI524618:JFJ524618 JPE524618:JPF524618 JZA524618:JZB524618 KIW524618:KIX524618 KSS524618:KST524618 LCO524618:LCP524618 LMK524618:LML524618 LWG524618:LWH524618 MGC524618:MGD524618 MPY524618:MPZ524618 MZU524618:MZV524618 NJQ524618:NJR524618 NTM524618:NTN524618 ODI524618:ODJ524618 ONE524618:ONF524618 OXA524618:OXB524618 PGW524618:PGX524618 PQS524618:PQT524618 QAO524618:QAP524618 QKK524618:QKL524618 QUG524618:QUH524618 REC524618:RED524618 RNY524618:RNZ524618 RXU524618:RXV524618 SHQ524618:SHR524618 SRM524618:SRN524618 TBI524618:TBJ524618 TLE524618:TLF524618 TVA524618:TVB524618 UEW524618:UEX524618 UOS524618:UOT524618 UYO524618:UYP524618 VIK524618:VIL524618 VSG524618:VSH524618 WCC524618:WCD524618 WLY524618:WLZ524618 WVU524618:WVV524618 M590154:N590154 JI590154:JJ590154 TE590154:TF590154 ADA590154:ADB590154 AMW590154:AMX590154 AWS590154:AWT590154 BGO590154:BGP590154 BQK590154:BQL590154 CAG590154:CAH590154 CKC590154:CKD590154 CTY590154:CTZ590154 DDU590154:DDV590154 DNQ590154:DNR590154 DXM590154:DXN590154 EHI590154:EHJ590154 ERE590154:ERF590154 FBA590154:FBB590154 FKW590154:FKX590154 FUS590154:FUT590154 GEO590154:GEP590154 GOK590154:GOL590154 GYG590154:GYH590154 HIC590154:HID590154 HRY590154:HRZ590154 IBU590154:IBV590154 ILQ590154:ILR590154 IVM590154:IVN590154 JFI590154:JFJ590154 JPE590154:JPF590154 JZA590154:JZB590154 KIW590154:KIX590154 KSS590154:KST590154 LCO590154:LCP590154 LMK590154:LML590154 LWG590154:LWH590154 MGC590154:MGD590154 MPY590154:MPZ590154 MZU590154:MZV590154 NJQ590154:NJR590154 NTM590154:NTN590154 ODI590154:ODJ590154 ONE590154:ONF590154 OXA590154:OXB590154 PGW590154:PGX590154 PQS590154:PQT590154 QAO590154:QAP590154 QKK590154:QKL590154 QUG590154:QUH590154 REC590154:RED590154 RNY590154:RNZ590154 RXU590154:RXV590154 SHQ590154:SHR590154 SRM590154:SRN590154 TBI590154:TBJ590154 TLE590154:TLF590154 TVA590154:TVB590154 UEW590154:UEX590154 UOS590154:UOT590154 UYO590154:UYP590154 VIK590154:VIL590154 VSG590154:VSH590154 WCC590154:WCD590154 WLY590154:WLZ590154 WVU590154:WVV590154 M655690:N655690 JI655690:JJ655690 TE655690:TF655690 ADA655690:ADB655690 AMW655690:AMX655690 AWS655690:AWT655690 BGO655690:BGP655690 BQK655690:BQL655690 CAG655690:CAH655690 CKC655690:CKD655690 CTY655690:CTZ655690 DDU655690:DDV655690 DNQ655690:DNR655690 DXM655690:DXN655690 EHI655690:EHJ655690 ERE655690:ERF655690 FBA655690:FBB655690 FKW655690:FKX655690 FUS655690:FUT655690 GEO655690:GEP655690 GOK655690:GOL655690 GYG655690:GYH655690 HIC655690:HID655690 HRY655690:HRZ655690 IBU655690:IBV655690 ILQ655690:ILR655690 IVM655690:IVN655690 JFI655690:JFJ655690 JPE655690:JPF655690 JZA655690:JZB655690 KIW655690:KIX655690 KSS655690:KST655690 LCO655690:LCP655690 LMK655690:LML655690 LWG655690:LWH655690 MGC655690:MGD655690 MPY655690:MPZ655690 MZU655690:MZV655690 NJQ655690:NJR655690 NTM655690:NTN655690 ODI655690:ODJ655690 ONE655690:ONF655690 OXA655690:OXB655690 PGW655690:PGX655690 PQS655690:PQT655690 QAO655690:QAP655690 QKK655690:QKL655690 QUG655690:QUH655690 REC655690:RED655690 RNY655690:RNZ655690 RXU655690:RXV655690 SHQ655690:SHR655690 SRM655690:SRN655690 TBI655690:TBJ655690 TLE655690:TLF655690 TVA655690:TVB655690 UEW655690:UEX655690 UOS655690:UOT655690 UYO655690:UYP655690 VIK655690:VIL655690 VSG655690:VSH655690 WCC655690:WCD655690 WLY655690:WLZ655690 WVU655690:WVV655690 M721226:N721226 JI721226:JJ721226 TE721226:TF721226 ADA721226:ADB721226 AMW721226:AMX721226 AWS721226:AWT721226 BGO721226:BGP721226 BQK721226:BQL721226 CAG721226:CAH721226 CKC721226:CKD721226 CTY721226:CTZ721226 DDU721226:DDV721226 DNQ721226:DNR721226 DXM721226:DXN721226 EHI721226:EHJ721226 ERE721226:ERF721226 FBA721226:FBB721226 FKW721226:FKX721226 FUS721226:FUT721226 GEO721226:GEP721226 GOK721226:GOL721226 GYG721226:GYH721226 HIC721226:HID721226 HRY721226:HRZ721226 IBU721226:IBV721226 ILQ721226:ILR721226 IVM721226:IVN721226 JFI721226:JFJ721226 JPE721226:JPF721226 JZA721226:JZB721226 KIW721226:KIX721226 KSS721226:KST721226 LCO721226:LCP721226 LMK721226:LML721226 LWG721226:LWH721226 MGC721226:MGD721226 MPY721226:MPZ721226 MZU721226:MZV721226 NJQ721226:NJR721226 NTM721226:NTN721226 ODI721226:ODJ721226 ONE721226:ONF721226 OXA721226:OXB721226 PGW721226:PGX721226 PQS721226:PQT721226 QAO721226:QAP721226 QKK721226:QKL721226 QUG721226:QUH721226 REC721226:RED721226 RNY721226:RNZ721226 RXU721226:RXV721226 SHQ721226:SHR721226 SRM721226:SRN721226 TBI721226:TBJ721226 TLE721226:TLF721226 TVA721226:TVB721226 UEW721226:UEX721226 UOS721226:UOT721226 UYO721226:UYP721226 VIK721226:VIL721226 VSG721226:VSH721226 WCC721226:WCD721226 WLY721226:WLZ721226 WVU721226:WVV721226 M786762:N786762 JI786762:JJ786762 TE786762:TF786762 ADA786762:ADB786762 AMW786762:AMX786762 AWS786762:AWT786762 BGO786762:BGP786762 BQK786762:BQL786762 CAG786762:CAH786762 CKC786762:CKD786762 CTY786762:CTZ786762 DDU786762:DDV786762 DNQ786762:DNR786762 DXM786762:DXN786762 EHI786762:EHJ786762 ERE786762:ERF786762 FBA786762:FBB786762 FKW786762:FKX786762 FUS786762:FUT786762 GEO786762:GEP786762 GOK786762:GOL786762 GYG786762:GYH786762 HIC786762:HID786762 HRY786762:HRZ786762 IBU786762:IBV786762 ILQ786762:ILR786762 IVM786762:IVN786762 JFI786762:JFJ786762 JPE786762:JPF786762 JZA786762:JZB786762 KIW786762:KIX786762 KSS786762:KST786762 LCO786762:LCP786762 LMK786762:LML786762 LWG786762:LWH786762 MGC786762:MGD786762 MPY786762:MPZ786762 MZU786762:MZV786762 NJQ786762:NJR786762 NTM786762:NTN786762 ODI786762:ODJ786762 ONE786762:ONF786762 OXA786762:OXB786762 PGW786762:PGX786762 PQS786762:PQT786762 QAO786762:QAP786762 QKK786762:QKL786762 QUG786762:QUH786762 REC786762:RED786762 RNY786762:RNZ786762 RXU786762:RXV786762 SHQ786762:SHR786762 SRM786762:SRN786762 TBI786762:TBJ786762 TLE786762:TLF786762 TVA786762:TVB786762 UEW786762:UEX786762 UOS786762:UOT786762 UYO786762:UYP786762 VIK786762:VIL786762 VSG786762:VSH786762 WCC786762:WCD786762 WLY786762:WLZ786762 WVU786762:WVV786762 M852298:N852298 JI852298:JJ852298 TE852298:TF852298 ADA852298:ADB852298 AMW852298:AMX852298 AWS852298:AWT852298 BGO852298:BGP852298 BQK852298:BQL852298 CAG852298:CAH852298 CKC852298:CKD852298 CTY852298:CTZ852298 DDU852298:DDV852298 DNQ852298:DNR852298 DXM852298:DXN852298 EHI852298:EHJ852298 ERE852298:ERF852298 FBA852298:FBB852298 FKW852298:FKX852298 FUS852298:FUT852298 GEO852298:GEP852298 GOK852298:GOL852298 GYG852298:GYH852298 HIC852298:HID852298 HRY852298:HRZ852298 IBU852298:IBV852298 ILQ852298:ILR852298 IVM852298:IVN852298 JFI852298:JFJ852298 JPE852298:JPF852298 JZA852298:JZB852298 KIW852298:KIX852298 KSS852298:KST852298 LCO852298:LCP852298 LMK852298:LML852298 LWG852298:LWH852298 MGC852298:MGD852298 MPY852298:MPZ852298 MZU852298:MZV852298 NJQ852298:NJR852298 NTM852298:NTN852298 ODI852298:ODJ852298 ONE852298:ONF852298 OXA852298:OXB852298 PGW852298:PGX852298 PQS852298:PQT852298 QAO852298:QAP852298 QKK852298:QKL852298 QUG852298:QUH852298 REC852298:RED852298 RNY852298:RNZ852298 RXU852298:RXV852298 SHQ852298:SHR852298 SRM852298:SRN852298 TBI852298:TBJ852298 TLE852298:TLF852298 TVA852298:TVB852298 UEW852298:UEX852298 UOS852298:UOT852298 UYO852298:UYP852298 VIK852298:VIL852298 VSG852298:VSH852298 WCC852298:WCD852298 WLY852298:WLZ852298 WVU852298:WVV852298 M917834:N917834 JI917834:JJ917834 TE917834:TF917834 ADA917834:ADB917834 AMW917834:AMX917834 AWS917834:AWT917834 BGO917834:BGP917834 BQK917834:BQL917834 CAG917834:CAH917834 CKC917834:CKD917834 CTY917834:CTZ917834 DDU917834:DDV917834 DNQ917834:DNR917834 DXM917834:DXN917834 EHI917834:EHJ917834 ERE917834:ERF917834 FBA917834:FBB917834 FKW917834:FKX917834 FUS917834:FUT917834 GEO917834:GEP917834 GOK917834:GOL917834 GYG917834:GYH917834 HIC917834:HID917834 HRY917834:HRZ917834 IBU917834:IBV917834 ILQ917834:ILR917834 IVM917834:IVN917834 JFI917834:JFJ917834 JPE917834:JPF917834 JZA917834:JZB917834 KIW917834:KIX917834 KSS917834:KST917834 LCO917834:LCP917834 LMK917834:LML917834 LWG917834:LWH917834 MGC917834:MGD917834 MPY917834:MPZ917834 MZU917834:MZV917834 NJQ917834:NJR917834 NTM917834:NTN917834 ODI917834:ODJ917834 ONE917834:ONF917834 OXA917834:OXB917834 PGW917834:PGX917834 PQS917834:PQT917834 QAO917834:QAP917834 QKK917834:QKL917834 QUG917834:QUH917834 REC917834:RED917834 RNY917834:RNZ917834 RXU917834:RXV917834 SHQ917834:SHR917834 SRM917834:SRN917834 TBI917834:TBJ917834 TLE917834:TLF917834 TVA917834:TVB917834 UEW917834:UEX917834 UOS917834:UOT917834 UYO917834:UYP917834 VIK917834:VIL917834 VSG917834:VSH917834 WCC917834:WCD917834 WLY917834:WLZ917834 WVU917834:WVV917834 M983370:N983370 JI983370:JJ983370 TE983370:TF983370 ADA983370:ADB983370 AMW983370:AMX983370 AWS983370:AWT983370 BGO983370:BGP983370 BQK983370:BQL983370 CAG983370:CAH983370 CKC983370:CKD983370 CTY983370:CTZ983370 DDU983370:DDV983370 DNQ983370:DNR983370 DXM983370:DXN983370 EHI983370:EHJ983370 ERE983370:ERF983370 FBA983370:FBB983370 FKW983370:FKX983370 FUS983370:FUT983370 GEO983370:GEP983370 GOK983370:GOL983370 GYG983370:GYH983370 HIC983370:HID983370 HRY983370:HRZ983370 IBU983370:IBV983370 ILQ983370:ILR983370 IVM983370:IVN983370 JFI983370:JFJ983370 JPE983370:JPF983370 JZA983370:JZB983370 KIW983370:KIX983370 KSS983370:KST983370 LCO983370:LCP983370 LMK983370:LML983370 LWG983370:LWH983370 MGC983370:MGD983370 MPY983370:MPZ983370 MZU983370:MZV983370 NJQ983370:NJR983370 NTM983370:NTN983370 ODI983370:ODJ983370 ONE983370:ONF983370 OXA983370:OXB983370 PGW983370:PGX983370 PQS983370:PQT983370 QAO983370:QAP983370 QKK983370:QKL983370 QUG983370:QUH983370 REC983370:RED983370 RNY983370:RNZ983370 RXU983370:RXV983370 SHQ983370:SHR983370 SRM983370:SRN983370 TBI983370:TBJ983370 TLE983370:TLF983370 TVA983370:TVB983370 UEW983370:UEX983370 UOS983370:UOT983370 UYO983370:UYP983370 VIK983370:VIL983370 VSG983370:VSH983370 WCC983370:WCD983370 WLY983370:WLZ983370 WVU983370:WVV983370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594:N65594 JI65594:JJ65594 TE65594:TF65594 ADA65594:ADB65594 AMW65594:AMX65594 AWS65594:AWT65594 BGO65594:BGP65594 BQK65594:BQL65594 CAG65594:CAH65594 CKC65594:CKD65594 CTY65594:CTZ65594 DDU65594:DDV65594 DNQ65594:DNR65594 DXM65594:DXN65594 EHI65594:EHJ65594 ERE65594:ERF65594 FBA65594:FBB65594 FKW65594:FKX65594 FUS65594:FUT65594 GEO65594:GEP65594 GOK65594:GOL65594 GYG65594:GYH65594 HIC65594:HID65594 HRY65594:HRZ65594 IBU65594:IBV65594 ILQ65594:ILR65594 IVM65594:IVN65594 JFI65594:JFJ65594 JPE65594:JPF65594 JZA65594:JZB65594 KIW65594:KIX65594 KSS65594:KST65594 LCO65594:LCP65594 LMK65594:LML65594 LWG65594:LWH65594 MGC65594:MGD65594 MPY65594:MPZ65594 MZU65594:MZV65594 NJQ65594:NJR65594 NTM65594:NTN65594 ODI65594:ODJ65594 ONE65594:ONF65594 OXA65594:OXB65594 PGW65594:PGX65594 PQS65594:PQT65594 QAO65594:QAP65594 QKK65594:QKL65594 QUG65594:QUH65594 REC65594:RED65594 RNY65594:RNZ65594 RXU65594:RXV65594 SHQ65594:SHR65594 SRM65594:SRN65594 TBI65594:TBJ65594 TLE65594:TLF65594 TVA65594:TVB65594 UEW65594:UEX65594 UOS65594:UOT65594 UYO65594:UYP65594 VIK65594:VIL65594 VSG65594:VSH65594 WCC65594:WCD65594 WLY65594:WLZ65594 WVU65594:WVV65594 M131130:N131130 JI131130:JJ131130 TE131130:TF131130 ADA131130:ADB131130 AMW131130:AMX131130 AWS131130:AWT131130 BGO131130:BGP131130 BQK131130:BQL131130 CAG131130:CAH131130 CKC131130:CKD131130 CTY131130:CTZ131130 DDU131130:DDV131130 DNQ131130:DNR131130 DXM131130:DXN131130 EHI131130:EHJ131130 ERE131130:ERF131130 FBA131130:FBB131130 FKW131130:FKX131130 FUS131130:FUT131130 GEO131130:GEP131130 GOK131130:GOL131130 GYG131130:GYH131130 HIC131130:HID131130 HRY131130:HRZ131130 IBU131130:IBV131130 ILQ131130:ILR131130 IVM131130:IVN131130 JFI131130:JFJ131130 JPE131130:JPF131130 JZA131130:JZB131130 KIW131130:KIX131130 KSS131130:KST131130 LCO131130:LCP131130 LMK131130:LML131130 LWG131130:LWH131130 MGC131130:MGD131130 MPY131130:MPZ131130 MZU131130:MZV131130 NJQ131130:NJR131130 NTM131130:NTN131130 ODI131130:ODJ131130 ONE131130:ONF131130 OXA131130:OXB131130 PGW131130:PGX131130 PQS131130:PQT131130 QAO131130:QAP131130 QKK131130:QKL131130 QUG131130:QUH131130 REC131130:RED131130 RNY131130:RNZ131130 RXU131130:RXV131130 SHQ131130:SHR131130 SRM131130:SRN131130 TBI131130:TBJ131130 TLE131130:TLF131130 TVA131130:TVB131130 UEW131130:UEX131130 UOS131130:UOT131130 UYO131130:UYP131130 VIK131130:VIL131130 VSG131130:VSH131130 WCC131130:WCD131130 WLY131130:WLZ131130 WVU131130:WVV131130 M196666:N196666 JI196666:JJ196666 TE196666:TF196666 ADA196666:ADB196666 AMW196666:AMX196666 AWS196666:AWT196666 BGO196666:BGP196666 BQK196666:BQL196666 CAG196666:CAH196666 CKC196666:CKD196666 CTY196666:CTZ196666 DDU196666:DDV196666 DNQ196666:DNR196666 DXM196666:DXN196666 EHI196666:EHJ196666 ERE196666:ERF196666 FBA196666:FBB196666 FKW196666:FKX196666 FUS196666:FUT196666 GEO196666:GEP196666 GOK196666:GOL196666 GYG196666:GYH196666 HIC196666:HID196666 HRY196666:HRZ196666 IBU196666:IBV196666 ILQ196666:ILR196666 IVM196666:IVN196666 JFI196666:JFJ196666 JPE196666:JPF196666 JZA196666:JZB196666 KIW196666:KIX196666 KSS196666:KST196666 LCO196666:LCP196666 LMK196666:LML196666 LWG196666:LWH196666 MGC196666:MGD196666 MPY196666:MPZ196666 MZU196666:MZV196666 NJQ196666:NJR196666 NTM196666:NTN196666 ODI196666:ODJ196666 ONE196666:ONF196666 OXA196666:OXB196666 PGW196666:PGX196666 PQS196666:PQT196666 QAO196666:QAP196666 QKK196666:QKL196666 QUG196666:QUH196666 REC196666:RED196666 RNY196666:RNZ196666 RXU196666:RXV196666 SHQ196666:SHR196666 SRM196666:SRN196666 TBI196666:TBJ196666 TLE196666:TLF196666 TVA196666:TVB196666 UEW196666:UEX196666 UOS196666:UOT196666 UYO196666:UYP196666 VIK196666:VIL196666 VSG196666:VSH196666 WCC196666:WCD196666 WLY196666:WLZ196666 WVU196666:WVV196666 M262202:N262202 JI262202:JJ262202 TE262202:TF262202 ADA262202:ADB262202 AMW262202:AMX262202 AWS262202:AWT262202 BGO262202:BGP262202 BQK262202:BQL262202 CAG262202:CAH262202 CKC262202:CKD262202 CTY262202:CTZ262202 DDU262202:DDV262202 DNQ262202:DNR262202 DXM262202:DXN262202 EHI262202:EHJ262202 ERE262202:ERF262202 FBA262202:FBB262202 FKW262202:FKX262202 FUS262202:FUT262202 GEO262202:GEP262202 GOK262202:GOL262202 GYG262202:GYH262202 HIC262202:HID262202 HRY262202:HRZ262202 IBU262202:IBV262202 ILQ262202:ILR262202 IVM262202:IVN262202 JFI262202:JFJ262202 JPE262202:JPF262202 JZA262202:JZB262202 KIW262202:KIX262202 KSS262202:KST262202 LCO262202:LCP262202 LMK262202:LML262202 LWG262202:LWH262202 MGC262202:MGD262202 MPY262202:MPZ262202 MZU262202:MZV262202 NJQ262202:NJR262202 NTM262202:NTN262202 ODI262202:ODJ262202 ONE262202:ONF262202 OXA262202:OXB262202 PGW262202:PGX262202 PQS262202:PQT262202 QAO262202:QAP262202 QKK262202:QKL262202 QUG262202:QUH262202 REC262202:RED262202 RNY262202:RNZ262202 RXU262202:RXV262202 SHQ262202:SHR262202 SRM262202:SRN262202 TBI262202:TBJ262202 TLE262202:TLF262202 TVA262202:TVB262202 UEW262202:UEX262202 UOS262202:UOT262202 UYO262202:UYP262202 VIK262202:VIL262202 VSG262202:VSH262202 WCC262202:WCD262202 WLY262202:WLZ262202 WVU262202:WVV262202 M327738:N327738 JI327738:JJ327738 TE327738:TF327738 ADA327738:ADB327738 AMW327738:AMX327738 AWS327738:AWT327738 BGO327738:BGP327738 BQK327738:BQL327738 CAG327738:CAH327738 CKC327738:CKD327738 CTY327738:CTZ327738 DDU327738:DDV327738 DNQ327738:DNR327738 DXM327738:DXN327738 EHI327738:EHJ327738 ERE327738:ERF327738 FBA327738:FBB327738 FKW327738:FKX327738 FUS327738:FUT327738 GEO327738:GEP327738 GOK327738:GOL327738 GYG327738:GYH327738 HIC327738:HID327738 HRY327738:HRZ327738 IBU327738:IBV327738 ILQ327738:ILR327738 IVM327738:IVN327738 JFI327738:JFJ327738 JPE327738:JPF327738 JZA327738:JZB327738 KIW327738:KIX327738 KSS327738:KST327738 LCO327738:LCP327738 LMK327738:LML327738 LWG327738:LWH327738 MGC327738:MGD327738 MPY327738:MPZ327738 MZU327738:MZV327738 NJQ327738:NJR327738 NTM327738:NTN327738 ODI327738:ODJ327738 ONE327738:ONF327738 OXA327738:OXB327738 PGW327738:PGX327738 PQS327738:PQT327738 QAO327738:QAP327738 QKK327738:QKL327738 QUG327738:QUH327738 REC327738:RED327738 RNY327738:RNZ327738 RXU327738:RXV327738 SHQ327738:SHR327738 SRM327738:SRN327738 TBI327738:TBJ327738 TLE327738:TLF327738 TVA327738:TVB327738 UEW327738:UEX327738 UOS327738:UOT327738 UYO327738:UYP327738 VIK327738:VIL327738 VSG327738:VSH327738 WCC327738:WCD327738 WLY327738:WLZ327738 WVU327738:WVV327738 M393274:N393274 JI393274:JJ393274 TE393274:TF393274 ADA393274:ADB393274 AMW393274:AMX393274 AWS393274:AWT393274 BGO393274:BGP393274 BQK393274:BQL393274 CAG393274:CAH393274 CKC393274:CKD393274 CTY393274:CTZ393274 DDU393274:DDV393274 DNQ393274:DNR393274 DXM393274:DXN393274 EHI393274:EHJ393274 ERE393274:ERF393274 FBA393274:FBB393274 FKW393274:FKX393274 FUS393274:FUT393274 GEO393274:GEP393274 GOK393274:GOL393274 GYG393274:GYH393274 HIC393274:HID393274 HRY393274:HRZ393274 IBU393274:IBV393274 ILQ393274:ILR393274 IVM393274:IVN393274 JFI393274:JFJ393274 JPE393274:JPF393274 JZA393274:JZB393274 KIW393274:KIX393274 KSS393274:KST393274 LCO393274:LCP393274 LMK393274:LML393274 LWG393274:LWH393274 MGC393274:MGD393274 MPY393274:MPZ393274 MZU393274:MZV393274 NJQ393274:NJR393274 NTM393274:NTN393274 ODI393274:ODJ393274 ONE393274:ONF393274 OXA393274:OXB393274 PGW393274:PGX393274 PQS393274:PQT393274 QAO393274:QAP393274 QKK393274:QKL393274 QUG393274:QUH393274 REC393274:RED393274 RNY393274:RNZ393274 RXU393274:RXV393274 SHQ393274:SHR393274 SRM393274:SRN393274 TBI393274:TBJ393274 TLE393274:TLF393274 TVA393274:TVB393274 UEW393274:UEX393274 UOS393274:UOT393274 UYO393274:UYP393274 VIK393274:VIL393274 VSG393274:VSH393274 WCC393274:WCD393274 WLY393274:WLZ393274 WVU393274:WVV393274 M458810:N458810 JI458810:JJ458810 TE458810:TF458810 ADA458810:ADB458810 AMW458810:AMX458810 AWS458810:AWT458810 BGO458810:BGP458810 BQK458810:BQL458810 CAG458810:CAH458810 CKC458810:CKD458810 CTY458810:CTZ458810 DDU458810:DDV458810 DNQ458810:DNR458810 DXM458810:DXN458810 EHI458810:EHJ458810 ERE458810:ERF458810 FBA458810:FBB458810 FKW458810:FKX458810 FUS458810:FUT458810 GEO458810:GEP458810 GOK458810:GOL458810 GYG458810:GYH458810 HIC458810:HID458810 HRY458810:HRZ458810 IBU458810:IBV458810 ILQ458810:ILR458810 IVM458810:IVN458810 JFI458810:JFJ458810 JPE458810:JPF458810 JZA458810:JZB458810 KIW458810:KIX458810 KSS458810:KST458810 LCO458810:LCP458810 LMK458810:LML458810 LWG458810:LWH458810 MGC458810:MGD458810 MPY458810:MPZ458810 MZU458810:MZV458810 NJQ458810:NJR458810 NTM458810:NTN458810 ODI458810:ODJ458810 ONE458810:ONF458810 OXA458810:OXB458810 PGW458810:PGX458810 PQS458810:PQT458810 QAO458810:QAP458810 QKK458810:QKL458810 QUG458810:QUH458810 REC458810:RED458810 RNY458810:RNZ458810 RXU458810:RXV458810 SHQ458810:SHR458810 SRM458810:SRN458810 TBI458810:TBJ458810 TLE458810:TLF458810 TVA458810:TVB458810 UEW458810:UEX458810 UOS458810:UOT458810 UYO458810:UYP458810 VIK458810:VIL458810 VSG458810:VSH458810 WCC458810:WCD458810 WLY458810:WLZ458810 WVU458810:WVV458810 M524346:N524346 JI524346:JJ524346 TE524346:TF524346 ADA524346:ADB524346 AMW524346:AMX524346 AWS524346:AWT524346 BGO524346:BGP524346 BQK524346:BQL524346 CAG524346:CAH524346 CKC524346:CKD524346 CTY524346:CTZ524346 DDU524346:DDV524346 DNQ524346:DNR524346 DXM524346:DXN524346 EHI524346:EHJ524346 ERE524346:ERF524346 FBA524346:FBB524346 FKW524346:FKX524346 FUS524346:FUT524346 GEO524346:GEP524346 GOK524346:GOL524346 GYG524346:GYH524346 HIC524346:HID524346 HRY524346:HRZ524346 IBU524346:IBV524346 ILQ524346:ILR524346 IVM524346:IVN524346 JFI524346:JFJ524346 JPE524346:JPF524346 JZA524346:JZB524346 KIW524346:KIX524346 KSS524346:KST524346 LCO524346:LCP524346 LMK524346:LML524346 LWG524346:LWH524346 MGC524346:MGD524346 MPY524346:MPZ524346 MZU524346:MZV524346 NJQ524346:NJR524346 NTM524346:NTN524346 ODI524346:ODJ524346 ONE524346:ONF524346 OXA524346:OXB524346 PGW524346:PGX524346 PQS524346:PQT524346 QAO524346:QAP524346 QKK524346:QKL524346 QUG524346:QUH524346 REC524346:RED524346 RNY524346:RNZ524346 RXU524346:RXV524346 SHQ524346:SHR524346 SRM524346:SRN524346 TBI524346:TBJ524346 TLE524346:TLF524346 TVA524346:TVB524346 UEW524346:UEX524346 UOS524346:UOT524346 UYO524346:UYP524346 VIK524346:VIL524346 VSG524346:VSH524346 WCC524346:WCD524346 WLY524346:WLZ524346 WVU524346:WVV524346 M589882:N589882 JI589882:JJ589882 TE589882:TF589882 ADA589882:ADB589882 AMW589882:AMX589882 AWS589882:AWT589882 BGO589882:BGP589882 BQK589882:BQL589882 CAG589882:CAH589882 CKC589882:CKD589882 CTY589882:CTZ589882 DDU589882:DDV589882 DNQ589882:DNR589882 DXM589882:DXN589882 EHI589882:EHJ589882 ERE589882:ERF589882 FBA589882:FBB589882 FKW589882:FKX589882 FUS589882:FUT589882 GEO589882:GEP589882 GOK589882:GOL589882 GYG589882:GYH589882 HIC589882:HID589882 HRY589882:HRZ589882 IBU589882:IBV589882 ILQ589882:ILR589882 IVM589882:IVN589882 JFI589882:JFJ589882 JPE589882:JPF589882 JZA589882:JZB589882 KIW589882:KIX589882 KSS589882:KST589882 LCO589882:LCP589882 LMK589882:LML589882 LWG589882:LWH589882 MGC589882:MGD589882 MPY589882:MPZ589882 MZU589882:MZV589882 NJQ589882:NJR589882 NTM589882:NTN589882 ODI589882:ODJ589882 ONE589882:ONF589882 OXA589882:OXB589882 PGW589882:PGX589882 PQS589882:PQT589882 QAO589882:QAP589882 QKK589882:QKL589882 QUG589882:QUH589882 REC589882:RED589882 RNY589882:RNZ589882 RXU589882:RXV589882 SHQ589882:SHR589882 SRM589882:SRN589882 TBI589882:TBJ589882 TLE589882:TLF589882 TVA589882:TVB589882 UEW589882:UEX589882 UOS589882:UOT589882 UYO589882:UYP589882 VIK589882:VIL589882 VSG589882:VSH589882 WCC589882:WCD589882 WLY589882:WLZ589882 WVU589882:WVV589882 M655418:N655418 JI655418:JJ655418 TE655418:TF655418 ADA655418:ADB655418 AMW655418:AMX655418 AWS655418:AWT655418 BGO655418:BGP655418 BQK655418:BQL655418 CAG655418:CAH655418 CKC655418:CKD655418 CTY655418:CTZ655418 DDU655418:DDV655418 DNQ655418:DNR655418 DXM655418:DXN655418 EHI655418:EHJ655418 ERE655418:ERF655418 FBA655418:FBB655418 FKW655418:FKX655418 FUS655418:FUT655418 GEO655418:GEP655418 GOK655418:GOL655418 GYG655418:GYH655418 HIC655418:HID655418 HRY655418:HRZ655418 IBU655418:IBV655418 ILQ655418:ILR655418 IVM655418:IVN655418 JFI655418:JFJ655418 JPE655418:JPF655418 JZA655418:JZB655418 KIW655418:KIX655418 KSS655418:KST655418 LCO655418:LCP655418 LMK655418:LML655418 LWG655418:LWH655418 MGC655418:MGD655418 MPY655418:MPZ655418 MZU655418:MZV655418 NJQ655418:NJR655418 NTM655418:NTN655418 ODI655418:ODJ655418 ONE655418:ONF655418 OXA655418:OXB655418 PGW655418:PGX655418 PQS655418:PQT655418 QAO655418:QAP655418 QKK655418:QKL655418 QUG655418:QUH655418 REC655418:RED655418 RNY655418:RNZ655418 RXU655418:RXV655418 SHQ655418:SHR655418 SRM655418:SRN655418 TBI655418:TBJ655418 TLE655418:TLF655418 TVA655418:TVB655418 UEW655418:UEX655418 UOS655418:UOT655418 UYO655418:UYP655418 VIK655418:VIL655418 VSG655418:VSH655418 WCC655418:WCD655418 WLY655418:WLZ655418 WVU655418:WVV655418 M720954:N720954 JI720954:JJ720954 TE720954:TF720954 ADA720954:ADB720954 AMW720954:AMX720954 AWS720954:AWT720954 BGO720954:BGP720954 BQK720954:BQL720954 CAG720954:CAH720954 CKC720954:CKD720954 CTY720954:CTZ720954 DDU720954:DDV720954 DNQ720954:DNR720954 DXM720954:DXN720954 EHI720954:EHJ720954 ERE720954:ERF720954 FBA720954:FBB720954 FKW720954:FKX720954 FUS720954:FUT720954 GEO720954:GEP720954 GOK720954:GOL720954 GYG720954:GYH720954 HIC720954:HID720954 HRY720954:HRZ720954 IBU720954:IBV720954 ILQ720954:ILR720954 IVM720954:IVN720954 JFI720954:JFJ720954 JPE720954:JPF720954 JZA720954:JZB720954 KIW720954:KIX720954 KSS720954:KST720954 LCO720954:LCP720954 LMK720954:LML720954 LWG720954:LWH720954 MGC720954:MGD720954 MPY720954:MPZ720954 MZU720954:MZV720954 NJQ720954:NJR720954 NTM720954:NTN720954 ODI720954:ODJ720954 ONE720954:ONF720954 OXA720954:OXB720954 PGW720954:PGX720954 PQS720954:PQT720954 QAO720954:QAP720954 QKK720954:QKL720954 QUG720954:QUH720954 REC720954:RED720954 RNY720954:RNZ720954 RXU720954:RXV720954 SHQ720954:SHR720954 SRM720954:SRN720954 TBI720954:TBJ720954 TLE720954:TLF720954 TVA720954:TVB720954 UEW720954:UEX720954 UOS720954:UOT720954 UYO720954:UYP720954 VIK720954:VIL720954 VSG720954:VSH720954 WCC720954:WCD720954 WLY720954:WLZ720954 WVU720954:WVV720954 M786490:N786490 JI786490:JJ786490 TE786490:TF786490 ADA786490:ADB786490 AMW786490:AMX786490 AWS786490:AWT786490 BGO786490:BGP786490 BQK786490:BQL786490 CAG786490:CAH786490 CKC786490:CKD786490 CTY786490:CTZ786490 DDU786490:DDV786490 DNQ786490:DNR786490 DXM786490:DXN786490 EHI786490:EHJ786490 ERE786490:ERF786490 FBA786490:FBB786490 FKW786490:FKX786490 FUS786490:FUT786490 GEO786490:GEP786490 GOK786490:GOL786490 GYG786490:GYH786490 HIC786490:HID786490 HRY786490:HRZ786490 IBU786490:IBV786490 ILQ786490:ILR786490 IVM786490:IVN786490 JFI786490:JFJ786490 JPE786490:JPF786490 JZA786490:JZB786490 KIW786490:KIX786490 KSS786490:KST786490 LCO786490:LCP786490 LMK786490:LML786490 LWG786490:LWH786490 MGC786490:MGD786490 MPY786490:MPZ786490 MZU786490:MZV786490 NJQ786490:NJR786490 NTM786490:NTN786490 ODI786490:ODJ786490 ONE786490:ONF786490 OXA786490:OXB786490 PGW786490:PGX786490 PQS786490:PQT786490 QAO786490:QAP786490 QKK786490:QKL786490 QUG786490:QUH786490 REC786490:RED786490 RNY786490:RNZ786490 RXU786490:RXV786490 SHQ786490:SHR786490 SRM786490:SRN786490 TBI786490:TBJ786490 TLE786490:TLF786490 TVA786490:TVB786490 UEW786490:UEX786490 UOS786490:UOT786490 UYO786490:UYP786490 VIK786490:VIL786490 VSG786490:VSH786490 WCC786490:WCD786490 WLY786490:WLZ786490 WVU786490:WVV786490 M852026:N852026 JI852026:JJ852026 TE852026:TF852026 ADA852026:ADB852026 AMW852026:AMX852026 AWS852026:AWT852026 BGO852026:BGP852026 BQK852026:BQL852026 CAG852026:CAH852026 CKC852026:CKD852026 CTY852026:CTZ852026 DDU852026:DDV852026 DNQ852026:DNR852026 DXM852026:DXN852026 EHI852026:EHJ852026 ERE852026:ERF852026 FBA852026:FBB852026 FKW852026:FKX852026 FUS852026:FUT852026 GEO852026:GEP852026 GOK852026:GOL852026 GYG852026:GYH852026 HIC852026:HID852026 HRY852026:HRZ852026 IBU852026:IBV852026 ILQ852026:ILR852026 IVM852026:IVN852026 JFI852026:JFJ852026 JPE852026:JPF852026 JZA852026:JZB852026 KIW852026:KIX852026 KSS852026:KST852026 LCO852026:LCP852026 LMK852026:LML852026 LWG852026:LWH852026 MGC852026:MGD852026 MPY852026:MPZ852026 MZU852026:MZV852026 NJQ852026:NJR852026 NTM852026:NTN852026 ODI852026:ODJ852026 ONE852026:ONF852026 OXA852026:OXB852026 PGW852026:PGX852026 PQS852026:PQT852026 QAO852026:QAP852026 QKK852026:QKL852026 QUG852026:QUH852026 REC852026:RED852026 RNY852026:RNZ852026 RXU852026:RXV852026 SHQ852026:SHR852026 SRM852026:SRN852026 TBI852026:TBJ852026 TLE852026:TLF852026 TVA852026:TVB852026 UEW852026:UEX852026 UOS852026:UOT852026 UYO852026:UYP852026 VIK852026:VIL852026 VSG852026:VSH852026 WCC852026:WCD852026 WLY852026:WLZ852026 WVU852026:WVV852026 M917562:N917562 JI917562:JJ917562 TE917562:TF917562 ADA917562:ADB917562 AMW917562:AMX917562 AWS917562:AWT917562 BGO917562:BGP917562 BQK917562:BQL917562 CAG917562:CAH917562 CKC917562:CKD917562 CTY917562:CTZ917562 DDU917562:DDV917562 DNQ917562:DNR917562 DXM917562:DXN917562 EHI917562:EHJ917562 ERE917562:ERF917562 FBA917562:FBB917562 FKW917562:FKX917562 FUS917562:FUT917562 GEO917562:GEP917562 GOK917562:GOL917562 GYG917562:GYH917562 HIC917562:HID917562 HRY917562:HRZ917562 IBU917562:IBV917562 ILQ917562:ILR917562 IVM917562:IVN917562 JFI917562:JFJ917562 JPE917562:JPF917562 JZA917562:JZB917562 KIW917562:KIX917562 KSS917562:KST917562 LCO917562:LCP917562 LMK917562:LML917562 LWG917562:LWH917562 MGC917562:MGD917562 MPY917562:MPZ917562 MZU917562:MZV917562 NJQ917562:NJR917562 NTM917562:NTN917562 ODI917562:ODJ917562 ONE917562:ONF917562 OXA917562:OXB917562 PGW917562:PGX917562 PQS917562:PQT917562 QAO917562:QAP917562 QKK917562:QKL917562 QUG917562:QUH917562 REC917562:RED917562 RNY917562:RNZ917562 RXU917562:RXV917562 SHQ917562:SHR917562 SRM917562:SRN917562 TBI917562:TBJ917562 TLE917562:TLF917562 TVA917562:TVB917562 UEW917562:UEX917562 UOS917562:UOT917562 UYO917562:UYP917562 VIK917562:VIL917562 VSG917562:VSH917562 WCC917562:WCD917562 WLY917562:WLZ917562 WVU917562:WVV917562 M983098:N983098 JI983098:JJ983098 TE983098:TF983098 ADA983098:ADB983098 AMW983098:AMX983098 AWS983098:AWT983098 BGO983098:BGP983098 BQK983098:BQL983098 CAG983098:CAH983098 CKC983098:CKD983098 CTY983098:CTZ983098 DDU983098:DDV983098 DNQ983098:DNR983098 DXM983098:DXN983098 EHI983098:EHJ983098 ERE983098:ERF983098 FBA983098:FBB983098 FKW983098:FKX983098 FUS983098:FUT983098 GEO983098:GEP983098 GOK983098:GOL983098 GYG983098:GYH983098 HIC983098:HID983098 HRY983098:HRZ983098 IBU983098:IBV983098 ILQ983098:ILR983098 IVM983098:IVN983098 JFI983098:JFJ983098 JPE983098:JPF983098 JZA983098:JZB983098 KIW983098:KIX983098 KSS983098:KST983098 LCO983098:LCP983098 LMK983098:LML983098 LWG983098:LWH983098 MGC983098:MGD983098 MPY983098:MPZ983098 MZU983098:MZV983098 NJQ983098:NJR983098 NTM983098:NTN983098 ODI983098:ODJ983098 ONE983098:ONF983098 OXA983098:OXB983098 PGW983098:PGX983098 PQS983098:PQT983098 QAO983098:QAP983098 QKK983098:QKL983098 QUG983098:QUH983098 REC983098:RED983098 RNY983098:RNZ983098 RXU983098:RXV983098 SHQ983098:SHR983098 SRM983098:SRN983098 TBI983098:TBJ983098 TLE983098:TLF983098 TVA983098:TVB983098 UEW983098:UEX983098 UOS983098:UOT983098 UYO983098:UYP983098 VIK983098:VIL983098 VSG983098:VSH983098 WCC983098:WCD983098 WLY983098:WLZ983098 WVU983098:WVV983098 M195:N195 JI195:JJ195 TE195:TF195 ADA195:ADB195 AMW195:AMX195 AWS195:AWT195 BGO195:BGP195 BQK195:BQL195 CAG195:CAH195 CKC195:CKD195 CTY195:CTZ195 DDU195:DDV195 DNQ195:DNR195 DXM195:DXN195 EHI195:EHJ195 ERE195:ERF195 FBA195:FBB195 FKW195:FKX195 FUS195:FUT195 GEO195:GEP195 GOK195:GOL195 GYG195:GYH195 HIC195:HID195 HRY195:HRZ195 IBU195:IBV195 ILQ195:ILR195 IVM195:IVN195 JFI195:JFJ195 JPE195:JPF195 JZA195:JZB195 KIW195:KIX195 KSS195:KST195 LCO195:LCP195 LMK195:LML195 LWG195:LWH195 MGC195:MGD195 MPY195:MPZ195 MZU195:MZV195 NJQ195:NJR195 NTM195:NTN195 ODI195:ODJ195 ONE195:ONF195 OXA195:OXB195 PGW195:PGX195 PQS195:PQT195 QAO195:QAP195 QKK195:QKL195 QUG195:QUH195 REC195:RED195 RNY195:RNZ195 RXU195:RXV195 SHQ195:SHR195 SRM195:SRN195 TBI195:TBJ195 TLE195:TLF195 TVA195:TVB195 UEW195:UEX195 UOS195:UOT195 UYO195:UYP195 VIK195:VIL195 VSG195:VSH195 WCC195:WCD195 WLY195:WLZ195 WVU195:WVV195 M65728:N65728 JI65728:JJ65728 TE65728:TF65728 ADA65728:ADB65728 AMW65728:AMX65728 AWS65728:AWT65728 BGO65728:BGP65728 BQK65728:BQL65728 CAG65728:CAH65728 CKC65728:CKD65728 CTY65728:CTZ65728 DDU65728:DDV65728 DNQ65728:DNR65728 DXM65728:DXN65728 EHI65728:EHJ65728 ERE65728:ERF65728 FBA65728:FBB65728 FKW65728:FKX65728 FUS65728:FUT65728 GEO65728:GEP65728 GOK65728:GOL65728 GYG65728:GYH65728 HIC65728:HID65728 HRY65728:HRZ65728 IBU65728:IBV65728 ILQ65728:ILR65728 IVM65728:IVN65728 JFI65728:JFJ65728 JPE65728:JPF65728 JZA65728:JZB65728 KIW65728:KIX65728 KSS65728:KST65728 LCO65728:LCP65728 LMK65728:LML65728 LWG65728:LWH65728 MGC65728:MGD65728 MPY65728:MPZ65728 MZU65728:MZV65728 NJQ65728:NJR65728 NTM65728:NTN65728 ODI65728:ODJ65728 ONE65728:ONF65728 OXA65728:OXB65728 PGW65728:PGX65728 PQS65728:PQT65728 QAO65728:QAP65728 QKK65728:QKL65728 QUG65728:QUH65728 REC65728:RED65728 RNY65728:RNZ65728 RXU65728:RXV65728 SHQ65728:SHR65728 SRM65728:SRN65728 TBI65728:TBJ65728 TLE65728:TLF65728 TVA65728:TVB65728 UEW65728:UEX65728 UOS65728:UOT65728 UYO65728:UYP65728 VIK65728:VIL65728 VSG65728:VSH65728 WCC65728:WCD65728 WLY65728:WLZ65728 WVU65728:WVV65728 M131264:N131264 JI131264:JJ131264 TE131264:TF131264 ADA131264:ADB131264 AMW131264:AMX131264 AWS131264:AWT131264 BGO131264:BGP131264 BQK131264:BQL131264 CAG131264:CAH131264 CKC131264:CKD131264 CTY131264:CTZ131264 DDU131264:DDV131264 DNQ131264:DNR131264 DXM131264:DXN131264 EHI131264:EHJ131264 ERE131264:ERF131264 FBA131264:FBB131264 FKW131264:FKX131264 FUS131264:FUT131264 GEO131264:GEP131264 GOK131264:GOL131264 GYG131264:GYH131264 HIC131264:HID131264 HRY131264:HRZ131264 IBU131264:IBV131264 ILQ131264:ILR131264 IVM131264:IVN131264 JFI131264:JFJ131264 JPE131264:JPF131264 JZA131264:JZB131264 KIW131264:KIX131264 KSS131264:KST131264 LCO131264:LCP131264 LMK131264:LML131264 LWG131264:LWH131264 MGC131264:MGD131264 MPY131264:MPZ131264 MZU131264:MZV131264 NJQ131264:NJR131264 NTM131264:NTN131264 ODI131264:ODJ131264 ONE131264:ONF131264 OXA131264:OXB131264 PGW131264:PGX131264 PQS131264:PQT131264 QAO131264:QAP131264 QKK131264:QKL131264 QUG131264:QUH131264 REC131264:RED131264 RNY131264:RNZ131264 RXU131264:RXV131264 SHQ131264:SHR131264 SRM131264:SRN131264 TBI131264:TBJ131264 TLE131264:TLF131264 TVA131264:TVB131264 UEW131264:UEX131264 UOS131264:UOT131264 UYO131264:UYP131264 VIK131264:VIL131264 VSG131264:VSH131264 WCC131264:WCD131264 WLY131264:WLZ131264 WVU131264:WVV131264 M196800:N196800 JI196800:JJ196800 TE196800:TF196800 ADA196800:ADB196800 AMW196800:AMX196800 AWS196800:AWT196800 BGO196800:BGP196800 BQK196800:BQL196800 CAG196800:CAH196800 CKC196800:CKD196800 CTY196800:CTZ196800 DDU196800:DDV196800 DNQ196800:DNR196800 DXM196800:DXN196800 EHI196800:EHJ196800 ERE196800:ERF196800 FBA196800:FBB196800 FKW196800:FKX196800 FUS196800:FUT196800 GEO196800:GEP196800 GOK196800:GOL196800 GYG196800:GYH196800 HIC196800:HID196800 HRY196800:HRZ196800 IBU196800:IBV196800 ILQ196800:ILR196800 IVM196800:IVN196800 JFI196800:JFJ196800 JPE196800:JPF196800 JZA196800:JZB196800 KIW196800:KIX196800 KSS196800:KST196800 LCO196800:LCP196800 LMK196800:LML196800 LWG196800:LWH196800 MGC196800:MGD196800 MPY196800:MPZ196800 MZU196800:MZV196800 NJQ196800:NJR196800 NTM196800:NTN196800 ODI196800:ODJ196800 ONE196800:ONF196800 OXA196800:OXB196800 PGW196800:PGX196800 PQS196800:PQT196800 QAO196800:QAP196800 QKK196800:QKL196800 QUG196800:QUH196800 REC196800:RED196800 RNY196800:RNZ196800 RXU196800:RXV196800 SHQ196800:SHR196800 SRM196800:SRN196800 TBI196800:TBJ196800 TLE196800:TLF196800 TVA196800:TVB196800 UEW196800:UEX196800 UOS196800:UOT196800 UYO196800:UYP196800 VIK196800:VIL196800 VSG196800:VSH196800 WCC196800:WCD196800 WLY196800:WLZ196800 WVU196800:WVV196800 M262336:N262336 JI262336:JJ262336 TE262336:TF262336 ADA262336:ADB262336 AMW262336:AMX262336 AWS262336:AWT262336 BGO262336:BGP262336 BQK262336:BQL262336 CAG262336:CAH262336 CKC262336:CKD262336 CTY262336:CTZ262336 DDU262336:DDV262336 DNQ262336:DNR262336 DXM262336:DXN262336 EHI262336:EHJ262336 ERE262336:ERF262336 FBA262336:FBB262336 FKW262336:FKX262336 FUS262336:FUT262336 GEO262336:GEP262336 GOK262336:GOL262336 GYG262336:GYH262336 HIC262336:HID262336 HRY262336:HRZ262336 IBU262336:IBV262336 ILQ262336:ILR262336 IVM262336:IVN262336 JFI262336:JFJ262336 JPE262336:JPF262336 JZA262336:JZB262336 KIW262336:KIX262336 KSS262336:KST262336 LCO262336:LCP262336 LMK262336:LML262336 LWG262336:LWH262336 MGC262336:MGD262336 MPY262336:MPZ262336 MZU262336:MZV262336 NJQ262336:NJR262336 NTM262336:NTN262336 ODI262336:ODJ262336 ONE262336:ONF262336 OXA262336:OXB262336 PGW262336:PGX262336 PQS262336:PQT262336 QAO262336:QAP262336 QKK262336:QKL262336 QUG262336:QUH262336 REC262336:RED262336 RNY262336:RNZ262336 RXU262336:RXV262336 SHQ262336:SHR262336 SRM262336:SRN262336 TBI262336:TBJ262336 TLE262336:TLF262336 TVA262336:TVB262336 UEW262336:UEX262336 UOS262336:UOT262336 UYO262336:UYP262336 VIK262336:VIL262336 VSG262336:VSH262336 WCC262336:WCD262336 WLY262336:WLZ262336 WVU262336:WVV262336 M327872:N327872 JI327872:JJ327872 TE327872:TF327872 ADA327872:ADB327872 AMW327872:AMX327872 AWS327872:AWT327872 BGO327872:BGP327872 BQK327872:BQL327872 CAG327872:CAH327872 CKC327872:CKD327872 CTY327872:CTZ327872 DDU327872:DDV327872 DNQ327872:DNR327872 DXM327872:DXN327872 EHI327872:EHJ327872 ERE327872:ERF327872 FBA327872:FBB327872 FKW327872:FKX327872 FUS327872:FUT327872 GEO327872:GEP327872 GOK327872:GOL327872 GYG327872:GYH327872 HIC327872:HID327872 HRY327872:HRZ327872 IBU327872:IBV327872 ILQ327872:ILR327872 IVM327872:IVN327872 JFI327872:JFJ327872 JPE327872:JPF327872 JZA327872:JZB327872 KIW327872:KIX327872 KSS327872:KST327872 LCO327872:LCP327872 LMK327872:LML327872 LWG327872:LWH327872 MGC327872:MGD327872 MPY327872:MPZ327872 MZU327872:MZV327872 NJQ327872:NJR327872 NTM327872:NTN327872 ODI327872:ODJ327872 ONE327872:ONF327872 OXA327872:OXB327872 PGW327872:PGX327872 PQS327872:PQT327872 QAO327872:QAP327872 QKK327872:QKL327872 QUG327872:QUH327872 REC327872:RED327872 RNY327872:RNZ327872 RXU327872:RXV327872 SHQ327872:SHR327872 SRM327872:SRN327872 TBI327872:TBJ327872 TLE327872:TLF327872 TVA327872:TVB327872 UEW327872:UEX327872 UOS327872:UOT327872 UYO327872:UYP327872 VIK327872:VIL327872 VSG327872:VSH327872 WCC327872:WCD327872 WLY327872:WLZ327872 WVU327872:WVV327872 M393408:N393408 JI393408:JJ393408 TE393408:TF393408 ADA393408:ADB393408 AMW393408:AMX393408 AWS393408:AWT393408 BGO393408:BGP393408 BQK393408:BQL393408 CAG393408:CAH393408 CKC393408:CKD393408 CTY393408:CTZ393408 DDU393408:DDV393408 DNQ393408:DNR393408 DXM393408:DXN393408 EHI393408:EHJ393408 ERE393408:ERF393408 FBA393408:FBB393408 FKW393408:FKX393408 FUS393408:FUT393408 GEO393408:GEP393408 GOK393408:GOL393408 GYG393408:GYH393408 HIC393408:HID393408 HRY393408:HRZ393408 IBU393408:IBV393408 ILQ393408:ILR393408 IVM393408:IVN393408 JFI393408:JFJ393408 JPE393408:JPF393408 JZA393408:JZB393408 KIW393408:KIX393408 KSS393408:KST393408 LCO393408:LCP393408 LMK393408:LML393408 LWG393408:LWH393408 MGC393408:MGD393408 MPY393408:MPZ393408 MZU393408:MZV393408 NJQ393408:NJR393408 NTM393408:NTN393408 ODI393408:ODJ393408 ONE393408:ONF393408 OXA393408:OXB393408 PGW393408:PGX393408 PQS393408:PQT393408 QAO393408:QAP393408 QKK393408:QKL393408 QUG393408:QUH393408 REC393408:RED393408 RNY393408:RNZ393408 RXU393408:RXV393408 SHQ393408:SHR393408 SRM393408:SRN393408 TBI393408:TBJ393408 TLE393408:TLF393408 TVA393408:TVB393408 UEW393408:UEX393408 UOS393408:UOT393408 UYO393408:UYP393408 VIK393408:VIL393408 VSG393408:VSH393408 WCC393408:WCD393408 WLY393408:WLZ393408 WVU393408:WVV393408 M458944:N458944 JI458944:JJ458944 TE458944:TF458944 ADA458944:ADB458944 AMW458944:AMX458944 AWS458944:AWT458944 BGO458944:BGP458944 BQK458944:BQL458944 CAG458944:CAH458944 CKC458944:CKD458944 CTY458944:CTZ458944 DDU458944:DDV458944 DNQ458944:DNR458944 DXM458944:DXN458944 EHI458944:EHJ458944 ERE458944:ERF458944 FBA458944:FBB458944 FKW458944:FKX458944 FUS458944:FUT458944 GEO458944:GEP458944 GOK458944:GOL458944 GYG458944:GYH458944 HIC458944:HID458944 HRY458944:HRZ458944 IBU458944:IBV458944 ILQ458944:ILR458944 IVM458944:IVN458944 JFI458944:JFJ458944 JPE458944:JPF458944 JZA458944:JZB458944 KIW458944:KIX458944 KSS458944:KST458944 LCO458944:LCP458944 LMK458944:LML458944 LWG458944:LWH458944 MGC458944:MGD458944 MPY458944:MPZ458944 MZU458944:MZV458944 NJQ458944:NJR458944 NTM458944:NTN458944 ODI458944:ODJ458944 ONE458944:ONF458944 OXA458944:OXB458944 PGW458944:PGX458944 PQS458944:PQT458944 QAO458944:QAP458944 QKK458944:QKL458944 QUG458944:QUH458944 REC458944:RED458944 RNY458944:RNZ458944 RXU458944:RXV458944 SHQ458944:SHR458944 SRM458944:SRN458944 TBI458944:TBJ458944 TLE458944:TLF458944 TVA458944:TVB458944 UEW458944:UEX458944 UOS458944:UOT458944 UYO458944:UYP458944 VIK458944:VIL458944 VSG458944:VSH458944 WCC458944:WCD458944 WLY458944:WLZ458944 WVU458944:WVV458944 M524480:N524480 JI524480:JJ524480 TE524480:TF524480 ADA524480:ADB524480 AMW524480:AMX524480 AWS524480:AWT524480 BGO524480:BGP524480 BQK524480:BQL524480 CAG524480:CAH524480 CKC524480:CKD524480 CTY524480:CTZ524480 DDU524480:DDV524480 DNQ524480:DNR524480 DXM524480:DXN524480 EHI524480:EHJ524480 ERE524480:ERF524480 FBA524480:FBB524480 FKW524480:FKX524480 FUS524480:FUT524480 GEO524480:GEP524480 GOK524480:GOL524480 GYG524480:GYH524480 HIC524480:HID524480 HRY524480:HRZ524480 IBU524480:IBV524480 ILQ524480:ILR524480 IVM524480:IVN524480 JFI524480:JFJ524480 JPE524480:JPF524480 JZA524480:JZB524480 KIW524480:KIX524480 KSS524480:KST524480 LCO524480:LCP524480 LMK524480:LML524480 LWG524480:LWH524480 MGC524480:MGD524480 MPY524480:MPZ524480 MZU524480:MZV524480 NJQ524480:NJR524480 NTM524480:NTN524480 ODI524480:ODJ524480 ONE524480:ONF524480 OXA524480:OXB524480 PGW524480:PGX524480 PQS524480:PQT524480 QAO524480:QAP524480 QKK524480:QKL524480 QUG524480:QUH524480 REC524480:RED524480 RNY524480:RNZ524480 RXU524480:RXV524480 SHQ524480:SHR524480 SRM524480:SRN524480 TBI524480:TBJ524480 TLE524480:TLF524480 TVA524480:TVB524480 UEW524480:UEX524480 UOS524480:UOT524480 UYO524480:UYP524480 VIK524480:VIL524480 VSG524480:VSH524480 WCC524480:WCD524480 WLY524480:WLZ524480 WVU524480:WVV524480 M590016:N590016 JI590016:JJ590016 TE590016:TF590016 ADA590016:ADB590016 AMW590016:AMX590016 AWS590016:AWT590016 BGO590016:BGP590016 BQK590016:BQL590016 CAG590016:CAH590016 CKC590016:CKD590016 CTY590016:CTZ590016 DDU590016:DDV590016 DNQ590016:DNR590016 DXM590016:DXN590016 EHI590016:EHJ590016 ERE590016:ERF590016 FBA590016:FBB590016 FKW590016:FKX590016 FUS590016:FUT590016 GEO590016:GEP590016 GOK590016:GOL590016 GYG590016:GYH590016 HIC590016:HID590016 HRY590016:HRZ590016 IBU590016:IBV590016 ILQ590016:ILR590016 IVM590016:IVN590016 JFI590016:JFJ590016 JPE590016:JPF590016 JZA590016:JZB590016 KIW590016:KIX590016 KSS590016:KST590016 LCO590016:LCP590016 LMK590016:LML590016 LWG590016:LWH590016 MGC590016:MGD590016 MPY590016:MPZ590016 MZU590016:MZV590016 NJQ590016:NJR590016 NTM590016:NTN590016 ODI590016:ODJ590016 ONE590016:ONF590016 OXA590016:OXB590016 PGW590016:PGX590016 PQS590016:PQT590016 QAO590016:QAP590016 QKK590016:QKL590016 QUG590016:QUH590016 REC590016:RED590016 RNY590016:RNZ590016 RXU590016:RXV590016 SHQ590016:SHR590016 SRM590016:SRN590016 TBI590016:TBJ590016 TLE590016:TLF590016 TVA590016:TVB590016 UEW590016:UEX590016 UOS590016:UOT590016 UYO590016:UYP590016 VIK590016:VIL590016 VSG590016:VSH590016 WCC590016:WCD590016 WLY590016:WLZ590016 WVU590016:WVV590016 M655552:N655552 JI655552:JJ655552 TE655552:TF655552 ADA655552:ADB655552 AMW655552:AMX655552 AWS655552:AWT655552 BGO655552:BGP655552 BQK655552:BQL655552 CAG655552:CAH655552 CKC655552:CKD655552 CTY655552:CTZ655552 DDU655552:DDV655552 DNQ655552:DNR655552 DXM655552:DXN655552 EHI655552:EHJ655552 ERE655552:ERF655552 FBA655552:FBB655552 FKW655552:FKX655552 FUS655552:FUT655552 GEO655552:GEP655552 GOK655552:GOL655552 GYG655552:GYH655552 HIC655552:HID655552 HRY655552:HRZ655552 IBU655552:IBV655552 ILQ655552:ILR655552 IVM655552:IVN655552 JFI655552:JFJ655552 JPE655552:JPF655552 JZA655552:JZB655552 KIW655552:KIX655552 KSS655552:KST655552 LCO655552:LCP655552 LMK655552:LML655552 LWG655552:LWH655552 MGC655552:MGD655552 MPY655552:MPZ655552 MZU655552:MZV655552 NJQ655552:NJR655552 NTM655552:NTN655552 ODI655552:ODJ655552 ONE655552:ONF655552 OXA655552:OXB655552 PGW655552:PGX655552 PQS655552:PQT655552 QAO655552:QAP655552 QKK655552:QKL655552 QUG655552:QUH655552 REC655552:RED655552 RNY655552:RNZ655552 RXU655552:RXV655552 SHQ655552:SHR655552 SRM655552:SRN655552 TBI655552:TBJ655552 TLE655552:TLF655552 TVA655552:TVB655552 UEW655552:UEX655552 UOS655552:UOT655552 UYO655552:UYP655552 VIK655552:VIL655552 VSG655552:VSH655552 WCC655552:WCD655552 WLY655552:WLZ655552 WVU655552:WVV655552 M721088:N721088 JI721088:JJ721088 TE721088:TF721088 ADA721088:ADB721088 AMW721088:AMX721088 AWS721088:AWT721088 BGO721088:BGP721088 BQK721088:BQL721088 CAG721088:CAH721088 CKC721088:CKD721088 CTY721088:CTZ721088 DDU721088:DDV721088 DNQ721088:DNR721088 DXM721088:DXN721088 EHI721088:EHJ721088 ERE721088:ERF721088 FBA721088:FBB721088 FKW721088:FKX721088 FUS721088:FUT721088 GEO721088:GEP721088 GOK721088:GOL721088 GYG721088:GYH721088 HIC721088:HID721088 HRY721088:HRZ721088 IBU721088:IBV721088 ILQ721088:ILR721088 IVM721088:IVN721088 JFI721088:JFJ721088 JPE721088:JPF721088 JZA721088:JZB721088 KIW721088:KIX721088 KSS721088:KST721088 LCO721088:LCP721088 LMK721088:LML721088 LWG721088:LWH721088 MGC721088:MGD721088 MPY721088:MPZ721088 MZU721088:MZV721088 NJQ721088:NJR721088 NTM721088:NTN721088 ODI721088:ODJ721088 ONE721088:ONF721088 OXA721088:OXB721088 PGW721088:PGX721088 PQS721088:PQT721088 QAO721088:QAP721088 QKK721088:QKL721088 QUG721088:QUH721088 REC721088:RED721088 RNY721088:RNZ721088 RXU721088:RXV721088 SHQ721088:SHR721088 SRM721088:SRN721088 TBI721088:TBJ721088 TLE721088:TLF721088 TVA721088:TVB721088 UEW721088:UEX721088 UOS721088:UOT721088 UYO721088:UYP721088 VIK721088:VIL721088 VSG721088:VSH721088 WCC721088:WCD721088 WLY721088:WLZ721088 WVU721088:WVV721088 M786624:N786624 JI786624:JJ786624 TE786624:TF786624 ADA786624:ADB786624 AMW786624:AMX786624 AWS786624:AWT786624 BGO786624:BGP786624 BQK786624:BQL786624 CAG786624:CAH786624 CKC786624:CKD786624 CTY786624:CTZ786624 DDU786624:DDV786624 DNQ786624:DNR786624 DXM786624:DXN786624 EHI786624:EHJ786624 ERE786624:ERF786624 FBA786624:FBB786624 FKW786624:FKX786624 FUS786624:FUT786624 GEO786624:GEP786624 GOK786624:GOL786624 GYG786624:GYH786624 HIC786624:HID786624 HRY786624:HRZ786624 IBU786624:IBV786624 ILQ786624:ILR786624 IVM786624:IVN786624 JFI786624:JFJ786624 JPE786624:JPF786624 JZA786624:JZB786624 KIW786624:KIX786624 KSS786624:KST786624 LCO786624:LCP786624 LMK786624:LML786624 LWG786624:LWH786624 MGC786624:MGD786624 MPY786624:MPZ786624 MZU786624:MZV786624 NJQ786624:NJR786624 NTM786624:NTN786624 ODI786624:ODJ786624 ONE786624:ONF786624 OXA786624:OXB786624 PGW786624:PGX786624 PQS786624:PQT786624 QAO786624:QAP786624 QKK786624:QKL786624 QUG786624:QUH786624 REC786624:RED786624 RNY786624:RNZ786624 RXU786624:RXV786624 SHQ786624:SHR786624 SRM786624:SRN786624 TBI786624:TBJ786624 TLE786624:TLF786624 TVA786624:TVB786624 UEW786624:UEX786624 UOS786624:UOT786624 UYO786624:UYP786624 VIK786624:VIL786624 VSG786624:VSH786624 WCC786624:WCD786624 WLY786624:WLZ786624 WVU786624:WVV786624 M852160:N852160 JI852160:JJ852160 TE852160:TF852160 ADA852160:ADB852160 AMW852160:AMX852160 AWS852160:AWT852160 BGO852160:BGP852160 BQK852160:BQL852160 CAG852160:CAH852160 CKC852160:CKD852160 CTY852160:CTZ852160 DDU852160:DDV852160 DNQ852160:DNR852160 DXM852160:DXN852160 EHI852160:EHJ852160 ERE852160:ERF852160 FBA852160:FBB852160 FKW852160:FKX852160 FUS852160:FUT852160 GEO852160:GEP852160 GOK852160:GOL852160 GYG852160:GYH852160 HIC852160:HID852160 HRY852160:HRZ852160 IBU852160:IBV852160 ILQ852160:ILR852160 IVM852160:IVN852160 JFI852160:JFJ852160 JPE852160:JPF852160 JZA852160:JZB852160 KIW852160:KIX852160 KSS852160:KST852160 LCO852160:LCP852160 LMK852160:LML852160 LWG852160:LWH852160 MGC852160:MGD852160 MPY852160:MPZ852160 MZU852160:MZV852160 NJQ852160:NJR852160 NTM852160:NTN852160 ODI852160:ODJ852160 ONE852160:ONF852160 OXA852160:OXB852160 PGW852160:PGX852160 PQS852160:PQT852160 QAO852160:QAP852160 QKK852160:QKL852160 QUG852160:QUH852160 REC852160:RED852160 RNY852160:RNZ852160 RXU852160:RXV852160 SHQ852160:SHR852160 SRM852160:SRN852160 TBI852160:TBJ852160 TLE852160:TLF852160 TVA852160:TVB852160 UEW852160:UEX852160 UOS852160:UOT852160 UYO852160:UYP852160 VIK852160:VIL852160 VSG852160:VSH852160 WCC852160:WCD852160 WLY852160:WLZ852160 WVU852160:WVV852160 M917696:N917696 JI917696:JJ917696 TE917696:TF917696 ADA917696:ADB917696 AMW917696:AMX917696 AWS917696:AWT917696 BGO917696:BGP917696 BQK917696:BQL917696 CAG917696:CAH917696 CKC917696:CKD917696 CTY917696:CTZ917696 DDU917696:DDV917696 DNQ917696:DNR917696 DXM917696:DXN917696 EHI917696:EHJ917696 ERE917696:ERF917696 FBA917696:FBB917696 FKW917696:FKX917696 FUS917696:FUT917696 GEO917696:GEP917696 GOK917696:GOL917696 GYG917696:GYH917696 HIC917696:HID917696 HRY917696:HRZ917696 IBU917696:IBV917696 ILQ917696:ILR917696 IVM917696:IVN917696 JFI917696:JFJ917696 JPE917696:JPF917696 JZA917696:JZB917696 KIW917696:KIX917696 KSS917696:KST917696 LCO917696:LCP917696 LMK917696:LML917696 LWG917696:LWH917696 MGC917696:MGD917696 MPY917696:MPZ917696 MZU917696:MZV917696 NJQ917696:NJR917696 NTM917696:NTN917696 ODI917696:ODJ917696 ONE917696:ONF917696 OXA917696:OXB917696 PGW917696:PGX917696 PQS917696:PQT917696 QAO917696:QAP917696 QKK917696:QKL917696 QUG917696:QUH917696 REC917696:RED917696 RNY917696:RNZ917696 RXU917696:RXV917696 SHQ917696:SHR917696 SRM917696:SRN917696 TBI917696:TBJ917696 TLE917696:TLF917696 TVA917696:TVB917696 UEW917696:UEX917696 UOS917696:UOT917696 UYO917696:UYP917696 VIK917696:VIL917696 VSG917696:VSH917696 WCC917696:WCD917696 WLY917696:WLZ917696 WVU917696:WVV917696 M983232:N983232 JI983232:JJ983232 TE983232:TF983232 ADA983232:ADB983232 AMW983232:AMX983232 AWS983232:AWT983232 BGO983232:BGP983232 BQK983232:BQL983232 CAG983232:CAH983232 CKC983232:CKD983232 CTY983232:CTZ983232 DDU983232:DDV983232 DNQ983232:DNR983232 DXM983232:DXN983232 EHI983232:EHJ983232 ERE983232:ERF983232 FBA983232:FBB983232 FKW983232:FKX983232 FUS983232:FUT983232 GEO983232:GEP983232 GOK983232:GOL983232 GYG983232:GYH983232 HIC983232:HID983232 HRY983232:HRZ983232 IBU983232:IBV983232 ILQ983232:ILR983232 IVM983232:IVN983232 JFI983232:JFJ983232 JPE983232:JPF983232 JZA983232:JZB983232 KIW983232:KIX983232 KSS983232:KST983232 LCO983232:LCP983232 LMK983232:LML983232 LWG983232:LWH983232 MGC983232:MGD983232 MPY983232:MPZ983232 MZU983232:MZV983232 NJQ983232:NJR983232 NTM983232:NTN983232 ODI983232:ODJ983232 ONE983232:ONF983232 OXA983232:OXB983232 PGW983232:PGX983232 PQS983232:PQT983232 QAO983232:QAP983232 QKK983232:QKL983232 QUG983232:QUH983232 REC983232:RED983232 RNY983232:RNZ983232 RXU983232:RXV983232 SHQ983232:SHR983232 SRM983232:SRN983232 TBI983232:TBJ983232 TLE983232:TLF983232 TVA983232:TVB983232 UEW983232:UEX983232 UOS983232:UOT983232 UYO983232:UYP983232 VIK983232:VIL983232 VSG983232:VSH983232 WCC983232:WCD983232 WLY983232:WLZ983232 WVU983232:WVV983232 M502:N502 JI502:JJ502 TE502:TF502 ADA502:ADB502 AMW502:AMX502 AWS502:AWT502 BGO502:BGP502 BQK502:BQL502 CAG502:CAH502 CKC502:CKD502 CTY502:CTZ502 DDU502:DDV502 DNQ502:DNR502 DXM502:DXN502 EHI502:EHJ502 ERE502:ERF502 FBA502:FBB502 FKW502:FKX502 FUS502:FUT502 GEO502:GEP502 GOK502:GOL502 GYG502:GYH502 HIC502:HID502 HRY502:HRZ502 IBU502:IBV502 ILQ502:ILR502 IVM502:IVN502 JFI502:JFJ502 JPE502:JPF502 JZA502:JZB502 KIW502:KIX502 KSS502:KST502 LCO502:LCP502 LMK502:LML502 LWG502:LWH502 MGC502:MGD502 MPY502:MPZ502 MZU502:MZV502 NJQ502:NJR502 NTM502:NTN502 ODI502:ODJ502 ONE502:ONF502 OXA502:OXB502 PGW502:PGX502 PQS502:PQT502 QAO502:QAP502 QKK502:QKL502 QUG502:QUH502 REC502:RED502 RNY502:RNZ502 RXU502:RXV502 SHQ502:SHR502 SRM502:SRN502 TBI502:TBJ502 TLE502:TLF502 TVA502:TVB502 UEW502:UEX502 UOS502:UOT502 UYO502:UYP502 VIK502:VIL502 VSG502:VSH502 WCC502:WCD502 WLY502:WLZ502 WVU502:WVV502 M66038:N66038 JI66038:JJ66038 TE66038:TF66038 ADA66038:ADB66038 AMW66038:AMX66038 AWS66038:AWT66038 BGO66038:BGP66038 BQK66038:BQL66038 CAG66038:CAH66038 CKC66038:CKD66038 CTY66038:CTZ66038 DDU66038:DDV66038 DNQ66038:DNR66038 DXM66038:DXN66038 EHI66038:EHJ66038 ERE66038:ERF66038 FBA66038:FBB66038 FKW66038:FKX66038 FUS66038:FUT66038 GEO66038:GEP66038 GOK66038:GOL66038 GYG66038:GYH66038 HIC66038:HID66038 HRY66038:HRZ66038 IBU66038:IBV66038 ILQ66038:ILR66038 IVM66038:IVN66038 JFI66038:JFJ66038 JPE66038:JPF66038 JZA66038:JZB66038 KIW66038:KIX66038 KSS66038:KST66038 LCO66038:LCP66038 LMK66038:LML66038 LWG66038:LWH66038 MGC66038:MGD66038 MPY66038:MPZ66038 MZU66038:MZV66038 NJQ66038:NJR66038 NTM66038:NTN66038 ODI66038:ODJ66038 ONE66038:ONF66038 OXA66038:OXB66038 PGW66038:PGX66038 PQS66038:PQT66038 QAO66038:QAP66038 QKK66038:QKL66038 QUG66038:QUH66038 REC66038:RED66038 RNY66038:RNZ66038 RXU66038:RXV66038 SHQ66038:SHR66038 SRM66038:SRN66038 TBI66038:TBJ66038 TLE66038:TLF66038 TVA66038:TVB66038 UEW66038:UEX66038 UOS66038:UOT66038 UYO66038:UYP66038 VIK66038:VIL66038 VSG66038:VSH66038 WCC66038:WCD66038 WLY66038:WLZ66038 WVU66038:WVV66038 M131574:N131574 JI131574:JJ131574 TE131574:TF131574 ADA131574:ADB131574 AMW131574:AMX131574 AWS131574:AWT131574 BGO131574:BGP131574 BQK131574:BQL131574 CAG131574:CAH131574 CKC131574:CKD131574 CTY131574:CTZ131574 DDU131574:DDV131574 DNQ131574:DNR131574 DXM131574:DXN131574 EHI131574:EHJ131574 ERE131574:ERF131574 FBA131574:FBB131574 FKW131574:FKX131574 FUS131574:FUT131574 GEO131574:GEP131574 GOK131574:GOL131574 GYG131574:GYH131574 HIC131574:HID131574 HRY131574:HRZ131574 IBU131574:IBV131574 ILQ131574:ILR131574 IVM131574:IVN131574 JFI131574:JFJ131574 JPE131574:JPF131574 JZA131574:JZB131574 KIW131574:KIX131574 KSS131574:KST131574 LCO131574:LCP131574 LMK131574:LML131574 LWG131574:LWH131574 MGC131574:MGD131574 MPY131574:MPZ131574 MZU131574:MZV131574 NJQ131574:NJR131574 NTM131574:NTN131574 ODI131574:ODJ131574 ONE131574:ONF131574 OXA131574:OXB131574 PGW131574:PGX131574 PQS131574:PQT131574 QAO131574:QAP131574 QKK131574:QKL131574 QUG131574:QUH131574 REC131574:RED131574 RNY131574:RNZ131574 RXU131574:RXV131574 SHQ131574:SHR131574 SRM131574:SRN131574 TBI131574:TBJ131574 TLE131574:TLF131574 TVA131574:TVB131574 UEW131574:UEX131574 UOS131574:UOT131574 UYO131574:UYP131574 VIK131574:VIL131574 VSG131574:VSH131574 WCC131574:WCD131574 WLY131574:WLZ131574 WVU131574:WVV131574 M197110:N197110 JI197110:JJ197110 TE197110:TF197110 ADA197110:ADB197110 AMW197110:AMX197110 AWS197110:AWT197110 BGO197110:BGP197110 BQK197110:BQL197110 CAG197110:CAH197110 CKC197110:CKD197110 CTY197110:CTZ197110 DDU197110:DDV197110 DNQ197110:DNR197110 DXM197110:DXN197110 EHI197110:EHJ197110 ERE197110:ERF197110 FBA197110:FBB197110 FKW197110:FKX197110 FUS197110:FUT197110 GEO197110:GEP197110 GOK197110:GOL197110 GYG197110:GYH197110 HIC197110:HID197110 HRY197110:HRZ197110 IBU197110:IBV197110 ILQ197110:ILR197110 IVM197110:IVN197110 JFI197110:JFJ197110 JPE197110:JPF197110 JZA197110:JZB197110 KIW197110:KIX197110 KSS197110:KST197110 LCO197110:LCP197110 LMK197110:LML197110 LWG197110:LWH197110 MGC197110:MGD197110 MPY197110:MPZ197110 MZU197110:MZV197110 NJQ197110:NJR197110 NTM197110:NTN197110 ODI197110:ODJ197110 ONE197110:ONF197110 OXA197110:OXB197110 PGW197110:PGX197110 PQS197110:PQT197110 QAO197110:QAP197110 QKK197110:QKL197110 QUG197110:QUH197110 REC197110:RED197110 RNY197110:RNZ197110 RXU197110:RXV197110 SHQ197110:SHR197110 SRM197110:SRN197110 TBI197110:TBJ197110 TLE197110:TLF197110 TVA197110:TVB197110 UEW197110:UEX197110 UOS197110:UOT197110 UYO197110:UYP197110 VIK197110:VIL197110 VSG197110:VSH197110 WCC197110:WCD197110 WLY197110:WLZ197110 WVU197110:WVV197110 M262646:N262646 JI262646:JJ262646 TE262646:TF262646 ADA262646:ADB262646 AMW262646:AMX262646 AWS262646:AWT262646 BGO262646:BGP262646 BQK262646:BQL262646 CAG262646:CAH262646 CKC262646:CKD262646 CTY262646:CTZ262646 DDU262646:DDV262646 DNQ262646:DNR262646 DXM262646:DXN262646 EHI262646:EHJ262646 ERE262646:ERF262646 FBA262646:FBB262646 FKW262646:FKX262646 FUS262646:FUT262646 GEO262646:GEP262646 GOK262646:GOL262646 GYG262646:GYH262646 HIC262646:HID262646 HRY262646:HRZ262646 IBU262646:IBV262646 ILQ262646:ILR262646 IVM262646:IVN262646 JFI262646:JFJ262646 JPE262646:JPF262646 JZA262646:JZB262646 KIW262646:KIX262646 KSS262646:KST262646 LCO262646:LCP262646 LMK262646:LML262646 LWG262646:LWH262646 MGC262646:MGD262646 MPY262646:MPZ262646 MZU262646:MZV262646 NJQ262646:NJR262646 NTM262646:NTN262646 ODI262646:ODJ262646 ONE262646:ONF262646 OXA262646:OXB262646 PGW262646:PGX262646 PQS262646:PQT262646 QAO262646:QAP262646 QKK262646:QKL262646 QUG262646:QUH262646 REC262646:RED262646 RNY262646:RNZ262646 RXU262646:RXV262646 SHQ262646:SHR262646 SRM262646:SRN262646 TBI262646:TBJ262646 TLE262646:TLF262646 TVA262646:TVB262646 UEW262646:UEX262646 UOS262646:UOT262646 UYO262646:UYP262646 VIK262646:VIL262646 VSG262646:VSH262646 WCC262646:WCD262646 WLY262646:WLZ262646 WVU262646:WVV262646 M328182:N328182 JI328182:JJ328182 TE328182:TF328182 ADA328182:ADB328182 AMW328182:AMX328182 AWS328182:AWT328182 BGO328182:BGP328182 BQK328182:BQL328182 CAG328182:CAH328182 CKC328182:CKD328182 CTY328182:CTZ328182 DDU328182:DDV328182 DNQ328182:DNR328182 DXM328182:DXN328182 EHI328182:EHJ328182 ERE328182:ERF328182 FBA328182:FBB328182 FKW328182:FKX328182 FUS328182:FUT328182 GEO328182:GEP328182 GOK328182:GOL328182 GYG328182:GYH328182 HIC328182:HID328182 HRY328182:HRZ328182 IBU328182:IBV328182 ILQ328182:ILR328182 IVM328182:IVN328182 JFI328182:JFJ328182 JPE328182:JPF328182 JZA328182:JZB328182 KIW328182:KIX328182 KSS328182:KST328182 LCO328182:LCP328182 LMK328182:LML328182 LWG328182:LWH328182 MGC328182:MGD328182 MPY328182:MPZ328182 MZU328182:MZV328182 NJQ328182:NJR328182 NTM328182:NTN328182 ODI328182:ODJ328182 ONE328182:ONF328182 OXA328182:OXB328182 PGW328182:PGX328182 PQS328182:PQT328182 QAO328182:QAP328182 QKK328182:QKL328182 QUG328182:QUH328182 REC328182:RED328182 RNY328182:RNZ328182 RXU328182:RXV328182 SHQ328182:SHR328182 SRM328182:SRN328182 TBI328182:TBJ328182 TLE328182:TLF328182 TVA328182:TVB328182 UEW328182:UEX328182 UOS328182:UOT328182 UYO328182:UYP328182 VIK328182:VIL328182 VSG328182:VSH328182 WCC328182:WCD328182 WLY328182:WLZ328182 WVU328182:WVV328182 M393718:N393718 JI393718:JJ393718 TE393718:TF393718 ADA393718:ADB393718 AMW393718:AMX393718 AWS393718:AWT393718 BGO393718:BGP393718 BQK393718:BQL393718 CAG393718:CAH393718 CKC393718:CKD393718 CTY393718:CTZ393718 DDU393718:DDV393718 DNQ393718:DNR393718 DXM393718:DXN393718 EHI393718:EHJ393718 ERE393718:ERF393718 FBA393718:FBB393718 FKW393718:FKX393718 FUS393718:FUT393718 GEO393718:GEP393718 GOK393718:GOL393718 GYG393718:GYH393718 HIC393718:HID393718 HRY393718:HRZ393718 IBU393718:IBV393718 ILQ393718:ILR393718 IVM393718:IVN393718 JFI393718:JFJ393718 JPE393718:JPF393718 JZA393718:JZB393718 KIW393718:KIX393718 KSS393718:KST393718 LCO393718:LCP393718 LMK393718:LML393718 LWG393718:LWH393718 MGC393718:MGD393718 MPY393718:MPZ393718 MZU393718:MZV393718 NJQ393718:NJR393718 NTM393718:NTN393718 ODI393718:ODJ393718 ONE393718:ONF393718 OXA393718:OXB393718 PGW393718:PGX393718 PQS393718:PQT393718 QAO393718:QAP393718 QKK393718:QKL393718 QUG393718:QUH393718 REC393718:RED393718 RNY393718:RNZ393718 RXU393718:RXV393718 SHQ393718:SHR393718 SRM393718:SRN393718 TBI393718:TBJ393718 TLE393718:TLF393718 TVA393718:TVB393718 UEW393718:UEX393718 UOS393718:UOT393718 UYO393718:UYP393718 VIK393718:VIL393718 VSG393718:VSH393718 WCC393718:WCD393718 WLY393718:WLZ393718 WVU393718:WVV393718 M459254:N459254 JI459254:JJ459254 TE459254:TF459254 ADA459254:ADB459254 AMW459254:AMX459254 AWS459254:AWT459254 BGO459254:BGP459254 BQK459254:BQL459254 CAG459254:CAH459254 CKC459254:CKD459254 CTY459254:CTZ459254 DDU459254:DDV459254 DNQ459254:DNR459254 DXM459254:DXN459254 EHI459254:EHJ459254 ERE459254:ERF459254 FBA459254:FBB459254 FKW459254:FKX459254 FUS459254:FUT459254 GEO459254:GEP459254 GOK459254:GOL459254 GYG459254:GYH459254 HIC459254:HID459254 HRY459254:HRZ459254 IBU459254:IBV459254 ILQ459254:ILR459254 IVM459254:IVN459254 JFI459254:JFJ459254 JPE459254:JPF459254 JZA459254:JZB459254 KIW459254:KIX459254 KSS459254:KST459254 LCO459254:LCP459254 LMK459254:LML459254 LWG459254:LWH459254 MGC459254:MGD459254 MPY459254:MPZ459254 MZU459254:MZV459254 NJQ459254:NJR459254 NTM459254:NTN459254 ODI459254:ODJ459254 ONE459254:ONF459254 OXA459254:OXB459254 PGW459254:PGX459254 PQS459254:PQT459254 QAO459254:QAP459254 QKK459254:QKL459254 QUG459254:QUH459254 REC459254:RED459254 RNY459254:RNZ459254 RXU459254:RXV459254 SHQ459254:SHR459254 SRM459254:SRN459254 TBI459254:TBJ459254 TLE459254:TLF459254 TVA459254:TVB459254 UEW459254:UEX459254 UOS459254:UOT459254 UYO459254:UYP459254 VIK459254:VIL459254 VSG459254:VSH459254 WCC459254:WCD459254 WLY459254:WLZ459254 WVU459254:WVV459254 M524790:N524790 JI524790:JJ524790 TE524790:TF524790 ADA524790:ADB524790 AMW524790:AMX524790 AWS524790:AWT524790 BGO524790:BGP524790 BQK524790:BQL524790 CAG524790:CAH524790 CKC524790:CKD524790 CTY524790:CTZ524790 DDU524790:DDV524790 DNQ524790:DNR524790 DXM524790:DXN524790 EHI524790:EHJ524790 ERE524790:ERF524790 FBA524790:FBB524790 FKW524790:FKX524790 FUS524790:FUT524790 GEO524790:GEP524790 GOK524790:GOL524790 GYG524790:GYH524790 HIC524790:HID524790 HRY524790:HRZ524790 IBU524790:IBV524790 ILQ524790:ILR524790 IVM524790:IVN524790 JFI524790:JFJ524790 JPE524790:JPF524790 JZA524790:JZB524790 KIW524790:KIX524790 KSS524790:KST524790 LCO524790:LCP524790 LMK524790:LML524790 LWG524790:LWH524790 MGC524790:MGD524790 MPY524790:MPZ524790 MZU524790:MZV524790 NJQ524790:NJR524790 NTM524790:NTN524790 ODI524790:ODJ524790 ONE524790:ONF524790 OXA524790:OXB524790 PGW524790:PGX524790 PQS524790:PQT524790 QAO524790:QAP524790 QKK524790:QKL524790 QUG524790:QUH524790 REC524790:RED524790 RNY524790:RNZ524790 RXU524790:RXV524790 SHQ524790:SHR524790 SRM524790:SRN524790 TBI524790:TBJ524790 TLE524790:TLF524790 TVA524790:TVB524790 UEW524790:UEX524790 UOS524790:UOT524790 UYO524790:UYP524790 VIK524790:VIL524790 VSG524790:VSH524790 WCC524790:WCD524790 WLY524790:WLZ524790 WVU524790:WVV524790 M590326:N590326 JI590326:JJ590326 TE590326:TF590326 ADA590326:ADB590326 AMW590326:AMX590326 AWS590326:AWT590326 BGO590326:BGP590326 BQK590326:BQL590326 CAG590326:CAH590326 CKC590326:CKD590326 CTY590326:CTZ590326 DDU590326:DDV590326 DNQ590326:DNR590326 DXM590326:DXN590326 EHI590326:EHJ590326 ERE590326:ERF590326 FBA590326:FBB590326 FKW590326:FKX590326 FUS590326:FUT590326 GEO590326:GEP590326 GOK590326:GOL590326 GYG590326:GYH590326 HIC590326:HID590326 HRY590326:HRZ590326 IBU590326:IBV590326 ILQ590326:ILR590326 IVM590326:IVN590326 JFI590326:JFJ590326 JPE590326:JPF590326 JZA590326:JZB590326 KIW590326:KIX590326 KSS590326:KST590326 LCO590326:LCP590326 LMK590326:LML590326 LWG590326:LWH590326 MGC590326:MGD590326 MPY590326:MPZ590326 MZU590326:MZV590326 NJQ590326:NJR590326 NTM590326:NTN590326 ODI590326:ODJ590326 ONE590326:ONF590326 OXA590326:OXB590326 PGW590326:PGX590326 PQS590326:PQT590326 QAO590326:QAP590326 QKK590326:QKL590326 QUG590326:QUH590326 REC590326:RED590326 RNY590326:RNZ590326 RXU590326:RXV590326 SHQ590326:SHR590326 SRM590326:SRN590326 TBI590326:TBJ590326 TLE590326:TLF590326 TVA590326:TVB590326 UEW590326:UEX590326 UOS590326:UOT590326 UYO590326:UYP590326 VIK590326:VIL590326 VSG590326:VSH590326 WCC590326:WCD590326 WLY590326:WLZ590326 WVU590326:WVV590326 M655862:N655862 JI655862:JJ655862 TE655862:TF655862 ADA655862:ADB655862 AMW655862:AMX655862 AWS655862:AWT655862 BGO655862:BGP655862 BQK655862:BQL655862 CAG655862:CAH655862 CKC655862:CKD655862 CTY655862:CTZ655862 DDU655862:DDV655862 DNQ655862:DNR655862 DXM655862:DXN655862 EHI655862:EHJ655862 ERE655862:ERF655862 FBA655862:FBB655862 FKW655862:FKX655862 FUS655862:FUT655862 GEO655862:GEP655862 GOK655862:GOL655862 GYG655862:GYH655862 HIC655862:HID655862 HRY655862:HRZ655862 IBU655862:IBV655862 ILQ655862:ILR655862 IVM655862:IVN655862 JFI655862:JFJ655862 JPE655862:JPF655862 JZA655862:JZB655862 KIW655862:KIX655862 KSS655862:KST655862 LCO655862:LCP655862 LMK655862:LML655862 LWG655862:LWH655862 MGC655862:MGD655862 MPY655862:MPZ655862 MZU655862:MZV655862 NJQ655862:NJR655862 NTM655862:NTN655862 ODI655862:ODJ655862 ONE655862:ONF655862 OXA655862:OXB655862 PGW655862:PGX655862 PQS655862:PQT655862 QAO655862:QAP655862 QKK655862:QKL655862 QUG655862:QUH655862 REC655862:RED655862 RNY655862:RNZ655862 RXU655862:RXV655862 SHQ655862:SHR655862 SRM655862:SRN655862 TBI655862:TBJ655862 TLE655862:TLF655862 TVA655862:TVB655862 UEW655862:UEX655862 UOS655862:UOT655862 UYO655862:UYP655862 VIK655862:VIL655862 VSG655862:VSH655862 WCC655862:WCD655862 WLY655862:WLZ655862 WVU655862:WVV655862 M721398:N721398 JI721398:JJ721398 TE721398:TF721398 ADA721398:ADB721398 AMW721398:AMX721398 AWS721398:AWT721398 BGO721398:BGP721398 BQK721398:BQL721398 CAG721398:CAH721398 CKC721398:CKD721398 CTY721398:CTZ721398 DDU721398:DDV721398 DNQ721398:DNR721398 DXM721398:DXN721398 EHI721398:EHJ721398 ERE721398:ERF721398 FBA721398:FBB721398 FKW721398:FKX721398 FUS721398:FUT721398 GEO721398:GEP721398 GOK721398:GOL721398 GYG721398:GYH721398 HIC721398:HID721398 HRY721398:HRZ721398 IBU721398:IBV721398 ILQ721398:ILR721398 IVM721398:IVN721398 JFI721398:JFJ721398 JPE721398:JPF721398 JZA721398:JZB721398 KIW721398:KIX721398 KSS721398:KST721398 LCO721398:LCP721398 LMK721398:LML721398 LWG721398:LWH721398 MGC721398:MGD721398 MPY721398:MPZ721398 MZU721398:MZV721398 NJQ721398:NJR721398 NTM721398:NTN721398 ODI721398:ODJ721398 ONE721398:ONF721398 OXA721398:OXB721398 PGW721398:PGX721398 PQS721398:PQT721398 QAO721398:QAP721398 QKK721398:QKL721398 QUG721398:QUH721398 REC721398:RED721398 RNY721398:RNZ721398 RXU721398:RXV721398 SHQ721398:SHR721398 SRM721398:SRN721398 TBI721398:TBJ721398 TLE721398:TLF721398 TVA721398:TVB721398 UEW721398:UEX721398 UOS721398:UOT721398 UYO721398:UYP721398 VIK721398:VIL721398 VSG721398:VSH721398 WCC721398:WCD721398 WLY721398:WLZ721398 WVU721398:WVV721398 M786934:N786934 JI786934:JJ786934 TE786934:TF786934 ADA786934:ADB786934 AMW786934:AMX786934 AWS786934:AWT786934 BGO786934:BGP786934 BQK786934:BQL786934 CAG786934:CAH786934 CKC786934:CKD786934 CTY786934:CTZ786934 DDU786934:DDV786934 DNQ786934:DNR786934 DXM786934:DXN786934 EHI786934:EHJ786934 ERE786934:ERF786934 FBA786934:FBB786934 FKW786934:FKX786934 FUS786934:FUT786934 GEO786934:GEP786934 GOK786934:GOL786934 GYG786934:GYH786934 HIC786934:HID786934 HRY786934:HRZ786934 IBU786934:IBV786934 ILQ786934:ILR786934 IVM786934:IVN786934 JFI786934:JFJ786934 JPE786934:JPF786934 JZA786934:JZB786934 KIW786934:KIX786934 KSS786934:KST786934 LCO786934:LCP786934 LMK786934:LML786934 LWG786934:LWH786934 MGC786934:MGD786934 MPY786934:MPZ786934 MZU786934:MZV786934 NJQ786934:NJR786934 NTM786934:NTN786934 ODI786934:ODJ786934 ONE786934:ONF786934 OXA786934:OXB786934 PGW786934:PGX786934 PQS786934:PQT786934 QAO786934:QAP786934 QKK786934:QKL786934 QUG786934:QUH786934 REC786934:RED786934 RNY786934:RNZ786934 RXU786934:RXV786934 SHQ786934:SHR786934 SRM786934:SRN786934 TBI786934:TBJ786934 TLE786934:TLF786934 TVA786934:TVB786934 UEW786934:UEX786934 UOS786934:UOT786934 UYO786934:UYP786934 VIK786934:VIL786934 VSG786934:VSH786934 WCC786934:WCD786934 WLY786934:WLZ786934 WVU786934:WVV786934 M852470:N852470 JI852470:JJ852470 TE852470:TF852470 ADA852470:ADB852470 AMW852470:AMX852470 AWS852470:AWT852470 BGO852470:BGP852470 BQK852470:BQL852470 CAG852470:CAH852470 CKC852470:CKD852470 CTY852470:CTZ852470 DDU852470:DDV852470 DNQ852470:DNR852470 DXM852470:DXN852470 EHI852470:EHJ852470 ERE852470:ERF852470 FBA852470:FBB852470 FKW852470:FKX852470 FUS852470:FUT852470 GEO852470:GEP852470 GOK852470:GOL852470 GYG852470:GYH852470 HIC852470:HID852470 HRY852470:HRZ852470 IBU852470:IBV852470 ILQ852470:ILR852470 IVM852470:IVN852470 JFI852470:JFJ852470 JPE852470:JPF852470 JZA852470:JZB852470 KIW852470:KIX852470 KSS852470:KST852470 LCO852470:LCP852470 LMK852470:LML852470 LWG852470:LWH852470 MGC852470:MGD852470 MPY852470:MPZ852470 MZU852470:MZV852470 NJQ852470:NJR852470 NTM852470:NTN852470 ODI852470:ODJ852470 ONE852470:ONF852470 OXA852470:OXB852470 PGW852470:PGX852470 PQS852470:PQT852470 QAO852470:QAP852470 QKK852470:QKL852470 QUG852470:QUH852470 REC852470:RED852470 RNY852470:RNZ852470 RXU852470:RXV852470 SHQ852470:SHR852470 SRM852470:SRN852470 TBI852470:TBJ852470 TLE852470:TLF852470 TVA852470:TVB852470 UEW852470:UEX852470 UOS852470:UOT852470 UYO852470:UYP852470 VIK852470:VIL852470 VSG852470:VSH852470 WCC852470:WCD852470 WLY852470:WLZ852470 WVU852470:WVV852470 M918006:N918006 JI918006:JJ918006 TE918006:TF918006 ADA918006:ADB918006 AMW918006:AMX918006 AWS918006:AWT918006 BGO918006:BGP918006 BQK918006:BQL918006 CAG918006:CAH918006 CKC918006:CKD918006 CTY918006:CTZ918006 DDU918006:DDV918006 DNQ918006:DNR918006 DXM918006:DXN918006 EHI918006:EHJ918006 ERE918006:ERF918006 FBA918006:FBB918006 FKW918006:FKX918006 FUS918006:FUT918006 GEO918006:GEP918006 GOK918006:GOL918006 GYG918006:GYH918006 HIC918006:HID918006 HRY918006:HRZ918006 IBU918006:IBV918006 ILQ918006:ILR918006 IVM918006:IVN918006 JFI918006:JFJ918006 JPE918006:JPF918006 JZA918006:JZB918006 KIW918006:KIX918006 KSS918006:KST918006 LCO918006:LCP918006 LMK918006:LML918006 LWG918006:LWH918006 MGC918006:MGD918006 MPY918006:MPZ918006 MZU918006:MZV918006 NJQ918006:NJR918006 NTM918006:NTN918006 ODI918006:ODJ918006 ONE918006:ONF918006 OXA918006:OXB918006 PGW918006:PGX918006 PQS918006:PQT918006 QAO918006:QAP918006 QKK918006:QKL918006 QUG918006:QUH918006 REC918006:RED918006 RNY918006:RNZ918006 RXU918006:RXV918006 SHQ918006:SHR918006 SRM918006:SRN918006 TBI918006:TBJ918006 TLE918006:TLF918006 TVA918006:TVB918006 UEW918006:UEX918006 UOS918006:UOT918006 UYO918006:UYP918006 VIK918006:VIL918006 VSG918006:VSH918006 WCC918006:WCD918006 WLY918006:WLZ918006 WVU918006:WVV918006 M983542:N983542 JI983542:JJ983542 TE983542:TF983542 ADA983542:ADB983542 AMW983542:AMX983542 AWS983542:AWT983542 BGO983542:BGP983542 BQK983542:BQL983542 CAG983542:CAH983542 CKC983542:CKD983542 CTY983542:CTZ983542 DDU983542:DDV983542 DNQ983542:DNR983542 DXM983542:DXN983542 EHI983542:EHJ983542 ERE983542:ERF983542 FBA983542:FBB983542 FKW983542:FKX983542 FUS983542:FUT983542 GEO983542:GEP983542 GOK983542:GOL983542 GYG983542:GYH983542 HIC983542:HID983542 HRY983542:HRZ983542 IBU983542:IBV983542 ILQ983542:ILR983542 IVM983542:IVN983542 JFI983542:JFJ983542 JPE983542:JPF983542 JZA983542:JZB983542 KIW983542:KIX983542 KSS983542:KST983542 LCO983542:LCP983542 LMK983542:LML983542 LWG983542:LWH983542 MGC983542:MGD983542 MPY983542:MPZ983542 MZU983542:MZV983542 NJQ983542:NJR983542 NTM983542:NTN983542 ODI983542:ODJ983542 ONE983542:ONF983542 OXA983542:OXB983542 PGW983542:PGX983542 PQS983542:PQT983542 QAO983542:QAP983542 QKK983542:QKL983542 QUG983542:QUH983542 REC983542:RED983542 RNY983542:RNZ983542 RXU983542:RXV983542 SHQ983542:SHR983542 SRM983542:SRN983542 TBI983542:TBJ983542 TLE983542:TLF983542 TVA983542:TVB983542 UEW983542:UEX983542 UOS983542:UOT983542 UYO983542:UYP983542 VIK983542:VIL983542 VSG983542:VSH983542 WCC983542:WCD983542 WLY983542:WLZ983542 WVU983542:WVV983542" xr:uid="{156AEDB6-E90A-4E32-9DB0-1C8AF21F0C7C}">
      <formula1>"Y,N"</formula1>
    </dataValidation>
    <dataValidation type="list" allowBlank="1" showInputMessage="1" showErrorMessage="1" sqref="D710 IZ710 SV710 ACR710 AMN710 AWJ710 BGF710 BQB710 BZX710 CJT710 CTP710 DDL710 DNH710 DXD710 EGZ710 EQV710 FAR710 FKN710 FUJ710 GEF710 GOB710 GXX710 HHT710 HRP710 IBL710 ILH710 IVD710 JEZ710 JOV710 JYR710 KIN710 KSJ710 LCF710 LMB710 LVX710 MFT710 MPP710 MZL710 NJH710 NTD710 OCZ710 OMV710 OWR710 PGN710 PQJ710 QAF710 QKB710 QTX710 RDT710 RNP710 RXL710 SHH710 SRD710 TAZ710 TKV710 TUR710 UEN710 UOJ710 UYF710 VIB710 VRX710 WBT710 WLP710 WVL710 D66246 IZ66246 SV66246 ACR66246 AMN66246 AWJ66246 BGF66246 BQB66246 BZX66246 CJT66246 CTP66246 DDL66246 DNH66246 DXD66246 EGZ66246 EQV66246 FAR66246 FKN66246 FUJ66246 GEF66246 GOB66246 GXX66246 HHT66246 HRP66246 IBL66246 ILH66246 IVD66246 JEZ66246 JOV66246 JYR66246 KIN66246 KSJ66246 LCF66246 LMB66246 LVX66246 MFT66246 MPP66246 MZL66246 NJH66246 NTD66246 OCZ66246 OMV66246 OWR66246 PGN66246 PQJ66246 QAF66246 QKB66246 QTX66246 RDT66246 RNP66246 RXL66246 SHH66246 SRD66246 TAZ66246 TKV66246 TUR66246 UEN66246 UOJ66246 UYF66246 VIB66246 VRX66246 WBT66246 WLP66246 WVL66246 D131782 IZ131782 SV131782 ACR131782 AMN131782 AWJ131782 BGF131782 BQB131782 BZX131782 CJT131782 CTP131782 DDL131782 DNH131782 DXD131782 EGZ131782 EQV131782 FAR131782 FKN131782 FUJ131782 GEF131782 GOB131782 GXX131782 HHT131782 HRP131782 IBL131782 ILH131782 IVD131782 JEZ131782 JOV131782 JYR131782 KIN131782 KSJ131782 LCF131782 LMB131782 LVX131782 MFT131782 MPP131782 MZL131782 NJH131782 NTD131782 OCZ131782 OMV131782 OWR131782 PGN131782 PQJ131782 QAF131782 QKB131782 QTX131782 RDT131782 RNP131782 RXL131782 SHH131782 SRD131782 TAZ131782 TKV131782 TUR131782 UEN131782 UOJ131782 UYF131782 VIB131782 VRX131782 WBT131782 WLP131782 WVL131782 D197318 IZ197318 SV197318 ACR197318 AMN197318 AWJ197318 BGF197318 BQB197318 BZX197318 CJT197318 CTP197318 DDL197318 DNH197318 DXD197318 EGZ197318 EQV197318 FAR197318 FKN197318 FUJ197318 GEF197318 GOB197318 GXX197318 HHT197318 HRP197318 IBL197318 ILH197318 IVD197318 JEZ197318 JOV197318 JYR197318 KIN197318 KSJ197318 LCF197318 LMB197318 LVX197318 MFT197318 MPP197318 MZL197318 NJH197318 NTD197318 OCZ197318 OMV197318 OWR197318 PGN197318 PQJ197318 QAF197318 QKB197318 QTX197318 RDT197318 RNP197318 RXL197318 SHH197318 SRD197318 TAZ197318 TKV197318 TUR197318 UEN197318 UOJ197318 UYF197318 VIB197318 VRX197318 WBT197318 WLP197318 WVL197318 D262854 IZ262854 SV262854 ACR262854 AMN262854 AWJ262854 BGF262854 BQB262854 BZX262854 CJT262854 CTP262854 DDL262854 DNH262854 DXD262854 EGZ262854 EQV262854 FAR262854 FKN262854 FUJ262854 GEF262854 GOB262854 GXX262854 HHT262854 HRP262854 IBL262854 ILH262854 IVD262854 JEZ262854 JOV262854 JYR262854 KIN262854 KSJ262854 LCF262854 LMB262854 LVX262854 MFT262854 MPP262854 MZL262854 NJH262854 NTD262854 OCZ262854 OMV262854 OWR262854 PGN262854 PQJ262854 QAF262854 QKB262854 QTX262854 RDT262854 RNP262854 RXL262854 SHH262854 SRD262854 TAZ262854 TKV262854 TUR262854 UEN262854 UOJ262854 UYF262854 VIB262854 VRX262854 WBT262854 WLP262854 WVL262854 D328390 IZ328390 SV328390 ACR328390 AMN328390 AWJ328390 BGF328390 BQB328390 BZX328390 CJT328390 CTP328390 DDL328390 DNH328390 DXD328390 EGZ328390 EQV328390 FAR328390 FKN328390 FUJ328390 GEF328390 GOB328390 GXX328390 HHT328390 HRP328390 IBL328390 ILH328390 IVD328390 JEZ328390 JOV328390 JYR328390 KIN328390 KSJ328390 LCF328390 LMB328390 LVX328390 MFT328390 MPP328390 MZL328390 NJH328390 NTD328390 OCZ328390 OMV328390 OWR328390 PGN328390 PQJ328390 QAF328390 QKB328390 QTX328390 RDT328390 RNP328390 RXL328390 SHH328390 SRD328390 TAZ328390 TKV328390 TUR328390 UEN328390 UOJ328390 UYF328390 VIB328390 VRX328390 WBT328390 WLP328390 WVL328390 D393926 IZ393926 SV393926 ACR393926 AMN393926 AWJ393926 BGF393926 BQB393926 BZX393926 CJT393926 CTP393926 DDL393926 DNH393926 DXD393926 EGZ393926 EQV393926 FAR393926 FKN393926 FUJ393926 GEF393926 GOB393926 GXX393926 HHT393926 HRP393926 IBL393926 ILH393926 IVD393926 JEZ393926 JOV393926 JYR393926 KIN393926 KSJ393926 LCF393926 LMB393926 LVX393926 MFT393926 MPP393926 MZL393926 NJH393926 NTD393926 OCZ393926 OMV393926 OWR393926 PGN393926 PQJ393926 QAF393926 QKB393926 QTX393926 RDT393926 RNP393926 RXL393926 SHH393926 SRD393926 TAZ393926 TKV393926 TUR393926 UEN393926 UOJ393926 UYF393926 VIB393926 VRX393926 WBT393926 WLP393926 WVL393926 D459462 IZ459462 SV459462 ACR459462 AMN459462 AWJ459462 BGF459462 BQB459462 BZX459462 CJT459462 CTP459462 DDL459462 DNH459462 DXD459462 EGZ459462 EQV459462 FAR459462 FKN459462 FUJ459462 GEF459462 GOB459462 GXX459462 HHT459462 HRP459462 IBL459462 ILH459462 IVD459462 JEZ459462 JOV459462 JYR459462 KIN459462 KSJ459462 LCF459462 LMB459462 LVX459462 MFT459462 MPP459462 MZL459462 NJH459462 NTD459462 OCZ459462 OMV459462 OWR459462 PGN459462 PQJ459462 QAF459462 QKB459462 QTX459462 RDT459462 RNP459462 RXL459462 SHH459462 SRD459462 TAZ459462 TKV459462 TUR459462 UEN459462 UOJ459462 UYF459462 VIB459462 VRX459462 WBT459462 WLP459462 WVL459462 D524998 IZ524998 SV524998 ACR524998 AMN524998 AWJ524998 BGF524998 BQB524998 BZX524998 CJT524998 CTP524998 DDL524998 DNH524998 DXD524998 EGZ524998 EQV524998 FAR524998 FKN524998 FUJ524998 GEF524998 GOB524998 GXX524998 HHT524998 HRP524998 IBL524998 ILH524998 IVD524998 JEZ524998 JOV524998 JYR524998 KIN524998 KSJ524998 LCF524998 LMB524998 LVX524998 MFT524998 MPP524998 MZL524998 NJH524998 NTD524998 OCZ524998 OMV524998 OWR524998 PGN524998 PQJ524998 QAF524998 QKB524998 QTX524998 RDT524998 RNP524998 RXL524998 SHH524998 SRD524998 TAZ524998 TKV524998 TUR524998 UEN524998 UOJ524998 UYF524998 VIB524998 VRX524998 WBT524998 WLP524998 WVL524998 D590534 IZ590534 SV590534 ACR590534 AMN590534 AWJ590534 BGF590534 BQB590534 BZX590534 CJT590534 CTP590534 DDL590534 DNH590534 DXD590534 EGZ590534 EQV590534 FAR590534 FKN590534 FUJ590534 GEF590534 GOB590534 GXX590534 HHT590534 HRP590534 IBL590534 ILH590534 IVD590534 JEZ590534 JOV590534 JYR590534 KIN590534 KSJ590534 LCF590534 LMB590534 LVX590534 MFT590534 MPP590534 MZL590534 NJH590534 NTD590534 OCZ590534 OMV590534 OWR590534 PGN590534 PQJ590534 QAF590534 QKB590534 QTX590534 RDT590534 RNP590534 RXL590534 SHH590534 SRD590534 TAZ590534 TKV590534 TUR590534 UEN590534 UOJ590534 UYF590534 VIB590534 VRX590534 WBT590534 WLP590534 WVL590534 D656070 IZ656070 SV656070 ACR656070 AMN656070 AWJ656070 BGF656070 BQB656070 BZX656070 CJT656070 CTP656070 DDL656070 DNH656070 DXD656070 EGZ656070 EQV656070 FAR656070 FKN656070 FUJ656070 GEF656070 GOB656070 GXX656070 HHT656070 HRP656070 IBL656070 ILH656070 IVD656070 JEZ656070 JOV656070 JYR656070 KIN656070 KSJ656070 LCF656070 LMB656070 LVX656070 MFT656070 MPP656070 MZL656070 NJH656070 NTD656070 OCZ656070 OMV656070 OWR656070 PGN656070 PQJ656070 QAF656070 QKB656070 QTX656070 RDT656070 RNP656070 RXL656070 SHH656070 SRD656070 TAZ656070 TKV656070 TUR656070 UEN656070 UOJ656070 UYF656070 VIB656070 VRX656070 WBT656070 WLP656070 WVL656070 D721606 IZ721606 SV721606 ACR721606 AMN721606 AWJ721606 BGF721606 BQB721606 BZX721606 CJT721606 CTP721606 DDL721606 DNH721606 DXD721606 EGZ721606 EQV721606 FAR721606 FKN721606 FUJ721606 GEF721606 GOB721606 GXX721606 HHT721606 HRP721606 IBL721606 ILH721606 IVD721606 JEZ721606 JOV721606 JYR721606 KIN721606 KSJ721606 LCF721606 LMB721606 LVX721606 MFT721606 MPP721606 MZL721606 NJH721606 NTD721606 OCZ721606 OMV721606 OWR721606 PGN721606 PQJ721606 QAF721606 QKB721606 QTX721606 RDT721606 RNP721606 RXL721606 SHH721606 SRD721606 TAZ721606 TKV721606 TUR721606 UEN721606 UOJ721606 UYF721606 VIB721606 VRX721606 WBT721606 WLP721606 WVL721606 D787142 IZ787142 SV787142 ACR787142 AMN787142 AWJ787142 BGF787142 BQB787142 BZX787142 CJT787142 CTP787142 DDL787142 DNH787142 DXD787142 EGZ787142 EQV787142 FAR787142 FKN787142 FUJ787142 GEF787142 GOB787142 GXX787142 HHT787142 HRP787142 IBL787142 ILH787142 IVD787142 JEZ787142 JOV787142 JYR787142 KIN787142 KSJ787142 LCF787142 LMB787142 LVX787142 MFT787142 MPP787142 MZL787142 NJH787142 NTD787142 OCZ787142 OMV787142 OWR787142 PGN787142 PQJ787142 QAF787142 QKB787142 QTX787142 RDT787142 RNP787142 RXL787142 SHH787142 SRD787142 TAZ787142 TKV787142 TUR787142 UEN787142 UOJ787142 UYF787142 VIB787142 VRX787142 WBT787142 WLP787142 WVL787142 D852678 IZ852678 SV852678 ACR852678 AMN852678 AWJ852678 BGF852678 BQB852678 BZX852678 CJT852678 CTP852678 DDL852678 DNH852678 DXD852678 EGZ852678 EQV852678 FAR852678 FKN852678 FUJ852678 GEF852678 GOB852678 GXX852678 HHT852678 HRP852678 IBL852678 ILH852678 IVD852678 JEZ852678 JOV852678 JYR852678 KIN852678 KSJ852678 LCF852678 LMB852678 LVX852678 MFT852678 MPP852678 MZL852678 NJH852678 NTD852678 OCZ852678 OMV852678 OWR852678 PGN852678 PQJ852678 QAF852678 QKB852678 QTX852678 RDT852678 RNP852678 RXL852678 SHH852678 SRD852678 TAZ852678 TKV852678 TUR852678 UEN852678 UOJ852678 UYF852678 VIB852678 VRX852678 WBT852678 WLP852678 WVL852678 D918214 IZ918214 SV918214 ACR918214 AMN918214 AWJ918214 BGF918214 BQB918214 BZX918214 CJT918214 CTP918214 DDL918214 DNH918214 DXD918214 EGZ918214 EQV918214 FAR918214 FKN918214 FUJ918214 GEF918214 GOB918214 GXX918214 HHT918214 HRP918214 IBL918214 ILH918214 IVD918214 JEZ918214 JOV918214 JYR918214 KIN918214 KSJ918214 LCF918214 LMB918214 LVX918214 MFT918214 MPP918214 MZL918214 NJH918214 NTD918214 OCZ918214 OMV918214 OWR918214 PGN918214 PQJ918214 QAF918214 QKB918214 QTX918214 RDT918214 RNP918214 RXL918214 SHH918214 SRD918214 TAZ918214 TKV918214 TUR918214 UEN918214 UOJ918214 UYF918214 VIB918214 VRX918214 WBT918214 WLP918214 WVL918214 D983750 IZ983750 SV983750 ACR983750 AMN983750 AWJ983750 BGF983750 BQB983750 BZX983750 CJT983750 CTP983750 DDL983750 DNH983750 DXD983750 EGZ983750 EQV983750 FAR983750 FKN983750 FUJ983750 GEF983750 GOB983750 GXX983750 HHT983750 HRP983750 IBL983750 ILH983750 IVD983750 JEZ983750 JOV983750 JYR983750 KIN983750 KSJ983750 LCF983750 LMB983750 LVX983750 MFT983750 MPP983750 MZL983750 NJH983750 NTD983750 OCZ983750 OMV983750 OWR983750 PGN983750 PQJ983750 QAF983750 QKB983750 QTX983750 RDT983750 RNP983750 RXL983750 SHH983750 SRD983750 TAZ983750 TKV983750 TUR983750 UEN983750 UOJ983750 UYF983750 VIB983750 VRX983750 WBT983750 WLP983750 WVL983750 D578 IZ578 SV578 ACR578 AMN578 AWJ578 BGF578 BQB578 BZX578 CJT578 CTP578 DDL578 DNH578 DXD578 EGZ578 EQV578 FAR578 FKN578 FUJ578 GEF578 GOB578 GXX578 HHT578 HRP578 IBL578 ILH578 IVD578 JEZ578 JOV578 JYR578 KIN578 KSJ578 LCF578 LMB578 LVX578 MFT578 MPP578 MZL578 NJH578 NTD578 OCZ578 OMV578 OWR578 PGN578 PQJ578 QAF578 QKB578 QTX578 RDT578 RNP578 RXL578 SHH578 SRD578 TAZ578 TKV578 TUR578 UEN578 UOJ578 UYF578 VIB578 VRX578 WBT578 WLP578 WVL578 D66114 IZ66114 SV66114 ACR66114 AMN66114 AWJ66114 BGF66114 BQB66114 BZX66114 CJT66114 CTP66114 DDL66114 DNH66114 DXD66114 EGZ66114 EQV66114 FAR66114 FKN66114 FUJ66114 GEF66114 GOB66114 GXX66114 HHT66114 HRP66114 IBL66114 ILH66114 IVD66114 JEZ66114 JOV66114 JYR66114 KIN66114 KSJ66114 LCF66114 LMB66114 LVX66114 MFT66114 MPP66114 MZL66114 NJH66114 NTD66114 OCZ66114 OMV66114 OWR66114 PGN66114 PQJ66114 QAF66114 QKB66114 QTX66114 RDT66114 RNP66114 RXL66114 SHH66114 SRD66114 TAZ66114 TKV66114 TUR66114 UEN66114 UOJ66114 UYF66114 VIB66114 VRX66114 WBT66114 WLP66114 WVL66114 D131650 IZ131650 SV131650 ACR131650 AMN131650 AWJ131650 BGF131650 BQB131650 BZX131650 CJT131650 CTP131650 DDL131650 DNH131650 DXD131650 EGZ131650 EQV131650 FAR131650 FKN131650 FUJ131650 GEF131650 GOB131650 GXX131650 HHT131650 HRP131650 IBL131650 ILH131650 IVD131650 JEZ131650 JOV131650 JYR131650 KIN131650 KSJ131650 LCF131650 LMB131650 LVX131650 MFT131650 MPP131650 MZL131650 NJH131650 NTD131650 OCZ131650 OMV131650 OWR131650 PGN131650 PQJ131650 QAF131650 QKB131650 QTX131650 RDT131650 RNP131650 RXL131650 SHH131650 SRD131650 TAZ131650 TKV131650 TUR131650 UEN131650 UOJ131650 UYF131650 VIB131650 VRX131650 WBT131650 WLP131650 WVL131650 D197186 IZ197186 SV197186 ACR197186 AMN197186 AWJ197186 BGF197186 BQB197186 BZX197186 CJT197186 CTP197186 DDL197186 DNH197186 DXD197186 EGZ197186 EQV197186 FAR197186 FKN197186 FUJ197186 GEF197186 GOB197186 GXX197186 HHT197186 HRP197186 IBL197186 ILH197186 IVD197186 JEZ197186 JOV197186 JYR197186 KIN197186 KSJ197186 LCF197186 LMB197186 LVX197186 MFT197186 MPP197186 MZL197186 NJH197186 NTD197186 OCZ197186 OMV197186 OWR197186 PGN197186 PQJ197186 QAF197186 QKB197186 QTX197186 RDT197186 RNP197186 RXL197186 SHH197186 SRD197186 TAZ197186 TKV197186 TUR197186 UEN197186 UOJ197186 UYF197186 VIB197186 VRX197186 WBT197186 WLP197186 WVL197186 D262722 IZ262722 SV262722 ACR262722 AMN262722 AWJ262722 BGF262722 BQB262722 BZX262722 CJT262722 CTP262722 DDL262722 DNH262722 DXD262722 EGZ262722 EQV262722 FAR262722 FKN262722 FUJ262722 GEF262722 GOB262722 GXX262722 HHT262722 HRP262722 IBL262722 ILH262722 IVD262722 JEZ262722 JOV262722 JYR262722 KIN262722 KSJ262722 LCF262722 LMB262722 LVX262722 MFT262722 MPP262722 MZL262722 NJH262722 NTD262722 OCZ262722 OMV262722 OWR262722 PGN262722 PQJ262722 QAF262722 QKB262722 QTX262722 RDT262722 RNP262722 RXL262722 SHH262722 SRD262722 TAZ262722 TKV262722 TUR262722 UEN262722 UOJ262722 UYF262722 VIB262722 VRX262722 WBT262722 WLP262722 WVL262722 D328258 IZ328258 SV328258 ACR328258 AMN328258 AWJ328258 BGF328258 BQB328258 BZX328258 CJT328258 CTP328258 DDL328258 DNH328258 DXD328258 EGZ328258 EQV328258 FAR328258 FKN328258 FUJ328258 GEF328258 GOB328258 GXX328258 HHT328258 HRP328258 IBL328258 ILH328258 IVD328258 JEZ328258 JOV328258 JYR328258 KIN328258 KSJ328258 LCF328258 LMB328258 LVX328258 MFT328258 MPP328258 MZL328258 NJH328258 NTD328258 OCZ328258 OMV328258 OWR328258 PGN328258 PQJ328258 QAF328258 QKB328258 QTX328258 RDT328258 RNP328258 RXL328258 SHH328258 SRD328258 TAZ328258 TKV328258 TUR328258 UEN328258 UOJ328258 UYF328258 VIB328258 VRX328258 WBT328258 WLP328258 WVL328258 D393794 IZ393794 SV393794 ACR393794 AMN393794 AWJ393794 BGF393794 BQB393794 BZX393794 CJT393794 CTP393794 DDL393794 DNH393794 DXD393794 EGZ393794 EQV393794 FAR393794 FKN393794 FUJ393794 GEF393794 GOB393794 GXX393794 HHT393794 HRP393794 IBL393794 ILH393794 IVD393794 JEZ393794 JOV393794 JYR393794 KIN393794 KSJ393794 LCF393794 LMB393794 LVX393794 MFT393794 MPP393794 MZL393794 NJH393794 NTD393794 OCZ393794 OMV393794 OWR393794 PGN393794 PQJ393794 QAF393794 QKB393794 QTX393794 RDT393794 RNP393794 RXL393794 SHH393794 SRD393794 TAZ393794 TKV393794 TUR393794 UEN393794 UOJ393794 UYF393794 VIB393794 VRX393794 WBT393794 WLP393794 WVL393794 D459330 IZ459330 SV459330 ACR459330 AMN459330 AWJ459330 BGF459330 BQB459330 BZX459330 CJT459330 CTP459330 DDL459330 DNH459330 DXD459330 EGZ459330 EQV459330 FAR459330 FKN459330 FUJ459330 GEF459330 GOB459330 GXX459330 HHT459330 HRP459330 IBL459330 ILH459330 IVD459330 JEZ459330 JOV459330 JYR459330 KIN459330 KSJ459330 LCF459330 LMB459330 LVX459330 MFT459330 MPP459330 MZL459330 NJH459330 NTD459330 OCZ459330 OMV459330 OWR459330 PGN459330 PQJ459330 QAF459330 QKB459330 QTX459330 RDT459330 RNP459330 RXL459330 SHH459330 SRD459330 TAZ459330 TKV459330 TUR459330 UEN459330 UOJ459330 UYF459330 VIB459330 VRX459330 WBT459330 WLP459330 WVL459330 D524866 IZ524866 SV524866 ACR524866 AMN524866 AWJ524866 BGF524866 BQB524866 BZX524866 CJT524866 CTP524866 DDL524866 DNH524866 DXD524866 EGZ524866 EQV524866 FAR524866 FKN524866 FUJ524866 GEF524866 GOB524866 GXX524866 HHT524866 HRP524866 IBL524866 ILH524866 IVD524866 JEZ524866 JOV524866 JYR524866 KIN524866 KSJ524866 LCF524866 LMB524866 LVX524866 MFT524866 MPP524866 MZL524866 NJH524866 NTD524866 OCZ524866 OMV524866 OWR524866 PGN524866 PQJ524866 QAF524866 QKB524866 QTX524866 RDT524866 RNP524866 RXL524866 SHH524866 SRD524866 TAZ524866 TKV524866 TUR524866 UEN524866 UOJ524866 UYF524866 VIB524866 VRX524866 WBT524866 WLP524866 WVL524866 D590402 IZ590402 SV590402 ACR590402 AMN590402 AWJ590402 BGF590402 BQB590402 BZX590402 CJT590402 CTP590402 DDL590402 DNH590402 DXD590402 EGZ590402 EQV590402 FAR590402 FKN590402 FUJ590402 GEF590402 GOB590402 GXX590402 HHT590402 HRP590402 IBL590402 ILH590402 IVD590402 JEZ590402 JOV590402 JYR590402 KIN590402 KSJ590402 LCF590402 LMB590402 LVX590402 MFT590402 MPP590402 MZL590402 NJH590402 NTD590402 OCZ590402 OMV590402 OWR590402 PGN590402 PQJ590402 QAF590402 QKB590402 QTX590402 RDT590402 RNP590402 RXL590402 SHH590402 SRD590402 TAZ590402 TKV590402 TUR590402 UEN590402 UOJ590402 UYF590402 VIB590402 VRX590402 WBT590402 WLP590402 WVL590402 D655938 IZ655938 SV655938 ACR655938 AMN655938 AWJ655938 BGF655938 BQB655938 BZX655938 CJT655938 CTP655938 DDL655938 DNH655938 DXD655938 EGZ655938 EQV655938 FAR655938 FKN655938 FUJ655938 GEF655938 GOB655938 GXX655938 HHT655938 HRP655938 IBL655938 ILH655938 IVD655938 JEZ655938 JOV655938 JYR655938 KIN655938 KSJ655938 LCF655938 LMB655938 LVX655938 MFT655938 MPP655938 MZL655938 NJH655938 NTD655938 OCZ655938 OMV655938 OWR655938 PGN655938 PQJ655938 QAF655938 QKB655938 QTX655938 RDT655938 RNP655938 RXL655938 SHH655938 SRD655938 TAZ655938 TKV655938 TUR655938 UEN655938 UOJ655938 UYF655938 VIB655938 VRX655938 WBT655938 WLP655938 WVL655938 D721474 IZ721474 SV721474 ACR721474 AMN721474 AWJ721474 BGF721474 BQB721474 BZX721474 CJT721474 CTP721474 DDL721474 DNH721474 DXD721474 EGZ721474 EQV721474 FAR721474 FKN721474 FUJ721474 GEF721474 GOB721474 GXX721474 HHT721474 HRP721474 IBL721474 ILH721474 IVD721474 JEZ721474 JOV721474 JYR721474 KIN721474 KSJ721474 LCF721474 LMB721474 LVX721474 MFT721474 MPP721474 MZL721474 NJH721474 NTD721474 OCZ721474 OMV721474 OWR721474 PGN721474 PQJ721474 QAF721474 QKB721474 QTX721474 RDT721474 RNP721474 RXL721474 SHH721474 SRD721474 TAZ721474 TKV721474 TUR721474 UEN721474 UOJ721474 UYF721474 VIB721474 VRX721474 WBT721474 WLP721474 WVL721474 D787010 IZ787010 SV787010 ACR787010 AMN787010 AWJ787010 BGF787010 BQB787010 BZX787010 CJT787010 CTP787010 DDL787010 DNH787010 DXD787010 EGZ787010 EQV787010 FAR787010 FKN787010 FUJ787010 GEF787010 GOB787010 GXX787010 HHT787010 HRP787010 IBL787010 ILH787010 IVD787010 JEZ787010 JOV787010 JYR787010 KIN787010 KSJ787010 LCF787010 LMB787010 LVX787010 MFT787010 MPP787010 MZL787010 NJH787010 NTD787010 OCZ787010 OMV787010 OWR787010 PGN787010 PQJ787010 QAF787010 QKB787010 QTX787010 RDT787010 RNP787010 RXL787010 SHH787010 SRD787010 TAZ787010 TKV787010 TUR787010 UEN787010 UOJ787010 UYF787010 VIB787010 VRX787010 WBT787010 WLP787010 WVL787010 D852546 IZ852546 SV852546 ACR852546 AMN852546 AWJ852546 BGF852546 BQB852546 BZX852546 CJT852546 CTP852546 DDL852546 DNH852546 DXD852546 EGZ852546 EQV852546 FAR852546 FKN852546 FUJ852546 GEF852546 GOB852546 GXX852546 HHT852546 HRP852546 IBL852546 ILH852546 IVD852546 JEZ852546 JOV852546 JYR852546 KIN852546 KSJ852546 LCF852546 LMB852546 LVX852546 MFT852546 MPP852546 MZL852546 NJH852546 NTD852546 OCZ852546 OMV852546 OWR852546 PGN852546 PQJ852546 QAF852546 QKB852546 QTX852546 RDT852546 RNP852546 RXL852546 SHH852546 SRD852546 TAZ852546 TKV852546 TUR852546 UEN852546 UOJ852546 UYF852546 VIB852546 VRX852546 WBT852546 WLP852546 WVL852546 D918082 IZ918082 SV918082 ACR918082 AMN918082 AWJ918082 BGF918082 BQB918082 BZX918082 CJT918082 CTP918082 DDL918082 DNH918082 DXD918082 EGZ918082 EQV918082 FAR918082 FKN918082 FUJ918082 GEF918082 GOB918082 GXX918082 HHT918082 HRP918082 IBL918082 ILH918082 IVD918082 JEZ918082 JOV918082 JYR918082 KIN918082 KSJ918082 LCF918082 LMB918082 LVX918082 MFT918082 MPP918082 MZL918082 NJH918082 NTD918082 OCZ918082 OMV918082 OWR918082 PGN918082 PQJ918082 QAF918082 QKB918082 QTX918082 RDT918082 RNP918082 RXL918082 SHH918082 SRD918082 TAZ918082 TKV918082 TUR918082 UEN918082 UOJ918082 UYF918082 VIB918082 VRX918082 WBT918082 WLP918082 WVL918082 D983618 IZ983618 SV983618 ACR983618 AMN983618 AWJ983618 BGF983618 BQB983618 BZX983618 CJT983618 CTP983618 DDL983618 DNH983618 DXD983618 EGZ983618 EQV983618 FAR983618 FKN983618 FUJ983618 GEF983618 GOB983618 GXX983618 HHT983618 HRP983618 IBL983618 ILH983618 IVD983618 JEZ983618 JOV983618 JYR983618 KIN983618 KSJ983618 LCF983618 LMB983618 LVX983618 MFT983618 MPP983618 MZL983618 NJH983618 NTD983618 OCZ983618 OMV983618 OWR983618 PGN983618 PQJ983618 QAF983618 QKB983618 QTX983618 RDT983618 RNP983618 RXL983618 SHH983618 SRD983618 TAZ983618 TKV983618 TUR983618 UEN983618 UOJ983618 UYF983618 VIB983618 VRX983618 WBT983618 WLP983618 WVL983618 D274 IZ274 SV274 ACR274 AMN274 AWJ274 BGF274 BQB274 BZX274 CJT274 CTP274 DDL274 DNH274 DXD274 EGZ274 EQV274 FAR274 FKN274 FUJ274 GEF274 GOB274 GXX274 HHT274 HRP274 IBL274 ILH274 IVD274 JEZ274 JOV274 JYR274 KIN274 KSJ274 LCF274 LMB274 LVX274 MFT274 MPP274 MZL274 NJH274 NTD274 OCZ274 OMV274 OWR274 PGN274 PQJ274 QAF274 QKB274 QTX274 RDT274 RNP274 RXL274 SHH274 SRD274 TAZ274 TKV274 TUR274 UEN274 UOJ274 UYF274 VIB274 VRX274 WBT274 WLP274 WVL274 D65810 IZ65810 SV65810 ACR65810 AMN65810 AWJ65810 BGF65810 BQB65810 BZX65810 CJT65810 CTP65810 DDL65810 DNH65810 DXD65810 EGZ65810 EQV65810 FAR65810 FKN65810 FUJ65810 GEF65810 GOB65810 GXX65810 HHT65810 HRP65810 IBL65810 ILH65810 IVD65810 JEZ65810 JOV65810 JYR65810 KIN65810 KSJ65810 LCF65810 LMB65810 LVX65810 MFT65810 MPP65810 MZL65810 NJH65810 NTD65810 OCZ65810 OMV65810 OWR65810 PGN65810 PQJ65810 QAF65810 QKB65810 QTX65810 RDT65810 RNP65810 RXL65810 SHH65810 SRD65810 TAZ65810 TKV65810 TUR65810 UEN65810 UOJ65810 UYF65810 VIB65810 VRX65810 WBT65810 WLP65810 WVL65810 D131346 IZ131346 SV131346 ACR131346 AMN131346 AWJ131346 BGF131346 BQB131346 BZX131346 CJT131346 CTP131346 DDL131346 DNH131346 DXD131346 EGZ131346 EQV131346 FAR131346 FKN131346 FUJ131346 GEF131346 GOB131346 GXX131346 HHT131346 HRP131346 IBL131346 ILH131346 IVD131346 JEZ131346 JOV131346 JYR131346 KIN131346 KSJ131346 LCF131346 LMB131346 LVX131346 MFT131346 MPP131346 MZL131346 NJH131346 NTD131346 OCZ131346 OMV131346 OWR131346 PGN131346 PQJ131346 QAF131346 QKB131346 QTX131346 RDT131346 RNP131346 RXL131346 SHH131346 SRD131346 TAZ131346 TKV131346 TUR131346 UEN131346 UOJ131346 UYF131346 VIB131346 VRX131346 WBT131346 WLP131346 WVL131346 D196882 IZ196882 SV196882 ACR196882 AMN196882 AWJ196882 BGF196882 BQB196882 BZX196882 CJT196882 CTP196882 DDL196882 DNH196882 DXD196882 EGZ196882 EQV196882 FAR196882 FKN196882 FUJ196882 GEF196882 GOB196882 GXX196882 HHT196882 HRP196882 IBL196882 ILH196882 IVD196882 JEZ196882 JOV196882 JYR196882 KIN196882 KSJ196882 LCF196882 LMB196882 LVX196882 MFT196882 MPP196882 MZL196882 NJH196882 NTD196882 OCZ196882 OMV196882 OWR196882 PGN196882 PQJ196882 QAF196882 QKB196882 QTX196882 RDT196882 RNP196882 RXL196882 SHH196882 SRD196882 TAZ196882 TKV196882 TUR196882 UEN196882 UOJ196882 UYF196882 VIB196882 VRX196882 WBT196882 WLP196882 WVL196882 D262418 IZ262418 SV262418 ACR262418 AMN262418 AWJ262418 BGF262418 BQB262418 BZX262418 CJT262418 CTP262418 DDL262418 DNH262418 DXD262418 EGZ262418 EQV262418 FAR262418 FKN262418 FUJ262418 GEF262418 GOB262418 GXX262418 HHT262418 HRP262418 IBL262418 ILH262418 IVD262418 JEZ262418 JOV262418 JYR262418 KIN262418 KSJ262418 LCF262418 LMB262418 LVX262418 MFT262418 MPP262418 MZL262418 NJH262418 NTD262418 OCZ262418 OMV262418 OWR262418 PGN262418 PQJ262418 QAF262418 QKB262418 QTX262418 RDT262418 RNP262418 RXL262418 SHH262418 SRD262418 TAZ262418 TKV262418 TUR262418 UEN262418 UOJ262418 UYF262418 VIB262418 VRX262418 WBT262418 WLP262418 WVL262418 D327954 IZ327954 SV327954 ACR327954 AMN327954 AWJ327954 BGF327954 BQB327954 BZX327954 CJT327954 CTP327954 DDL327954 DNH327954 DXD327954 EGZ327954 EQV327954 FAR327954 FKN327954 FUJ327954 GEF327954 GOB327954 GXX327954 HHT327954 HRP327954 IBL327954 ILH327954 IVD327954 JEZ327954 JOV327954 JYR327954 KIN327954 KSJ327954 LCF327954 LMB327954 LVX327954 MFT327954 MPP327954 MZL327954 NJH327954 NTD327954 OCZ327954 OMV327954 OWR327954 PGN327954 PQJ327954 QAF327954 QKB327954 QTX327954 RDT327954 RNP327954 RXL327954 SHH327954 SRD327954 TAZ327954 TKV327954 TUR327954 UEN327954 UOJ327954 UYF327954 VIB327954 VRX327954 WBT327954 WLP327954 WVL327954 D393490 IZ393490 SV393490 ACR393490 AMN393490 AWJ393490 BGF393490 BQB393490 BZX393490 CJT393490 CTP393490 DDL393490 DNH393490 DXD393490 EGZ393490 EQV393490 FAR393490 FKN393490 FUJ393490 GEF393490 GOB393490 GXX393490 HHT393490 HRP393490 IBL393490 ILH393490 IVD393490 JEZ393490 JOV393490 JYR393490 KIN393490 KSJ393490 LCF393490 LMB393490 LVX393490 MFT393490 MPP393490 MZL393490 NJH393490 NTD393490 OCZ393490 OMV393490 OWR393490 PGN393490 PQJ393490 QAF393490 QKB393490 QTX393490 RDT393490 RNP393490 RXL393490 SHH393490 SRD393490 TAZ393490 TKV393490 TUR393490 UEN393490 UOJ393490 UYF393490 VIB393490 VRX393490 WBT393490 WLP393490 WVL393490 D459026 IZ459026 SV459026 ACR459026 AMN459026 AWJ459026 BGF459026 BQB459026 BZX459026 CJT459026 CTP459026 DDL459026 DNH459026 DXD459026 EGZ459026 EQV459026 FAR459026 FKN459026 FUJ459026 GEF459026 GOB459026 GXX459026 HHT459026 HRP459026 IBL459026 ILH459026 IVD459026 JEZ459026 JOV459026 JYR459026 KIN459026 KSJ459026 LCF459026 LMB459026 LVX459026 MFT459026 MPP459026 MZL459026 NJH459026 NTD459026 OCZ459026 OMV459026 OWR459026 PGN459026 PQJ459026 QAF459026 QKB459026 QTX459026 RDT459026 RNP459026 RXL459026 SHH459026 SRD459026 TAZ459026 TKV459026 TUR459026 UEN459026 UOJ459026 UYF459026 VIB459026 VRX459026 WBT459026 WLP459026 WVL459026 D524562 IZ524562 SV524562 ACR524562 AMN524562 AWJ524562 BGF524562 BQB524562 BZX524562 CJT524562 CTP524562 DDL524562 DNH524562 DXD524562 EGZ524562 EQV524562 FAR524562 FKN524562 FUJ524562 GEF524562 GOB524562 GXX524562 HHT524562 HRP524562 IBL524562 ILH524562 IVD524562 JEZ524562 JOV524562 JYR524562 KIN524562 KSJ524562 LCF524562 LMB524562 LVX524562 MFT524562 MPP524562 MZL524562 NJH524562 NTD524562 OCZ524562 OMV524562 OWR524562 PGN524562 PQJ524562 QAF524562 QKB524562 QTX524562 RDT524562 RNP524562 RXL524562 SHH524562 SRD524562 TAZ524562 TKV524562 TUR524562 UEN524562 UOJ524562 UYF524562 VIB524562 VRX524562 WBT524562 WLP524562 WVL524562 D590098 IZ590098 SV590098 ACR590098 AMN590098 AWJ590098 BGF590098 BQB590098 BZX590098 CJT590098 CTP590098 DDL590098 DNH590098 DXD590098 EGZ590098 EQV590098 FAR590098 FKN590098 FUJ590098 GEF590098 GOB590098 GXX590098 HHT590098 HRP590098 IBL590098 ILH590098 IVD590098 JEZ590098 JOV590098 JYR590098 KIN590098 KSJ590098 LCF590098 LMB590098 LVX590098 MFT590098 MPP590098 MZL590098 NJH590098 NTD590098 OCZ590098 OMV590098 OWR590098 PGN590098 PQJ590098 QAF590098 QKB590098 QTX590098 RDT590098 RNP590098 RXL590098 SHH590098 SRD590098 TAZ590098 TKV590098 TUR590098 UEN590098 UOJ590098 UYF590098 VIB590098 VRX590098 WBT590098 WLP590098 WVL590098 D655634 IZ655634 SV655634 ACR655634 AMN655634 AWJ655634 BGF655634 BQB655634 BZX655634 CJT655634 CTP655634 DDL655634 DNH655634 DXD655634 EGZ655634 EQV655634 FAR655634 FKN655634 FUJ655634 GEF655634 GOB655634 GXX655634 HHT655634 HRP655634 IBL655634 ILH655634 IVD655634 JEZ655634 JOV655634 JYR655634 KIN655634 KSJ655634 LCF655634 LMB655634 LVX655634 MFT655634 MPP655634 MZL655634 NJH655634 NTD655634 OCZ655634 OMV655634 OWR655634 PGN655634 PQJ655634 QAF655634 QKB655634 QTX655634 RDT655634 RNP655634 RXL655634 SHH655634 SRD655634 TAZ655634 TKV655634 TUR655634 UEN655634 UOJ655634 UYF655634 VIB655634 VRX655634 WBT655634 WLP655634 WVL655634 D721170 IZ721170 SV721170 ACR721170 AMN721170 AWJ721170 BGF721170 BQB721170 BZX721170 CJT721170 CTP721170 DDL721170 DNH721170 DXD721170 EGZ721170 EQV721170 FAR721170 FKN721170 FUJ721170 GEF721170 GOB721170 GXX721170 HHT721170 HRP721170 IBL721170 ILH721170 IVD721170 JEZ721170 JOV721170 JYR721170 KIN721170 KSJ721170 LCF721170 LMB721170 LVX721170 MFT721170 MPP721170 MZL721170 NJH721170 NTD721170 OCZ721170 OMV721170 OWR721170 PGN721170 PQJ721170 QAF721170 QKB721170 QTX721170 RDT721170 RNP721170 RXL721170 SHH721170 SRD721170 TAZ721170 TKV721170 TUR721170 UEN721170 UOJ721170 UYF721170 VIB721170 VRX721170 WBT721170 WLP721170 WVL721170 D786706 IZ786706 SV786706 ACR786706 AMN786706 AWJ786706 BGF786706 BQB786706 BZX786706 CJT786706 CTP786706 DDL786706 DNH786706 DXD786706 EGZ786706 EQV786706 FAR786706 FKN786706 FUJ786706 GEF786706 GOB786706 GXX786706 HHT786706 HRP786706 IBL786706 ILH786706 IVD786706 JEZ786706 JOV786706 JYR786706 KIN786706 KSJ786706 LCF786706 LMB786706 LVX786706 MFT786706 MPP786706 MZL786706 NJH786706 NTD786706 OCZ786706 OMV786706 OWR786706 PGN786706 PQJ786706 QAF786706 QKB786706 QTX786706 RDT786706 RNP786706 RXL786706 SHH786706 SRD786706 TAZ786706 TKV786706 TUR786706 UEN786706 UOJ786706 UYF786706 VIB786706 VRX786706 WBT786706 WLP786706 WVL786706 D852242 IZ852242 SV852242 ACR852242 AMN852242 AWJ852242 BGF852242 BQB852242 BZX852242 CJT852242 CTP852242 DDL852242 DNH852242 DXD852242 EGZ852242 EQV852242 FAR852242 FKN852242 FUJ852242 GEF852242 GOB852242 GXX852242 HHT852242 HRP852242 IBL852242 ILH852242 IVD852242 JEZ852242 JOV852242 JYR852242 KIN852242 KSJ852242 LCF852242 LMB852242 LVX852242 MFT852242 MPP852242 MZL852242 NJH852242 NTD852242 OCZ852242 OMV852242 OWR852242 PGN852242 PQJ852242 QAF852242 QKB852242 QTX852242 RDT852242 RNP852242 RXL852242 SHH852242 SRD852242 TAZ852242 TKV852242 TUR852242 UEN852242 UOJ852242 UYF852242 VIB852242 VRX852242 WBT852242 WLP852242 WVL852242 D917778 IZ917778 SV917778 ACR917778 AMN917778 AWJ917778 BGF917778 BQB917778 BZX917778 CJT917778 CTP917778 DDL917778 DNH917778 DXD917778 EGZ917778 EQV917778 FAR917778 FKN917778 FUJ917778 GEF917778 GOB917778 GXX917778 HHT917778 HRP917778 IBL917778 ILH917778 IVD917778 JEZ917778 JOV917778 JYR917778 KIN917778 KSJ917778 LCF917778 LMB917778 LVX917778 MFT917778 MPP917778 MZL917778 NJH917778 NTD917778 OCZ917778 OMV917778 OWR917778 PGN917778 PQJ917778 QAF917778 QKB917778 QTX917778 RDT917778 RNP917778 RXL917778 SHH917778 SRD917778 TAZ917778 TKV917778 TUR917778 UEN917778 UOJ917778 UYF917778 VIB917778 VRX917778 WBT917778 WLP917778 WVL917778 D983314 IZ983314 SV983314 ACR983314 AMN983314 AWJ983314 BGF983314 BQB983314 BZX983314 CJT983314 CTP983314 DDL983314 DNH983314 DXD983314 EGZ983314 EQV983314 FAR983314 FKN983314 FUJ983314 GEF983314 GOB983314 GXX983314 HHT983314 HRP983314 IBL983314 ILH983314 IVD983314 JEZ983314 JOV983314 JYR983314 KIN983314 KSJ983314 LCF983314 LMB983314 LVX983314 MFT983314 MPP983314 MZL983314 NJH983314 NTD983314 OCZ983314 OMV983314 OWR983314 PGN983314 PQJ983314 QAF983314 QKB983314 QTX983314 RDT983314 RNP983314 RXL983314 SHH983314 SRD983314 TAZ983314 TKV983314 TUR983314 UEN983314 UOJ983314 UYF983314 VIB983314 VRX983314 WBT983314 WLP983314 WVL983314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2:D65543 IZ65542:IZ65543 SV65542:SV65543 ACR65542:ACR65543 AMN65542:AMN65543 AWJ65542:AWJ65543 BGF65542:BGF65543 BQB65542:BQB65543 BZX65542:BZX65543 CJT65542:CJT65543 CTP65542:CTP65543 DDL65542:DDL65543 DNH65542:DNH65543 DXD65542:DXD65543 EGZ65542:EGZ65543 EQV65542:EQV65543 FAR65542:FAR65543 FKN65542:FKN65543 FUJ65542:FUJ65543 GEF65542:GEF65543 GOB65542:GOB65543 GXX65542:GXX65543 HHT65542:HHT65543 HRP65542:HRP65543 IBL65542:IBL65543 ILH65542:ILH65543 IVD65542:IVD65543 JEZ65542:JEZ65543 JOV65542:JOV65543 JYR65542:JYR65543 KIN65542:KIN65543 KSJ65542:KSJ65543 LCF65542:LCF65543 LMB65542:LMB65543 LVX65542:LVX65543 MFT65542:MFT65543 MPP65542:MPP65543 MZL65542:MZL65543 NJH65542:NJH65543 NTD65542:NTD65543 OCZ65542:OCZ65543 OMV65542:OMV65543 OWR65542:OWR65543 PGN65542:PGN65543 PQJ65542:PQJ65543 QAF65542:QAF65543 QKB65542:QKB65543 QTX65542:QTX65543 RDT65542:RDT65543 RNP65542:RNP65543 RXL65542:RXL65543 SHH65542:SHH65543 SRD65542:SRD65543 TAZ65542:TAZ65543 TKV65542:TKV65543 TUR65542:TUR65543 UEN65542:UEN65543 UOJ65542:UOJ65543 UYF65542:UYF65543 VIB65542:VIB65543 VRX65542:VRX65543 WBT65542:WBT65543 WLP65542:WLP65543 WVL65542:WVL65543 D131078:D131079 IZ131078:IZ131079 SV131078:SV131079 ACR131078:ACR131079 AMN131078:AMN131079 AWJ131078:AWJ131079 BGF131078:BGF131079 BQB131078:BQB131079 BZX131078:BZX131079 CJT131078:CJT131079 CTP131078:CTP131079 DDL131078:DDL131079 DNH131078:DNH131079 DXD131078:DXD131079 EGZ131078:EGZ131079 EQV131078:EQV131079 FAR131078:FAR131079 FKN131078:FKN131079 FUJ131078:FUJ131079 GEF131078:GEF131079 GOB131078:GOB131079 GXX131078:GXX131079 HHT131078:HHT131079 HRP131078:HRP131079 IBL131078:IBL131079 ILH131078:ILH131079 IVD131078:IVD131079 JEZ131078:JEZ131079 JOV131078:JOV131079 JYR131078:JYR131079 KIN131078:KIN131079 KSJ131078:KSJ131079 LCF131078:LCF131079 LMB131078:LMB131079 LVX131078:LVX131079 MFT131078:MFT131079 MPP131078:MPP131079 MZL131078:MZL131079 NJH131078:NJH131079 NTD131078:NTD131079 OCZ131078:OCZ131079 OMV131078:OMV131079 OWR131078:OWR131079 PGN131078:PGN131079 PQJ131078:PQJ131079 QAF131078:QAF131079 QKB131078:QKB131079 QTX131078:QTX131079 RDT131078:RDT131079 RNP131078:RNP131079 RXL131078:RXL131079 SHH131078:SHH131079 SRD131078:SRD131079 TAZ131078:TAZ131079 TKV131078:TKV131079 TUR131078:TUR131079 UEN131078:UEN131079 UOJ131078:UOJ131079 UYF131078:UYF131079 VIB131078:VIB131079 VRX131078:VRX131079 WBT131078:WBT131079 WLP131078:WLP131079 WVL131078:WVL131079 D196614:D196615 IZ196614:IZ196615 SV196614:SV196615 ACR196614:ACR196615 AMN196614:AMN196615 AWJ196614:AWJ196615 BGF196614:BGF196615 BQB196614:BQB196615 BZX196614:BZX196615 CJT196614:CJT196615 CTP196614:CTP196615 DDL196614:DDL196615 DNH196614:DNH196615 DXD196614:DXD196615 EGZ196614:EGZ196615 EQV196614:EQV196615 FAR196614:FAR196615 FKN196614:FKN196615 FUJ196614:FUJ196615 GEF196614:GEF196615 GOB196614:GOB196615 GXX196614:GXX196615 HHT196614:HHT196615 HRP196614:HRP196615 IBL196614:IBL196615 ILH196614:ILH196615 IVD196614:IVD196615 JEZ196614:JEZ196615 JOV196614:JOV196615 JYR196614:JYR196615 KIN196614:KIN196615 KSJ196614:KSJ196615 LCF196614:LCF196615 LMB196614:LMB196615 LVX196614:LVX196615 MFT196614:MFT196615 MPP196614:MPP196615 MZL196614:MZL196615 NJH196614:NJH196615 NTD196614:NTD196615 OCZ196614:OCZ196615 OMV196614:OMV196615 OWR196614:OWR196615 PGN196614:PGN196615 PQJ196614:PQJ196615 QAF196614:QAF196615 QKB196614:QKB196615 QTX196614:QTX196615 RDT196614:RDT196615 RNP196614:RNP196615 RXL196614:RXL196615 SHH196614:SHH196615 SRD196614:SRD196615 TAZ196614:TAZ196615 TKV196614:TKV196615 TUR196614:TUR196615 UEN196614:UEN196615 UOJ196614:UOJ196615 UYF196614:UYF196615 VIB196614:VIB196615 VRX196614:VRX196615 WBT196614:WBT196615 WLP196614:WLP196615 WVL196614:WVL196615 D262150:D262151 IZ262150:IZ262151 SV262150:SV262151 ACR262150:ACR262151 AMN262150:AMN262151 AWJ262150:AWJ262151 BGF262150:BGF262151 BQB262150:BQB262151 BZX262150:BZX262151 CJT262150:CJT262151 CTP262150:CTP262151 DDL262150:DDL262151 DNH262150:DNH262151 DXD262150:DXD262151 EGZ262150:EGZ262151 EQV262150:EQV262151 FAR262150:FAR262151 FKN262150:FKN262151 FUJ262150:FUJ262151 GEF262150:GEF262151 GOB262150:GOB262151 GXX262150:GXX262151 HHT262150:HHT262151 HRP262150:HRP262151 IBL262150:IBL262151 ILH262150:ILH262151 IVD262150:IVD262151 JEZ262150:JEZ262151 JOV262150:JOV262151 JYR262150:JYR262151 KIN262150:KIN262151 KSJ262150:KSJ262151 LCF262150:LCF262151 LMB262150:LMB262151 LVX262150:LVX262151 MFT262150:MFT262151 MPP262150:MPP262151 MZL262150:MZL262151 NJH262150:NJH262151 NTD262150:NTD262151 OCZ262150:OCZ262151 OMV262150:OMV262151 OWR262150:OWR262151 PGN262150:PGN262151 PQJ262150:PQJ262151 QAF262150:QAF262151 QKB262150:QKB262151 QTX262150:QTX262151 RDT262150:RDT262151 RNP262150:RNP262151 RXL262150:RXL262151 SHH262150:SHH262151 SRD262150:SRD262151 TAZ262150:TAZ262151 TKV262150:TKV262151 TUR262150:TUR262151 UEN262150:UEN262151 UOJ262150:UOJ262151 UYF262150:UYF262151 VIB262150:VIB262151 VRX262150:VRX262151 WBT262150:WBT262151 WLP262150:WLP262151 WVL262150:WVL262151 D327686:D327687 IZ327686:IZ327687 SV327686:SV327687 ACR327686:ACR327687 AMN327686:AMN327687 AWJ327686:AWJ327687 BGF327686:BGF327687 BQB327686:BQB327687 BZX327686:BZX327687 CJT327686:CJT327687 CTP327686:CTP327687 DDL327686:DDL327687 DNH327686:DNH327687 DXD327686:DXD327687 EGZ327686:EGZ327687 EQV327686:EQV327687 FAR327686:FAR327687 FKN327686:FKN327687 FUJ327686:FUJ327687 GEF327686:GEF327687 GOB327686:GOB327687 GXX327686:GXX327687 HHT327686:HHT327687 HRP327686:HRP327687 IBL327686:IBL327687 ILH327686:ILH327687 IVD327686:IVD327687 JEZ327686:JEZ327687 JOV327686:JOV327687 JYR327686:JYR327687 KIN327686:KIN327687 KSJ327686:KSJ327687 LCF327686:LCF327687 LMB327686:LMB327687 LVX327686:LVX327687 MFT327686:MFT327687 MPP327686:MPP327687 MZL327686:MZL327687 NJH327686:NJH327687 NTD327686:NTD327687 OCZ327686:OCZ327687 OMV327686:OMV327687 OWR327686:OWR327687 PGN327686:PGN327687 PQJ327686:PQJ327687 QAF327686:QAF327687 QKB327686:QKB327687 QTX327686:QTX327687 RDT327686:RDT327687 RNP327686:RNP327687 RXL327686:RXL327687 SHH327686:SHH327687 SRD327686:SRD327687 TAZ327686:TAZ327687 TKV327686:TKV327687 TUR327686:TUR327687 UEN327686:UEN327687 UOJ327686:UOJ327687 UYF327686:UYF327687 VIB327686:VIB327687 VRX327686:VRX327687 WBT327686:WBT327687 WLP327686:WLP327687 WVL327686:WVL327687 D393222:D393223 IZ393222:IZ393223 SV393222:SV393223 ACR393222:ACR393223 AMN393222:AMN393223 AWJ393222:AWJ393223 BGF393222:BGF393223 BQB393222:BQB393223 BZX393222:BZX393223 CJT393222:CJT393223 CTP393222:CTP393223 DDL393222:DDL393223 DNH393222:DNH393223 DXD393222:DXD393223 EGZ393222:EGZ393223 EQV393222:EQV393223 FAR393222:FAR393223 FKN393222:FKN393223 FUJ393222:FUJ393223 GEF393222:GEF393223 GOB393222:GOB393223 GXX393222:GXX393223 HHT393222:HHT393223 HRP393222:HRP393223 IBL393222:IBL393223 ILH393222:ILH393223 IVD393222:IVD393223 JEZ393222:JEZ393223 JOV393222:JOV393223 JYR393222:JYR393223 KIN393222:KIN393223 KSJ393222:KSJ393223 LCF393222:LCF393223 LMB393222:LMB393223 LVX393222:LVX393223 MFT393222:MFT393223 MPP393222:MPP393223 MZL393222:MZL393223 NJH393222:NJH393223 NTD393222:NTD393223 OCZ393222:OCZ393223 OMV393222:OMV393223 OWR393222:OWR393223 PGN393222:PGN393223 PQJ393222:PQJ393223 QAF393222:QAF393223 QKB393222:QKB393223 QTX393222:QTX393223 RDT393222:RDT393223 RNP393222:RNP393223 RXL393222:RXL393223 SHH393222:SHH393223 SRD393222:SRD393223 TAZ393222:TAZ393223 TKV393222:TKV393223 TUR393222:TUR393223 UEN393222:UEN393223 UOJ393222:UOJ393223 UYF393222:UYF393223 VIB393222:VIB393223 VRX393222:VRX393223 WBT393222:WBT393223 WLP393222:WLP393223 WVL393222:WVL393223 D458758:D458759 IZ458758:IZ458759 SV458758:SV458759 ACR458758:ACR458759 AMN458758:AMN458759 AWJ458758:AWJ458759 BGF458758:BGF458759 BQB458758:BQB458759 BZX458758:BZX458759 CJT458758:CJT458759 CTP458758:CTP458759 DDL458758:DDL458759 DNH458758:DNH458759 DXD458758:DXD458759 EGZ458758:EGZ458759 EQV458758:EQV458759 FAR458758:FAR458759 FKN458758:FKN458759 FUJ458758:FUJ458759 GEF458758:GEF458759 GOB458758:GOB458759 GXX458758:GXX458759 HHT458758:HHT458759 HRP458758:HRP458759 IBL458758:IBL458759 ILH458758:ILH458759 IVD458758:IVD458759 JEZ458758:JEZ458759 JOV458758:JOV458759 JYR458758:JYR458759 KIN458758:KIN458759 KSJ458758:KSJ458759 LCF458758:LCF458759 LMB458758:LMB458759 LVX458758:LVX458759 MFT458758:MFT458759 MPP458758:MPP458759 MZL458758:MZL458759 NJH458758:NJH458759 NTD458758:NTD458759 OCZ458758:OCZ458759 OMV458758:OMV458759 OWR458758:OWR458759 PGN458758:PGN458759 PQJ458758:PQJ458759 QAF458758:QAF458759 QKB458758:QKB458759 QTX458758:QTX458759 RDT458758:RDT458759 RNP458758:RNP458759 RXL458758:RXL458759 SHH458758:SHH458759 SRD458758:SRD458759 TAZ458758:TAZ458759 TKV458758:TKV458759 TUR458758:TUR458759 UEN458758:UEN458759 UOJ458758:UOJ458759 UYF458758:UYF458759 VIB458758:VIB458759 VRX458758:VRX458759 WBT458758:WBT458759 WLP458758:WLP458759 WVL458758:WVL458759 D524294:D524295 IZ524294:IZ524295 SV524294:SV524295 ACR524294:ACR524295 AMN524294:AMN524295 AWJ524294:AWJ524295 BGF524294:BGF524295 BQB524294:BQB524295 BZX524294:BZX524295 CJT524294:CJT524295 CTP524294:CTP524295 DDL524294:DDL524295 DNH524294:DNH524295 DXD524294:DXD524295 EGZ524294:EGZ524295 EQV524294:EQV524295 FAR524294:FAR524295 FKN524294:FKN524295 FUJ524294:FUJ524295 GEF524294:GEF524295 GOB524294:GOB524295 GXX524294:GXX524295 HHT524294:HHT524295 HRP524294:HRP524295 IBL524294:IBL524295 ILH524294:ILH524295 IVD524294:IVD524295 JEZ524294:JEZ524295 JOV524294:JOV524295 JYR524294:JYR524295 KIN524294:KIN524295 KSJ524294:KSJ524295 LCF524294:LCF524295 LMB524294:LMB524295 LVX524294:LVX524295 MFT524294:MFT524295 MPP524294:MPP524295 MZL524294:MZL524295 NJH524294:NJH524295 NTD524294:NTD524295 OCZ524294:OCZ524295 OMV524294:OMV524295 OWR524294:OWR524295 PGN524294:PGN524295 PQJ524294:PQJ524295 QAF524294:QAF524295 QKB524294:QKB524295 QTX524294:QTX524295 RDT524294:RDT524295 RNP524294:RNP524295 RXL524294:RXL524295 SHH524294:SHH524295 SRD524294:SRD524295 TAZ524294:TAZ524295 TKV524294:TKV524295 TUR524294:TUR524295 UEN524294:UEN524295 UOJ524294:UOJ524295 UYF524294:UYF524295 VIB524294:VIB524295 VRX524294:VRX524295 WBT524294:WBT524295 WLP524294:WLP524295 WVL524294:WVL524295 D589830:D589831 IZ589830:IZ589831 SV589830:SV589831 ACR589830:ACR589831 AMN589830:AMN589831 AWJ589830:AWJ589831 BGF589830:BGF589831 BQB589830:BQB589831 BZX589830:BZX589831 CJT589830:CJT589831 CTP589830:CTP589831 DDL589830:DDL589831 DNH589830:DNH589831 DXD589830:DXD589831 EGZ589830:EGZ589831 EQV589830:EQV589831 FAR589830:FAR589831 FKN589830:FKN589831 FUJ589830:FUJ589831 GEF589830:GEF589831 GOB589830:GOB589831 GXX589830:GXX589831 HHT589830:HHT589831 HRP589830:HRP589831 IBL589830:IBL589831 ILH589830:ILH589831 IVD589830:IVD589831 JEZ589830:JEZ589831 JOV589830:JOV589831 JYR589830:JYR589831 KIN589830:KIN589831 KSJ589830:KSJ589831 LCF589830:LCF589831 LMB589830:LMB589831 LVX589830:LVX589831 MFT589830:MFT589831 MPP589830:MPP589831 MZL589830:MZL589831 NJH589830:NJH589831 NTD589830:NTD589831 OCZ589830:OCZ589831 OMV589830:OMV589831 OWR589830:OWR589831 PGN589830:PGN589831 PQJ589830:PQJ589831 QAF589830:QAF589831 QKB589830:QKB589831 QTX589830:QTX589831 RDT589830:RDT589831 RNP589830:RNP589831 RXL589830:RXL589831 SHH589830:SHH589831 SRD589830:SRD589831 TAZ589830:TAZ589831 TKV589830:TKV589831 TUR589830:TUR589831 UEN589830:UEN589831 UOJ589830:UOJ589831 UYF589830:UYF589831 VIB589830:VIB589831 VRX589830:VRX589831 WBT589830:WBT589831 WLP589830:WLP589831 WVL589830:WVL589831 D655366:D655367 IZ655366:IZ655367 SV655366:SV655367 ACR655366:ACR655367 AMN655366:AMN655367 AWJ655366:AWJ655367 BGF655366:BGF655367 BQB655366:BQB655367 BZX655366:BZX655367 CJT655366:CJT655367 CTP655366:CTP655367 DDL655366:DDL655367 DNH655366:DNH655367 DXD655366:DXD655367 EGZ655366:EGZ655367 EQV655366:EQV655367 FAR655366:FAR655367 FKN655366:FKN655367 FUJ655366:FUJ655367 GEF655366:GEF655367 GOB655366:GOB655367 GXX655366:GXX655367 HHT655366:HHT655367 HRP655366:HRP655367 IBL655366:IBL655367 ILH655366:ILH655367 IVD655366:IVD655367 JEZ655366:JEZ655367 JOV655366:JOV655367 JYR655366:JYR655367 KIN655366:KIN655367 KSJ655366:KSJ655367 LCF655366:LCF655367 LMB655366:LMB655367 LVX655366:LVX655367 MFT655366:MFT655367 MPP655366:MPP655367 MZL655366:MZL655367 NJH655366:NJH655367 NTD655366:NTD655367 OCZ655366:OCZ655367 OMV655366:OMV655367 OWR655366:OWR655367 PGN655366:PGN655367 PQJ655366:PQJ655367 QAF655366:QAF655367 QKB655366:QKB655367 QTX655366:QTX655367 RDT655366:RDT655367 RNP655366:RNP655367 RXL655366:RXL655367 SHH655366:SHH655367 SRD655366:SRD655367 TAZ655366:TAZ655367 TKV655366:TKV655367 TUR655366:TUR655367 UEN655366:UEN655367 UOJ655366:UOJ655367 UYF655366:UYF655367 VIB655366:VIB655367 VRX655366:VRX655367 WBT655366:WBT655367 WLP655366:WLP655367 WVL655366:WVL655367 D720902:D720903 IZ720902:IZ720903 SV720902:SV720903 ACR720902:ACR720903 AMN720902:AMN720903 AWJ720902:AWJ720903 BGF720902:BGF720903 BQB720902:BQB720903 BZX720902:BZX720903 CJT720902:CJT720903 CTP720902:CTP720903 DDL720902:DDL720903 DNH720902:DNH720903 DXD720902:DXD720903 EGZ720902:EGZ720903 EQV720902:EQV720903 FAR720902:FAR720903 FKN720902:FKN720903 FUJ720902:FUJ720903 GEF720902:GEF720903 GOB720902:GOB720903 GXX720902:GXX720903 HHT720902:HHT720903 HRP720902:HRP720903 IBL720902:IBL720903 ILH720902:ILH720903 IVD720902:IVD720903 JEZ720902:JEZ720903 JOV720902:JOV720903 JYR720902:JYR720903 KIN720902:KIN720903 KSJ720902:KSJ720903 LCF720902:LCF720903 LMB720902:LMB720903 LVX720902:LVX720903 MFT720902:MFT720903 MPP720902:MPP720903 MZL720902:MZL720903 NJH720902:NJH720903 NTD720902:NTD720903 OCZ720902:OCZ720903 OMV720902:OMV720903 OWR720902:OWR720903 PGN720902:PGN720903 PQJ720902:PQJ720903 QAF720902:QAF720903 QKB720902:QKB720903 QTX720902:QTX720903 RDT720902:RDT720903 RNP720902:RNP720903 RXL720902:RXL720903 SHH720902:SHH720903 SRD720902:SRD720903 TAZ720902:TAZ720903 TKV720902:TKV720903 TUR720902:TUR720903 UEN720902:UEN720903 UOJ720902:UOJ720903 UYF720902:UYF720903 VIB720902:VIB720903 VRX720902:VRX720903 WBT720902:WBT720903 WLP720902:WLP720903 WVL720902:WVL720903 D786438:D786439 IZ786438:IZ786439 SV786438:SV786439 ACR786438:ACR786439 AMN786438:AMN786439 AWJ786438:AWJ786439 BGF786438:BGF786439 BQB786438:BQB786439 BZX786438:BZX786439 CJT786438:CJT786439 CTP786438:CTP786439 DDL786438:DDL786439 DNH786438:DNH786439 DXD786438:DXD786439 EGZ786438:EGZ786439 EQV786438:EQV786439 FAR786438:FAR786439 FKN786438:FKN786439 FUJ786438:FUJ786439 GEF786438:GEF786439 GOB786438:GOB786439 GXX786438:GXX786439 HHT786438:HHT786439 HRP786438:HRP786439 IBL786438:IBL786439 ILH786438:ILH786439 IVD786438:IVD786439 JEZ786438:JEZ786439 JOV786438:JOV786439 JYR786438:JYR786439 KIN786438:KIN786439 KSJ786438:KSJ786439 LCF786438:LCF786439 LMB786438:LMB786439 LVX786438:LVX786439 MFT786438:MFT786439 MPP786438:MPP786439 MZL786438:MZL786439 NJH786438:NJH786439 NTD786438:NTD786439 OCZ786438:OCZ786439 OMV786438:OMV786439 OWR786438:OWR786439 PGN786438:PGN786439 PQJ786438:PQJ786439 QAF786438:QAF786439 QKB786438:QKB786439 QTX786438:QTX786439 RDT786438:RDT786439 RNP786438:RNP786439 RXL786438:RXL786439 SHH786438:SHH786439 SRD786438:SRD786439 TAZ786438:TAZ786439 TKV786438:TKV786439 TUR786438:TUR786439 UEN786438:UEN786439 UOJ786438:UOJ786439 UYF786438:UYF786439 VIB786438:VIB786439 VRX786438:VRX786439 WBT786438:WBT786439 WLP786438:WLP786439 WVL786438:WVL786439 D851974:D851975 IZ851974:IZ851975 SV851974:SV851975 ACR851974:ACR851975 AMN851974:AMN851975 AWJ851974:AWJ851975 BGF851974:BGF851975 BQB851974:BQB851975 BZX851974:BZX851975 CJT851974:CJT851975 CTP851974:CTP851975 DDL851974:DDL851975 DNH851974:DNH851975 DXD851974:DXD851975 EGZ851974:EGZ851975 EQV851974:EQV851975 FAR851974:FAR851975 FKN851974:FKN851975 FUJ851974:FUJ851975 GEF851974:GEF851975 GOB851974:GOB851975 GXX851974:GXX851975 HHT851974:HHT851975 HRP851974:HRP851975 IBL851974:IBL851975 ILH851974:ILH851975 IVD851974:IVD851975 JEZ851974:JEZ851975 JOV851974:JOV851975 JYR851974:JYR851975 KIN851974:KIN851975 KSJ851974:KSJ851975 LCF851974:LCF851975 LMB851974:LMB851975 LVX851974:LVX851975 MFT851974:MFT851975 MPP851974:MPP851975 MZL851974:MZL851975 NJH851974:NJH851975 NTD851974:NTD851975 OCZ851974:OCZ851975 OMV851974:OMV851975 OWR851974:OWR851975 PGN851974:PGN851975 PQJ851974:PQJ851975 QAF851974:QAF851975 QKB851974:QKB851975 QTX851974:QTX851975 RDT851974:RDT851975 RNP851974:RNP851975 RXL851974:RXL851975 SHH851974:SHH851975 SRD851974:SRD851975 TAZ851974:TAZ851975 TKV851974:TKV851975 TUR851974:TUR851975 UEN851974:UEN851975 UOJ851974:UOJ851975 UYF851974:UYF851975 VIB851974:VIB851975 VRX851974:VRX851975 WBT851974:WBT851975 WLP851974:WLP851975 WVL851974:WVL851975 D917510:D917511 IZ917510:IZ917511 SV917510:SV917511 ACR917510:ACR917511 AMN917510:AMN917511 AWJ917510:AWJ917511 BGF917510:BGF917511 BQB917510:BQB917511 BZX917510:BZX917511 CJT917510:CJT917511 CTP917510:CTP917511 DDL917510:DDL917511 DNH917510:DNH917511 DXD917510:DXD917511 EGZ917510:EGZ917511 EQV917510:EQV917511 FAR917510:FAR917511 FKN917510:FKN917511 FUJ917510:FUJ917511 GEF917510:GEF917511 GOB917510:GOB917511 GXX917510:GXX917511 HHT917510:HHT917511 HRP917510:HRP917511 IBL917510:IBL917511 ILH917510:ILH917511 IVD917510:IVD917511 JEZ917510:JEZ917511 JOV917510:JOV917511 JYR917510:JYR917511 KIN917510:KIN917511 KSJ917510:KSJ917511 LCF917510:LCF917511 LMB917510:LMB917511 LVX917510:LVX917511 MFT917510:MFT917511 MPP917510:MPP917511 MZL917510:MZL917511 NJH917510:NJH917511 NTD917510:NTD917511 OCZ917510:OCZ917511 OMV917510:OMV917511 OWR917510:OWR917511 PGN917510:PGN917511 PQJ917510:PQJ917511 QAF917510:QAF917511 QKB917510:QKB917511 QTX917510:QTX917511 RDT917510:RDT917511 RNP917510:RNP917511 RXL917510:RXL917511 SHH917510:SHH917511 SRD917510:SRD917511 TAZ917510:TAZ917511 TKV917510:TKV917511 TUR917510:TUR917511 UEN917510:UEN917511 UOJ917510:UOJ917511 UYF917510:UYF917511 VIB917510:VIB917511 VRX917510:VRX917511 WBT917510:WBT917511 WLP917510:WLP917511 WVL917510:WVL917511 D983046:D983047 IZ983046:IZ983047 SV983046:SV983047 ACR983046:ACR983047 AMN983046:AMN983047 AWJ983046:AWJ983047 BGF983046:BGF983047 BQB983046:BQB983047 BZX983046:BZX983047 CJT983046:CJT983047 CTP983046:CTP983047 DDL983046:DDL983047 DNH983046:DNH983047 DXD983046:DXD983047 EGZ983046:EGZ983047 EQV983046:EQV983047 FAR983046:FAR983047 FKN983046:FKN983047 FUJ983046:FUJ983047 GEF983046:GEF983047 GOB983046:GOB983047 GXX983046:GXX983047 HHT983046:HHT983047 HRP983046:HRP983047 IBL983046:IBL983047 ILH983046:ILH983047 IVD983046:IVD983047 JEZ983046:JEZ983047 JOV983046:JOV983047 JYR983046:JYR983047 KIN983046:KIN983047 KSJ983046:KSJ983047 LCF983046:LCF983047 LMB983046:LMB983047 LVX983046:LVX983047 MFT983046:MFT983047 MPP983046:MPP983047 MZL983046:MZL983047 NJH983046:NJH983047 NTD983046:NTD983047 OCZ983046:OCZ983047 OMV983046:OMV983047 OWR983046:OWR983047 PGN983046:PGN983047 PQJ983046:PQJ983047 QAF983046:QAF983047 QKB983046:QKB983047 QTX983046:QTX983047 RDT983046:RDT983047 RNP983046:RNP983047 RXL983046:RXL983047 SHH983046:SHH983047 SRD983046:SRD983047 TAZ983046:TAZ983047 TKV983046:TKV983047 TUR983046:TUR983047 UEN983046:UEN983047 UOJ983046:UOJ983047 UYF983046:UYF983047 VIB983046:VIB983047 VRX983046:VRX983047 WBT983046:WBT983047 WLP983046:WLP983047 WVL983046:WVL983047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76 IZ65676 SV65676 ACR65676 AMN65676 AWJ65676 BGF65676 BQB65676 BZX65676 CJT65676 CTP65676 DDL65676 DNH65676 DXD65676 EGZ65676 EQV65676 FAR65676 FKN65676 FUJ65676 GEF65676 GOB65676 GXX65676 HHT65676 HRP65676 IBL65676 ILH65676 IVD65676 JEZ65676 JOV65676 JYR65676 KIN65676 KSJ65676 LCF65676 LMB65676 LVX65676 MFT65676 MPP65676 MZL65676 NJH65676 NTD65676 OCZ65676 OMV65676 OWR65676 PGN65676 PQJ65676 QAF65676 QKB65676 QTX65676 RDT65676 RNP65676 RXL65676 SHH65676 SRD65676 TAZ65676 TKV65676 TUR65676 UEN65676 UOJ65676 UYF65676 VIB65676 VRX65676 WBT65676 WLP65676 WVL65676 D131212 IZ131212 SV131212 ACR131212 AMN131212 AWJ131212 BGF131212 BQB131212 BZX131212 CJT131212 CTP131212 DDL131212 DNH131212 DXD131212 EGZ131212 EQV131212 FAR131212 FKN131212 FUJ131212 GEF131212 GOB131212 GXX131212 HHT131212 HRP131212 IBL131212 ILH131212 IVD131212 JEZ131212 JOV131212 JYR131212 KIN131212 KSJ131212 LCF131212 LMB131212 LVX131212 MFT131212 MPP131212 MZL131212 NJH131212 NTD131212 OCZ131212 OMV131212 OWR131212 PGN131212 PQJ131212 QAF131212 QKB131212 QTX131212 RDT131212 RNP131212 RXL131212 SHH131212 SRD131212 TAZ131212 TKV131212 TUR131212 UEN131212 UOJ131212 UYF131212 VIB131212 VRX131212 WBT131212 WLP131212 WVL131212 D196748 IZ196748 SV196748 ACR196748 AMN196748 AWJ196748 BGF196748 BQB196748 BZX196748 CJT196748 CTP196748 DDL196748 DNH196748 DXD196748 EGZ196748 EQV196748 FAR196748 FKN196748 FUJ196748 GEF196748 GOB196748 GXX196748 HHT196748 HRP196748 IBL196748 ILH196748 IVD196748 JEZ196748 JOV196748 JYR196748 KIN196748 KSJ196748 LCF196748 LMB196748 LVX196748 MFT196748 MPP196748 MZL196748 NJH196748 NTD196748 OCZ196748 OMV196748 OWR196748 PGN196748 PQJ196748 QAF196748 QKB196748 QTX196748 RDT196748 RNP196748 RXL196748 SHH196748 SRD196748 TAZ196748 TKV196748 TUR196748 UEN196748 UOJ196748 UYF196748 VIB196748 VRX196748 WBT196748 WLP196748 WVL196748 D262284 IZ262284 SV262284 ACR262284 AMN262284 AWJ262284 BGF262284 BQB262284 BZX262284 CJT262284 CTP262284 DDL262284 DNH262284 DXD262284 EGZ262284 EQV262284 FAR262284 FKN262284 FUJ262284 GEF262284 GOB262284 GXX262284 HHT262284 HRP262284 IBL262284 ILH262284 IVD262284 JEZ262284 JOV262284 JYR262284 KIN262284 KSJ262284 LCF262284 LMB262284 LVX262284 MFT262284 MPP262284 MZL262284 NJH262284 NTD262284 OCZ262284 OMV262284 OWR262284 PGN262284 PQJ262284 QAF262284 QKB262284 QTX262284 RDT262284 RNP262284 RXL262284 SHH262284 SRD262284 TAZ262284 TKV262284 TUR262284 UEN262284 UOJ262284 UYF262284 VIB262284 VRX262284 WBT262284 WLP262284 WVL262284 D327820 IZ327820 SV327820 ACR327820 AMN327820 AWJ327820 BGF327820 BQB327820 BZX327820 CJT327820 CTP327820 DDL327820 DNH327820 DXD327820 EGZ327820 EQV327820 FAR327820 FKN327820 FUJ327820 GEF327820 GOB327820 GXX327820 HHT327820 HRP327820 IBL327820 ILH327820 IVD327820 JEZ327820 JOV327820 JYR327820 KIN327820 KSJ327820 LCF327820 LMB327820 LVX327820 MFT327820 MPP327820 MZL327820 NJH327820 NTD327820 OCZ327820 OMV327820 OWR327820 PGN327820 PQJ327820 QAF327820 QKB327820 QTX327820 RDT327820 RNP327820 RXL327820 SHH327820 SRD327820 TAZ327820 TKV327820 TUR327820 UEN327820 UOJ327820 UYF327820 VIB327820 VRX327820 WBT327820 WLP327820 WVL327820 D393356 IZ393356 SV393356 ACR393356 AMN393356 AWJ393356 BGF393356 BQB393356 BZX393356 CJT393356 CTP393356 DDL393356 DNH393356 DXD393356 EGZ393356 EQV393356 FAR393356 FKN393356 FUJ393356 GEF393356 GOB393356 GXX393356 HHT393356 HRP393356 IBL393356 ILH393356 IVD393356 JEZ393356 JOV393356 JYR393356 KIN393356 KSJ393356 LCF393356 LMB393356 LVX393356 MFT393356 MPP393356 MZL393356 NJH393356 NTD393356 OCZ393356 OMV393356 OWR393356 PGN393356 PQJ393356 QAF393356 QKB393356 QTX393356 RDT393356 RNP393356 RXL393356 SHH393356 SRD393356 TAZ393356 TKV393356 TUR393356 UEN393356 UOJ393356 UYF393356 VIB393356 VRX393356 WBT393356 WLP393356 WVL393356 D458892 IZ458892 SV458892 ACR458892 AMN458892 AWJ458892 BGF458892 BQB458892 BZX458892 CJT458892 CTP458892 DDL458892 DNH458892 DXD458892 EGZ458892 EQV458892 FAR458892 FKN458892 FUJ458892 GEF458892 GOB458892 GXX458892 HHT458892 HRP458892 IBL458892 ILH458892 IVD458892 JEZ458892 JOV458892 JYR458892 KIN458892 KSJ458892 LCF458892 LMB458892 LVX458892 MFT458892 MPP458892 MZL458892 NJH458892 NTD458892 OCZ458892 OMV458892 OWR458892 PGN458892 PQJ458892 QAF458892 QKB458892 QTX458892 RDT458892 RNP458892 RXL458892 SHH458892 SRD458892 TAZ458892 TKV458892 TUR458892 UEN458892 UOJ458892 UYF458892 VIB458892 VRX458892 WBT458892 WLP458892 WVL458892 D524428 IZ524428 SV524428 ACR524428 AMN524428 AWJ524428 BGF524428 BQB524428 BZX524428 CJT524428 CTP524428 DDL524428 DNH524428 DXD524428 EGZ524428 EQV524428 FAR524428 FKN524428 FUJ524428 GEF524428 GOB524428 GXX524428 HHT524428 HRP524428 IBL524428 ILH524428 IVD524428 JEZ524428 JOV524428 JYR524428 KIN524428 KSJ524428 LCF524428 LMB524428 LVX524428 MFT524428 MPP524428 MZL524428 NJH524428 NTD524428 OCZ524428 OMV524428 OWR524428 PGN524428 PQJ524428 QAF524428 QKB524428 QTX524428 RDT524428 RNP524428 RXL524428 SHH524428 SRD524428 TAZ524428 TKV524428 TUR524428 UEN524428 UOJ524428 UYF524428 VIB524428 VRX524428 WBT524428 WLP524428 WVL524428 D589964 IZ589964 SV589964 ACR589964 AMN589964 AWJ589964 BGF589964 BQB589964 BZX589964 CJT589964 CTP589964 DDL589964 DNH589964 DXD589964 EGZ589964 EQV589964 FAR589964 FKN589964 FUJ589964 GEF589964 GOB589964 GXX589964 HHT589964 HRP589964 IBL589964 ILH589964 IVD589964 JEZ589964 JOV589964 JYR589964 KIN589964 KSJ589964 LCF589964 LMB589964 LVX589964 MFT589964 MPP589964 MZL589964 NJH589964 NTD589964 OCZ589964 OMV589964 OWR589964 PGN589964 PQJ589964 QAF589964 QKB589964 QTX589964 RDT589964 RNP589964 RXL589964 SHH589964 SRD589964 TAZ589964 TKV589964 TUR589964 UEN589964 UOJ589964 UYF589964 VIB589964 VRX589964 WBT589964 WLP589964 WVL589964 D655500 IZ655500 SV655500 ACR655500 AMN655500 AWJ655500 BGF655500 BQB655500 BZX655500 CJT655500 CTP655500 DDL655500 DNH655500 DXD655500 EGZ655500 EQV655500 FAR655500 FKN655500 FUJ655500 GEF655500 GOB655500 GXX655500 HHT655500 HRP655500 IBL655500 ILH655500 IVD655500 JEZ655500 JOV655500 JYR655500 KIN655500 KSJ655500 LCF655500 LMB655500 LVX655500 MFT655500 MPP655500 MZL655500 NJH655500 NTD655500 OCZ655500 OMV655500 OWR655500 PGN655500 PQJ655500 QAF655500 QKB655500 QTX655500 RDT655500 RNP655500 RXL655500 SHH655500 SRD655500 TAZ655500 TKV655500 TUR655500 UEN655500 UOJ655500 UYF655500 VIB655500 VRX655500 WBT655500 WLP655500 WVL655500 D721036 IZ721036 SV721036 ACR721036 AMN721036 AWJ721036 BGF721036 BQB721036 BZX721036 CJT721036 CTP721036 DDL721036 DNH721036 DXD721036 EGZ721036 EQV721036 FAR721036 FKN721036 FUJ721036 GEF721036 GOB721036 GXX721036 HHT721036 HRP721036 IBL721036 ILH721036 IVD721036 JEZ721036 JOV721036 JYR721036 KIN721036 KSJ721036 LCF721036 LMB721036 LVX721036 MFT721036 MPP721036 MZL721036 NJH721036 NTD721036 OCZ721036 OMV721036 OWR721036 PGN721036 PQJ721036 QAF721036 QKB721036 QTX721036 RDT721036 RNP721036 RXL721036 SHH721036 SRD721036 TAZ721036 TKV721036 TUR721036 UEN721036 UOJ721036 UYF721036 VIB721036 VRX721036 WBT721036 WLP721036 WVL721036 D786572 IZ786572 SV786572 ACR786572 AMN786572 AWJ786572 BGF786572 BQB786572 BZX786572 CJT786572 CTP786572 DDL786572 DNH786572 DXD786572 EGZ786572 EQV786572 FAR786572 FKN786572 FUJ786572 GEF786572 GOB786572 GXX786572 HHT786572 HRP786572 IBL786572 ILH786572 IVD786572 JEZ786572 JOV786572 JYR786572 KIN786572 KSJ786572 LCF786572 LMB786572 LVX786572 MFT786572 MPP786572 MZL786572 NJH786572 NTD786572 OCZ786572 OMV786572 OWR786572 PGN786572 PQJ786572 QAF786572 QKB786572 QTX786572 RDT786572 RNP786572 RXL786572 SHH786572 SRD786572 TAZ786572 TKV786572 TUR786572 UEN786572 UOJ786572 UYF786572 VIB786572 VRX786572 WBT786572 WLP786572 WVL786572 D852108 IZ852108 SV852108 ACR852108 AMN852108 AWJ852108 BGF852108 BQB852108 BZX852108 CJT852108 CTP852108 DDL852108 DNH852108 DXD852108 EGZ852108 EQV852108 FAR852108 FKN852108 FUJ852108 GEF852108 GOB852108 GXX852108 HHT852108 HRP852108 IBL852108 ILH852108 IVD852108 JEZ852108 JOV852108 JYR852108 KIN852108 KSJ852108 LCF852108 LMB852108 LVX852108 MFT852108 MPP852108 MZL852108 NJH852108 NTD852108 OCZ852108 OMV852108 OWR852108 PGN852108 PQJ852108 QAF852108 QKB852108 QTX852108 RDT852108 RNP852108 RXL852108 SHH852108 SRD852108 TAZ852108 TKV852108 TUR852108 UEN852108 UOJ852108 UYF852108 VIB852108 VRX852108 WBT852108 WLP852108 WVL852108 D917644 IZ917644 SV917644 ACR917644 AMN917644 AWJ917644 BGF917644 BQB917644 BZX917644 CJT917644 CTP917644 DDL917644 DNH917644 DXD917644 EGZ917644 EQV917644 FAR917644 FKN917644 FUJ917644 GEF917644 GOB917644 GXX917644 HHT917644 HRP917644 IBL917644 ILH917644 IVD917644 JEZ917644 JOV917644 JYR917644 KIN917644 KSJ917644 LCF917644 LMB917644 LVX917644 MFT917644 MPP917644 MZL917644 NJH917644 NTD917644 OCZ917644 OMV917644 OWR917644 PGN917644 PQJ917644 QAF917644 QKB917644 QTX917644 RDT917644 RNP917644 RXL917644 SHH917644 SRD917644 TAZ917644 TKV917644 TUR917644 UEN917644 UOJ917644 UYF917644 VIB917644 VRX917644 WBT917644 WLP917644 WVL917644 D983180 IZ983180 SV983180 ACR983180 AMN983180 AWJ983180 BGF983180 BQB983180 BZX983180 CJT983180 CTP983180 DDL983180 DNH983180 DXD983180 EGZ983180 EQV983180 FAR983180 FKN983180 FUJ983180 GEF983180 GOB983180 GXX983180 HHT983180 HRP983180 IBL983180 ILH983180 IVD983180 JEZ983180 JOV983180 JYR983180 KIN983180 KSJ983180 LCF983180 LMB983180 LVX983180 MFT983180 MPP983180 MZL983180 NJH983180 NTD983180 OCZ983180 OMV983180 OWR983180 PGN983180 PQJ983180 QAF983180 QKB983180 QTX983180 RDT983180 RNP983180 RXL983180 SHH983180 SRD983180 TAZ983180 TKV983180 TUR983180 UEN983180 UOJ983180 UYF983180 VIB983180 VRX983180 WBT983180 WLP983180 WVL983180 D451 IZ451 SV451 ACR451 AMN451 AWJ451 BGF451 BQB451 BZX451 CJT451 CTP451 DDL451 DNH451 DXD451 EGZ451 EQV451 FAR451 FKN451 FUJ451 GEF451 GOB451 GXX451 HHT451 HRP451 IBL451 ILH451 IVD451 JEZ451 JOV451 JYR451 KIN451 KSJ451 LCF451 LMB451 LVX451 MFT451 MPP451 MZL451 NJH451 NTD451 OCZ451 OMV451 OWR451 PGN451 PQJ451 QAF451 QKB451 QTX451 RDT451 RNP451 RXL451 SHH451 SRD451 TAZ451 TKV451 TUR451 UEN451 UOJ451 UYF451 VIB451 VRX451 WBT451 WLP451 WVL451 D65987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523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059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595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131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667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203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739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275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5811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347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6883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419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7955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491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xr:uid="{69EB686D-7E79-475A-960F-5767B4BFEB9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96" max="21" man="1"/>
    <brk id="404" max="21"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AF520-34C2-43F5-B5B8-EDDB327A0B5B}">
  <sheetPr codeName="Sheet65">
    <tabColor rgb="FF00B050"/>
  </sheetPr>
  <dimension ref="A1:AC661"/>
  <sheetViews>
    <sheetView showZeros="0" view="pageBreakPreview" zoomScale="115" zoomScaleNormal="100" zoomScaleSheetLayoutView="115" workbookViewId="0">
      <selection activeCell="A315" sqref="A315:C318"/>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920" t="s">
        <v>0</v>
      </c>
      <c r="B1" s="921"/>
      <c r="C1" s="921"/>
      <c r="D1" s="921"/>
      <c r="E1" s="921"/>
      <c r="F1" s="921"/>
      <c r="G1" s="922"/>
      <c r="H1" s="906" t="str">
        <f>[6]Title!H1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[6]Title!A5</f>
        <v>Prep. By</v>
      </c>
      <c r="B5" s="943"/>
      <c r="C5" s="25" t="str">
        <f>[6]Title!C5</f>
        <v>PK</v>
      </c>
      <c r="D5" s="880" t="str">
        <f>[6]Title!D5</f>
        <v>Checked By</v>
      </c>
      <c r="E5" s="881"/>
      <c r="F5" s="943"/>
      <c r="G5" s="25" t="str">
        <f>[6]Title!G5</f>
        <v>RN</v>
      </c>
      <c r="H5" s="944" t="s">
        <v>958</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9" ht="18" customHeight="1">
      <c r="A7" s="184"/>
      <c r="B7" s="781" t="s">
        <v>965</v>
      </c>
      <c r="C7" s="782"/>
      <c r="D7" s="781" t="s">
        <v>385</v>
      </c>
      <c r="E7" s="782"/>
      <c r="F7" s="186"/>
      <c r="H7" s="689" t="s">
        <v>594</v>
      </c>
      <c r="I7" s="689"/>
      <c r="J7" s="689"/>
      <c r="K7" s="689"/>
      <c r="L7" s="689"/>
      <c r="M7" s="689"/>
      <c r="N7" s="689"/>
      <c r="P7" s="186"/>
      <c r="S7" s="187" t="s">
        <v>387</v>
      </c>
      <c r="T7" s="1161" t="s">
        <v>205</v>
      </c>
      <c r="U7" s="1162"/>
      <c r="V7" s="185"/>
    </row>
    <row r="8" spans="1:29" ht="18" customHeight="1">
      <c r="A8" s="184"/>
      <c r="B8" s="1228"/>
      <c r="C8" s="1228"/>
      <c r="D8" s="1228"/>
      <c r="E8" s="1228"/>
      <c r="F8" s="255"/>
      <c r="T8" s="1161"/>
      <c r="U8" s="1162"/>
      <c r="V8" s="185"/>
    </row>
    <row r="9" spans="1:29" ht="18" customHeight="1">
      <c r="A9" s="1191"/>
      <c r="B9" s="1192"/>
      <c r="C9" s="1192"/>
      <c r="D9" s="684"/>
      <c r="H9" s="789" t="s">
        <v>390</v>
      </c>
      <c r="I9" s="789"/>
      <c r="J9" s="708" t="s">
        <v>391</v>
      </c>
      <c r="K9" s="708"/>
      <c r="L9" s="708" t="s">
        <v>392</v>
      </c>
      <c r="M9" s="708"/>
      <c r="T9" s="1161"/>
      <c r="U9" s="1162"/>
      <c r="V9" s="185"/>
    </row>
    <row r="10" spans="1:29" ht="18" customHeight="1">
      <c r="A10" s="184"/>
      <c r="B10" s="47" t="s">
        <v>393</v>
      </c>
      <c r="H10" s="791">
        <v>1750</v>
      </c>
      <c r="I10" s="792"/>
      <c r="J10" s="781">
        <v>2500</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5</v>
      </c>
      <c r="I12" s="782"/>
      <c r="J12" s="192" t="s">
        <v>333</v>
      </c>
      <c r="V12" s="185"/>
    </row>
    <row r="13" spans="1:29" ht="18" customHeight="1">
      <c r="A13" s="184"/>
      <c r="B13" s="47" t="s">
        <v>398</v>
      </c>
      <c r="G13" s="120" t="s">
        <v>498</v>
      </c>
      <c r="H13" s="781">
        <v>300</v>
      </c>
      <c r="I13" s="782"/>
      <c r="J13" s="14" t="s">
        <v>305</v>
      </c>
      <c r="V13" s="185"/>
      <c r="W13" s="30" t="s">
        <v>400</v>
      </c>
      <c r="AB13" s="785">
        <f>D58</f>
        <v>71.63000000000001</v>
      </c>
      <c r="AC13" s="786"/>
    </row>
    <row r="14" spans="1:29" ht="18" customHeight="1">
      <c r="A14" s="184"/>
      <c r="B14" s="14" t="s">
        <v>401</v>
      </c>
      <c r="G14" s="120" t="s">
        <v>402</v>
      </c>
      <c r="H14" s="781">
        <v>30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7UT85</v>
      </c>
      <c r="E18" s="196"/>
      <c r="F18" s="196"/>
      <c r="G18" s="196"/>
      <c r="H18" s="182" t="s">
        <v>406</v>
      </c>
      <c r="I18" s="183" t="s">
        <v>127</v>
      </c>
      <c r="J18" s="1193">
        <f>'CT-VT Burdens'!Q119</f>
        <v>0.1</v>
      </c>
      <c r="K18" s="1105"/>
      <c r="L18" s="3" t="s">
        <v>157</v>
      </c>
      <c r="V18" s="185"/>
    </row>
    <row r="19" spans="1:22" ht="18" customHeight="1">
      <c r="A19" s="184"/>
      <c r="B19" s="184" t="s">
        <v>405</v>
      </c>
      <c r="D19" s="30">
        <f>T8</f>
        <v>0</v>
      </c>
      <c r="H19" s="27"/>
      <c r="I19" s="177" t="s">
        <v>127</v>
      </c>
      <c r="J19" s="1194"/>
      <c r="K19" s="1107"/>
      <c r="L19" s="198" t="s">
        <v>157</v>
      </c>
      <c r="V19" s="185"/>
    </row>
    <row r="20" spans="1:22" ht="18" customHeight="1">
      <c r="A20" s="184"/>
      <c r="B20" s="184" t="s">
        <v>405</v>
      </c>
      <c r="D20" s="30">
        <f>T9</f>
        <v>0</v>
      </c>
      <c r="E20" s="14"/>
      <c r="G20" s="199"/>
      <c r="H20" s="27"/>
      <c r="I20" s="177" t="s">
        <v>127</v>
      </c>
      <c r="J20" s="1108"/>
      <c r="K20" s="788"/>
      <c r="L20" s="202" t="s">
        <v>157</v>
      </c>
      <c r="V20" s="185"/>
    </row>
    <row r="21" spans="1:22" ht="18" customHeight="1">
      <c r="A21" s="184"/>
      <c r="B21" s="184" t="s">
        <v>412</v>
      </c>
      <c r="H21" s="27" t="s">
        <v>599</v>
      </c>
      <c r="I21" s="177" t="s">
        <v>127</v>
      </c>
      <c r="J21" s="793">
        <f>'CT-VT Burdens'!S30</f>
        <v>1.1667743100000001</v>
      </c>
      <c r="K21" s="1156"/>
      <c r="L21" s="203" t="s">
        <v>157</v>
      </c>
      <c r="V21" s="185"/>
    </row>
    <row r="22" spans="1:22" ht="18" customHeight="1">
      <c r="A22" s="184"/>
      <c r="B22" s="205" t="s">
        <v>413</v>
      </c>
      <c r="C22" s="206"/>
      <c r="D22" s="206"/>
      <c r="E22" s="206"/>
      <c r="F22" s="207"/>
      <c r="G22" s="207"/>
      <c r="H22" s="190" t="s">
        <v>409</v>
      </c>
      <c r="I22" s="208" t="s">
        <v>127</v>
      </c>
      <c r="J22" s="766">
        <f>J19+J21</f>
        <v>1.1667743100000001</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S54</f>
        <v>1</v>
      </c>
      <c r="G26" s="27" t="s">
        <v>315</v>
      </c>
      <c r="H26" s="27">
        <f>S54</f>
        <v>1</v>
      </c>
      <c r="I26" s="30" t="s">
        <v>350</v>
      </c>
      <c r="J26" s="199"/>
      <c r="L26" s="47"/>
      <c r="N26" s="27" t="s">
        <v>127</v>
      </c>
      <c r="O26" s="204">
        <f>J22</f>
        <v>1.1667743100000001</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1.1667743100000001</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t="s">
        <v>668</v>
      </c>
      <c r="C29" s="47"/>
      <c r="D29" s="47"/>
      <c r="E29" s="47"/>
      <c r="H29" s="27"/>
      <c r="I29" s="28"/>
      <c r="J29" s="199"/>
      <c r="L29" s="28" t="s">
        <v>127</v>
      </c>
      <c r="M29" s="795">
        <f>D27</f>
        <v>0.1</v>
      </c>
      <c r="N29" s="795"/>
      <c r="O29" s="27" t="s">
        <v>347</v>
      </c>
      <c r="P29" s="795">
        <f>O27</f>
        <v>1.1667743100000001</v>
      </c>
      <c r="Q29" s="795"/>
      <c r="R29" s="211" t="s">
        <v>127</v>
      </c>
      <c r="S29" s="795">
        <f>M29+P29</f>
        <v>1.2667743100000002</v>
      </c>
      <c r="T29" s="795"/>
      <c r="U29" s="192" t="s">
        <v>333</v>
      </c>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2" s="14" customFormat="1" ht="18" customHeight="1">
      <c r="A33" s="96"/>
      <c r="B33" s="47" t="s">
        <v>605</v>
      </c>
      <c r="C33" s="5"/>
      <c r="D33" s="5"/>
      <c r="E33" s="5"/>
      <c r="M33" s="120" t="s">
        <v>606</v>
      </c>
      <c r="N33" s="103" t="s">
        <v>607</v>
      </c>
      <c r="O33" s="1154">
        <v>132</v>
      </c>
      <c r="P33" s="831"/>
      <c r="Q33" s="14" t="s">
        <v>163</v>
      </c>
      <c r="S33" s="214"/>
      <c r="T33" s="18"/>
      <c r="U33" s="18"/>
      <c r="V33" s="97"/>
    </row>
    <row r="34" spans="1:22" s="14" customFormat="1" ht="18" customHeight="1">
      <c r="A34" s="216"/>
      <c r="B34" s="212"/>
      <c r="C34" s="212"/>
      <c r="D34" s="212"/>
      <c r="E34" s="212"/>
      <c r="T34" s="18"/>
      <c r="U34" s="18"/>
      <c r="V34" s="97"/>
    </row>
    <row r="35" spans="1:22"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2"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132</v>
      </c>
      <c r="R36" s="47" t="s">
        <v>350</v>
      </c>
      <c r="T36" s="18"/>
      <c r="U36" s="18"/>
      <c r="V36" s="97"/>
    </row>
    <row r="37" spans="1:22" s="14" customFormat="1" ht="18" customHeight="1">
      <c r="A37" s="216"/>
      <c r="B37" s="212"/>
      <c r="C37" s="212"/>
      <c r="D37" s="212"/>
      <c r="E37" s="212"/>
      <c r="F37" s="212"/>
      <c r="G37" s="212"/>
      <c r="I37" s="28" t="s">
        <v>127</v>
      </c>
      <c r="J37" s="692">
        <f>(O31*1000)/(SQRT(3)*O33)</f>
        <v>437.38656756789834</v>
      </c>
      <c r="K37" s="692"/>
      <c r="L37" s="14" t="s">
        <v>8</v>
      </c>
      <c r="M37" s="120"/>
      <c r="N37" s="120"/>
      <c r="O37" s="120"/>
      <c r="T37" s="18"/>
      <c r="U37" s="18"/>
      <c r="V37" s="97"/>
    </row>
    <row r="38" spans="1:22" s="14" customFormat="1" ht="18" customHeight="1">
      <c r="A38" s="216"/>
      <c r="B38" s="212"/>
      <c r="C38" s="212"/>
      <c r="D38" s="212"/>
      <c r="E38" s="212"/>
      <c r="G38" s="212"/>
      <c r="H38" s="28"/>
      <c r="I38" s="103"/>
      <c r="J38" s="28"/>
      <c r="M38" s="212"/>
      <c r="N38" s="219"/>
      <c r="O38" s="212"/>
      <c r="T38" s="18"/>
      <c r="U38" s="18"/>
      <c r="V38" s="97"/>
    </row>
    <row r="39" spans="1:22" s="14" customFormat="1" ht="18" customHeight="1">
      <c r="A39" s="147" t="s">
        <v>669</v>
      </c>
      <c r="B39" s="5"/>
      <c r="C39" s="5"/>
      <c r="D39" s="5"/>
      <c r="E39" s="5"/>
      <c r="F39" s="212"/>
      <c r="G39" s="212"/>
      <c r="H39" s="5"/>
      <c r="I39" s="5"/>
      <c r="J39" s="5"/>
      <c r="K39" s="5"/>
      <c r="L39" s="103"/>
      <c r="M39" s="103"/>
      <c r="N39" s="103"/>
      <c r="O39" s="103"/>
      <c r="P39" s="212"/>
      <c r="Q39" s="213"/>
      <c r="U39" s="18"/>
      <c r="V39" s="97"/>
    </row>
    <row r="40" spans="1:22" s="14" customFormat="1" ht="18" customHeight="1">
      <c r="A40" s="147"/>
      <c r="B40" s="5"/>
      <c r="C40" s="5"/>
      <c r="D40" s="5"/>
      <c r="E40" s="5"/>
      <c r="F40" s="212"/>
      <c r="G40" s="212"/>
      <c r="H40" s="5"/>
      <c r="I40" s="5"/>
      <c r="J40" s="5"/>
      <c r="K40" s="5"/>
      <c r="L40" s="103"/>
      <c r="M40" s="103"/>
      <c r="N40" s="103"/>
      <c r="O40" s="103"/>
      <c r="P40" s="212"/>
      <c r="Q40" s="213"/>
      <c r="S40" s="214"/>
      <c r="T40" s="18"/>
      <c r="U40" s="18"/>
      <c r="V40" s="97"/>
    </row>
    <row r="41" spans="1:22" ht="18" customHeight="1">
      <c r="A41" s="184" t="s">
        <v>670</v>
      </c>
      <c r="B41" s="14"/>
      <c r="C41" s="14"/>
      <c r="D41" s="14"/>
      <c r="E41" s="14"/>
      <c r="M41" s="120"/>
      <c r="N41" s="27" t="s">
        <v>127</v>
      </c>
      <c r="O41" s="689">
        <v>50000</v>
      </c>
      <c r="P41" s="716"/>
      <c r="Q41" s="461" t="s">
        <v>8</v>
      </c>
      <c r="R41" s="221"/>
      <c r="S41" s="214"/>
      <c r="V41" s="185"/>
    </row>
    <row r="42" spans="1:22" ht="18" customHeight="1">
      <c r="A42" s="184"/>
      <c r="B42" s="14"/>
      <c r="C42" s="14"/>
      <c r="D42" s="14"/>
      <c r="E42" s="14"/>
      <c r="M42" s="120"/>
      <c r="N42" s="27"/>
      <c r="O42" s="28"/>
      <c r="P42" s="14"/>
      <c r="Q42" s="461"/>
      <c r="R42" s="221"/>
      <c r="S42" s="214"/>
      <c r="V42" s="185"/>
    </row>
    <row r="43" spans="1:22" ht="18" customHeight="1">
      <c r="A43" s="184"/>
      <c r="B43" s="689" t="s">
        <v>473</v>
      </c>
      <c r="C43" s="1150" t="s">
        <v>652</v>
      </c>
      <c r="D43" s="279"/>
      <c r="E43" s="279"/>
      <c r="F43" s="279"/>
      <c r="G43" s="802">
        <v>0.4</v>
      </c>
      <c r="H43" s="1153" t="s">
        <v>315</v>
      </c>
      <c r="I43" s="790" t="s">
        <v>671</v>
      </c>
      <c r="J43" s="1147"/>
      <c r="K43" s="1147"/>
      <c r="L43" s="1147"/>
      <c r="M43" s="1147"/>
      <c r="N43" s="689" t="s">
        <v>672</v>
      </c>
      <c r="O43" s="708" t="s">
        <v>420</v>
      </c>
      <c r="P43" s="689" t="s">
        <v>347</v>
      </c>
      <c r="Q43" s="790" t="s">
        <v>673</v>
      </c>
      <c r="R43" s="708" t="s">
        <v>674</v>
      </c>
      <c r="S43" s="790" t="s">
        <v>482</v>
      </c>
      <c r="T43" s="14"/>
      <c r="U43" s="729" t="s">
        <v>653</v>
      </c>
      <c r="V43" s="185"/>
    </row>
    <row r="44" spans="1:22" ht="18" customHeight="1">
      <c r="A44" s="96"/>
      <c r="B44" s="689"/>
      <c r="C44" s="689"/>
      <c r="D44" s="279"/>
      <c r="E44" s="279"/>
      <c r="F44" s="279"/>
      <c r="G44" s="802"/>
      <c r="H44" s="689"/>
      <c r="I44" s="1190" t="s">
        <v>483</v>
      </c>
      <c r="J44" s="1189"/>
      <c r="K44" s="1189"/>
      <c r="L44" s="1189"/>
      <c r="M44" s="1189"/>
      <c r="N44" s="689"/>
      <c r="O44" s="689"/>
      <c r="P44" s="689"/>
      <c r="Q44" s="689"/>
      <c r="R44" s="689"/>
      <c r="S44" s="689"/>
      <c r="T44" s="14"/>
      <c r="U44" s="689"/>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84"/>
      <c r="V47" s="185"/>
    </row>
    <row r="48" spans="1:22" ht="18" customHeight="1">
      <c r="A48" s="184"/>
      <c r="B48" s="47" t="s">
        <v>675</v>
      </c>
      <c r="C48" s="14"/>
      <c r="D48" s="14"/>
      <c r="E48" s="14"/>
      <c r="F48" s="18"/>
      <c r="G48" s="18"/>
      <c r="H48" s="14"/>
      <c r="I48" s="120"/>
      <c r="J48" s="14"/>
      <c r="K48" s="14"/>
      <c r="M48" s="14"/>
      <c r="N48" s="14"/>
      <c r="P48" s="30" t="s">
        <v>483</v>
      </c>
      <c r="R48" s="234" t="s">
        <v>127</v>
      </c>
      <c r="S48" s="684">
        <f>H10</f>
        <v>1750</v>
      </c>
      <c r="T48" s="684"/>
      <c r="U48" s="30" t="s">
        <v>8</v>
      </c>
      <c r="V48" s="185"/>
    </row>
    <row r="49" spans="1:22" ht="18" customHeight="1">
      <c r="A49" s="184"/>
      <c r="B49" s="47" t="s">
        <v>655</v>
      </c>
      <c r="C49" s="14"/>
      <c r="D49" s="14"/>
      <c r="E49" s="14"/>
      <c r="F49" s="18"/>
      <c r="G49" s="18"/>
      <c r="H49" s="14"/>
      <c r="I49" s="120"/>
      <c r="J49" s="14"/>
      <c r="K49" s="14"/>
      <c r="M49" s="14"/>
      <c r="N49" s="14"/>
      <c r="P49" s="14" t="s">
        <v>420</v>
      </c>
      <c r="R49" s="234" t="s">
        <v>127</v>
      </c>
      <c r="S49" s="684">
        <f>H12</f>
        <v>5</v>
      </c>
      <c r="T49" s="684"/>
      <c r="U49" s="192" t="s">
        <v>333</v>
      </c>
      <c r="V49" s="185"/>
    </row>
    <row r="50" spans="1:22" ht="18" customHeight="1">
      <c r="A50" s="184"/>
      <c r="B50" s="47" t="s">
        <v>676</v>
      </c>
      <c r="C50" s="14"/>
      <c r="D50" s="14"/>
      <c r="E50" s="14"/>
      <c r="F50" s="18"/>
      <c r="G50" s="18"/>
      <c r="H50" s="14"/>
      <c r="I50" s="120"/>
      <c r="J50" s="14"/>
      <c r="K50" s="14"/>
      <c r="M50" s="14"/>
      <c r="N50" s="14"/>
      <c r="P50" s="30" t="s">
        <v>673</v>
      </c>
      <c r="R50" s="234" t="s">
        <v>127</v>
      </c>
      <c r="S50" s="795">
        <f>S29</f>
        <v>1.2667743100000002</v>
      </c>
      <c r="T50" s="795"/>
      <c r="U50" s="192" t="s">
        <v>333</v>
      </c>
      <c r="V50" s="185"/>
    </row>
    <row r="51" spans="1:22" ht="18" customHeight="1">
      <c r="A51" s="184"/>
      <c r="B51" s="296" t="s">
        <v>677</v>
      </c>
      <c r="C51" s="14"/>
      <c r="D51" s="14"/>
      <c r="E51" s="14"/>
      <c r="F51" s="14"/>
      <c r="G51" s="14"/>
      <c r="H51" s="14"/>
      <c r="I51" s="120"/>
      <c r="J51" s="14"/>
      <c r="K51" s="14"/>
      <c r="M51" s="14"/>
      <c r="N51" s="14"/>
      <c r="P51" s="14" t="s">
        <v>411</v>
      </c>
      <c r="R51" s="234" t="s">
        <v>127</v>
      </c>
      <c r="S51" s="684">
        <f>O10</f>
        <v>1</v>
      </c>
      <c r="T51" s="684"/>
      <c r="U51" s="30" t="s">
        <v>8</v>
      </c>
      <c r="V51" s="185"/>
    </row>
    <row r="52" spans="1:22" ht="18" customHeight="1">
      <c r="A52" s="184"/>
      <c r="B52" s="47" t="s">
        <v>678</v>
      </c>
      <c r="C52" s="14"/>
      <c r="D52" s="14"/>
      <c r="E52" s="14"/>
      <c r="F52" s="14"/>
      <c r="G52" s="14"/>
      <c r="H52" s="14"/>
      <c r="I52" s="120"/>
      <c r="J52" s="14"/>
      <c r="K52" s="14"/>
      <c r="M52" s="14"/>
      <c r="N52" s="14"/>
      <c r="P52" s="244" t="s">
        <v>671</v>
      </c>
      <c r="R52" s="234" t="s">
        <v>127</v>
      </c>
      <c r="S52" s="684">
        <f>O41</f>
        <v>50000</v>
      </c>
      <c r="T52" s="684"/>
      <c r="U52" s="30" t="s">
        <v>8</v>
      </c>
      <c r="V52" s="185"/>
    </row>
    <row r="53" spans="1:22" ht="18" customHeight="1">
      <c r="A53" s="184"/>
      <c r="B53" s="296" t="s">
        <v>679</v>
      </c>
      <c r="C53" s="14"/>
      <c r="D53" s="14"/>
      <c r="E53" s="14"/>
      <c r="F53" s="14"/>
      <c r="G53" s="14"/>
      <c r="H53" s="14"/>
      <c r="I53" s="120"/>
      <c r="J53" s="14"/>
      <c r="K53" s="14"/>
      <c r="M53" s="14"/>
      <c r="N53" s="14"/>
      <c r="P53" s="120" t="s">
        <v>680</v>
      </c>
      <c r="R53" s="234" t="s">
        <v>127</v>
      </c>
      <c r="S53" s="795">
        <f>J37</f>
        <v>437.38656756789834</v>
      </c>
      <c r="T53" s="684"/>
      <c r="U53" s="30" t="s">
        <v>8</v>
      </c>
      <c r="V53" s="185"/>
    </row>
    <row r="54" spans="1:22" ht="18" customHeight="1">
      <c r="A54" s="184"/>
      <c r="B54" s="47" t="s">
        <v>659</v>
      </c>
      <c r="C54" s="14"/>
      <c r="D54" s="14"/>
      <c r="E54" s="14"/>
      <c r="F54" s="14"/>
      <c r="G54" s="14"/>
      <c r="H54" s="14"/>
      <c r="I54" s="120"/>
      <c r="J54" s="14"/>
      <c r="K54" s="14"/>
      <c r="M54" s="14"/>
      <c r="N54" s="14"/>
      <c r="P54" s="120" t="s">
        <v>660</v>
      </c>
      <c r="R54" s="234" t="s">
        <v>127</v>
      </c>
      <c r="S54" s="684">
        <f>'[6]CT-VT Burdens'!S18</f>
        <v>1</v>
      </c>
      <c r="T54" s="684"/>
      <c r="U54" s="30" t="s">
        <v>8</v>
      </c>
      <c r="V54" s="185"/>
    </row>
    <row r="55" spans="1:22" ht="18" customHeight="1">
      <c r="A55" s="96"/>
      <c r="B55" s="14"/>
      <c r="C55" s="14"/>
      <c r="D55" s="235"/>
      <c r="E55" s="14"/>
      <c r="F55" s="28"/>
      <c r="G55" s="249"/>
      <c r="H55" s="28"/>
      <c r="I55" s="251"/>
      <c r="J55" s="14"/>
      <c r="K55" s="280"/>
      <c r="M55" s="47"/>
      <c r="N55" s="268"/>
      <c r="P55" s="281"/>
      <c r="R55" s="234"/>
      <c r="S55" s="1148"/>
      <c r="T55" s="723"/>
      <c r="V55" s="185"/>
    </row>
    <row r="56" spans="1:22" s="279" customFormat="1" ht="18" customHeight="1">
      <c r="A56" s="277"/>
      <c r="B56" s="689" t="s">
        <v>473</v>
      </c>
      <c r="C56" s="1150" t="s">
        <v>652</v>
      </c>
      <c r="G56" s="802">
        <f>G43</f>
        <v>0.4</v>
      </c>
      <c r="H56" s="1151" t="s">
        <v>315</v>
      </c>
      <c r="I56" s="829">
        <f>O41</f>
        <v>50000</v>
      </c>
      <c r="J56" s="1152"/>
      <c r="K56" s="1152"/>
      <c r="L56" s="1152"/>
      <c r="M56" s="1152"/>
      <c r="N56" s="689" t="s">
        <v>672</v>
      </c>
      <c r="O56" s="708">
        <f>S49</f>
        <v>5</v>
      </c>
      <c r="P56" s="689" t="s">
        <v>347</v>
      </c>
      <c r="Q56" s="829">
        <f>S50</f>
        <v>1.2667743100000002</v>
      </c>
      <c r="R56" s="708" t="s">
        <v>674</v>
      </c>
      <c r="S56" s="708">
        <f>S51</f>
        <v>1</v>
      </c>
      <c r="T56" s="14"/>
      <c r="U56" s="729" t="s">
        <v>653</v>
      </c>
      <c r="V56" s="185"/>
    </row>
    <row r="57" spans="1:22" s="279" customFormat="1" ht="18" customHeight="1">
      <c r="A57" s="277"/>
      <c r="B57" s="689"/>
      <c r="C57" s="689"/>
      <c r="G57" s="802"/>
      <c r="H57" s="684"/>
      <c r="I57" s="1189">
        <f>H10</f>
        <v>1750</v>
      </c>
      <c r="J57" s="1189"/>
      <c r="K57" s="1189"/>
      <c r="L57" s="1189"/>
      <c r="M57" s="1189"/>
      <c r="N57" s="689"/>
      <c r="O57" s="689"/>
      <c r="P57" s="689"/>
      <c r="Q57" s="689"/>
      <c r="R57" s="689"/>
      <c r="S57" s="689"/>
      <c r="T57" s="14"/>
      <c r="U57" s="689"/>
      <c r="V57" s="185"/>
    </row>
    <row r="58" spans="1:22" ht="18" customHeight="1">
      <c r="A58" s="96"/>
      <c r="B58" s="14"/>
      <c r="C58" s="27" t="s">
        <v>127</v>
      </c>
      <c r="D58" s="812">
        <f>ROUNDUP(G56*(I56/(I57)*(O56+Q56)*S56),2)</f>
        <v>71.63000000000001</v>
      </c>
      <c r="E58" s="813"/>
      <c r="F58" s="30" t="s">
        <v>305</v>
      </c>
      <c r="G58" s="14"/>
      <c r="H58" s="14"/>
      <c r="I58" s="14"/>
      <c r="J58" s="14"/>
      <c r="K58" s="14"/>
      <c r="L58" s="14"/>
      <c r="M58" s="14"/>
      <c r="N58" s="14"/>
      <c r="R58" s="234"/>
      <c r="S58" s="204"/>
      <c r="V58" s="185"/>
    </row>
    <row r="59" spans="1:22" ht="18" customHeight="1">
      <c r="A59" s="96"/>
      <c r="B59" s="14"/>
      <c r="G59" s="14"/>
      <c r="H59" s="14"/>
      <c r="I59" s="14"/>
      <c r="J59" s="14"/>
      <c r="K59" s="14"/>
      <c r="L59" s="14"/>
      <c r="M59" s="14"/>
      <c r="N59" s="14"/>
      <c r="R59" s="234"/>
      <c r="S59" s="204"/>
      <c r="V59" s="185"/>
    </row>
    <row r="60" spans="1:22" ht="18" hidden="1" customHeight="1">
      <c r="A60" s="96"/>
      <c r="B60" s="14"/>
      <c r="G60" s="27"/>
      <c r="M60" s="14"/>
      <c r="N60" s="14"/>
      <c r="R60" s="234"/>
      <c r="S60" s="204"/>
      <c r="V60" s="185"/>
    </row>
    <row r="61" spans="1:22" ht="18" hidden="1" customHeight="1">
      <c r="A61" s="96"/>
      <c r="B61" s="14"/>
      <c r="G61" s="27"/>
      <c r="H61" s="204"/>
      <c r="M61" s="14"/>
      <c r="N61" s="14"/>
      <c r="R61" s="234"/>
      <c r="S61" s="204"/>
      <c r="V61" s="185"/>
    </row>
    <row r="62" spans="1:22" ht="18" hidden="1" customHeight="1">
      <c r="A62" s="96"/>
      <c r="B62" s="14"/>
      <c r="F62" s="244"/>
      <c r="H62" s="18"/>
      <c r="M62" s="14"/>
      <c r="N62" s="14"/>
      <c r="R62" s="234"/>
      <c r="S62" s="204"/>
      <c r="V62" s="185"/>
    </row>
    <row r="63" spans="1:22" ht="18" hidden="1" customHeight="1">
      <c r="A63" s="96"/>
      <c r="B63" s="14"/>
      <c r="G63" s="14"/>
      <c r="H63" s="14"/>
      <c r="I63" s="14"/>
      <c r="J63" s="14"/>
      <c r="K63" s="14"/>
      <c r="L63" s="14"/>
      <c r="M63" s="14"/>
      <c r="N63" s="14"/>
      <c r="R63" s="234"/>
      <c r="S63" s="204"/>
      <c r="V63" s="185"/>
    </row>
    <row r="64" spans="1:22" ht="18" customHeight="1">
      <c r="A64" s="184" t="s">
        <v>612</v>
      </c>
      <c r="B64" s="14"/>
      <c r="C64" s="14"/>
      <c r="D64" s="14"/>
      <c r="E64" s="14"/>
      <c r="M64" s="120" t="s">
        <v>613</v>
      </c>
      <c r="N64" s="28" t="s">
        <v>127</v>
      </c>
      <c r="O64" s="689" t="s">
        <v>609</v>
      </c>
      <c r="P64" s="716"/>
      <c r="Q64" s="245" t="s">
        <v>681</v>
      </c>
      <c r="R64" s="805" t="str">
        <f>B32</f>
        <v>Percentage Impedance</v>
      </c>
      <c r="S64" s="805"/>
      <c r="T64" s="805"/>
      <c r="U64" s="805"/>
      <c r="V64" s="968"/>
    </row>
    <row r="65" spans="1:22" ht="18" customHeight="1">
      <c r="A65" s="96"/>
      <c r="B65" s="5"/>
      <c r="C65" s="5"/>
      <c r="D65" s="5"/>
      <c r="E65" s="5"/>
      <c r="M65" s="250"/>
      <c r="N65" s="28" t="s">
        <v>127</v>
      </c>
      <c r="O65" s="692">
        <f>J37</f>
        <v>437.38656756789834</v>
      </c>
      <c r="P65" s="716"/>
      <c r="Q65" s="245" t="s">
        <v>342</v>
      </c>
      <c r="R65" s="221">
        <f>O32%</f>
        <v>0.25</v>
      </c>
      <c r="S65" s="214"/>
      <c r="V65" s="185"/>
    </row>
    <row r="66" spans="1:22" ht="18" customHeight="1">
      <c r="A66" s="96"/>
      <c r="B66" s="5"/>
      <c r="C66" s="5"/>
      <c r="D66" s="5"/>
      <c r="E66" s="5"/>
      <c r="M66" s="120" t="s">
        <v>613</v>
      </c>
      <c r="N66" s="28" t="s">
        <v>127</v>
      </c>
      <c r="O66" s="689">
        <f>O65/R65</f>
        <v>1749.5462702715934</v>
      </c>
      <c r="P66" s="716"/>
      <c r="Q66" s="241" t="s">
        <v>8</v>
      </c>
      <c r="R66" s="14"/>
      <c r="S66" s="214"/>
      <c r="V66" s="185"/>
    </row>
    <row r="67" spans="1:22" ht="18" customHeight="1">
      <c r="A67" s="96"/>
      <c r="B67" s="5"/>
      <c r="C67" s="5"/>
      <c r="D67" s="5"/>
      <c r="E67" s="5"/>
      <c r="M67" s="120"/>
      <c r="N67" s="28"/>
      <c r="O67" s="28"/>
      <c r="P67" s="14"/>
      <c r="Q67" s="241"/>
      <c r="R67" s="14"/>
      <c r="S67" s="214"/>
      <c r="V67" s="185"/>
    </row>
    <row r="68" spans="1:22" s="279" customFormat="1" ht="18" customHeight="1">
      <c r="A68" s="277"/>
      <c r="B68" s="689" t="s">
        <v>473</v>
      </c>
      <c r="C68" s="1150" t="s">
        <v>652</v>
      </c>
      <c r="G68" s="802">
        <v>1.6</v>
      </c>
      <c r="H68" s="1153" t="s">
        <v>315</v>
      </c>
      <c r="I68" s="790" t="s">
        <v>682</v>
      </c>
      <c r="J68" s="1147"/>
      <c r="K68" s="1147"/>
      <c r="L68" s="1147"/>
      <c r="M68" s="1147"/>
      <c r="N68" s="689" t="s">
        <v>672</v>
      </c>
      <c r="O68" s="708" t="s">
        <v>420</v>
      </c>
      <c r="P68" s="689" t="s">
        <v>347</v>
      </c>
      <c r="Q68" s="790" t="s">
        <v>673</v>
      </c>
      <c r="R68" s="708" t="s">
        <v>674</v>
      </c>
      <c r="S68" s="790" t="s">
        <v>482</v>
      </c>
      <c r="T68" s="14"/>
      <c r="U68" s="726" t="s">
        <v>683</v>
      </c>
      <c r="V68" s="185"/>
    </row>
    <row r="69" spans="1:22" s="279" customFormat="1" ht="18" customHeight="1">
      <c r="A69" s="277"/>
      <c r="B69" s="689"/>
      <c r="C69" s="689"/>
      <c r="G69" s="802"/>
      <c r="H69" s="689"/>
      <c r="I69" s="1190" t="s">
        <v>483</v>
      </c>
      <c r="J69" s="1189"/>
      <c r="K69" s="1189"/>
      <c r="L69" s="1189"/>
      <c r="M69" s="1189"/>
      <c r="N69" s="689"/>
      <c r="O69" s="689"/>
      <c r="P69" s="689"/>
      <c r="Q69" s="689"/>
      <c r="R69" s="689"/>
      <c r="S69" s="689"/>
      <c r="T69" s="14"/>
      <c r="U69" s="689"/>
      <c r="V69" s="185"/>
    </row>
    <row r="70" spans="1:22" ht="18" customHeight="1">
      <c r="A70" s="184"/>
      <c r="V70" s="185"/>
    </row>
    <row r="71" spans="1:22" ht="18" customHeight="1">
      <c r="A71" s="184"/>
      <c r="B71" s="47" t="s">
        <v>675</v>
      </c>
      <c r="C71" s="14"/>
      <c r="D71" s="14"/>
      <c r="E71" s="14"/>
      <c r="F71" s="18"/>
      <c r="G71" s="18"/>
      <c r="H71" s="14"/>
      <c r="I71" s="120"/>
      <c r="J71" s="14"/>
      <c r="K71" s="14"/>
      <c r="M71" s="14"/>
      <c r="N71" s="14"/>
      <c r="P71" s="30" t="s">
        <v>483</v>
      </c>
      <c r="R71" s="234" t="s">
        <v>127</v>
      </c>
      <c r="S71" s="684">
        <f>H10</f>
        <v>1750</v>
      </c>
      <c r="T71" s="684"/>
      <c r="U71" s="30" t="s">
        <v>8</v>
      </c>
      <c r="V71" s="185"/>
    </row>
    <row r="72" spans="1:22" ht="18" customHeight="1">
      <c r="A72" s="184"/>
      <c r="B72" s="47" t="s">
        <v>655</v>
      </c>
      <c r="C72" s="14"/>
      <c r="D72" s="14"/>
      <c r="E72" s="14"/>
      <c r="F72" s="18"/>
      <c r="G72" s="18"/>
      <c r="H72" s="14"/>
      <c r="I72" s="120"/>
      <c r="J72" s="14"/>
      <c r="K72" s="14"/>
      <c r="M72" s="14"/>
      <c r="N72" s="14"/>
      <c r="P72" s="14" t="s">
        <v>420</v>
      </c>
      <c r="R72" s="234" t="s">
        <v>127</v>
      </c>
      <c r="S72" s="684">
        <f>H12</f>
        <v>5</v>
      </c>
      <c r="T72" s="684"/>
      <c r="U72" s="192" t="s">
        <v>333</v>
      </c>
      <c r="V72" s="185"/>
    </row>
    <row r="73" spans="1:22" ht="18" customHeight="1">
      <c r="A73" s="184"/>
      <c r="B73" s="47" t="s">
        <v>676</v>
      </c>
      <c r="C73" s="14"/>
      <c r="D73" s="14"/>
      <c r="E73" s="14"/>
      <c r="F73" s="18"/>
      <c r="G73" s="18"/>
      <c r="H73" s="14"/>
      <c r="I73" s="120"/>
      <c r="J73" s="14"/>
      <c r="K73" s="14"/>
      <c r="M73" s="14"/>
      <c r="N73" s="14"/>
      <c r="P73" s="30" t="s">
        <v>673</v>
      </c>
      <c r="R73" s="234" t="s">
        <v>127</v>
      </c>
      <c r="S73" s="795">
        <f>S29</f>
        <v>1.2667743100000002</v>
      </c>
      <c r="T73" s="795"/>
      <c r="U73" s="192" t="s">
        <v>333</v>
      </c>
      <c r="V73" s="185"/>
    </row>
    <row r="74" spans="1:22" ht="18" customHeight="1">
      <c r="A74" s="184"/>
      <c r="B74" s="296" t="s">
        <v>677</v>
      </c>
      <c r="C74" s="14"/>
      <c r="D74" s="14"/>
      <c r="E74" s="14"/>
      <c r="F74" s="14"/>
      <c r="G74" s="14"/>
      <c r="H74" s="14"/>
      <c r="I74" s="120"/>
      <c r="J74" s="14"/>
      <c r="K74" s="14"/>
      <c r="M74" s="14"/>
      <c r="N74" s="14"/>
      <c r="P74" s="14" t="s">
        <v>411</v>
      </c>
      <c r="R74" s="234" t="s">
        <v>127</v>
      </c>
      <c r="S74" s="684">
        <f>O10</f>
        <v>1</v>
      </c>
      <c r="T74" s="684"/>
      <c r="U74" s="30" t="s">
        <v>8</v>
      </c>
      <c r="V74" s="185"/>
    </row>
    <row r="75" spans="1:22" ht="18" customHeight="1">
      <c r="A75" s="184"/>
      <c r="B75" s="47" t="s">
        <v>678</v>
      </c>
      <c r="C75" s="14"/>
      <c r="D75" s="14"/>
      <c r="E75" s="14"/>
      <c r="F75" s="14"/>
      <c r="G75" s="14"/>
      <c r="H75" s="14"/>
      <c r="I75" s="120"/>
      <c r="J75" s="14"/>
      <c r="K75" s="14"/>
      <c r="M75" s="14"/>
      <c r="N75" s="14"/>
      <c r="P75" s="244" t="s">
        <v>682</v>
      </c>
      <c r="R75" s="234" t="s">
        <v>127</v>
      </c>
      <c r="S75" s="684">
        <f>O66</f>
        <v>1749.5462702715934</v>
      </c>
      <c r="T75" s="684"/>
      <c r="U75" s="30" t="s">
        <v>8</v>
      </c>
      <c r="V75" s="185"/>
    </row>
    <row r="76" spans="1:22" ht="18" customHeight="1">
      <c r="A76" s="184"/>
      <c r="B76" s="296" t="s">
        <v>679</v>
      </c>
      <c r="C76" s="14"/>
      <c r="D76" s="14"/>
      <c r="E76" s="14"/>
      <c r="F76" s="14"/>
      <c r="G76" s="14"/>
      <c r="H76" s="14"/>
      <c r="I76" s="120"/>
      <c r="J76" s="14"/>
      <c r="K76" s="14"/>
      <c r="M76" s="14"/>
      <c r="N76" s="14"/>
      <c r="P76" s="120" t="s">
        <v>680</v>
      </c>
      <c r="R76" s="234" t="s">
        <v>127</v>
      </c>
      <c r="S76" s="795">
        <f>J37</f>
        <v>437.38656756789834</v>
      </c>
      <c r="T76" s="684"/>
      <c r="U76" s="30" t="s">
        <v>8</v>
      </c>
      <c r="V76" s="185"/>
    </row>
    <row r="77" spans="1:22" ht="18" customHeight="1">
      <c r="A77" s="184"/>
      <c r="B77" s="47" t="s">
        <v>659</v>
      </c>
      <c r="C77" s="14"/>
      <c r="D77" s="14"/>
      <c r="E77" s="14"/>
      <c r="F77" s="14"/>
      <c r="G77" s="14"/>
      <c r="H77" s="14"/>
      <c r="I77" s="120"/>
      <c r="J77" s="14"/>
      <c r="K77" s="14"/>
      <c r="M77" s="14"/>
      <c r="N77" s="14"/>
      <c r="P77" s="120" t="s">
        <v>660</v>
      </c>
      <c r="R77" s="234" t="s">
        <v>127</v>
      </c>
      <c r="S77" s="684">
        <f>O10</f>
        <v>1</v>
      </c>
      <c r="T77" s="684"/>
      <c r="U77" s="30" t="s">
        <v>8</v>
      </c>
      <c r="V77" s="185"/>
    </row>
    <row r="78" spans="1:22" ht="18" customHeight="1">
      <c r="A78" s="96"/>
      <c r="B78" s="14"/>
      <c r="C78" s="14"/>
      <c r="D78" s="235"/>
      <c r="E78" s="14"/>
      <c r="F78" s="28"/>
      <c r="G78" s="249"/>
      <c r="H78" s="28"/>
      <c r="I78" s="251"/>
      <c r="J78" s="14"/>
      <c r="K78" s="280"/>
      <c r="M78" s="47"/>
      <c r="N78" s="268"/>
      <c r="P78" s="281"/>
      <c r="R78" s="234"/>
      <c r="S78" s="1148"/>
      <c r="T78" s="723"/>
      <c r="V78" s="185"/>
    </row>
    <row r="79" spans="1:22" s="279" customFormat="1" ht="18" customHeight="1">
      <c r="A79" s="277"/>
      <c r="B79" s="689" t="s">
        <v>473</v>
      </c>
      <c r="C79" s="1150" t="s">
        <v>652</v>
      </c>
      <c r="G79" s="802">
        <f>G68</f>
        <v>1.6</v>
      </c>
      <c r="H79" s="1151" t="s">
        <v>315</v>
      </c>
      <c r="I79" s="829">
        <f>O66</f>
        <v>1749.5462702715934</v>
      </c>
      <c r="J79" s="1152"/>
      <c r="K79" s="1152"/>
      <c r="L79" s="1152"/>
      <c r="M79" s="1152"/>
      <c r="N79" s="689" t="s">
        <v>672</v>
      </c>
      <c r="O79" s="708">
        <f>S72</f>
        <v>5</v>
      </c>
      <c r="P79" s="689" t="s">
        <v>347</v>
      </c>
      <c r="Q79" s="829">
        <f>S73</f>
        <v>1.2667743100000002</v>
      </c>
      <c r="R79" s="708" t="s">
        <v>674</v>
      </c>
      <c r="S79" s="708">
        <f>S74</f>
        <v>1</v>
      </c>
      <c r="T79" s="14"/>
      <c r="U79" s="726" t="s">
        <v>683</v>
      </c>
      <c r="V79" s="185"/>
    </row>
    <row r="80" spans="1:22" s="279" customFormat="1" ht="18" customHeight="1">
      <c r="A80" s="277"/>
      <c r="B80" s="689"/>
      <c r="C80" s="689"/>
      <c r="G80" s="802"/>
      <c r="H80" s="684"/>
      <c r="I80" s="1189">
        <f>H10</f>
        <v>1750</v>
      </c>
      <c r="J80" s="1189"/>
      <c r="K80" s="1189"/>
      <c r="L80" s="1189"/>
      <c r="M80" s="1189"/>
      <c r="N80" s="689"/>
      <c r="O80" s="689"/>
      <c r="P80" s="689"/>
      <c r="Q80" s="689"/>
      <c r="R80" s="689"/>
      <c r="S80" s="689"/>
      <c r="T80" s="14"/>
      <c r="U80" s="689"/>
      <c r="V80" s="185"/>
    </row>
    <row r="81" spans="1:22" ht="18" customHeight="1">
      <c r="A81" s="96"/>
      <c r="B81" s="14"/>
      <c r="C81" s="27" t="s">
        <v>127</v>
      </c>
      <c r="D81" s="812">
        <f>ROUNDUP(G79*(I79/(I80)*(O79+Q79)*S79),2)</f>
        <v>10.029999999999999</v>
      </c>
      <c r="E81" s="813"/>
      <c r="F81" s="30" t="s">
        <v>305</v>
      </c>
      <c r="G81" s="14"/>
      <c r="H81" s="14"/>
      <c r="I81" s="14"/>
      <c r="J81" s="14"/>
      <c r="K81" s="14"/>
      <c r="L81" s="14"/>
      <c r="M81" s="14"/>
      <c r="N81" s="14"/>
      <c r="R81" s="234"/>
      <c r="S81" s="204"/>
      <c r="V81" s="185"/>
    </row>
    <row r="82" spans="1:22" ht="18" customHeight="1">
      <c r="A82" s="96"/>
      <c r="B82" s="14"/>
      <c r="C82" s="27"/>
      <c r="D82" s="211"/>
      <c r="E82" s="211"/>
      <c r="G82" s="14"/>
      <c r="H82" s="14"/>
      <c r="I82" s="14"/>
      <c r="J82" s="14"/>
      <c r="K82" s="14"/>
      <c r="L82" s="14"/>
      <c r="M82" s="14"/>
      <c r="N82" s="14"/>
      <c r="R82" s="234"/>
      <c r="S82" s="204"/>
      <c r="V82" s="185"/>
    </row>
    <row r="83" spans="1:22" ht="18" customHeight="1">
      <c r="A83" s="96"/>
      <c r="B83" s="14"/>
      <c r="C83" s="27"/>
      <c r="D83" s="211"/>
      <c r="E83" s="211"/>
      <c r="G83" s="14"/>
      <c r="H83" s="14"/>
      <c r="I83" s="14"/>
      <c r="J83" s="14"/>
      <c r="K83" s="14"/>
      <c r="L83" s="14"/>
      <c r="M83" s="14"/>
      <c r="N83" s="14"/>
      <c r="R83" s="234"/>
      <c r="S83" s="204"/>
      <c r="V83" s="185"/>
    </row>
    <row r="84" spans="1:22" ht="18" customHeight="1">
      <c r="A84" s="96"/>
      <c r="B84" s="14"/>
      <c r="C84" s="27"/>
      <c r="D84" s="211"/>
      <c r="E84" s="211"/>
      <c r="G84" s="14"/>
      <c r="H84" s="14"/>
      <c r="I84" s="14"/>
      <c r="J84" s="14"/>
      <c r="K84" s="14"/>
      <c r="L84" s="14"/>
      <c r="M84" s="14"/>
      <c r="N84" s="14"/>
      <c r="R84" s="234"/>
      <c r="S84" s="204"/>
      <c r="V84" s="185"/>
    </row>
    <row r="85" spans="1:22" ht="18" customHeight="1">
      <c r="A85" s="96"/>
      <c r="B85" s="14"/>
      <c r="C85" s="27"/>
      <c r="D85" s="211"/>
      <c r="E85" s="211"/>
      <c r="G85" s="14"/>
      <c r="H85" s="14"/>
      <c r="I85" s="14"/>
      <c r="J85" s="14"/>
      <c r="K85" s="14"/>
      <c r="L85" s="14"/>
      <c r="M85" s="14"/>
      <c r="N85" s="14"/>
      <c r="R85" s="234"/>
      <c r="S85" s="204"/>
      <c r="V85" s="185"/>
    </row>
    <row r="86" spans="1:22" ht="18" customHeight="1">
      <c r="A86" s="96"/>
      <c r="B86" s="14"/>
      <c r="C86" s="27"/>
      <c r="D86" s="211"/>
      <c r="E86" s="211"/>
      <c r="G86" s="14"/>
      <c r="H86" s="14"/>
      <c r="I86" s="14"/>
      <c r="J86" s="14"/>
      <c r="K86" s="14"/>
      <c r="L86" s="14"/>
      <c r="M86" s="14"/>
      <c r="N86" s="14"/>
      <c r="R86" s="234"/>
      <c r="S86" s="204"/>
      <c r="V86" s="185"/>
    </row>
    <row r="87" spans="1:22" ht="18" customHeight="1">
      <c r="A87" s="96"/>
      <c r="B87" s="14"/>
      <c r="C87" s="27"/>
      <c r="D87" s="211"/>
      <c r="E87" s="211"/>
      <c r="G87" s="14"/>
      <c r="H87" s="14"/>
      <c r="I87" s="14"/>
      <c r="J87" s="14"/>
      <c r="K87" s="14"/>
      <c r="L87" s="14"/>
      <c r="M87" s="14"/>
      <c r="N87" s="14"/>
      <c r="R87" s="234"/>
      <c r="S87" s="204"/>
      <c r="V87" s="185"/>
    </row>
    <row r="88" spans="1:22" ht="18" customHeight="1">
      <c r="A88" s="96"/>
      <c r="B88" s="14"/>
      <c r="G88" s="14"/>
      <c r="H88" s="14"/>
      <c r="I88" s="14"/>
      <c r="J88" s="14"/>
      <c r="K88" s="14"/>
      <c r="L88" s="14"/>
      <c r="M88" s="14"/>
      <c r="N88" s="14"/>
      <c r="R88" s="234"/>
      <c r="S88" s="204"/>
      <c r="V88" s="185"/>
    </row>
    <row r="89" spans="1:22" ht="18" customHeight="1">
      <c r="A89" s="194"/>
      <c r="B89" s="195"/>
      <c r="C89" s="196"/>
      <c r="D89" s="196"/>
      <c r="E89" s="196"/>
      <c r="F89" s="196"/>
      <c r="G89" s="195"/>
      <c r="H89" s="195"/>
      <c r="I89" s="195"/>
      <c r="J89" s="195"/>
      <c r="K89" s="195"/>
      <c r="L89" s="195"/>
      <c r="M89" s="195"/>
      <c r="N89" s="195"/>
      <c r="O89" s="196"/>
      <c r="P89" s="196"/>
      <c r="Q89" s="196"/>
      <c r="R89" s="591"/>
      <c r="S89" s="518"/>
      <c r="T89" s="196"/>
      <c r="U89" s="196"/>
      <c r="V89" s="291"/>
    </row>
    <row r="90" spans="1:22" ht="18" customHeight="1">
      <c r="A90" s="96"/>
      <c r="B90" s="14"/>
      <c r="G90" s="14"/>
      <c r="H90" s="14"/>
      <c r="I90" s="14"/>
      <c r="J90" s="14"/>
      <c r="K90" s="14"/>
      <c r="L90" s="14"/>
      <c r="M90" s="14"/>
      <c r="N90" s="14"/>
      <c r="R90" s="234"/>
      <c r="S90" s="204"/>
      <c r="V90" s="185"/>
    </row>
    <row r="91" spans="1:22" ht="18" customHeight="1">
      <c r="A91" s="184" t="s">
        <v>684</v>
      </c>
      <c r="B91" s="14"/>
      <c r="G91" s="14"/>
      <c r="H91" s="14"/>
      <c r="I91" s="14"/>
      <c r="J91" s="14"/>
      <c r="K91" s="14"/>
      <c r="L91" s="14"/>
      <c r="M91" s="14"/>
      <c r="N91" s="14"/>
      <c r="R91" s="234"/>
      <c r="S91" s="204"/>
      <c r="U91" s="726" t="s">
        <v>685</v>
      </c>
      <c r="V91" s="185"/>
    </row>
    <row r="92" spans="1:22" ht="18" customHeight="1">
      <c r="A92" s="184"/>
      <c r="E92" s="30" t="s">
        <v>473</v>
      </c>
      <c r="F92" s="278" t="s">
        <v>652</v>
      </c>
      <c r="G92" s="28">
        <v>20</v>
      </c>
      <c r="H92" s="27" t="s">
        <v>315</v>
      </c>
      <c r="I92" s="27" t="s">
        <v>482</v>
      </c>
      <c r="J92" s="27" t="s">
        <v>372</v>
      </c>
      <c r="K92" s="27" t="s">
        <v>420</v>
      </c>
      <c r="L92" s="27" t="s">
        <v>347</v>
      </c>
      <c r="M92" s="27" t="s">
        <v>673</v>
      </c>
      <c r="N92" s="27" t="s">
        <v>350</v>
      </c>
      <c r="R92" s="234"/>
      <c r="S92" s="204"/>
      <c r="U92" s="689"/>
      <c r="V92" s="185"/>
    </row>
    <row r="93" spans="1:22" ht="18" customHeight="1">
      <c r="A93" s="184"/>
      <c r="B93" s="47" t="s">
        <v>655</v>
      </c>
      <c r="C93" s="14"/>
      <c r="D93" s="14"/>
      <c r="E93" s="14"/>
      <c r="F93" s="18"/>
      <c r="G93" s="18"/>
      <c r="H93" s="14"/>
      <c r="I93" s="120"/>
      <c r="J93" s="14"/>
      <c r="K93" s="14"/>
      <c r="M93" s="14"/>
      <c r="N93" s="14"/>
      <c r="P93" s="14" t="s">
        <v>420</v>
      </c>
      <c r="R93" s="234" t="s">
        <v>127</v>
      </c>
      <c r="S93" s="684">
        <f>H12</f>
        <v>5</v>
      </c>
      <c r="T93" s="684"/>
      <c r="U93" s="192" t="s">
        <v>333</v>
      </c>
      <c r="V93" s="185"/>
    </row>
    <row r="94" spans="1:22" ht="18" customHeight="1">
      <c r="A94" s="184"/>
      <c r="B94" s="47" t="s">
        <v>676</v>
      </c>
      <c r="C94" s="14"/>
      <c r="D94" s="14"/>
      <c r="E94" s="14"/>
      <c r="F94" s="18"/>
      <c r="G94" s="18"/>
      <c r="H94" s="14"/>
      <c r="I94" s="120"/>
      <c r="J94" s="14"/>
      <c r="K94" s="14"/>
      <c r="M94" s="14"/>
      <c r="N94" s="14"/>
      <c r="P94" s="30" t="s">
        <v>673</v>
      </c>
      <c r="R94" s="234" t="s">
        <v>127</v>
      </c>
      <c r="S94" s="795">
        <f>S29</f>
        <v>1.2667743100000002</v>
      </c>
      <c r="T94" s="795"/>
      <c r="U94" s="192" t="s">
        <v>333</v>
      </c>
      <c r="V94" s="185"/>
    </row>
    <row r="95" spans="1:22" ht="18" customHeight="1">
      <c r="A95" s="184"/>
      <c r="B95" s="296" t="s">
        <v>677</v>
      </c>
      <c r="C95" s="14"/>
      <c r="D95" s="14"/>
      <c r="E95" s="14"/>
      <c r="F95" s="14"/>
      <c r="G95" s="14"/>
      <c r="H95" s="14"/>
      <c r="I95" s="120"/>
      <c r="J95" s="14"/>
      <c r="K95" s="14"/>
      <c r="M95" s="14"/>
      <c r="N95" s="14"/>
      <c r="P95" s="30" t="s">
        <v>482</v>
      </c>
      <c r="R95" s="234" t="s">
        <v>127</v>
      </c>
      <c r="S95" s="684">
        <v>1</v>
      </c>
      <c r="T95" s="684"/>
      <c r="U95" s="30" t="s">
        <v>8</v>
      </c>
      <c r="V95" s="185"/>
    </row>
    <row r="96" spans="1:22" ht="18" customHeight="1">
      <c r="A96" s="184"/>
      <c r="B96" s="296"/>
      <c r="C96" s="14"/>
      <c r="D96" s="14"/>
      <c r="E96" s="14"/>
      <c r="F96" s="14"/>
      <c r="G96" s="14"/>
      <c r="H96" s="14"/>
      <c r="I96" s="120"/>
      <c r="J96" s="14"/>
      <c r="K96" s="14"/>
      <c r="M96" s="14"/>
      <c r="N96" s="14"/>
      <c r="R96" s="234"/>
      <c r="S96" s="27"/>
      <c r="T96" s="27"/>
      <c r="V96" s="185"/>
    </row>
    <row r="97" spans="1:27" ht="18" customHeight="1">
      <c r="A97" s="193"/>
      <c r="B97" s="14"/>
      <c r="E97" s="30" t="s">
        <v>473</v>
      </c>
      <c r="F97" s="278" t="s">
        <v>652</v>
      </c>
      <c r="G97" s="28">
        <f>G92</f>
        <v>20</v>
      </c>
      <c r="H97" s="28" t="str">
        <f>H92</f>
        <v>x</v>
      </c>
      <c r="I97" s="28">
        <f>S95</f>
        <v>1</v>
      </c>
      <c r="J97" s="27" t="s">
        <v>372</v>
      </c>
      <c r="K97" s="28">
        <f>S93</f>
        <v>5</v>
      </c>
      <c r="L97" s="27" t="s">
        <v>347</v>
      </c>
      <c r="M97" s="218">
        <f>S94</f>
        <v>1.2667743100000002</v>
      </c>
      <c r="N97" s="28" t="str">
        <f>N92</f>
        <v>)</v>
      </c>
      <c r="R97" s="234"/>
      <c r="S97" s="204"/>
      <c r="V97" s="185"/>
    </row>
    <row r="98" spans="1:27" ht="18" customHeight="1">
      <c r="A98" s="193"/>
      <c r="B98" s="14"/>
      <c r="C98" s="278"/>
      <c r="G98" s="28"/>
      <c r="H98" s="28"/>
      <c r="I98" s="28"/>
      <c r="J98" s="27"/>
      <c r="K98" s="28"/>
      <c r="L98" s="27"/>
      <c r="M98" s="218"/>
      <c r="N98" s="28"/>
      <c r="R98" s="234"/>
      <c r="S98" s="204"/>
      <c r="V98" s="185"/>
    </row>
    <row r="99" spans="1:27" ht="18" customHeight="1">
      <c r="A99" s="193"/>
      <c r="B99" s="14"/>
      <c r="C99" s="278"/>
      <c r="F99" s="30" t="s">
        <v>127</v>
      </c>
      <c r="G99" s="1188">
        <f>ROUNDUP(G97*I97*(K97+M97),2)</f>
        <v>125.34</v>
      </c>
      <c r="H99" s="1188"/>
      <c r="I99" s="28"/>
      <c r="J99" s="27"/>
      <c r="K99" s="28"/>
      <c r="L99" s="27"/>
      <c r="M99" s="218"/>
      <c r="N99" s="28"/>
      <c r="R99" s="234"/>
      <c r="S99" s="204"/>
      <c r="V99" s="185"/>
    </row>
    <row r="100" spans="1:27" ht="18" customHeight="1">
      <c r="A100" s="193"/>
      <c r="B100" s="14"/>
      <c r="C100" s="278"/>
      <c r="G100" s="281"/>
      <c r="H100" s="281"/>
      <c r="I100" s="28"/>
      <c r="J100" s="27"/>
      <c r="K100" s="28"/>
      <c r="L100" s="27"/>
      <c r="M100" s="218"/>
      <c r="N100" s="28"/>
      <c r="R100" s="234"/>
      <c r="S100" s="204"/>
      <c r="V100" s="185"/>
    </row>
    <row r="101" spans="1:27" ht="18" customHeight="1">
      <c r="A101" s="193"/>
      <c r="B101" s="14"/>
      <c r="C101" s="278"/>
      <c r="G101" s="28"/>
      <c r="H101" s="28"/>
      <c r="I101" s="28"/>
      <c r="J101" s="27"/>
      <c r="K101" s="28"/>
      <c r="L101" s="27"/>
      <c r="M101" s="218"/>
      <c r="N101" s="28"/>
      <c r="R101" s="234"/>
      <c r="S101" s="204"/>
      <c r="V101" s="185"/>
    </row>
    <row r="102" spans="1:27" ht="18" customHeight="1">
      <c r="A102" s="96"/>
      <c r="B102" s="14"/>
      <c r="D102" s="30" t="s">
        <v>527</v>
      </c>
      <c r="E102" s="14"/>
      <c r="F102" s="279"/>
      <c r="G102" s="14"/>
      <c r="H102" s="14"/>
      <c r="I102" s="279"/>
      <c r="J102" s="14"/>
      <c r="K102" s="14"/>
      <c r="L102" s="30" t="s">
        <v>473</v>
      </c>
      <c r="M102" s="505" t="s">
        <v>529</v>
      </c>
      <c r="N102" s="30" t="str">
        <f>CONCATENATE(Y102,X102,D58,Z102,D81,Z102,G99,AA102)</f>
        <v>max(71.63,10.03,125.34)</v>
      </c>
      <c r="R102" s="234"/>
      <c r="S102" s="204"/>
      <c r="V102" s="185"/>
      <c r="X102" s="30" t="s">
        <v>419</v>
      </c>
      <c r="Y102" s="30" t="s">
        <v>530</v>
      </c>
      <c r="Z102" s="30" t="s">
        <v>531</v>
      </c>
      <c r="AA102" s="30" t="s">
        <v>350</v>
      </c>
    </row>
    <row r="103" spans="1:27" ht="18" customHeight="1">
      <c r="A103" s="96"/>
      <c r="B103" s="14"/>
      <c r="D103" s="14"/>
      <c r="E103" s="14"/>
      <c r="F103" s="279"/>
      <c r="G103" s="14"/>
      <c r="H103" s="14"/>
      <c r="I103" s="279"/>
      <c r="J103" s="14"/>
      <c r="K103" s="14"/>
      <c r="L103" s="30" t="s">
        <v>473</v>
      </c>
      <c r="M103" s="505" t="s">
        <v>529</v>
      </c>
      <c r="N103" s="795">
        <f>MAX(D81,D58,G99)</f>
        <v>125.34</v>
      </c>
      <c r="O103" s="795"/>
      <c r="R103" s="234"/>
      <c r="S103" s="204"/>
      <c r="V103" s="185"/>
    </row>
    <row r="104" spans="1:27" ht="18" customHeight="1">
      <c r="A104" s="96"/>
      <c r="B104" s="14"/>
      <c r="G104" s="14"/>
      <c r="H104" s="14"/>
      <c r="I104" s="14"/>
      <c r="J104" s="14"/>
      <c r="K104" s="14"/>
      <c r="L104" s="296">
        <f>H13</f>
        <v>300</v>
      </c>
      <c r="M104" s="505" t="s">
        <v>529</v>
      </c>
      <c r="N104" s="795">
        <f>N103</f>
        <v>125.34</v>
      </c>
      <c r="O104" s="795"/>
      <c r="R104" s="234"/>
      <c r="S104" s="204"/>
      <c r="V104" s="185"/>
    </row>
    <row r="105" spans="1:27" ht="18" customHeight="1">
      <c r="A105" s="96"/>
      <c r="B105" s="14"/>
      <c r="F105" s="14"/>
      <c r="G105" s="14"/>
      <c r="H105" s="14"/>
      <c r="I105" s="14"/>
      <c r="J105" s="14"/>
      <c r="K105" s="14"/>
      <c r="L105" s="14"/>
      <c r="M105" s="14"/>
      <c r="N105" s="14"/>
      <c r="O105" s="154"/>
      <c r="P105" s="14"/>
      <c r="R105" s="234"/>
      <c r="S105" s="204"/>
      <c r="V105" s="185"/>
    </row>
    <row r="106" spans="1:27" ht="18" customHeight="1">
      <c r="A106" s="96"/>
      <c r="B106" s="14"/>
      <c r="D106"/>
      <c r="E106"/>
      <c r="F106" s="244" t="s">
        <v>478</v>
      </c>
      <c r="G106"/>
      <c r="H106" s="18" t="str">
        <f>IF(L104&gt;N104,"Suitably Dimensioned","Under Dimensioned")</f>
        <v>Suitably Dimensioned</v>
      </c>
      <c r="I106"/>
      <c r="J106"/>
      <c r="K106"/>
      <c r="L106"/>
      <c r="N106" s="14"/>
      <c r="R106" s="234"/>
      <c r="S106" s="204"/>
      <c r="V106" s="185"/>
    </row>
    <row r="107" spans="1:27" ht="18" customHeight="1">
      <c r="A107" s="96"/>
      <c r="B107" s="14"/>
      <c r="D107"/>
      <c r="E107"/>
      <c r="F107" s="244"/>
      <c r="G107"/>
      <c r="H107" s="18"/>
      <c r="I107"/>
      <c r="J107"/>
      <c r="K107"/>
      <c r="L107"/>
      <c r="N107" s="14"/>
      <c r="R107" s="234"/>
      <c r="S107" s="204"/>
      <c r="V107" s="185"/>
    </row>
    <row r="108" spans="1:27" ht="18" customHeight="1">
      <c r="A108" s="96"/>
      <c r="B108" s="14"/>
      <c r="D108"/>
      <c r="E108"/>
      <c r="F108" s="244"/>
      <c r="G108"/>
      <c r="H108" s="18"/>
      <c r="I108"/>
      <c r="J108"/>
      <c r="K108"/>
      <c r="L108"/>
      <c r="N108" s="14"/>
      <c r="R108" s="234"/>
      <c r="S108" s="204"/>
      <c r="V108" s="185"/>
    </row>
    <row r="109" spans="1:27" ht="18" customHeight="1">
      <c r="A109" s="96"/>
      <c r="B109" s="14"/>
      <c r="D109"/>
      <c r="E109"/>
      <c r="F109" s="244"/>
      <c r="G109"/>
      <c r="H109" s="18"/>
      <c r="I109"/>
      <c r="J109"/>
      <c r="K109"/>
      <c r="L109"/>
      <c r="N109" s="14"/>
      <c r="R109" s="234"/>
      <c r="S109" s="204"/>
      <c r="V109" s="185"/>
    </row>
    <row r="110" spans="1:27" ht="18" customHeight="1">
      <c r="A110" s="96"/>
      <c r="B110" s="14"/>
      <c r="D110"/>
      <c r="E110"/>
      <c r="F110" s="244"/>
      <c r="G110"/>
      <c r="H110" s="18"/>
      <c r="I110"/>
      <c r="J110"/>
      <c r="K110"/>
      <c r="L110"/>
      <c r="N110" s="14"/>
      <c r="R110" s="234"/>
      <c r="S110" s="204"/>
      <c r="V110" s="185"/>
    </row>
    <row r="111" spans="1:27" ht="18" customHeight="1">
      <c r="A111" s="96"/>
      <c r="B111" s="14"/>
      <c r="D111"/>
      <c r="E111"/>
      <c r="F111" s="244"/>
      <c r="G111"/>
      <c r="H111" s="18"/>
      <c r="I111"/>
      <c r="J111"/>
      <c r="K111"/>
      <c r="L111"/>
      <c r="N111" s="14"/>
      <c r="R111" s="234"/>
      <c r="S111" s="204"/>
      <c r="V111" s="185"/>
    </row>
    <row r="112" spans="1:27" ht="18" customHeight="1">
      <c r="A112" s="96"/>
      <c r="B112" s="14"/>
      <c r="D112"/>
      <c r="E112"/>
      <c r="F112" s="244"/>
      <c r="G112"/>
      <c r="H112" s="18"/>
      <c r="I112"/>
      <c r="J112"/>
      <c r="K112"/>
      <c r="L112"/>
      <c r="N112" s="14"/>
      <c r="R112" s="234"/>
      <c r="S112" s="204"/>
      <c r="V112" s="185"/>
    </row>
    <row r="113" spans="1:22" ht="18" customHeight="1">
      <c r="A113" s="96"/>
      <c r="B113" s="14"/>
      <c r="D113"/>
      <c r="E113"/>
      <c r="F113" s="244"/>
      <c r="G113"/>
      <c r="H113" s="18"/>
      <c r="I113"/>
      <c r="J113"/>
      <c r="K113"/>
      <c r="L113"/>
      <c r="N113" s="14"/>
      <c r="R113" s="234"/>
      <c r="S113" s="204"/>
      <c r="V113" s="185"/>
    </row>
    <row r="114" spans="1:22" ht="18" customHeight="1">
      <c r="A114" s="96"/>
      <c r="B114" s="14"/>
      <c r="D114"/>
      <c r="E114"/>
      <c r="F114" s="244"/>
      <c r="G114"/>
      <c r="H114" s="18"/>
      <c r="I114"/>
      <c r="J114"/>
      <c r="K114"/>
      <c r="L114"/>
      <c r="N114" s="14"/>
      <c r="R114" s="234"/>
      <c r="S114" s="204"/>
      <c r="V114" s="185"/>
    </row>
    <row r="115" spans="1:22" ht="18" customHeight="1">
      <c r="A115" s="96"/>
      <c r="B115" s="14"/>
      <c r="D115"/>
      <c r="E115"/>
      <c r="F115" s="244"/>
      <c r="G115"/>
      <c r="H115" s="18"/>
      <c r="I115"/>
      <c r="J115"/>
      <c r="K115"/>
      <c r="L115"/>
      <c r="N115" s="14"/>
      <c r="R115" s="234"/>
      <c r="S115" s="204"/>
      <c r="V115" s="185"/>
    </row>
    <row r="116" spans="1:22" ht="18" customHeight="1">
      <c r="A116" s="96"/>
      <c r="B116" s="14"/>
      <c r="D116"/>
      <c r="E116"/>
      <c r="F116" s="244"/>
      <c r="G116"/>
      <c r="H116" s="18"/>
      <c r="I116"/>
      <c r="J116"/>
      <c r="K116"/>
      <c r="L116"/>
      <c r="N116" s="14"/>
      <c r="R116" s="234"/>
      <c r="S116" s="204"/>
      <c r="V116" s="185"/>
    </row>
    <row r="117" spans="1:22" ht="18" customHeight="1">
      <c r="A117" s="96"/>
      <c r="B117" s="14"/>
      <c r="D117"/>
      <c r="E117"/>
      <c r="F117" s="244"/>
      <c r="G117"/>
      <c r="H117" s="18"/>
      <c r="I117"/>
      <c r="J117"/>
      <c r="K117"/>
      <c r="L117"/>
      <c r="N117" s="14"/>
      <c r="R117" s="234"/>
      <c r="S117" s="204"/>
      <c r="V117" s="185"/>
    </row>
    <row r="118" spans="1:22" ht="18" customHeight="1">
      <c r="A118" s="96"/>
      <c r="B118" s="14"/>
      <c r="D118"/>
      <c r="E118"/>
      <c r="F118" s="244"/>
      <c r="G118"/>
      <c r="H118" s="18"/>
      <c r="I118"/>
      <c r="J118"/>
      <c r="K118"/>
      <c r="L118"/>
      <c r="N118" s="14"/>
      <c r="R118" s="234"/>
      <c r="S118" s="204"/>
      <c r="V118" s="185"/>
    </row>
    <row r="119" spans="1:22" ht="18" customHeight="1">
      <c r="A119" s="96"/>
      <c r="B119" s="14"/>
      <c r="D119"/>
      <c r="E119"/>
      <c r="F119" s="244"/>
      <c r="G119"/>
      <c r="H119" s="18"/>
      <c r="I119"/>
      <c r="J119"/>
      <c r="K119"/>
      <c r="L119"/>
      <c r="N119" s="14"/>
      <c r="R119" s="234"/>
      <c r="S119" s="204"/>
      <c r="V119" s="185"/>
    </row>
    <row r="120" spans="1:22" ht="18" customHeight="1">
      <c r="A120" s="96"/>
      <c r="B120" s="14"/>
      <c r="D120"/>
      <c r="E120"/>
      <c r="F120" s="244"/>
      <c r="G120"/>
      <c r="H120" s="18"/>
      <c r="I120"/>
      <c r="J120"/>
      <c r="K120"/>
      <c r="L120"/>
      <c r="N120" s="14"/>
      <c r="R120" s="234"/>
      <c r="S120" s="204"/>
      <c r="V120" s="185"/>
    </row>
    <row r="121" spans="1:22" ht="18" customHeight="1">
      <c r="A121" s="96"/>
      <c r="B121" s="14"/>
      <c r="D121"/>
      <c r="E121"/>
      <c r="F121" s="244"/>
      <c r="G121"/>
      <c r="H121" s="18"/>
      <c r="I121"/>
      <c r="J121"/>
      <c r="K121"/>
      <c r="L121"/>
      <c r="N121" s="14"/>
      <c r="R121" s="234"/>
      <c r="S121" s="204"/>
      <c r="V121" s="185"/>
    </row>
    <row r="122" spans="1:22" ht="18" customHeight="1">
      <c r="A122" s="96"/>
      <c r="B122" s="14"/>
      <c r="D122"/>
      <c r="E122"/>
      <c r="F122" s="244"/>
      <c r="G122"/>
      <c r="H122" s="18"/>
      <c r="I122"/>
      <c r="J122"/>
      <c r="K122"/>
      <c r="L122"/>
      <c r="N122" s="14"/>
      <c r="R122" s="234"/>
      <c r="S122" s="204"/>
      <c r="V122" s="185"/>
    </row>
    <row r="123" spans="1:22" ht="18" customHeight="1">
      <c r="A123" s="96"/>
      <c r="B123" s="14"/>
      <c r="D123"/>
      <c r="E123"/>
      <c r="F123" s="244"/>
      <c r="G123"/>
      <c r="H123" s="18"/>
      <c r="I123"/>
      <c r="J123"/>
      <c r="K123"/>
      <c r="L123"/>
      <c r="N123" s="14"/>
      <c r="R123" s="234"/>
      <c r="S123" s="204"/>
      <c r="V123" s="185"/>
    </row>
    <row r="124" spans="1:22" ht="18" customHeight="1">
      <c r="A124" s="96"/>
      <c r="B124" s="14"/>
      <c r="D124"/>
      <c r="E124"/>
      <c r="F124" s="244"/>
      <c r="G124"/>
      <c r="H124" s="18"/>
      <c r="I124"/>
      <c r="J124"/>
      <c r="K124"/>
      <c r="L124"/>
      <c r="N124" s="14"/>
      <c r="R124" s="234"/>
      <c r="S124" s="204"/>
      <c r="V124" s="185"/>
    </row>
    <row r="125" spans="1:22" ht="18" customHeight="1">
      <c r="A125" s="96"/>
      <c r="B125" s="14"/>
      <c r="D125"/>
      <c r="E125"/>
      <c r="F125" s="244"/>
      <c r="G125"/>
      <c r="H125" s="18"/>
      <c r="I125"/>
      <c r="J125"/>
      <c r="K125"/>
      <c r="L125"/>
      <c r="N125" s="14"/>
      <c r="R125" s="234"/>
      <c r="S125" s="204"/>
      <c r="V125" s="185"/>
    </row>
    <row r="126" spans="1:22" ht="18" customHeight="1">
      <c r="A126" s="96"/>
      <c r="B126" s="14"/>
      <c r="D126"/>
      <c r="E126"/>
      <c r="F126" s="244"/>
      <c r="G126"/>
      <c r="H126" s="18"/>
      <c r="I126"/>
      <c r="J126"/>
      <c r="K126"/>
      <c r="L126"/>
      <c r="N126" s="14"/>
      <c r="R126" s="234"/>
      <c r="S126" s="204"/>
      <c r="V126" s="185"/>
    </row>
    <row r="127" spans="1:22" ht="18" customHeight="1">
      <c r="A127" s="96"/>
      <c r="B127" s="14"/>
      <c r="D127"/>
      <c r="E127"/>
      <c r="F127" s="244"/>
      <c r="G127"/>
      <c r="H127" s="18"/>
      <c r="I127"/>
      <c r="J127"/>
      <c r="K127"/>
      <c r="L127"/>
      <c r="N127" s="14"/>
      <c r="R127" s="234"/>
      <c r="S127" s="204"/>
      <c r="V127" s="185"/>
    </row>
    <row r="128" spans="1:22" ht="18" customHeight="1">
      <c r="A128" s="96"/>
      <c r="B128" s="14"/>
      <c r="D128"/>
      <c r="E128"/>
      <c r="F128" s="244"/>
      <c r="G128"/>
      <c r="H128" s="18"/>
      <c r="I128"/>
      <c r="J128"/>
      <c r="K128"/>
      <c r="L128"/>
      <c r="N128" s="14"/>
      <c r="R128" s="234"/>
      <c r="S128" s="204"/>
      <c r="V128" s="185"/>
    </row>
    <row r="129" spans="1:29"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9" ht="18" hidden="1" customHeight="1">
      <c r="A130" s="226"/>
      <c r="B130" s="227"/>
      <c r="C130" s="227"/>
      <c r="D130" s="227"/>
      <c r="E130" s="227"/>
      <c r="F130" s="227"/>
      <c r="G130" s="227"/>
      <c r="H130" s="227"/>
      <c r="I130" s="227"/>
      <c r="J130" s="227"/>
      <c r="K130" s="227"/>
      <c r="L130" s="227"/>
      <c r="M130" s="227"/>
      <c r="N130" s="227"/>
      <c r="O130" s="227"/>
      <c r="P130" s="227"/>
      <c r="Q130" s="227"/>
      <c r="R130" s="227"/>
      <c r="S130" s="227"/>
      <c r="T130" s="227"/>
      <c r="U130" s="227"/>
      <c r="V130" s="228"/>
    </row>
    <row r="131" spans="1:29" ht="18" hidden="1" customHeight="1">
      <c r="A131" s="184"/>
      <c r="B131" s="781" t="s">
        <v>108</v>
      </c>
      <c r="C131" s="782"/>
      <c r="D131" s="781" t="s">
        <v>506</v>
      </c>
      <c r="E131" s="782"/>
      <c r="F131" s="186" t="s">
        <v>631</v>
      </c>
      <c r="H131" s="684" t="str">
        <f>H7</f>
        <v>(Transformer Differential)</v>
      </c>
      <c r="I131" s="684"/>
      <c r="J131" s="684"/>
      <c r="K131" s="684"/>
      <c r="L131" s="684"/>
      <c r="M131" s="684"/>
      <c r="P131" s="186"/>
      <c r="S131" s="187" t="s">
        <v>387</v>
      </c>
      <c r="T131" s="1154" t="str">
        <f>T7</f>
        <v>7UT85</v>
      </c>
      <c r="U131" s="1155"/>
      <c r="V131" s="185"/>
    </row>
    <row r="132" spans="1:29" ht="18" hidden="1" customHeight="1">
      <c r="A132" s="184"/>
      <c r="B132" s="18"/>
      <c r="C132" s="18"/>
      <c r="D132" s="14"/>
      <c r="E132" s="14"/>
      <c r="F132" s="287"/>
      <c r="T132" s="1154">
        <f>T8</f>
        <v>0</v>
      </c>
      <c r="U132" s="1155"/>
      <c r="V132" s="185"/>
    </row>
    <row r="133" spans="1:29" ht="18" hidden="1" customHeight="1">
      <c r="A133" s="184"/>
      <c r="H133" s="708" t="s">
        <v>390</v>
      </c>
      <c r="I133" s="708"/>
      <c r="J133" s="789" t="s">
        <v>391</v>
      </c>
      <c r="K133" s="789"/>
      <c r="L133" s="708" t="s">
        <v>392</v>
      </c>
      <c r="M133" s="708"/>
      <c r="T133" s="1154">
        <f>T9</f>
        <v>0</v>
      </c>
      <c r="U133" s="1155"/>
      <c r="V133" s="185"/>
    </row>
    <row r="134" spans="1:29" ht="18" hidden="1" customHeight="1">
      <c r="A134" s="184"/>
      <c r="B134" s="47" t="s">
        <v>393</v>
      </c>
      <c r="H134" s="854">
        <f>H10</f>
        <v>1750</v>
      </c>
      <c r="I134" s="831"/>
      <c r="J134" s="863">
        <f>J10</f>
        <v>2500</v>
      </c>
      <c r="K134" s="864"/>
      <c r="L134" s="854" t="str">
        <f>L10</f>
        <v>-</v>
      </c>
      <c r="M134" s="831"/>
      <c r="N134" s="102" t="s">
        <v>342</v>
      </c>
      <c r="O134" s="256">
        <f>O10</f>
        <v>1</v>
      </c>
      <c r="P134" s="27" t="s">
        <v>8</v>
      </c>
      <c r="V134" s="185"/>
    </row>
    <row r="135" spans="1:29" ht="18" hidden="1" customHeight="1">
      <c r="A135" s="184"/>
      <c r="B135" s="47" t="s">
        <v>394</v>
      </c>
      <c r="H135" s="14"/>
      <c r="I135" s="14"/>
      <c r="J135" s="854" t="str">
        <f>H11</f>
        <v>PX</v>
      </c>
      <c r="K135" s="776"/>
      <c r="L135" s="14"/>
      <c r="M135" s="14"/>
      <c r="V135" s="185"/>
    </row>
    <row r="136" spans="1:29" ht="18" hidden="1" customHeight="1">
      <c r="A136" s="184"/>
      <c r="B136" s="47" t="s">
        <v>396</v>
      </c>
      <c r="I136" s="120" t="s">
        <v>497</v>
      </c>
      <c r="J136" s="781">
        <v>5</v>
      </c>
      <c r="K136" s="782"/>
      <c r="L136" s="192" t="s">
        <v>333</v>
      </c>
      <c r="V136" s="185"/>
    </row>
    <row r="137" spans="1:29" ht="18" hidden="1" customHeight="1">
      <c r="A137" s="184"/>
      <c r="B137" s="47" t="s">
        <v>398</v>
      </c>
      <c r="I137" s="120" t="s">
        <v>498</v>
      </c>
      <c r="J137" s="781">
        <v>300</v>
      </c>
      <c r="K137" s="782"/>
      <c r="L137" s="14" t="s">
        <v>305</v>
      </c>
      <c r="V137" s="185"/>
      <c r="W137" s="30" t="s">
        <v>400</v>
      </c>
      <c r="AB137" s="785">
        <f>D188</f>
        <v>40.482504445640643</v>
      </c>
      <c r="AC137" s="786"/>
    </row>
    <row r="138" spans="1:29" ht="18" hidden="1" customHeight="1">
      <c r="A138" s="184"/>
      <c r="B138" s="14" t="s">
        <v>401</v>
      </c>
      <c r="I138" s="120" t="s">
        <v>402</v>
      </c>
      <c r="J138" s="781">
        <v>30</v>
      </c>
      <c r="K138" s="782"/>
      <c r="L138" s="30" t="s">
        <v>403</v>
      </c>
      <c r="V138" s="185"/>
    </row>
    <row r="139" spans="1:29" ht="18" hidden="1" customHeight="1">
      <c r="A139" s="96"/>
      <c r="V139" s="185"/>
    </row>
    <row r="140" spans="1:29" ht="18" hidden="1" customHeight="1">
      <c r="A140" s="193" t="s">
        <v>404</v>
      </c>
      <c r="V140" s="185"/>
    </row>
    <row r="141" spans="1:29" ht="18" hidden="1" customHeight="1">
      <c r="A141" s="184"/>
      <c r="V141" s="185"/>
    </row>
    <row r="142" spans="1:29" ht="18" hidden="1" customHeight="1">
      <c r="A142" s="184"/>
      <c r="B142" s="194" t="s">
        <v>405</v>
      </c>
      <c r="C142" s="195"/>
      <c r="D142" s="195" t="str">
        <f>T131</f>
        <v>7UT85</v>
      </c>
      <c r="E142" s="196"/>
      <c r="F142" s="196"/>
      <c r="G142" s="196"/>
      <c r="H142" s="182" t="s">
        <v>406</v>
      </c>
      <c r="I142" s="183" t="s">
        <v>127</v>
      </c>
      <c r="J142" s="766">
        <f>J18</f>
        <v>0.1</v>
      </c>
      <c r="K142" s="958"/>
      <c r="L142" s="3" t="s">
        <v>157</v>
      </c>
      <c r="V142" s="185"/>
    </row>
    <row r="143" spans="1:29" ht="18" hidden="1" customHeight="1">
      <c r="A143" s="184"/>
      <c r="B143" s="184" t="s">
        <v>405</v>
      </c>
      <c r="D143" s="30">
        <f>T132</f>
        <v>0</v>
      </c>
      <c r="H143" s="27"/>
      <c r="I143" s="177" t="s">
        <v>127</v>
      </c>
      <c r="J143" s="861">
        <f>J19</f>
        <v>0</v>
      </c>
      <c r="K143" s="989"/>
      <c r="L143" s="198" t="s">
        <v>157</v>
      </c>
      <c r="V143" s="185"/>
    </row>
    <row r="144" spans="1:29" ht="18" hidden="1" customHeight="1">
      <c r="A144" s="184"/>
      <c r="B144" s="184" t="s">
        <v>405</v>
      </c>
      <c r="D144" s="30">
        <f>T133</f>
        <v>0</v>
      </c>
      <c r="E144" s="14"/>
      <c r="G144" s="199"/>
      <c r="H144" s="27"/>
      <c r="I144" s="177" t="s">
        <v>127</v>
      </c>
      <c r="J144" s="696">
        <f>J20</f>
        <v>0</v>
      </c>
      <c r="K144" s="820"/>
      <c r="L144" s="202" t="s">
        <v>157</v>
      </c>
      <c r="V144" s="185"/>
    </row>
    <row r="145" spans="1:22" ht="18" hidden="1" customHeight="1">
      <c r="A145" s="184"/>
      <c r="B145" s="184" t="s">
        <v>412</v>
      </c>
      <c r="H145" s="27" t="s">
        <v>599</v>
      </c>
      <c r="I145" s="177" t="s">
        <v>127</v>
      </c>
      <c r="J145" s="861">
        <f>J21</f>
        <v>1.1667743100000001</v>
      </c>
      <c r="K145" s="989"/>
      <c r="L145" s="203" t="s">
        <v>157</v>
      </c>
      <c r="V145" s="185"/>
    </row>
    <row r="146" spans="1:22" ht="18" hidden="1" customHeight="1">
      <c r="A146" s="184"/>
      <c r="B146" s="205" t="s">
        <v>413</v>
      </c>
      <c r="C146" s="206"/>
      <c r="D146" s="206"/>
      <c r="E146" s="206"/>
      <c r="F146" s="207"/>
      <c r="G146" s="207"/>
      <c r="H146" s="190" t="s">
        <v>409</v>
      </c>
      <c r="I146" s="208" t="s">
        <v>127</v>
      </c>
      <c r="J146" s="766">
        <f>J143+J145</f>
        <v>1.1667743100000001</v>
      </c>
      <c r="K146" s="958"/>
      <c r="L146" s="210" t="s">
        <v>157</v>
      </c>
      <c r="V146" s="185"/>
    </row>
    <row r="147" spans="1:22" ht="18" hidden="1" customHeight="1">
      <c r="A147" s="184"/>
      <c r="B147" s="47"/>
      <c r="C147" s="47"/>
      <c r="D147" s="47"/>
      <c r="E147" s="47"/>
      <c r="H147" s="27"/>
      <c r="I147" s="28"/>
      <c r="J147" s="199"/>
      <c r="L147" s="47"/>
      <c r="O147" s="27"/>
      <c r="P147" s="211"/>
      <c r="Q147" s="211"/>
      <c r="R147" s="192"/>
      <c r="V147" s="185"/>
    </row>
    <row r="148" spans="1:22" ht="18" hidden="1" customHeight="1">
      <c r="A148" s="184"/>
      <c r="B148" s="197" t="s">
        <v>648</v>
      </c>
      <c r="L148" s="47"/>
      <c r="M148" s="197" t="s">
        <v>407</v>
      </c>
      <c r="V148" s="185"/>
    </row>
    <row r="149" spans="1:22" ht="18" hidden="1" customHeight="1">
      <c r="A149" s="184"/>
      <c r="B149" s="27" t="s">
        <v>649</v>
      </c>
      <c r="C149" s="27" t="s">
        <v>127</v>
      </c>
      <c r="D149" s="30" t="s">
        <v>406</v>
      </c>
      <c r="E149" s="271" t="s">
        <v>410</v>
      </c>
      <c r="F149" s="27" t="s">
        <v>146</v>
      </c>
      <c r="G149" s="28" t="s">
        <v>315</v>
      </c>
      <c r="H149" s="218" t="s">
        <v>146</v>
      </c>
      <c r="I149" s="30" t="s">
        <v>350</v>
      </c>
      <c r="J149" s="199"/>
      <c r="L149" s="47"/>
      <c r="M149" s="30" t="s">
        <v>408</v>
      </c>
      <c r="N149" s="27" t="s">
        <v>127</v>
      </c>
      <c r="O149" s="30" t="s">
        <v>409</v>
      </c>
      <c r="P149" s="191" t="s">
        <v>410</v>
      </c>
      <c r="Q149" s="244" t="s">
        <v>411</v>
      </c>
      <c r="R149" s="27" t="s">
        <v>315</v>
      </c>
      <c r="S149" s="30" t="s">
        <v>411</v>
      </c>
      <c r="T149" s="30" t="s">
        <v>350</v>
      </c>
      <c r="V149" s="185"/>
    </row>
    <row r="150" spans="1:22" ht="18" hidden="1" customHeight="1">
      <c r="A150" s="184"/>
      <c r="B150" s="47"/>
      <c r="C150" s="27" t="s">
        <v>127</v>
      </c>
      <c r="D150" s="204">
        <f>J142</f>
        <v>0.1</v>
      </c>
      <c r="E150" s="191" t="s">
        <v>410</v>
      </c>
      <c r="F150" s="27">
        <f>F26</f>
        <v>1</v>
      </c>
      <c r="G150" s="27" t="s">
        <v>315</v>
      </c>
      <c r="H150" s="27">
        <f>H26</f>
        <v>1</v>
      </c>
      <c r="I150" s="30" t="s">
        <v>350</v>
      </c>
      <c r="J150" s="199"/>
      <c r="L150" s="47"/>
      <c r="N150" s="27" t="s">
        <v>127</v>
      </c>
      <c r="O150" s="204">
        <f>J146</f>
        <v>1.1667743100000001</v>
      </c>
      <c r="P150" s="191" t="s">
        <v>410</v>
      </c>
      <c r="Q150" s="27">
        <f>O134</f>
        <v>1</v>
      </c>
      <c r="R150" s="27" t="s">
        <v>315</v>
      </c>
      <c r="S150" s="27">
        <f>O134</f>
        <v>1</v>
      </c>
      <c r="T150" s="30" t="s">
        <v>350</v>
      </c>
      <c r="V150" s="185"/>
    </row>
    <row r="151" spans="1:22" ht="18" hidden="1" customHeight="1">
      <c r="A151" s="184"/>
      <c r="B151" s="47"/>
      <c r="C151" s="27" t="s">
        <v>127</v>
      </c>
      <c r="D151" s="795">
        <f>D150/(F150*H150)</f>
        <v>0.1</v>
      </c>
      <c r="E151" s="795"/>
      <c r="F151" s="192" t="s">
        <v>333</v>
      </c>
      <c r="J151" s="199"/>
      <c r="L151" s="47"/>
      <c r="N151" s="27" t="s">
        <v>127</v>
      </c>
      <c r="O151" s="795">
        <f>O150/(Q150*S150)</f>
        <v>1.1667743100000001</v>
      </c>
      <c r="P151" s="795"/>
      <c r="Q151" s="192" t="s">
        <v>333</v>
      </c>
      <c r="V151" s="185"/>
    </row>
    <row r="152" spans="1:22" ht="18" hidden="1" customHeight="1">
      <c r="A152" s="184"/>
      <c r="B152" s="47"/>
      <c r="C152" s="47"/>
      <c r="D152" s="47"/>
      <c r="E152" s="47"/>
      <c r="H152" s="27"/>
      <c r="I152" s="28"/>
      <c r="J152" s="199"/>
      <c r="L152" s="47"/>
      <c r="O152" s="27"/>
      <c r="P152" s="211"/>
      <c r="Q152" s="211"/>
      <c r="R152" s="192"/>
      <c r="V152" s="185"/>
    </row>
    <row r="153" spans="1:22" ht="18" hidden="1" customHeight="1">
      <c r="A153" s="184"/>
      <c r="B153" s="47" t="s">
        <v>668</v>
      </c>
      <c r="C153" s="47"/>
      <c r="D153" s="47"/>
      <c r="E153" s="47"/>
      <c r="H153" s="27"/>
      <c r="I153" s="28"/>
      <c r="J153" s="199"/>
      <c r="L153" s="28" t="s">
        <v>127</v>
      </c>
      <c r="M153" s="795">
        <f>D151</f>
        <v>0.1</v>
      </c>
      <c r="N153" s="795"/>
      <c r="O153" s="27" t="s">
        <v>347</v>
      </c>
      <c r="P153" s="795">
        <f>O151</f>
        <v>1.1667743100000001</v>
      </c>
      <c r="Q153" s="795"/>
      <c r="R153" s="211" t="s">
        <v>127</v>
      </c>
      <c r="S153" s="795">
        <f>M153+P153</f>
        <v>1.2667743100000002</v>
      </c>
      <c r="T153" s="795"/>
      <c r="U153" s="192" t="s">
        <v>333</v>
      </c>
      <c r="V153" s="185"/>
    </row>
    <row r="154" spans="1:22" s="14" customFormat="1" ht="18" hidden="1" customHeight="1">
      <c r="A154" s="193" t="s">
        <v>600</v>
      </c>
      <c r="B154" s="5"/>
      <c r="C154" s="5"/>
      <c r="D154" s="5"/>
      <c r="E154" s="5"/>
      <c r="F154" s="5"/>
      <c r="G154" s="5"/>
      <c r="H154" s="212"/>
      <c r="I154" s="212"/>
      <c r="J154" s="5"/>
      <c r="K154" s="5"/>
      <c r="L154" s="5"/>
      <c r="M154" s="5"/>
      <c r="N154" s="5"/>
      <c r="O154" s="5"/>
      <c r="P154" s="103"/>
      <c r="Q154" s="212"/>
      <c r="R154" s="213"/>
      <c r="S154" s="214"/>
      <c r="T154" s="18"/>
      <c r="U154" s="18"/>
      <c r="V154" s="97"/>
    </row>
    <row r="155" spans="1:22" s="14" customFormat="1" ht="18" hidden="1" customHeight="1">
      <c r="A155" s="96"/>
      <c r="B155" s="47" t="s">
        <v>601</v>
      </c>
      <c r="C155" s="5"/>
      <c r="D155" s="5"/>
      <c r="E155" s="5"/>
      <c r="I155" s="215"/>
      <c r="M155" s="5"/>
      <c r="N155" s="103" t="s">
        <v>127</v>
      </c>
      <c r="O155" s="1154">
        <v>100</v>
      </c>
      <c r="P155" s="831"/>
      <c r="Q155" s="14" t="s">
        <v>602</v>
      </c>
      <c r="S155" s="214"/>
      <c r="T155" s="18"/>
      <c r="U155" s="18"/>
      <c r="V155" s="97"/>
    </row>
    <row r="156" spans="1:22" s="14" customFormat="1" ht="18" hidden="1" customHeight="1">
      <c r="A156" s="96"/>
      <c r="B156" s="47" t="s">
        <v>603</v>
      </c>
      <c r="C156" s="5"/>
      <c r="D156" s="5"/>
      <c r="E156" s="5"/>
      <c r="I156" s="215"/>
      <c r="M156" s="5"/>
      <c r="N156" s="103" t="s">
        <v>127</v>
      </c>
      <c r="O156" s="1154">
        <f>O32</f>
        <v>25</v>
      </c>
      <c r="P156" s="831"/>
      <c r="Q156" s="14" t="s">
        <v>604</v>
      </c>
      <c r="S156" s="214"/>
      <c r="T156" s="18"/>
      <c r="U156" s="18"/>
      <c r="V156" s="97"/>
    </row>
    <row r="157" spans="1:22" s="14" customFormat="1" ht="18" hidden="1" customHeight="1">
      <c r="A157" s="96"/>
      <c r="B157" s="47" t="s">
        <v>605</v>
      </c>
      <c r="C157" s="5"/>
      <c r="D157" s="5"/>
      <c r="E157" s="5"/>
      <c r="M157" s="120" t="s">
        <v>606</v>
      </c>
      <c r="N157" s="103" t="s">
        <v>607</v>
      </c>
      <c r="O157" s="1154">
        <f>O33</f>
        <v>132</v>
      </c>
      <c r="P157" s="831"/>
      <c r="Q157" s="14" t="s">
        <v>163</v>
      </c>
      <c r="S157" s="214"/>
      <c r="T157" s="18"/>
      <c r="U157" s="18"/>
      <c r="V157" s="97"/>
    </row>
    <row r="158" spans="1:22" s="14" customFormat="1" ht="18" hidden="1" customHeight="1">
      <c r="A158" s="216"/>
      <c r="B158" s="212"/>
      <c r="C158" s="212"/>
      <c r="D158" s="212"/>
      <c r="E158" s="212"/>
      <c r="T158" s="18"/>
      <c r="U158" s="18"/>
      <c r="V158" s="97"/>
    </row>
    <row r="159" spans="1:22" s="14" customFormat="1" ht="18" hidden="1" customHeight="1">
      <c r="A159" s="272" t="s">
        <v>608</v>
      </c>
      <c r="B159" s="213"/>
      <c r="C159" s="213"/>
      <c r="D159" s="213"/>
      <c r="E159" s="213"/>
      <c r="H159" s="120" t="s">
        <v>609</v>
      </c>
      <c r="I159" s="28" t="s">
        <v>127</v>
      </c>
      <c r="J159" s="689" t="s">
        <v>610</v>
      </c>
      <c r="K159" s="689"/>
      <c r="L159" s="28" t="s">
        <v>315</v>
      </c>
      <c r="M159" s="217">
        <v>1000</v>
      </c>
      <c r="N159" s="102" t="s">
        <v>342</v>
      </c>
      <c r="O159" s="28" t="s">
        <v>611</v>
      </c>
      <c r="P159" s="28" t="s">
        <v>315</v>
      </c>
      <c r="Q159" s="28" t="s">
        <v>606</v>
      </c>
      <c r="R159" s="47" t="s">
        <v>350</v>
      </c>
      <c r="T159" s="18"/>
      <c r="U159" s="18"/>
      <c r="V159" s="97"/>
    </row>
    <row r="160" spans="1:22" s="14" customFormat="1" ht="18" hidden="1" customHeight="1">
      <c r="A160" s="216"/>
      <c r="B160" s="213"/>
      <c r="C160" s="213"/>
      <c r="D160" s="213"/>
      <c r="E160" s="213"/>
      <c r="F160" s="212"/>
      <c r="G160" s="212"/>
      <c r="H160" s="28"/>
      <c r="I160" s="28" t="s">
        <v>127</v>
      </c>
      <c r="J160" s="689">
        <f>O155</f>
        <v>100</v>
      </c>
      <c r="K160" s="689"/>
      <c r="L160" s="28" t="s">
        <v>315</v>
      </c>
      <c r="M160" s="217">
        <v>1000</v>
      </c>
      <c r="N160" s="102" t="s">
        <v>342</v>
      </c>
      <c r="O160" s="28" t="s">
        <v>611</v>
      </c>
      <c r="P160" s="28" t="s">
        <v>315</v>
      </c>
      <c r="Q160" s="28">
        <f>O157</f>
        <v>132</v>
      </c>
      <c r="R160" s="47" t="s">
        <v>350</v>
      </c>
      <c r="T160" s="18"/>
      <c r="U160" s="18"/>
      <c r="V160" s="97"/>
    </row>
    <row r="161" spans="1:22" s="14" customFormat="1" ht="18" hidden="1" customHeight="1">
      <c r="A161" s="216"/>
      <c r="B161" s="212"/>
      <c r="C161" s="212"/>
      <c r="D161" s="212"/>
      <c r="E161" s="212"/>
      <c r="F161" s="212"/>
      <c r="G161" s="212"/>
      <c r="I161" s="28" t="s">
        <v>127</v>
      </c>
      <c r="J161" s="692">
        <f>(O155*1000)/(SQRT(3)*O157)</f>
        <v>437.38656756789834</v>
      </c>
      <c r="K161" s="692"/>
      <c r="L161" s="14" t="s">
        <v>8</v>
      </c>
      <c r="M161" s="120"/>
      <c r="N161" s="120"/>
      <c r="O161" s="120"/>
      <c r="T161" s="18"/>
      <c r="U161" s="18"/>
      <c r="V161" s="97"/>
    </row>
    <row r="162" spans="1:22" s="14" customFormat="1" ht="18" hidden="1" customHeight="1">
      <c r="A162" s="216"/>
      <c r="B162" s="212"/>
      <c r="C162" s="212"/>
      <c r="D162" s="212"/>
      <c r="E162" s="212"/>
      <c r="G162" s="212"/>
      <c r="H162" s="28"/>
      <c r="I162" s="103"/>
      <c r="J162" s="28"/>
      <c r="M162" s="212"/>
      <c r="N162" s="219"/>
      <c r="O162" s="212"/>
      <c r="T162" s="18"/>
      <c r="U162" s="18"/>
      <c r="V162" s="97"/>
    </row>
    <row r="163" spans="1:22" s="14" customFormat="1" ht="18" hidden="1" customHeight="1">
      <c r="A163" s="147" t="s">
        <v>629</v>
      </c>
      <c r="B163" s="5"/>
      <c r="C163" s="5"/>
      <c r="D163" s="5"/>
      <c r="E163" s="5"/>
      <c r="F163" s="212"/>
      <c r="G163" s="212"/>
      <c r="H163" s="5"/>
      <c r="I163" s="5"/>
      <c r="J163" s="5"/>
      <c r="K163" s="5"/>
      <c r="L163" s="103"/>
      <c r="M163" s="103"/>
      <c r="N163" s="103"/>
      <c r="O163" s="103"/>
      <c r="P163" s="212"/>
      <c r="Q163" s="213"/>
      <c r="S163" s="220"/>
      <c r="T163" s="18"/>
      <c r="U163" s="18"/>
      <c r="V163" s="97"/>
    </row>
    <row r="164" spans="1:22" s="14" customFormat="1" ht="18" hidden="1" customHeight="1">
      <c r="A164" s="147"/>
      <c r="B164" s="5"/>
      <c r="C164" s="5"/>
      <c r="D164" s="5"/>
      <c r="E164" s="5"/>
      <c r="F164" s="212"/>
      <c r="G164" s="212"/>
      <c r="H164" s="5"/>
      <c r="I164" s="5"/>
      <c r="J164" s="5"/>
      <c r="K164" s="5"/>
      <c r="L164" s="103"/>
      <c r="M164" s="103"/>
      <c r="N164" s="103"/>
      <c r="O164" s="103"/>
      <c r="P164" s="212"/>
      <c r="Q164" s="213"/>
      <c r="S164" s="214"/>
      <c r="T164" s="18"/>
      <c r="U164" s="18"/>
      <c r="V164" s="97"/>
    </row>
    <row r="165" spans="1:22" ht="18" hidden="1" customHeight="1">
      <c r="A165" s="96" t="s">
        <v>632</v>
      </c>
      <c r="B165" s="14"/>
      <c r="C165" s="14"/>
      <c r="D165" s="14"/>
      <c r="E165" s="14"/>
      <c r="M165" s="120" t="s">
        <v>613</v>
      </c>
      <c r="N165" s="28" t="s">
        <v>127</v>
      </c>
      <c r="O165" s="689" t="s">
        <v>609</v>
      </c>
      <c r="P165" s="716"/>
      <c r="Q165" s="221" t="s">
        <v>630</v>
      </c>
      <c r="R165" s="221">
        <v>16</v>
      </c>
      <c r="S165" s="186"/>
      <c r="V165" s="185"/>
    </row>
    <row r="166" spans="1:22" ht="18" hidden="1" customHeight="1">
      <c r="A166" s="96"/>
      <c r="B166" s="5"/>
      <c r="C166" s="5"/>
      <c r="D166" s="5"/>
      <c r="E166" s="5"/>
      <c r="M166" s="250"/>
      <c r="N166" s="28" t="s">
        <v>127</v>
      </c>
      <c r="O166" s="689">
        <f>+J161</f>
        <v>437.38656756789834</v>
      </c>
      <c r="P166" s="716"/>
      <c r="Q166" s="221" t="s">
        <v>630</v>
      </c>
      <c r="R166" s="221">
        <v>16</v>
      </c>
      <c r="S166" s="186"/>
      <c r="V166" s="185"/>
    </row>
    <row r="167" spans="1:22" ht="18" hidden="1" customHeight="1">
      <c r="A167" s="96"/>
      <c r="B167" s="5"/>
      <c r="C167" s="5"/>
      <c r="D167" s="5"/>
      <c r="E167" s="5"/>
      <c r="M167" s="120" t="s">
        <v>613</v>
      </c>
      <c r="N167" s="28" t="s">
        <v>127</v>
      </c>
      <c r="O167" s="689">
        <f>O166*R166</f>
        <v>6998.1850810863734</v>
      </c>
      <c r="P167" s="716"/>
      <c r="Q167" s="241" t="s">
        <v>8</v>
      </c>
      <c r="R167" s="14"/>
      <c r="S167" s="186"/>
      <c r="V167" s="185"/>
    </row>
    <row r="168" spans="1:22" ht="18" hidden="1" customHeight="1">
      <c r="A168" s="96"/>
      <c r="B168" s="5"/>
      <c r="C168" s="5"/>
      <c r="D168" s="5"/>
      <c r="E168" s="5"/>
      <c r="M168" s="120"/>
      <c r="N168" s="28"/>
      <c r="O168" s="28"/>
      <c r="P168" s="14"/>
      <c r="Q168" s="241"/>
      <c r="R168" s="14"/>
      <c r="S168" s="186"/>
      <c r="V168" s="185"/>
    </row>
    <row r="169" spans="1:22" s="14" customFormat="1" ht="18" hidden="1"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s="14" customFormat="1" ht="18" hidden="1" customHeight="1">
      <c r="A170" s="135"/>
      <c r="B170" s="273"/>
      <c r="C170" s="273"/>
      <c r="D170" s="273"/>
      <c r="E170" s="273"/>
      <c r="F170" s="273"/>
      <c r="G170" s="273"/>
      <c r="H170" s="273"/>
      <c r="I170" s="273"/>
      <c r="J170" s="273"/>
      <c r="K170" s="273"/>
      <c r="L170" s="273"/>
      <c r="M170" s="273"/>
      <c r="N170" s="273"/>
      <c r="O170" s="273"/>
      <c r="P170" s="273"/>
      <c r="Q170" s="274"/>
      <c r="R170" s="138"/>
      <c r="S170" s="275"/>
      <c r="T170" s="273"/>
      <c r="U170" s="273"/>
      <c r="V170" s="276"/>
    </row>
    <row r="171" spans="1:22" ht="18" hidden="1" customHeight="1">
      <c r="A171" s="96" t="s">
        <v>686</v>
      </c>
      <c r="V171" s="185"/>
    </row>
    <row r="172" spans="1:22" ht="18" hidden="1" customHeight="1">
      <c r="A172" s="184"/>
      <c r="V172" s="185"/>
    </row>
    <row r="173" spans="1:22" s="279" customFormat="1" ht="18" hidden="1" customHeight="1">
      <c r="A173" s="277"/>
      <c r="B173" s="689" t="s">
        <v>473</v>
      </c>
      <c r="C173" s="1150" t="s">
        <v>652</v>
      </c>
      <c r="G173" s="802" t="s">
        <v>687</v>
      </c>
      <c r="H173" s="1153" t="s">
        <v>315</v>
      </c>
      <c r="I173" s="708" t="s">
        <v>688</v>
      </c>
      <c r="J173" s="1147"/>
      <c r="K173" s="1147"/>
      <c r="L173" s="1147"/>
      <c r="M173" s="1147"/>
      <c r="N173" s="689" t="s">
        <v>672</v>
      </c>
      <c r="O173" s="708" t="s">
        <v>420</v>
      </c>
      <c r="P173" s="689" t="s">
        <v>347</v>
      </c>
      <c r="Q173" s="708" t="s">
        <v>689</v>
      </c>
      <c r="R173" s="708" t="s">
        <v>674</v>
      </c>
      <c r="S173" s="708" t="s">
        <v>411</v>
      </c>
      <c r="T173" s="14"/>
      <c r="U173" s="729" t="s">
        <v>653</v>
      </c>
      <c r="V173" s="185"/>
    </row>
    <row r="174" spans="1:22" s="279" customFormat="1" ht="18" hidden="1" customHeight="1">
      <c r="A174" s="277"/>
      <c r="B174" s="689"/>
      <c r="C174" s="689"/>
      <c r="G174" s="802"/>
      <c r="H174" s="689"/>
      <c r="I174" s="689">
        <v>1.3</v>
      </c>
      <c r="J174" s="689"/>
      <c r="K174" s="28" t="s">
        <v>315</v>
      </c>
      <c r="L174" s="689" t="s">
        <v>423</v>
      </c>
      <c r="M174" s="689"/>
      <c r="N174" s="689"/>
      <c r="O174" s="689"/>
      <c r="P174" s="689"/>
      <c r="Q174" s="689"/>
      <c r="R174" s="689"/>
      <c r="S174" s="689"/>
      <c r="T174" s="14"/>
      <c r="U174" s="689"/>
      <c r="V174" s="185"/>
    </row>
    <row r="175" spans="1:22" ht="18" hidden="1" customHeight="1">
      <c r="A175" s="184"/>
      <c r="V175" s="185"/>
    </row>
    <row r="176" spans="1:22" ht="18" hidden="1" customHeight="1">
      <c r="A176" s="184"/>
      <c r="B176" s="47" t="s">
        <v>654</v>
      </c>
      <c r="C176" s="14"/>
      <c r="D176" s="14"/>
      <c r="E176" s="14"/>
      <c r="F176" s="18"/>
      <c r="G176" s="18"/>
      <c r="H176" s="14"/>
      <c r="I176" s="120"/>
      <c r="J176" s="14"/>
      <c r="K176" s="14"/>
      <c r="M176" s="14"/>
      <c r="N176" s="14"/>
      <c r="P176" s="14" t="s">
        <v>423</v>
      </c>
      <c r="R176" s="234" t="s">
        <v>127</v>
      </c>
      <c r="S176" s="684">
        <f>J134</f>
        <v>2500</v>
      </c>
      <c r="T176" s="684"/>
      <c r="U176" s="30" t="s">
        <v>8</v>
      </c>
      <c r="V176" s="185"/>
    </row>
    <row r="177" spans="1:22" ht="18" hidden="1" customHeight="1">
      <c r="A177" s="184"/>
      <c r="B177" s="47" t="s">
        <v>655</v>
      </c>
      <c r="C177" s="14"/>
      <c r="D177" s="14"/>
      <c r="E177" s="14"/>
      <c r="F177" s="18"/>
      <c r="G177" s="18"/>
      <c r="H177" s="14"/>
      <c r="I177" s="120"/>
      <c r="J177" s="14"/>
      <c r="K177" s="14"/>
      <c r="M177" s="14"/>
      <c r="N177" s="14"/>
      <c r="P177" s="14" t="s">
        <v>420</v>
      </c>
      <c r="R177" s="234" t="s">
        <v>127</v>
      </c>
      <c r="S177" s="684">
        <f>J136</f>
        <v>5</v>
      </c>
      <c r="T177" s="684"/>
      <c r="U177" s="192" t="s">
        <v>333</v>
      </c>
      <c r="V177" s="185"/>
    </row>
    <row r="178" spans="1:22" ht="18" hidden="1" customHeight="1">
      <c r="A178" s="184"/>
      <c r="B178" s="47" t="s">
        <v>676</v>
      </c>
      <c r="C178" s="14"/>
      <c r="D178" s="14"/>
      <c r="E178" s="14"/>
      <c r="F178" s="18"/>
      <c r="G178" s="18"/>
      <c r="H178" s="14"/>
      <c r="I178" s="120"/>
      <c r="J178" s="14"/>
      <c r="K178" s="14"/>
      <c r="M178" s="14"/>
      <c r="N178" s="14"/>
      <c r="P178" s="14" t="s">
        <v>690</v>
      </c>
      <c r="R178" s="234" t="s">
        <v>127</v>
      </c>
      <c r="S178" s="795">
        <f>S153</f>
        <v>1.2667743100000002</v>
      </c>
      <c r="T178" s="795"/>
      <c r="U178" s="192" t="s">
        <v>333</v>
      </c>
      <c r="V178" s="185"/>
    </row>
    <row r="179" spans="1:22" ht="18" hidden="1" customHeight="1">
      <c r="A179" s="184"/>
      <c r="B179" s="47" t="s">
        <v>691</v>
      </c>
      <c r="C179" s="14"/>
      <c r="D179" s="14"/>
      <c r="E179" s="14"/>
      <c r="F179" s="14"/>
      <c r="G179" s="14"/>
      <c r="H179" s="14"/>
      <c r="I179" s="120"/>
      <c r="J179" s="14"/>
      <c r="K179" s="14"/>
      <c r="M179" s="14"/>
      <c r="N179" s="14"/>
      <c r="P179" s="14" t="s">
        <v>411</v>
      </c>
      <c r="R179" s="234" t="s">
        <v>127</v>
      </c>
      <c r="S179" s="684">
        <f>O134</f>
        <v>1</v>
      </c>
      <c r="T179" s="684"/>
      <c r="U179" s="30" t="s">
        <v>8</v>
      </c>
      <c r="V179" s="185"/>
    </row>
    <row r="180" spans="1:22" ht="18" hidden="1" customHeight="1">
      <c r="A180" s="184"/>
      <c r="B180" s="47" t="s">
        <v>678</v>
      </c>
      <c r="C180" s="14"/>
      <c r="D180" s="14"/>
      <c r="E180" s="14"/>
      <c r="F180" s="14"/>
      <c r="G180" s="14"/>
      <c r="H180" s="14"/>
      <c r="I180" s="120"/>
      <c r="J180" s="14"/>
      <c r="K180" s="14"/>
      <c r="M180" s="14"/>
      <c r="N180" s="14"/>
      <c r="P180" s="120" t="s">
        <v>688</v>
      </c>
      <c r="R180" s="234" t="s">
        <v>127</v>
      </c>
      <c r="S180" s="684">
        <f>O167</f>
        <v>6998.1850810863734</v>
      </c>
      <c r="T180" s="684"/>
      <c r="U180" s="30" t="s">
        <v>8</v>
      </c>
      <c r="V180" s="185"/>
    </row>
    <row r="181" spans="1:22" ht="18" hidden="1" customHeight="1">
      <c r="A181" s="184"/>
      <c r="B181" s="47" t="s">
        <v>692</v>
      </c>
      <c r="C181" s="14"/>
      <c r="D181" s="14"/>
      <c r="E181" s="14"/>
      <c r="F181" s="14"/>
      <c r="G181" s="14"/>
      <c r="H181" s="14"/>
      <c r="I181" s="120"/>
      <c r="J181" s="14"/>
      <c r="K181" s="14"/>
      <c r="M181" s="14"/>
      <c r="N181" s="14"/>
      <c r="P181" s="120" t="s">
        <v>680</v>
      </c>
      <c r="R181" s="234" t="s">
        <v>127</v>
      </c>
      <c r="S181" s="795">
        <f>J161</f>
        <v>437.38656756789834</v>
      </c>
      <c r="T181" s="684"/>
      <c r="U181" s="30" t="s">
        <v>8</v>
      </c>
      <c r="V181" s="185"/>
    </row>
    <row r="182" spans="1:22" ht="18" hidden="1" customHeight="1">
      <c r="A182" s="184"/>
      <c r="B182" s="47" t="s">
        <v>659</v>
      </c>
      <c r="C182" s="14"/>
      <c r="D182" s="14"/>
      <c r="E182" s="14"/>
      <c r="F182" s="14"/>
      <c r="G182" s="14"/>
      <c r="H182" s="14"/>
      <c r="I182" s="120"/>
      <c r="J182" s="14"/>
      <c r="K182" s="14"/>
      <c r="M182" s="14"/>
      <c r="N182" s="14"/>
      <c r="P182" s="120" t="s">
        <v>660</v>
      </c>
      <c r="R182" s="234" t="s">
        <v>127</v>
      </c>
      <c r="S182" s="684">
        <f>S54</f>
        <v>1</v>
      </c>
      <c r="T182" s="684"/>
      <c r="U182" s="30" t="s">
        <v>8</v>
      </c>
      <c r="V182" s="185"/>
    </row>
    <row r="183" spans="1:22" ht="18" hidden="1" customHeight="1">
      <c r="A183" s="96"/>
      <c r="B183" s="14"/>
      <c r="C183" s="14"/>
      <c r="D183" s="235"/>
      <c r="E183" s="14"/>
      <c r="F183" s="28"/>
      <c r="G183" s="249"/>
      <c r="H183" s="28"/>
      <c r="I183" s="251"/>
      <c r="J183" s="14"/>
      <c r="K183" s="280"/>
      <c r="M183" s="47"/>
      <c r="N183" s="268"/>
      <c r="P183" s="281"/>
      <c r="R183" s="234"/>
      <c r="S183" s="1148"/>
      <c r="T183" s="723"/>
      <c r="V183" s="185"/>
    </row>
    <row r="184" spans="1:22" ht="18" hidden="1" customHeight="1">
      <c r="A184" s="272" t="s">
        <v>693</v>
      </c>
      <c r="B184" s="14"/>
      <c r="C184" s="14"/>
      <c r="D184" s="14"/>
      <c r="E184" s="14"/>
      <c r="F184" s="14"/>
      <c r="G184" s="14"/>
      <c r="H184" s="28">
        <v>3</v>
      </c>
      <c r="I184" s="47" t="s">
        <v>694</v>
      </c>
      <c r="J184" s="14"/>
      <c r="K184" s="14"/>
      <c r="M184" s="14" t="s">
        <v>337</v>
      </c>
      <c r="N184" s="14"/>
      <c r="P184" s="120"/>
      <c r="R184" s="234"/>
      <c r="S184" s="1149"/>
      <c r="T184" s="723"/>
      <c r="V184" s="185"/>
    </row>
    <row r="185" spans="1:22" ht="18" hidden="1" customHeight="1">
      <c r="A185" s="272"/>
      <c r="B185" s="14"/>
      <c r="C185" s="14"/>
      <c r="D185" s="14"/>
      <c r="E185" s="14"/>
      <c r="F185" s="14"/>
      <c r="G185" s="14"/>
      <c r="H185" s="28"/>
      <c r="I185" s="47"/>
      <c r="J185" s="14"/>
      <c r="K185" s="14"/>
      <c r="M185" s="14"/>
      <c r="N185" s="14"/>
      <c r="P185" s="120"/>
      <c r="R185" s="234"/>
      <c r="S185" s="282"/>
      <c r="V185" s="185"/>
    </row>
    <row r="186" spans="1:22" s="279" customFormat="1" ht="18" hidden="1" customHeight="1">
      <c r="A186" s="277"/>
      <c r="B186" s="689" t="s">
        <v>473</v>
      </c>
      <c r="C186" s="1150" t="s">
        <v>652</v>
      </c>
      <c r="G186" s="802">
        <f>H184</f>
        <v>3</v>
      </c>
      <c r="H186" s="1151" t="s">
        <v>315</v>
      </c>
      <c r="I186" s="829">
        <f>S180</f>
        <v>6998.1850810863734</v>
      </c>
      <c r="J186" s="1152"/>
      <c r="K186" s="1152"/>
      <c r="L186" s="1152"/>
      <c r="M186" s="1152"/>
      <c r="N186" s="689" t="s">
        <v>672</v>
      </c>
      <c r="O186" s="708">
        <f>S177</f>
        <v>5</v>
      </c>
      <c r="P186" s="689" t="s">
        <v>347</v>
      </c>
      <c r="Q186" s="829">
        <f>S178</f>
        <v>1.2667743100000002</v>
      </c>
      <c r="R186" s="708" t="s">
        <v>674</v>
      </c>
      <c r="S186" s="708">
        <f>S179</f>
        <v>1</v>
      </c>
      <c r="T186" s="14"/>
      <c r="U186" s="729" t="s">
        <v>653</v>
      </c>
      <c r="V186" s="185"/>
    </row>
    <row r="187" spans="1:22" s="279" customFormat="1" ht="18" hidden="1" customHeight="1">
      <c r="A187" s="277"/>
      <c r="B187" s="689"/>
      <c r="C187" s="689"/>
      <c r="G187" s="802"/>
      <c r="H187" s="684"/>
      <c r="I187" s="689">
        <v>1.3</v>
      </c>
      <c r="J187" s="684"/>
      <c r="K187" s="28" t="s">
        <v>315</v>
      </c>
      <c r="L187" s="689">
        <f>S176</f>
        <v>2500</v>
      </c>
      <c r="M187" s="684"/>
      <c r="N187" s="689"/>
      <c r="O187" s="689"/>
      <c r="P187" s="689"/>
      <c r="Q187" s="689"/>
      <c r="R187" s="689"/>
      <c r="S187" s="689"/>
      <c r="T187" s="14"/>
      <c r="U187" s="689"/>
      <c r="V187" s="185"/>
    </row>
    <row r="188" spans="1:22" ht="18" hidden="1" customHeight="1">
      <c r="A188" s="96"/>
      <c r="B188" s="14"/>
      <c r="C188" s="27" t="s">
        <v>127</v>
      </c>
      <c r="D188" s="812">
        <f>G186*(I186/(I187*L187)*(O186+Q186)*S186)</f>
        <v>40.482504445640643</v>
      </c>
      <c r="E188" s="813"/>
      <c r="F188" s="30" t="s">
        <v>305</v>
      </c>
      <c r="G188" s="14"/>
      <c r="H188" s="14"/>
      <c r="I188" s="14"/>
      <c r="J188" s="14"/>
      <c r="K188" s="14"/>
      <c r="L188" s="14"/>
      <c r="M188" s="14"/>
      <c r="N188" s="14"/>
      <c r="R188" s="234"/>
      <c r="S188" s="204"/>
      <c r="V188" s="185"/>
    </row>
    <row r="189" spans="1:22" ht="18" hidden="1" customHeight="1">
      <c r="A189" s="96"/>
      <c r="B189" s="14"/>
      <c r="G189" s="14"/>
      <c r="H189" s="14"/>
      <c r="I189" s="14"/>
      <c r="J189" s="14"/>
      <c r="K189" s="14"/>
      <c r="L189" s="14"/>
      <c r="M189" s="14"/>
      <c r="N189" s="14"/>
      <c r="R189" s="234"/>
      <c r="S189" s="204"/>
      <c r="V189" s="185"/>
    </row>
    <row r="190" spans="1:22" ht="18" hidden="1" customHeight="1">
      <c r="A190" s="96"/>
      <c r="B190" s="14"/>
      <c r="D190" s="30" t="s">
        <v>475</v>
      </c>
      <c r="G190" s="27" t="str">
        <f>IF(E191&gt;H191,"&gt;","&lt;")</f>
        <v>&gt;</v>
      </c>
      <c r="H190" s="30" t="s">
        <v>477</v>
      </c>
      <c r="M190" s="14"/>
      <c r="N190" s="14"/>
      <c r="R190" s="234"/>
      <c r="S190" s="204"/>
      <c r="V190" s="185"/>
    </row>
    <row r="191" spans="1:22" ht="18" hidden="1" customHeight="1">
      <c r="A191" s="96"/>
      <c r="B191" s="14"/>
      <c r="E191" s="684">
        <f>J137</f>
        <v>300</v>
      </c>
      <c r="F191" s="684"/>
      <c r="G191" s="27" t="str">
        <f>G190</f>
        <v>&gt;</v>
      </c>
      <c r="H191" s="795">
        <f>D188</f>
        <v>40.482504445640643</v>
      </c>
      <c r="I191" s="684"/>
      <c r="M191" s="14"/>
      <c r="N191" s="14"/>
      <c r="R191" s="234"/>
      <c r="S191" s="204"/>
      <c r="V191" s="185"/>
    </row>
    <row r="192" spans="1:22" ht="18" hidden="1" customHeight="1">
      <c r="A192" s="96"/>
      <c r="B192" s="14"/>
      <c r="F192" s="244" t="s">
        <v>478</v>
      </c>
      <c r="H192" s="18" t="str">
        <f>IF(G190="&gt;","Suitably Dimentioned","Under Dimentioned")</f>
        <v>Suitably Dimentioned</v>
      </c>
      <c r="M192" s="14"/>
      <c r="N192" s="14"/>
      <c r="R192" s="234"/>
      <c r="S192" s="204"/>
      <c r="V192" s="185"/>
    </row>
    <row r="193" spans="1:22" ht="18" hidden="1" customHeight="1">
      <c r="A193" s="96"/>
      <c r="B193" s="14"/>
      <c r="G193" s="14"/>
      <c r="H193" s="14"/>
      <c r="I193" s="14"/>
      <c r="J193" s="14"/>
      <c r="K193" s="14"/>
      <c r="L193" s="14"/>
      <c r="M193" s="14"/>
      <c r="N193" s="14"/>
      <c r="R193" s="234"/>
      <c r="S193" s="204"/>
      <c r="V193" s="185"/>
    </row>
    <row r="194" spans="1:22" ht="18" hidden="1" customHeight="1">
      <c r="A194" s="193" t="s">
        <v>695</v>
      </c>
      <c r="B194" s="14"/>
      <c r="G194" s="14"/>
      <c r="H194" s="14"/>
      <c r="I194" s="14"/>
      <c r="J194" s="14"/>
      <c r="K194" s="14"/>
      <c r="L194" s="14"/>
      <c r="M194" s="14"/>
      <c r="N194" s="14"/>
      <c r="R194" s="234"/>
      <c r="S194" s="204"/>
      <c r="V194" s="185"/>
    </row>
    <row r="195" spans="1:22" ht="18" hidden="1" customHeight="1">
      <c r="A195" s="96"/>
      <c r="B195" s="14"/>
      <c r="D195" s="802" t="s">
        <v>696</v>
      </c>
      <c r="E195" s="716"/>
      <c r="F195" s="689" t="s">
        <v>127</v>
      </c>
      <c r="G195" s="708" t="s">
        <v>423</v>
      </c>
      <c r="H195" s="1147"/>
      <c r="I195" s="689" t="s">
        <v>315</v>
      </c>
      <c r="J195" s="708" t="s">
        <v>697</v>
      </c>
      <c r="K195" s="1147"/>
      <c r="L195" s="14"/>
      <c r="M195" s="14"/>
      <c r="N195" s="14"/>
      <c r="R195" s="234"/>
      <c r="S195" s="204"/>
      <c r="V195" s="185"/>
    </row>
    <row r="196" spans="1:22" ht="18" hidden="1" customHeight="1">
      <c r="A196" s="96"/>
      <c r="B196" s="14"/>
      <c r="D196" s="716"/>
      <c r="E196" s="716"/>
      <c r="F196" s="689"/>
      <c r="G196" s="689" t="s">
        <v>680</v>
      </c>
      <c r="H196" s="716"/>
      <c r="I196" s="689"/>
      <c r="J196" s="689" t="s">
        <v>411</v>
      </c>
      <c r="K196" s="716"/>
      <c r="L196" s="14"/>
      <c r="M196" s="14"/>
      <c r="N196" s="14"/>
      <c r="R196" s="234"/>
      <c r="S196" s="204"/>
      <c r="V196" s="185"/>
    </row>
    <row r="197" spans="1:22" ht="18" hidden="1" customHeight="1">
      <c r="A197" s="96"/>
      <c r="B197" s="14"/>
      <c r="G197" s="14"/>
      <c r="H197" s="14"/>
      <c r="I197" s="14"/>
      <c r="J197" s="14"/>
      <c r="K197" s="14"/>
      <c r="L197" s="14"/>
      <c r="M197" s="14"/>
      <c r="N197" s="14"/>
      <c r="R197" s="234"/>
      <c r="S197" s="204"/>
      <c r="V197" s="185"/>
    </row>
    <row r="198" spans="1:22" ht="18" hidden="1" customHeight="1">
      <c r="A198" s="96"/>
      <c r="B198" s="14"/>
      <c r="F198" s="689" t="s">
        <v>127</v>
      </c>
      <c r="G198" s="708">
        <f>S176</f>
        <v>2500</v>
      </c>
      <c r="H198" s="1147"/>
      <c r="I198" s="689" t="s">
        <v>315</v>
      </c>
      <c r="J198" s="708">
        <f>S182</f>
        <v>1</v>
      </c>
      <c r="K198" s="1147"/>
      <c r="L198" s="14"/>
      <c r="M198" s="14"/>
      <c r="N198" s="14"/>
      <c r="R198" s="234"/>
      <c r="S198" s="204"/>
      <c r="V198" s="185"/>
    </row>
    <row r="199" spans="1:22" ht="18" hidden="1" customHeight="1">
      <c r="A199" s="96"/>
      <c r="B199" s="14"/>
      <c r="F199" s="689"/>
      <c r="G199" s="692">
        <f>J161</f>
        <v>437.38656756789834</v>
      </c>
      <c r="H199" s="716"/>
      <c r="I199" s="689"/>
      <c r="J199" s="689">
        <f>S179</f>
        <v>1</v>
      </c>
      <c r="K199" s="716"/>
      <c r="L199" s="14"/>
      <c r="M199" s="14"/>
      <c r="N199" s="14"/>
      <c r="R199" s="234"/>
      <c r="S199" s="204"/>
      <c r="V199" s="185"/>
    </row>
    <row r="200" spans="1:22" ht="18" hidden="1" customHeight="1">
      <c r="A200" s="96"/>
      <c r="B200" s="14"/>
      <c r="G200" s="14"/>
      <c r="H200" s="14"/>
      <c r="I200" s="14"/>
      <c r="J200" s="14"/>
      <c r="K200" s="14"/>
      <c r="L200" s="14"/>
      <c r="M200" s="14"/>
      <c r="N200" s="14"/>
      <c r="R200" s="234"/>
      <c r="S200" s="204"/>
      <c r="V200" s="185"/>
    </row>
    <row r="201" spans="1:22" ht="18" hidden="1" customHeight="1">
      <c r="A201" s="96"/>
      <c r="B201" s="14"/>
      <c r="F201" s="27" t="s">
        <v>127</v>
      </c>
      <c r="G201" s="716">
        <f>(G198/G199)*(J198/J199)</f>
        <v>5.715767664977295</v>
      </c>
      <c r="H201" s="716"/>
      <c r="I201" s="14"/>
      <c r="J201" s="14"/>
      <c r="K201" s="14"/>
      <c r="L201" s="14"/>
      <c r="M201" s="14"/>
      <c r="N201" s="14"/>
      <c r="R201" s="234"/>
      <c r="S201" s="204"/>
      <c r="V201" s="185"/>
    </row>
    <row r="202" spans="1:22" ht="18" hidden="1" customHeight="1">
      <c r="A202" s="96"/>
      <c r="B202" s="14"/>
      <c r="G202" s="14"/>
      <c r="H202" s="14"/>
      <c r="I202" s="14"/>
      <c r="J202" s="14"/>
      <c r="K202" s="14"/>
      <c r="L202" s="14"/>
      <c r="M202" s="14"/>
      <c r="N202" s="14"/>
      <c r="R202" s="234"/>
      <c r="S202" s="204"/>
      <c r="V202" s="185"/>
    </row>
    <row r="203" spans="1:22" ht="18" hidden="1" customHeight="1">
      <c r="A203" s="96"/>
      <c r="B203" s="14"/>
      <c r="D203" s="283" t="s">
        <v>698</v>
      </c>
      <c r="E203" s="284" t="s">
        <v>699</v>
      </c>
      <c r="F203" s="689" t="s">
        <v>696</v>
      </c>
      <c r="G203" s="716"/>
      <c r="H203" s="716"/>
      <c r="I203" s="284" t="s">
        <v>699</v>
      </c>
      <c r="J203" s="28">
        <v>4</v>
      </c>
      <c r="L203" s="279"/>
      <c r="M203" s="120" t="s">
        <v>700</v>
      </c>
      <c r="N203" s="47" t="s">
        <v>701</v>
      </c>
      <c r="O203" s="279"/>
      <c r="P203" s="236"/>
      <c r="Q203" s="236"/>
      <c r="R203" s="234"/>
      <c r="S203" s="204"/>
      <c r="V203" s="185"/>
    </row>
    <row r="204" spans="1:22" ht="18" hidden="1" customHeight="1">
      <c r="A204" s="96"/>
      <c r="B204" s="14"/>
      <c r="D204" s="218">
        <v>0.25</v>
      </c>
      <c r="E204" s="284" t="str">
        <f>IF(D204&lt;=G201,"≤","&gt;")</f>
        <v>≤</v>
      </c>
      <c r="F204" s="688">
        <f>G201</f>
        <v>5.715767664977295</v>
      </c>
      <c r="G204" s="1145"/>
      <c r="H204" s="688"/>
      <c r="I204" s="284" t="str">
        <f>IF(G201&lt;=J203,"≤","&gt;")</f>
        <v>&gt;</v>
      </c>
      <c r="J204" s="28">
        <f>J203</f>
        <v>4</v>
      </c>
      <c r="L204" s="279"/>
      <c r="M204" s="120"/>
      <c r="N204" s="213"/>
      <c r="O204" s="279"/>
      <c r="P204" s="236"/>
      <c r="Q204" s="236"/>
      <c r="R204" s="234"/>
      <c r="S204" s="204"/>
      <c r="V204" s="185"/>
    </row>
    <row r="205" spans="1:22" ht="18" hidden="1" customHeight="1">
      <c r="A205" s="96"/>
      <c r="B205" s="14"/>
      <c r="G205" s="14"/>
      <c r="H205" s="14"/>
      <c r="I205" s="14"/>
      <c r="J205" s="14"/>
      <c r="K205" s="14"/>
      <c r="L205" s="14"/>
      <c r="M205" s="14"/>
      <c r="N205" s="14"/>
      <c r="R205" s="234"/>
      <c r="S205" s="204"/>
      <c r="V205" s="185"/>
    </row>
    <row r="206" spans="1:22" ht="18" hidden="1" customHeight="1">
      <c r="A206" s="96"/>
      <c r="B206" s="14" t="s">
        <v>702</v>
      </c>
      <c r="G206" s="14"/>
      <c r="H206" s="18" t="str">
        <f>IF(AND(E204="≤",I204="≤")=TRUE,"OK","Not OK")</f>
        <v>Not OK</v>
      </c>
      <c r="I206" s="14"/>
      <c r="J206" s="14"/>
      <c r="K206" s="14"/>
      <c r="L206" s="14"/>
      <c r="M206" s="14"/>
      <c r="N206" s="14"/>
      <c r="R206" s="234"/>
      <c r="S206" s="204"/>
      <c r="V206" s="185"/>
    </row>
    <row r="207" spans="1:22" ht="18" hidden="1" customHeight="1">
      <c r="A207" s="96"/>
      <c r="B207" s="14"/>
      <c r="G207" s="14"/>
      <c r="H207" s="18"/>
      <c r="I207" s="14"/>
      <c r="J207" s="14"/>
      <c r="K207" s="14"/>
      <c r="L207" s="14"/>
      <c r="M207" s="14"/>
      <c r="N207" s="14"/>
      <c r="R207" s="234"/>
      <c r="S207" s="204"/>
      <c r="V207" s="185"/>
    </row>
    <row r="208" spans="1:22" ht="18" hidden="1" customHeight="1">
      <c r="A208" s="96"/>
      <c r="B208" s="14"/>
      <c r="G208" s="14"/>
      <c r="H208" s="18"/>
      <c r="I208" s="14"/>
      <c r="J208" s="14"/>
      <c r="K208" s="14"/>
      <c r="L208" s="14"/>
      <c r="M208" s="14"/>
      <c r="N208" s="14"/>
      <c r="R208" s="234"/>
      <c r="S208" s="204"/>
      <c r="V208" s="185"/>
    </row>
    <row r="209" spans="1:22" ht="18" hidden="1" customHeight="1">
      <c r="A209" s="96"/>
      <c r="B209" s="14"/>
      <c r="G209" s="14"/>
      <c r="H209" s="18"/>
      <c r="I209" s="14"/>
      <c r="J209" s="14"/>
      <c r="K209" s="14"/>
      <c r="L209" s="14"/>
      <c r="M209" s="14"/>
      <c r="N209" s="14"/>
      <c r="R209" s="234"/>
      <c r="S209" s="204"/>
      <c r="V209" s="185"/>
    </row>
    <row r="210" spans="1:22" ht="18" hidden="1" customHeight="1">
      <c r="A210" s="96"/>
      <c r="B210" s="14"/>
      <c r="G210" s="14"/>
      <c r="H210" s="18"/>
      <c r="I210" s="14"/>
      <c r="J210" s="14"/>
      <c r="K210" s="14"/>
      <c r="L210" s="14"/>
      <c r="M210" s="14"/>
      <c r="N210" s="14"/>
      <c r="R210" s="234"/>
      <c r="S210" s="204"/>
      <c r="V210" s="185"/>
    </row>
    <row r="211" spans="1:22" ht="18" hidden="1" customHeight="1">
      <c r="A211" s="96"/>
      <c r="B211" s="14"/>
      <c r="G211" s="14"/>
      <c r="H211" s="18"/>
      <c r="I211" s="14"/>
      <c r="J211" s="14"/>
      <c r="K211" s="14"/>
      <c r="L211" s="14"/>
      <c r="M211" s="14"/>
      <c r="N211" s="14"/>
      <c r="R211" s="234"/>
      <c r="S211" s="204"/>
      <c r="V211" s="185"/>
    </row>
    <row r="212" spans="1:22" ht="18" hidden="1" customHeight="1">
      <c r="A212" s="96"/>
      <c r="B212" s="14"/>
      <c r="G212" s="14"/>
      <c r="H212" s="18"/>
      <c r="I212" s="14"/>
      <c r="J212" s="14"/>
      <c r="K212" s="14"/>
      <c r="L212" s="14"/>
      <c r="M212" s="14"/>
      <c r="N212" s="14"/>
      <c r="R212" s="234"/>
      <c r="S212" s="204"/>
      <c r="V212" s="185"/>
    </row>
    <row r="213" spans="1:22" ht="18" hidden="1" customHeight="1">
      <c r="A213" s="96"/>
      <c r="B213" s="14"/>
      <c r="G213" s="14"/>
      <c r="H213" s="18"/>
      <c r="I213" s="14"/>
      <c r="J213" s="14"/>
      <c r="K213" s="14"/>
      <c r="L213" s="14"/>
      <c r="M213" s="14"/>
      <c r="N213" s="14"/>
      <c r="R213" s="234"/>
      <c r="S213" s="204"/>
      <c r="V213" s="185"/>
    </row>
    <row r="214" spans="1:22" ht="18" hidden="1" customHeight="1">
      <c r="A214" s="96"/>
      <c r="B214" s="14"/>
      <c r="G214" s="14"/>
      <c r="H214" s="18"/>
      <c r="I214" s="14"/>
      <c r="J214" s="14"/>
      <c r="K214" s="14"/>
      <c r="L214" s="14"/>
      <c r="M214" s="14"/>
      <c r="N214" s="14"/>
      <c r="R214" s="234"/>
      <c r="S214" s="204"/>
      <c r="V214" s="185"/>
    </row>
    <row r="215" spans="1:22" ht="18" hidden="1" customHeight="1">
      <c r="A215" s="96"/>
      <c r="B215" s="14"/>
      <c r="G215" s="14"/>
      <c r="H215" s="18"/>
      <c r="I215" s="14"/>
      <c r="J215" s="14"/>
      <c r="K215" s="14"/>
      <c r="L215" s="14"/>
      <c r="M215" s="14"/>
      <c r="N215" s="14"/>
      <c r="R215" s="234"/>
      <c r="S215" s="204"/>
      <c r="V215" s="185"/>
    </row>
    <row r="216" spans="1:22" ht="18" hidden="1" customHeight="1">
      <c r="A216" s="96"/>
      <c r="B216" s="14"/>
      <c r="G216" s="14"/>
      <c r="H216" s="18"/>
      <c r="I216" s="14"/>
      <c r="J216" s="14"/>
      <c r="K216" s="14"/>
      <c r="L216" s="14"/>
      <c r="M216" s="14"/>
      <c r="N216" s="14"/>
      <c r="R216" s="234"/>
      <c r="S216" s="204"/>
      <c r="V216" s="185"/>
    </row>
    <row r="217" spans="1:22" ht="18" hidden="1" customHeight="1">
      <c r="A217" s="96"/>
      <c r="B217" s="14"/>
      <c r="G217" s="14"/>
      <c r="H217" s="18"/>
      <c r="I217" s="14"/>
      <c r="J217" s="14"/>
      <c r="K217" s="14"/>
      <c r="L217" s="14"/>
      <c r="M217" s="14"/>
      <c r="N217" s="14"/>
      <c r="R217" s="234"/>
      <c r="S217" s="204"/>
      <c r="V217" s="185"/>
    </row>
    <row r="218" spans="1:22" ht="18" hidden="1" customHeight="1">
      <c r="A218" s="96"/>
      <c r="B218" s="14"/>
      <c r="G218" s="14"/>
      <c r="H218" s="18"/>
      <c r="I218" s="14"/>
      <c r="J218" s="14"/>
      <c r="K218" s="14"/>
      <c r="L218" s="14"/>
      <c r="M218" s="14"/>
      <c r="N218" s="14"/>
      <c r="R218" s="234"/>
      <c r="S218" s="204"/>
      <c r="V218" s="185"/>
    </row>
    <row r="219" spans="1:22" ht="18" hidden="1" customHeight="1">
      <c r="A219" s="96"/>
      <c r="B219" s="14"/>
      <c r="G219" s="14"/>
      <c r="H219" s="18"/>
      <c r="I219" s="14"/>
      <c r="J219" s="14"/>
      <c r="K219" s="14"/>
      <c r="L219" s="14"/>
      <c r="M219" s="14"/>
      <c r="N219" s="14"/>
      <c r="R219" s="234"/>
      <c r="S219" s="204"/>
      <c r="V219" s="185"/>
    </row>
    <row r="220" spans="1:22" ht="18" hidden="1" customHeight="1">
      <c r="A220" s="96"/>
      <c r="B220" s="14"/>
      <c r="G220" s="14"/>
      <c r="H220" s="18"/>
      <c r="I220" s="14"/>
      <c r="J220" s="14"/>
      <c r="K220" s="14"/>
      <c r="L220" s="14"/>
      <c r="M220" s="14"/>
      <c r="N220" s="14"/>
      <c r="R220" s="234"/>
      <c r="S220" s="204"/>
      <c r="V220" s="185"/>
    </row>
    <row r="221" spans="1:22" ht="18" hidden="1" customHeight="1">
      <c r="A221" s="96"/>
      <c r="B221" s="14"/>
      <c r="G221" s="14"/>
      <c r="H221" s="18"/>
      <c r="I221" s="14"/>
      <c r="J221" s="14"/>
      <c r="K221" s="14"/>
      <c r="L221" s="14"/>
      <c r="M221" s="14"/>
      <c r="N221" s="14"/>
      <c r="R221" s="234"/>
      <c r="S221" s="204"/>
      <c r="V221" s="185"/>
    </row>
    <row r="222" spans="1:22" ht="18" hidden="1" customHeight="1">
      <c r="A222" s="96"/>
      <c r="B222" s="14"/>
      <c r="G222" s="14"/>
      <c r="H222" s="14"/>
      <c r="I222" s="14"/>
      <c r="J222" s="14"/>
      <c r="K222" s="14"/>
      <c r="L222" s="14"/>
      <c r="M222" s="14"/>
      <c r="N222" s="14"/>
      <c r="R222" s="234"/>
      <c r="S222" s="204"/>
      <c r="V222" s="185"/>
    </row>
    <row r="223" spans="1:22" s="14" customFormat="1" ht="18" hidden="1" customHeight="1">
      <c r="A223" s="194"/>
      <c r="B223" s="195"/>
      <c r="C223" s="195"/>
      <c r="D223" s="195"/>
      <c r="E223" s="195"/>
      <c r="F223" s="195"/>
      <c r="G223" s="195"/>
      <c r="H223" s="195"/>
      <c r="I223" s="195"/>
      <c r="J223" s="195"/>
      <c r="K223" s="195"/>
      <c r="L223" s="195"/>
      <c r="M223" s="195"/>
      <c r="N223" s="195"/>
      <c r="O223" s="195"/>
      <c r="P223" s="195"/>
      <c r="Q223" s="224"/>
      <c r="R223" s="182"/>
      <c r="S223" s="225"/>
      <c r="T223" s="195"/>
      <c r="U223" s="195"/>
      <c r="V223" s="134"/>
    </row>
    <row r="224" spans="1:22" ht="18" hidden="1" customHeight="1">
      <c r="A224" s="226"/>
      <c r="B224" s="227"/>
      <c r="C224" s="227"/>
      <c r="D224" s="227"/>
      <c r="E224" s="227"/>
      <c r="F224" s="227"/>
      <c r="G224" s="227"/>
      <c r="H224" s="227"/>
      <c r="I224" s="227"/>
      <c r="J224" s="227"/>
      <c r="K224" s="227"/>
      <c r="L224" s="227"/>
      <c r="M224" s="227"/>
      <c r="N224" s="227"/>
      <c r="O224" s="227"/>
      <c r="P224" s="227"/>
      <c r="Q224" s="227"/>
      <c r="R224" s="227"/>
      <c r="S224" s="227"/>
      <c r="T224" s="227"/>
      <c r="U224" s="227"/>
      <c r="V224" s="228"/>
    </row>
    <row r="225" spans="1:29" ht="18" hidden="1" customHeight="1">
      <c r="A225" s="184"/>
      <c r="B225" s="854" t="str">
        <f>B131</f>
        <v>T1</v>
      </c>
      <c r="C225" s="831"/>
      <c r="D225" s="855" t="str">
        <f>D131</f>
        <v>Core2</v>
      </c>
      <c r="E225" s="856"/>
      <c r="F225" s="186" t="s">
        <v>631</v>
      </c>
      <c r="H225" s="684" t="str">
        <f>H131</f>
        <v>(Transformer Differential)</v>
      </c>
      <c r="I225" s="684"/>
      <c r="J225" s="684"/>
      <c r="K225" s="684"/>
      <c r="L225" s="684"/>
      <c r="M225" s="684"/>
      <c r="P225" s="186"/>
      <c r="S225" s="187" t="s">
        <v>387</v>
      </c>
      <c r="T225" s="1154" t="str">
        <f>T131</f>
        <v>7UT85</v>
      </c>
      <c r="U225" s="1155"/>
      <c r="V225" s="185"/>
    </row>
    <row r="226" spans="1:29" ht="18" hidden="1" customHeight="1">
      <c r="A226" s="184"/>
      <c r="B226" s="853">
        <f>B132</f>
        <v>0</v>
      </c>
      <c r="C226" s="853"/>
      <c r="D226" s="857"/>
      <c r="E226" s="858"/>
      <c r="F226" s="287"/>
      <c r="T226" s="1154">
        <f>T132</f>
        <v>0</v>
      </c>
      <c r="U226" s="1155"/>
      <c r="V226" s="185"/>
    </row>
    <row r="227" spans="1:29" ht="18" hidden="1" customHeight="1">
      <c r="A227" s="184"/>
      <c r="H227" s="708" t="s">
        <v>390</v>
      </c>
      <c r="I227" s="708"/>
      <c r="J227" s="708" t="s">
        <v>391</v>
      </c>
      <c r="K227" s="708"/>
      <c r="L227" s="789" t="s">
        <v>392</v>
      </c>
      <c r="M227" s="789"/>
      <c r="T227" s="1154">
        <f>T133</f>
        <v>0</v>
      </c>
      <c r="U227" s="1155"/>
      <c r="V227" s="185"/>
    </row>
    <row r="228" spans="1:29" ht="18" hidden="1" customHeight="1">
      <c r="A228" s="184"/>
      <c r="B228" s="47" t="s">
        <v>393</v>
      </c>
      <c r="H228" s="854">
        <f>H134</f>
        <v>1750</v>
      </c>
      <c r="I228" s="831"/>
      <c r="J228" s="854">
        <f>J134</f>
        <v>2500</v>
      </c>
      <c r="K228" s="831"/>
      <c r="L228" s="863" t="str">
        <f>L134</f>
        <v>-</v>
      </c>
      <c r="M228" s="864"/>
      <c r="N228" s="102" t="s">
        <v>342</v>
      </c>
      <c r="O228" s="256">
        <f>O134</f>
        <v>1</v>
      </c>
      <c r="P228" s="27" t="s">
        <v>8</v>
      </c>
      <c r="V228" s="185"/>
    </row>
    <row r="229" spans="1:29" ht="18" hidden="1" customHeight="1">
      <c r="A229" s="184"/>
      <c r="B229" s="47" t="s">
        <v>394</v>
      </c>
      <c r="H229" s="14"/>
      <c r="I229" s="14"/>
      <c r="L229" s="854" t="str">
        <f>J135</f>
        <v>PX</v>
      </c>
      <c r="M229" s="776"/>
      <c r="V229" s="185"/>
    </row>
    <row r="230" spans="1:29" ht="18" hidden="1" customHeight="1">
      <c r="A230" s="184"/>
      <c r="B230" s="47" t="s">
        <v>396</v>
      </c>
      <c r="K230" s="120" t="s">
        <v>497</v>
      </c>
      <c r="L230" s="781">
        <v>3</v>
      </c>
      <c r="M230" s="782"/>
      <c r="N230" s="192" t="s">
        <v>333</v>
      </c>
      <c r="V230" s="185"/>
    </row>
    <row r="231" spans="1:29" ht="18" hidden="1" customHeight="1">
      <c r="A231" s="184"/>
      <c r="B231" s="47" t="s">
        <v>398</v>
      </c>
      <c r="K231" s="120" t="s">
        <v>498</v>
      </c>
      <c r="L231" s="781">
        <v>200</v>
      </c>
      <c r="M231" s="782"/>
      <c r="N231" s="14" t="s">
        <v>305</v>
      </c>
      <c r="V231" s="185"/>
      <c r="W231" s="30" t="s">
        <v>400</v>
      </c>
      <c r="AB231" s="785" t="e">
        <f>D286</f>
        <v>#VALUE!</v>
      </c>
      <c r="AC231" s="786"/>
    </row>
    <row r="232" spans="1:29" ht="18" hidden="1" customHeight="1">
      <c r="A232" s="184"/>
      <c r="B232" s="14" t="s">
        <v>401</v>
      </c>
      <c r="K232" s="120" t="s">
        <v>402</v>
      </c>
      <c r="L232" s="781">
        <v>50</v>
      </c>
      <c r="M232" s="782"/>
      <c r="N232" s="30" t="s">
        <v>403</v>
      </c>
      <c r="V232" s="185"/>
    </row>
    <row r="233" spans="1:29" ht="18" hidden="1" customHeight="1">
      <c r="A233" s="96"/>
      <c r="V233" s="185"/>
    </row>
    <row r="234" spans="1:29" ht="18" hidden="1" customHeight="1">
      <c r="A234" s="193" t="s">
        <v>404</v>
      </c>
      <c r="V234" s="185"/>
    </row>
    <row r="235" spans="1:29" ht="18" hidden="1" customHeight="1">
      <c r="A235" s="184"/>
      <c r="V235" s="185"/>
    </row>
    <row r="236" spans="1:29" ht="18" hidden="1" customHeight="1">
      <c r="A236" s="184"/>
      <c r="B236" s="194" t="s">
        <v>405</v>
      </c>
      <c r="C236" s="195"/>
      <c r="D236" s="195" t="str">
        <f>T225</f>
        <v>7UT85</v>
      </c>
      <c r="E236" s="196"/>
      <c r="F236" s="196"/>
      <c r="G236" s="196"/>
      <c r="H236" s="182" t="s">
        <v>406</v>
      </c>
      <c r="I236" s="183" t="s">
        <v>127</v>
      </c>
      <c r="J236" s="766">
        <f>J142</f>
        <v>0.1</v>
      </c>
      <c r="K236" s="958"/>
      <c r="L236" s="3" t="s">
        <v>157</v>
      </c>
      <c r="V236" s="185"/>
    </row>
    <row r="237" spans="1:29" ht="18" hidden="1" customHeight="1">
      <c r="A237" s="184"/>
      <c r="B237" s="184" t="s">
        <v>405</v>
      </c>
      <c r="D237" s="30">
        <f>T226</f>
        <v>0</v>
      </c>
      <c r="H237" s="27"/>
      <c r="I237" s="177" t="s">
        <v>127</v>
      </c>
      <c r="J237" s="861">
        <f>J143</f>
        <v>0</v>
      </c>
      <c r="K237" s="989"/>
      <c r="L237" s="198" t="s">
        <v>157</v>
      </c>
      <c r="V237" s="185"/>
    </row>
    <row r="238" spans="1:29" ht="18" hidden="1" customHeight="1">
      <c r="A238" s="184"/>
      <c r="B238" s="184" t="s">
        <v>405</v>
      </c>
      <c r="D238" s="30">
        <f>T227</f>
        <v>0</v>
      </c>
      <c r="E238" s="14"/>
      <c r="G238" s="199"/>
      <c r="H238" s="27"/>
      <c r="I238" s="177" t="s">
        <v>127</v>
      </c>
      <c r="J238" s="696">
        <f>J144</f>
        <v>0</v>
      </c>
      <c r="K238" s="820"/>
      <c r="L238" s="202" t="s">
        <v>157</v>
      </c>
      <c r="V238" s="185"/>
    </row>
    <row r="239" spans="1:29" ht="18" hidden="1" customHeight="1">
      <c r="A239" s="184"/>
      <c r="B239" s="184" t="s">
        <v>412</v>
      </c>
      <c r="H239" s="27" t="s">
        <v>599</v>
      </c>
      <c r="I239" s="177" t="s">
        <v>127</v>
      </c>
      <c r="J239" s="861">
        <f>J145</f>
        <v>1.1667743100000001</v>
      </c>
      <c r="K239" s="989"/>
      <c r="L239" s="203" t="s">
        <v>157</v>
      </c>
      <c r="V239" s="185"/>
    </row>
    <row r="240" spans="1:29" ht="18" hidden="1" customHeight="1">
      <c r="A240" s="184"/>
      <c r="B240" s="205" t="s">
        <v>413</v>
      </c>
      <c r="C240" s="206"/>
      <c r="D240" s="206"/>
      <c r="E240" s="206"/>
      <c r="F240" s="207"/>
      <c r="G240" s="207"/>
      <c r="H240" s="190" t="s">
        <v>409</v>
      </c>
      <c r="I240" s="208" t="s">
        <v>127</v>
      </c>
      <c r="J240" s="766">
        <f>J237+J239</f>
        <v>1.1667743100000001</v>
      </c>
      <c r="K240" s="958"/>
      <c r="L240" s="210" t="s">
        <v>157</v>
      </c>
      <c r="V240" s="185"/>
    </row>
    <row r="241" spans="1:22" ht="18" hidden="1" customHeight="1">
      <c r="A241" s="184"/>
      <c r="B241" s="47"/>
      <c r="C241" s="47"/>
      <c r="D241" s="47"/>
      <c r="E241" s="47"/>
      <c r="H241" s="27"/>
      <c r="I241" s="28"/>
      <c r="J241" s="199"/>
      <c r="L241" s="47"/>
      <c r="O241" s="27"/>
      <c r="P241" s="211"/>
      <c r="Q241" s="211"/>
      <c r="R241" s="192"/>
      <c r="V241" s="185"/>
    </row>
    <row r="242" spans="1:22" ht="18" hidden="1" customHeight="1">
      <c r="A242" s="184"/>
      <c r="B242" s="197" t="s">
        <v>648</v>
      </c>
      <c r="L242" s="47"/>
      <c r="M242" s="197" t="s">
        <v>407</v>
      </c>
      <c r="V242" s="185"/>
    </row>
    <row r="243" spans="1:22" ht="18" hidden="1" customHeight="1">
      <c r="A243" s="184"/>
      <c r="B243" s="27" t="s">
        <v>649</v>
      </c>
      <c r="C243" s="27" t="s">
        <v>127</v>
      </c>
      <c r="D243" s="30" t="s">
        <v>406</v>
      </c>
      <c r="E243" s="271" t="s">
        <v>410</v>
      </c>
      <c r="F243" s="27" t="s">
        <v>146</v>
      </c>
      <c r="G243" s="28" t="s">
        <v>315</v>
      </c>
      <c r="H243" s="218" t="s">
        <v>146</v>
      </c>
      <c r="I243" s="30" t="s">
        <v>350</v>
      </c>
      <c r="J243" s="199"/>
      <c r="L243" s="47"/>
      <c r="M243" s="30" t="s">
        <v>408</v>
      </c>
      <c r="N243" s="27" t="s">
        <v>127</v>
      </c>
      <c r="O243" s="30" t="s">
        <v>409</v>
      </c>
      <c r="P243" s="191" t="s">
        <v>410</v>
      </c>
      <c r="Q243" s="244" t="s">
        <v>411</v>
      </c>
      <c r="R243" s="27" t="s">
        <v>315</v>
      </c>
      <c r="S243" s="30" t="s">
        <v>411</v>
      </c>
      <c r="T243" s="30" t="s">
        <v>350</v>
      </c>
      <c r="V243" s="185"/>
    </row>
    <row r="244" spans="1:22" ht="18" hidden="1" customHeight="1">
      <c r="A244" s="184"/>
      <c r="B244" s="47"/>
      <c r="C244" s="27" t="s">
        <v>127</v>
      </c>
      <c r="D244" s="204">
        <f>J236</f>
        <v>0.1</v>
      </c>
      <c r="E244" s="191" t="s">
        <v>410</v>
      </c>
      <c r="F244" s="27">
        <f>F150</f>
        <v>1</v>
      </c>
      <c r="G244" s="27" t="s">
        <v>315</v>
      </c>
      <c r="H244" s="27">
        <f>H150</f>
        <v>1</v>
      </c>
      <c r="I244" s="30" t="s">
        <v>350</v>
      </c>
      <c r="J244" s="199"/>
      <c r="L244" s="47"/>
      <c r="N244" s="27" t="s">
        <v>127</v>
      </c>
      <c r="O244" s="204">
        <f>J240</f>
        <v>1.1667743100000001</v>
      </c>
      <c r="P244" s="191" t="s">
        <v>410</v>
      </c>
      <c r="Q244" s="27">
        <f>O228</f>
        <v>1</v>
      </c>
      <c r="R244" s="27" t="s">
        <v>315</v>
      </c>
      <c r="S244" s="27">
        <f>O228</f>
        <v>1</v>
      </c>
      <c r="T244" s="30" t="s">
        <v>350</v>
      </c>
      <c r="V244" s="185"/>
    </row>
    <row r="245" spans="1:22" ht="18" hidden="1" customHeight="1">
      <c r="A245" s="184"/>
      <c r="B245" s="47"/>
      <c r="C245" s="27" t="s">
        <v>127</v>
      </c>
      <c r="D245" s="795">
        <f>D244/(F244*H244)</f>
        <v>0.1</v>
      </c>
      <c r="E245" s="795"/>
      <c r="F245" s="192" t="s">
        <v>333</v>
      </c>
      <c r="J245" s="199"/>
      <c r="L245" s="47"/>
      <c r="N245" s="27" t="s">
        <v>127</v>
      </c>
      <c r="O245" s="795">
        <f>O244/(Q244*S244)</f>
        <v>1.1667743100000001</v>
      </c>
      <c r="P245" s="795"/>
      <c r="Q245" s="192" t="s">
        <v>333</v>
      </c>
      <c r="V245" s="185"/>
    </row>
    <row r="246" spans="1:22" ht="18" hidden="1" customHeight="1">
      <c r="A246" s="184"/>
      <c r="B246" s="47"/>
      <c r="C246" s="47"/>
      <c r="D246" s="47"/>
      <c r="E246" s="47"/>
      <c r="H246" s="27"/>
      <c r="I246" s="28"/>
      <c r="J246" s="199"/>
      <c r="L246" s="47"/>
      <c r="O246" s="27"/>
      <c r="P246" s="211"/>
      <c r="Q246" s="211"/>
      <c r="R246" s="192"/>
      <c r="V246" s="185"/>
    </row>
    <row r="247" spans="1:22" ht="18" hidden="1" customHeight="1">
      <c r="A247" s="184"/>
      <c r="B247" s="47" t="s">
        <v>668</v>
      </c>
      <c r="C247" s="47"/>
      <c r="D247" s="47"/>
      <c r="E247" s="47"/>
      <c r="H247" s="27"/>
      <c r="I247" s="28"/>
      <c r="J247" s="199"/>
      <c r="L247" s="28" t="s">
        <v>127</v>
      </c>
      <c r="M247" s="795">
        <f>D245</f>
        <v>0.1</v>
      </c>
      <c r="N247" s="795"/>
      <c r="O247" s="27" t="s">
        <v>347</v>
      </c>
      <c r="P247" s="795">
        <f>O245</f>
        <v>1.1667743100000001</v>
      </c>
      <c r="Q247" s="795"/>
      <c r="R247" s="211" t="s">
        <v>127</v>
      </c>
      <c r="S247" s="795">
        <f>M247+P247</f>
        <v>1.2667743100000002</v>
      </c>
      <c r="T247" s="795"/>
      <c r="U247" s="192" t="s">
        <v>333</v>
      </c>
      <c r="V247" s="185"/>
    </row>
    <row r="248" spans="1:22" s="14" customFormat="1" ht="18" hidden="1" customHeight="1">
      <c r="A248" s="193" t="s">
        <v>600</v>
      </c>
      <c r="B248" s="5"/>
      <c r="C248" s="5"/>
      <c r="D248" s="5"/>
      <c r="E248" s="5"/>
      <c r="F248" s="5"/>
      <c r="G248" s="5"/>
      <c r="H248" s="212"/>
      <c r="I248" s="212"/>
      <c r="J248" s="5"/>
      <c r="K248" s="5"/>
      <c r="L248" s="5"/>
      <c r="M248" s="5"/>
      <c r="N248" s="5"/>
      <c r="O248" s="5"/>
      <c r="P248" s="103"/>
      <c r="Q248" s="212"/>
      <c r="R248" s="213"/>
      <c r="S248" s="214"/>
      <c r="T248" s="18"/>
      <c r="U248" s="18"/>
      <c r="V248" s="97"/>
    </row>
    <row r="249" spans="1:22" s="14" customFormat="1" ht="18" hidden="1" customHeight="1">
      <c r="A249" s="96"/>
      <c r="B249" s="47" t="s">
        <v>601</v>
      </c>
      <c r="C249" s="5"/>
      <c r="D249" s="5"/>
      <c r="E249" s="5"/>
      <c r="I249" s="215"/>
      <c r="M249" s="5"/>
      <c r="N249" s="103" t="s">
        <v>127</v>
      </c>
      <c r="O249" s="1154">
        <f>O155</f>
        <v>100</v>
      </c>
      <c r="P249" s="831"/>
      <c r="Q249" s="14" t="s">
        <v>602</v>
      </c>
      <c r="S249" s="214"/>
      <c r="T249" s="18"/>
      <c r="U249" s="18"/>
      <c r="V249" s="97"/>
    </row>
    <row r="250" spans="1:22" s="14" customFormat="1" ht="18" hidden="1" customHeight="1">
      <c r="A250" s="96"/>
      <c r="B250" s="47" t="s">
        <v>603</v>
      </c>
      <c r="C250" s="5"/>
      <c r="D250" s="5"/>
      <c r="E250" s="5"/>
      <c r="I250" s="215"/>
      <c r="M250" s="5"/>
      <c r="N250" s="103" t="s">
        <v>127</v>
      </c>
      <c r="O250" s="1154">
        <f>O156</f>
        <v>25</v>
      </c>
      <c r="P250" s="831"/>
      <c r="Q250" s="14" t="s">
        <v>604</v>
      </c>
      <c r="S250" s="214"/>
      <c r="T250" s="18"/>
      <c r="U250" s="18"/>
      <c r="V250" s="97"/>
    </row>
    <row r="251" spans="1:22" s="14" customFormat="1" ht="18" hidden="1" customHeight="1">
      <c r="A251" s="96"/>
      <c r="B251" s="47" t="s">
        <v>605</v>
      </c>
      <c r="C251" s="5"/>
      <c r="D251" s="5"/>
      <c r="E251" s="5"/>
      <c r="M251" s="120" t="s">
        <v>606</v>
      </c>
      <c r="N251" s="103" t="s">
        <v>607</v>
      </c>
      <c r="O251" s="1154">
        <f>O157</f>
        <v>132</v>
      </c>
      <c r="P251" s="831"/>
      <c r="Q251" s="14" t="s">
        <v>163</v>
      </c>
      <c r="S251" s="214"/>
      <c r="T251" s="18"/>
      <c r="U251" s="18"/>
      <c r="V251" s="97"/>
    </row>
    <row r="252" spans="1:22" s="14" customFormat="1" ht="18" hidden="1" customHeight="1">
      <c r="A252" s="216"/>
      <c r="B252" s="212"/>
      <c r="C252" s="212"/>
      <c r="D252" s="212"/>
      <c r="E252" s="212"/>
      <c r="T252" s="18"/>
      <c r="U252" s="18"/>
      <c r="V252" s="97"/>
    </row>
    <row r="253" spans="1:22" s="14" customFormat="1" ht="18" hidden="1" customHeight="1">
      <c r="A253" s="272" t="s">
        <v>608</v>
      </c>
      <c r="B253" s="213"/>
      <c r="C253" s="213"/>
      <c r="D253" s="213"/>
      <c r="E253" s="213"/>
      <c r="H253" s="120" t="s">
        <v>609</v>
      </c>
      <c r="I253" s="28" t="s">
        <v>127</v>
      </c>
      <c r="J253" s="689" t="s">
        <v>610</v>
      </c>
      <c r="K253" s="689"/>
      <c r="L253" s="28" t="s">
        <v>315</v>
      </c>
      <c r="M253" s="217">
        <v>1000</v>
      </c>
      <c r="N253" s="102" t="s">
        <v>342</v>
      </c>
      <c r="O253" s="28" t="s">
        <v>611</v>
      </c>
      <c r="P253" s="28" t="s">
        <v>315</v>
      </c>
      <c r="Q253" s="28" t="s">
        <v>606</v>
      </c>
      <c r="R253" s="47" t="s">
        <v>350</v>
      </c>
      <c r="T253" s="18"/>
      <c r="U253" s="18"/>
      <c r="V253" s="97"/>
    </row>
    <row r="254" spans="1:22" s="14" customFormat="1" ht="18" hidden="1" customHeight="1">
      <c r="A254" s="216"/>
      <c r="B254" s="213"/>
      <c r="C254" s="213"/>
      <c r="D254" s="213"/>
      <c r="E254" s="213"/>
      <c r="F254" s="212"/>
      <c r="G254" s="212"/>
      <c r="H254" s="28"/>
      <c r="I254" s="28" t="s">
        <v>127</v>
      </c>
      <c r="J254" s="689">
        <f>O249</f>
        <v>100</v>
      </c>
      <c r="K254" s="689"/>
      <c r="L254" s="28" t="s">
        <v>315</v>
      </c>
      <c r="M254" s="217">
        <v>1000</v>
      </c>
      <c r="N254" s="102" t="s">
        <v>342</v>
      </c>
      <c r="O254" s="28" t="s">
        <v>611</v>
      </c>
      <c r="P254" s="28" t="s">
        <v>315</v>
      </c>
      <c r="Q254" s="28">
        <f>O251</f>
        <v>132</v>
      </c>
      <c r="R254" s="47" t="s">
        <v>350</v>
      </c>
      <c r="T254" s="18"/>
      <c r="U254" s="18"/>
      <c r="V254" s="97"/>
    </row>
    <row r="255" spans="1:22" s="14" customFormat="1" ht="18" hidden="1" customHeight="1">
      <c r="A255" s="216"/>
      <c r="B255" s="212"/>
      <c r="C255" s="212"/>
      <c r="D255" s="212"/>
      <c r="E255" s="212"/>
      <c r="F255" s="212"/>
      <c r="G255" s="212"/>
      <c r="I255" s="28" t="s">
        <v>127</v>
      </c>
      <c r="J255" s="692">
        <f>(O249*1000)/(SQRT(3)*O251)</f>
        <v>437.38656756789834</v>
      </c>
      <c r="K255" s="692"/>
      <c r="L255" s="14" t="s">
        <v>8</v>
      </c>
      <c r="M255" s="120"/>
      <c r="N255" s="120"/>
      <c r="O255" s="120"/>
      <c r="T255" s="18"/>
      <c r="U255" s="18"/>
      <c r="V255" s="97"/>
    </row>
    <row r="256" spans="1:22" s="14" customFormat="1" ht="18" hidden="1" customHeight="1">
      <c r="A256" s="216"/>
      <c r="B256" s="212"/>
      <c r="C256" s="212"/>
      <c r="D256" s="212"/>
      <c r="E256" s="212"/>
      <c r="G256" s="212"/>
      <c r="H256" s="28"/>
      <c r="I256" s="103"/>
      <c r="J256" s="28"/>
      <c r="M256" s="212"/>
      <c r="N256" s="219"/>
      <c r="O256" s="212"/>
      <c r="T256" s="18"/>
      <c r="U256" s="18"/>
      <c r="V256" s="97"/>
    </row>
    <row r="257" spans="1:22" s="14" customFormat="1" ht="18" hidden="1" customHeight="1">
      <c r="A257" s="147" t="s">
        <v>629</v>
      </c>
      <c r="B257" s="5"/>
      <c r="C257" s="5"/>
      <c r="D257" s="5"/>
      <c r="E257" s="5"/>
      <c r="F257" s="212"/>
      <c r="G257" s="212"/>
      <c r="H257" s="5"/>
      <c r="I257" s="5"/>
      <c r="J257" s="5"/>
      <c r="K257" s="5"/>
      <c r="L257" s="103"/>
      <c r="M257" s="103"/>
      <c r="N257" s="103"/>
      <c r="O257" s="103"/>
      <c r="P257" s="212"/>
      <c r="Q257" s="213"/>
      <c r="S257" s="220"/>
      <c r="T257" s="18"/>
      <c r="U257" s="18"/>
      <c r="V257" s="97"/>
    </row>
    <row r="258" spans="1:22" s="14" customFormat="1" ht="18" hidden="1" customHeight="1">
      <c r="A258" s="147"/>
      <c r="B258" s="5"/>
      <c r="C258" s="5"/>
      <c r="D258" s="5"/>
      <c r="E258" s="5"/>
      <c r="F258" s="212"/>
      <c r="G258" s="212"/>
      <c r="H258" s="5"/>
      <c r="I258" s="5"/>
      <c r="J258" s="5"/>
      <c r="K258" s="5"/>
      <c r="L258" s="103"/>
      <c r="M258" s="103"/>
      <c r="N258" s="103"/>
      <c r="O258" s="103"/>
      <c r="P258" s="212"/>
      <c r="Q258" s="213"/>
      <c r="S258" s="214"/>
      <c r="T258" s="18"/>
      <c r="U258" s="18"/>
      <c r="V258" s="97"/>
    </row>
    <row r="259" spans="1:22" ht="18" hidden="1" customHeight="1">
      <c r="A259" s="96" t="s">
        <v>632</v>
      </c>
      <c r="B259" s="14"/>
      <c r="C259" s="14"/>
      <c r="D259" s="14"/>
      <c r="E259" s="14"/>
      <c r="M259" s="120" t="s">
        <v>613</v>
      </c>
      <c r="N259" s="28" t="s">
        <v>127</v>
      </c>
      <c r="O259" s="689" t="s">
        <v>609</v>
      </c>
      <c r="P259" s="716"/>
      <c r="Q259" s="221" t="s">
        <v>630</v>
      </c>
      <c r="R259" s="221">
        <v>16</v>
      </c>
      <c r="S259" s="214"/>
      <c r="V259" s="185"/>
    </row>
    <row r="260" spans="1:22" ht="18" hidden="1" customHeight="1">
      <c r="A260" s="96"/>
      <c r="B260" s="5"/>
      <c r="C260" s="5"/>
      <c r="D260" s="5"/>
      <c r="E260" s="5"/>
      <c r="M260" s="250"/>
      <c r="N260" s="28" t="s">
        <v>127</v>
      </c>
      <c r="O260" s="689">
        <f>+J255</f>
        <v>437.38656756789834</v>
      </c>
      <c r="P260" s="716"/>
      <c r="Q260" s="221" t="s">
        <v>630</v>
      </c>
      <c r="R260" s="221">
        <v>16</v>
      </c>
      <c r="S260" s="214"/>
      <c r="V260" s="185"/>
    </row>
    <row r="261" spans="1:22" ht="18" hidden="1" customHeight="1">
      <c r="A261" s="96"/>
      <c r="B261" s="5"/>
      <c r="C261" s="5"/>
      <c r="D261" s="5"/>
      <c r="E261" s="5"/>
      <c r="M261" s="120" t="s">
        <v>613</v>
      </c>
      <c r="N261" s="28" t="s">
        <v>127</v>
      </c>
      <c r="O261" s="689">
        <f>O260*R260</f>
        <v>6998.1850810863734</v>
      </c>
      <c r="P261" s="716"/>
      <c r="Q261" s="241" t="s">
        <v>8</v>
      </c>
      <c r="R261" s="14"/>
      <c r="S261" s="214"/>
      <c r="V261" s="185"/>
    </row>
    <row r="262" spans="1:22" ht="18" hidden="1" customHeight="1">
      <c r="A262" s="96"/>
      <c r="B262" s="5"/>
      <c r="C262" s="5"/>
      <c r="D262" s="5"/>
      <c r="E262" s="5"/>
      <c r="M262" s="120"/>
      <c r="N262" s="28"/>
      <c r="O262" s="28"/>
      <c r="P262" s="14"/>
      <c r="Q262" s="241"/>
      <c r="R262" s="14"/>
      <c r="S262" s="214"/>
      <c r="V262" s="185"/>
    </row>
    <row r="263" spans="1:22" ht="18" hidden="1" customHeight="1">
      <c r="A263" s="96"/>
      <c r="B263" s="5"/>
      <c r="C263" s="5"/>
      <c r="D263" s="5"/>
      <c r="E263" s="5"/>
      <c r="M263" s="120"/>
      <c r="N263" s="28"/>
      <c r="O263" s="28"/>
      <c r="P263" s="14"/>
      <c r="Q263" s="241"/>
      <c r="R263" s="14"/>
      <c r="S263" s="214"/>
      <c r="V263" s="185"/>
    </row>
    <row r="264" spans="1:22" ht="18" hidden="1" customHeight="1">
      <c r="A264" s="96"/>
      <c r="B264" s="5"/>
      <c r="C264" s="5"/>
      <c r="D264" s="5"/>
      <c r="E264" s="5"/>
      <c r="M264" s="120"/>
      <c r="N264" s="28"/>
      <c r="O264" s="28"/>
      <c r="P264" s="14"/>
      <c r="Q264" s="241"/>
      <c r="R264" s="14"/>
      <c r="S264" s="214"/>
      <c r="V264" s="185"/>
    </row>
    <row r="265" spans="1:22" ht="18" hidden="1" customHeight="1">
      <c r="A265" s="96"/>
      <c r="B265" s="5"/>
      <c r="C265" s="5"/>
      <c r="D265" s="5"/>
      <c r="E265" s="5"/>
      <c r="M265" s="120"/>
      <c r="N265" s="28"/>
      <c r="O265" s="28"/>
      <c r="P265" s="14"/>
      <c r="Q265" s="241"/>
      <c r="R265" s="14"/>
      <c r="S265" s="214"/>
      <c r="V265" s="185"/>
    </row>
    <row r="266" spans="1:22" ht="18" hidden="1" customHeight="1">
      <c r="A266" s="96"/>
      <c r="B266" s="5"/>
      <c r="C266" s="5"/>
      <c r="D266" s="5"/>
      <c r="E266" s="5"/>
      <c r="M266" s="120"/>
      <c r="N266" s="28"/>
      <c r="O266" s="28"/>
      <c r="P266" s="14"/>
      <c r="Q266" s="241"/>
      <c r="R266" s="14"/>
      <c r="S266" s="214"/>
      <c r="V266" s="185"/>
    </row>
    <row r="267" spans="1:22" s="14" customFormat="1" ht="18" hidden="1" customHeight="1">
      <c r="A267" s="194"/>
      <c r="B267" s="195"/>
      <c r="C267" s="195"/>
      <c r="D267" s="195"/>
      <c r="E267" s="195"/>
      <c r="F267" s="195"/>
      <c r="G267" s="195"/>
      <c r="H267" s="195"/>
      <c r="I267" s="195"/>
      <c r="J267" s="195"/>
      <c r="K267" s="195"/>
      <c r="L267" s="195"/>
      <c r="M267" s="195"/>
      <c r="N267" s="195"/>
      <c r="O267" s="195"/>
      <c r="P267" s="195"/>
      <c r="Q267" s="224"/>
      <c r="R267" s="182"/>
      <c r="S267" s="225"/>
      <c r="T267" s="195"/>
      <c r="U267" s="195"/>
      <c r="V267" s="134" t="s">
        <v>552</v>
      </c>
    </row>
    <row r="268" spans="1:22" s="14" customFormat="1" ht="18" hidden="1" customHeight="1">
      <c r="A268" s="135"/>
      <c r="B268" s="273"/>
      <c r="C268" s="273"/>
      <c r="D268" s="273"/>
      <c r="E268" s="273"/>
      <c r="F268" s="273"/>
      <c r="G268" s="273"/>
      <c r="H268" s="273"/>
      <c r="I268" s="273"/>
      <c r="J268" s="273"/>
      <c r="K268" s="273"/>
      <c r="L268" s="273"/>
      <c r="M268" s="273"/>
      <c r="N268" s="273"/>
      <c r="O268" s="273"/>
      <c r="P268" s="273"/>
      <c r="Q268" s="274"/>
      <c r="R268" s="138"/>
      <c r="S268" s="275"/>
      <c r="T268" s="273"/>
      <c r="U268" s="273"/>
      <c r="V268" s="276"/>
    </row>
    <row r="269" spans="1:22" ht="18" hidden="1" customHeight="1">
      <c r="A269" s="96" t="s">
        <v>686</v>
      </c>
      <c r="V269" s="185"/>
    </row>
    <row r="270" spans="1:22" ht="18" hidden="1" customHeight="1">
      <c r="A270" s="184"/>
      <c r="V270" s="185"/>
    </row>
    <row r="271" spans="1:22" s="279" customFormat="1" ht="18" hidden="1" customHeight="1">
      <c r="A271" s="277"/>
      <c r="B271" s="689" t="s">
        <v>473</v>
      </c>
      <c r="C271" s="1150" t="s">
        <v>652</v>
      </c>
      <c r="G271" s="802" t="s">
        <v>687</v>
      </c>
      <c r="H271" s="1153" t="s">
        <v>315</v>
      </c>
      <c r="I271" s="708" t="s">
        <v>688</v>
      </c>
      <c r="J271" s="1147"/>
      <c r="K271" s="1147"/>
      <c r="L271" s="1147"/>
      <c r="M271" s="1147"/>
      <c r="N271" s="689" t="s">
        <v>672</v>
      </c>
      <c r="O271" s="708" t="s">
        <v>420</v>
      </c>
      <c r="P271" s="689" t="s">
        <v>347</v>
      </c>
      <c r="Q271" s="708" t="s">
        <v>689</v>
      </c>
      <c r="R271" s="708" t="s">
        <v>674</v>
      </c>
      <c r="S271" s="708" t="s">
        <v>411</v>
      </c>
      <c r="T271" s="14"/>
      <c r="U271" s="729" t="s">
        <v>653</v>
      </c>
      <c r="V271" s="185"/>
    </row>
    <row r="272" spans="1:22" s="279" customFormat="1" ht="18" hidden="1" customHeight="1">
      <c r="A272" s="277"/>
      <c r="B272" s="689"/>
      <c r="C272" s="689"/>
      <c r="G272" s="802"/>
      <c r="H272" s="689"/>
      <c r="I272" s="689">
        <v>1.3</v>
      </c>
      <c r="J272" s="689"/>
      <c r="K272" s="28" t="s">
        <v>315</v>
      </c>
      <c r="L272" s="689" t="s">
        <v>423</v>
      </c>
      <c r="M272" s="689"/>
      <c r="N272" s="689"/>
      <c r="O272" s="689"/>
      <c r="P272" s="689"/>
      <c r="Q272" s="689"/>
      <c r="R272" s="689"/>
      <c r="S272" s="689"/>
      <c r="T272" s="14"/>
      <c r="U272" s="689"/>
      <c r="V272" s="185"/>
    </row>
    <row r="273" spans="1:22" ht="18" hidden="1" customHeight="1">
      <c r="A273" s="184"/>
      <c r="V273" s="185"/>
    </row>
    <row r="274" spans="1:22" ht="18" hidden="1" customHeight="1">
      <c r="A274" s="184"/>
      <c r="B274" s="47" t="s">
        <v>654</v>
      </c>
      <c r="C274" s="14"/>
      <c r="D274" s="14"/>
      <c r="E274" s="14"/>
      <c r="F274" s="18"/>
      <c r="G274" s="18"/>
      <c r="H274" s="14"/>
      <c r="I274" s="120"/>
      <c r="J274" s="14"/>
      <c r="K274" s="14"/>
      <c r="M274" s="14"/>
      <c r="N274" s="14"/>
      <c r="P274" s="14" t="s">
        <v>423</v>
      </c>
      <c r="R274" s="234" t="s">
        <v>127</v>
      </c>
      <c r="S274" s="684" t="str">
        <f>L228</f>
        <v>-</v>
      </c>
      <c r="T274" s="684"/>
      <c r="U274" s="30" t="s">
        <v>8</v>
      </c>
      <c r="V274" s="185"/>
    </row>
    <row r="275" spans="1:22" ht="18" hidden="1" customHeight="1">
      <c r="A275" s="184"/>
      <c r="B275" s="47" t="s">
        <v>655</v>
      </c>
      <c r="C275" s="14"/>
      <c r="D275" s="14"/>
      <c r="E275" s="14"/>
      <c r="F275" s="18"/>
      <c r="G275" s="18"/>
      <c r="H275" s="14"/>
      <c r="I275" s="120"/>
      <c r="J275" s="14"/>
      <c r="K275" s="14"/>
      <c r="M275" s="14"/>
      <c r="N275" s="14"/>
      <c r="P275" s="14" t="s">
        <v>420</v>
      </c>
      <c r="R275" s="234" t="s">
        <v>127</v>
      </c>
      <c r="S275" s="684">
        <f>L230</f>
        <v>3</v>
      </c>
      <c r="T275" s="684"/>
      <c r="U275" s="192" t="s">
        <v>333</v>
      </c>
      <c r="V275" s="185"/>
    </row>
    <row r="276" spans="1:22" ht="18" hidden="1" customHeight="1">
      <c r="A276" s="184"/>
      <c r="B276" s="47" t="s">
        <v>676</v>
      </c>
      <c r="C276" s="14"/>
      <c r="D276" s="14"/>
      <c r="E276" s="14"/>
      <c r="F276" s="18"/>
      <c r="G276" s="18"/>
      <c r="H276" s="14"/>
      <c r="I276" s="120"/>
      <c r="J276" s="14"/>
      <c r="K276" s="14"/>
      <c r="M276" s="14"/>
      <c r="N276" s="14"/>
      <c r="P276" s="14" t="s">
        <v>689</v>
      </c>
      <c r="R276" s="234" t="s">
        <v>127</v>
      </c>
      <c r="S276" s="795">
        <f>S247</f>
        <v>1.2667743100000002</v>
      </c>
      <c r="T276" s="795"/>
      <c r="U276" s="192" t="s">
        <v>333</v>
      </c>
      <c r="V276" s="185"/>
    </row>
    <row r="277" spans="1:22" ht="18" hidden="1" customHeight="1">
      <c r="A277" s="184"/>
      <c r="B277" s="47" t="s">
        <v>691</v>
      </c>
      <c r="C277" s="14"/>
      <c r="D277" s="14"/>
      <c r="E277" s="14"/>
      <c r="F277" s="14"/>
      <c r="G277" s="14"/>
      <c r="H277" s="14"/>
      <c r="I277" s="120"/>
      <c r="J277" s="14"/>
      <c r="K277" s="14"/>
      <c r="M277" s="14"/>
      <c r="N277" s="14"/>
      <c r="P277" s="14" t="s">
        <v>411</v>
      </c>
      <c r="R277" s="234" t="s">
        <v>127</v>
      </c>
      <c r="S277" s="684">
        <f>O228</f>
        <v>1</v>
      </c>
      <c r="T277" s="684"/>
      <c r="U277" s="30" t="s">
        <v>8</v>
      </c>
      <c r="V277" s="185"/>
    </row>
    <row r="278" spans="1:22" ht="18" hidden="1" customHeight="1">
      <c r="A278" s="184"/>
      <c r="B278" s="47" t="s">
        <v>678</v>
      </c>
      <c r="C278" s="14"/>
      <c r="D278" s="14"/>
      <c r="E278" s="14"/>
      <c r="F278" s="14"/>
      <c r="G278" s="14"/>
      <c r="H278" s="14"/>
      <c r="I278" s="120"/>
      <c r="J278" s="14"/>
      <c r="K278" s="14"/>
      <c r="M278" s="14"/>
      <c r="N278" s="14"/>
      <c r="P278" s="120" t="s">
        <v>688</v>
      </c>
      <c r="R278" s="234" t="s">
        <v>127</v>
      </c>
      <c r="S278" s="684">
        <f>O261</f>
        <v>6998.1850810863734</v>
      </c>
      <c r="T278" s="684"/>
      <c r="U278" s="30" t="s">
        <v>8</v>
      </c>
      <c r="V278" s="185"/>
    </row>
    <row r="279" spans="1:22" ht="18" hidden="1" customHeight="1">
      <c r="A279" s="184"/>
      <c r="B279" s="47" t="s">
        <v>692</v>
      </c>
      <c r="C279" s="14"/>
      <c r="D279" s="14"/>
      <c r="E279" s="14"/>
      <c r="F279" s="14"/>
      <c r="G279" s="14"/>
      <c r="H279" s="14"/>
      <c r="I279" s="120"/>
      <c r="J279" s="14"/>
      <c r="K279" s="14"/>
      <c r="M279" s="14"/>
      <c r="N279" s="14"/>
      <c r="P279" s="120" t="s">
        <v>680</v>
      </c>
      <c r="R279" s="234" t="s">
        <v>127</v>
      </c>
      <c r="S279" s="795">
        <f>J255</f>
        <v>437.38656756789834</v>
      </c>
      <c r="T279" s="684"/>
      <c r="U279" s="30" t="s">
        <v>8</v>
      </c>
      <c r="V279" s="185"/>
    </row>
    <row r="280" spans="1:22" ht="18" hidden="1" customHeight="1">
      <c r="A280" s="184"/>
      <c r="B280" s="47" t="s">
        <v>659</v>
      </c>
      <c r="C280" s="14"/>
      <c r="D280" s="14"/>
      <c r="E280" s="14"/>
      <c r="F280" s="14"/>
      <c r="G280" s="14"/>
      <c r="H280" s="14"/>
      <c r="I280" s="120"/>
      <c r="J280" s="14"/>
      <c r="K280" s="14"/>
      <c r="M280" s="14"/>
      <c r="N280" s="14"/>
      <c r="P280" s="120" t="s">
        <v>660</v>
      </c>
      <c r="R280" s="234" t="s">
        <v>127</v>
      </c>
      <c r="S280" s="684">
        <f>S182</f>
        <v>1</v>
      </c>
      <c r="T280" s="684"/>
      <c r="U280" s="30" t="s">
        <v>8</v>
      </c>
      <c r="V280" s="185"/>
    </row>
    <row r="281" spans="1:22" ht="18" hidden="1" customHeight="1">
      <c r="A281" s="96"/>
      <c r="B281" s="14"/>
      <c r="C281" s="14"/>
      <c r="D281" s="235"/>
      <c r="E281" s="14"/>
      <c r="F281" s="28"/>
      <c r="G281" s="249"/>
      <c r="H281" s="28"/>
      <c r="I281" s="251"/>
      <c r="J281" s="14"/>
      <c r="K281" s="280"/>
      <c r="M281" s="47"/>
      <c r="N281" s="268"/>
      <c r="P281" s="281"/>
      <c r="R281" s="234"/>
      <c r="S281" s="1148"/>
      <c r="T281" s="723"/>
      <c r="V281" s="185"/>
    </row>
    <row r="282" spans="1:22" ht="18" hidden="1" customHeight="1">
      <c r="A282" s="272" t="s">
        <v>693</v>
      </c>
      <c r="B282" s="14"/>
      <c r="C282" s="14"/>
      <c r="D282" s="14"/>
      <c r="E282" s="14"/>
      <c r="F282" s="14"/>
      <c r="G282" s="14"/>
      <c r="H282" s="28">
        <v>3</v>
      </c>
      <c r="I282" s="47" t="s">
        <v>694</v>
      </c>
      <c r="J282" s="14"/>
      <c r="K282" s="14"/>
      <c r="M282" s="14" t="s">
        <v>337</v>
      </c>
      <c r="N282" s="14"/>
      <c r="P282" s="120"/>
      <c r="R282" s="234"/>
      <c r="S282" s="1149"/>
      <c r="T282" s="723"/>
      <c r="V282" s="185"/>
    </row>
    <row r="283" spans="1:22" ht="18" hidden="1" customHeight="1">
      <c r="A283" s="272"/>
      <c r="B283" s="14"/>
      <c r="C283" s="14"/>
      <c r="D283" s="14"/>
      <c r="E283" s="14"/>
      <c r="F283" s="14"/>
      <c r="G283" s="14"/>
      <c r="H283" s="28"/>
      <c r="I283" s="47"/>
      <c r="J283" s="14"/>
      <c r="K283" s="14"/>
      <c r="M283" s="14"/>
      <c r="N283" s="14"/>
      <c r="P283" s="120"/>
      <c r="R283" s="234"/>
      <c r="S283" s="282"/>
      <c r="V283" s="185"/>
    </row>
    <row r="284" spans="1:22" s="279" customFormat="1" ht="18" hidden="1" customHeight="1">
      <c r="A284" s="277"/>
      <c r="B284" s="689" t="s">
        <v>703</v>
      </c>
      <c r="C284" s="1150" t="s">
        <v>652</v>
      </c>
      <c r="G284" s="802">
        <f>H282</f>
        <v>3</v>
      </c>
      <c r="H284" s="1151" t="s">
        <v>315</v>
      </c>
      <c r="I284" s="829">
        <f>S278</f>
        <v>6998.1850810863734</v>
      </c>
      <c r="J284" s="1152"/>
      <c r="K284" s="1152"/>
      <c r="L284" s="1152"/>
      <c r="M284" s="1152"/>
      <c r="N284" s="689" t="s">
        <v>672</v>
      </c>
      <c r="O284" s="708">
        <f>S275</f>
        <v>3</v>
      </c>
      <c r="P284" s="689" t="s">
        <v>347</v>
      </c>
      <c r="Q284" s="829">
        <f>S276</f>
        <v>1.2667743100000002</v>
      </c>
      <c r="R284" s="708" t="s">
        <v>674</v>
      </c>
      <c r="S284" s="708">
        <f>S277</f>
        <v>1</v>
      </c>
      <c r="T284" s="14"/>
      <c r="U284" s="729" t="s">
        <v>653</v>
      </c>
      <c r="V284" s="185"/>
    </row>
    <row r="285" spans="1:22" s="279" customFormat="1" ht="18" hidden="1" customHeight="1">
      <c r="A285" s="277"/>
      <c r="B285" s="689"/>
      <c r="C285" s="689"/>
      <c r="G285" s="802"/>
      <c r="H285" s="684"/>
      <c r="I285" s="689">
        <v>1.3</v>
      </c>
      <c r="J285" s="684"/>
      <c r="K285" s="28" t="s">
        <v>315</v>
      </c>
      <c r="L285" s="689" t="str">
        <f>S274</f>
        <v>-</v>
      </c>
      <c r="M285" s="684"/>
      <c r="N285" s="689"/>
      <c r="O285" s="689"/>
      <c r="P285" s="689"/>
      <c r="Q285" s="689"/>
      <c r="R285" s="689"/>
      <c r="S285" s="689"/>
      <c r="T285" s="14"/>
      <c r="U285" s="689"/>
      <c r="V285" s="185"/>
    </row>
    <row r="286" spans="1:22" ht="18" hidden="1" customHeight="1">
      <c r="A286" s="96"/>
      <c r="B286" s="14"/>
      <c r="C286" s="27" t="s">
        <v>127</v>
      </c>
      <c r="D286" s="812" t="e">
        <f>G284*(I284/(I285*L285)*(O284+Q284)*S284)</f>
        <v>#VALUE!</v>
      </c>
      <c r="E286" s="813"/>
      <c r="F286" s="30" t="s">
        <v>305</v>
      </c>
      <c r="G286" s="14"/>
      <c r="H286" s="14"/>
      <c r="I286" s="14"/>
      <c r="J286" s="14"/>
      <c r="K286" s="14"/>
      <c r="L286" s="14"/>
      <c r="M286" s="14"/>
      <c r="N286" s="14"/>
      <c r="R286" s="234"/>
      <c r="S286" s="204"/>
      <c r="V286" s="185"/>
    </row>
    <row r="287" spans="1:22" ht="18" hidden="1" customHeight="1">
      <c r="A287" s="96"/>
      <c r="B287" s="14"/>
      <c r="G287" s="14"/>
      <c r="H287" s="14"/>
      <c r="I287" s="14"/>
      <c r="J287" s="14"/>
      <c r="K287" s="14"/>
      <c r="L287" s="14"/>
      <c r="M287" s="14"/>
      <c r="N287" s="14"/>
      <c r="R287" s="234"/>
      <c r="S287" s="204"/>
      <c r="V287" s="185"/>
    </row>
    <row r="288" spans="1:22" ht="18" hidden="1" customHeight="1">
      <c r="A288" s="96"/>
      <c r="B288" s="14"/>
      <c r="D288" s="30" t="s">
        <v>475</v>
      </c>
      <c r="G288" s="27" t="e">
        <f>IF(E289&gt;H289,"&gt;","&lt;")</f>
        <v>#VALUE!</v>
      </c>
      <c r="H288" s="30" t="s">
        <v>477</v>
      </c>
      <c r="M288" s="14"/>
      <c r="N288" s="14"/>
      <c r="R288" s="234"/>
      <c r="S288" s="204"/>
      <c r="V288" s="185"/>
    </row>
    <row r="289" spans="1:22" ht="18" hidden="1" customHeight="1">
      <c r="A289" s="96"/>
      <c r="B289" s="14"/>
      <c r="E289" s="684">
        <f>L231</f>
        <v>200</v>
      </c>
      <c r="F289" s="684"/>
      <c r="G289" s="27" t="e">
        <f>G288</f>
        <v>#VALUE!</v>
      </c>
      <c r="H289" s="795" t="e">
        <f>D286</f>
        <v>#VALUE!</v>
      </c>
      <c r="I289" s="684"/>
      <c r="M289" s="14"/>
      <c r="N289" s="14"/>
      <c r="R289" s="234"/>
      <c r="S289" s="204"/>
      <c r="V289" s="185"/>
    </row>
    <row r="290" spans="1:22" ht="18" hidden="1" customHeight="1">
      <c r="A290" s="96"/>
      <c r="B290" s="14"/>
      <c r="F290" s="244" t="s">
        <v>478</v>
      </c>
      <c r="H290" s="18" t="e">
        <f>IF(G288="&gt;","Suitably Dimentioned","Under Dimentioned")</f>
        <v>#VALUE!</v>
      </c>
      <c r="M290" s="14"/>
      <c r="N290" s="14"/>
      <c r="R290" s="234"/>
      <c r="S290" s="204"/>
      <c r="V290" s="185"/>
    </row>
    <row r="291" spans="1:22" ht="18" hidden="1" customHeight="1">
      <c r="A291" s="96"/>
      <c r="B291" s="14"/>
      <c r="G291" s="14"/>
      <c r="H291" s="14"/>
      <c r="I291" s="14"/>
      <c r="J291" s="14"/>
      <c r="K291" s="14"/>
      <c r="L291" s="14"/>
      <c r="M291" s="14"/>
      <c r="N291" s="14"/>
      <c r="R291" s="234"/>
      <c r="S291" s="204"/>
      <c r="V291" s="185"/>
    </row>
    <row r="292" spans="1:22" ht="18" hidden="1" customHeight="1">
      <c r="A292" s="193" t="s">
        <v>695</v>
      </c>
      <c r="B292" s="14"/>
      <c r="G292" s="14"/>
      <c r="H292" s="14"/>
      <c r="I292" s="14"/>
      <c r="J292" s="14"/>
      <c r="K292" s="14"/>
      <c r="L292" s="14"/>
      <c r="M292" s="14"/>
      <c r="N292" s="14"/>
      <c r="R292" s="234"/>
      <c r="S292" s="204"/>
      <c r="V292" s="185"/>
    </row>
    <row r="293" spans="1:22" ht="18" hidden="1" customHeight="1">
      <c r="A293" s="96"/>
      <c r="B293" s="14"/>
      <c r="D293" s="802" t="s">
        <v>696</v>
      </c>
      <c r="E293" s="716"/>
      <c r="F293" s="689" t="s">
        <v>127</v>
      </c>
      <c r="G293" s="708" t="s">
        <v>423</v>
      </c>
      <c r="H293" s="1147"/>
      <c r="I293" s="689" t="s">
        <v>315</v>
      </c>
      <c r="J293" s="708" t="s">
        <v>697</v>
      </c>
      <c r="K293" s="1147"/>
      <c r="L293" s="14"/>
      <c r="M293" s="14"/>
      <c r="N293" s="14"/>
      <c r="R293" s="234"/>
      <c r="S293" s="204"/>
      <c r="V293" s="185"/>
    </row>
    <row r="294" spans="1:22" ht="18" hidden="1" customHeight="1">
      <c r="A294" s="96"/>
      <c r="B294" s="14"/>
      <c r="D294" s="716"/>
      <c r="E294" s="716"/>
      <c r="F294" s="689"/>
      <c r="G294" s="689" t="s">
        <v>680</v>
      </c>
      <c r="H294" s="716"/>
      <c r="I294" s="689"/>
      <c r="J294" s="689" t="s">
        <v>411</v>
      </c>
      <c r="K294" s="716"/>
      <c r="L294" s="14"/>
      <c r="M294" s="14"/>
      <c r="N294" s="14"/>
      <c r="R294" s="234"/>
      <c r="S294" s="204"/>
      <c r="V294" s="185"/>
    </row>
    <row r="295" spans="1:22" ht="18" hidden="1" customHeight="1">
      <c r="A295" s="96"/>
      <c r="B295" s="14"/>
      <c r="D295" s="14"/>
      <c r="E295" s="14"/>
      <c r="F295" s="14"/>
      <c r="G295" s="14"/>
      <c r="H295" s="14"/>
      <c r="I295" s="14"/>
      <c r="J295" s="14"/>
      <c r="K295" s="14"/>
      <c r="L295" s="14"/>
      <c r="M295" s="14"/>
      <c r="N295" s="14"/>
      <c r="R295" s="234"/>
      <c r="S295" s="204"/>
      <c r="V295" s="185"/>
    </row>
    <row r="296" spans="1:22" ht="18" hidden="1" customHeight="1">
      <c r="A296" s="96"/>
      <c r="B296" s="14"/>
      <c r="D296" s="14"/>
      <c r="E296" s="14"/>
      <c r="F296" s="689" t="s">
        <v>127</v>
      </c>
      <c r="G296" s="708" t="str">
        <f>S274</f>
        <v>-</v>
      </c>
      <c r="H296" s="1147"/>
      <c r="I296" s="689" t="s">
        <v>315</v>
      </c>
      <c r="J296" s="708">
        <f>S280</f>
        <v>1</v>
      </c>
      <c r="K296" s="1147"/>
      <c r="L296" s="14"/>
      <c r="M296" s="14"/>
      <c r="N296" s="14"/>
      <c r="R296" s="234"/>
      <c r="S296" s="204"/>
      <c r="V296" s="185"/>
    </row>
    <row r="297" spans="1:22" ht="18" hidden="1" customHeight="1">
      <c r="A297" s="96"/>
      <c r="B297" s="14"/>
      <c r="D297" s="14"/>
      <c r="E297" s="14"/>
      <c r="F297" s="689"/>
      <c r="G297" s="692">
        <f>J255</f>
        <v>437.38656756789834</v>
      </c>
      <c r="H297" s="716"/>
      <c r="I297" s="689"/>
      <c r="J297" s="689">
        <f>S277</f>
        <v>1</v>
      </c>
      <c r="K297" s="716"/>
      <c r="L297" s="14"/>
      <c r="M297" s="14"/>
      <c r="N297" s="14"/>
      <c r="R297" s="234"/>
      <c r="S297" s="204"/>
      <c r="V297" s="185"/>
    </row>
    <row r="298" spans="1:22" ht="18" hidden="1" customHeight="1">
      <c r="A298" s="96"/>
      <c r="B298" s="14"/>
      <c r="D298" s="14"/>
      <c r="E298" s="14"/>
      <c r="F298" s="14"/>
      <c r="G298" s="14"/>
      <c r="H298" s="14"/>
      <c r="I298" s="14"/>
      <c r="J298" s="14"/>
      <c r="K298" s="14"/>
      <c r="L298" s="14"/>
      <c r="M298" s="14"/>
      <c r="N298" s="14"/>
      <c r="R298" s="234"/>
      <c r="S298" s="204"/>
      <c r="V298" s="185"/>
    </row>
    <row r="299" spans="1:22" ht="18" hidden="1" customHeight="1">
      <c r="A299" s="96"/>
      <c r="B299" s="14"/>
      <c r="D299" s="14"/>
      <c r="E299" s="14"/>
      <c r="F299" s="28" t="s">
        <v>127</v>
      </c>
      <c r="G299" s="716" t="e">
        <f>(G296/G297)*(J296/J297)</f>
        <v>#VALUE!</v>
      </c>
      <c r="H299" s="716"/>
      <c r="I299" s="14"/>
      <c r="J299" s="14"/>
      <c r="K299" s="14"/>
      <c r="L299" s="14"/>
      <c r="M299" s="14"/>
      <c r="N299" s="14"/>
      <c r="R299" s="234"/>
      <c r="S299" s="204"/>
      <c r="V299" s="185"/>
    </row>
    <row r="300" spans="1:22" ht="18" hidden="1" customHeight="1">
      <c r="A300" s="96"/>
      <c r="B300" s="14"/>
      <c r="G300" s="14"/>
      <c r="H300" s="14"/>
      <c r="I300" s="14"/>
      <c r="J300" s="14"/>
      <c r="K300" s="14"/>
      <c r="L300" s="14"/>
      <c r="M300" s="14"/>
      <c r="N300" s="14"/>
      <c r="R300" s="234"/>
      <c r="S300" s="204"/>
      <c r="V300" s="185"/>
    </row>
    <row r="301" spans="1:22" ht="18" hidden="1" customHeight="1">
      <c r="A301" s="96"/>
      <c r="B301" s="14"/>
      <c r="D301" s="283" t="s">
        <v>698</v>
      </c>
      <c r="E301" s="284" t="s">
        <v>699</v>
      </c>
      <c r="F301" s="689" t="s">
        <v>696</v>
      </c>
      <c r="G301" s="716"/>
      <c r="H301" s="716"/>
      <c r="I301" s="284" t="s">
        <v>699</v>
      </c>
      <c r="J301" s="28">
        <v>4</v>
      </c>
      <c r="L301" s="279"/>
      <c r="M301" s="120" t="s">
        <v>700</v>
      </c>
      <c r="N301" s="47" t="s">
        <v>701</v>
      </c>
      <c r="O301" s="279"/>
      <c r="P301" s="236"/>
      <c r="Q301" s="236"/>
      <c r="R301" s="234"/>
      <c r="S301" s="204"/>
      <c r="V301" s="185"/>
    </row>
    <row r="302" spans="1:22" ht="18" hidden="1" customHeight="1">
      <c r="A302" s="96"/>
      <c r="B302" s="14"/>
      <c r="D302" s="218">
        <v>0.25</v>
      </c>
      <c r="E302" s="284" t="e">
        <f>IF(D302&lt;=G299,"≤","&gt;")</f>
        <v>#VALUE!</v>
      </c>
      <c r="F302" s="688" t="e">
        <f>G299</f>
        <v>#VALUE!</v>
      </c>
      <c r="G302" s="1145"/>
      <c r="H302" s="688"/>
      <c r="I302" s="284" t="e">
        <f>IF(G299&lt;=J301,"≤","&gt;")</f>
        <v>#VALUE!</v>
      </c>
      <c r="J302" s="28">
        <f>J301</f>
        <v>4</v>
      </c>
      <c r="L302" s="279"/>
      <c r="M302" s="120"/>
      <c r="N302" s="213"/>
      <c r="O302" s="279"/>
      <c r="P302" s="236"/>
      <c r="Q302" s="236"/>
      <c r="R302" s="234"/>
      <c r="S302" s="204"/>
      <c r="V302" s="185"/>
    </row>
    <row r="303" spans="1:22" ht="18" hidden="1" customHeight="1">
      <c r="A303" s="96"/>
      <c r="B303" s="14"/>
      <c r="G303" s="14"/>
      <c r="H303" s="14"/>
      <c r="I303" s="14"/>
      <c r="J303" s="14"/>
      <c r="K303" s="14"/>
      <c r="L303" s="14"/>
      <c r="M303" s="14"/>
      <c r="N303" s="14"/>
      <c r="R303" s="234"/>
      <c r="S303" s="204"/>
      <c r="V303" s="185"/>
    </row>
    <row r="304" spans="1:22" ht="18" hidden="1" customHeight="1">
      <c r="A304" s="96"/>
      <c r="B304" s="14" t="s">
        <v>702</v>
      </c>
      <c r="G304" s="14"/>
      <c r="H304" s="18" t="e">
        <f>IF(AND(E302="≤",I302="≤")=TRUE,"OK","Not OK")</f>
        <v>#VALUE!</v>
      </c>
      <c r="I304" s="14"/>
      <c r="J304" s="14"/>
      <c r="K304" s="14"/>
      <c r="L304" s="14"/>
      <c r="M304" s="14"/>
      <c r="N304" s="14"/>
      <c r="R304" s="234"/>
      <c r="S304" s="204"/>
      <c r="V304" s="185"/>
    </row>
    <row r="305" spans="1:22" ht="18" hidden="1" customHeight="1">
      <c r="A305" s="96"/>
      <c r="B305" s="14"/>
      <c r="G305" s="14"/>
      <c r="H305" s="18"/>
      <c r="I305" s="14"/>
      <c r="J305" s="14"/>
      <c r="K305" s="14"/>
      <c r="L305" s="14"/>
      <c r="M305" s="14"/>
      <c r="N305" s="14"/>
      <c r="R305" s="234"/>
      <c r="S305" s="204"/>
      <c r="V305" s="185"/>
    </row>
    <row r="306" spans="1:22" ht="18" hidden="1" customHeight="1">
      <c r="A306" s="96"/>
      <c r="B306" s="14"/>
      <c r="G306" s="14"/>
      <c r="H306" s="18"/>
      <c r="I306" s="14"/>
      <c r="J306" s="14"/>
      <c r="K306" s="14"/>
      <c r="L306" s="14"/>
      <c r="M306" s="14"/>
      <c r="N306" s="14"/>
      <c r="R306" s="234"/>
      <c r="S306" s="204"/>
      <c r="V306" s="185"/>
    </row>
    <row r="307" spans="1:22" ht="18" hidden="1" customHeight="1">
      <c r="A307" s="96"/>
      <c r="B307" s="14"/>
      <c r="G307" s="14"/>
      <c r="H307" s="18"/>
      <c r="I307" s="14"/>
      <c r="J307" s="14"/>
      <c r="K307" s="14"/>
      <c r="L307" s="14"/>
      <c r="M307" s="14"/>
      <c r="N307" s="14"/>
      <c r="R307" s="234"/>
      <c r="S307" s="204"/>
      <c r="V307" s="185"/>
    </row>
    <row r="308" spans="1:22" ht="18" hidden="1" customHeight="1">
      <c r="A308" s="96"/>
      <c r="B308" s="14"/>
      <c r="G308" s="14"/>
      <c r="H308" s="18"/>
      <c r="I308" s="14"/>
      <c r="J308" s="14"/>
      <c r="K308" s="14"/>
      <c r="L308" s="14"/>
      <c r="M308" s="14"/>
      <c r="N308" s="14"/>
      <c r="R308" s="234"/>
      <c r="S308" s="204"/>
      <c r="V308" s="185"/>
    </row>
    <row r="309" spans="1:22" ht="18" hidden="1" customHeight="1">
      <c r="A309" s="96"/>
      <c r="B309" s="14"/>
      <c r="G309" s="14"/>
      <c r="H309" s="18"/>
      <c r="I309" s="14"/>
      <c r="J309" s="14"/>
      <c r="K309" s="14"/>
      <c r="L309" s="14"/>
      <c r="M309" s="14"/>
      <c r="N309" s="14"/>
      <c r="R309" s="234"/>
      <c r="S309" s="204"/>
      <c r="V309" s="185"/>
    </row>
    <row r="310" spans="1:22" ht="18" hidden="1" customHeight="1">
      <c r="A310" s="96"/>
      <c r="B310" s="14"/>
      <c r="G310" s="14"/>
      <c r="H310" s="14"/>
      <c r="I310" s="14"/>
      <c r="J310" s="14"/>
      <c r="K310" s="14"/>
      <c r="L310" s="14"/>
      <c r="M310" s="14"/>
      <c r="N310" s="14"/>
      <c r="R310" s="234"/>
      <c r="S310" s="204"/>
      <c r="V310" s="185"/>
    </row>
    <row r="311" spans="1:22" s="14" customFormat="1" ht="18" hidden="1" customHeight="1">
      <c r="A311" s="194"/>
      <c r="B311" s="195"/>
      <c r="C311" s="195"/>
      <c r="D311" s="195"/>
      <c r="E311" s="195"/>
      <c r="F311" s="195"/>
      <c r="G311" s="195"/>
      <c r="H311" s="195"/>
      <c r="I311" s="195"/>
      <c r="J311" s="195"/>
      <c r="K311" s="195"/>
      <c r="L311" s="195"/>
      <c r="M311" s="195"/>
      <c r="N311" s="195"/>
      <c r="O311" s="195"/>
      <c r="P311" s="195"/>
      <c r="Q311" s="224"/>
      <c r="R311" s="182"/>
      <c r="S311" s="225"/>
      <c r="T311" s="195"/>
      <c r="U311" s="195"/>
      <c r="V311" s="134" t="s">
        <v>552</v>
      </c>
    </row>
    <row r="312" spans="1:22" s="14" customFormat="1" ht="18" hidden="1" customHeight="1">
      <c r="A312" s="96"/>
      <c r="Q312" s="120"/>
      <c r="R312" s="28"/>
      <c r="S312" s="204"/>
      <c r="T312" s="204"/>
      <c r="V312" s="381"/>
    </row>
    <row r="313" spans="1:22" s="14" customFormat="1" ht="18" customHeight="1">
      <c r="A313" s="96"/>
      <c r="Q313" s="120"/>
      <c r="R313" s="28"/>
      <c r="S313" s="204"/>
      <c r="T313" s="204"/>
      <c r="V313" s="381"/>
    </row>
    <row r="314" spans="1:22" ht="18" customHeight="1">
      <c r="A314" s="262" t="s">
        <v>532</v>
      </c>
      <c r="B314" s="14"/>
      <c r="C314" s="14"/>
      <c r="D314" s="120"/>
      <c r="E314" s="120"/>
      <c r="F314" s="18"/>
      <c r="G314" s="18"/>
      <c r="H314" s="14"/>
      <c r="I314" s="14"/>
      <c r="J314" s="14"/>
      <c r="K314" s="14"/>
      <c r="L314" s="14"/>
      <c r="M314" s="14"/>
      <c r="N314" s="14"/>
      <c r="O314" s="14"/>
      <c r="P314" s="28"/>
      <c r="Q314" s="120"/>
      <c r="R314" s="47"/>
      <c r="S314" s="206"/>
      <c r="T314" s="259"/>
      <c r="U314" s="14"/>
      <c r="V314" s="97"/>
    </row>
    <row r="315" spans="1:22" ht="18" customHeight="1">
      <c r="A315" s="868" t="s">
        <v>85</v>
      </c>
      <c r="B315" s="868"/>
      <c r="C315" s="869"/>
      <c r="D315" s="868" t="s">
        <v>86</v>
      </c>
      <c r="E315" s="868"/>
      <c r="F315" s="868"/>
      <c r="G315" s="868" t="s">
        <v>87</v>
      </c>
      <c r="H315" s="868"/>
      <c r="I315" s="868" t="s">
        <v>88</v>
      </c>
      <c r="J315" s="868"/>
      <c r="K315" s="868" t="s">
        <v>502</v>
      </c>
      <c r="L315" s="868"/>
      <c r="M315" s="868" t="s">
        <v>503</v>
      </c>
      <c r="N315" s="868"/>
      <c r="O315" s="868" t="s">
        <v>504</v>
      </c>
      <c r="P315" s="868"/>
      <c r="Q315" s="868" t="s">
        <v>505</v>
      </c>
      <c r="R315" s="868"/>
      <c r="S315" s="868" t="s">
        <v>93</v>
      </c>
      <c r="T315" s="868"/>
      <c r="U315" s="868"/>
      <c r="V315" s="868"/>
    </row>
    <row r="316" spans="1:22" ht="18" customHeight="1">
      <c r="A316" s="868"/>
      <c r="B316" s="868"/>
      <c r="C316" s="869"/>
      <c r="D316" s="868"/>
      <c r="E316" s="868"/>
      <c r="F316" s="868"/>
      <c r="G316" s="868"/>
      <c r="H316" s="868"/>
      <c r="I316" s="868"/>
      <c r="J316" s="868"/>
      <c r="K316" s="868"/>
      <c r="L316" s="868"/>
      <c r="M316" s="868"/>
      <c r="N316" s="868"/>
      <c r="O316" s="868"/>
      <c r="P316" s="868"/>
      <c r="Q316" s="868"/>
      <c r="R316" s="868"/>
      <c r="S316" s="868"/>
      <c r="T316" s="868"/>
      <c r="U316" s="868"/>
      <c r="V316" s="868"/>
    </row>
    <row r="317" spans="1:22" ht="18" customHeight="1">
      <c r="A317" s="868"/>
      <c r="B317" s="868"/>
      <c r="C317" s="869"/>
      <c r="D317" s="868"/>
      <c r="E317" s="868"/>
      <c r="F317" s="868"/>
      <c r="G317" s="868"/>
      <c r="H317" s="868"/>
      <c r="I317" s="868"/>
      <c r="J317" s="868"/>
      <c r="K317" s="868"/>
      <c r="L317" s="868"/>
      <c r="M317" s="868"/>
      <c r="N317" s="868"/>
      <c r="O317" s="868"/>
      <c r="P317" s="868"/>
      <c r="Q317" s="868"/>
      <c r="R317" s="868"/>
      <c r="S317" s="868"/>
      <c r="T317" s="868"/>
      <c r="U317" s="868"/>
      <c r="V317" s="868"/>
    </row>
    <row r="318" spans="1:22" ht="18" customHeight="1">
      <c r="A318" s="868"/>
      <c r="B318" s="868"/>
      <c r="C318" s="869"/>
      <c r="D318" s="868"/>
      <c r="E318" s="868"/>
      <c r="F318" s="868"/>
      <c r="G318" s="868"/>
      <c r="H318" s="868"/>
      <c r="I318" s="868"/>
      <c r="J318" s="868"/>
      <c r="K318" s="868"/>
      <c r="L318" s="868"/>
      <c r="M318" s="868"/>
      <c r="N318" s="868"/>
      <c r="O318" s="868"/>
      <c r="P318" s="868"/>
      <c r="Q318" s="868"/>
      <c r="R318" s="868"/>
      <c r="S318" s="868"/>
      <c r="T318" s="868"/>
      <c r="U318" s="868"/>
      <c r="V318" s="868"/>
    </row>
    <row r="319" spans="1:22" ht="18" customHeight="1">
      <c r="A319" s="765" t="str">
        <f>B7</f>
        <v>T8</v>
      </c>
      <c r="B319" s="765" t="str">
        <f>D7</f>
        <v>Core1</v>
      </c>
      <c r="C319" s="765"/>
      <c r="D319" s="870">
        <f>H10</f>
        <v>1750</v>
      </c>
      <c r="E319" s="870"/>
      <c r="F319" s="871">
        <f>O10</f>
        <v>1</v>
      </c>
      <c r="G319" s="870">
        <f>'CT-VT Burdens'!S21</f>
        <v>120</v>
      </c>
      <c r="H319" s="874">
        <f>'CT-VT Burdens'!S10</f>
        <v>6</v>
      </c>
      <c r="I319" s="874" t="str">
        <f>H11</f>
        <v>PX</v>
      </c>
      <c r="J319" s="874"/>
      <c r="K319" s="869">
        <f>H12</f>
        <v>5</v>
      </c>
      <c r="L319" s="869"/>
      <c r="M319" s="869">
        <f>H13</f>
        <v>300</v>
      </c>
      <c r="N319" s="869"/>
      <c r="O319" s="870">
        <f>H14</f>
        <v>30</v>
      </c>
      <c r="P319" s="870"/>
      <c r="Q319" s="879" t="str">
        <f>CONCATENATE(T7)</f>
        <v>7UT85</v>
      </c>
      <c r="R319" s="879"/>
      <c r="S319" s="876" t="str">
        <f>H106</f>
        <v>Suitably Dimensioned</v>
      </c>
      <c r="T319" s="870"/>
      <c r="U319" s="870"/>
      <c r="V319" s="870"/>
    </row>
    <row r="320" spans="1:22" ht="18" customHeight="1">
      <c r="A320" s="765"/>
      <c r="B320" s="765"/>
      <c r="C320" s="765"/>
      <c r="D320" s="876">
        <f>J134</f>
        <v>2500</v>
      </c>
      <c r="E320" s="870"/>
      <c r="F320" s="872"/>
      <c r="G320" s="870"/>
      <c r="H320" s="870"/>
      <c r="I320" s="874"/>
      <c r="J320" s="874"/>
      <c r="K320" s="875" t="s">
        <v>6</v>
      </c>
      <c r="L320" s="869"/>
      <c r="M320" s="875" t="s">
        <v>6</v>
      </c>
      <c r="N320" s="869"/>
      <c r="O320" s="876" t="s">
        <v>6</v>
      </c>
      <c r="P320" s="870"/>
      <c r="Q320" s="879"/>
      <c r="R320" s="879"/>
      <c r="S320" s="876" t="s">
        <v>6</v>
      </c>
      <c r="T320" s="870"/>
      <c r="U320" s="870"/>
      <c r="V320" s="870"/>
    </row>
    <row r="321" spans="1:22" ht="18" customHeight="1">
      <c r="A321" s="765"/>
      <c r="B321" s="765"/>
      <c r="C321" s="765"/>
      <c r="D321" s="876" t="s">
        <v>6</v>
      </c>
      <c r="E321" s="870"/>
      <c r="F321" s="873"/>
      <c r="G321" s="870"/>
      <c r="H321" s="870"/>
      <c r="I321" s="874"/>
      <c r="J321" s="874"/>
      <c r="K321" s="875" t="s">
        <v>6</v>
      </c>
      <c r="L321" s="869"/>
      <c r="M321" s="875" t="s">
        <v>6</v>
      </c>
      <c r="N321" s="869"/>
      <c r="O321" s="876" t="s">
        <v>6</v>
      </c>
      <c r="P321" s="870"/>
      <c r="Q321" s="879"/>
      <c r="R321" s="879"/>
      <c r="S321" s="870" t="s">
        <v>6</v>
      </c>
      <c r="T321" s="870"/>
      <c r="U321" s="870"/>
      <c r="V321" s="870"/>
    </row>
    <row r="322" spans="1:22" ht="18" customHeight="1">
      <c r="A322" s="184"/>
      <c r="V322" s="185"/>
    </row>
    <row r="323" spans="1:22" ht="18" customHeight="1">
      <c r="A323" s="184"/>
      <c r="V323" s="185"/>
    </row>
    <row r="324" spans="1:22" ht="18" customHeight="1">
      <c r="A324" s="184"/>
      <c r="V324" s="185"/>
    </row>
    <row r="325" spans="1:22" ht="18" customHeight="1">
      <c r="A325" s="184"/>
      <c r="V325" s="185"/>
    </row>
    <row r="326" spans="1:22" ht="18" customHeight="1">
      <c r="A326" s="184"/>
      <c r="V326" s="185"/>
    </row>
    <row r="327" spans="1:22" ht="18" customHeight="1">
      <c r="A327" s="184"/>
      <c r="V327" s="185"/>
    </row>
    <row r="328" spans="1:22" ht="18" customHeight="1">
      <c r="A328" s="184"/>
      <c r="V328" s="185"/>
    </row>
    <row r="329" spans="1:22" ht="18" customHeight="1">
      <c r="A329" s="184"/>
      <c r="V329" s="185"/>
    </row>
    <row r="330" spans="1:22" ht="18" customHeight="1">
      <c r="A330" s="184"/>
      <c r="V330" s="185"/>
    </row>
    <row r="331" spans="1:22" ht="18" customHeight="1">
      <c r="A331" s="184"/>
      <c r="V331" s="185"/>
    </row>
    <row r="332" spans="1:22" ht="18" customHeight="1">
      <c r="A332" s="184"/>
      <c r="V332" s="185"/>
    </row>
    <row r="333" spans="1:22" ht="18" customHeight="1">
      <c r="A333" s="184"/>
      <c r="V333" s="185"/>
    </row>
    <row r="334" spans="1:22" ht="18" customHeight="1">
      <c r="A334" s="184"/>
      <c r="V334" s="185"/>
    </row>
    <row r="335" spans="1:22" ht="18" customHeight="1">
      <c r="A335" s="184"/>
      <c r="V335" s="185"/>
    </row>
    <row r="336" spans="1:22" ht="18" customHeight="1">
      <c r="A336" s="184"/>
      <c r="V336" s="185"/>
    </row>
    <row r="337" spans="1:22" ht="18" customHeight="1">
      <c r="A337" s="184"/>
      <c r="V337" s="185"/>
    </row>
    <row r="338" spans="1:22" ht="18" customHeight="1">
      <c r="A338" s="184"/>
      <c r="V338" s="185"/>
    </row>
    <row r="339" spans="1:22" ht="18" customHeight="1">
      <c r="A339" s="184"/>
      <c r="V339" s="185"/>
    </row>
    <row r="340" spans="1:22" ht="18" customHeight="1">
      <c r="A340" s="184"/>
      <c r="V340" s="185"/>
    </row>
    <row r="341" spans="1:22" ht="18" customHeight="1">
      <c r="A341" s="184"/>
      <c r="V341" s="185"/>
    </row>
    <row r="342" spans="1:22" ht="18" customHeight="1">
      <c r="A342" s="184"/>
      <c r="V342" s="185"/>
    </row>
    <row r="343" spans="1:22" ht="18" customHeight="1">
      <c r="A343" s="184"/>
      <c r="V343" s="185"/>
    </row>
    <row r="344" spans="1:22" ht="18" customHeight="1">
      <c r="A344" s="184"/>
      <c r="V344" s="185"/>
    </row>
    <row r="345" spans="1:22" ht="18" customHeight="1">
      <c r="A345" s="184"/>
      <c r="V345" s="185"/>
    </row>
    <row r="346" spans="1:22" ht="18" customHeight="1">
      <c r="A346" s="184"/>
      <c r="V346" s="185"/>
    </row>
    <row r="347" spans="1:22" ht="18" customHeight="1">
      <c r="A347" s="184"/>
      <c r="V347" s="185"/>
    </row>
    <row r="348" spans="1:22" ht="14.4" customHeight="1">
      <c r="A348" s="184"/>
      <c r="V348" s="185"/>
    </row>
    <row r="349" spans="1:22" ht="18" customHeight="1">
      <c r="A349" s="184"/>
      <c r="V349" s="185"/>
    </row>
    <row r="350" spans="1:22" ht="19.8" customHeight="1">
      <c r="A350" s="184"/>
      <c r="V350" s="185"/>
    </row>
    <row r="351" spans="1:22" ht="18" customHeight="1">
      <c r="A351" s="184"/>
      <c r="V351" s="185"/>
    </row>
    <row r="352" spans="1:22" ht="18" customHeight="1">
      <c r="A352" s="290"/>
      <c r="B352" s="196"/>
      <c r="C352" s="196"/>
      <c r="D352" s="196"/>
      <c r="E352" s="196"/>
      <c r="F352" s="196"/>
      <c r="G352" s="196"/>
      <c r="H352" s="196"/>
      <c r="I352" s="196"/>
      <c r="J352" s="196"/>
      <c r="K352" s="196"/>
      <c r="L352" s="196"/>
      <c r="M352" s="196"/>
      <c r="N352" s="196"/>
      <c r="O352" s="196"/>
      <c r="P352" s="196"/>
      <c r="Q352" s="196"/>
      <c r="R352" s="196"/>
      <c r="S352" s="196"/>
      <c r="T352" s="196"/>
      <c r="U352" s="196"/>
      <c r="V352" s="291"/>
    </row>
    <row r="353" spans="1:29" s="14" customFormat="1" ht="18" hidden="1" customHeight="1">
      <c r="A353" s="194"/>
      <c r="B353" s="195"/>
      <c r="C353" s="195"/>
      <c r="D353" s="195"/>
      <c r="E353" s="195"/>
      <c r="F353" s="195"/>
      <c r="G353" s="195"/>
      <c r="H353" s="195"/>
      <c r="I353" s="195"/>
      <c r="J353" s="195"/>
      <c r="K353" s="195"/>
      <c r="L353" s="195"/>
      <c r="M353" s="195"/>
      <c r="N353" s="195"/>
      <c r="O353" s="195"/>
      <c r="P353" s="195"/>
      <c r="Q353" s="224"/>
      <c r="R353" s="182"/>
      <c r="S353" s="225"/>
      <c r="T353" s="195"/>
      <c r="U353" s="195"/>
      <c r="V353" s="134"/>
    </row>
    <row r="354" spans="1:29" ht="18" hidden="1" customHeight="1">
      <c r="A354" s="1178" t="str">
        <f>A1</f>
        <v>HITACHI</v>
      </c>
      <c r="B354" s="1179"/>
      <c r="C354" s="1179"/>
      <c r="D354" s="1179"/>
      <c r="E354" s="1179"/>
      <c r="F354" s="1179"/>
      <c r="G354" s="1180"/>
      <c r="H354" s="906" t="str">
        <f>H1</f>
        <v>CT / VT</v>
      </c>
      <c r="I354" s="929"/>
      <c r="J354" s="929"/>
      <c r="K354" s="929"/>
      <c r="L354" s="929"/>
      <c r="M354" s="929"/>
      <c r="N354" s="930"/>
      <c r="O354" s="885" t="str">
        <f>O1</f>
        <v>Contract No.</v>
      </c>
      <c r="P354" s="886"/>
      <c r="Q354" s="887"/>
      <c r="R354" s="1166" t="str">
        <f>R1</f>
        <v>N-19957.2-DF4W</v>
      </c>
      <c r="S354" s="1167"/>
      <c r="T354" s="1167"/>
      <c r="U354" s="1167"/>
      <c r="V354" s="1168"/>
    </row>
    <row r="355" spans="1:29" ht="18" hidden="1" customHeight="1">
      <c r="A355" s="1181"/>
      <c r="B355" s="1182"/>
      <c r="C355" s="1182"/>
      <c r="D355" s="1182"/>
      <c r="E355" s="1182"/>
      <c r="F355" s="1182"/>
      <c r="G355" s="1183"/>
      <c r="H355" s="909" t="str">
        <f>H2</f>
        <v>ADEQUACY CHECK</v>
      </c>
      <c r="I355" s="934"/>
      <c r="J355" s="934"/>
      <c r="K355" s="934"/>
      <c r="L355" s="934"/>
      <c r="M355" s="934"/>
      <c r="N355" s="935"/>
      <c r="O355" s="885" t="str">
        <f>O2</f>
        <v>Date</v>
      </c>
      <c r="P355" s="886"/>
      <c r="Q355" s="887"/>
      <c r="R355" s="1166">
        <f>R2</f>
        <v>46134</v>
      </c>
      <c r="S355" s="1167"/>
      <c r="T355" s="1167"/>
      <c r="U355" s="1167"/>
      <c r="V355" s="1168"/>
    </row>
    <row r="356" spans="1:29" ht="18" hidden="1" customHeight="1">
      <c r="A356" s="955">
        <f>A3</f>
        <v>0</v>
      </c>
      <c r="B356" s="956"/>
      <c r="C356" s="956"/>
      <c r="D356" s="956"/>
      <c r="E356" s="956"/>
      <c r="F356" s="956"/>
      <c r="G356" s="957"/>
      <c r="H356" s="1172" t="str">
        <f>H3</f>
        <v xml:space="preserve">132/33kV SUBSTATION DF4W    AT AL DHAFRA AREA </v>
      </c>
      <c r="I356" s="1173"/>
      <c r="J356" s="1173"/>
      <c r="K356" s="1173"/>
      <c r="L356" s="1173"/>
      <c r="M356" s="1173"/>
      <c r="N356" s="1174"/>
      <c r="O356" s="885" t="str">
        <f>O3</f>
        <v>Document No.</v>
      </c>
      <c r="P356" s="886"/>
      <c r="Q356" s="887"/>
      <c r="R356" s="1166" t="str">
        <f>R3</f>
        <v>-</v>
      </c>
      <c r="S356" s="1167"/>
      <c r="T356" s="1167"/>
      <c r="U356" s="1167"/>
      <c r="V356" s="1168"/>
    </row>
    <row r="357" spans="1:29" ht="18" hidden="1" customHeight="1">
      <c r="A357" s="1047"/>
      <c r="B357" s="1048"/>
      <c r="C357" s="1048"/>
      <c r="D357" s="1048"/>
      <c r="E357" s="1048"/>
      <c r="F357" s="1048"/>
      <c r="G357" s="1049"/>
      <c r="H357" s="1175"/>
      <c r="I357" s="1176"/>
      <c r="J357" s="1176"/>
      <c r="K357" s="1176"/>
      <c r="L357" s="1176"/>
      <c r="M357" s="1176"/>
      <c r="N357" s="1177"/>
      <c r="O357" s="885" t="str">
        <f>O4</f>
        <v>Revision No.</v>
      </c>
      <c r="P357" s="886"/>
      <c r="Q357" s="887"/>
      <c r="R357" s="1166" t="str">
        <f>R4</f>
        <v>A</v>
      </c>
      <c r="S357" s="1167"/>
      <c r="T357" s="1167"/>
      <c r="U357" s="1167"/>
      <c r="V357" s="1168"/>
    </row>
    <row r="358" spans="1:29" ht="18" hidden="1" customHeight="1">
      <c r="A358" s="880" t="str">
        <f>A5</f>
        <v>Prep. By</v>
      </c>
      <c r="B358" s="943"/>
      <c r="C358" s="292" t="str">
        <f>C5</f>
        <v>PK</v>
      </c>
      <c r="D358" s="880" t="str">
        <f>D5</f>
        <v>Checked By</v>
      </c>
      <c r="E358" s="881"/>
      <c r="F358" s="943"/>
      <c r="G358" s="292" t="str">
        <f>G5</f>
        <v>RN</v>
      </c>
      <c r="H358" s="1163" t="str">
        <f>H5</f>
        <v>132kV_100MVA TR. FEEDERS</v>
      </c>
      <c r="I358" s="1164"/>
      <c r="J358" s="1164"/>
      <c r="K358" s="1164"/>
      <c r="L358" s="1164"/>
      <c r="M358" s="1164"/>
      <c r="N358" s="1165"/>
      <c r="O358" s="947" t="str">
        <f>O5</f>
        <v>Contractor</v>
      </c>
      <c r="P358" s="948"/>
      <c r="Q358" s="949"/>
      <c r="R358" s="1166" t="str">
        <f>R5</f>
        <v>HITACHI</v>
      </c>
      <c r="S358" s="1167"/>
      <c r="T358" s="1167"/>
      <c r="U358" s="1167"/>
      <c r="V358" s="1168"/>
    </row>
    <row r="359" spans="1:29" ht="18" hidden="1" customHeight="1">
      <c r="A359" s="226"/>
      <c r="B359" s="227"/>
      <c r="C359" s="227"/>
      <c r="D359" s="227"/>
      <c r="E359" s="227"/>
      <c r="F359" s="227"/>
      <c r="G359" s="227"/>
      <c r="H359" s="227"/>
      <c r="I359" s="227"/>
      <c r="J359" s="227"/>
      <c r="K359" s="227"/>
      <c r="L359" s="227"/>
      <c r="M359" s="227"/>
      <c r="N359" s="227"/>
      <c r="O359" s="227"/>
      <c r="P359" s="227"/>
      <c r="Q359" s="227"/>
      <c r="R359" s="227"/>
      <c r="S359" s="227"/>
      <c r="T359" s="227"/>
      <c r="U359" s="227"/>
      <c r="V359" s="228"/>
    </row>
    <row r="360" spans="1:29" ht="18" hidden="1" customHeight="1">
      <c r="A360" s="184"/>
      <c r="B360" s="781" t="s">
        <v>663</v>
      </c>
      <c r="C360" s="782"/>
      <c r="D360" s="1099" t="s">
        <v>109</v>
      </c>
      <c r="E360" s="1169"/>
      <c r="F360" s="186" t="s">
        <v>636</v>
      </c>
      <c r="H360" s="684" t="str">
        <f>H225</f>
        <v>(Transformer Differential)</v>
      </c>
      <c r="I360" s="684"/>
      <c r="J360" s="684"/>
      <c r="K360" s="684"/>
      <c r="L360" s="684"/>
      <c r="M360" s="684"/>
      <c r="P360" s="186"/>
      <c r="S360" s="187" t="s">
        <v>387</v>
      </c>
      <c r="T360" s="1161" t="str">
        <f>T225</f>
        <v>7UT85</v>
      </c>
      <c r="U360" s="1162"/>
      <c r="V360" s="185"/>
    </row>
    <row r="361" spans="1:29" ht="18" hidden="1" customHeight="1">
      <c r="A361" s="184"/>
      <c r="B361" s="743" t="s">
        <v>664</v>
      </c>
      <c r="C361" s="743"/>
      <c r="D361" s="1170"/>
      <c r="E361" s="1171"/>
      <c r="F361" s="255"/>
      <c r="T361" s="1161"/>
      <c r="U361" s="1162"/>
      <c r="V361" s="185"/>
    </row>
    <row r="362" spans="1:29" ht="18" hidden="1" customHeight="1">
      <c r="A362" s="184"/>
      <c r="H362" s="789" t="s">
        <v>390</v>
      </c>
      <c r="I362" s="789"/>
      <c r="J362" s="708" t="s">
        <v>391</v>
      </c>
      <c r="K362" s="708"/>
      <c r="L362" s="708" t="s">
        <v>392</v>
      </c>
      <c r="M362" s="708"/>
      <c r="T362" s="1161"/>
      <c r="U362" s="1162"/>
      <c r="V362" s="185"/>
    </row>
    <row r="363" spans="1:29" ht="18" hidden="1" customHeight="1">
      <c r="A363" s="184"/>
      <c r="B363" s="47" t="s">
        <v>393</v>
      </c>
      <c r="H363" s="791">
        <v>5000</v>
      </c>
      <c r="I363" s="792"/>
      <c r="J363" s="781">
        <v>4000</v>
      </c>
      <c r="K363" s="782"/>
      <c r="L363" s="781">
        <v>3000</v>
      </c>
      <c r="M363" s="782"/>
      <c r="N363" s="191" t="s">
        <v>342</v>
      </c>
      <c r="O363" s="125">
        <v>1</v>
      </c>
      <c r="P363" s="27" t="s">
        <v>8</v>
      </c>
      <c r="V363" s="185"/>
    </row>
    <row r="364" spans="1:29" ht="18" hidden="1" customHeight="1">
      <c r="A364" s="184"/>
      <c r="B364" s="47" t="s">
        <v>394</v>
      </c>
      <c r="H364" s="781" t="s">
        <v>395</v>
      </c>
      <c r="I364" s="788"/>
      <c r="V364" s="185"/>
    </row>
    <row r="365" spans="1:29" ht="18" hidden="1" customHeight="1">
      <c r="A365" s="184"/>
      <c r="B365" s="47" t="s">
        <v>396</v>
      </c>
      <c r="G365" s="120" t="s">
        <v>497</v>
      </c>
      <c r="H365" s="781">
        <v>20</v>
      </c>
      <c r="I365" s="782"/>
      <c r="J365" s="192" t="s">
        <v>333</v>
      </c>
      <c r="V365" s="185"/>
    </row>
    <row r="366" spans="1:29" ht="18" hidden="1" customHeight="1">
      <c r="A366" s="184"/>
      <c r="B366" s="47" t="s">
        <v>398</v>
      </c>
      <c r="G366" s="120" t="s">
        <v>498</v>
      </c>
      <c r="H366" s="781">
        <v>1000</v>
      </c>
      <c r="I366" s="782"/>
      <c r="J366" s="14" t="s">
        <v>305</v>
      </c>
      <c r="V366" s="185"/>
      <c r="W366" s="30" t="s">
        <v>400</v>
      </c>
      <c r="AB366" s="785">
        <f>D416</f>
        <v>68.690225861110591</v>
      </c>
      <c r="AC366" s="786"/>
    </row>
    <row r="367" spans="1:29" ht="18" hidden="1" customHeight="1">
      <c r="A367" s="184"/>
      <c r="B367" s="14" t="s">
        <v>401</v>
      </c>
      <c r="G367" s="120" t="s">
        <v>402</v>
      </c>
      <c r="H367" s="781">
        <v>20</v>
      </c>
      <c r="I367" s="782"/>
      <c r="J367" s="30" t="s">
        <v>403</v>
      </c>
      <c r="V367" s="185"/>
    </row>
    <row r="368" spans="1:29" ht="18" hidden="1" customHeight="1">
      <c r="A368" s="96"/>
      <c r="V368" s="185"/>
    </row>
    <row r="369" spans="1:22" ht="18" hidden="1" customHeight="1">
      <c r="A369" s="193" t="s">
        <v>404</v>
      </c>
      <c r="V369" s="185"/>
    </row>
    <row r="370" spans="1:22" ht="18" hidden="1" customHeight="1">
      <c r="A370" s="184"/>
      <c r="V370" s="185"/>
    </row>
    <row r="371" spans="1:22" ht="18" hidden="1" customHeight="1">
      <c r="A371" s="184"/>
      <c r="B371" s="194" t="s">
        <v>405</v>
      </c>
      <c r="C371" s="195"/>
      <c r="D371" s="195" t="str">
        <f>T360</f>
        <v>7UT85</v>
      </c>
      <c r="E371" s="196"/>
      <c r="F371" s="196"/>
      <c r="G371" s="196"/>
      <c r="H371" s="182" t="s">
        <v>406</v>
      </c>
      <c r="I371" s="183" t="s">
        <v>127</v>
      </c>
      <c r="J371" s="1159">
        <f>J236</f>
        <v>0.1</v>
      </c>
      <c r="K371" s="1160"/>
      <c r="L371" s="3" t="s">
        <v>157</v>
      </c>
      <c r="V371" s="185"/>
    </row>
    <row r="372" spans="1:22" ht="18" hidden="1" customHeight="1">
      <c r="A372" s="184"/>
      <c r="B372" s="184" t="s">
        <v>405</v>
      </c>
      <c r="D372" s="30">
        <f>T361</f>
        <v>0</v>
      </c>
      <c r="H372" s="27"/>
      <c r="I372" s="177" t="s">
        <v>127</v>
      </c>
      <c r="J372" s="793"/>
      <c r="K372" s="1156"/>
      <c r="L372" s="198" t="s">
        <v>157</v>
      </c>
      <c r="V372" s="185"/>
    </row>
    <row r="373" spans="1:22" ht="18" hidden="1" customHeight="1">
      <c r="A373" s="184"/>
      <c r="B373" s="184" t="s">
        <v>405</v>
      </c>
      <c r="D373" s="30">
        <f>T362</f>
        <v>0</v>
      </c>
      <c r="E373" s="14"/>
      <c r="G373" s="199"/>
      <c r="H373" s="27"/>
      <c r="I373" s="177" t="s">
        <v>127</v>
      </c>
      <c r="J373" s="1157"/>
      <c r="K373" s="1158"/>
      <c r="L373" s="202" t="s">
        <v>157</v>
      </c>
      <c r="V373" s="185"/>
    </row>
    <row r="374" spans="1:22" ht="18" hidden="1" customHeight="1">
      <c r="A374" s="184"/>
      <c r="B374" s="184" t="s">
        <v>412</v>
      </c>
      <c r="H374" s="27" t="s">
        <v>599</v>
      </c>
      <c r="I374" s="177" t="s">
        <v>127</v>
      </c>
      <c r="J374" s="861">
        <f>J239</f>
        <v>1.1667743100000001</v>
      </c>
      <c r="K374" s="989"/>
      <c r="L374" s="203" t="s">
        <v>157</v>
      </c>
      <c r="V374" s="185"/>
    </row>
    <row r="375" spans="1:22" ht="18" hidden="1" customHeight="1">
      <c r="A375" s="184"/>
      <c r="B375" s="205" t="s">
        <v>413</v>
      </c>
      <c r="C375" s="206"/>
      <c r="D375" s="206"/>
      <c r="E375" s="206"/>
      <c r="F375" s="207"/>
      <c r="G375" s="207"/>
      <c r="H375" s="190" t="s">
        <v>409</v>
      </c>
      <c r="I375" s="208" t="s">
        <v>127</v>
      </c>
      <c r="J375" s="766">
        <f>J372+J374</f>
        <v>1.1667743100000001</v>
      </c>
      <c r="K375" s="958"/>
      <c r="L375" s="210" t="s">
        <v>157</v>
      </c>
      <c r="V375" s="185"/>
    </row>
    <row r="376" spans="1:22" ht="18" hidden="1" customHeight="1">
      <c r="A376" s="184"/>
      <c r="B376" s="47"/>
      <c r="C376" s="47"/>
      <c r="D376" s="47"/>
      <c r="E376" s="47"/>
      <c r="H376" s="27"/>
      <c r="I376" s="28"/>
      <c r="J376" s="199"/>
      <c r="L376" s="47"/>
      <c r="O376" s="27"/>
      <c r="P376" s="211"/>
      <c r="Q376" s="211"/>
      <c r="R376" s="192"/>
      <c r="V376" s="185"/>
    </row>
    <row r="377" spans="1:22" ht="18" hidden="1" customHeight="1">
      <c r="A377" s="184"/>
      <c r="B377" s="197" t="s">
        <v>648</v>
      </c>
      <c r="L377" s="47"/>
      <c r="M377" s="197" t="s">
        <v>407</v>
      </c>
      <c r="V377" s="185"/>
    </row>
    <row r="378" spans="1:22" s="14" customFormat="1" ht="18" hidden="1" customHeight="1">
      <c r="A378" s="184"/>
      <c r="B378" s="27" t="s">
        <v>649</v>
      </c>
      <c r="C378" s="27" t="s">
        <v>127</v>
      </c>
      <c r="D378" s="30" t="s">
        <v>406</v>
      </c>
      <c r="E378" s="271" t="s">
        <v>410</v>
      </c>
      <c r="F378" s="27" t="s">
        <v>146</v>
      </c>
      <c r="G378" s="28" t="s">
        <v>315</v>
      </c>
      <c r="H378" s="218" t="s">
        <v>146</v>
      </c>
      <c r="I378" s="30" t="s">
        <v>350</v>
      </c>
      <c r="J378" s="199"/>
      <c r="K378" s="30"/>
      <c r="L378" s="47"/>
      <c r="M378" s="30" t="s">
        <v>408</v>
      </c>
      <c r="N378" s="27" t="s">
        <v>127</v>
      </c>
      <c r="O378" s="30" t="s">
        <v>409</v>
      </c>
      <c r="P378" s="191" t="s">
        <v>410</v>
      </c>
      <c r="Q378" s="244" t="s">
        <v>411</v>
      </c>
      <c r="R378" s="27" t="s">
        <v>315</v>
      </c>
      <c r="S378" s="30" t="s">
        <v>411</v>
      </c>
      <c r="T378" s="30" t="s">
        <v>350</v>
      </c>
      <c r="U378" s="30"/>
      <c r="V378" s="185"/>
    </row>
    <row r="379" spans="1:22" s="14" customFormat="1" ht="18" hidden="1" customHeight="1">
      <c r="A379" s="184"/>
      <c r="B379" s="47"/>
      <c r="C379" s="27" t="s">
        <v>127</v>
      </c>
      <c r="D379" s="204">
        <f>J371</f>
        <v>0.1</v>
      </c>
      <c r="E379" s="191" t="s">
        <v>410</v>
      </c>
      <c r="F379" s="27">
        <f>F150</f>
        <v>1</v>
      </c>
      <c r="G379" s="27" t="s">
        <v>315</v>
      </c>
      <c r="H379" s="27">
        <f>H150</f>
        <v>1</v>
      </c>
      <c r="I379" s="30" t="s">
        <v>350</v>
      </c>
      <c r="J379" s="199"/>
      <c r="K379" s="30"/>
      <c r="L379" s="47"/>
      <c r="M379" s="30"/>
      <c r="N379" s="27" t="s">
        <v>127</v>
      </c>
      <c r="O379" s="204">
        <f>J375</f>
        <v>1.1667743100000001</v>
      </c>
      <c r="P379" s="191" t="s">
        <v>410</v>
      </c>
      <c r="Q379" s="27">
        <f>O363</f>
        <v>1</v>
      </c>
      <c r="R379" s="27" t="s">
        <v>315</v>
      </c>
      <c r="S379" s="27">
        <f>O363</f>
        <v>1</v>
      </c>
      <c r="T379" s="30" t="s">
        <v>350</v>
      </c>
      <c r="U379" s="30"/>
      <c r="V379" s="185"/>
    </row>
    <row r="380" spans="1:22" s="14" customFormat="1" ht="18" hidden="1" customHeight="1">
      <c r="A380" s="184"/>
      <c r="B380" s="47"/>
      <c r="C380" s="27" t="s">
        <v>127</v>
      </c>
      <c r="D380" s="795">
        <f>D379/(F379*H379)</f>
        <v>0.1</v>
      </c>
      <c r="E380" s="795"/>
      <c r="F380" s="192" t="s">
        <v>333</v>
      </c>
      <c r="G380" s="30"/>
      <c r="H380" s="30"/>
      <c r="I380" s="30"/>
      <c r="J380" s="199"/>
      <c r="K380" s="30"/>
      <c r="L380" s="47"/>
      <c r="M380" s="30"/>
      <c r="N380" s="27" t="s">
        <v>127</v>
      </c>
      <c r="O380" s="795">
        <f>O379/(Q379*S379)</f>
        <v>1.1667743100000001</v>
      </c>
      <c r="P380" s="795"/>
      <c r="Q380" s="192" t="s">
        <v>333</v>
      </c>
      <c r="R380" s="30"/>
      <c r="S380" s="30"/>
      <c r="T380" s="30"/>
      <c r="U380" s="30"/>
      <c r="V380" s="185"/>
    </row>
    <row r="381" spans="1:22" s="14" customFormat="1" ht="18" hidden="1" customHeight="1">
      <c r="A381" s="184"/>
      <c r="B381" s="47"/>
      <c r="C381" s="47"/>
      <c r="D381" s="47"/>
      <c r="E381" s="47"/>
      <c r="F381" s="30"/>
      <c r="G381" s="30"/>
      <c r="H381" s="27"/>
      <c r="I381" s="28"/>
      <c r="J381" s="199"/>
      <c r="K381" s="30"/>
      <c r="L381" s="47"/>
      <c r="M381" s="30"/>
      <c r="N381" s="30"/>
      <c r="O381" s="27"/>
      <c r="P381" s="211"/>
      <c r="Q381" s="211"/>
      <c r="R381" s="192"/>
      <c r="S381" s="30"/>
      <c r="T381" s="30"/>
      <c r="U381" s="30"/>
      <c r="V381" s="185"/>
    </row>
    <row r="382" spans="1:22" s="14" customFormat="1" ht="18" hidden="1" customHeight="1">
      <c r="A382" s="184"/>
      <c r="B382" s="47" t="s">
        <v>668</v>
      </c>
      <c r="C382" s="47"/>
      <c r="D382" s="47"/>
      <c r="E382" s="47"/>
      <c r="F382" s="30"/>
      <c r="G382" s="30"/>
      <c r="H382" s="27"/>
      <c r="I382" s="28"/>
      <c r="J382" s="199"/>
      <c r="K382" s="30"/>
      <c r="L382" s="47" t="s">
        <v>127</v>
      </c>
      <c r="M382" s="204">
        <f>D380</f>
        <v>0.1</v>
      </c>
      <c r="N382" s="27" t="s">
        <v>347</v>
      </c>
      <c r="O382" s="211">
        <f>O380</f>
        <v>1.1667743100000001</v>
      </c>
      <c r="P382" s="211" t="s">
        <v>127</v>
      </c>
      <c r="Q382" s="211">
        <f>M382+O382</f>
        <v>1.2667743100000002</v>
      </c>
      <c r="R382" s="192" t="s">
        <v>333</v>
      </c>
      <c r="S382" s="30"/>
      <c r="T382" s="30"/>
      <c r="U382" s="30"/>
      <c r="V382" s="185"/>
    </row>
    <row r="383" spans="1:22" s="14" customFormat="1" ht="18" hidden="1" customHeight="1">
      <c r="A383" s="193" t="s">
        <v>600</v>
      </c>
      <c r="B383" s="5"/>
      <c r="C383" s="5"/>
      <c r="D383" s="5"/>
      <c r="E383" s="5"/>
      <c r="F383" s="5"/>
      <c r="G383" s="5"/>
      <c r="H383" s="212"/>
      <c r="I383" s="212"/>
      <c r="J383" s="5"/>
      <c r="K383" s="5"/>
      <c r="L383" s="5"/>
      <c r="M383" s="5"/>
      <c r="N383" s="5"/>
      <c r="O383" s="5"/>
      <c r="P383" s="103"/>
      <c r="Q383" s="212"/>
      <c r="R383" s="213"/>
      <c r="S383" s="214"/>
      <c r="T383" s="18"/>
      <c r="U383" s="18"/>
      <c r="V383" s="97"/>
    </row>
    <row r="384" spans="1:22" s="14" customFormat="1" ht="18" hidden="1" customHeight="1">
      <c r="A384" s="96"/>
      <c r="B384" s="47" t="s">
        <v>601</v>
      </c>
      <c r="C384" s="5"/>
      <c r="D384" s="5"/>
      <c r="E384" s="5"/>
      <c r="I384" s="215"/>
      <c r="M384" s="5"/>
      <c r="N384" s="103" t="s">
        <v>127</v>
      </c>
      <c r="O384" s="1154">
        <f>O155</f>
        <v>100</v>
      </c>
      <c r="P384" s="831"/>
      <c r="Q384" s="14" t="s">
        <v>602</v>
      </c>
      <c r="S384" s="214"/>
      <c r="T384" s="18"/>
      <c r="U384" s="18"/>
      <c r="V384" s="97"/>
    </row>
    <row r="385" spans="1:22" s="14" customFormat="1" ht="18" hidden="1" customHeight="1">
      <c r="A385" s="96"/>
      <c r="B385" s="47" t="s">
        <v>603</v>
      </c>
      <c r="C385" s="5"/>
      <c r="D385" s="5"/>
      <c r="E385" s="5"/>
      <c r="I385" s="215"/>
      <c r="M385" s="5"/>
      <c r="N385" s="103" t="s">
        <v>127</v>
      </c>
      <c r="O385" s="1154">
        <f>O156</f>
        <v>25</v>
      </c>
      <c r="P385" s="831"/>
      <c r="Q385" s="14" t="s">
        <v>604</v>
      </c>
      <c r="S385" s="214"/>
      <c r="T385" s="18"/>
      <c r="U385" s="18"/>
      <c r="V385" s="97"/>
    </row>
    <row r="386" spans="1:22" s="14" customFormat="1" ht="18" hidden="1" customHeight="1">
      <c r="A386" s="96"/>
      <c r="B386" s="47" t="s">
        <v>605</v>
      </c>
      <c r="C386" s="5"/>
      <c r="D386" s="5"/>
      <c r="E386" s="5"/>
      <c r="M386" s="120" t="s">
        <v>606</v>
      </c>
      <c r="N386" s="103" t="s">
        <v>607</v>
      </c>
      <c r="O386" s="1154">
        <f>'[6]Parameters &amp; Fault Cal.'!Q12</f>
        <v>132</v>
      </c>
      <c r="P386" s="831"/>
      <c r="Q386" s="14" t="s">
        <v>163</v>
      </c>
      <c r="S386" s="214"/>
      <c r="T386" s="18"/>
      <c r="U386" s="18"/>
      <c r="V386" s="97"/>
    </row>
    <row r="387" spans="1:22" s="14" customFormat="1" ht="18" hidden="1" customHeight="1">
      <c r="A387" s="216"/>
      <c r="B387" s="212"/>
      <c r="C387" s="212"/>
      <c r="D387" s="212"/>
      <c r="E387" s="212"/>
      <c r="T387" s="18"/>
      <c r="U387" s="18"/>
      <c r="V387" s="97"/>
    </row>
    <row r="388" spans="1:22" s="14" customFormat="1" ht="18" hidden="1" customHeight="1">
      <c r="A388" s="272" t="s">
        <v>608</v>
      </c>
      <c r="B388" s="213"/>
      <c r="C388" s="213"/>
      <c r="D388" s="213"/>
      <c r="E388" s="213"/>
      <c r="H388" s="120" t="s">
        <v>609</v>
      </c>
      <c r="I388" s="28" t="s">
        <v>127</v>
      </c>
      <c r="J388" s="689" t="s">
        <v>610</v>
      </c>
      <c r="K388" s="689"/>
      <c r="L388" s="28" t="s">
        <v>315</v>
      </c>
      <c r="M388" s="217">
        <v>1000</v>
      </c>
      <c r="N388" s="102" t="s">
        <v>342</v>
      </c>
      <c r="O388" s="28" t="s">
        <v>611</v>
      </c>
      <c r="P388" s="28" t="s">
        <v>315</v>
      </c>
      <c r="Q388" s="28" t="s">
        <v>606</v>
      </c>
      <c r="R388" s="47" t="s">
        <v>350</v>
      </c>
      <c r="T388" s="18"/>
      <c r="U388" s="18"/>
      <c r="V388" s="97"/>
    </row>
    <row r="389" spans="1:22" ht="18" hidden="1" customHeight="1">
      <c r="A389" s="216"/>
      <c r="B389" s="213"/>
      <c r="C389" s="213"/>
      <c r="D389" s="213"/>
      <c r="E389" s="213"/>
      <c r="F389" s="212"/>
      <c r="G389" s="212"/>
      <c r="H389" s="28"/>
      <c r="I389" s="28" t="s">
        <v>127</v>
      </c>
      <c r="J389" s="689">
        <f>O384</f>
        <v>100</v>
      </c>
      <c r="K389" s="689"/>
      <c r="L389" s="28" t="s">
        <v>315</v>
      </c>
      <c r="M389" s="217">
        <v>1000</v>
      </c>
      <c r="N389" s="102" t="s">
        <v>342</v>
      </c>
      <c r="O389" s="28" t="s">
        <v>611</v>
      </c>
      <c r="P389" s="28" t="s">
        <v>315</v>
      </c>
      <c r="Q389" s="28">
        <f>O386</f>
        <v>132</v>
      </c>
      <c r="R389" s="47" t="s">
        <v>350</v>
      </c>
      <c r="S389" s="14"/>
      <c r="T389" s="18"/>
      <c r="U389" s="18"/>
      <c r="V389" s="97"/>
    </row>
    <row r="390" spans="1:22" ht="18" hidden="1" customHeight="1">
      <c r="A390" s="216"/>
      <c r="B390" s="212"/>
      <c r="C390" s="212"/>
      <c r="D390" s="212"/>
      <c r="E390" s="212"/>
      <c r="F390" s="212"/>
      <c r="G390" s="212"/>
      <c r="H390" s="14"/>
      <c r="I390" s="28" t="s">
        <v>127</v>
      </c>
      <c r="J390" s="692">
        <f>(O384*1000)/(SQRT(3)*O386)</f>
        <v>437.38656756789834</v>
      </c>
      <c r="K390" s="692"/>
      <c r="L390" s="14" t="s">
        <v>8</v>
      </c>
      <c r="M390" s="120"/>
      <c r="N390" s="120"/>
      <c r="O390" s="120"/>
      <c r="P390" s="14"/>
      <c r="Q390" s="14"/>
      <c r="R390" s="14"/>
      <c r="S390" s="14"/>
      <c r="T390" s="18"/>
      <c r="U390" s="18"/>
      <c r="V390" s="97"/>
    </row>
    <row r="391" spans="1:22" ht="18" hidden="1" customHeight="1">
      <c r="A391" s="216"/>
      <c r="B391" s="212"/>
      <c r="C391" s="212"/>
      <c r="D391" s="212"/>
      <c r="E391" s="212"/>
      <c r="F391" s="14"/>
      <c r="G391" s="212"/>
      <c r="H391" s="28"/>
      <c r="I391" s="103"/>
      <c r="J391" s="28"/>
      <c r="K391" s="14"/>
      <c r="L391" s="14"/>
      <c r="M391" s="212"/>
      <c r="N391" s="219"/>
      <c r="O391" s="212"/>
      <c r="P391" s="14"/>
      <c r="Q391" s="14"/>
      <c r="R391" s="14"/>
      <c r="S391" s="14"/>
      <c r="T391" s="18"/>
      <c r="U391" s="18"/>
      <c r="V391" s="97"/>
    </row>
    <row r="392" spans="1:22" s="14" customFormat="1" ht="18" hidden="1" customHeight="1">
      <c r="A392" s="147" t="s">
        <v>629</v>
      </c>
      <c r="B392" s="5"/>
      <c r="C392" s="5"/>
      <c r="D392" s="5"/>
      <c r="E392" s="5"/>
      <c r="F392" s="212"/>
      <c r="G392" s="212"/>
      <c r="H392" s="5"/>
      <c r="I392" s="5"/>
      <c r="J392" s="5"/>
      <c r="K392" s="5"/>
      <c r="L392" s="103"/>
      <c r="M392" s="103"/>
      <c r="N392" s="103"/>
      <c r="O392" s="103"/>
      <c r="P392" s="212"/>
      <c r="Q392" s="213"/>
      <c r="S392" s="220"/>
      <c r="T392" s="18"/>
      <c r="U392" s="18"/>
      <c r="V392" s="97"/>
    </row>
    <row r="393" spans="1:22" s="14" customFormat="1" ht="18" hidden="1" customHeight="1">
      <c r="A393" s="147"/>
      <c r="B393" s="5"/>
      <c r="C393" s="5"/>
      <c r="D393" s="5"/>
      <c r="E393" s="5"/>
      <c r="F393" s="212"/>
      <c r="G393" s="212"/>
      <c r="H393" s="5"/>
      <c r="I393" s="5"/>
      <c r="J393" s="5"/>
      <c r="K393" s="5"/>
      <c r="L393" s="103"/>
      <c r="M393" s="103"/>
      <c r="N393" s="103"/>
      <c r="O393" s="103"/>
      <c r="P393" s="212"/>
      <c r="Q393" s="213"/>
      <c r="S393" s="214"/>
      <c r="T393" s="18"/>
      <c r="U393" s="18"/>
      <c r="V393" s="97"/>
    </row>
    <row r="394" spans="1:22" ht="18" hidden="1" customHeight="1">
      <c r="A394" s="96" t="s">
        <v>612</v>
      </c>
      <c r="B394" s="14"/>
      <c r="C394" s="14"/>
      <c r="D394" s="14"/>
      <c r="E394" s="14"/>
      <c r="M394" s="120" t="s">
        <v>613</v>
      </c>
      <c r="N394" s="28" t="s">
        <v>127</v>
      </c>
      <c r="O394" s="689" t="s">
        <v>609</v>
      </c>
      <c r="P394" s="716"/>
      <c r="Q394" s="221" t="s">
        <v>630</v>
      </c>
      <c r="R394" s="221">
        <v>16</v>
      </c>
      <c r="S394" s="186"/>
      <c r="V394" s="185"/>
    </row>
    <row r="395" spans="1:22" ht="18" hidden="1" customHeight="1">
      <c r="A395" s="96"/>
      <c r="B395" s="5"/>
      <c r="C395" s="5"/>
      <c r="D395" s="5"/>
      <c r="E395" s="5"/>
      <c r="M395" s="250"/>
      <c r="N395" s="28" t="s">
        <v>127</v>
      </c>
      <c r="O395" s="689">
        <f>+J390</f>
        <v>437.38656756789834</v>
      </c>
      <c r="P395" s="716"/>
      <c r="Q395" s="221" t="s">
        <v>630</v>
      </c>
      <c r="R395" s="221">
        <v>16</v>
      </c>
      <c r="S395" s="186"/>
      <c r="V395" s="185"/>
    </row>
    <row r="396" spans="1:22" s="279" customFormat="1" ht="18" hidden="1" customHeight="1">
      <c r="A396" s="96"/>
      <c r="B396" s="5"/>
      <c r="C396" s="5"/>
      <c r="D396" s="5"/>
      <c r="E396" s="5"/>
      <c r="F396" s="30"/>
      <c r="G396" s="30"/>
      <c r="H396" s="30"/>
      <c r="I396" s="30"/>
      <c r="J396" s="30"/>
      <c r="K396" s="30"/>
      <c r="L396" s="30"/>
      <c r="M396" s="120" t="s">
        <v>613</v>
      </c>
      <c r="N396" s="28" t="s">
        <v>127</v>
      </c>
      <c r="O396" s="689">
        <f>O395*R395</f>
        <v>6998.1850810863734</v>
      </c>
      <c r="P396" s="716"/>
      <c r="Q396" s="241" t="s">
        <v>8</v>
      </c>
      <c r="R396" s="14"/>
      <c r="S396" s="186"/>
      <c r="T396" s="30"/>
      <c r="U396" s="30"/>
      <c r="V396" s="185"/>
    </row>
    <row r="397" spans="1:22" s="279" customFormat="1" ht="18" hidden="1" customHeight="1">
      <c r="A397" s="194"/>
      <c r="B397" s="195"/>
      <c r="C397" s="195"/>
      <c r="D397" s="195"/>
      <c r="E397" s="195"/>
      <c r="F397" s="195"/>
      <c r="G397" s="195"/>
      <c r="H397" s="195"/>
      <c r="I397" s="195"/>
      <c r="J397" s="195"/>
      <c r="K397" s="195"/>
      <c r="L397" s="195"/>
      <c r="M397" s="195"/>
      <c r="N397" s="195"/>
      <c r="O397" s="195"/>
      <c r="P397" s="195"/>
      <c r="Q397" s="224"/>
      <c r="R397" s="182"/>
      <c r="S397" s="225"/>
      <c r="T397" s="195"/>
      <c r="U397" s="195"/>
      <c r="V397" s="134" t="s">
        <v>552</v>
      </c>
    </row>
    <row r="398" spans="1:22" ht="18" hidden="1" customHeight="1">
      <c r="A398" s="135"/>
      <c r="B398" s="273"/>
      <c r="C398" s="273"/>
      <c r="D398" s="273"/>
      <c r="E398" s="273"/>
      <c r="F398" s="273"/>
      <c r="G398" s="273"/>
      <c r="H398" s="273"/>
      <c r="I398" s="273"/>
      <c r="J398" s="273"/>
      <c r="K398" s="273"/>
      <c r="L398" s="273"/>
      <c r="M398" s="273"/>
      <c r="N398" s="273"/>
      <c r="O398" s="273"/>
      <c r="P398" s="273"/>
      <c r="Q398" s="274"/>
      <c r="R398" s="138"/>
      <c r="S398" s="275"/>
      <c r="T398" s="273"/>
      <c r="U398" s="273"/>
      <c r="V398" s="276"/>
    </row>
    <row r="399" spans="1:22" ht="18" hidden="1" customHeight="1">
      <c r="A399" s="96" t="s">
        <v>686</v>
      </c>
      <c r="V399" s="185"/>
    </row>
    <row r="400" spans="1:22" ht="18" hidden="1" customHeight="1">
      <c r="A400" s="184"/>
      <c r="V400" s="185"/>
    </row>
    <row r="401" spans="1:22" ht="18" hidden="1" customHeight="1">
      <c r="A401" s="277"/>
      <c r="B401" s="689" t="s">
        <v>473</v>
      </c>
      <c r="C401" s="1150" t="s">
        <v>652</v>
      </c>
      <c r="D401" s="279"/>
      <c r="E401" s="279"/>
      <c r="F401" s="279"/>
      <c r="G401" s="802" t="s">
        <v>687</v>
      </c>
      <c r="H401" s="1153" t="s">
        <v>315</v>
      </c>
      <c r="I401" s="708" t="s">
        <v>688</v>
      </c>
      <c r="J401" s="1147"/>
      <c r="K401" s="1147"/>
      <c r="L401" s="1147"/>
      <c r="M401" s="1147"/>
      <c r="N401" s="689" t="s">
        <v>672</v>
      </c>
      <c r="O401" s="708" t="s">
        <v>420</v>
      </c>
      <c r="P401" s="689" t="s">
        <v>347</v>
      </c>
      <c r="Q401" s="708" t="s">
        <v>689</v>
      </c>
      <c r="R401" s="708" t="s">
        <v>674</v>
      </c>
      <c r="S401" s="708" t="s">
        <v>411</v>
      </c>
      <c r="T401" s="14"/>
      <c r="U401" s="729" t="s">
        <v>653</v>
      </c>
      <c r="V401" s="185"/>
    </row>
    <row r="402" spans="1:22" ht="18" hidden="1" customHeight="1">
      <c r="A402" s="277"/>
      <c r="B402" s="689"/>
      <c r="C402" s="689"/>
      <c r="D402" s="279"/>
      <c r="E402" s="279"/>
      <c r="F402" s="279"/>
      <c r="G402" s="802"/>
      <c r="H402" s="689"/>
      <c r="I402" s="689">
        <v>1.3</v>
      </c>
      <c r="J402" s="689"/>
      <c r="K402" s="28" t="s">
        <v>315</v>
      </c>
      <c r="L402" s="689" t="s">
        <v>423</v>
      </c>
      <c r="M402" s="689"/>
      <c r="N402" s="689"/>
      <c r="O402" s="689"/>
      <c r="P402" s="689"/>
      <c r="Q402" s="689"/>
      <c r="R402" s="689"/>
      <c r="S402" s="689"/>
      <c r="T402" s="14"/>
      <c r="U402" s="689"/>
      <c r="V402" s="185"/>
    </row>
    <row r="403" spans="1:22" ht="18" hidden="1" customHeight="1">
      <c r="A403" s="184"/>
      <c r="V403" s="185"/>
    </row>
    <row r="404" spans="1:22" ht="18" hidden="1" customHeight="1">
      <c r="A404" s="184"/>
      <c r="B404" s="47" t="s">
        <v>654</v>
      </c>
      <c r="C404" s="14"/>
      <c r="D404" s="14"/>
      <c r="E404" s="14"/>
      <c r="F404" s="18"/>
      <c r="G404" s="18"/>
      <c r="H404" s="14"/>
      <c r="I404" s="120"/>
      <c r="J404" s="14"/>
      <c r="K404" s="14"/>
      <c r="M404" s="14"/>
      <c r="N404" s="14"/>
      <c r="P404" s="14" t="s">
        <v>423</v>
      </c>
      <c r="R404" s="234" t="s">
        <v>127</v>
      </c>
      <c r="S404" s="684">
        <f>H363</f>
        <v>5000</v>
      </c>
      <c r="T404" s="684"/>
      <c r="U404" s="30" t="s">
        <v>8</v>
      </c>
      <c r="V404" s="185"/>
    </row>
    <row r="405" spans="1:22" ht="18" hidden="1" customHeight="1">
      <c r="A405" s="184"/>
      <c r="B405" s="47" t="s">
        <v>655</v>
      </c>
      <c r="C405" s="14"/>
      <c r="D405" s="14"/>
      <c r="E405" s="14"/>
      <c r="F405" s="18"/>
      <c r="G405" s="18"/>
      <c r="H405" s="14"/>
      <c r="I405" s="120"/>
      <c r="J405" s="14"/>
      <c r="K405" s="14"/>
      <c r="M405" s="14"/>
      <c r="N405" s="14"/>
      <c r="P405" s="14" t="s">
        <v>420</v>
      </c>
      <c r="R405" s="234" t="s">
        <v>127</v>
      </c>
      <c r="S405" s="684">
        <f>H365</f>
        <v>20</v>
      </c>
      <c r="T405" s="684"/>
      <c r="U405" s="192" t="s">
        <v>333</v>
      </c>
      <c r="V405" s="185"/>
    </row>
    <row r="406" spans="1:22" ht="18" hidden="1" customHeight="1">
      <c r="A406" s="184"/>
      <c r="B406" s="47" t="s">
        <v>676</v>
      </c>
      <c r="C406" s="14"/>
      <c r="D406" s="14"/>
      <c r="E406" s="14"/>
      <c r="F406" s="18"/>
      <c r="G406" s="18"/>
      <c r="H406" s="14"/>
      <c r="I406" s="120"/>
      <c r="J406" s="14"/>
      <c r="K406" s="14"/>
      <c r="M406" s="14"/>
      <c r="N406" s="14"/>
      <c r="P406" s="14" t="s">
        <v>690</v>
      </c>
      <c r="R406" s="234" t="s">
        <v>127</v>
      </c>
      <c r="S406" s="795">
        <f>Q382</f>
        <v>1.2667743100000002</v>
      </c>
      <c r="T406" s="795"/>
      <c r="U406" s="192" t="s">
        <v>333</v>
      </c>
      <c r="V406" s="185"/>
    </row>
    <row r="407" spans="1:22" ht="18" hidden="1" customHeight="1">
      <c r="A407" s="184"/>
      <c r="B407" s="47" t="s">
        <v>691</v>
      </c>
      <c r="C407" s="14"/>
      <c r="D407" s="14"/>
      <c r="E407" s="14"/>
      <c r="F407" s="14"/>
      <c r="G407" s="14"/>
      <c r="H407" s="14"/>
      <c r="I407" s="120"/>
      <c r="J407" s="14"/>
      <c r="K407" s="14"/>
      <c r="M407" s="14"/>
      <c r="N407" s="14"/>
      <c r="P407" s="14" t="s">
        <v>411</v>
      </c>
      <c r="R407" s="234" t="s">
        <v>127</v>
      </c>
      <c r="S407" s="684">
        <f>O363</f>
        <v>1</v>
      </c>
      <c r="T407" s="684"/>
      <c r="U407" s="30" t="s">
        <v>8</v>
      </c>
      <c r="V407" s="185"/>
    </row>
    <row r="408" spans="1:22" ht="18" hidden="1" customHeight="1">
      <c r="A408" s="184"/>
      <c r="B408" s="47" t="s">
        <v>678</v>
      </c>
      <c r="C408" s="14"/>
      <c r="D408" s="14"/>
      <c r="E408" s="14"/>
      <c r="F408" s="14"/>
      <c r="G408" s="14"/>
      <c r="H408" s="14"/>
      <c r="I408" s="120"/>
      <c r="J408" s="14"/>
      <c r="K408" s="14"/>
      <c r="M408" s="14"/>
      <c r="N408" s="14"/>
      <c r="P408" s="120" t="s">
        <v>688</v>
      </c>
      <c r="R408" s="234" t="s">
        <v>127</v>
      </c>
      <c r="S408" s="684">
        <f>O396</f>
        <v>6998.1850810863734</v>
      </c>
      <c r="T408" s="684"/>
      <c r="U408" s="30" t="s">
        <v>8</v>
      </c>
      <c r="V408" s="185"/>
    </row>
    <row r="409" spans="1:22" s="279" customFormat="1" ht="18" hidden="1" customHeight="1">
      <c r="A409" s="184"/>
      <c r="B409" s="47" t="s">
        <v>692</v>
      </c>
      <c r="C409" s="14"/>
      <c r="D409" s="14"/>
      <c r="E409" s="14"/>
      <c r="F409" s="14"/>
      <c r="G409" s="14"/>
      <c r="H409" s="14"/>
      <c r="I409" s="120"/>
      <c r="J409" s="14"/>
      <c r="K409" s="14"/>
      <c r="L409" s="30"/>
      <c r="M409" s="14"/>
      <c r="N409" s="14"/>
      <c r="O409" s="30"/>
      <c r="P409" s="120" t="s">
        <v>680</v>
      </c>
      <c r="Q409" s="30"/>
      <c r="R409" s="234" t="s">
        <v>127</v>
      </c>
      <c r="S409" s="795">
        <f>J390</f>
        <v>437.38656756789834</v>
      </c>
      <c r="T409" s="684"/>
      <c r="U409" s="30" t="s">
        <v>8</v>
      </c>
      <c r="V409" s="185"/>
    </row>
    <row r="410" spans="1:22" s="279" customFormat="1" ht="18" hidden="1" customHeight="1">
      <c r="A410" s="184"/>
      <c r="B410" s="47" t="s">
        <v>659</v>
      </c>
      <c r="C410" s="14"/>
      <c r="D410" s="14"/>
      <c r="E410" s="14"/>
      <c r="F410" s="14"/>
      <c r="G410" s="14"/>
      <c r="H410" s="14"/>
      <c r="I410" s="120"/>
      <c r="J410" s="14"/>
      <c r="K410" s="14"/>
      <c r="L410" s="30"/>
      <c r="M410" s="14"/>
      <c r="N410" s="14"/>
      <c r="O410" s="30"/>
      <c r="P410" s="120" t="s">
        <v>660</v>
      </c>
      <c r="Q410" s="30"/>
      <c r="R410" s="234" t="s">
        <v>127</v>
      </c>
      <c r="S410" s="684">
        <f>S182</f>
        <v>1</v>
      </c>
      <c r="T410" s="684"/>
      <c r="U410" s="30" t="s">
        <v>8</v>
      </c>
      <c r="V410" s="185"/>
    </row>
    <row r="411" spans="1:22" ht="18" hidden="1" customHeight="1">
      <c r="A411" s="96"/>
      <c r="B411" s="14"/>
      <c r="C411" s="14"/>
      <c r="D411" s="235"/>
      <c r="E411" s="14"/>
      <c r="F411" s="28"/>
      <c r="G411" s="249"/>
      <c r="H411" s="28"/>
      <c r="I411" s="251"/>
      <c r="J411" s="14"/>
      <c r="K411" s="280"/>
      <c r="M411" s="47"/>
      <c r="N411" s="268"/>
      <c r="P411" s="281"/>
      <c r="R411" s="234"/>
      <c r="S411" s="1148"/>
      <c r="T411" s="723"/>
      <c r="V411" s="185"/>
    </row>
    <row r="412" spans="1:22" ht="18" hidden="1" customHeight="1">
      <c r="A412" s="272" t="s">
        <v>693</v>
      </c>
      <c r="B412" s="14"/>
      <c r="C412" s="14"/>
      <c r="D412" s="14"/>
      <c r="E412" s="14"/>
      <c r="F412" s="14"/>
      <c r="G412" s="14"/>
      <c r="H412" s="28">
        <v>3</v>
      </c>
      <c r="I412" s="47" t="s">
        <v>694</v>
      </c>
      <c r="J412" s="14"/>
      <c r="K412" s="14"/>
      <c r="M412" s="14" t="s">
        <v>337</v>
      </c>
      <c r="N412" s="14"/>
      <c r="P412" s="120"/>
      <c r="R412" s="234"/>
      <c r="S412" s="1149"/>
      <c r="T412" s="723"/>
      <c r="V412" s="185"/>
    </row>
    <row r="413" spans="1:22" ht="18" hidden="1" customHeight="1">
      <c r="A413" s="272"/>
      <c r="B413" s="14"/>
      <c r="C413" s="14"/>
      <c r="D413" s="14"/>
      <c r="E413" s="14"/>
      <c r="F413" s="14"/>
      <c r="G413" s="14"/>
      <c r="H413" s="28"/>
      <c r="I413" s="47"/>
      <c r="J413" s="14"/>
      <c r="K413" s="14"/>
      <c r="M413" s="14"/>
      <c r="N413" s="14"/>
      <c r="P413" s="120"/>
      <c r="R413" s="234"/>
      <c r="S413" s="282"/>
      <c r="V413" s="185"/>
    </row>
    <row r="414" spans="1:22" ht="18" hidden="1" customHeight="1">
      <c r="A414" s="277"/>
      <c r="B414" s="689" t="s">
        <v>703</v>
      </c>
      <c r="C414" s="1150" t="s">
        <v>652</v>
      </c>
      <c r="D414" s="279"/>
      <c r="E414" s="279"/>
      <c r="F414" s="279"/>
      <c r="G414" s="802">
        <f>H412</f>
        <v>3</v>
      </c>
      <c r="H414" s="1151" t="s">
        <v>315</v>
      </c>
      <c r="I414" s="829">
        <f>S408</f>
        <v>6998.1850810863734</v>
      </c>
      <c r="J414" s="1152"/>
      <c r="K414" s="1152"/>
      <c r="L414" s="1152"/>
      <c r="M414" s="1152"/>
      <c r="N414" s="689" t="s">
        <v>672</v>
      </c>
      <c r="O414" s="708">
        <f>S405</f>
        <v>20</v>
      </c>
      <c r="P414" s="689" t="s">
        <v>347</v>
      </c>
      <c r="Q414" s="829">
        <f>S406</f>
        <v>1.2667743100000002</v>
      </c>
      <c r="R414" s="708" t="s">
        <v>674</v>
      </c>
      <c r="S414" s="708">
        <f>S407</f>
        <v>1</v>
      </c>
      <c r="T414" s="14"/>
      <c r="U414" s="729" t="s">
        <v>653</v>
      </c>
      <c r="V414" s="185"/>
    </row>
    <row r="415" spans="1:22" ht="18" hidden="1" customHeight="1">
      <c r="A415" s="277"/>
      <c r="B415" s="689"/>
      <c r="C415" s="689"/>
      <c r="D415" s="279"/>
      <c r="E415" s="279"/>
      <c r="F415" s="279"/>
      <c r="G415" s="802"/>
      <c r="H415" s="684"/>
      <c r="I415" s="689">
        <v>1.3</v>
      </c>
      <c r="J415" s="684"/>
      <c r="K415" s="28" t="s">
        <v>315</v>
      </c>
      <c r="L415" s="689">
        <f>S404</f>
        <v>5000</v>
      </c>
      <c r="M415" s="684"/>
      <c r="N415" s="689"/>
      <c r="O415" s="689"/>
      <c r="P415" s="689"/>
      <c r="Q415" s="689"/>
      <c r="R415" s="689"/>
      <c r="S415" s="689"/>
      <c r="T415" s="14"/>
      <c r="U415" s="689"/>
      <c r="V415" s="185"/>
    </row>
    <row r="416" spans="1:22" ht="18" hidden="1" customHeight="1">
      <c r="A416" s="96"/>
      <c r="B416" s="14"/>
      <c r="C416" s="27" t="s">
        <v>127</v>
      </c>
      <c r="D416" s="812">
        <f>G414*(I414/(I415*L415)*(O414+Q414)*S414)</f>
        <v>68.690225861110591</v>
      </c>
      <c r="E416" s="813"/>
      <c r="F416" s="30" t="s">
        <v>305</v>
      </c>
      <c r="G416" s="14"/>
      <c r="H416" s="14"/>
      <c r="I416" s="14"/>
      <c r="J416" s="14"/>
      <c r="K416" s="14"/>
      <c r="L416" s="14"/>
      <c r="M416" s="14"/>
      <c r="N416" s="14"/>
      <c r="R416" s="234"/>
      <c r="S416" s="204"/>
      <c r="V416" s="185"/>
    </row>
    <row r="417" spans="1:22" ht="18" hidden="1" customHeight="1">
      <c r="A417" s="96"/>
      <c r="B417" s="14"/>
      <c r="G417" s="14"/>
      <c r="H417" s="14"/>
      <c r="I417" s="14"/>
      <c r="J417" s="14"/>
      <c r="K417" s="14"/>
      <c r="L417" s="14"/>
      <c r="M417" s="14"/>
      <c r="N417" s="14"/>
      <c r="R417" s="234"/>
      <c r="S417" s="204"/>
      <c r="V417" s="185"/>
    </row>
    <row r="418" spans="1:22" ht="18" hidden="1" customHeight="1">
      <c r="A418" s="96"/>
      <c r="B418" s="14"/>
      <c r="D418" s="30" t="s">
        <v>475</v>
      </c>
      <c r="G418" s="27" t="str">
        <f>IF(E419&gt;H419,"&gt;","&lt;")</f>
        <v>&gt;</v>
      </c>
      <c r="H418" s="30" t="s">
        <v>477</v>
      </c>
      <c r="M418" s="14"/>
      <c r="N418" s="14"/>
      <c r="R418" s="234"/>
      <c r="S418" s="204"/>
      <c r="V418" s="185"/>
    </row>
    <row r="419" spans="1:22" ht="18" hidden="1" customHeight="1">
      <c r="A419" s="96"/>
      <c r="B419" s="14"/>
      <c r="E419" s="684">
        <f>H366</f>
        <v>1000</v>
      </c>
      <c r="F419" s="684"/>
      <c r="G419" s="27" t="str">
        <f>G418</f>
        <v>&gt;</v>
      </c>
      <c r="H419" s="795">
        <f>D416</f>
        <v>68.690225861110591</v>
      </c>
      <c r="I419" s="684"/>
      <c r="M419" s="14"/>
      <c r="N419" s="14"/>
      <c r="R419" s="234"/>
      <c r="S419" s="204"/>
      <c r="V419" s="185"/>
    </row>
    <row r="420" spans="1:22" ht="18" hidden="1" customHeight="1">
      <c r="A420" s="96"/>
      <c r="B420" s="14"/>
      <c r="F420" s="244" t="s">
        <v>478</v>
      </c>
      <c r="H420" s="18" t="str">
        <f>IF(G418="&gt;","Suitably Dimentioned","Under Dimentioned")</f>
        <v>Suitably Dimentioned</v>
      </c>
      <c r="M420" s="14"/>
      <c r="N420" s="14"/>
      <c r="R420" s="234"/>
      <c r="S420" s="204"/>
      <c r="V420" s="185"/>
    </row>
    <row r="421" spans="1:22" ht="18" hidden="1" customHeight="1">
      <c r="A421" s="96"/>
      <c r="B421" s="14"/>
      <c r="G421" s="14"/>
      <c r="H421" s="14"/>
      <c r="I421" s="14"/>
      <c r="J421" s="14"/>
      <c r="K421" s="14"/>
      <c r="L421" s="14"/>
      <c r="M421" s="14"/>
      <c r="N421" s="14"/>
      <c r="R421" s="234"/>
      <c r="S421" s="204"/>
      <c r="V421" s="185"/>
    </row>
    <row r="422" spans="1:22" ht="18" hidden="1" customHeight="1">
      <c r="A422" s="193" t="s">
        <v>695</v>
      </c>
      <c r="B422" s="14"/>
      <c r="G422" s="14"/>
      <c r="H422" s="14"/>
      <c r="I422" s="14"/>
      <c r="J422" s="14"/>
      <c r="K422" s="14"/>
      <c r="L422" s="14"/>
      <c r="M422" s="14"/>
      <c r="N422" s="14"/>
      <c r="R422" s="234"/>
      <c r="S422" s="204"/>
      <c r="V422" s="185"/>
    </row>
    <row r="423" spans="1:22" ht="18" hidden="1" customHeight="1">
      <c r="A423" s="96"/>
      <c r="B423" s="14"/>
      <c r="D423" s="802" t="s">
        <v>696</v>
      </c>
      <c r="E423" s="716"/>
      <c r="F423" s="689" t="s">
        <v>127</v>
      </c>
      <c r="G423" s="708" t="s">
        <v>423</v>
      </c>
      <c r="H423" s="1147"/>
      <c r="I423" s="689" t="s">
        <v>315</v>
      </c>
      <c r="J423" s="708" t="s">
        <v>697</v>
      </c>
      <c r="K423" s="1147"/>
      <c r="L423" s="14"/>
      <c r="M423" s="14"/>
      <c r="N423" s="14"/>
      <c r="R423" s="234"/>
      <c r="S423" s="204"/>
      <c r="V423" s="185"/>
    </row>
    <row r="424" spans="1:22" ht="18" hidden="1" customHeight="1">
      <c r="A424" s="96"/>
      <c r="B424" s="14"/>
      <c r="D424" s="716"/>
      <c r="E424" s="716"/>
      <c r="F424" s="689"/>
      <c r="G424" s="689" t="s">
        <v>680</v>
      </c>
      <c r="H424" s="716"/>
      <c r="I424" s="689"/>
      <c r="J424" s="689" t="s">
        <v>411</v>
      </c>
      <c r="K424" s="716"/>
      <c r="L424" s="14"/>
      <c r="M424" s="14"/>
      <c r="N424" s="14"/>
      <c r="R424" s="234"/>
      <c r="S424" s="204"/>
      <c r="V424" s="185"/>
    </row>
    <row r="425" spans="1:22" ht="18" hidden="1" customHeight="1">
      <c r="A425" s="96"/>
      <c r="B425" s="14"/>
      <c r="D425" s="14"/>
      <c r="E425" s="14"/>
      <c r="F425" s="14"/>
      <c r="G425" s="14"/>
      <c r="H425" s="14"/>
      <c r="I425" s="14"/>
      <c r="J425" s="14"/>
      <c r="K425" s="14"/>
      <c r="L425" s="14"/>
      <c r="M425" s="14"/>
      <c r="N425" s="14"/>
      <c r="R425" s="234"/>
      <c r="S425" s="204"/>
      <c r="V425" s="185"/>
    </row>
    <row r="426" spans="1:22" ht="18" hidden="1" customHeight="1">
      <c r="A426" s="96"/>
      <c r="B426" s="14"/>
      <c r="D426" s="14"/>
      <c r="E426" s="14"/>
      <c r="F426" s="689" t="s">
        <v>127</v>
      </c>
      <c r="G426" s="708">
        <f>S404</f>
        <v>5000</v>
      </c>
      <c r="H426" s="1147"/>
      <c r="I426" s="689" t="s">
        <v>315</v>
      </c>
      <c r="J426" s="708">
        <f>S410</f>
        <v>1</v>
      </c>
      <c r="K426" s="1147"/>
      <c r="L426" s="14"/>
      <c r="M426" s="14"/>
      <c r="N426" s="14"/>
      <c r="R426" s="234"/>
      <c r="S426" s="204"/>
      <c r="V426" s="185"/>
    </row>
    <row r="427" spans="1:22" ht="18" hidden="1" customHeight="1">
      <c r="A427" s="96"/>
      <c r="B427" s="14"/>
      <c r="D427" s="14"/>
      <c r="E427" s="14"/>
      <c r="F427" s="689"/>
      <c r="G427" s="692">
        <f>J390</f>
        <v>437.38656756789834</v>
      </c>
      <c r="H427" s="716"/>
      <c r="I427" s="689"/>
      <c r="J427" s="689">
        <f>S407</f>
        <v>1</v>
      </c>
      <c r="K427" s="716"/>
      <c r="L427" s="14"/>
      <c r="M427" s="14"/>
      <c r="N427" s="14"/>
      <c r="R427" s="234"/>
      <c r="S427" s="204"/>
      <c r="V427" s="185"/>
    </row>
    <row r="428" spans="1:22" ht="18" hidden="1" customHeight="1">
      <c r="A428" s="96"/>
      <c r="B428" s="14"/>
      <c r="D428" s="14"/>
      <c r="E428" s="14"/>
      <c r="F428" s="14"/>
      <c r="G428" s="14"/>
      <c r="H428" s="14"/>
      <c r="I428" s="14"/>
      <c r="J428" s="14"/>
      <c r="K428" s="14"/>
      <c r="L428" s="14"/>
      <c r="M428" s="14"/>
      <c r="N428" s="14"/>
      <c r="R428" s="234"/>
      <c r="S428" s="204"/>
      <c r="V428" s="185"/>
    </row>
    <row r="429" spans="1:22" ht="18" hidden="1" customHeight="1">
      <c r="A429" s="96"/>
      <c r="B429" s="14"/>
      <c r="D429" s="14"/>
      <c r="E429" s="14"/>
      <c r="F429" s="28" t="s">
        <v>127</v>
      </c>
      <c r="G429" s="716">
        <f>(G426/G427)*(J426/J427)</f>
        <v>11.43153532995459</v>
      </c>
      <c r="H429" s="716"/>
      <c r="I429" s="14"/>
      <c r="J429" s="14"/>
      <c r="K429" s="14"/>
      <c r="L429" s="14"/>
      <c r="M429" s="14"/>
      <c r="N429" s="14"/>
      <c r="R429" s="234"/>
      <c r="S429" s="204"/>
      <c r="V429" s="185"/>
    </row>
    <row r="430" spans="1:22" ht="18" hidden="1" customHeight="1">
      <c r="A430" s="96"/>
      <c r="B430" s="14"/>
      <c r="G430" s="14"/>
      <c r="H430" s="14"/>
      <c r="I430" s="14"/>
      <c r="J430" s="14"/>
      <c r="K430" s="14"/>
      <c r="L430" s="14"/>
      <c r="M430" s="14"/>
      <c r="N430" s="14"/>
      <c r="R430" s="234"/>
      <c r="S430" s="204"/>
      <c r="V430" s="185"/>
    </row>
    <row r="431" spans="1:22" s="14" customFormat="1" ht="18" hidden="1" customHeight="1">
      <c r="A431" s="96"/>
      <c r="C431" s="30"/>
      <c r="D431" s="283" t="s">
        <v>698</v>
      </c>
      <c r="E431" s="284" t="s">
        <v>699</v>
      </c>
      <c r="F431" s="689" t="s">
        <v>696</v>
      </c>
      <c r="G431" s="716"/>
      <c r="H431" s="716"/>
      <c r="I431" s="284" t="s">
        <v>699</v>
      </c>
      <c r="J431" s="28">
        <v>4</v>
      </c>
      <c r="K431" s="30"/>
      <c r="L431" s="279"/>
      <c r="M431" s="120" t="s">
        <v>700</v>
      </c>
      <c r="N431" s="47" t="s">
        <v>701</v>
      </c>
      <c r="O431" s="279"/>
      <c r="P431" s="236"/>
      <c r="Q431" s="236"/>
      <c r="R431" s="234"/>
      <c r="S431" s="204"/>
      <c r="T431" s="30"/>
      <c r="U431" s="30"/>
      <c r="V431" s="185"/>
    </row>
    <row r="432" spans="1:22" ht="18" hidden="1" customHeight="1">
      <c r="A432" s="96"/>
      <c r="B432" s="14"/>
      <c r="D432" s="218">
        <v>0.25</v>
      </c>
      <c r="E432" s="284" t="str">
        <f>IF(D432&lt;=G429,"≤","&gt;")</f>
        <v>≤</v>
      </c>
      <c r="F432" s="688">
        <f>G429</f>
        <v>11.43153532995459</v>
      </c>
      <c r="G432" s="1145"/>
      <c r="H432" s="688"/>
      <c r="I432" s="284" t="str">
        <f>IF(G429&lt;=J431,"≤","&gt;")</f>
        <v>&gt;</v>
      </c>
      <c r="J432" s="28">
        <f>J431</f>
        <v>4</v>
      </c>
      <c r="L432" s="279"/>
      <c r="M432" s="120"/>
      <c r="N432" s="213"/>
      <c r="O432" s="279"/>
      <c r="P432" s="236"/>
      <c r="Q432" s="236"/>
      <c r="R432" s="234"/>
      <c r="S432" s="204"/>
      <c r="V432" s="185"/>
    </row>
    <row r="433" spans="1:22" ht="18" hidden="1" customHeight="1">
      <c r="A433" s="96"/>
      <c r="B433" s="14"/>
      <c r="G433" s="14"/>
      <c r="H433" s="14"/>
      <c r="I433" s="14"/>
      <c r="J433" s="14"/>
      <c r="K433" s="14"/>
      <c r="L433" s="14"/>
      <c r="M433" s="14"/>
      <c r="N433" s="14"/>
      <c r="R433" s="234"/>
      <c r="S433" s="204"/>
      <c r="V433" s="185"/>
    </row>
    <row r="434" spans="1:22" ht="18" hidden="1" customHeight="1">
      <c r="A434" s="96"/>
      <c r="B434" s="14" t="s">
        <v>702</v>
      </c>
      <c r="G434" s="14"/>
      <c r="H434" s="18" t="str">
        <f>IF(AND(E432="≤",I432="≤")=TRUE,"OK","Not OK")</f>
        <v>Not OK</v>
      </c>
      <c r="I434" s="14"/>
      <c r="J434" s="14"/>
      <c r="K434" s="14"/>
      <c r="L434" s="14"/>
      <c r="M434" s="14"/>
      <c r="N434" s="14"/>
      <c r="R434" s="234"/>
      <c r="S434" s="204"/>
      <c r="V434" s="185"/>
    </row>
    <row r="435" spans="1:22" ht="18" hidden="1" customHeight="1">
      <c r="A435" s="96"/>
      <c r="B435" s="14"/>
      <c r="G435" s="14"/>
      <c r="H435" s="18"/>
      <c r="I435" s="14"/>
      <c r="J435" s="14"/>
      <c r="K435" s="14"/>
      <c r="L435" s="14"/>
      <c r="M435" s="14"/>
      <c r="N435" s="14"/>
      <c r="R435" s="234"/>
      <c r="S435" s="204"/>
      <c r="V435" s="185"/>
    </row>
    <row r="436" spans="1:22" ht="18" hidden="1" customHeight="1">
      <c r="A436" s="96"/>
      <c r="B436" s="14"/>
      <c r="G436" s="14"/>
      <c r="H436" s="18"/>
      <c r="I436" s="14"/>
      <c r="J436" s="14"/>
      <c r="K436" s="14"/>
      <c r="L436" s="14"/>
      <c r="M436" s="14"/>
      <c r="N436" s="14"/>
      <c r="R436" s="234"/>
      <c r="S436" s="204"/>
      <c r="V436" s="185"/>
    </row>
    <row r="437" spans="1:22" ht="18" hidden="1" customHeight="1">
      <c r="A437" s="96"/>
      <c r="B437" s="14"/>
      <c r="G437" s="14"/>
      <c r="H437" s="18"/>
      <c r="I437" s="14"/>
      <c r="J437" s="14"/>
      <c r="K437" s="14"/>
      <c r="L437" s="14"/>
      <c r="M437" s="14"/>
      <c r="N437" s="14"/>
      <c r="R437" s="234"/>
      <c r="S437" s="204"/>
      <c r="V437" s="185"/>
    </row>
    <row r="438" spans="1:22" ht="18" hidden="1" customHeight="1">
      <c r="A438" s="96"/>
      <c r="B438" s="14"/>
      <c r="G438" s="14"/>
      <c r="H438" s="18"/>
      <c r="I438" s="14"/>
      <c r="J438" s="14"/>
      <c r="K438" s="14"/>
      <c r="L438" s="14"/>
      <c r="M438" s="14"/>
      <c r="N438" s="14"/>
      <c r="R438" s="234"/>
      <c r="S438" s="204"/>
      <c r="V438" s="185"/>
    </row>
    <row r="439" spans="1:22" ht="18" hidden="1" customHeight="1">
      <c r="A439" s="96"/>
      <c r="B439" s="14"/>
      <c r="G439" s="14"/>
      <c r="H439" s="18"/>
      <c r="I439" s="14"/>
      <c r="J439" s="14"/>
      <c r="K439" s="14"/>
      <c r="L439" s="14"/>
      <c r="M439" s="14"/>
      <c r="N439" s="14"/>
      <c r="R439" s="234"/>
      <c r="S439" s="204"/>
      <c r="V439" s="185"/>
    </row>
    <row r="440" spans="1:22" ht="18" hidden="1" customHeight="1">
      <c r="A440" s="96"/>
      <c r="B440" s="14"/>
      <c r="G440" s="14"/>
      <c r="H440" s="14"/>
      <c r="I440" s="14"/>
      <c r="J440" s="14"/>
      <c r="K440" s="14"/>
      <c r="L440" s="14"/>
      <c r="M440" s="14"/>
      <c r="N440" s="14"/>
      <c r="R440" s="234"/>
      <c r="S440" s="204"/>
      <c r="V440" s="185"/>
    </row>
    <row r="441" spans="1:22" ht="18" hidden="1" customHeight="1">
      <c r="A441" s="194"/>
      <c r="B441" s="195"/>
      <c r="C441" s="195"/>
      <c r="D441" s="195"/>
      <c r="E441" s="195"/>
      <c r="F441" s="195"/>
      <c r="G441" s="195"/>
      <c r="H441" s="195"/>
      <c r="I441" s="195"/>
      <c r="J441" s="195"/>
      <c r="K441" s="195"/>
      <c r="L441" s="195"/>
      <c r="M441" s="195"/>
      <c r="N441" s="195"/>
      <c r="O441" s="195"/>
      <c r="P441" s="195"/>
      <c r="Q441" s="224"/>
      <c r="R441" s="182"/>
      <c r="S441" s="225"/>
      <c r="T441" s="195"/>
      <c r="U441" s="195"/>
      <c r="V441" s="134" t="s">
        <v>552</v>
      </c>
    </row>
    <row r="442" spans="1:22" ht="18" hidden="1" customHeight="1">
      <c r="A442" s="226"/>
      <c r="B442" s="227"/>
      <c r="C442" s="227"/>
      <c r="D442" s="227"/>
      <c r="E442" s="227"/>
      <c r="F442" s="227"/>
      <c r="G442" s="227"/>
      <c r="H442" s="227"/>
      <c r="I442" s="227"/>
      <c r="J442" s="227"/>
      <c r="K442" s="227"/>
      <c r="L442" s="227"/>
      <c r="M442" s="227"/>
      <c r="N442" s="227"/>
      <c r="O442" s="227"/>
      <c r="P442" s="227"/>
      <c r="Q442" s="227"/>
      <c r="R442" s="227"/>
      <c r="S442" s="227"/>
      <c r="T442" s="227"/>
      <c r="U442" s="227"/>
      <c r="V442" s="228"/>
    </row>
    <row r="443" spans="1:22" ht="18" hidden="1" customHeight="1">
      <c r="A443" s="184"/>
      <c r="B443" s="854" t="str">
        <f>B360</f>
        <v>CT1L1</v>
      </c>
      <c r="C443" s="831"/>
      <c r="D443" s="855" t="str">
        <f>D360</f>
        <v>Core3</v>
      </c>
      <c r="E443" s="856"/>
      <c r="F443" s="186" t="s">
        <v>636</v>
      </c>
      <c r="H443" s="684" t="str">
        <f>H360</f>
        <v>(Transformer Differential)</v>
      </c>
      <c r="I443" s="684"/>
      <c r="J443" s="684"/>
      <c r="K443" s="684"/>
      <c r="L443" s="684"/>
      <c r="M443" s="684"/>
      <c r="P443" s="186"/>
      <c r="S443" s="187" t="s">
        <v>387</v>
      </c>
      <c r="T443" s="1154" t="str">
        <f>T360</f>
        <v>7UT85</v>
      </c>
      <c r="U443" s="1155"/>
      <c r="V443" s="185"/>
    </row>
    <row r="444" spans="1:22" ht="18" hidden="1" customHeight="1">
      <c r="A444" s="184"/>
      <c r="B444" s="853" t="str">
        <f>B361</f>
        <v>CT1L2</v>
      </c>
      <c r="C444" s="853"/>
      <c r="D444" s="857"/>
      <c r="E444" s="858"/>
      <c r="F444" s="255"/>
      <c r="T444" s="1154">
        <f>T361</f>
        <v>0</v>
      </c>
      <c r="U444" s="1155"/>
      <c r="V444" s="185"/>
    </row>
    <row r="445" spans="1:22" ht="18" hidden="1" customHeight="1">
      <c r="A445" s="184"/>
      <c r="H445" s="708" t="s">
        <v>390</v>
      </c>
      <c r="I445" s="708"/>
      <c r="J445" s="789" t="s">
        <v>391</v>
      </c>
      <c r="K445" s="789"/>
      <c r="L445" s="708" t="s">
        <v>392</v>
      </c>
      <c r="M445" s="708"/>
      <c r="T445" s="1154">
        <f>T362</f>
        <v>0</v>
      </c>
      <c r="U445" s="1155"/>
      <c r="V445" s="185"/>
    </row>
    <row r="446" spans="1:22" ht="18" hidden="1" customHeight="1">
      <c r="A446" s="184"/>
      <c r="B446" s="47" t="s">
        <v>393</v>
      </c>
      <c r="H446" s="854">
        <f>H363</f>
        <v>5000</v>
      </c>
      <c r="I446" s="831"/>
      <c r="J446" s="863">
        <f>J363</f>
        <v>4000</v>
      </c>
      <c r="K446" s="864"/>
      <c r="L446" s="854">
        <f>L363</f>
        <v>3000</v>
      </c>
      <c r="M446" s="831"/>
      <c r="N446" s="102" t="s">
        <v>342</v>
      </c>
      <c r="O446" s="256">
        <f>O363</f>
        <v>1</v>
      </c>
      <c r="P446" s="27" t="s">
        <v>8</v>
      </c>
      <c r="V446" s="185"/>
    </row>
    <row r="447" spans="1:22" ht="18" hidden="1" customHeight="1">
      <c r="A447" s="184"/>
      <c r="B447" s="47" t="s">
        <v>394</v>
      </c>
      <c r="H447" s="14"/>
      <c r="I447" s="14"/>
      <c r="J447" s="854" t="str">
        <f>H364</f>
        <v>PX</v>
      </c>
      <c r="K447" s="776"/>
      <c r="L447" s="14"/>
      <c r="M447" s="14"/>
      <c r="V447" s="185"/>
    </row>
    <row r="448" spans="1:22" ht="18" hidden="1" customHeight="1">
      <c r="A448" s="184"/>
      <c r="B448" s="47" t="s">
        <v>396</v>
      </c>
      <c r="I448" s="120" t="s">
        <v>497</v>
      </c>
      <c r="J448" s="781">
        <v>15</v>
      </c>
      <c r="K448" s="782"/>
      <c r="L448" s="192" t="s">
        <v>333</v>
      </c>
      <c r="V448" s="185"/>
    </row>
    <row r="449" spans="1:29" ht="18" hidden="1" customHeight="1">
      <c r="A449" s="184"/>
      <c r="B449" s="47" t="s">
        <v>398</v>
      </c>
      <c r="I449" s="120" t="s">
        <v>498</v>
      </c>
      <c r="J449" s="781">
        <v>800</v>
      </c>
      <c r="K449" s="782"/>
      <c r="L449" s="14" t="s">
        <v>305</v>
      </c>
      <c r="V449" s="185"/>
      <c r="W449" s="30" t="s">
        <v>400</v>
      </c>
      <c r="AB449" s="785">
        <f>D504</f>
        <v>65.675709977100624</v>
      </c>
      <c r="AC449" s="786"/>
    </row>
    <row r="450" spans="1:29" ht="18" hidden="1" customHeight="1">
      <c r="A450" s="184"/>
      <c r="B450" s="14" t="s">
        <v>401</v>
      </c>
      <c r="I450" s="120" t="s">
        <v>402</v>
      </c>
      <c r="J450" s="781">
        <v>40</v>
      </c>
      <c r="K450" s="782"/>
      <c r="L450" s="30" t="s">
        <v>403</v>
      </c>
      <c r="V450" s="185"/>
    </row>
    <row r="451" spans="1:29" ht="18" hidden="1" customHeight="1">
      <c r="A451" s="96"/>
      <c r="V451" s="185"/>
    </row>
    <row r="452" spans="1:29" ht="18" hidden="1" customHeight="1">
      <c r="A452" s="193" t="s">
        <v>404</v>
      </c>
      <c r="V452" s="185"/>
    </row>
    <row r="453" spans="1:29" ht="18" hidden="1" customHeight="1">
      <c r="A453" s="184"/>
      <c r="V453" s="185"/>
    </row>
    <row r="454" spans="1:29" ht="18" hidden="1" customHeight="1">
      <c r="A454" s="184"/>
      <c r="B454" s="194" t="s">
        <v>405</v>
      </c>
      <c r="C454" s="195"/>
      <c r="D454" s="195" t="str">
        <f>T443</f>
        <v>7UT85</v>
      </c>
      <c r="E454" s="196"/>
      <c r="F454" s="196"/>
      <c r="G454" s="196"/>
      <c r="H454" s="182" t="s">
        <v>406</v>
      </c>
      <c r="I454" s="183" t="s">
        <v>127</v>
      </c>
      <c r="J454" s="766">
        <f>J371</f>
        <v>0.1</v>
      </c>
      <c r="K454" s="958"/>
      <c r="L454" s="3" t="s">
        <v>157</v>
      </c>
      <c r="V454" s="185"/>
    </row>
    <row r="455" spans="1:29" ht="18" hidden="1" customHeight="1">
      <c r="A455" s="184"/>
      <c r="B455" s="184" t="s">
        <v>405</v>
      </c>
      <c r="D455" s="30">
        <f>T444</f>
        <v>0</v>
      </c>
      <c r="H455" s="27"/>
      <c r="I455" s="177" t="s">
        <v>127</v>
      </c>
      <c r="J455" s="766">
        <f>J372</f>
        <v>0</v>
      </c>
      <c r="K455" s="958"/>
      <c r="L455" s="198" t="s">
        <v>157</v>
      </c>
      <c r="V455" s="185"/>
    </row>
    <row r="456" spans="1:29" ht="18" hidden="1" customHeight="1">
      <c r="A456" s="184"/>
      <c r="B456" s="184" t="s">
        <v>405</v>
      </c>
      <c r="D456" s="30">
        <f>T445</f>
        <v>0</v>
      </c>
      <c r="E456" s="14"/>
      <c r="G456" s="199"/>
      <c r="H456" s="27"/>
      <c r="I456" s="177" t="s">
        <v>127</v>
      </c>
      <c r="J456" s="766">
        <f>J373</f>
        <v>0</v>
      </c>
      <c r="K456" s="958"/>
      <c r="L456" s="202" t="s">
        <v>157</v>
      </c>
      <c r="V456" s="185"/>
    </row>
    <row r="457" spans="1:29" ht="18" hidden="1" customHeight="1">
      <c r="A457" s="184"/>
      <c r="B457" s="184" t="s">
        <v>412</v>
      </c>
      <c r="H457" s="27" t="s">
        <v>599</v>
      </c>
      <c r="I457" s="177" t="s">
        <v>127</v>
      </c>
      <c r="J457" s="766">
        <f>J374</f>
        <v>1.1667743100000001</v>
      </c>
      <c r="K457" s="958"/>
      <c r="L457" s="203" t="s">
        <v>157</v>
      </c>
      <c r="V457" s="185"/>
    </row>
    <row r="458" spans="1:29" ht="18" hidden="1" customHeight="1">
      <c r="A458" s="184"/>
      <c r="B458" s="205" t="s">
        <v>413</v>
      </c>
      <c r="C458" s="206"/>
      <c r="D458" s="206"/>
      <c r="E458" s="206"/>
      <c r="F458" s="207"/>
      <c r="G458" s="207"/>
      <c r="H458" s="190" t="s">
        <v>409</v>
      </c>
      <c r="I458" s="208" t="s">
        <v>127</v>
      </c>
      <c r="J458" s="766">
        <f>J455+J457</f>
        <v>1.1667743100000001</v>
      </c>
      <c r="K458" s="958"/>
      <c r="L458" s="210" t="s">
        <v>157</v>
      </c>
      <c r="V458" s="185"/>
    </row>
    <row r="459" spans="1:29" ht="18" hidden="1" customHeight="1">
      <c r="A459" s="184"/>
      <c r="B459" s="47"/>
      <c r="C459" s="47"/>
      <c r="D459" s="47"/>
      <c r="E459" s="47"/>
      <c r="H459" s="27"/>
      <c r="I459" s="28"/>
      <c r="J459" s="199"/>
      <c r="L459" s="47"/>
      <c r="O459" s="27"/>
      <c r="P459" s="211"/>
      <c r="Q459" s="211"/>
      <c r="R459" s="192"/>
      <c r="V459" s="185"/>
    </row>
    <row r="460" spans="1:29" ht="18" hidden="1" customHeight="1">
      <c r="A460" s="184"/>
      <c r="B460" s="197" t="s">
        <v>648</v>
      </c>
      <c r="L460" s="47"/>
      <c r="M460" s="197" t="s">
        <v>407</v>
      </c>
      <c r="V460" s="185"/>
    </row>
    <row r="461" spans="1:29" s="14" customFormat="1" ht="18" hidden="1" customHeight="1">
      <c r="A461" s="184"/>
      <c r="B461" s="27" t="s">
        <v>649</v>
      </c>
      <c r="C461" s="27" t="s">
        <v>127</v>
      </c>
      <c r="D461" s="30" t="s">
        <v>406</v>
      </c>
      <c r="E461" s="271" t="s">
        <v>410</v>
      </c>
      <c r="F461" s="27" t="s">
        <v>146</v>
      </c>
      <c r="G461" s="28" t="s">
        <v>315</v>
      </c>
      <c r="H461" s="218" t="s">
        <v>146</v>
      </c>
      <c r="I461" s="30" t="s">
        <v>350</v>
      </c>
      <c r="J461" s="199"/>
      <c r="K461" s="30"/>
      <c r="L461" s="47"/>
      <c r="M461" s="30" t="s">
        <v>408</v>
      </c>
      <c r="N461" s="27" t="s">
        <v>127</v>
      </c>
      <c r="O461" s="30" t="s">
        <v>409</v>
      </c>
      <c r="P461" s="191" t="s">
        <v>410</v>
      </c>
      <c r="Q461" s="244" t="s">
        <v>411</v>
      </c>
      <c r="R461" s="27" t="s">
        <v>315</v>
      </c>
      <c r="S461" s="30" t="s">
        <v>411</v>
      </c>
      <c r="T461" s="30" t="s">
        <v>350</v>
      </c>
      <c r="U461" s="30"/>
      <c r="V461" s="185"/>
    </row>
    <row r="462" spans="1:29" s="14" customFormat="1" ht="18" hidden="1" customHeight="1">
      <c r="A462" s="184"/>
      <c r="B462" s="47"/>
      <c r="C462" s="27" t="s">
        <v>127</v>
      </c>
      <c r="D462" s="204">
        <f>J454</f>
        <v>0.1</v>
      </c>
      <c r="E462" s="191" t="s">
        <v>410</v>
      </c>
      <c r="F462" s="27">
        <f>F379</f>
        <v>1</v>
      </c>
      <c r="G462" s="27" t="s">
        <v>315</v>
      </c>
      <c r="H462" s="27">
        <f>H379</f>
        <v>1</v>
      </c>
      <c r="I462" s="30" t="s">
        <v>350</v>
      </c>
      <c r="J462" s="199"/>
      <c r="K462" s="30"/>
      <c r="L462" s="47"/>
      <c r="M462" s="30"/>
      <c r="N462" s="27" t="s">
        <v>127</v>
      </c>
      <c r="O462" s="204">
        <f>J458</f>
        <v>1.1667743100000001</v>
      </c>
      <c r="P462" s="191" t="s">
        <v>410</v>
      </c>
      <c r="Q462" s="27">
        <f>O446</f>
        <v>1</v>
      </c>
      <c r="R462" s="27" t="s">
        <v>315</v>
      </c>
      <c r="S462" s="27">
        <f>O446</f>
        <v>1</v>
      </c>
      <c r="T462" s="30" t="s">
        <v>350</v>
      </c>
      <c r="U462" s="30"/>
      <c r="V462" s="185"/>
    </row>
    <row r="463" spans="1:29" s="14" customFormat="1" ht="18" hidden="1" customHeight="1">
      <c r="A463" s="184"/>
      <c r="B463" s="47"/>
      <c r="C463" s="27" t="s">
        <v>127</v>
      </c>
      <c r="D463" s="795">
        <f>D462/(F462*H462)</f>
        <v>0.1</v>
      </c>
      <c r="E463" s="795"/>
      <c r="F463" s="192" t="s">
        <v>333</v>
      </c>
      <c r="G463" s="30"/>
      <c r="H463" s="30"/>
      <c r="I463" s="30"/>
      <c r="J463" s="199"/>
      <c r="K463" s="30"/>
      <c r="L463" s="47"/>
      <c r="M463" s="30"/>
      <c r="N463" s="27" t="s">
        <v>127</v>
      </c>
      <c r="O463" s="795">
        <f>O462/(Q462*S462)</f>
        <v>1.1667743100000001</v>
      </c>
      <c r="P463" s="795"/>
      <c r="Q463" s="192" t="s">
        <v>333</v>
      </c>
      <c r="R463" s="30"/>
      <c r="S463" s="30"/>
      <c r="T463" s="30"/>
      <c r="U463" s="30"/>
      <c r="V463" s="185"/>
    </row>
    <row r="464" spans="1:29" s="14" customFormat="1" ht="18" hidden="1" customHeight="1">
      <c r="A464" s="184"/>
      <c r="B464" s="47"/>
      <c r="C464" s="47"/>
      <c r="D464" s="47"/>
      <c r="E464" s="47"/>
      <c r="F464" s="30"/>
      <c r="G464" s="30"/>
      <c r="H464" s="27"/>
      <c r="I464" s="28"/>
      <c r="J464" s="199"/>
      <c r="K464" s="30"/>
      <c r="L464" s="47"/>
      <c r="M464" s="30"/>
      <c r="N464" s="30"/>
      <c r="O464" s="27"/>
      <c r="P464" s="211"/>
      <c r="Q464" s="211"/>
      <c r="R464" s="192"/>
      <c r="S464" s="30"/>
      <c r="T464" s="30"/>
      <c r="U464" s="30"/>
      <c r="V464" s="185"/>
    </row>
    <row r="465" spans="1:22" s="14" customFormat="1" ht="18" hidden="1" customHeight="1">
      <c r="A465" s="184"/>
      <c r="B465" s="47" t="s">
        <v>668</v>
      </c>
      <c r="C465" s="47"/>
      <c r="D465" s="47"/>
      <c r="E465" s="47"/>
      <c r="F465" s="30"/>
      <c r="G465" s="30"/>
      <c r="H465" s="27"/>
      <c r="I465" s="28"/>
      <c r="J465" s="199"/>
      <c r="K465" s="30"/>
      <c r="L465" s="47" t="s">
        <v>127</v>
      </c>
      <c r="M465" s="204">
        <f>D463</f>
        <v>0.1</v>
      </c>
      <c r="N465" s="27" t="s">
        <v>347</v>
      </c>
      <c r="O465" s="211">
        <f>O463</f>
        <v>1.1667743100000001</v>
      </c>
      <c r="P465" s="211" t="s">
        <v>127</v>
      </c>
      <c r="Q465" s="211">
        <f>M465+O465</f>
        <v>1.2667743100000002</v>
      </c>
      <c r="R465" s="192" t="s">
        <v>333</v>
      </c>
      <c r="S465" s="30"/>
      <c r="T465" s="30"/>
      <c r="U465" s="30"/>
      <c r="V465" s="185"/>
    </row>
    <row r="466" spans="1:22" s="14" customFormat="1" ht="18" hidden="1" customHeight="1">
      <c r="A466" s="193" t="s">
        <v>600</v>
      </c>
      <c r="B466" s="5"/>
      <c r="C466" s="5"/>
      <c r="D466" s="5"/>
      <c r="E466" s="5"/>
      <c r="F466" s="5"/>
      <c r="G466" s="5"/>
      <c r="H466" s="212"/>
      <c r="I466" s="212"/>
      <c r="J466" s="5"/>
      <c r="K466" s="5"/>
      <c r="L466" s="5"/>
      <c r="M466" s="5"/>
      <c r="N466" s="5"/>
      <c r="O466" s="5"/>
      <c r="P466" s="103"/>
      <c r="Q466" s="212"/>
      <c r="R466" s="213"/>
      <c r="S466" s="214"/>
      <c r="T466" s="18"/>
      <c r="U466" s="18"/>
      <c r="V466" s="97"/>
    </row>
    <row r="467" spans="1:22" s="14" customFormat="1" ht="18" hidden="1" customHeight="1">
      <c r="A467" s="96"/>
      <c r="B467" s="47" t="s">
        <v>601</v>
      </c>
      <c r="C467" s="5"/>
      <c r="D467" s="5"/>
      <c r="E467" s="5"/>
      <c r="I467" s="215"/>
      <c r="M467" s="5"/>
      <c r="N467" s="103" t="s">
        <v>127</v>
      </c>
      <c r="O467" s="1154">
        <f>O384</f>
        <v>100</v>
      </c>
      <c r="P467" s="831"/>
      <c r="Q467" s="14" t="s">
        <v>602</v>
      </c>
      <c r="S467" s="214"/>
      <c r="T467" s="18"/>
      <c r="U467" s="18"/>
      <c r="V467" s="97"/>
    </row>
    <row r="468" spans="1:22" s="14" customFormat="1" ht="18" hidden="1" customHeight="1">
      <c r="A468" s="96"/>
      <c r="B468" s="47" t="s">
        <v>603</v>
      </c>
      <c r="C468" s="5"/>
      <c r="D468" s="5"/>
      <c r="E468" s="5"/>
      <c r="I468" s="215"/>
      <c r="M468" s="5"/>
      <c r="N468" s="103" t="s">
        <v>127</v>
      </c>
      <c r="O468" s="1154">
        <f>O385</f>
        <v>25</v>
      </c>
      <c r="P468" s="831"/>
      <c r="Q468" s="14" t="s">
        <v>604</v>
      </c>
      <c r="S468" s="214"/>
      <c r="T468" s="18"/>
      <c r="U468" s="18"/>
      <c r="V468" s="97"/>
    </row>
    <row r="469" spans="1:22" s="14" customFormat="1" ht="18" hidden="1" customHeight="1">
      <c r="A469" s="96"/>
      <c r="B469" s="47" t="s">
        <v>605</v>
      </c>
      <c r="C469" s="5"/>
      <c r="D469" s="5"/>
      <c r="E469" s="5"/>
      <c r="M469" s="120" t="s">
        <v>606</v>
      </c>
      <c r="N469" s="103" t="s">
        <v>607</v>
      </c>
      <c r="O469" s="1154">
        <f>O386</f>
        <v>132</v>
      </c>
      <c r="P469" s="831"/>
      <c r="Q469" s="14" t="s">
        <v>163</v>
      </c>
      <c r="S469" s="214"/>
      <c r="T469" s="18"/>
      <c r="U469" s="18"/>
      <c r="V469" s="97"/>
    </row>
    <row r="470" spans="1:22" s="14" customFormat="1" ht="18" hidden="1" customHeight="1">
      <c r="A470" s="216"/>
      <c r="B470" s="212"/>
      <c r="C470" s="212"/>
      <c r="D470" s="212"/>
      <c r="E470" s="212"/>
      <c r="T470" s="18"/>
      <c r="U470" s="18"/>
      <c r="V470" s="97"/>
    </row>
    <row r="471" spans="1:22" s="14" customFormat="1" ht="18" hidden="1" customHeight="1">
      <c r="A471" s="272" t="s">
        <v>608</v>
      </c>
      <c r="B471" s="213"/>
      <c r="C471" s="213"/>
      <c r="D471" s="213"/>
      <c r="E471" s="213"/>
      <c r="H471" s="120" t="s">
        <v>609</v>
      </c>
      <c r="I471" s="28" t="s">
        <v>127</v>
      </c>
      <c r="J471" s="689" t="s">
        <v>610</v>
      </c>
      <c r="K471" s="689"/>
      <c r="L471" s="28" t="s">
        <v>315</v>
      </c>
      <c r="M471" s="217">
        <v>1000</v>
      </c>
      <c r="N471" s="102" t="s">
        <v>342</v>
      </c>
      <c r="O471" s="28" t="s">
        <v>611</v>
      </c>
      <c r="P471" s="28" t="s">
        <v>315</v>
      </c>
      <c r="Q471" s="28" t="s">
        <v>606</v>
      </c>
      <c r="R471" s="47" t="s">
        <v>350</v>
      </c>
      <c r="T471" s="18"/>
      <c r="U471" s="18"/>
      <c r="V471" s="97"/>
    </row>
    <row r="472" spans="1:22" ht="18" hidden="1" customHeight="1">
      <c r="A472" s="216"/>
      <c r="B472" s="213"/>
      <c r="C472" s="213"/>
      <c r="D472" s="213"/>
      <c r="E472" s="213"/>
      <c r="F472" s="212"/>
      <c r="G472" s="212"/>
      <c r="H472" s="28"/>
      <c r="I472" s="28" t="s">
        <v>127</v>
      </c>
      <c r="J472" s="689">
        <f>O467</f>
        <v>100</v>
      </c>
      <c r="K472" s="689"/>
      <c r="L472" s="28" t="s">
        <v>315</v>
      </c>
      <c r="M472" s="217">
        <v>1000</v>
      </c>
      <c r="N472" s="102" t="s">
        <v>342</v>
      </c>
      <c r="O472" s="28" t="s">
        <v>611</v>
      </c>
      <c r="P472" s="28" t="s">
        <v>315</v>
      </c>
      <c r="Q472" s="28">
        <f>O469</f>
        <v>132</v>
      </c>
      <c r="R472" s="47" t="s">
        <v>350</v>
      </c>
      <c r="S472" s="14"/>
      <c r="T472" s="18"/>
      <c r="U472" s="18"/>
      <c r="V472" s="97"/>
    </row>
    <row r="473" spans="1:22" ht="18" hidden="1" customHeight="1">
      <c r="A473" s="216"/>
      <c r="B473" s="212"/>
      <c r="C473" s="212"/>
      <c r="D473" s="212"/>
      <c r="E473" s="212"/>
      <c r="F473" s="212"/>
      <c r="G473" s="212"/>
      <c r="H473" s="14"/>
      <c r="I473" s="28" t="s">
        <v>127</v>
      </c>
      <c r="J473" s="692">
        <f>(O467*1000)/(SQRT(3)*O469)</f>
        <v>437.38656756789834</v>
      </c>
      <c r="K473" s="692"/>
      <c r="L473" s="14" t="s">
        <v>8</v>
      </c>
      <c r="M473" s="120"/>
      <c r="N473" s="120"/>
      <c r="O473" s="120"/>
      <c r="P473" s="14"/>
      <c r="Q473" s="14"/>
      <c r="R473" s="14"/>
      <c r="S473" s="14"/>
      <c r="T473" s="18"/>
      <c r="U473" s="18"/>
      <c r="V473" s="97"/>
    </row>
    <row r="474" spans="1:22" ht="18" hidden="1" customHeight="1">
      <c r="A474" s="216"/>
      <c r="B474" s="212"/>
      <c r="C474" s="212"/>
      <c r="D474" s="212"/>
      <c r="E474" s="212"/>
      <c r="F474" s="14"/>
      <c r="G474" s="212"/>
      <c r="H474" s="28"/>
      <c r="I474" s="103"/>
      <c r="J474" s="28"/>
      <c r="K474" s="14"/>
      <c r="L474" s="14"/>
      <c r="M474" s="212"/>
      <c r="N474" s="219"/>
      <c r="O474" s="212"/>
      <c r="P474" s="14"/>
      <c r="Q474" s="14"/>
      <c r="R474" s="14"/>
      <c r="S474" s="14"/>
      <c r="T474" s="18"/>
      <c r="U474" s="18"/>
      <c r="V474" s="97"/>
    </row>
    <row r="475" spans="1:22" s="14" customFormat="1" ht="18" hidden="1" customHeight="1">
      <c r="A475" s="147" t="s">
        <v>629</v>
      </c>
      <c r="B475" s="5"/>
      <c r="C475" s="5"/>
      <c r="D475" s="5"/>
      <c r="E475" s="5"/>
      <c r="F475" s="212"/>
      <c r="G475" s="212"/>
      <c r="H475" s="5"/>
      <c r="I475" s="5"/>
      <c r="J475" s="5"/>
      <c r="K475" s="5"/>
      <c r="L475" s="103"/>
      <c r="M475" s="103"/>
      <c r="N475" s="103"/>
      <c r="O475" s="103"/>
      <c r="P475" s="212"/>
      <c r="Q475" s="213"/>
      <c r="S475" s="220"/>
      <c r="T475" s="18"/>
      <c r="U475" s="18"/>
      <c r="V475" s="97"/>
    </row>
    <row r="476" spans="1:22" s="14" customFormat="1" ht="18" hidden="1" customHeight="1">
      <c r="A476" s="147"/>
      <c r="B476" s="5"/>
      <c r="C476" s="5"/>
      <c r="D476" s="5"/>
      <c r="E476" s="5"/>
      <c r="F476" s="212"/>
      <c r="G476" s="212"/>
      <c r="H476" s="5"/>
      <c r="I476" s="5"/>
      <c r="J476" s="5"/>
      <c r="K476" s="5"/>
      <c r="L476" s="103"/>
      <c r="M476" s="103"/>
      <c r="N476" s="103"/>
      <c r="O476" s="103"/>
      <c r="P476" s="212"/>
      <c r="Q476" s="213"/>
      <c r="S476" s="214"/>
      <c r="T476" s="18"/>
      <c r="U476" s="18"/>
      <c r="V476" s="97"/>
    </row>
    <row r="477" spans="1:22" ht="18" hidden="1" customHeight="1">
      <c r="A477" s="96" t="s">
        <v>612</v>
      </c>
      <c r="B477" s="14"/>
      <c r="C477" s="14"/>
      <c r="D477" s="14"/>
      <c r="E477" s="14"/>
      <c r="M477" s="120" t="s">
        <v>613</v>
      </c>
      <c r="N477" s="28" t="s">
        <v>127</v>
      </c>
      <c r="O477" s="689" t="s">
        <v>609</v>
      </c>
      <c r="P477" s="716"/>
      <c r="Q477" s="221" t="s">
        <v>630</v>
      </c>
      <c r="R477" s="221">
        <v>16</v>
      </c>
      <c r="S477" s="214"/>
      <c r="V477" s="185"/>
    </row>
    <row r="478" spans="1:22" ht="18" hidden="1" customHeight="1">
      <c r="A478" s="96"/>
      <c r="B478" s="5"/>
      <c r="C478" s="5"/>
      <c r="D478" s="5"/>
      <c r="E478" s="5"/>
      <c r="M478" s="250"/>
      <c r="N478" s="28" t="s">
        <v>127</v>
      </c>
      <c r="O478" s="689">
        <f>+J473</f>
        <v>437.38656756789834</v>
      </c>
      <c r="P478" s="716"/>
      <c r="Q478" s="221" t="s">
        <v>630</v>
      </c>
      <c r="R478" s="221">
        <v>16</v>
      </c>
      <c r="S478" s="214"/>
      <c r="V478" s="185"/>
    </row>
    <row r="479" spans="1:22" s="279" customFormat="1" ht="18" hidden="1" customHeight="1">
      <c r="A479" s="96"/>
      <c r="B479" s="5"/>
      <c r="C479" s="5"/>
      <c r="D479" s="5"/>
      <c r="E479" s="5"/>
      <c r="F479" s="30"/>
      <c r="G479" s="30"/>
      <c r="H479" s="30"/>
      <c r="I479" s="30"/>
      <c r="J479" s="30"/>
      <c r="K479" s="30"/>
      <c r="L479" s="30"/>
      <c r="M479" s="120" t="s">
        <v>613</v>
      </c>
      <c r="N479" s="28" t="s">
        <v>127</v>
      </c>
      <c r="O479" s="689">
        <f>O478*R478</f>
        <v>6998.1850810863734</v>
      </c>
      <c r="P479" s="716"/>
      <c r="Q479" s="241" t="s">
        <v>8</v>
      </c>
      <c r="R479" s="14"/>
      <c r="S479" s="214"/>
      <c r="T479" s="30"/>
      <c r="U479" s="30"/>
      <c r="V479" s="185"/>
    </row>
    <row r="480" spans="1:22" s="279" customFormat="1" ht="18" hidden="1" customHeight="1">
      <c r="A480" s="96"/>
      <c r="B480" s="5"/>
      <c r="C480" s="5"/>
      <c r="D480" s="5"/>
      <c r="E480" s="5"/>
      <c r="F480" s="30"/>
      <c r="G480" s="30"/>
      <c r="H480" s="30"/>
      <c r="I480" s="30"/>
      <c r="J480" s="30"/>
      <c r="K480" s="30"/>
      <c r="L480" s="30"/>
      <c r="M480" s="120"/>
      <c r="N480" s="28"/>
      <c r="O480" s="28"/>
      <c r="P480" s="14"/>
      <c r="Q480" s="241"/>
      <c r="R480" s="14"/>
      <c r="S480" s="214"/>
      <c r="T480" s="30"/>
      <c r="U480" s="30"/>
      <c r="V480" s="185"/>
    </row>
    <row r="481" spans="1:22" s="279" customFormat="1" ht="18" hidden="1" customHeight="1">
      <c r="A481" s="96"/>
      <c r="B481" s="5"/>
      <c r="C481" s="5"/>
      <c r="D481" s="5"/>
      <c r="E481" s="5"/>
      <c r="F481" s="30"/>
      <c r="G481" s="30"/>
      <c r="H481" s="30"/>
      <c r="I481" s="30"/>
      <c r="J481" s="30"/>
      <c r="K481" s="30"/>
      <c r="L481" s="30"/>
      <c r="M481" s="120"/>
      <c r="N481" s="28"/>
      <c r="O481" s="28"/>
      <c r="P481" s="14"/>
      <c r="Q481" s="241"/>
      <c r="R481" s="14"/>
      <c r="S481" s="214"/>
      <c r="T481" s="30"/>
      <c r="U481" s="30"/>
      <c r="V481" s="185"/>
    </row>
    <row r="482" spans="1:22" s="279" customFormat="1" ht="18" hidden="1" customHeight="1">
      <c r="A482" s="96"/>
      <c r="B482" s="5"/>
      <c r="C482" s="5"/>
      <c r="D482" s="5"/>
      <c r="E482" s="5"/>
      <c r="F482" s="30"/>
      <c r="G482" s="30"/>
      <c r="H482" s="30"/>
      <c r="I482" s="30"/>
      <c r="J482" s="30"/>
      <c r="K482" s="30"/>
      <c r="L482" s="30"/>
      <c r="M482" s="120"/>
      <c r="N482" s="28"/>
      <c r="O482" s="28"/>
      <c r="P482" s="14"/>
      <c r="Q482" s="241"/>
      <c r="R482" s="14"/>
      <c r="S482" s="214"/>
      <c r="T482" s="30"/>
      <c r="U482" s="30"/>
      <c r="V482" s="185"/>
    </row>
    <row r="483" spans="1:22" s="279" customFormat="1" ht="18" hidden="1" customHeight="1">
      <c r="A483" s="96"/>
      <c r="B483" s="5"/>
      <c r="C483" s="5"/>
      <c r="D483" s="5"/>
      <c r="E483" s="5"/>
      <c r="F483" s="30"/>
      <c r="G483" s="30"/>
      <c r="H483" s="30"/>
      <c r="I483" s="30"/>
      <c r="J483" s="30"/>
      <c r="K483" s="30"/>
      <c r="L483" s="30"/>
      <c r="M483" s="120"/>
      <c r="N483" s="28"/>
      <c r="O483" s="28"/>
      <c r="P483" s="14"/>
      <c r="Q483" s="241"/>
      <c r="R483" s="14"/>
      <c r="S483" s="214"/>
      <c r="T483" s="30"/>
      <c r="U483" s="30"/>
      <c r="V483" s="185"/>
    </row>
    <row r="484" spans="1:22" s="279" customFormat="1" ht="18" hidden="1" customHeight="1">
      <c r="A484" s="96"/>
      <c r="B484" s="5"/>
      <c r="C484" s="5"/>
      <c r="D484" s="5"/>
      <c r="E484" s="5"/>
      <c r="F484" s="30"/>
      <c r="G484" s="30"/>
      <c r="H484" s="30"/>
      <c r="I484" s="30"/>
      <c r="J484" s="30"/>
      <c r="K484" s="30"/>
      <c r="L484" s="30"/>
      <c r="M484" s="120"/>
      <c r="N484" s="28"/>
      <c r="O484" s="28"/>
      <c r="P484" s="14"/>
      <c r="Q484" s="241"/>
      <c r="R484" s="14"/>
      <c r="S484" s="214"/>
      <c r="T484" s="30"/>
      <c r="U484" s="30"/>
      <c r="V484" s="185"/>
    </row>
    <row r="485" spans="1:22" s="279" customFormat="1" ht="18" hidden="1" customHeight="1">
      <c r="A485" s="194"/>
      <c r="B485" s="195"/>
      <c r="C485" s="195"/>
      <c r="D485" s="195"/>
      <c r="E485" s="195"/>
      <c r="F485" s="195"/>
      <c r="G485" s="195"/>
      <c r="H485" s="195"/>
      <c r="I485" s="195"/>
      <c r="J485" s="195"/>
      <c r="K485" s="195"/>
      <c r="L485" s="195"/>
      <c r="M485" s="195"/>
      <c r="N485" s="195"/>
      <c r="O485" s="195"/>
      <c r="P485" s="195"/>
      <c r="Q485" s="224"/>
      <c r="R485" s="182"/>
      <c r="S485" s="225"/>
      <c r="T485" s="195"/>
      <c r="U485" s="195"/>
      <c r="V485" s="134" t="s">
        <v>552</v>
      </c>
    </row>
    <row r="486" spans="1:22" ht="18" hidden="1" customHeight="1">
      <c r="A486" s="135"/>
      <c r="B486" s="273"/>
      <c r="C486" s="273"/>
      <c r="D486" s="273"/>
      <c r="E486" s="273"/>
      <c r="F486" s="273"/>
      <c r="G486" s="273"/>
      <c r="H486" s="273"/>
      <c r="I486" s="273"/>
      <c r="J486" s="273"/>
      <c r="K486" s="273"/>
      <c r="L486" s="273"/>
      <c r="M486" s="273"/>
      <c r="N486" s="273"/>
      <c r="O486" s="273"/>
      <c r="P486" s="273"/>
      <c r="Q486" s="274"/>
      <c r="R486" s="138"/>
      <c r="S486" s="275"/>
      <c r="T486" s="273"/>
      <c r="U486" s="273"/>
      <c r="V486" s="276"/>
    </row>
    <row r="487" spans="1:22" ht="18" hidden="1" customHeight="1">
      <c r="A487" s="96" t="s">
        <v>686</v>
      </c>
      <c r="V487" s="185"/>
    </row>
    <row r="488" spans="1:22" ht="18" hidden="1" customHeight="1">
      <c r="A488" s="184"/>
      <c r="V488" s="185"/>
    </row>
    <row r="489" spans="1:22" ht="18" hidden="1" customHeight="1">
      <c r="A489" s="277"/>
      <c r="B489" s="689" t="s">
        <v>473</v>
      </c>
      <c r="C489" s="1150" t="s">
        <v>652</v>
      </c>
      <c r="D489" s="279"/>
      <c r="E489" s="279"/>
      <c r="F489" s="279"/>
      <c r="G489" s="802" t="s">
        <v>687</v>
      </c>
      <c r="H489" s="1153" t="s">
        <v>315</v>
      </c>
      <c r="I489" s="708" t="s">
        <v>688</v>
      </c>
      <c r="J489" s="1147"/>
      <c r="K489" s="1147"/>
      <c r="L489" s="1147"/>
      <c r="M489" s="1147"/>
      <c r="N489" s="689" t="s">
        <v>672</v>
      </c>
      <c r="O489" s="708" t="s">
        <v>420</v>
      </c>
      <c r="P489" s="689" t="s">
        <v>347</v>
      </c>
      <c r="Q489" s="708" t="s">
        <v>689</v>
      </c>
      <c r="R489" s="708" t="s">
        <v>674</v>
      </c>
      <c r="S489" s="708" t="s">
        <v>411</v>
      </c>
      <c r="T489" s="14"/>
      <c r="U489" s="729" t="s">
        <v>653</v>
      </c>
      <c r="V489" s="185"/>
    </row>
    <row r="490" spans="1:22" ht="18" hidden="1" customHeight="1">
      <c r="A490" s="277"/>
      <c r="B490" s="689"/>
      <c r="C490" s="689"/>
      <c r="D490" s="279"/>
      <c r="E490" s="279"/>
      <c r="F490" s="279"/>
      <c r="G490" s="802"/>
      <c r="H490" s="689"/>
      <c r="I490" s="689">
        <v>1.3</v>
      </c>
      <c r="J490" s="689"/>
      <c r="K490" s="28" t="s">
        <v>315</v>
      </c>
      <c r="L490" s="689" t="s">
        <v>423</v>
      </c>
      <c r="M490" s="689"/>
      <c r="N490" s="689"/>
      <c r="O490" s="689"/>
      <c r="P490" s="689"/>
      <c r="Q490" s="689"/>
      <c r="R490" s="689"/>
      <c r="S490" s="689"/>
      <c r="T490" s="14"/>
      <c r="U490" s="689"/>
      <c r="V490" s="185"/>
    </row>
    <row r="491" spans="1:22" ht="18" hidden="1" customHeight="1">
      <c r="A491" s="184"/>
      <c r="V491" s="185"/>
    </row>
    <row r="492" spans="1:22" ht="18" hidden="1" customHeight="1">
      <c r="A492" s="184"/>
      <c r="B492" s="47" t="s">
        <v>654</v>
      </c>
      <c r="C492" s="14"/>
      <c r="D492" s="14"/>
      <c r="E492" s="14"/>
      <c r="F492" s="18"/>
      <c r="G492" s="18"/>
      <c r="H492" s="14"/>
      <c r="I492" s="120"/>
      <c r="J492" s="14"/>
      <c r="K492" s="14"/>
      <c r="M492" s="14"/>
      <c r="N492" s="14"/>
      <c r="P492" s="14" t="s">
        <v>423</v>
      </c>
      <c r="R492" s="234" t="s">
        <v>127</v>
      </c>
      <c r="S492" s="684">
        <f>J446</f>
        <v>4000</v>
      </c>
      <c r="T492" s="684"/>
      <c r="U492" s="30" t="s">
        <v>8</v>
      </c>
      <c r="V492" s="185"/>
    </row>
    <row r="493" spans="1:22" ht="18" hidden="1" customHeight="1">
      <c r="A493" s="184"/>
      <c r="B493" s="47" t="s">
        <v>655</v>
      </c>
      <c r="C493" s="14"/>
      <c r="D493" s="14"/>
      <c r="E493" s="14"/>
      <c r="F493" s="18"/>
      <c r="G493" s="18"/>
      <c r="H493" s="14"/>
      <c r="I493" s="120"/>
      <c r="J493" s="14"/>
      <c r="K493" s="14"/>
      <c r="M493" s="14"/>
      <c r="N493" s="14"/>
      <c r="P493" s="14" t="s">
        <v>420</v>
      </c>
      <c r="R493" s="234" t="s">
        <v>127</v>
      </c>
      <c r="S493" s="684">
        <f>J448</f>
        <v>15</v>
      </c>
      <c r="T493" s="684"/>
      <c r="U493" s="192" t="s">
        <v>333</v>
      </c>
      <c r="V493" s="185"/>
    </row>
    <row r="494" spans="1:22" ht="18" hidden="1" customHeight="1">
      <c r="A494" s="184"/>
      <c r="B494" s="47" t="s">
        <v>676</v>
      </c>
      <c r="C494" s="14"/>
      <c r="D494" s="14"/>
      <c r="E494" s="14"/>
      <c r="F494" s="18"/>
      <c r="G494" s="18"/>
      <c r="H494" s="14"/>
      <c r="I494" s="120"/>
      <c r="J494" s="14"/>
      <c r="K494" s="14"/>
      <c r="M494" s="14"/>
      <c r="N494" s="14"/>
      <c r="P494" s="14" t="s">
        <v>690</v>
      </c>
      <c r="R494" s="234" t="s">
        <v>127</v>
      </c>
      <c r="S494" s="795">
        <f>Q465</f>
        <v>1.2667743100000002</v>
      </c>
      <c r="T494" s="795"/>
      <c r="U494" s="192" t="s">
        <v>333</v>
      </c>
      <c r="V494" s="185"/>
    </row>
    <row r="495" spans="1:22" ht="18" hidden="1" customHeight="1">
      <c r="A495" s="184"/>
      <c r="B495" s="47" t="s">
        <v>691</v>
      </c>
      <c r="C495" s="14"/>
      <c r="D495" s="14"/>
      <c r="E495" s="14"/>
      <c r="F495" s="14"/>
      <c r="G495" s="14"/>
      <c r="H495" s="14"/>
      <c r="I495" s="120"/>
      <c r="J495" s="14"/>
      <c r="K495" s="14"/>
      <c r="M495" s="14"/>
      <c r="N495" s="14"/>
      <c r="P495" s="14" t="s">
        <v>411</v>
      </c>
      <c r="R495" s="234" t="s">
        <v>127</v>
      </c>
      <c r="S495" s="684">
        <f>O446</f>
        <v>1</v>
      </c>
      <c r="T495" s="684"/>
      <c r="U495" s="30" t="s">
        <v>8</v>
      </c>
      <c r="V495" s="185"/>
    </row>
    <row r="496" spans="1:22" ht="18" hidden="1" customHeight="1">
      <c r="A496" s="184"/>
      <c r="B496" s="47" t="s">
        <v>678</v>
      </c>
      <c r="C496" s="14"/>
      <c r="D496" s="14"/>
      <c r="E496" s="14"/>
      <c r="F496" s="14"/>
      <c r="G496" s="14"/>
      <c r="H496" s="14"/>
      <c r="I496" s="120"/>
      <c r="J496" s="14"/>
      <c r="K496" s="14"/>
      <c r="M496" s="14"/>
      <c r="N496" s="14"/>
      <c r="P496" s="120" t="s">
        <v>688</v>
      </c>
      <c r="R496" s="234" t="s">
        <v>127</v>
      </c>
      <c r="S496" s="684">
        <f>O479</f>
        <v>6998.1850810863734</v>
      </c>
      <c r="T496" s="684"/>
      <c r="U496" s="30" t="s">
        <v>8</v>
      </c>
      <c r="V496" s="185"/>
    </row>
    <row r="497" spans="1:22" s="279" customFormat="1" ht="18" hidden="1" customHeight="1">
      <c r="A497" s="184"/>
      <c r="B497" s="47" t="s">
        <v>692</v>
      </c>
      <c r="C497" s="14"/>
      <c r="D497" s="14"/>
      <c r="E497" s="14"/>
      <c r="F497" s="14"/>
      <c r="G497" s="14"/>
      <c r="H497" s="14"/>
      <c r="I497" s="120"/>
      <c r="J497" s="14"/>
      <c r="K497" s="14"/>
      <c r="L497" s="30"/>
      <c r="M497" s="14"/>
      <c r="N497" s="14"/>
      <c r="O497" s="30"/>
      <c r="P497" s="120" t="s">
        <v>680</v>
      </c>
      <c r="Q497" s="30"/>
      <c r="R497" s="234" t="s">
        <v>127</v>
      </c>
      <c r="S497" s="795">
        <f>J473</f>
        <v>437.38656756789834</v>
      </c>
      <c r="T497" s="684"/>
      <c r="U497" s="30" t="s">
        <v>8</v>
      </c>
      <c r="V497" s="185"/>
    </row>
    <row r="498" spans="1:22" s="279" customFormat="1" ht="18" hidden="1" customHeight="1">
      <c r="A498" s="184"/>
      <c r="B498" s="47" t="s">
        <v>659</v>
      </c>
      <c r="C498" s="14"/>
      <c r="D498" s="14"/>
      <c r="E498" s="14"/>
      <c r="F498" s="14"/>
      <c r="G498" s="14"/>
      <c r="H498" s="14"/>
      <c r="I498" s="120"/>
      <c r="J498" s="14"/>
      <c r="K498" s="14"/>
      <c r="L498" s="30"/>
      <c r="M498" s="14"/>
      <c r="N498" s="14"/>
      <c r="O498" s="30"/>
      <c r="P498" s="120" t="s">
        <v>660</v>
      </c>
      <c r="Q498" s="30"/>
      <c r="R498" s="234" t="s">
        <v>127</v>
      </c>
      <c r="S498" s="684">
        <f>S410</f>
        <v>1</v>
      </c>
      <c r="T498" s="684"/>
      <c r="U498" s="30" t="s">
        <v>8</v>
      </c>
      <c r="V498" s="185"/>
    </row>
    <row r="499" spans="1:22" ht="18" hidden="1" customHeight="1">
      <c r="A499" s="96"/>
      <c r="B499" s="14"/>
      <c r="C499" s="14"/>
      <c r="D499" s="235"/>
      <c r="E499" s="14"/>
      <c r="F499" s="28"/>
      <c r="G499" s="249"/>
      <c r="H499" s="28"/>
      <c r="I499" s="251"/>
      <c r="J499" s="14"/>
      <c r="K499" s="280"/>
      <c r="M499" s="47"/>
      <c r="N499" s="268"/>
      <c r="P499" s="281"/>
      <c r="R499" s="234"/>
      <c r="S499" s="1148"/>
      <c r="T499" s="723"/>
      <c r="V499" s="185"/>
    </row>
    <row r="500" spans="1:22" ht="18" hidden="1" customHeight="1">
      <c r="A500" s="272" t="s">
        <v>693</v>
      </c>
      <c r="B500" s="14"/>
      <c r="C500" s="14"/>
      <c r="D500" s="14"/>
      <c r="E500" s="14"/>
      <c r="F500" s="14"/>
      <c r="G500" s="14"/>
      <c r="H500" s="28">
        <v>3</v>
      </c>
      <c r="I500" s="47" t="s">
        <v>694</v>
      </c>
      <c r="J500" s="14"/>
      <c r="K500" s="14"/>
      <c r="M500" s="14" t="s">
        <v>337</v>
      </c>
      <c r="N500" s="14"/>
      <c r="P500" s="120"/>
      <c r="R500" s="234"/>
      <c r="S500" s="1149"/>
      <c r="T500" s="723"/>
      <c r="V500" s="185"/>
    </row>
    <row r="501" spans="1:22" ht="18" hidden="1" customHeight="1">
      <c r="A501" s="272"/>
      <c r="B501" s="14"/>
      <c r="C501" s="14"/>
      <c r="D501" s="14"/>
      <c r="E501" s="14"/>
      <c r="F501" s="14"/>
      <c r="G501" s="14"/>
      <c r="H501" s="28"/>
      <c r="I501" s="47"/>
      <c r="J501" s="14"/>
      <c r="K501" s="14"/>
      <c r="M501" s="14"/>
      <c r="N501" s="14"/>
      <c r="P501" s="120"/>
      <c r="R501" s="234"/>
      <c r="S501" s="282"/>
      <c r="V501" s="185"/>
    </row>
    <row r="502" spans="1:22" ht="18" hidden="1" customHeight="1">
      <c r="A502" s="277"/>
      <c r="B502" s="689" t="s">
        <v>473</v>
      </c>
      <c r="C502" s="1150" t="s">
        <v>652</v>
      </c>
      <c r="D502" s="279"/>
      <c r="E502" s="279"/>
      <c r="F502" s="279"/>
      <c r="G502" s="802">
        <f>H500</f>
        <v>3</v>
      </c>
      <c r="H502" s="1151" t="s">
        <v>315</v>
      </c>
      <c r="I502" s="829">
        <f>S496</f>
        <v>6998.1850810863734</v>
      </c>
      <c r="J502" s="1152"/>
      <c r="K502" s="1152"/>
      <c r="L502" s="1152"/>
      <c r="M502" s="1152"/>
      <c r="N502" s="689" t="s">
        <v>672</v>
      </c>
      <c r="O502" s="708">
        <f>S493</f>
        <v>15</v>
      </c>
      <c r="P502" s="689" t="s">
        <v>347</v>
      </c>
      <c r="Q502" s="829">
        <f>S494</f>
        <v>1.2667743100000002</v>
      </c>
      <c r="R502" s="708" t="s">
        <v>674</v>
      </c>
      <c r="S502" s="708">
        <f>S495</f>
        <v>1</v>
      </c>
      <c r="T502" s="14"/>
      <c r="U502" s="729" t="s">
        <v>653</v>
      </c>
      <c r="V502" s="185"/>
    </row>
    <row r="503" spans="1:22" ht="18" hidden="1" customHeight="1">
      <c r="A503" s="277"/>
      <c r="B503" s="689"/>
      <c r="C503" s="689"/>
      <c r="D503" s="279"/>
      <c r="E503" s="279"/>
      <c r="F503" s="279"/>
      <c r="G503" s="802"/>
      <c r="H503" s="684"/>
      <c r="I503" s="689">
        <v>1.3</v>
      </c>
      <c r="J503" s="684"/>
      <c r="K503" s="28" t="s">
        <v>315</v>
      </c>
      <c r="L503" s="689">
        <f>S492</f>
        <v>4000</v>
      </c>
      <c r="M503" s="684"/>
      <c r="N503" s="689"/>
      <c r="O503" s="689"/>
      <c r="P503" s="689"/>
      <c r="Q503" s="689"/>
      <c r="R503" s="689"/>
      <c r="S503" s="689"/>
      <c r="T503" s="14"/>
      <c r="U503" s="689"/>
      <c r="V503" s="185"/>
    </row>
    <row r="504" spans="1:22" ht="18" hidden="1" customHeight="1">
      <c r="A504" s="96"/>
      <c r="B504" s="14"/>
      <c r="C504" s="27" t="s">
        <v>127</v>
      </c>
      <c r="D504" s="812">
        <f>G502*(I502/(I503*L503)*(O502+Q502)*S502)</f>
        <v>65.675709977100624</v>
      </c>
      <c r="E504" s="813"/>
      <c r="F504" s="30" t="s">
        <v>305</v>
      </c>
      <c r="G504" s="14"/>
      <c r="H504" s="14"/>
      <c r="I504" s="14"/>
      <c r="J504" s="14"/>
      <c r="K504" s="14"/>
      <c r="L504" s="14"/>
      <c r="M504" s="14"/>
      <c r="N504" s="14"/>
      <c r="R504" s="234"/>
      <c r="S504" s="204"/>
      <c r="V504" s="185"/>
    </row>
    <row r="505" spans="1:22" ht="18" hidden="1" customHeight="1">
      <c r="A505" s="96"/>
      <c r="B505" s="14"/>
      <c r="G505" s="14"/>
      <c r="H505" s="14"/>
      <c r="I505" s="14"/>
      <c r="J505" s="14"/>
      <c r="K505" s="14"/>
      <c r="L505" s="14"/>
      <c r="M505" s="14"/>
      <c r="N505" s="14"/>
      <c r="R505" s="234"/>
      <c r="S505" s="204"/>
      <c r="V505" s="185"/>
    </row>
    <row r="506" spans="1:22" ht="18" hidden="1" customHeight="1">
      <c r="A506" s="96"/>
      <c r="B506" s="14"/>
      <c r="D506" s="30" t="s">
        <v>475</v>
      </c>
      <c r="G506" s="27" t="str">
        <f>IF(E507&gt;H507,"&gt;","&lt;")</f>
        <v>&gt;</v>
      </c>
      <c r="H506" s="30" t="s">
        <v>477</v>
      </c>
      <c r="M506" s="14"/>
      <c r="N506" s="14"/>
      <c r="R506" s="234"/>
      <c r="S506" s="204"/>
      <c r="V506" s="185"/>
    </row>
    <row r="507" spans="1:22" ht="18" hidden="1" customHeight="1">
      <c r="A507" s="96"/>
      <c r="B507" s="14"/>
      <c r="E507" s="684">
        <f>J449</f>
        <v>800</v>
      </c>
      <c r="F507" s="684"/>
      <c r="G507" s="27" t="str">
        <f>G506</f>
        <v>&gt;</v>
      </c>
      <c r="H507" s="795">
        <f>D504</f>
        <v>65.675709977100624</v>
      </c>
      <c r="I507" s="684"/>
      <c r="M507" s="14"/>
      <c r="N507" s="14"/>
      <c r="R507" s="234"/>
      <c r="S507" s="204"/>
      <c r="V507" s="185"/>
    </row>
    <row r="508" spans="1:22" ht="18" hidden="1" customHeight="1">
      <c r="A508" s="96"/>
      <c r="B508" s="14"/>
      <c r="F508" s="244" t="s">
        <v>478</v>
      </c>
      <c r="H508" s="18" t="str">
        <f>IF(G506="&gt;","Suitably Dimentioned","Under Dimentioned")</f>
        <v>Suitably Dimentioned</v>
      </c>
      <c r="M508" s="14"/>
      <c r="N508" s="14"/>
      <c r="R508" s="234"/>
      <c r="S508" s="204"/>
      <c r="V508" s="185"/>
    </row>
    <row r="509" spans="1:22" ht="18" hidden="1" customHeight="1">
      <c r="A509" s="96"/>
      <c r="B509" s="14"/>
      <c r="G509" s="14"/>
      <c r="H509" s="14"/>
      <c r="I509" s="14"/>
      <c r="J509" s="14"/>
      <c r="K509" s="14"/>
      <c r="L509" s="14"/>
      <c r="M509" s="14"/>
      <c r="N509" s="14"/>
      <c r="R509" s="234"/>
      <c r="S509" s="204"/>
      <c r="V509" s="185"/>
    </row>
    <row r="510" spans="1:22" ht="18" hidden="1" customHeight="1">
      <c r="A510" s="193" t="s">
        <v>695</v>
      </c>
      <c r="B510" s="14"/>
      <c r="G510" s="14"/>
      <c r="H510" s="14"/>
      <c r="I510" s="14"/>
      <c r="J510" s="14"/>
      <c r="K510" s="14"/>
      <c r="L510" s="14"/>
      <c r="M510" s="14"/>
      <c r="N510" s="14"/>
      <c r="R510" s="234"/>
      <c r="S510" s="204"/>
      <c r="V510" s="185"/>
    </row>
    <row r="511" spans="1:22" ht="18" hidden="1" customHeight="1">
      <c r="A511" s="96"/>
      <c r="B511" s="14"/>
      <c r="D511" s="802" t="s">
        <v>696</v>
      </c>
      <c r="E511" s="716"/>
      <c r="F511" s="689" t="s">
        <v>127</v>
      </c>
      <c r="G511" s="708" t="s">
        <v>423</v>
      </c>
      <c r="H511" s="1147"/>
      <c r="I511" s="689" t="s">
        <v>315</v>
      </c>
      <c r="J511" s="708" t="s">
        <v>697</v>
      </c>
      <c r="K511" s="1147"/>
      <c r="L511" s="14"/>
      <c r="M511" s="14"/>
      <c r="N511" s="14"/>
      <c r="R511" s="234"/>
      <c r="S511" s="204"/>
      <c r="V511" s="185"/>
    </row>
    <row r="512" spans="1:22" ht="18" hidden="1" customHeight="1">
      <c r="A512" s="96"/>
      <c r="B512" s="14"/>
      <c r="D512" s="716"/>
      <c r="E512" s="716"/>
      <c r="F512" s="689"/>
      <c r="G512" s="689" t="s">
        <v>680</v>
      </c>
      <c r="H512" s="716"/>
      <c r="I512" s="689"/>
      <c r="J512" s="689" t="s">
        <v>411</v>
      </c>
      <c r="K512" s="716"/>
      <c r="L512" s="14"/>
      <c r="M512" s="14"/>
      <c r="N512" s="14"/>
      <c r="R512" s="234"/>
      <c r="S512" s="204"/>
      <c r="V512" s="185"/>
    </row>
    <row r="513" spans="1:22" ht="18" hidden="1" customHeight="1">
      <c r="A513" s="96"/>
      <c r="B513" s="14"/>
      <c r="D513" s="14"/>
      <c r="E513" s="14"/>
      <c r="F513" s="14"/>
      <c r="G513" s="14"/>
      <c r="H513" s="14"/>
      <c r="I513" s="14"/>
      <c r="J513" s="14"/>
      <c r="K513" s="14"/>
      <c r="L513" s="14"/>
      <c r="M513" s="14"/>
      <c r="N513" s="14"/>
      <c r="R513" s="234"/>
      <c r="S513" s="204"/>
      <c r="V513" s="185"/>
    </row>
    <row r="514" spans="1:22" ht="18" hidden="1" customHeight="1">
      <c r="A514" s="96"/>
      <c r="B514" s="14"/>
      <c r="D514" s="14"/>
      <c r="E514" s="14"/>
      <c r="F514" s="689" t="s">
        <v>127</v>
      </c>
      <c r="G514" s="708">
        <f>S492</f>
        <v>4000</v>
      </c>
      <c r="H514" s="1147"/>
      <c r="I514" s="689" t="s">
        <v>315</v>
      </c>
      <c r="J514" s="708">
        <f>S498</f>
        <v>1</v>
      </c>
      <c r="K514" s="1147"/>
      <c r="L514" s="14"/>
      <c r="M514" s="14"/>
      <c r="N514" s="14"/>
      <c r="R514" s="234"/>
      <c r="S514" s="204"/>
      <c r="V514" s="185"/>
    </row>
    <row r="515" spans="1:22" ht="18" hidden="1" customHeight="1">
      <c r="A515" s="96"/>
      <c r="B515" s="14"/>
      <c r="D515" s="14"/>
      <c r="E515" s="14"/>
      <c r="F515" s="689"/>
      <c r="G515" s="692">
        <f>J473</f>
        <v>437.38656756789834</v>
      </c>
      <c r="H515" s="716"/>
      <c r="I515" s="689"/>
      <c r="J515" s="689">
        <f>S495</f>
        <v>1</v>
      </c>
      <c r="K515" s="716"/>
      <c r="L515" s="14"/>
      <c r="M515" s="14"/>
      <c r="N515" s="14"/>
      <c r="R515" s="234"/>
      <c r="S515" s="204"/>
      <c r="V515" s="185"/>
    </row>
    <row r="516" spans="1:22" ht="18" hidden="1" customHeight="1">
      <c r="A516" s="96"/>
      <c r="B516" s="14"/>
      <c r="D516" s="14"/>
      <c r="E516" s="14"/>
      <c r="F516" s="14"/>
      <c r="G516" s="14"/>
      <c r="H516" s="14"/>
      <c r="I516" s="14"/>
      <c r="J516" s="14"/>
      <c r="K516" s="14"/>
      <c r="L516" s="14"/>
      <c r="M516" s="14"/>
      <c r="N516" s="14"/>
      <c r="R516" s="234"/>
      <c r="S516" s="204"/>
      <c r="V516" s="185"/>
    </row>
    <row r="517" spans="1:22" ht="18" hidden="1" customHeight="1">
      <c r="A517" s="96"/>
      <c r="B517" s="14"/>
      <c r="D517" s="14"/>
      <c r="E517" s="14"/>
      <c r="F517" s="28" t="s">
        <v>127</v>
      </c>
      <c r="G517" s="716">
        <f>(G514/G515)*(J514/J515)</f>
        <v>9.1452282639636717</v>
      </c>
      <c r="H517" s="716"/>
      <c r="I517" s="14"/>
      <c r="J517" s="14"/>
      <c r="K517" s="14"/>
      <c r="L517" s="14"/>
      <c r="M517" s="14"/>
      <c r="N517" s="14"/>
      <c r="R517" s="234"/>
      <c r="S517" s="204"/>
      <c r="V517" s="185"/>
    </row>
    <row r="518" spans="1:22" ht="18" hidden="1" customHeight="1">
      <c r="A518" s="96"/>
      <c r="B518" s="14"/>
      <c r="G518" s="14"/>
      <c r="H518" s="14"/>
      <c r="I518" s="14"/>
      <c r="J518" s="14"/>
      <c r="K518" s="14"/>
      <c r="L518" s="14"/>
      <c r="M518" s="14"/>
      <c r="N518" s="14"/>
      <c r="R518" s="234"/>
      <c r="S518" s="204"/>
      <c r="V518" s="185"/>
    </row>
    <row r="519" spans="1:22" s="14" customFormat="1" ht="18" hidden="1" customHeight="1">
      <c r="A519" s="96"/>
      <c r="C519" s="30"/>
      <c r="D519" s="283" t="s">
        <v>698</v>
      </c>
      <c r="E519" s="284" t="s">
        <v>699</v>
      </c>
      <c r="F519" s="689" t="s">
        <v>696</v>
      </c>
      <c r="G519" s="716"/>
      <c r="H519" s="716"/>
      <c r="I519" s="284" t="s">
        <v>699</v>
      </c>
      <c r="J519" s="28">
        <v>4</v>
      </c>
      <c r="K519" s="30"/>
      <c r="L519" s="279"/>
      <c r="M519" s="120" t="s">
        <v>700</v>
      </c>
      <c r="N519" s="47" t="s">
        <v>701</v>
      </c>
      <c r="O519" s="279"/>
      <c r="P519" s="236"/>
      <c r="Q519" s="236"/>
      <c r="R519" s="234"/>
      <c r="S519" s="204"/>
      <c r="T519" s="30"/>
      <c r="U519" s="30"/>
      <c r="V519" s="185"/>
    </row>
    <row r="520" spans="1:22" ht="18" hidden="1" customHeight="1">
      <c r="A520" s="96"/>
      <c r="B520" s="14"/>
      <c r="D520" s="218">
        <v>0.25</v>
      </c>
      <c r="E520" s="284" t="str">
        <f>IF(D520&lt;=G517,"≤","&gt;")</f>
        <v>≤</v>
      </c>
      <c r="F520" s="688">
        <f>G517</f>
        <v>9.1452282639636717</v>
      </c>
      <c r="G520" s="1145"/>
      <c r="H520" s="688"/>
      <c r="I520" s="284" t="str">
        <f>IF(G517&lt;=J519,"≤","&gt;")</f>
        <v>&gt;</v>
      </c>
      <c r="J520" s="28">
        <f>J519</f>
        <v>4</v>
      </c>
      <c r="L520" s="279"/>
      <c r="M520" s="120"/>
      <c r="N520" s="213"/>
      <c r="O520" s="279"/>
      <c r="P520" s="236"/>
      <c r="Q520" s="236"/>
      <c r="R520" s="234"/>
      <c r="S520" s="204"/>
      <c r="V520" s="185"/>
    </row>
    <row r="521" spans="1:22" ht="18" hidden="1" customHeight="1">
      <c r="A521" s="96"/>
      <c r="B521" s="14"/>
      <c r="G521" s="14"/>
      <c r="H521" s="14"/>
      <c r="I521" s="14"/>
      <c r="J521" s="14"/>
      <c r="K521" s="14"/>
      <c r="L521" s="14"/>
      <c r="M521" s="14"/>
      <c r="N521" s="14"/>
      <c r="R521" s="234"/>
      <c r="S521" s="204"/>
      <c r="V521" s="185"/>
    </row>
    <row r="522" spans="1:22" ht="18" hidden="1" customHeight="1">
      <c r="A522" s="96"/>
      <c r="B522" s="14" t="s">
        <v>702</v>
      </c>
      <c r="G522" s="14"/>
      <c r="H522" s="18" t="str">
        <f>IF(AND(E520="≤",I520="≤")=TRUE,"OK","Not OK")</f>
        <v>Not OK</v>
      </c>
      <c r="I522" s="14"/>
      <c r="J522" s="14"/>
      <c r="K522" s="14"/>
      <c r="L522" s="14"/>
      <c r="M522" s="14"/>
      <c r="N522" s="14"/>
      <c r="R522" s="234"/>
      <c r="S522" s="204"/>
      <c r="V522" s="185"/>
    </row>
    <row r="523" spans="1:22" ht="18" hidden="1" customHeight="1">
      <c r="A523" s="96"/>
      <c r="B523" s="14"/>
      <c r="G523" s="14"/>
      <c r="H523" s="18"/>
      <c r="I523" s="14"/>
      <c r="J523" s="14"/>
      <c r="K523" s="14"/>
      <c r="L523" s="14"/>
      <c r="M523" s="14"/>
      <c r="N523" s="14"/>
      <c r="R523" s="234"/>
      <c r="S523" s="204"/>
      <c r="V523" s="185"/>
    </row>
    <row r="524" spans="1:22" ht="18" hidden="1" customHeight="1">
      <c r="A524" s="96"/>
      <c r="B524" s="14"/>
      <c r="G524" s="14"/>
      <c r="H524" s="18"/>
      <c r="I524" s="14"/>
      <c r="J524" s="14"/>
      <c r="K524" s="14"/>
      <c r="L524" s="14"/>
      <c r="M524" s="14"/>
      <c r="N524" s="14"/>
      <c r="R524" s="234"/>
      <c r="S524" s="204"/>
      <c r="V524" s="185"/>
    </row>
    <row r="525" spans="1:22" ht="18" hidden="1" customHeight="1">
      <c r="A525" s="96"/>
      <c r="B525" s="14"/>
      <c r="G525" s="14"/>
      <c r="H525" s="18"/>
      <c r="I525" s="14"/>
      <c r="J525" s="14"/>
      <c r="K525" s="14"/>
      <c r="L525" s="14"/>
      <c r="M525" s="14"/>
      <c r="N525" s="14"/>
      <c r="R525" s="234"/>
      <c r="S525" s="204"/>
      <c r="V525" s="185"/>
    </row>
    <row r="526" spans="1:22" ht="18" hidden="1" customHeight="1">
      <c r="A526" s="96"/>
      <c r="B526" s="14"/>
      <c r="G526" s="14"/>
      <c r="H526" s="18"/>
      <c r="I526" s="14"/>
      <c r="J526" s="14"/>
      <c r="K526" s="14"/>
      <c r="L526" s="14"/>
      <c r="M526" s="14"/>
      <c r="N526" s="14"/>
      <c r="R526" s="234"/>
      <c r="S526" s="204"/>
      <c r="V526" s="185"/>
    </row>
    <row r="527" spans="1:22" ht="18" hidden="1" customHeight="1">
      <c r="A527" s="96"/>
      <c r="B527" s="14"/>
      <c r="G527" s="14"/>
      <c r="H527" s="18"/>
      <c r="I527" s="14"/>
      <c r="J527" s="14"/>
      <c r="K527" s="14"/>
      <c r="L527" s="14"/>
      <c r="M527" s="14"/>
      <c r="N527" s="14"/>
      <c r="R527" s="234"/>
      <c r="S527" s="204"/>
      <c r="V527" s="185"/>
    </row>
    <row r="528" spans="1:22" ht="18" hidden="1" customHeight="1">
      <c r="A528" s="96"/>
      <c r="B528" s="14"/>
      <c r="G528" s="14"/>
      <c r="H528" s="14"/>
      <c r="I528" s="14"/>
      <c r="J528" s="14"/>
      <c r="K528" s="14"/>
      <c r="L528" s="14"/>
      <c r="M528" s="14"/>
      <c r="N528" s="14"/>
      <c r="R528" s="234"/>
      <c r="S528" s="204"/>
      <c r="V528" s="185"/>
    </row>
    <row r="529" spans="1:29" ht="18" hidden="1" customHeight="1">
      <c r="A529" s="194"/>
      <c r="B529" s="195"/>
      <c r="C529" s="195"/>
      <c r="D529" s="195"/>
      <c r="E529" s="195"/>
      <c r="F529" s="195"/>
      <c r="G529" s="195"/>
      <c r="H529" s="195"/>
      <c r="I529" s="195"/>
      <c r="J529" s="195"/>
      <c r="K529" s="195"/>
      <c r="L529" s="195"/>
      <c r="M529" s="195"/>
      <c r="N529" s="195"/>
      <c r="O529" s="195"/>
      <c r="P529" s="195"/>
      <c r="Q529" s="224"/>
      <c r="R529" s="182"/>
      <c r="S529" s="225"/>
      <c r="T529" s="195"/>
      <c r="U529" s="195"/>
      <c r="V529" s="134" t="s">
        <v>552</v>
      </c>
    </row>
    <row r="530" spans="1:29" ht="18" hidden="1" customHeight="1">
      <c r="A530" s="226"/>
      <c r="B530" s="227"/>
      <c r="C530" s="227"/>
      <c r="D530" s="227"/>
      <c r="E530" s="227"/>
      <c r="F530" s="227"/>
      <c r="G530" s="227"/>
      <c r="H530" s="227"/>
      <c r="I530" s="227"/>
      <c r="J530" s="227"/>
      <c r="K530" s="227"/>
      <c r="L530" s="227"/>
      <c r="M530" s="227"/>
      <c r="N530" s="227"/>
      <c r="O530" s="227"/>
      <c r="P530" s="227"/>
      <c r="Q530" s="227"/>
      <c r="R530" s="227"/>
      <c r="S530" s="227"/>
      <c r="T530" s="227"/>
      <c r="U530" s="227"/>
      <c r="V530" s="228"/>
    </row>
    <row r="531" spans="1:29" ht="18" hidden="1" customHeight="1">
      <c r="A531" s="184"/>
      <c r="B531" s="854" t="str">
        <f>B443</f>
        <v>CT1L1</v>
      </c>
      <c r="C531" s="831"/>
      <c r="D531" s="855" t="str">
        <f>D443</f>
        <v>Core3</v>
      </c>
      <c r="E531" s="856"/>
      <c r="F531" s="186" t="s">
        <v>636</v>
      </c>
      <c r="H531" s="684" t="str">
        <f>H443</f>
        <v>(Transformer Differential)</v>
      </c>
      <c r="I531" s="684"/>
      <c r="J531" s="684"/>
      <c r="K531" s="684"/>
      <c r="L531" s="684"/>
      <c r="M531" s="684"/>
      <c r="P531" s="186"/>
      <c r="S531" s="187" t="s">
        <v>387</v>
      </c>
      <c r="T531" s="1154" t="str">
        <f>T443</f>
        <v>7UT85</v>
      </c>
      <c r="U531" s="1155"/>
      <c r="V531" s="185"/>
    </row>
    <row r="532" spans="1:29" ht="18" hidden="1" customHeight="1">
      <c r="A532" s="184"/>
      <c r="B532" s="853" t="str">
        <f>B444</f>
        <v>CT1L2</v>
      </c>
      <c r="C532" s="853"/>
      <c r="D532" s="857"/>
      <c r="E532" s="858"/>
      <c r="F532" s="255"/>
      <c r="T532" s="1154">
        <f>T444</f>
        <v>0</v>
      </c>
      <c r="U532" s="1155"/>
      <c r="V532" s="185"/>
    </row>
    <row r="533" spans="1:29" ht="18" hidden="1" customHeight="1">
      <c r="A533" s="184"/>
      <c r="H533" s="708" t="s">
        <v>390</v>
      </c>
      <c r="I533" s="708"/>
      <c r="J533" s="708" t="s">
        <v>391</v>
      </c>
      <c r="K533" s="708"/>
      <c r="L533" s="789" t="s">
        <v>392</v>
      </c>
      <c r="M533" s="789"/>
      <c r="T533" s="1154">
        <f>T445</f>
        <v>0</v>
      </c>
      <c r="U533" s="1155"/>
      <c r="V533" s="185"/>
    </row>
    <row r="534" spans="1:29" ht="18" hidden="1" customHeight="1">
      <c r="A534" s="184"/>
      <c r="B534" s="47" t="s">
        <v>393</v>
      </c>
      <c r="H534" s="854">
        <f>H446</f>
        <v>5000</v>
      </c>
      <c r="I534" s="831"/>
      <c r="J534" s="854">
        <f>J446</f>
        <v>4000</v>
      </c>
      <c r="K534" s="831"/>
      <c r="L534" s="863">
        <f>L446</f>
        <v>3000</v>
      </c>
      <c r="M534" s="864"/>
      <c r="N534" s="102" t="s">
        <v>342</v>
      </c>
      <c r="O534" s="256">
        <f>O446</f>
        <v>1</v>
      </c>
      <c r="P534" s="27" t="s">
        <v>8</v>
      </c>
      <c r="V534" s="185"/>
    </row>
    <row r="535" spans="1:29" ht="18" hidden="1" customHeight="1">
      <c r="A535" s="184"/>
      <c r="B535" s="47" t="s">
        <v>394</v>
      </c>
      <c r="H535" s="14"/>
      <c r="I535" s="14"/>
      <c r="L535" s="854" t="str">
        <f>J447</f>
        <v>PX</v>
      </c>
      <c r="M535" s="776"/>
      <c r="V535" s="185"/>
    </row>
    <row r="536" spans="1:29" ht="18" hidden="1" customHeight="1">
      <c r="A536" s="184"/>
      <c r="B536" s="47" t="s">
        <v>396</v>
      </c>
      <c r="K536" s="120" t="s">
        <v>497</v>
      </c>
      <c r="L536" s="781">
        <v>10</v>
      </c>
      <c r="M536" s="782"/>
      <c r="N536" s="192" t="s">
        <v>333</v>
      </c>
      <c r="V536" s="185"/>
    </row>
    <row r="537" spans="1:29" ht="18" hidden="1" customHeight="1">
      <c r="A537" s="184"/>
      <c r="B537" s="47" t="s">
        <v>398</v>
      </c>
      <c r="K537" s="120" t="s">
        <v>498</v>
      </c>
      <c r="L537" s="781">
        <v>800</v>
      </c>
      <c r="M537" s="782"/>
      <c r="N537" s="14" t="s">
        <v>305</v>
      </c>
      <c r="V537" s="185"/>
      <c r="W537" s="30" t="s">
        <v>400</v>
      </c>
      <c r="AB537" s="785">
        <f>D592</f>
        <v>60.651516837084017</v>
      </c>
      <c r="AC537" s="786"/>
    </row>
    <row r="538" spans="1:29" ht="18" hidden="1" customHeight="1">
      <c r="A538" s="184"/>
      <c r="B538" s="14" t="s">
        <v>401</v>
      </c>
      <c r="K538" s="120" t="s">
        <v>402</v>
      </c>
      <c r="L538" s="781">
        <v>50</v>
      </c>
      <c r="M538" s="782"/>
      <c r="N538" s="30" t="s">
        <v>403</v>
      </c>
      <c r="V538" s="185"/>
    </row>
    <row r="539" spans="1:29" ht="18" hidden="1" customHeight="1">
      <c r="A539" s="96"/>
      <c r="V539" s="185"/>
    </row>
    <row r="540" spans="1:29" ht="18" hidden="1" customHeight="1">
      <c r="A540" s="193" t="s">
        <v>404</v>
      </c>
      <c r="V540" s="185"/>
    </row>
    <row r="541" spans="1:29" ht="18" hidden="1" customHeight="1">
      <c r="A541" s="184"/>
      <c r="V541" s="185"/>
    </row>
    <row r="542" spans="1:29" ht="18" hidden="1" customHeight="1">
      <c r="A542" s="184"/>
      <c r="B542" s="194" t="s">
        <v>405</v>
      </c>
      <c r="C542" s="195"/>
      <c r="D542" s="195" t="str">
        <f>T531</f>
        <v>7UT85</v>
      </c>
      <c r="E542" s="196"/>
      <c r="F542" s="196"/>
      <c r="G542" s="196"/>
      <c r="H542" s="182" t="s">
        <v>406</v>
      </c>
      <c r="I542" s="183" t="s">
        <v>127</v>
      </c>
      <c r="J542" s="766">
        <f>J454</f>
        <v>0.1</v>
      </c>
      <c r="K542" s="958"/>
      <c r="L542" s="3" t="s">
        <v>157</v>
      </c>
      <c r="V542" s="185"/>
    </row>
    <row r="543" spans="1:29" ht="18" hidden="1" customHeight="1">
      <c r="A543" s="184"/>
      <c r="B543" s="184" t="s">
        <v>405</v>
      </c>
      <c r="D543" s="30">
        <f>T532</f>
        <v>0</v>
      </c>
      <c r="H543" s="27"/>
      <c r="I543" s="177" t="s">
        <v>127</v>
      </c>
      <c r="J543" s="766">
        <f>J455</f>
        <v>0</v>
      </c>
      <c r="K543" s="958"/>
      <c r="L543" s="198" t="s">
        <v>157</v>
      </c>
      <c r="V543" s="185"/>
    </row>
    <row r="544" spans="1:29" ht="18" hidden="1" customHeight="1">
      <c r="A544" s="184"/>
      <c r="B544" s="184" t="s">
        <v>405</v>
      </c>
      <c r="D544" s="30">
        <f>T533</f>
        <v>0</v>
      </c>
      <c r="E544" s="14"/>
      <c r="G544" s="199"/>
      <c r="H544" s="27"/>
      <c r="I544" s="177" t="s">
        <v>127</v>
      </c>
      <c r="J544" s="766">
        <f>J456</f>
        <v>0</v>
      </c>
      <c r="K544" s="958"/>
      <c r="L544" s="202" t="s">
        <v>157</v>
      </c>
      <c r="V544" s="185"/>
    </row>
    <row r="545" spans="1:22" ht="18" hidden="1" customHeight="1">
      <c r="A545" s="184"/>
      <c r="B545" s="184" t="s">
        <v>412</v>
      </c>
      <c r="H545" s="27" t="s">
        <v>599</v>
      </c>
      <c r="I545" s="177" t="s">
        <v>127</v>
      </c>
      <c r="J545" s="766">
        <f>J457</f>
        <v>1.1667743100000001</v>
      </c>
      <c r="K545" s="958"/>
      <c r="L545" s="203" t="s">
        <v>157</v>
      </c>
      <c r="V545" s="185"/>
    </row>
    <row r="546" spans="1:22" ht="18" hidden="1" customHeight="1">
      <c r="A546" s="184"/>
      <c r="B546" s="205" t="s">
        <v>413</v>
      </c>
      <c r="C546" s="206"/>
      <c r="D546" s="206"/>
      <c r="E546" s="206"/>
      <c r="F546" s="207"/>
      <c r="G546" s="207"/>
      <c r="H546" s="190" t="s">
        <v>409</v>
      </c>
      <c r="I546" s="208" t="s">
        <v>127</v>
      </c>
      <c r="J546" s="766">
        <f>J543+J545</f>
        <v>1.1667743100000001</v>
      </c>
      <c r="K546" s="958"/>
      <c r="L546" s="210" t="s">
        <v>157</v>
      </c>
      <c r="V546" s="185"/>
    </row>
    <row r="547" spans="1:22" ht="18" hidden="1" customHeight="1">
      <c r="A547" s="184"/>
      <c r="B547" s="47"/>
      <c r="C547" s="47"/>
      <c r="D547" s="47"/>
      <c r="E547" s="47"/>
      <c r="H547" s="27"/>
      <c r="I547" s="28"/>
      <c r="J547" s="199"/>
      <c r="L547" s="47"/>
      <c r="O547" s="27"/>
      <c r="P547" s="211"/>
      <c r="Q547" s="211"/>
      <c r="R547" s="192"/>
      <c r="V547" s="185"/>
    </row>
    <row r="548" spans="1:22" ht="18" hidden="1" customHeight="1">
      <c r="A548" s="184"/>
      <c r="B548" s="197" t="s">
        <v>648</v>
      </c>
      <c r="L548" s="47"/>
      <c r="M548" s="197" t="s">
        <v>407</v>
      </c>
      <c r="V548" s="185"/>
    </row>
    <row r="549" spans="1:22" s="14" customFormat="1" ht="18" hidden="1" customHeight="1">
      <c r="A549" s="184"/>
      <c r="B549" s="27" t="s">
        <v>649</v>
      </c>
      <c r="C549" s="27" t="s">
        <v>127</v>
      </c>
      <c r="D549" s="30" t="s">
        <v>406</v>
      </c>
      <c r="E549" s="271" t="s">
        <v>410</v>
      </c>
      <c r="F549" s="27" t="s">
        <v>146</v>
      </c>
      <c r="G549" s="28" t="s">
        <v>315</v>
      </c>
      <c r="H549" s="218" t="s">
        <v>146</v>
      </c>
      <c r="I549" s="30" t="s">
        <v>350</v>
      </c>
      <c r="J549" s="199"/>
      <c r="K549" s="30"/>
      <c r="L549" s="47"/>
      <c r="M549" s="30" t="s">
        <v>408</v>
      </c>
      <c r="N549" s="27" t="s">
        <v>127</v>
      </c>
      <c r="O549" s="30" t="s">
        <v>409</v>
      </c>
      <c r="P549" s="191" t="s">
        <v>410</v>
      </c>
      <c r="Q549" s="244" t="s">
        <v>411</v>
      </c>
      <c r="R549" s="27" t="s">
        <v>315</v>
      </c>
      <c r="S549" s="30" t="s">
        <v>411</v>
      </c>
      <c r="T549" s="30" t="s">
        <v>350</v>
      </c>
      <c r="U549" s="30"/>
      <c r="V549" s="185"/>
    </row>
    <row r="550" spans="1:22" s="14" customFormat="1" ht="18" hidden="1" customHeight="1">
      <c r="A550" s="184"/>
      <c r="B550" s="47"/>
      <c r="C550" s="27" t="s">
        <v>127</v>
      </c>
      <c r="D550" s="204">
        <f>J542</f>
        <v>0.1</v>
      </c>
      <c r="E550" s="191" t="s">
        <v>410</v>
      </c>
      <c r="F550" s="27">
        <f>F462</f>
        <v>1</v>
      </c>
      <c r="G550" s="27" t="s">
        <v>315</v>
      </c>
      <c r="H550" s="27">
        <f>H462</f>
        <v>1</v>
      </c>
      <c r="I550" s="30" t="s">
        <v>350</v>
      </c>
      <c r="J550" s="199"/>
      <c r="K550" s="30"/>
      <c r="L550" s="47"/>
      <c r="M550" s="30"/>
      <c r="N550" s="27" t="s">
        <v>127</v>
      </c>
      <c r="O550" s="204">
        <f>J546</f>
        <v>1.1667743100000001</v>
      </c>
      <c r="P550" s="191" t="s">
        <v>410</v>
      </c>
      <c r="Q550" s="27">
        <f>O534</f>
        <v>1</v>
      </c>
      <c r="R550" s="27" t="s">
        <v>315</v>
      </c>
      <c r="S550" s="27">
        <f>O534</f>
        <v>1</v>
      </c>
      <c r="T550" s="30" t="s">
        <v>350</v>
      </c>
      <c r="U550" s="30"/>
      <c r="V550" s="185"/>
    </row>
    <row r="551" spans="1:22" s="14" customFormat="1" ht="18" hidden="1" customHeight="1">
      <c r="A551" s="184"/>
      <c r="B551" s="47"/>
      <c r="C551" s="27" t="s">
        <v>127</v>
      </c>
      <c r="D551" s="795">
        <f>D550/(F550*H550)</f>
        <v>0.1</v>
      </c>
      <c r="E551" s="795"/>
      <c r="F551" s="192" t="s">
        <v>333</v>
      </c>
      <c r="G551" s="30"/>
      <c r="H551" s="30"/>
      <c r="I551" s="30"/>
      <c r="J551" s="199"/>
      <c r="K551" s="30"/>
      <c r="L551" s="47"/>
      <c r="M551" s="30"/>
      <c r="N551" s="27" t="s">
        <v>127</v>
      </c>
      <c r="O551" s="795">
        <f>O550/(Q550*S550)</f>
        <v>1.1667743100000001</v>
      </c>
      <c r="P551" s="795"/>
      <c r="Q551" s="192" t="s">
        <v>333</v>
      </c>
      <c r="R551" s="30"/>
      <c r="S551" s="30"/>
      <c r="T551" s="30"/>
      <c r="U551" s="30"/>
      <c r="V551" s="185"/>
    </row>
    <row r="552" spans="1:22" s="14" customFormat="1" ht="18" hidden="1" customHeight="1">
      <c r="A552" s="184"/>
      <c r="B552" s="47"/>
      <c r="C552" s="47"/>
      <c r="D552" s="47"/>
      <c r="E552" s="47"/>
      <c r="F552" s="30"/>
      <c r="G552" s="30"/>
      <c r="H552" s="27"/>
      <c r="I552" s="28"/>
      <c r="J552" s="199"/>
      <c r="K552" s="30"/>
      <c r="L552" s="47"/>
      <c r="M552" s="30"/>
      <c r="N552" s="30"/>
      <c r="O552" s="27"/>
      <c r="P552" s="211"/>
      <c r="Q552" s="211"/>
      <c r="R552" s="192"/>
      <c r="S552" s="30"/>
      <c r="T552" s="30"/>
      <c r="U552" s="30"/>
      <c r="V552" s="185"/>
    </row>
    <row r="553" spans="1:22" s="14" customFormat="1" ht="18" hidden="1" customHeight="1">
      <c r="A553" s="184"/>
      <c r="B553" s="47" t="s">
        <v>668</v>
      </c>
      <c r="C553" s="47"/>
      <c r="D553" s="47"/>
      <c r="E553" s="47"/>
      <c r="F553" s="30"/>
      <c r="G553" s="30"/>
      <c r="H553" s="27"/>
      <c r="I553" s="28"/>
      <c r="J553" s="199"/>
      <c r="K553" s="30"/>
      <c r="L553" s="47" t="s">
        <v>127</v>
      </c>
      <c r="M553" s="204">
        <f>D551</f>
        <v>0.1</v>
      </c>
      <c r="N553" s="27" t="s">
        <v>347</v>
      </c>
      <c r="O553" s="211">
        <f>O551</f>
        <v>1.1667743100000001</v>
      </c>
      <c r="P553" s="211" t="s">
        <v>127</v>
      </c>
      <c r="Q553" s="211">
        <f>M553+O553</f>
        <v>1.2667743100000002</v>
      </c>
      <c r="R553" s="192" t="s">
        <v>333</v>
      </c>
      <c r="S553" s="30"/>
      <c r="T553" s="30"/>
      <c r="U553" s="30"/>
      <c r="V553" s="185"/>
    </row>
    <row r="554" spans="1:22" s="14" customFormat="1" ht="18" hidden="1" customHeight="1">
      <c r="A554" s="193" t="s">
        <v>600</v>
      </c>
      <c r="B554" s="5"/>
      <c r="C554" s="5"/>
      <c r="D554" s="5"/>
      <c r="E554" s="5"/>
      <c r="F554" s="5"/>
      <c r="G554" s="5"/>
      <c r="H554" s="212"/>
      <c r="I554" s="212"/>
      <c r="J554" s="5"/>
      <c r="K554" s="5"/>
      <c r="L554" s="5"/>
      <c r="M554" s="5"/>
      <c r="N554" s="5"/>
      <c r="O554" s="5"/>
      <c r="P554" s="103"/>
      <c r="Q554" s="212"/>
      <c r="R554" s="213"/>
      <c r="S554" s="214"/>
      <c r="T554" s="18"/>
      <c r="U554" s="18"/>
      <c r="V554" s="97"/>
    </row>
    <row r="555" spans="1:22" s="14" customFormat="1" ht="18" hidden="1" customHeight="1">
      <c r="A555" s="96"/>
      <c r="B555" s="47" t="s">
        <v>601</v>
      </c>
      <c r="C555" s="5"/>
      <c r="D555" s="5"/>
      <c r="E555" s="5"/>
      <c r="I555" s="215"/>
      <c r="M555" s="5"/>
      <c r="N555" s="103" t="s">
        <v>127</v>
      </c>
      <c r="O555" s="1154">
        <f>O467</f>
        <v>100</v>
      </c>
      <c r="P555" s="831"/>
      <c r="Q555" s="14" t="s">
        <v>602</v>
      </c>
      <c r="S555" s="214"/>
      <c r="T555" s="18"/>
      <c r="U555" s="18"/>
      <c r="V555" s="97"/>
    </row>
    <row r="556" spans="1:22" s="14" customFormat="1" ht="18" hidden="1" customHeight="1">
      <c r="A556" s="96"/>
      <c r="B556" s="47" t="s">
        <v>603</v>
      </c>
      <c r="C556" s="5"/>
      <c r="D556" s="5"/>
      <c r="E556" s="5"/>
      <c r="I556" s="215"/>
      <c r="M556" s="5"/>
      <c r="N556" s="103" t="s">
        <v>127</v>
      </c>
      <c r="O556" s="1154">
        <f>O468</f>
        <v>25</v>
      </c>
      <c r="P556" s="831"/>
      <c r="Q556" s="14" t="s">
        <v>604</v>
      </c>
      <c r="S556" s="214"/>
      <c r="T556" s="18"/>
      <c r="U556" s="18"/>
      <c r="V556" s="97"/>
    </row>
    <row r="557" spans="1:22" s="14" customFormat="1" ht="18" hidden="1" customHeight="1">
      <c r="A557" s="96"/>
      <c r="B557" s="47" t="s">
        <v>605</v>
      </c>
      <c r="C557" s="5"/>
      <c r="D557" s="5"/>
      <c r="E557" s="5"/>
      <c r="M557" s="120" t="s">
        <v>606</v>
      </c>
      <c r="N557" s="103" t="s">
        <v>607</v>
      </c>
      <c r="O557" s="1154">
        <f>O469</f>
        <v>132</v>
      </c>
      <c r="P557" s="831"/>
      <c r="Q557" s="14" t="s">
        <v>163</v>
      </c>
      <c r="S557" s="214"/>
      <c r="T557" s="18"/>
      <c r="U557" s="18"/>
      <c r="V557" s="97"/>
    </row>
    <row r="558" spans="1:22" s="14" customFormat="1" ht="18" hidden="1" customHeight="1">
      <c r="A558" s="216"/>
      <c r="B558" s="212"/>
      <c r="C558" s="212"/>
      <c r="D558" s="212"/>
      <c r="E558" s="212"/>
      <c r="T558" s="18"/>
      <c r="U558" s="18"/>
      <c r="V558" s="97"/>
    </row>
    <row r="559" spans="1:22" s="14" customFormat="1" ht="18" hidden="1" customHeight="1">
      <c r="A559" s="272" t="s">
        <v>608</v>
      </c>
      <c r="B559" s="213"/>
      <c r="C559" s="213"/>
      <c r="D559" s="213"/>
      <c r="E559" s="213"/>
      <c r="H559" s="120" t="s">
        <v>609</v>
      </c>
      <c r="I559" s="28" t="s">
        <v>127</v>
      </c>
      <c r="J559" s="689" t="s">
        <v>610</v>
      </c>
      <c r="K559" s="689"/>
      <c r="L559" s="28" t="s">
        <v>315</v>
      </c>
      <c r="M559" s="217">
        <v>1000</v>
      </c>
      <c r="N559" s="102" t="s">
        <v>342</v>
      </c>
      <c r="O559" s="28" t="s">
        <v>611</v>
      </c>
      <c r="P559" s="28" t="s">
        <v>315</v>
      </c>
      <c r="Q559" s="28" t="s">
        <v>606</v>
      </c>
      <c r="R559" s="47" t="s">
        <v>350</v>
      </c>
      <c r="T559" s="18"/>
      <c r="U559" s="18"/>
      <c r="V559" s="97"/>
    </row>
    <row r="560" spans="1:22" ht="18" hidden="1" customHeight="1">
      <c r="A560" s="216"/>
      <c r="B560" s="213"/>
      <c r="C560" s="213"/>
      <c r="D560" s="213"/>
      <c r="E560" s="213"/>
      <c r="F560" s="212"/>
      <c r="G560" s="212"/>
      <c r="H560" s="28"/>
      <c r="I560" s="28" t="s">
        <v>127</v>
      </c>
      <c r="J560" s="689">
        <f>O555</f>
        <v>100</v>
      </c>
      <c r="K560" s="689"/>
      <c r="L560" s="28" t="s">
        <v>315</v>
      </c>
      <c r="M560" s="217">
        <v>1000</v>
      </c>
      <c r="N560" s="102" t="s">
        <v>342</v>
      </c>
      <c r="O560" s="28" t="s">
        <v>611</v>
      </c>
      <c r="P560" s="28" t="s">
        <v>315</v>
      </c>
      <c r="Q560" s="28">
        <f>O557</f>
        <v>132</v>
      </c>
      <c r="R560" s="47" t="s">
        <v>350</v>
      </c>
      <c r="S560" s="14"/>
      <c r="T560" s="18"/>
      <c r="U560" s="18"/>
      <c r="V560" s="97"/>
    </row>
    <row r="561" spans="1:22" ht="18" hidden="1" customHeight="1">
      <c r="A561" s="216"/>
      <c r="B561" s="212"/>
      <c r="C561" s="212"/>
      <c r="D561" s="212"/>
      <c r="E561" s="212"/>
      <c r="F561" s="212"/>
      <c r="G561" s="212"/>
      <c r="H561" s="14"/>
      <c r="I561" s="28" t="s">
        <v>127</v>
      </c>
      <c r="J561" s="692">
        <f>(O555*1000)/(SQRT(3)*O557)</f>
        <v>437.38656756789834</v>
      </c>
      <c r="K561" s="692"/>
      <c r="L561" s="14" t="s">
        <v>8</v>
      </c>
      <c r="M561" s="120"/>
      <c r="N561" s="120"/>
      <c r="O561" s="120"/>
      <c r="P561" s="14"/>
      <c r="Q561" s="14"/>
      <c r="R561" s="14"/>
      <c r="S561" s="14"/>
      <c r="T561" s="18"/>
      <c r="U561" s="18"/>
      <c r="V561" s="97"/>
    </row>
    <row r="562" spans="1:22" ht="18" hidden="1" customHeight="1">
      <c r="A562" s="216"/>
      <c r="B562" s="212"/>
      <c r="C562" s="212"/>
      <c r="D562" s="212"/>
      <c r="E562" s="212"/>
      <c r="F562" s="14"/>
      <c r="G562" s="212"/>
      <c r="H562" s="28"/>
      <c r="I562" s="103"/>
      <c r="J562" s="28"/>
      <c r="K562" s="14"/>
      <c r="L562" s="14"/>
      <c r="M562" s="212"/>
      <c r="N562" s="219"/>
      <c r="O562" s="212"/>
      <c r="P562" s="14"/>
      <c r="Q562" s="14"/>
      <c r="R562" s="14"/>
      <c r="S562" s="14"/>
      <c r="T562" s="18"/>
      <c r="U562" s="18"/>
      <c r="V562" s="97"/>
    </row>
    <row r="563" spans="1:22" s="14" customFormat="1" ht="18" hidden="1" customHeight="1">
      <c r="A563" s="147" t="s">
        <v>629</v>
      </c>
      <c r="B563" s="5"/>
      <c r="C563" s="5"/>
      <c r="D563" s="5"/>
      <c r="E563" s="5"/>
      <c r="F563" s="212"/>
      <c r="G563" s="212"/>
      <c r="H563" s="5"/>
      <c r="I563" s="5"/>
      <c r="J563" s="5"/>
      <c r="K563" s="5"/>
      <c r="L563" s="103"/>
      <c r="M563" s="103"/>
      <c r="N563" s="103"/>
      <c r="O563" s="103"/>
      <c r="P563" s="212"/>
      <c r="Q563" s="213"/>
      <c r="S563" s="220"/>
      <c r="T563" s="18"/>
      <c r="U563" s="18"/>
      <c r="V563" s="97"/>
    </row>
    <row r="564" spans="1:22" s="14" customFormat="1" ht="18" hidden="1" customHeight="1">
      <c r="A564" s="147"/>
      <c r="B564" s="5"/>
      <c r="C564" s="5"/>
      <c r="D564" s="5"/>
      <c r="E564" s="5"/>
      <c r="F564" s="212"/>
      <c r="G564" s="212"/>
      <c r="H564" s="5"/>
      <c r="I564" s="5"/>
      <c r="J564" s="5"/>
      <c r="K564" s="5"/>
      <c r="L564" s="103"/>
      <c r="M564" s="103"/>
      <c r="N564" s="103"/>
      <c r="O564" s="103"/>
      <c r="P564" s="212"/>
      <c r="Q564" s="213"/>
      <c r="S564" s="214"/>
      <c r="T564" s="18"/>
      <c r="U564" s="18"/>
      <c r="V564" s="97"/>
    </row>
    <row r="565" spans="1:22" ht="18" hidden="1" customHeight="1">
      <c r="A565" s="96" t="s">
        <v>612</v>
      </c>
      <c r="B565" s="14"/>
      <c r="C565" s="14"/>
      <c r="D565" s="14"/>
      <c r="E565" s="14"/>
      <c r="M565" s="120" t="s">
        <v>613</v>
      </c>
      <c r="N565" s="28" t="s">
        <v>127</v>
      </c>
      <c r="O565" s="689" t="s">
        <v>609</v>
      </c>
      <c r="P565" s="716"/>
      <c r="Q565" s="221" t="s">
        <v>630</v>
      </c>
      <c r="R565" s="221">
        <v>16</v>
      </c>
      <c r="S565" s="186"/>
      <c r="V565" s="185"/>
    </row>
    <row r="566" spans="1:22" ht="18" hidden="1" customHeight="1">
      <c r="A566" s="96"/>
      <c r="B566" s="5"/>
      <c r="C566" s="5"/>
      <c r="D566" s="5"/>
      <c r="E566" s="5"/>
      <c r="M566" s="250"/>
      <c r="N566" s="28" t="s">
        <v>127</v>
      </c>
      <c r="O566" s="689">
        <f>+J561</f>
        <v>437.38656756789834</v>
      </c>
      <c r="P566" s="716"/>
      <c r="Q566" s="221" t="s">
        <v>630</v>
      </c>
      <c r="R566" s="221">
        <v>16</v>
      </c>
      <c r="S566" s="186"/>
      <c r="V566" s="185"/>
    </row>
    <row r="567" spans="1:22" s="279" customFormat="1" ht="18" hidden="1" customHeight="1">
      <c r="A567" s="96"/>
      <c r="B567" s="5"/>
      <c r="C567" s="5"/>
      <c r="D567" s="5"/>
      <c r="E567" s="5"/>
      <c r="F567" s="30"/>
      <c r="G567" s="30"/>
      <c r="H567" s="30"/>
      <c r="I567" s="30"/>
      <c r="J567" s="30"/>
      <c r="K567" s="30"/>
      <c r="L567" s="30"/>
      <c r="M567" s="120" t="s">
        <v>613</v>
      </c>
      <c r="N567" s="28" t="s">
        <v>127</v>
      </c>
      <c r="O567" s="689">
        <f>O566*R566</f>
        <v>6998.1850810863734</v>
      </c>
      <c r="P567" s="716"/>
      <c r="Q567" s="241" t="s">
        <v>8</v>
      </c>
      <c r="R567" s="14"/>
      <c r="S567" s="186"/>
      <c r="T567" s="30"/>
      <c r="U567" s="30"/>
      <c r="V567" s="185"/>
    </row>
    <row r="568" spans="1:22" s="279" customFormat="1" ht="18" hidden="1" customHeight="1">
      <c r="A568" s="96"/>
      <c r="B568" s="5"/>
      <c r="C568" s="5"/>
      <c r="D568" s="5"/>
      <c r="E568" s="5"/>
      <c r="F568" s="30"/>
      <c r="G568" s="30"/>
      <c r="H568" s="30"/>
      <c r="I568" s="30"/>
      <c r="J568" s="30"/>
      <c r="K568" s="30"/>
      <c r="L568" s="30"/>
      <c r="M568" s="120"/>
      <c r="N568" s="28"/>
      <c r="O568" s="28"/>
      <c r="P568" s="14"/>
      <c r="Q568" s="241"/>
      <c r="R568" s="14"/>
      <c r="S568" s="186"/>
      <c r="T568" s="30"/>
      <c r="U568" s="30"/>
      <c r="V568" s="185"/>
    </row>
    <row r="569" spans="1:22" s="279" customFormat="1" ht="18" hidden="1" customHeight="1">
      <c r="A569" s="96"/>
      <c r="B569" s="5"/>
      <c r="C569" s="5"/>
      <c r="D569" s="5"/>
      <c r="E569" s="5"/>
      <c r="F569" s="30"/>
      <c r="G569" s="30"/>
      <c r="H569" s="30"/>
      <c r="I569" s="30"/>
      <c r="J569" s="30"/>
      <c r="K569" s="30"/>
      <c r="L569" s="30"/>
      <c r="M569" s="120"/>
      <c r="N569" s="28"/>
      <c r="O569" s="28"/>
      <c r="P569" s="14"/>
      <c r="Q569" s="241"/>
      <c r="R569" s="14"/>
      <c r="S569" s="186"/>
      <c r="T569" s="30"/>
      <c r="U569" s="30"/>
      <c r="V569" s="185"/>
    </row>
    <row r="570" spans="1:22" s="279" customFormat="1" ht="18" hidden="1" customHeight="1">
      <c r="A570" s="96"/>
      <c r="B570" s="5"/>
      <c r="C570" s="5"/>
      <c r="D570" s="5"/>
      <c r="E570" s="5"/>
      <c r="F570" s="30"/>
      <c r="G570" s="30"/>
      <c r="H570" s="30"/>
      <c r="I570" s="30"/>
      <c r="J570" s="30"/>
      <c r="K570" s="30"/>
      <c r="L570" s="30"/>
      <c r="M570" s="120"/>
      <c r="N570" s="28"/>
      <c r="O570" s="28"/>
      <c r="P570" s="14"/>
      <c r="Q570" s="241"/>
      <c r="R570" s="14"/>
      <c r="S570" s="186"/>
      <c r="T570" s="30"/>
      <c r="U570" s="30"/>
      <c r="V570" s="185"/>
    </row>
    <row r="571" spans="1:22" s="279" customFormat="1" ht="18" hidden="1" customHeight="1">
      <c r="A571" s="96"/>
      <c r="B571" s="5"/>
      <c r="C571" s="5"/>
      <c r="D571" s="5"/>
      <c r="E571" s="5"/>
      <c r="F571" s="30"/>
      <c r="G571" s="30"/>
      <c r="H571" s="30"/>
      <c r="I571" s="30"/>
      <c r="J571" s="30"/>
      <c r="K571" s="30"/>
      <c r="L571" s="30"/>
      <c r="M571" s="120"/>
      <c r="N571" s="28"/>
      <c r="O571" s="28"/>
      <c r="P571" s="14"/>
      <c r="Q571" s="241"/>
      <c r="R571" s="14"/>
      <c r="S571" s="186"/>
      <c r="T571" s="30"/>
      <c r="U571" s="30"/>
      <c r="V571" s="185"/>
    </row>
    <row r="572" spans="1:22" s="279" customFormat="1" ht="18" hidden="1" customHeight="1">
      <c r="A572" s="96"/>
      <c r="B572" s="5"/>
      <c r="C572" s="5"/>
      <c r="D572" s="5"/>
      <c r="E572" s="5"/>
      <c r="F572" s="30"/>
      <c r="G572" s="30"/>
      <c r="H572" s="30"/>
      <c r="I572" s="30"/>
      <c r="J572" s="30"/>
      <c r="K572" s="30"/>
      <c r="L572" s="30"/>
      <c r="M572" s="120"/>
      <c r="N572" s="28"/>
      <c r="O572" s="28"/>
      <c r="P572" s="14"/>
      <c r="Q572" s="241"/>
      <c r="R572" s="14"/>
      <c r="S572" s="186"/>
      <c r="T572" s="30"/>
      <c r="U572" s="30"/>
      <c r="V572" s="185"/>
    </row>
    <row r="573" spans="1:22" s="279" customFormat="1" ht="18" hidden="1" customHeight="1">
      <c r="A573" s="194"/>
      <c r="B573" s="195"/>
      <c r="C573" s="195"/>
      <c r="D573" s="195"/>
      <c r="E573" s="195"/>
      <c r="F573" s="195"/>
      <c r="G573" s="195"/>
      <c r="H573" s="195"/>
      <c r="I573" s="195"/>
      <c r="J573" s="195"/>
      <c r="K573" s="195"/>
      <c r="L573" s="195"/>
      <c r="M573" s="195"/>
      <c r="N573" s="195"/>
      <c r="O573" s="195"/>
      <c r="P573" s="195"/>
      <c r="Q573" s="224"/>
      <c r="R573" s="182"/>
      <c r="S573" s="225"/>
      <c r="T573" s="195"/>
      <c r="U573" s="195"/>
      <c r="V573" s="134" t="s">
        <v>552</v>
      </c>
    </row>
    <row r="574" spans="1:22" ht="18" hidden="1" customHeight="1">
      <c r="A574" s="135"/>
      <c r="B574" s="273"/>
      <c r="C574" s="273"/>
      <c r="D574" s="273"/>
      <c r="E574" s="273"/>
      <c r="F574" s="273"/>
      <c r="G574" s="273"/>
      <c r="H574" s="273"/>
      <c r="I574" s="273"/>
      <c r="J574" s="273"/>
      <c r="K574" s="273"/>
      <c r="L574" s="273"/>
      <c r="M574" s="273"/>
      <c r="N574" s="273"/>
      <c r="O574" s="273"/>
      <c r="P574" s="273"/>
      <c r="Q574" s="274"/>
      <c r="R574" s="138"/>
      <c r="S574" s="275"/>
      <c r="T574" s="273"/>
      <c r="U574" s="273"/>
      <c r="V574" s="276"/>
    </row>
    <row r="575" spans="1:22" ht="18" hidden="1" customHeight="1">
      <c r="A575" s="96" t="s">
        <v>686</v>
      </c>
      <c r="V575" s="185"/>
    </row>
    <row r="576" spans="1:22" ht="18" hidden="1" customHeight="1">
      <c r="A576" s="184"/>
      <c r="V576" s="185"/>
    </row>
    <row r="577" spans="1:22" ht="18" hidden="1" customHeight="1">
      <c r="A577" s="277"/>
      <c r="B577" s="689" t="s">
        <v>473</v>
      </c>
      <c r="C577" s="1150" t="s">
        <v>652</v>
      </c>
      <c r="D577" s="279"/>
      <c r="E577" s="279"/>
      <c r="F577" s="279"/>
      <c r="G577" s="802" t="s">
        <v>687</v>
      </c>
      <c r="H577" s="1153" t="s">
        <v>315</v>
      </c>
      <c r="I577" s="708" t="s">
        <v>688</v>
      </c>
      <c r="J577" s="1147"/>
      <c r="K577" s="1147"/>
      <c r="L577" s="1147"/>
      <c r="M577" s="1147"/>
      <c r="N577" s="689" t="s">
        <v>672</v>
      </c>
      <c r="O577" s="708" t="s">
        <v>420</v>
      </c>
      <c r="P577" s="689" t="s">
        <v>347</v>
      </c>
      <c r="Q577" s="708" t="s">
        <v>689</v>
      </c>
      <c r="R577" s="708" t="s">
        <v>674</v>
      </c>
      <c r="S577" s="708" t="s">
        <v>411</v>
      </c>
      <c r="T577" s="14"/>
      <c r="U577" s="729" t="s">
        <v>653</v>
      </c>
      <c r="V577" s="185"/>
    </row>
    <row r="578" spans="1:22" ht="18" hidden="1" customHeight="1">
      <c r="A578" s="277"/>
      <c r="B578" s="689"/>
      <c r="C578" s="689"/>
      <c r="D578" s="279"/>
      <c r="E578" s="279"/>
      <c r="F578" s="279"/>
      <c r="G578" s="802"/>
      <c r="H578" s="689"/>
      <c r="I578" s="689">
        <v>1.3</v>
      </c>
      <c r="J578" s="689"/>
      <c r="K578" s="28" t="s">
        <v>315</v>
      </c>
      <c r="L578" s="689" t="s">
        <v>423</v>
      </c>
      <c r="M578" s="689"/>
      <c r="N578" s="689"/>
      <c r="O578" s="689"/>
      <c r="P578" s="689"/>
      <c r="Q578" s="689"/>
      <c r="R578" s="689"/>
      <c r="S578" s="689"/>
      <c r="T578" s="14"/>
      <c r="U578" s="689"/>
      <c r="V578" s="185"/>
    </row>
    <row r="579" spans="1:22" ht="18" hidden="1" customHeight="1">
      <c r="A579" s="184"/>
      <c r="V579" s="185"/>
    </row>
    <row r="580" spans="1:22" ht="18" hidden="1" customHeight="1">
      <c r="A580" s="184"/>
      <c r="B580" s="47" t="s">
        <v>654</v>
      </c>
      <c r="C580" s="14"/>
      <c r="D580" s="14"/>
      <c r="E580" s="14"/>
      <c r="F580" s="18"/>
      <c r="G580" s="18"/>
      <c r="H580" s="14"/>
      <c r="I580" s="120"/>
      <c r="J580" s="14"/>
      <c r="K580" s="14"/>
      <c r="M580" s="14"/>
      <c r="N580" s="14"/>
      <c r="P580" s="14" t="s">
        <v>423</v>
      </c>
      <c r="R580" s="234" t="s">
        <v>127</v>
      </c>
      <c r="S580" s="684">
        <f>L534</f>
        <v>3000</v>
      </c>
      <c r="T580" s="684"/>
      <c r="U580" s="30" t="s">
        <v>8</v>
      </c>
      <c r="V580" s="185"/>
    </row>
    <row r="581" spans="1:22" ht="18" hidden="1" customHeight="1">
      <c r="A581" s="184"/>
      <c r="B581" s="47" t="s">
        <v>655</v>
      </c>
      <c r="C581" s="14"/>
      <c r="D581" s="14"/>
      <c r="E581" s="14"/>
      <c r="F581" s="18"/>
      <c r="G581" s="18"/>
      <c r="H581" s="14"/>
      <c r="I581" s="120"/>
      <c r="J581" s="14"/>
      <c r="K581" s="14"/>
      <c r="M581" s="14"/>
      <c r="N581" s="14"/>
      <c r="P581" s="14" t="s">
        <v>420</v>
      </c>
      <c r="R581" s="234" t="s">
        <v>127</v>
      </c>
      <c r="S581" s="684">
        <f>L536</f>
        <v>10</v>
      </c>
      <c r="T581" s="684"/>
      <c r="U581" s="192" t="s">
        <v>333</v>
      </c>
      <c r="V581" s="185"/>
    </row>
    <row r="582" spans="1:22" ht="18" hidden="1" customHeight="1">
      <c r="A582" s="184"/>
      <c r="B582" s="47" t="s">
        <v>676</v>
      </c>
      <c r="C582" s="14"/>
      <c r="D582" s="14"/>
      <c r="E582" s="14"/>
      <c r="F582" s="18"/>
      <c r="G582" s="18"/>
      <c r="H582" s="14"/>
      <c r="I582" s="120"/>
      <c r="J582" s="14"/>
      <c r="K582" s="14"/>
      <c r="M582" s="14"/>
      <c r="N582" s="14"/>
      <c r="P582" s="14" t="s">
        <v>690</v>
      </c>
      <c r="R582" s="234" t="s">
        <v>127</v>
      </c>
      <c r="S582" s="795">
        <f>Q553</f>
        <v>1.2667743100000002</v>
      </c>
      <c r="T582" s="795"/>
      <c r="U582" s="192" t="s">
        <v>333</v>
      </c>
      <c r="V582" s="185"/>
    </row>
    <row r="583" spans="1:22" ht="18" hidden="1" customHeight="1">
      <c r="A583" s="184"/>
      <c r="B583" s="47" t="s">
        <v>691</v>
      </c>
      <c r="C583" s="14"/>
      <c r="D583" s="14"/>
      <c r="E583" s="14"/>
      <c r="F583" s="14"/>
      <c r="G583" s="14"/>
      <c r="H583" s="14"/>
      <c r="I583" s="120"/>
      <c r="J583" s="14"/>
      <c r="K583" s="14"/>
      <c r="M583" s="14"/>
      <c r="N583" s="14"/>
      <c r="P583" s="14" t="s">
        <v>411</v>
      </c>
      <c r="R583" s="234" t="s">
        <v>127</v>
      </c>
      <c r="S583" s="684">
        <f>O534</f>
        <v>1</v>
      </c>
      <c r="T583" s="684"/>
      <c r="U583" s="30" t="s">
        <v>8</v>
      </c>
      <c r="V583" s="185"/>
    </row>
    <row r="584" spans="1:22" ht="18" hidden="1" customHeight="1">
      <c r="A584" s="184"/>
      <c r="B584" s="47" t="s">
        <v>678</v>
      </c>
      <c r="C584" s="14"/>
      <c r="D584" s="14"/>
      <c r="E584" s="14"/>
      <c r="F584" s="14"/>
      <c r="G584" s="14"/>
      <c r="H584" s="14"/>
      <c r="I584" s="120"/>
      <c r="J584" s="14"/>
      <c r="K584" s="14"/>
      <c r="M584" s="14"/>
      <c r="N584" s="14"/>
      <c r="P584" s="120" t="s">
        <v>688</v>
      </c>
      <c r="R584" s="234" t="s">
        <v>127</v>
      </c>
      <c r="S584" s="684">
        <f>O567</f>
        <v>6998.1850810863734</v>
      </c>
      <c r="T584" s="684"/>
      <c r="U584" s="30" t="s">
        <v>8</v>
      </c>
      <c r="V584" s="185"/>
    </row>
    <row r="585" spans="1:22" s="279" customFormat="1" ht="18" hidden="1" customHeight="1">
      <c r="A585" s="184"/>
      <c r="B585" s="47" t="s">
        <v>692</v>
      </c>
      <c r="C585" s="14"/>
      <c r="D585" s="14"/>
      <c r="E585" s="14"/>
      <c r="F585" s="14"/>
      <c r="G585" s="14"/>
      <c r="H585" s="14"/>
      <c r="I585" s="120"/>
      <c r="J585" s="14"/>
      <c r="K585" s="14"/>
      <c r="L585" s="30"/>
      <c r="M585" s="14"/>
      <c r="N585" s="14"/>
      <c r="O585" s="30"/>
      <c r="P585" s="120" t="s">
        <v>680</v>
      </c>
      <c r="Q585" s="30"/>
      <c r="R585" s="234" t="s">
        <v>127</v>
      </c>
      <c r="S585" s="795">
        <f>J561</f>
        <v>437.38656756789834</v>
      </c>
      <c r="T585" s="684"/>
      <c r="U585" s="30" t="s">
        <v>8</v>
      </c>
      <c r="V585" s="185"/>
    </row>
    <row r="586" spans="1:22" s="279" customFormat="1" ht="18" hidden="1" customHeight="1">
      <c r="A586" s="184"/>
      <c r="B586" s="47" t="s">
        <v>659</v>
      </c>
      <c r="C586" s="14"/>
      <c r="D586" s="14"/>
      <c r="E586" s="14"/>
      <c r="F586" s="14"/>
      <c r="G586" s="14"/>
      <c r="H586" s="14"/>
      <c r="I586" s="120"/>
      <c r="J586" s="14"/>
      <c r="K586" s="14"/>
      <c r="L586" s="30"/>
      <c r="M586" s="14"/>
      <c r="N586" s="14"/>
      <c r="O586" s="30"/>
      <c r="P586" s="120" t="s">
        <v>660</v>
      </c>
      <c r="Q586" s="30"/>
      <c r="R586" s="234" t="s">
        <v>127</v>
      </c>
      <c r="S586" s="684">
        <f>S498</f>
        <v>1</v>
      </c>
      <c r="T586" s="684"/>
      <c r="U586" s="30" t="s">
        <v>8</v>
      </c>
      <c r="V586" s="185"/>
    </row>
    <row r="587" spans="1:22" ht="18" hidden="1" customHeight="1">
      <c r="A587" s="96"/>
      <c r="B587" s="14"/>
      <c r="C587" s="14"/>
      <c r="D587" s="235"/>
      <c r="E587" s="14"/>
      <c r="F587" s="28"/>
      <c r="G587" s="249"/>
      <c r="H587" s="28"/>
      <c r="I587" s="251"/>
      <c r="J587" s="14"/>
      <c r="K587" s="280"/>
      <c r="M587" s="47"/>
      <c r="N587" s="268"/>
      <c r="P587" s="281"/>
      <c r="R587" s="234"/>
      <c r="S587" s="1148"/>
      <c r="T587" s="723"/>
      <c r="V587" s="185"/>
    </row>
    <row r="588" spans="1:22" ht="18" hidden="1" customHeight="1">
      <c r="A588" s="272" t="s">
        <v>693</v>
      </c>
      <c r="B588" s="14"/>
      <c r="C588" s="14"/>
      <c r="D588" s="14"/>
      <c r="E588" s="14"/>
      <c r="F588" s="14"/>
      <c r="G588" s="14"/>
      <c r="H588" s="28">
        <v>3</v>
      </c>
      <c r="I588" s="47" t="s">
        <v>694</v>
      </c>
      <c r="J588" s="14"/>
      <c r="K588" s="14"/>
      <c r="M588" s="14" t="s">
        <v>337</v>
      </c>
      <c r="N588" s="14"/>
      <c r="P588" s="120"/>
      <c r="R588" s="234"/>
      <c r="S588" s="1149"/>
      <c r="T588" s="723"/>
      <c r="V588" s="185"/>
    </row>
    <row r="589" spans="1:22" ht="18" hidden="1" customHeight="1">
      <c r="A589" s="272"/>
      <c r="B589" s="14"/>
      <c r="C589" s="14"/>
      <c r="D589" s="14"/>
      <c r="E589" s="14"/>
      <c r="F589" s="14"/>
      <c r="G589" s="14"/>
      <c r="H589" s="28"/>
      <c r="I589" s="47"/>
      <c r="J589" s="14"/>
      <c r="K589" s="14"/>
      <c r="M589" s="14"/>
      <c r="N589" s="14"/>
      <c r="P589" s="120"/>
      <c r="R589" s="234"/>
      <c r="S589" s="282"/>
      <c r="V589" s="185"/>
    </row>
    <row r="590" spans="1:22" ht="18" hidden="1" customHeight="1">
      <c r="A590" s="277"/>
      <c r="B590" s="689" t="s">
        <v>703</v>
      </c>
      <c r="C590" s="1150" t="s">
        <v>652</v>
      </c>
      <c r="D590" s="279"/>
      <c r="E590" s="279"/>
      <c r="F590" s="279"/>
      <c r="G590" s="802">
        <f>H588</f>
        <v>3</v>
      </c>
      <c r="H590" s="1151" t="s">
        <v>315</v>
      </c>
      <c r="I590" s="829">
        <f>S584</f>
        <v>6998.1850810863734</v>
      </c>
      <c r="J590" s="1152"/>
      <c r="K590" s="1152"/>
      <c r="L590" s="1152"/>
      <c r="M590" s="1152"/>
      <c r="N590" s="689" t="s">
        <v>672</v>
      </c>
      <c r="O590" s="708">
        <f>S581</f>
        <v>10</v>
      </c>
      <c r="P590" s="689" t="s">
        <v>347</v>
      </c>
      <c r="Q590" s="829">
        <f>S582</f>
        <v>1.2667743100000002</v>
      </c>
      <c r="R590" s="708" t="s">
        <v>674</v>
      </c>
      <c r="S590" s="708">
        <f>S583</f>
        <v>1</v>
      </c>
      <c r="T590" s="14"/>
      <c r="U590" s="729" t="s">
        <v>653</v>
      </c>
      <c r="V590" s="185"/>
    </row>
    <row r="591" spans="1:22" ht="18" hidden="1" customHeight="1">
      <c r="A591" s="277"/>
      <c r="B591" s="689"/>
      <c r="C591" s="689"/>
      <c r="D591" s="279"/>
      <c r="E591" s="279"/>
      <c r="F591" s="279"/>
      <c r="G591" s="802"/>
      <c r="H591" s="684"/>
      <c r="I591" s="689">
        <v>1.3</v>
      </c>
      <c r="J591" s="684"/>
      <c r="K591" s="28" t="s">
        <v>315</v>
      </c>
      <c r="L591" s="689">
        <f>S580</f>
        <v>3000</v>
      </c>
      <c r="M591" s="684"/>
      <c r="N591" s="689"/>
      <c r="O591" s="689"/>
      <c r="P591" s="689"/>
      <c r="Q591" s="689"/>
      <c r="R591" s="689"/>
      <c r="S591" s="689"/>
      <c r="T591" s="14"/>
      <c r="U591" s="689"/>
      <c r="V591" s="185"/>
    </row>
    <row r="592" spans="1:22" ht="18" hidden="1" customHeight="1">
      <c r="A592" s="96"/>
      <c r="B592" s="14"/>
      <c r="C592" s="27" t="s">
        <v>127</v>
      </c>
      <c r="D592" s="812">
        <f>G590*(I590/(I591*L591)*(O590+Q590)*S590)</f>
        <v>60.651516837084017</v>
      </c>
      <c r="E592" s="813"/>
      <c r="F592" s="30" t="s">
        <v>305</v>
      </c>
      <c r="G592" s="14"/>
      <c r="H592" s="14"/>
      <c r="I592" s="14"/>
      <c r="J592" s="14"/>
      <c r="K592" s="14"/>
      <c r="L592" s="14"/>
      <c r="M592" s="14"/>
      <c r="N592" s="14"/>
      <c r="R592" s="234"/>
      <c r="S592" s="204"/>
      <c r="V592" s="185"/>
    </row>
    <row r="593" spans="1:22" ht="18" hidden="1" customHeight="1">
      <c r="A593" s="96"/>
      <c r="B593" s="14"/>
      <c r="G593" s="14"/>
      <c r="H593" s="14"/>
      <c r="I593" s="14"/>
      <c r="J593" s="14"/>
      <c r="K593" s="14"/>
      <c r="L593" s="14"/>
      <c r="M593" s="14"/>
      <c r="N593" s="14"/>
      <c r="R593" s="234"/>
      <c r="S593" s="204"/>
      <c r="V593" s="185"/>
    </row>
    <row r="594" spans="1:22" ht="18" hidden="1" customHeight="1">
      <c r="A594" s="96"/>
      <c r="B594" s="14"/>
      <c r="D594" s="30" t="s">
        <v>475</v>
      </c>
      <c r="G594" s="27" t="str">
        <f>IF(E595&gt;H595,"&gt;","&lt;")</f>
        <v>&gt;</v>
      </c>
      <c r="H594" s="30" t="s">
        <v>477</v>
      </c>
      <c r="M594" s="14"/>
      <c r="N594" s="14"/>
      <c r="R594" s="234"/>
      <c r="S594" s="204"/>
      <c r="V594" s="185"/>
    </row>
    <row r="595" spans="1:22" ht="18" hidden="1" customHeight="1">
      <c r="A595" s="96"/>
      <c r="B595" s="14"/>
      <c r="E595" s="684">
        <f>L537</f>
        <v>800</v>
      </c>
      <c r="F595" s="684"/>
      <c r="G595" s="27" t="str">
        <f>G594</f>
        <v>&gt;</v>
      </c>
      <c r="H595" s="795">
        <f>D592</f>
        <v>60.651516837084017</v>
      </c>
      <c r="I595" s="684"/>
      <c r="M595" s="14"/>
      <c r="N595" s="14"/>
      <c r="R595" s="234"/>
      <c r="S595" s="204"/>
      <c r="V595" s="185"/>
    </row>
    <row r="596" spans="1:22" ht="18" hidden="1" customHeight="1">
      <c r="A596" s="96"/>
      <c r="B596" s="14"/>
      <c r="F596" s="244" t="s">
        <v>478</v>
      </c>
      <c r="H596" s="18" t="str">
        <f>IF(G594="&gt;","Suitably Dimentioned","Under Dimentioned")</f>
        <v>Suitably Dimentioned</v>
      </c>
      <c r="M596" s="14"/>
      <c r="N596" s="14"/>
      <c r="R596" s="234"/>
      <c r="S596" s="204"/>
      <c r="V596" s="185"/>
    </row>
    <row r="597" spans="1:22" ht="18" hidden="1" customHeight="1">
      <c r="A597" s="96"/>
      <c r="B597" s="14"/>
      <c r="G597" s="14"/>
      <c r="H597" s="14"/>
      <c r="I597" s="14"/>
      <c r="J597" s="14"/>
      <c r="K597" s="14"/>
      <c r="L597" s="14"/>
      <c r="M597" s="14"/>
      <c r="N597" s="14"/>
      <c r="R597" s="234"/>
      <c r="S597" s="204"/>
      <c r="V597" s="185"/>
    </row>
    <row r="598" spans="1:22" ht="18" hidden="1" customHeight="1">
      <c r="A598" s="193" t="s">
        <v>695</v>
      </c>
      <c r="B598" s="14"/>
      <c r="G598" s="14"/>
      <c r="H598" s="14"/>
      <c r="I598" s="14"/>
      <c r="J598" s="14"/>
      <c r="K598" s="14"/>
      <c r="L598" s="14"/>
      <c r="M598" s="14"/>
      <c r="N598" s="14"/>
      <c r="R598" s="234"/>
      <c r="S598" s="204"/>
      <c r="V598" s="185"/>
    </row>
    <row r="599" spans="1:22" ht="18" hidden="1" customHeight="1">
      <c r="A599" s="96"/>
      <c r="B599" s="14"/>
      <c r="D599" s="802" t="s">
        <v>696</v>
      </c>
      <c r="E599" s="716"/>
      <c r="F599" s="689" t="s">
        <v>127</v>
      </c>
      <c r="G599" s="708" t="s">
        <v>423</v>
      </c>
      <c r="H599" s="1147"/>
      <c r="I599" s="689" t="s">
        <v>315</v>
      </c>
      <c r="J599" s="708" t="s">
        <v>697</v>
      </c>
      <c r="K599" s="1147"/>
      <c r="L599" s="14"/>
      <c r="M599" s="14"/>
      <c r="N599" s="14"/>
      <c r="R599" s="234"/>
      <c r="S599" s="204"/>
      <c r="V599" s="185"/>
    </row>
    <row r="600" spans="1:22" ht="18" hidden="1" customHeight="1">
      <c r="A600" s="96"/>
      <c r="B600" s="14"/>
      <c r="D600" s="716"/>
      <c r="E600" s="716"/>
      <c r="F600" s="689"/>
      <c r="G600" s="689" t="s">
        <v>680</v>
      </c>
      <c r="H600" s="716"/>
      <c r="I600" s="689"/>
      <c r="J600" s="689" t="s">
        <v>411</v>
      </c>
      <c r="K600" s="716"/>
      <c r="L600" s="14"/>
      <c r="M600" s="14"/>
      <c r="N600" s="14"/>
      <c r="R600" s="234"/>
      <c r="S600" s="204"/>
      <c r="V600" s="185"/>
    </row>
    <row r="601" spans="1:22" ht="18" hidden="1" customHeight="1">
      <c r="A601" s="96"/>
      <c r="B601" s="14"/>
      <c r="D601" s="14"/>
      <c r="E601" s="14"/>
      <c r="F601" s="14"/>
      <c r="G601" s="14"/>
      <c r="H601" s="14"/>
      <c r="I601" s="14"/>
      <c r="J601" s="14"/>
      <c r="K601" s="14"/>
      <c r="L601" s="14"/>
      <c r="M601" s="14"/>
      <c r="N601" s="14"/>
      <c r="R601" s="234"/>
      <c r="S601" s="204"/>
      <c r="V601" s="185"/>
    </row>
    <row r="602" spans="1:22" ht="18" hidden="1" customHeight="1">
      <c r="A602" s="96"/>
      <c r="B602" s="14"/>
      <c r="D602" s="14"/>
      <c r="E602" s="14"/>
      <c r="F602" s="689" t="s">
        <v>127</v>
      </c>
      <c r="G602" s="708">
        <f>S580</f>
        <v>3000</v>
      </c>
      <c r="H602" s="1147"/>
      <c r="I602" s="689" t="s">
        <v>315</v>
      </c>
      <c r="J602" s="708">
        <f>S586</f>
        <v>1</v>
      </c>
      <c r="K602" s="1147"/>
      <c r="L602" s="14"/>
      <c r="M602" s="14"/>
      <c r="N602" s="14"/>
      <c r="R602" s="234"/>
      <c r="S602" s="204"/>
      <c r="V602" s="185"/>
    </row>
    <row r="603" spans="1:22" ht="18" hidden="1" customHeight="1">
      <c r="A603" s="96"/>
      <c r="B603" s="14"/>
      <c r="D603" s="14"/>
      <c r="E603" s="14"/>
      <c r="F603" s="689"/>
      <c r="G603" s="692">
        <f>J561</f>
        <v>437.38656756789834</v>
      </c>
      <c r="H603" s="716"/>
      <c r="I603" s="689"/>
      <c r="J603" s="689">
        <f>S583</f>
        <v>1</v>
      </c>
      <c r="K603" s="716"/>
      <c r="L603" s="14"/>
      <c r="M603" s="14"/>
      <c r="N603" s="14"/>
      <c r="R603" s="234"/>
      <c r="S603" s="204"/>
      <c r="V603" s="185"/>
    </row>
    <row r="604" spans="1:22" ht="18" hidden="1" customHeight="1">
      <c r="A604" s="96"/>
      <c r="B604" s="14"/>
      <c r="D604" s="14"/>
      <c r="E604" s="14"/>
      <c r="F604" s="14"/>
      <c r="G604" s="14"/>
      <c r="H604" s="14"/>
      <c r="I604" s="14"/>
      <c r="J604" s="14"/>
      <c r="K604" s="14"/>
      <c r="L604" s="14"/>
      <c r="M604" s="14"/>
      <c r="N604" s="14"/>
      <c r="R604" s="234"/>
      <c r="S604" s="204"/>
      <c r="V604" s="185"/>
    </row>
    <row r="605" spans="1:22" ht="18" hidden="1" customHeight="1">
      <c r="A605" s="96"/>
      <c r="B605" s="14"/>
      <c r="D605" s="14"/>
      <c r="E605" s="14"/>
      <c r="F605" s="28" t="s">
        <v>127</v>
      </c>
      <c r="G605" s="689">
        <f>(G602/G603)*(J602/J603)</f>
        <v>6.8589211979727533</v>
      </c>
      <c r="H605" s="689"/>
      <c r="I605" s="14"/>
      <c r="J605" s="14"/>
      <c r="K605" s="14"/>
      <c r="L605" s="14"/>
      <c r="M605" s="14"/>
      <c r="N605" s="14"/>
      <c r="R605" s="234"/>
      <c r="S605" s="204"/>
      <c r="V605" s="185"/>
    </row>
    <row r="606" spans="1:22" ht="18" hidden="1" customHeight="1">
      <c r="A606" s="96"/>
      <c r="B606" s="14"/>
      <c r="G606" s="14"/>
      <c r="H606" s="14"/>
      <c r="I606" s="14"/>
      <c r="J606" s="14"/>
      <c r="K606" s="14"/>
      <c r="L606" s="14"/>
      <c r="M606" s="14"/>
      <c r="N606" s="14"/>
      <c r="R606" s="234"/>
      <c r="S606" s="204"/>
      <c r="V606" s="185"/>
    </row>
    <row r="607" spans="1:22" s="14" customFormat="1" ht="18" hidden="1" customHeight="1">
      <c r="A607" s="96"/>
      <c r="C607" s="30"/>
      <c r="D607" s="283" t="s">
        <v>698</v>
      </c>
      <c r="E607" s="284" t="s">
        <v>699</v>
      </c>
      <c r="F607" s="689" t="s">
        <v>696</v>
      </c>
      <c r="G607" s="716"/>
      <c r="H607" s="716"/>
      <c r="I607" s="284" t="s">
        <v>699</v>
      </c>
      <c r="J607" s="28">
        <v>4</v>
      </c>
      <c r="K607" s="30"/>
      <c r="L607" s="279"/>
      <c r="M607" s="120" t="s">
        <v>700</v>
      </c>
      <c r="N607" s="47" t="s">
        <v>701</v>
      </c>
      <c r="O607" s="279"/>
      <c r="P607" s="236"/>
      <c r="Q607" s="236"/>
      <c r="R607" s="234"/>
      <c r="S607" s="204"/>
      <c r="T607" s="30"/>
      <c r="U607" s="30"/>
      <c r="V607" s="185"/>
    </row>
    <row r="608" spans="1:22" ht="18" hidden="1" customHeight="1">
      <c r="A608" s="96"/>
      <c r="B608" s="14"/>
      <c r="D608" s="218">
        <v>0.25</v>
      </c>
      <c r="E608" s="284" t="str">
        <f>IF(D608&lt;=G605,"≤","&gt;")</f>
        <v>≤</v>
      </c>
      <c r="F608" s="688">
        <f>G605</f>
        <v>6.8589211979727533</v>
      </c>
      <c r="G608" s="1145"/>
      <c r="H608" s="688"/>
      <c r="I608" s="284" t="str">
        <f>IF(G605&lt;=J607,"≤","&gt;")</f>
        <v>&gt;</v>
      </c>
      <c r="J608" s="28">
        <f>J607</f>
        <v>4</v>
      </c>
      <c r="L608" s="279"/>
      <c r="M608" s="120"/>
      <c r="N608" s="213"/>
      <c r="O608" s="279"/>
      <c r="P608" s="236"/>
      <c r="Q608" s="236"/>
      <c r="R608" s="234"/>
      <c r="S608" s="204"/>
      <c r="V608" s="185"/>
    </row>
    <row r="609" spans="1:22" ht="18" hidden="1" customHeight="1">
      <c r="A609" s="96"/>
      <c r="B609" s="14"/>
      <c r="G609" s="14"/>
      <c r="H609" s="14"/>
      <c r="I609" s="14"/>
      <c r="J609" s="14"/>
      <c r="K609" s="14"/>
      <c r="L609" s="14"/>
      <c r="M609" s="14"/>
      <c r="N609" s="14"/>
      <c r="R609" s="234"/>
      <c r="S609" s="204"/>
      <c r="V609" s="185"/>
    </row>
    <row r="610" spans="1:22" ht="18" hidden="1" customHeight="1">
      <c r="A610" s="96"/>
      <c r="B610" s="14" t="s">
        <v>702</v>
      </c>
      <c r="G610" s="14"/>
      <c r="H610" s="18" t="str">
        <f>IF(AND(E608="≤",I608="≤")=TRUE,"OK","Not OK")</f>
        <v>Not OK</v>
      </c>
      <c r="I610" s="14"/>
      <c r="J610" s="14"/>
      <c r="K610" s="14"/>
      <c r="L610" s="14"/>
      <c r="M610" s="14"/>
      <c r="N610" s="14"/>
      <c r="R610" s="234"/>
      <c r="S610" s="204"/>
      <c r="V610" s="185"/>
    </row>
    <row r="611" spans="1:22" ht="18" hidden="1" customHeight="1">
      <c r="A611" s="96"/>
      <c r="B611" s="14"/>
      <c r="G611" s="14"/>
      <c r="H611" s="18"/>
      <c r="I611" s="14"/>
      <c r="J611" s="14"/>
      <c r="K611" s="14"/>
      <c r="L611" s="14"/>
      <c r="M611" s="14"/>
      <c r="N611" s="14"/>
      <c r="R611" s="234"/>
      <c r="S611" s="204"/>
      <c r="V611" s="185"/>
    </row>
    <row r="612" spans="1:22" ht="18" hidden="1" customHeight="1">
      <c r="A612" s="96"/>
      <c r="B612" s="14"/>
      <c r="G612" s="14"/>
      <c r="H612" s="18"/>
      <c r="I612" s="14"/>
      <c r="J612" s="14"/>
      <c r="K612" s="14"/>
      <c r="L612" s="14"/>
      <c r="M612" s="14"/>
      <c r="N612" s="14"/>
      <c r="R612" s="234"/>
      <c r="S612" s="204"/>
      <c r="V612" s="185"/>
    </row>
    <row r="613" spans="1:22" ht="18" hidden="1" customHeight="1">
      <c r="A613" s="96"/>
      <c r="B613" s="14"/>
      <c r="G613" s="14"/>
      <c r="H613" s="18"/>
      <c r="I613" s="14"/>
      <c r="J613" s="14"/>
      <c r="K613" s="14"/>
      <c r="L613" s="14"/>
      <c r="M613" s="14"/>
      <c r="N613" s="14"/>
      <c r="R613" s="234"/>
      <c r="S613" s="204"/>
      <c r="V613" s="185"/>
    </row>
    <row r="614" spans="1:22" ht="18" hidden="1" customHeight="1">
      <c r="A614" s="96"/>
      <c r="B614" s="14"/>
      <c r="G614" s="14"/>
      <c r="H614" s="18"/>
      <c r="I614" s="14"/>
      <c r="J614" s="14"/>
      <c r="K614" s="14"/>
      <c r="L614" s="14"/>
      <c r="M614" s="14"/>
      <c r="N614" s="14"/>
      <c r="R614" s="234"/>
      <c r="S614" s="204"/>
      <c r="V614" s="185"/>
    </row>
    <row r="615" spans="1:22" ht="18" hidden="1" customHeight="1">
      <c r="A615" s="96"/>
      <c r="B615" s="14"/>
      <c r="G615" s="14"/>
      <c r="H615" s="18"/>
      <c r="I615" s="14"/>
      <c r="J615" s="14"/>
      <c r="K615" s="14"/>
      <c r="L615" s="14"/>
      <c r="M615" s="14"/>
      <c r="N615" s="14"/>
      <c r="R615" s="234"/>
      <c r="S615" s="204"/>
      <c r="V615" s="185"/>
    </row>
    <row r="616" spans="1:22" ht="18" hidden="1" customHeight="1">
      <c r="A616" s="96"/>
      <c r="B616" s="14"/>
      <c r="G616" s="14"/>
      <c r="H616" s="14"/>
      <c r="I616" s="14"/>
      <c r="J616" s="14"/>
      <c r="K616" s="14"/>
      <c r="L616" s="14"/>
      <c r="M616" s="14"/>
      <c r="N616" s="14"/>
      <c r="R616" s="234"/>
      <c r="S616" s="204"/>
      <c r="V616" s="185"/>
    </row>
    <row r="617" spans="1:22" ht="18" hidden="1" customHeight="1">
      <c r="A617" s="194"/>
      <c r="B617" s="195"/>
      <c r="C617" s="195"/>
      <c r="D617" s="195"/>
      <c r="E617" s="195"/>
      <c r="F617" s="195"/>
      <c r="G617" s="195"/>
      <c r="H617" s="195"/>
      <c r="I617" s="195"/>
      <c r="J617" s="195"/>
      <c r="K617" s="195"/>
      <c r="L617" s="195"/>
      <c r="M617" s="195"/>
      <c r="N617" s="195"/>
      <c r="O617" s="195"/>
      <c r="P617" s="195"/>
      <c r="Q617" s="224"/>
      <c r="R617" s="182"/>
      <c r="S617" s="225"/>
      <c r="T617" s="195"/>
      <c r="U617" s="195"/>
      <c r="V617" s="134" t="s">
        <v>552</v>
      </c>
    </row>
    <row r="618" spans="1:22" ht="18" hidden="1" customHeight="1">
      <c r="A618" s="226"/>
      <c r="B618" s="227"/>
      <c r="C618" s="227"/>
      <c r="D618" s="227"/>
      <c r="E618" s="227"/>
      <c r="F618" s="227"/>
      <c r="G618" s="227"/>
      <c r="H618" s="227"/>
      <c r="I618" s="227"/>
      <c r="J618" s="227"/>
      <c r="K618" s="227"/>
      <c r="L618" s="227"/>
      <c r="M618" s="227"/>
      <c r="N618" s="227"/>
      <c r="O618" s="227"/>
      <c r="P618" s="227"/>
      <c r="Q618" s="227"/>
      <c r="R618" s="227"/>
      <c r="S618" s="227"/>
      <c r="T618" s="227"/>
      <c r="U618" s="227"/>
      <c r="V618" s="228"/>
    </row>
    <row r="619" spans="1:22" ht="18" hidden="1" customHeight="1">
      <c r="A619" s="262" t="s">
        <v>532</v>
      </c>
      <c r="B619" s="14"/>
      <c r="C619" s="14"/>
      <c r="D619" s="120"/>
      <c r="E619" s="120"/>
      <c r="F619" s="18"/>
      <c r="G619" s="18"/>
      <c r="H619" s="14"/>
      <c r="I619" s="14"/>
      <c r="J619" s="14"/>
      <c r="K619" s="14"/>
      <c r="L619" s="14"/>
      <c r="M619" s="14"/>
      <c r="N619" s="14"/>
      <c r="O619" s="14"/>
      <c r="P619" s="28"/>
      <c r="Q619" s="120"/>
      <c r="R619" s="47"/>
      <c r="S619" s="206"/>
      <c r="T619" s="259"/>
      <c r="U619" s="14"/>
      <c r="V619" s="97"/>
    </row>
    <row r="620" spans="1:22" ht="18" hidden="1" customHeight="1">
      <c r="A620" s="955" t="s">
        <v>85</v>
      </c>
      <c r="B620" s="956"/>
      <c r="C620" s="1132"/>
      <c r="D620" s="955" t="s">
        <v>86</v>
      </c>
      <c r="E620" s="1146"/>
      <c r="F620" s="1146"/>
      <c r="G620" s="1132"/>
      <c r="H620" s="955" t="s">
        <v>87</v>
      </c>
      <c r="I620" s="957"/>
      <c r="J620" s="955" t="s">
        <v>88</v>
      </c>
      <c r="K620" s="1132"/>
      <c r="L620" s="955" t="s">
        <v>502</v>
      </c>
      <c r="M620" s="956"/>
      <c r="N620" s="957" t="s">
        <v>556</v>
      </c>
      <c r="O620" s="955" t="s">
        <v>557</v>
      </c>
      <c r="P620" s="956"/>
      <c r="Q620" s="1132"/>
      <c r="R620" s="955" t="s">
        <v>558</v>
      </c>
      <c r="S620" s="1135"/>
      <c r="T620" s="1133"/>
      <c r="U620" s="955" t="s">
        <v>505</v>
      </c>
      <c r="V620" s="1139"/>
    </row>
    <row r="621" spans="1:22" ht="18" hidden="1" customHeight="1">
      <c r="A621" s="1125"/>
      <c r="B621" s="983"/>
      <c r="C621" s="1133"/>
      <c r="D621" s="1136"/>
      <c r="E621" s="1135"/>
      <c r="F621" s="1135"/>
      <c r="G621" s="1133"/>
      <c r="H621" s="1125"/>
      <c r="I621" s="1126"/>
      <c r="J621" s="1136"/>
      <c r="K621" s="1133"/>
      <c r="L621" s="1125"/>
      <c r="M621" s="983"/>
      <c r="N621" s="1126"/>
      <c r="O621" s="1125"/>
      <c r="P621" s="983"/>
      <c r="Q621" s="1133"/>
      <c r="R621" s="1136"/>
      <c r="S621" s="1135"/>
      <c r="T621" s="1133"/>
      <c r="U621" s="1140"/>
      <c r="V621" s="1141"/>
    </row>
    <row r="622" spans="1:22" ht="18" hidden="1" customHeight="1">
      <c r="A622" s="1047"/>
      <c r="B622" s="1048"/>
      <c r="C622" s="1134"/>
      <c r="D622" s="1137"/>
      <c r="E622" s="1138"/>
      <c r="F622" s="1138"/>
      <c r="G622" s="1134"/>
      <c r="H622" s="1047"/>
      <c r="I622" s="1049"/>
      <c r="J622" s="1137"/>
      <c r="K622" s="1134"/>
      <c r="L622" s="1047"/>
      <c r="M622" s="1048"/>
      <c r="N622" s="1049"/>
      <c r="O622" s="1047"/>
      <c r="P622" s="1048"/>
      <c r="Q622" s="1134"/>
      <c r="R622" s="1137"/>
      <c r="S622" s="1138"/>
      <c r="T622" s="1134"/>
      <c r="U622" s="1142"/>
      <c r="V622" s="1143"/>
    </row>
    <row r="623" spans="1:22" ht="18" hidden="1" customHeight="1">
      <c r="A623" s="765" t="str">
        <f>B531</f>
        <v>CT1L1</v>
      </c>
      <c r="B623" s="1144" t="str">
        <f>B532</f>
        <v>CT1L2</v>
      </c>
      <c r="C623" s="871" t="str">
        <f>D531</f>
        <v>Core3</v>
      </c>
      <c r="D623" s="871">
        <f>H446</f>
        <v>5000</v>
      </c>
      <c r="E623" s="871">
        <f>J446</f>
        <v>4000</v>
      </c>
      <c r="F623" s="871">
        <f>L534</f>
        <v>3000</v>
      </c>
      <c r="G623" s="871">
        <f>O446</f>
        <v>1</v>
      </c>
      <c r="H623" s="871">
        <f>'[6]CT-VT Burdens'!S19</f>
        <v>100</v>
      </c>
      <c r="I623" s="1036">
        <f>'[6]CT-VT Burdens'!S10</f>
        <v>4</v>
      </c>
      <c r="J623" s="869" t="str">
        <f>J447</f>
        <v>PX</v>
      </c>
      <c r="K623" s="869"/>
      <c r="L623" s="871">
        <f>H365</f>
        <v>20</v>
      </c>
      <c r="M623" s="871">
        <f>J448</f>
        <v>15</v>
      </c>
      <c r="N623" s="871">
        <f>L536</f>
        <v>10</v>
      </c>
      <c r="O623" s="871">
        <f>H366</f>
        <v>1000</v>
      </c>
      <c r="P623" s="871">
        <f>J449</f>
        <v>800</v>
      </c>
      <c r="Q623" s="871">
        <f>L537</f>
        <v>800</v>
      </c>
      <c r="R623" s="871">
        <f>H367</f>
        <v>20</v>
      </c>
      <c r="S623" s="871">
        <f>J450</f>
        <v>40</v>
      </c>
      <c r="T623" s="871">
        <f>L538</f>
        <v>50</v>
      </c>
      <c r="U623" s="775" t="str">
        <f>D454</f>
        <v>7UT85</v>
      </c>
      <c r="V623" s="776"/>
    </row>
    <row r="624" spans="1:22" ht="18" hidden="1" customHeight="1">
      <c r="A624" s="765" t="str">
        <f>B532</f>
        <v>CT1L2</v>
      </c>
      <c r="B624" s="1144">
        <f>A533</f>
        <v>0</v>
      </c>
      <c r="C624" s="1130"/>
      <c r="D624" s="1130"/>
      <c r="E624" s="1130"/>
      <c r="F624" s="1130"/>
      <c r="G624" s="1130"/>
      <c r="H624" s="1130"/>
      <c r="I624" s="1130"/>
      <c r="J624" s="1129"/>
      <c r="K624" s="1129"/>
      <c r="L624" s="1130"/>
      <c r="M624" s="1130"/>
      <c r="N624" s="1130"/>
      <c r="O624" s="1130"/>
      <c r="P624" s="1130"/>
      <c r="Q624" s="1130"/>
      <c r="R624" s="1130"/>
      <c r="S624" s="1130"/>
      <c r="T624" s="1130"/>
      <c r="U624" s="775"/>
      <c r="V624" s="776"/>
    </row>
    <row r="625" spans="1:22" ht="18" hidden="1" customHeight="1">
      <c r="A625" s="765">
        <f>A533</f>
        <v>0</v>
      </c>
      <c r="B625" s="1144" t="str">
        <f>B534</f>
        <v>CT Ratio:</v>
      </c>
      <c r="C625" s="1131"/>
      <c r="D625" s="1131"/>
      <c r="E625" s="1131"/>
      <c r="F625" s="1131"/>
      <c r="G625" s="1131"/>
      <c r="H625" s="1131"/>
      <c r="I625" s="1131"/>
      <c r="J625" s="1129"/>
      <c r="K625" s="1129"/>
      <c r="L625" s="1131"/>
      <c r="M625" s="1131"/>
      <c r="N625" s="1131"/>
      <c r="O625" s="1131"/>
      <c r="P625" s="1131"/>
      <c r="Q625" s="1131"/>
      <c r="R625" s="1131"/>
      <c r="S625" s="1131"/>
      <c r="T625" s="1131"/>
      <c r="U625" s="775"/>
      <c r="V625" s="776"/>
    </row>
    <row r="626" spans="1:22" ht="18" hidden="1" customHeight="1">
      <c r="A626" s="184"/>
      <c r="V626" s="185"/>
    </row>
    <row r="627" spans="1:22" ht="18" hidden="1" customHeight="1">
      <c r="A627" s="184"/>
      <c r="V627" s="185"/>
    </row>
    <row r="628" spans="1:22" ht="18" hidden="1" customHeight="1">
      <c r="A628" s="184"/>
      <c r="V628" s="185"/>
    </row>
    <row r="629" spans="1:22" ht="18" hidden="1" customHeight="1">
      <c r="A629" s="184"/>
      <c r="V629" s="185"/>
    </row>
    <row r="630" spans="1:22" ht="18" hidden="1" customHeight="1">
      <c r="A630" s="184"/>
      <c r="V630" s="185"/>
    </row>
    <row r="631" spans="1:22" ht="18" hidden="1" customHeight="1">
      <c r="A631" s="184"/>
      <c r="V631" s="185"/>
    </row>
    <row r="632" spans="1:22" ht="18" hidden="1" customHeight="1">
      <c r="A632" s="184"/>
      <c r="V632" s="185"/>
    </row>
    <row r="633" spans="1:22" ht="18" hidden="1" customHeight="1">
      <c r="A633" s="184"/>
      <c r="V633" s="185"/>
    </row>
    <row r="634" spans="1:22" ht="18" hidden="1" customHeight="1">
      <c r="A634" s="184"/>
      <c r="V634" s="185"/>
    </row>
    <row r="635" spans="1:22" ht="18" hidden="1" customHeight="1">
      <c r="A635" s="184"/>
      <c r="V635" s="185"/>
    </row>
    <row r="636" spans="1:22" ht="18" hidden="1" customHeight="1">
      <c r="A636" s="184"/>
      <c r="V636" s="185"/>
    </row>
    <row r="637" spans="1:22" ht="18" hidden="1" customHeight="1">
      <c r="A637" s="184"/>
      <c r="V637" s="185"/>
    </row>
    <row r="638" spans="1:22" ht="18" hidden="1" customHeight="1">
      <c r="A638" s="184"/>
      <c r="V638" s="185"/>
    </row>
    <row r="639" spans="1:22" ht="18" hidden="1" customHeight="1">
      <c r="A639" s="184"/>
      <c r="V639" s="185"/>
    </row>
    <row r="640" spans="1:22" ht="18" hidden="1" customHeight="1">
      <c r="A640" s="184"/>
      <c r="V640" s="185"/>
    </row>
    <row r="641" spans="1:22" ht="18" hidden="1" customHeight="1">
      <c r="A641" s="184"/>
      <c r="V641" s="185"/>
    </row>
    <row r="642" spans="1:22" ht="18" hidden="1" customHeight="1">
      <c r="A642" s="184"/>
      <c r="V642" s="185"/>
    </row>
    <row r="643" spans="1:22" ht="18" hidden="1" customHeight="1">
      <c r="A643" s="184"/>
      <c r="V643" s="185"/>
    </row>
    <row r="644" spans="1:22" ht="18" hidden="1" customHeight="1">
      <c r="A644" s="184"/>
      <c r="V644" s="185"/>
    </row>
    <row r="645" spans="1:22" ht="18" hidden="1" customHeight="1">
      <c r="A645" s="184"/>
      <c r="V645" s="185"/>
    </row>
    <row r="646" spans="1:22" ht="18" hidden="1" customHeight="1">
      <c r="A646" s="184"/>
      <c r="V646" s="185"/>
    </row>
    <row r="647" spans="1:22" ht="18" hidden="1" customHeight="1">
      <c r="A647" s="184"/>
      <c r="V647" s="185"/>
    </row>
    <row r="648" spans="1:22" ht="18" hidden="1" customHeight="1">
      <c r="A648" s="184"/>
      <c r="V648" s="185"/>
    </row>
    <row r="649" spans="1:22" ht="18" hidden="1" customHeight="1">
      <c r="A649" s="184"/>
      <c r="V649" s="185"/>
    </row>
    <row r="650" spans="1:22" ht="18" hidden="1" customHeight="1">
      <c r="A650" s="184"/>
      <c r="V650" s="185"/>
    </row>
    <row r="651" spans="1:22" ht="18" hidden="1" customHeight="1">
      <c r="A651" s="184"/>
      <c r="V651" s="185"/>
    </row>
    <row r="652" spans="1:22" ht="18" hidden="1" customHeight="1">
      <c r="A652" s="184"/>
      <c r="V652" s="185"/>
    </row>
    <row r="653" spans="1:22" ht="18" hidden="1" customHeight="1">
      <c r="A653" s="184"/>
      <c r="V653" s="185"/>
    </row>
    <row r="654" spans="1:22" ht="18" hidden="1" customHeight="1">
      <c r="A654" s="184"/>
      <c r="V654" s="185"/>
    </row>
    <row r="655" spans="1:22" ht="18" hidden="1" customHeight="1">
      <c r="A655" s="184"/>
      <c r="V655" s="185"/>
    </row>
    <row r="656" spans="1:22" s="14" customFormat="1" ht="18" hidden="1" customHeight="1">
      <c r="A656" s="184"/>
      <c r="B656" s="30"/>
      <c r="C656" s="30"/>
      <c r="D656" s="30"/>
      <c r="E656" s="30"/>
      <c r="F656" s="30"/>
      <c r="G656" s="30"/>
      <c r="H656" s="30"/>
      <c r="I656" s="30"/>
      <c r="J656" s="30"/>
      <c r="K656" s="30"/>
      <c r="L656" s="30"/>
      <c r="M656" s="30"/>
      <c r="N656" s="30"/>
      <c r="O656" s="30"/>
      <c r="P656" s="30"/>
      <c r="Q656" s="30"/>
      <c r="R656" s="30"/>
      <c r="S656" s="30"/>
      <c r="T656" s="30"/>
      <c r="U656" s="30"/>
      <c r="V656" s="185"/>
    </row>
    <row r="657" spans="1:22" ht="18" hidden="1" customHeight="1">
      <c r="A657" s="184"/>
      <c r="V657" s="185"/>
    </row>
    <row r="658" spans="1:22" ht="18" hidden="1" customHeight="1">
      <c r="A658" s="184"/>
      <c r="V658" s="185"/>
    </row>
    <row r="659" spans="1:22" ht="18" hidden="1" customHeight="1">
      <c r="A659" s="184"/>
      <c r="V659" s="185"/>
    </row>
    <row r="660" spans="1:22" ht="18" hidden="1" customHeight="1">
      <c r="A660" s="184"/>
      <c r="V660" s="185"/>
    </row>
    <row r="661" spans="1:22" ht="18" hidden="1" customHeight="1">
      <c r="A661" s="194"/>
      <c r="B661" s="195"/>
      <c r="C661" s="195"/>
      <c r="D661" s="195"/>
      <c r="E661" s="195"/>
      <c r="F661" s="195"/>
      <c r="G661" s="195"/>
      <c r="H661" s="195"/>
      <c r="I661" s="195"/>
      <c r="J661" s="195"/>
      <c r="K661" s="195"/>
      <c r="L661" s="195"/>
      <c r="M661" s="195"/>
      <c r="N661" s="195"/>
      <c r="O661" s="195"/>
      <c r="P661" s="195"/>
      <c r="Q661" s="224"/>
      <c r="R661" s="182"/>
      <c r="S661" s="225"/>
      <c r="T661" s="195"/>
      <c r="U661" s="195"/>
      <c r="V661" s="134" t="s">
        <v>552</v>
      </c>
    </row>
  </sheetData>
  <mergeCells count="671">
    <mergeCell ref="J623:K625"/>
    <mergeCell ref="L623:L625"/>
    <mergeCell ref="M623:M625"/>
    <mergeCell ref="L620:N622"/>
    <mergeCell ref="O620:Q622"/>
    <mergeCell ref="R620:T622"/>
    <mergeCell ref="U620:V622"/>
    <mergeCell ref="A623:B623"/>
    <mergeCell ref="C623:C625"/>
    <mergeCell ref="D623:D625"/>
    <mergeCell ref="E623:E625"/>
    <mergeCell ref="F623:F625"/>
    <mergeCell ref="T623:T625"/>
    <mergeCell ref="U623:V623"/>
    <mergeCell ref="A624:B624"/>
    <mergeCell ref="U624:V624"/>
    <mergeCell ref="A625:B625"/>
    <mergeCell ref="U625:V625"/>
    <mergeCell ref="N623:N625"/>
    <mergeCell ref="O623:O625"/>
    <mergeCell ref="P623:P625"/>
    <mergeCell ref="Q623:Q625"/>
    <mergeCell ref="R623:R625"/>
    <mergeCell ref="S623:S625"/>
    <mergeCell ref="G623:G625"/>
    <mergeCell ref="H623:H625"/>
    <mergeCell ref="I623:I625"/>
    <mergeCell ref="G605:H605"/>
    <mergeCell ref="F607:H607"/>
    <mergeCell ref="F608:H608"/>
    <mergeCell ref="A620:C622"/>
    <mergeCell ref="D620:G622"/>
    <mergeCell ref="H620:I622"/>
    <mergeCell ref="U590:U591"/>
    <mergeCell ref="I591:J591"/>
    <mergeCell ref="L591:M591"/>
    <mergeCell ref="S586:T586"/>
    <mergeCell ref="S587:T587"/>
    <mergeCell ref="S588:T588"/>
    <mergeCell ref="J620:K622"/>
    <mergeCell ref="D592:E592"/>
    <mergeCell ref="E595:F595"/>
    <mergeCell ref="H595:I595"/>
    <mergeCell ref="D599:E600"/>
    <mergeCell ref="F599:F600"/>
    <mergeCell ref="G599:H599"/>
    <mergeCell ref="I599:I600"/>
    <mergeCell ref="P590:P591"/>
    <mergeCell ref="J599:K599"/>
    <mergeCell ref="G600:H600"/>
    <mergeCell ref="J600:K600"/>
    <mergeCell ref="F602:F603"/>
    <mergeCell ref="G602:H602"/>
    <mergeCell ref="I602:I603"/>
    <mergeCell ref="J602:K602"/>
    <mergeCell ref="G603:H603"/>
    <mergeCell ref="J603:K603"/>
    <mergeCell ref="B590:B591"/>
    <mergeCell ref="C590:C591"/>
    <mergeCell ref="G590:G591"/>
    <mergeCell ref="H590:H591"/>
    <mergeCell ref="I590:M590"/>
    <mergeCell ref="N590:N591"/>
    <mergeCell ref="O590:O591"/>
    <mergeCell ref="S580:T580"/>
    <mergeCell ref="S581:T581"/>
    <mergeCell ref="S582:T582"/>
    <mergeCell ref="S583:T583"/>
    <mergeCell ref="S584:T584"/>
    <mergeCell ref="S585:T585"/>
    <mergeCell ref="Q590:Q591"/>
    <mergeCell ref="R590:R591"/>
    <mergeCell ref="S590:S591"/>
    <mergeCell ref="O577:O578"/>
    <mergeCell ref="P577:P578"/>
    <mergeCell ref="Q577:Q578"/>
    <mergeCell ref="R577:R578"/>
    <mergeCell ref="S577:S578"/>
    <mergeCell ref="U577:U578"/>
    <mergeCell ref="B577:B578"/>
    <mergeCell ref="C577:C578"/>
    <mergeCell ref="G577:G578"/>
    <mergeCell ref="H577:H578"/>
    <mergeCell ref="I577:M577"/>
    <mergeCell ref="N577:N578"/>
    <mergeCell ref="I578:J578"/>
    <mergeCell ref="L578:M578"/>
    <mergeCell ref="J559:K559"/>
    <mergeCell ref="J560:K560"/>
    <mergeCell ref="J561:K561"/>
    <mergeCell ref="O565:P565"/>
    <mergeCell ref="O566:P566"/>
    <mergeCell ref="O567:P567"/>
    <mergeCell ref="J546:K546"/>
    <mergeCell ref="D551:E551"/>
    <mergeCell ref="O551:P551"/>
    <mergeCell ref="O555:P555"/>
    <mergeCell ref="O556:P556"/>
    <mergeCell ref="O557:P557"/>
    <mergeCell ref="AB537:AC537"/>
    <mergeCell ref="L538:M538"/>
    <mergeCell ref="J542:K542"/>
    <mergeCell ref="J543:K543"/>
    <mergeCell ref="J544:K544"/>
    <mergeCell ref="J545:K545"/>
    <mergeCell ref="H534:I534"/>
    <mergeCell ref="J534:K534"/>
    <mergeCell ref="L534:M534"/>
    <mergeCell ref="L535:M535"/>
    <mergeCell ref="L536:M536"/>
    <mergeCell ref="L537:M537"/>
    <mergeCell ref="H533:I533"/>
    <mergeCell ref="J533:K533"/>
    <mergeCell ref="L533:M533"/>
    <mergeCell ref="T533:U533"/>
    <mergeCell ref="G517:H517"/>
    <mergeCell ref="F519:H519"/>
    <mergeCell ref="F520:H520"/>
    <mergeCell ref="B531:C531"/>
    <mergeCell ref="D531:E532"/>
    <mergeCell ref="H531:M531"/>
    <mergeCell ref="F514:F515"/>
    <mergeCell ref="G514:H514"/>
    <mergeCell ref="I514:I515"/>
    <mergeCell ref="J514:K514"/>
    <mergeCell ref="G515:H515"/>
    <mergeCell ref="J515:K515"/>
    <mergeCell ref="T531:U531"/>
    <mergeCell ref="B532:C532"/>
    <mergeCell ref="T532:U532"/>
    <mergeCell ref="D504:E504"/>
    <mergeCell ref="E507:F507"/>
    <mergeCell ref="H507:I507"/>
    <mergeCell ref="D511:E512"/>
    <mergeCell ref="F511:F512"/>
    <mergeCell ref="G511:H511"/>
    <mergeCell ref="I511:I512"/>
    <mergeCell ref="P502:P503"/>
    <mergeCell ref="Q502:Q503"/>
    <mergeCell ref="J511:K511"/>
    <mergeCell ref="G512:H512"/>
    <mergeCell ref="J512:K512"/>
    <mergeCell ref="R502:R503"/>
    <mergeCell ref="S502:S503"/>
    <mergeCell ref="U502:U503"/>
    <mergeCell ref="I503:J503"/>
    <mergeCell ref="L503:M503"/>
    <mergeCell ref="S498:T498"/>
    <mergeCell ref="S499:T499"/>
    <mergeCell ref="S500:T500"/>
    <mergeCell ref="B502:B503"/>
    <mergeCell ref="C502:C503"/>
    <mergeCell ref="G502:G503"/>
    <mergeCell ref="H502:H503"/>
    <mergeCell ref="I502:M502"/>
    <mergeCell ref="N502:N503"/>
    <mergeCell ref="O502:O503"/>
    <mergeCell ref="S492:T492"/>
    <mergeCell ref="S493:T493"/>
    <mergeCell ref="S494:T494"/>
    <mergeCell ref="S495:T495"/>
    <mergeCell ref="S496:T496"/>
    <mergeCell ref="S497:T497"/>
    <mergeCell ref="O489:O490"/>
    <mergeCell ref="P489:P490"/>
    <mergeCell ref="Q489:Q490"/>
    <mergeCell ref="R489:R490"/>
    <mergeCell ref="S489:S490"/>
    <mergeCell ref="U489:U490"/>
    <mergeCell ref="B489:B490"/>
    <mergeCell ref="C489:C490"/>
    <mergeCell ref="G489:G490"/>
    <mergeCell ref="H489:H490"/>
    <mergeCell ref="I489:M489"/>
    <mergeCell ref="N489:N490"/>
    <mergeCell ref="I490:J490"/>
    <mergeCell ref="L490:M490"/>
    <mergeCell ref="J471:K471"/>
    <mergeCell ref="J472:K472"/>
    <mergeCell ref="J473:K473"/>
    <mergeCell ref="O477:P477"/>
    <mergeCell ref="O478:P478"/>
    <mergeCell ref="O479:P479"/>
    <mergeCell ref="J458:K458"/>
    <mergeCell ref="D463:E463"/>
    <mergeCell ref="O463:P463"/>
    <mergeCell ref="O467:P467"/>
    <mergeCell ref="O468:P468"/>
    <mergeCell ref="O469:P469"/>
    <mergeCell ref="AB449:AC449"/>
    <mergeCell ref="J450:K450"/>
    <mergeCell ref="J454:K454"/>
    <mergeCell ref="J455:K455"/>
    <mergeCell ref="J456:K456"/>
    <mergeCell ref="J457:K457"/>
    <mergeCell ref="H446:I446"/>
    <mergeCell ref="J446:K446"/>
    <mergeCell ref="L446:M446"/>
    <mergeCell ref="J447:K447"/>
    <mergeCell ref="J448:K448"/>
    <mergeCell ref="J449:K449"/>
    <mergeCell ref="H445:I445"/>
    <mergeCell ref="J445:K445"/>
    <mergeCell ref="L445:M445"/>
    <mergeCell ref="T445:U445"/>
    <mergeCell ref="G429:H429"/>
    <mergeCell ref="F431:H431"/>
    <mergeCell ref="F432:H432"/>
    <mergeCell ref="B443:C443"/>
    <mergeCell ref="D443:E444"/>
    <mergeCell ref="H443:M443"/>
    <mergeCell ref="F426:F427"/>
    <mergeCell ref="G426:H426"/>
    <mergeCell ref="I426:I427"/>
    <mergeCell ref="J426:K426"/>
    <mergeCell ref="G427:H427"/>
    <mergeCell ref="J427:K427"/>
    <mergeCell ref="T443:U443"/>
    <mergeCell ref="B444:C444"/>
    <mergeCell ref="T444:U444"/>
    <mergeCell ref="D416:E416"/>
    <mergeCell ref="E419:F419"/>
    <mergeCell ref="H419:I419"/>
    <mergeCell ref="D423:E424"/>
    <mergeCell ref="F423:F424"/>
    <mergeCell ref="G423:H423"/>
    <mergeCell ref="I423:I424"/>
    <mergeCell ref="P414:P415"/>
    <mergeCell ref="Q414:Q415"/>
    <mergeCell ref="J423:K423"/>
    <mergeCell ref="G424:H424"/>
    <mergeCell ref="J424:K424"/>
    <mergeCell ref="R414:R415"/>
    <mergeCell ref="S414:S415"/>
    <mergeCell ref="U414:U415"/>
    <mergeCell ref="I415:J415"/>
    <mergeCell ref="L415:M415"/>
    <mergeCell ref="S410:T410"/>
    <mergeCell ref="S411:T411"/>
    <mergeCell ref="S412:T412"/>
    <mergeCell ref="B414:B415"/>
    <mergeCell ref="C414:C415"/>
    <mergeCell ref="G414:G415"/>
    <mergeCell ref="H414:H415"/>
    <mergeCell ref="I414:M414"/>
    <mergeCell ref="N414:N415"/>
    <mergeCell ref="O414:O415"/>
    <mergeCell ref="S404:T404"/>
    <mergeCell ref="S405:T405"/>
    <mergeCell ref="S406:T406"/>
    <mergeCell ref="S407:T407"/>
    <mergeCell ref="S408:T408"/>
    <mergeCell ref="S409:T409"/>
    <mergeCell ref="P401:P402"/>
    <mergeCell ref="Q401:Q402"/>
    <mergeCell ref="R401:R402"/>
    <mergeCell ref="S401:S402"/>
    <mergeCell ref="U401:U402"/>
    <mergeCell ref="I402:J402"/>
    <mergeCell ref="L402:M402"/>
    <mergeCell ref="O394:P394"/>
    <mergeCell ref="O395:P395"/>
    <mergeCell ref="O396:P396"/>
    <mergeCell ref="B401:B402"/>
    <mergeCell ref="C401:C402"/>
    <mergeCell ref="G401:G402"/>
    <mergeCell ref="H401:H402"/>
    <mergeCell ref="I401:M401"/>
    <mergeCell ref="N401:N402"/>
    <mergeCell ref="O401:O402"/>
    <mergeCell ref="O384:P384"/>
    <mergeCell ref="O385:P385"/>
    <mergeCell ref="O386:P386"/>
    <mergeCell ref="J388:K388"/>
    <mergeCell ref="J389:K389"/>
    <mergeCell ref="J390:K390"/>
    <mergeCell ref="J372:K372"/>
    <mergeCell ref="J373:K373"/>
    <mergeCell ref="J374:K374"/>
    <mergeCell ref="J375:K375"/>
    <mergeCell ref="D380:E380"/>
    <mergeCell ref="O380:P380"/>
    <mergeCell ref="H364:I364"/>
    <mergeCell ref="H365:I365"/>
    <mergeCell ref="H366:I366"/>
    <mergeCell ref="AB366:AC366"/>
    <mergeCell ref="H367:I367"/>
    <mergeCell ref="J371:K371"/>
    <mergeCell ref="T361:U361"/>
    <mergeCell ref="H362:I362"/>
    <mergeCell ref="J362:K362"/>
    <mergeCell ref="L362:M362"/>
    <mergeCell ref="T362:U362"/>
    <mergeCell ref="H363:I363"/>
    <mergeCell ref="J363:K363"/>
    <mergeCell ref="L363:M363"/>
    <mergeCell ref="A358:B358"/>
    <mergeCell ref="D358:F358"/>
    <mergeCell ref="H358:N358"/>
    <mergeCell ref="O358:Q358"/>
    <mergeCell ref="R358:V358"/>
    <mergeCell ref="B360:C360"/>
    <mergeCell ref="D360:E361"/>
    <mergeCell ref="H360:M360"/>
    <mergeCell ref="T360:U360"/>
    <mergeCell ref="B361:C361"/>
    <mergeCell ref="R355:V355"/>
    <mergeCell ref="M315:N318"/>
    <mergeCell ref="O315:P318"/>
    <mergeCell ref="Q315:R318"/>
    <mergeCell ref="S315:V318"/>
    <mergeCell ref="A356:G357"/>
    <mergeCell ref="H356:N357"/>
    <mergeCell ref="O356:Q356"/>
    <mergeCell ref="R356:V356"/>
    <mergeCell ref="O357:Q357"/>
    <mergeCell ref="R357:V357"/>
    <mergeCell ref="K321:L321"/>
    <mergeCell ref="M321:N321"/>
    <mergeCell ref="O321:P321"/>
    <mergeCell ref="S321:V321"/>
    <mergeCell ref="A354:G355"/>
    <mergeCell ref="H354:N354"/>
    <mergeCell ref="O354:Q354"/>
    <mergeCell ref="R354:V354"/>
    <mergeCell ref="H355:N355"/>
    <mergeCell ref="O355:Q355"/>
    <mergeCell ref="I319:J321"/>
    <mergeCell ref="K319:L319"/>
    <mergeCell ref="M319:N319"/>
    <mergeCell ref="M320:N320"/>
    <mergeCell ref="O320:P320"/>
    <mergeCell ref="S320:V320"/>
    <mergeCell ref="A315:C318"/>
    <mergeCell ref="D315:F318"/>
    <mergeCell ref="G315:H318"/>
    <mergeCell ref="I315:J318"/>
    <mergeCell ref="K315:L318"/>
    <mergeCell ref="B319:C321"/>
    <mergeCell ref="D319:E319"/>
    <mergeCell ref="F319:F321"/>
    <mergeCell ref="G319:G321"/>
    <mergeCell ref="H319:H321"/>
    <mergeCell ref="D320:E320"/>
    <mergeCell ref="D321:E321"/>
    <mergeCell ref="O319:P319"/>
    <mergeCell ref="Q319:R321"/>
    <mergeCell ref="S319:V319"/>
    <mergeCell ref="K320:L320"/>
    <mergeCell ref="A319:A321"/>
    <mergeCell ref="F296:F297"/>
    <mergeCell ref="G296:H296"/>
    <mergeCell ref="I296:I297"/>
    <mergeCell ref="J296:K296"/>
    <mergeCell ref="G297:H297"/>
    <mergeCell ref="J297:K297"/>
    <mergeCell ref="G299:H299"/>
    <mergeCell ref="F301:H301"/>
    <mergeCell ref="F302:H302"/>
    <mergeCell ref="D286:E286"/>
    <mergeCell ref="E289:F289"/>
    <mergeCell ref="H289:I289"/>
    <mergeCell ref="D293:E294"/>
    <mergeCell ref="F293:F294"/>
    <mergeCell ref="G293:H293"/>
    <mergeCell ref="I293:I294"/>
    <mergeCell ref="P284:P285"/>
    <mergeCell ref="Q284:Q285"/>
    <mergeCell ref="J293:K293"/>
    <mergeCell ref="G294:H294"/>
    <mergeCell ref="J294:K294"/>
    <mergeCell ref="R284:R285"/>
    <mergeCell ref="S284:S285"/>
    <mergeCell ref="U284:U285"/>
    <mergeCell ref="I285:J285"/>
    <mergeCell ref="L285:M285"/>
    <mergeCell ref="S280:T280"/>
    <mergeCell ref="S281:T281"/>
    <mergeCell ref="S282:T282"/>
    <mergeCell ref="B284:B285"/>
    <mergeCell ref="C284:C285"/>
    <mergeCell ref="G284:G285"/>
    <mergeCell ref="H284:H285"/>
    <mergeCell ref="I284:M284"/>
    <mergeCell ref="N284:N285"/>
    <mergeCell ref="O284:O285"/>
    <mergeCell ref="S274:T274"/>
    <mergeCell ref="S275:T275"/>
    <mergeCell ref="S276:T276"/>
    <mergeCell ref="S277:T277"/>
    <mergeCell ref="S278:T278"/>
    <mergeCell ref="S279:T279"/>
    <mergeCell ref="P271:P272"/>
    <mergeCell ref="Q271:Q272"/>
    <mergeCell ref="R271:R272"/>
    <mergeCell ref="S271:S272"/>
    <mergeCell ref="U271:U272"/>
    <mergeCell ref="I272:J272"/>
    <mergeCell ref="L272:M272"/>
    <mergeCell ref="O259:P259"/>
    <mergeCell ref="O260:P260"/>
    <mergeCell ref="O261:P261"/>
    <mergeCell ref="B271:B272"/>
    <mergeCell ref="C271:C272"/>
    <mergeCell ref="G271:G272"/>
    <mergeCell ref="H271:H272"/>
    <mergeCell ref="I271:M271"/>
    <mergeCell ref="N271:N272"/>
    <mergeCell ref="O271:O272"/>
    <mergeCell ref="O249:P249"/>
    <mergeCell ref="O250:P250"/>
    <mergeCell ref="O251:P251"/>
    <mergeCell ref="J253:K253"/>
    <mergeCell ref="J254:K254"/>
    <mergeCell ref="J255:K255"/>
    <mergeCell ref="J240:K240"/>
    <mergeCell ref="D245:E245"/>
    <mergeCell ref="O245:P245"/>
    <mergeCell ref="M247:N247"/>
    <mergeCell ref="P247:Q247"/>
    <mergeCell ref="S247:T247"/>
    <mergeCell ref="AB231:AC231"/>
    <mergeCell ref="L232:M232"/>
    <mergeCell ref="J236:K236"/>
    <mergeCell ref="J237:K237"/>
    <mergeCell ref="J238:K238"/>
    <mergeCell ref="J239:K239"/>
    <mergeCell ref="H228:I228"/>
    <mergeCell ref="J228:K228"/>
    <mergeCell ref="L228:M228"/>
    <mergeCell ref="L229:M229"/>
    <mergeCell ref="L230:M230"/>
    <mergeCell ref="L231:M231"/>
    <mergeCell ref="H227:I227"/>
    <mergeCell ref="J227:K227"/>
    <mergeCell ref="L227:M227"/>
    <mergeCell ref="T227:U227"/>
    <mergeCell ref="G201:H201"/>
    <mergeCell ref="F203:H203"/>
    <mergeCell ref="F204:H204"/>
    <mergeCell ref="B225:C225"/>
    <mergeCell ref="D225:E226"/>
    <mergeCell ref="H225:M225"/>
    <mergeCell ref="F198:F199"/>
    <mergeCell ref="G198:H198"/>
    <mergeCell ref="I198:I199"/>
    <mergeCell ref="J198:K198"/>
    <mergeCell ref="G199:H199"/>
    <mergeCell ref="J199:K199"/>
    <mergeCell ref="T225:U225"/>
    <mergeCell ref="B226:C226"/>
    <mergeCell ref="T226:U226"/>
    <mergeCell ref="D188:E188"/>
    <mergeCell ref="E191:F191"/>
    <mergeCell ref="H191:I191"/>
    <mergeCell ref="D195:E196"/>
    <mergeCell ref="F195:F196"/>
    <mergeCell ref="G195:H195"/>
    <mergeCell ref="I195:I196"/>
    <mergeCell ref="P186:P187"/>
    <mergeCell ref="Q186:Q187"/>
    <mergeCell ref="J195:K195"/>
    <mergeCell ref="G196:H196"/>
    <mergeCell ref="J196:K196"/>
    <mergeCell ref="R186:R187"/>
    <mergeCell ref="S186:S187"/>
    <mergeCell ref="U186:U187"/>
    <mergeCell ref="I187:J187"/>
    <mergeCell ref="L187:M187"/>
    <mergeCell ref="S182:T182"/>
    <mergeCell ref="S183:T183"/>
    <mergeCell ref="S184:T184"/>
    <mergeCell ref="B186:B187"/>
    <mergeCell ref="C186:C187"/>
    <mergeCell ref="G186:G187"/>
    <mergeCell ref="H186:H187"/>
    <mergeCell ref="I186:M186"/>
    <mergeCell ref="N186:N187"/>
    <mergeCell ref="O186:O187"/>
    <mergeCell ref="S176:T176"/>
    <mergeCell ref="S177:T177"/>
    <mergeCell ref="S178:T178"/>
    <mergeCell ref="S179:T179"/>
    <mergeCell ref="S180:T180"/>
    <mergeCell ref="S181:T181"/>
    <mergeCell ref="O173:O174"/>
    <mergeCell ref="P173:P174"/>
    <mergeCell ref="Q173:Q174"/>
    <mergeCell ref="R173:R174"/>
    <mergeCell ref="S173:S174"/>
    <mergeCell ref="U173:U174"/>
    <mergeCell ref="B173:B174"/>
    <mergeCell ref="C173:C174"/>
    <mergeCell ref="G173:G174"/>
    <mergeCell ref="H173:H174"/>
    <mergeCell ref="I173:M173"/>
    <mergeCell ref="N173:N174"/>
    <mergeCell ref="I174:J174"/>
    <mergeCell ref="L174:M174"/>
    <mergeCell ref="J159:K159"/>
    <mergeCell ref="J160:K160"/>
    <mergeCell ref="J161:K161"/>
    <mergeCell ref="O165:P165"/>
    <mergeCell ref="O166:P166"/>
    <mergeCell ref="O167:P167"/>
    <mergeCell ref="M153:N153"/>
    <mergeCell ref="P153:Q153"/>
    <mergeCell ref="S153:T153"/>
    <mergeCell ref="O155:P155"/>
    <mergeCell ref="O156:P156"/>
    <mergeCell ref="O157:P157"/>
    <mergeCell ref="J143:K143"/>
    <mergeCell ref="J144:K144"/>
    <mergeCell ref="J145:K145"/>
    <mergeCell ref="J146:K146"/>
    <mergeCell ref="D151:E151"/>
    <mergeCell ref="O151:P151"/>
    <mergeCell ref="J135:K135"/>
    <mergeCell ref="J136:K136"/>
    <mergeCell ref="J137:K137"/>
    <mergeCell ref="AB137:AC137"/>
    <mergeCell ref="J138:K138"/>
    <mergeCell ref="J142:K142"/>
    <mergeCell ref="T132:U132"/>
    <mergeCell ref="H133:I133"/>
    <mergeCell ref="J133:K133"/>
    <mergeCell ref="L133:M133"/>
    <mergeCell ref="T133:U133"/>
    <mergeCell ref="H134:I134"/>
    <mergeCell ref="J134:K134"/>
    <mergeCell ref="L134:M134"/>
    <mergeCell ref="I80:M80"/>
    <mergeCell ref="S76:T76"/>
    <mergeCell ref="S77:T77"/>
    <mergeCell ref="S78:T78"/>
    <mergeCell ref="N103:O103"/>
    <mergeCell ref="N104:O104"/>
    <mergeCell ref="B131:C131"/>
    <mergeCell ref="D131:E131"/>
    <mergeCell ref="H131:M131"/>
    <mergeCell ref="T131:U131"/>
    <mergeCell ref="D81:E81"/>
    <mergeCell ref="U91:U92"/>
    <mergeCell ref="S93:T93"/>
    <mergeCell ref="S94:T94"/>
    <mergeCell ref="S95:T95"/>
    <mergeCell ref="G99:H99"/>
    <mergeCell ref="B79:B80"/>
    <mergeCell ref="C79:C80"/>
    <mergeCell ref="G79:G80"/>
    <mergeCell ref="H79:H80"/>
    <mergeCell ref="I79:M79"/>
    <mergeCell ref="N79:N80"/>
    <mergeCell ref="O79:O80"/>
    <mergeCell ref="P79:P80"/>
    <mergeCell ref="Q79:Q80"/>
    <mergeCell ref="R79:R80"/>
    <mergeCell ref="S79:S80"/>
    <mergeCell ref="U68:U69"/>
    <mergeCell ref="O64:P64"/>
    <mergeCell ref="R64:V64"/>
    <mergeCell ref="O65:P65"/>
    <mergeCell ref="O66:P66"/>
    <mergeCell ref="S71:T71"/>
    <mergeCell ref="S72:T72"/>
    <mergeCell ref="S73:T73"/>
    <mergeCell ref="S74:T74"/>
    <mergeCell ref="S75:T75"/>
    <mergeCell ref="O68:O69"/>
    <mergeCell ref="P68:P69"/>
    <mergeCell ref="Q68:Q69"/>
    <mergeCell ref="R68:R69"/>
    <mergeCell ref="S68:S69"/>
    <mergeCell ref="U79:U80"/>
    <mergeCell ref="B68:B69"/>
    <mergeCell ref="C68:C69"/>
    <mergeCell ref="G68:G69"/>
    <mergeCell ref="H68:H69"/>
    <mergeCell ref="I68:M68"/>
    <mergeCell ref="N68:N69"/>
    <mergeCell ref="Q56:Q57"/>
    <mergeCell ref="R56:R57"/>
    <mergeCell ref="S56:S57"/>
    <mergeCell ref="I69:M69"/>
    <mergeCell ref="U56:U57"/>
    <mergeCell ref="I57:M57"/>
    <mergeCell ref="D58:E58"/>
    <mergeCell ref="S54:T54"/>
    <mergeCell ref="S55:T55"/>
    <mergeCell ref="B56:B57"/>
    <mergeCell ref="C56:C57"/>
    <mergeCell ref="G56:G57"/>
    <mergeCell ref="H56:H57"/>
    <mergeCell ref="I56:M56"/>
    <mergeCell ref="N56:N57"/>
    <mergeCell ref="O56:O57"/>
    <mergeCell ref="P56:P57"/>
    <mergeCell ref="S48:T48"/>
    <mergeCell ref="S49:T49"/>
    <mergeCell ref="S50:T50"/>
    <mergeCell ref="S51:T51"/>
    <mergeCell ref="S52:T52"/>
    <mergeCell ref="S53:T53"/>
    <mergeCell ref="Q43:Q44"/>
    <mergeCell ref="R43:R44"/>
    <mergeCell ref="S43:S44"/>
    <mergeCell ref="U43:U44"/>
    <mergeCell ref="I44:M44"/>
    <mergeCell ref="O41:P41"/>
    <mergeCell ref="B43:B44"/>
    <mergeCell ref="C43:C44"/>
    <mergeCell ref="G43:G44"/>
    <mergeCell ref="H43:H44"/>
    <mergeCell ref="I43:M43"/>
    <mergeCell ref="N43:N44"/>
    <mergeCell ref="O43:O44"/>
    <mergeCell ref="P43:P44"/>
    <mergeCell ref="O31:P31"/>
    <mergeCell ref="O32:P32"/>
    <mergeCell ref="O33:P33"/>
    <mergeCell ref="J35:K35"/>
    <mergeCell ref="J36:K36"/>
    <mergeCell ref="J37:K37"/>
    <mergeCell ref="J22:K22"/>
    <mergeCell ref="D27:E27"/>
    <mergeCell ref="O27:P27"/>
    <mergeCell ref="M29:N29"/>
    <mergeCell ref="P29:Q29"/>
    <mergeCell ref="S29:T29"/>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62 H192 H290 H420 H508 H596">
    <cfRule type="cellIs" dxfId="163" priority="2" stopIfTrue="1" operator="equal">
      <formula>"Under Dimentioned"</formula>
    </cfRule>
  </conditionalFormatting>
  <conditionalFormatting sqref="H106:H128">
    <cfRule type="cellIs" dxfId="162" priority="1" stopIfTrue="1" operator="equal">
      <formula>"Under Dimentioned"</formula>
    </cfRule>
  </conditionalFormatting>
  <conditionalFormatting sqref="H206:H221 H304:H309 H434:H439 H522:H527 H610:H615">
    <cfRule type="cellIs" dxfId="161" priority="3" stopIfTrue="1" operator="equal">
      <formula>"Not OK"</formula>
    </cfRule>
  </conditionalFormatting>
  <dataValidations count="1">
    <dataValidation type="list" allowBlank="1" showInputMessage="1" showErrorMessage="1" sqref="D531 IZ531 SV531 ACR531 AMN531 AWJ531 BGF531 BQB531 BZX531 CJT531 CTP531 DDL531 DNH531 DXD531 EGZ531 EQV531 FAR531 FKN531 FUJ531 GEF531 GOB531 GXX531 HHT531 HRP531 IBL531 ILH531 IVD531 JEZ531 JOV531 JYR531 KIN531 KSJ531 LCF531 LMB531 LVX531 MFT531 MPP531 MZL531 NJH531 NTD531 OCZ531 OMV531 OWR531 PGN531 PQJ531 QAF531 QKB531 QTX531 RDT531 RNP531 RXL531 SHH531 SRD531 TAZ531 TKV531 TUR531 UEN531 UOJ531 UYF531 VIB531 VRX531 WBT531 WLP531 WVL531 D66067 IZ66067 SV66067 ACR66067 AMN66067 AWJ66067 BGF66067 BQB66067 BZX66067 CJT66067 CTP66067 DDL66067 DNH66067 DXD66067 EGZ66067 EQV66067 FAR66067 FKN66067 FUJ66067 GEF66067 GOB66067 GXX66067 HHT66067 HRP66067 IBL66067 ILH66067 IVD66067 JEZ66067 JOV66067 JYR66067 KIN66067 KSJ66067 LCF66067 LMB66067 LVX66067 MFT66067 MPP66067 MZL66067 NJH66067 NTD66067 OCZ66067 OMV66067 OWR66067 PGN66067 PQJ66067 QAF66067 QKB66067 QTX66067 RDT66067 RNP66067 RXL66067 SHH66067 SRD66067 TAZ66067 TKV66067 TUR66067 UEN66067 UOJ66067 UYF66067 VIB66067 VRX66067 WBT66067 WLP66067 WVL66067 D131603 IZ131603 SV131603 ACR131603 AMN131603 AWJ131603 BGF131603 BQB131603 BZX131603 CJT131603 CTP131603 DDL131603 DNH131603 DXD131603 EGZ131603 EQV131603 FAR131603 FKN131603 FUJ131603 GEF131603 GOB131603 GXX131603 HHT131603 HRP131603 IBL131603 ILH131603 IVD131603 JEZ131603 JOV131603 JYR131603 KIN131603 KSJ131603 LCF131603 LMB131603 LVX131603 MFT131603 MPP131603 MZL131603 NJH131603 NTD131603 OCZ131603 OMV131603 OWR131603 PGN131603 PQJ131603 QAF131603 QKB131603 QTX131603 RDT131603 RNP131603 RXL131603 SHH131603 SRD131603 TAZ131603 TKV131603 TUR131603 UEN131603 UOJ131603 UYF131603 VIB131603 VRX131603 WBT131603 WLP131603 WVL131603 D197139 IZ197139 SV197139 ACR197139 AMN197139 AWJ197139 BGF197139 BQB197139 BZX197139 CJT197139 CTP197139 DDL197139 DNH197139 DXD197139 EGZ197139 EQV197139 FAR197139 FKN197139 FUJ197139 GEF197139 GOB197139 GXX197139 HHT197139 HRP197139 IBL197139 ILH197139 IVD197139 JEZ197139 JOV197139 JYR197139 KIN197139 KSJ197139 LCF197139 LMB197139 LVX197139 MFT197139 MPP197139 MZL197139 NJH197139 NTD197139 OCZ197139 OMV197139 OWR197139 PGN197139 PQJ197139 QAF197139 QKB197139 QTX197139 RDT197139 RNP197139 RXL197139 SHH197139 SRD197139 TAZ197139 TKV197139 TUR197139 UEN197139 UOJ197139 UYF197139 VIB197139 VRX197139 WBT197139 WLP197139 WVL197139 D262675 IZ262675 SV262675 ACR262675 AMN262675 AWJ262675 BGF262675 BQB262675 BZX262675 CJT262675 CTP262675 DDL262675 DNH262675 DXD262675 EGZ262675 EQV262675 FAR262675 FKN262675 FUJ262675 GEF262675 GOB262675 GXX262675 HHT262675 HRP262675 IBL262675 ILH262675 IVD262675 JEZ262675 JOV262675 JYR262675 KIN262675 KSJ262675 LCF262675 LMB262675 LVX262675 MFT262675 MPP262675 MZL262675 NJH262675 NTD262675 OCZ262675 OMV262675 OWR262675 PGN262675 PQJ262675 QAF262675 QKB262675 QTX262675 RDT262675 RNP262675 RXL262675 SHH262675 SRD262675 TAZ262675 TKV262675 TUR262675 UEN262675 UOJ262675 UYF262675 VIB262675 VRX262675 WBT262675 WLP262675 WVL262675 D328211 IZ328211 SV328211 ACR328211 AMN328211 AWJ328211 BGF328211 BQB328211 BZX328211 CJT328211 CTP328211 DDL328211 DNH328211 DXD328211 EGZ328211 EQV328211 FAR328211 FKN328211 FUJ328211 GEF328211 GOB328211 GXX328211 HHT328211 HRP328211 IBL328211 ILH328211 IVD328211 JEZ328211 JOV328211 JYR328211 KIN328211 KSJ328211 LCF328211 LMB328211 LVX328211 MFT328211 MPP328211 MZL328211 NJH328211 NTD328211 OCZ328211 OMV328211 OWR328211 PGN328211 PQJ328211 QAF328211 QKB328211 QTX328211 RDT328211 RNP328211 RXL328211 SHH328211 SRD328211 TAZ328211 TKV328211 TUR328211 UEN328211 UOJ328211 UYF328211 VIB328211 VRX328211 WBT328211 WLP328211 WVL328211 D393747 IZ393747 SV393747 ACR393747 AMN393747 AWJ393747 BGF393747 BQB393747 BZX393747 CJT393747 CTP393747 DDL393747 DNH393747 DXD393747 EGZ393747 EQV393747 FAR393747 FKN393747 FUJ393747 GEF393747 GOB393747 GXX393747 HHT393747 HRP393747 IBL393747 ILH393747 IVD393747 JEZ393747 JOV393747 JYR393747 KIN393747 KSJ393747 LCF393747 LMB393747 LVX393747 MFT393747 MPP393747 MZL393747 NJH393747 NTD393747 OCZ393747 OMV393747 OWR393747 PGN393747 PQJ393747 QAF393747 QKB393747 QTX393747 RDT393747 RNP393747 RXL393747 SHH393747 SRD393747 TAZ393747 TKV393747 TUR393747 UEN393747 UOJ393747 UYF393747 VIB393747 VRX393747 WBT393747 WLP393747 WVL393747 D459283 IZ459283 SV459283 ACR459283 AMN459283 AWJ459283 BGF459283 BQB459283 BZX459283 CJT459283 CTP459283 DDL459283 DNH459283 DXD459283 EGZ459283 EQV459283 FAR459283 FKN459283 FUJ459283 GEF459283 GOB459283 GXX459283 HHT459283 HRP459283 IBL459283 ILH459283 IVD459283 JEZ459283 JOV459283 JYR459283 KIN459283 KSJ459283 LCF459283 LMB459283 LVX459283 MFT459283 MPP459283 MZL459283 NJH459283 NTD459283 OCZ459283 OMV459283 OWR459283 PGN459283 PQJ459283 QAF459283 QKB459283 QTX459283 RDT459283 RNP459283 RXL459283 SHH459283 SRD459283 TAZ459283 TKV459283 TUR459283 UEN459283 UOJ459283 UYF459283 VIB459283 VRX459283 WBT459283 WLP459283 WVL459283 D524819 IZ524819 SV524819 ACR524819 AMN524819 AWJ524819 BGF524819 BQB524819 BZX524819 CJT524819 CTP524819 DDL524819 DNH524819 DXD524819 EGZ524819 EQV524819 FAR524819 FKN524819 FUJ524819 GEF524819 GOB524819 GXX524819 HHT524819 HRP524819 IBL524819 ILH524819 IVD524819 JEZ524819 JOV524819 JYR524819 KIN524819 KSJ524819 LCF524819 LMB524819 LVX524819 MFT524819 MPP524819 MZL524819 NJH524819 NTD524819 OCZ524819 OMV524819 OWR524819 PGN524819 PQJ524819 QAF524819 QKB524819 QTX524819 RDT524819 RNP524819 RXL524819 SHH524819 SRD524819 TAZ524819 TKV524819 TUR524819 UEN524819 UOJ524819 UYF524819 VIB524819 VRX524819 WBT524819 WLP524819 WVL524819 D590355 IZ590355 SV590355 ACR590355 AMN590355 AWJ590355 BGF590355 BQB590355 BZX590355 CJT590355 CTP590355 DDL590355 DNH590355 DXD590355 EGZ590355 EQV590355 FAR590355 FKN590355 FUJ590355 GEF590355 GOB590355 GXX590355 HHT590355 HRP590355 IBL590355 ILH590355 IVD590355 JEZ590355 JOV590355 JYR590355 KIN590355 KSJ590355 LCF590355 LMB590355 LVX590355 MFT590355 MPP590355 MZL590355 NJH590355 NTD590355 OCZ590355 OMV590355 OWR590355 PGN590355 PQJ590355 QAF590355 QKB590355 QTX590355 RDT590355 RNP590355 RXL590355 SHH590355 SRD590355 TAZ590355 TKV590355 TUR590355 UEN590355 UOJ590355 UYF590355 VIB590355 VRX590355 WBT590355 WLP590355 WVL590355 D655891 IZ655891 SV655891 ACR655891 AMN655891 AWJ655891 BGF655891 BQB655891 BZX655891 CJT655891 CTP655891 DDL655891 DNH655891 DXD655891 EGZ655891 EQV655891 FAR655891 FKN655891 FUJ655891 GEF655891 GOB655891 GXX655891 HHT655891 HRP655891 IBL655891 ILH655891 IVD655891 JEZ655891 JOV655891 JYR655891 KIN655891 KSJ655891 LCF655891 LMB655891 LVX655891 MFT655891 MPP655891 MZL655891 NJH655891 NTD655891 OCZ655891 OMV655891 OWR655891 PGN655891 PQJ655891 QAF655891 QKB655891 QTX655891 RDT655891 RNP655891 RXL655891 SHH655891 SRD655891 TAZ655891 TKV655891 TUR655891 UEN655891 UOJ655891 UYF655891 VIB655891 VRX655891 WBT655891 WLP655891 WVL655891 D721427 IZ721427 SV721427 ACR721427 AMN721427 AWJ721427 BGF721427 BQB721427 BZX721427 CJT721427 CTP721427 DDL721427 DNH721427 DXD721427 EGZ721427 EQV721427 FAR721427 FKN721427 FUJ721427 GEF721427 GOB721427 GXX721427 HHT721427 HRP721427 IBL721427 ILH721427 IVD721427 JEZ721427 JOV721427 JYR721427 KIN721427 KSJ721427 LCF721427 LMB721427 LVX721427 MFT721427 MPP721427 MZL721427 NJH721427 NTD721427 OCZ721427 OMV721427 OWR721427 PGN721427 PQJ721427 QAF721427 QKB721427 QTX721427 RDT721427 RNP721427 RXL721427 SHH721427 SRD721427 TAZ721427 TKV721427 TUR721427 UEN721427 UOJ721427 UYF721427 VIB721427 VRX721427 WBT721427 WLP721427 WVL721427 D786963 IZ786963 SV786963 ACR786963 AMN786963 AWJ786963 BGF786963 BQB786963 BZX786963 CJT786963 CTP786963 DDL786963 DNH786963 DXD786963 EGZ786963 EQV786963 FAR786963 FKN786963 FUJ786963 GEF786963 GOB786963 GXX786963 HHT786963 HRP786963 IBL786963 ILH786963 IVD786963 JEZ786963 JOV786963 JYR786963 KIN786963 KSJ786963 LCF786963 LMB786963 LVX786963 MFT786963 MPP786963 MZL786963 NJH786963 NTD786963 OCZ786963 OMV786963 OWR786963 PGN786963 PQJ786963 QAF786963 QKB786963 QTX786963 RDT786963 RNP786963 RXL786963 SHH786963 SRD786963 TAZ786963 TKV786963 TUR786963 UEN786963 UOJ786963 UYF786963 VIB786963 VRX786963 WBT786963 WLP786963 WVL786963 D852499 IZ852499 SV852499 ACR852499 AMN852499 AWJ852499 BGF852499 BQB852499 BZX852499 CJT852499 CTP852499 DDL852499 DNH852499 DXD852499 EGZ852499 EQV852499 FAR852499 FKN852499 FUJ852499 GEF852499 GOB852499 GXX852499 HHT852499 HRP852499 IBL852499 ILH852499 IVD852499 JEZ852499 JOV852499 JYR852499 KIN852499 KSJ852499 LCF852499 LMB852499 LVX852499 MFT852499 MPP852499 MZL852499 NJH852499 NTD852499 OCZ852499 OMV852499 OWR852499 PGN852499 PQJ852499 QAF852499 QKB852499 QTX852499 RDT852499 RNP852499 RXL852499 SHH852499 SRD852499 TAZ852499 TKV852499 TUR852499 UEN852499 UOJ852499 UYF852499 VIB852499 VRX852499 WBT852499 WLP852499 WVL852499 D918035 IZ918035 SV918035 ACR918035 AMN918035 AWJ918035 BGF918035 BQB918035 BZX918035 CJT918035 CTP918035 DDL918035 DNH918035 DXD918035 EGZ918035 EQV918035 FAR918035 FKN918035 FUJ918035 GEF918035 GOB918035 GXX918035 HHT918035 HRP918035 IBL918035 ILH918035 IVD918035 JEZ918035 JOV918035 JYR918035 KIN918035 KSJ918035 LCF918035 LMB918035 LVX918035 MFT918035 MPP918035 MZL918035 NJH918035 NTD918035 OCZ918035 OMV918035 OWR918035 PGN918035 PQJ918035 QAF918035 QKB918035 QTX918035 RDT918035 RNP918035 RXL918035 SHH918035 SRD918035 TAZ918035 TKV918035 TUR918035 UEN918035 UOJ918035 UYF918035 VIB918035 VRX918035 WBT918035 WLP918035 WVL918035 D983571 IZ983571 SV983571 ACR983571 AMN983571 AWJ983571 BGF983571 BQB983571 BZX983571 CJT983571 CTP983571 DDL983571 DNH983571 DXD983571 EGZ983571 EQV983571 FAR983571 FKN983571 FUJ983571 GEF983571 GOB983571 GXX983571 HHT983571 HRP983571 IBL983571 ILH983571 IVD983571 JEZ983571 JOV983571 JYR983571 KIN983571 KSJ983571 LCF983571 LMB983571 LVX983571 MFT983571 MPP983571 MZL983571 NJH983571 NTD983571 OCZ983571 OMV983571 OWR983571 PGN983571 PQJ983571 QAF983571 QKB983571 QTX983571 RDT983571 RNP983571 RXL983571 SHH983571 SRD983571 TAZ983571 TKV983571 TUR983571 UEN983571 UOJ983571 UYF983571 VIB983571 VRX983571 WBT983571 WLP983571 WVL983571 D443 IZ443 SV443 ACR443 AMN443 AWJ443 BGF443 BQB443 BZX443 CJT443 CTP443 DDL443 DNH443 DXD443 EGZ443 EQV443 FAR443 FKN443 FUJ443 GEF443 GOB443 GXX443 HHT443 HRP443 IBL443 ILH443 IVD443 JEZ443 JOV443 JYR443 KIN443 KSJ443 LCF443 LMB443 LVX443 MFT443 MPP443 MZL443 NJH443 NTD443 OCZ443 OMV443 OWR443 PGN443 PQJ443 QAF443 QKB443 QTX443 RDT443 RNP443 RXL443 SHH443 SRD443 TAZ443 TKV443 TUR443 UEN443 UOJ443 UYF443 VIB443 VRX443 WBT443 WLP443 WVL443 D65979 IZ65979 SV65979 ACR65979 AMN65979 AWJ65979 BGF65979 BQB65979 BZX65979 CJT65979 CTP65979 DDL65979 DNH65979 DXD65979 EGZ65979 EQV65979 FAR65979 FKN65979 FUJ65979 GEF65979 GOB65979 GXX65979 HHT65979 HRP65979 IBL65979 ILH65979 IVD65979 JEZ65979 JOV65979 JYR65979 KIN65979 KSJ65979 LCF65979 LMB65979 LVX65979 MFT65979 MPP65979 MZL65979 NJH65979 NTD65979 OCZ65979 OMV65979 OWR65979 PGN65979 PQJ65979 QAF65979 QKB65979 QTX65979 RDT65979 RNP65979 RXL65979 SHH65979 SRD65979 TAZ65979 TKV65979 TUR65979 UEN65979 UOJ65979 UYF65979 VIB65979 VRX65979 WBT65979 WLP65979 WVL65979 D131515 IZ131515 SV131515 ACR131515 AMN131515 AWJ131515 BGF131515 BQB131515 BZX131515 CJT131515 CTP131515 DDL131515 DNH131515 DXD131515 EGZ131515 EQV131515 FAR131515 FKN131515 FUJ131515 GEF131515 GOB131515 GXX131515 HHT131515 HRP131515 IBL131515 ILH131515 IVD131515 JEZ131515 JOV131515 JYR131515 KIN131515 KSJ131515 LCF131515 LMB131515 LVX131515 MFT131515 MPP131515 MZL131515 NJH131515 NTD131515 OCZ131515 OMV131515 OWR131515 PGN131515 PQJ131515 QAF131515 QKB131515 QTX131515 RDT131515 RNP131515 RXL131515 SHH131515 SRD131515 TAZ131515 TKV131515 TUR131515 UEN131515 UOJ131515 UYF131515 VIB131515 VRX131515 WBT131515 WLP131515 WVL131515 D197051 IZ197051 SV197051 ACR197051 AMN197051 AWJ197051 BGF197051 BQB197051 BZX197051 CJT197051 CTP197051 DDL197051 DNH197051 DXD197051 EGZ197051 EQV197051 FAR197051 FKN197051 FUJ197051 GEF197051 GOB197051 GXX197051 HHT197051 HRP197051 IBL197051 ILH197051 IVD197051 JEZ197051 JOV197051 JYR197051 KIN197051 KSJ197051 LCF197051 LMB197051 LVX197051 MFT197051 MPP197051 MZL197051 NJH197051 NTD197051 OCZ197051 OMV197051 OWR197051 PGN197051 PQJ197051 QAF197051 QKB197051 QTX197051 RDT197051 RNP197051 RXL197051 SHH197051 SRD197051 TAZ197051 TKV197051 TUR197051 UEN197051 UOJ197051 UYF197051 VIB197051 VRX197051 WBT197051 WLP197051 WVL197051 D262587 IZ262587 SV262587 ACR262587 AMN262587 AWJ262587 BGF262587 BQB262587 BZX262587 CJT262587 CTP262587 DDL262587 DNH262587 DXD262587 EGZ262587 EQV262587 FAR262587 FKN262587 FUJ262587 GEF262587 GOB262587 GXX262587 HHT262587 HRP262587 IBL262587 ILH262587 IVD262587 JEZ262587 JOV262587 JYR262587 KIN262587 KSJ262587 LCF262587 LMB262587 LVX262587 MFT262587 MPP262587 MZL262587 NJH262587 NTD262587 OCZ262587 OMV262587 OWR262587 PGN262587 PQJ262587 QAF262587 QKB262587 QTX262587 RDT262587 RNP262587 RXL262587 SHH262587 SRD262587 TAZ262587 TKV262587 TUR262587 UEN262587 UOJ262587 UYF262587 VIB262587 VRX262587 WBT262587 WLP262587 WVL262587 D328123 IZ328123 SV328123 ACR328123 AMN328123 AWJ328123 BGF328123 BQB328123 BZX328123 CJT328123 CTP328123 DDL328123 DNH328123 DXD328123 EGZ328123 EQV328123 FAR328123 FKN328123 FUJ328123 GEF328123 GOB328123 GXX328123 HHT328123 HRP328123 IBL328123 ILH328123 IVD328123 JEZ328123 JOV328123 JYR328123 KIN328123 KSJ328123 LCF328123 LMB328123 LVX328123 MFT328123 MPP328123 MZL328123 NJH328123 NTD328123 OCZ328123 OMV328123 OWR328123 PGN328123 PQJ328123 QAF328123 QKB328123 QTX328123 RDT328123 RNP328123 RXL328123 SHH328123 SRD328123 TAZ328123 TKV328123 TUR328123 UEN328123 UOJ328123 UYF328123 VIB328123 VRX328123 WBT328123 WLP328123 WVL328123 D393659 IZ393659 SV393659 ACR393659 AMN393659 AWJ393659 BGF393659 BQB393659 BZX393659 CJT393659 CTP393659 DDL393659 DNH393659 DXD393659 EGZ393659 EQV393659 FAR393659 FKN393659 FUJ393659 GEF393659 GOB393659 GXX393659 HHT393659 HRP393659 IBL393659 ILH393659 IVD393659 JEZ393659 JOV393659 JYR393659 KIN393659 KSJ393659 LCF393659 LMB393659 LVX393659 MFT393659 MPP393659 MZL393659 NJH393659 NTD393659 OCZ393659 OMV393659 OWR393659 PGN393659 PQJ393659 QAF393659 QKB393659 QTX393659 RDT393659 RNP393659 RXL393659 SHH393659 SRD393659 TAZ393659 TKV393659 TUR393659 UEN393659 UOJ393659 UYF393659 VIB393659 VRX393659 WBT393659 WLP393659 WVL393659 D459195 IZ459195 SV459195 ACR459195 AMN459195 AWJ459195 BGF459195 BQB459195 BZX459195 CJT459195 CTP459195 DDL459195 DNH459195 DXD459195 EGZ459195 EQV459195 FAR459195 FKN459195 FUJ459195 GEF459195 GOB459195 GXX459195 HHT459195 HRP459195 IBL459195 ILH459195 IVD459195 JEZ459195 JOV459195 JYR459195 KIN459195 KSJ459195 LCF459195 LMB459195 LVX459195 MFT459195 MPP459195 MZL459195 NJH459195 NTD459195 OCZ459195 OMV459195 OWR459195 PGN459195 PQJ459195 QAF459195 QKB459195 QTX459195 RDT459195 RNP459195 RXL459195 SHH459195 SRD459195 TAZ459195 TKV459195 TUR459195 UEN459195 UOJ459195 UYF459195 VIB459195 VRX459195 WBT459195 WLP459195 WVL459195 D524731 IZ524731 SV524731 ACR524731 AMN524731 AWJ524731 BGF524731 BQB524731 BZX524731 CJT524731 CTP524731 DDL524731 DNH524731 DXD524731 EGZ524731 EQV524731 FAR524731 FKN524731 FUJ524731 GEF524731 GOB524731 GXX524731 HHT524731 HRP524731 IBL524731 ILH524731 IVD524731 JEZ524731 JOV524731 JYR524731 KIN524731 KSJ524731 LCF524731 LMB524731 LVX524731 MFT524731 MPP524731 MZL524731 NJH524731 NTD524731 OCZ524731 OMV524731 OWR524731 PGN524731 PQJ524731 QAF524731 QKB524731 QTX524731 RDT524731 RNP524731 RXL524731 SHH524731 SRD524731 TAZ524731 TKV524731 TUR524731 UEN524731 UOJ524731 UYF524731 VIB524731 VRX524731 WBT524731 WLP524731 WVL524731 D590267 IZ590267 SV590267 ACR590267 AMN590267 AWJ590267 BGF590267 BQB590267 BZX590267 CJT590267 CTP590267 DDL590267 DNH590267 DXD590267 EGZ590267 EQV590267 FAR590267 FKN590267 FUJ590267 GEF590267 GOB590267 GXX590267 HHT590267 HRP590267 IBL590267 ILH590267 IVD590267 JEZ590267 JOV590267 JYR590267 KIN590267 KSJ590267 LCF590267 LMB590267 LVX590267 MFT590267 MPP590267 MZL590267 NJH590267 NTD590267 OCZ590267 OMV590267 OWR590267 PGN590267 PQJ590267 QAF590267 QKB590267 QTX590267 RDT590267 RNP590267 RXL590267 SHH590267 SRD590267 TAZ590267 TKV590267 TUR590267 UEN590267 UOJ590267 UYF590267 VIB590267 VRX590267 WBT590267 WLP590267 WVL590267 D655803 IZ655803 SV655803 ACR655803 AMN655803 AWJ655803 BGF655803 BQB655803 BZX655803 CJT655803 CTP655803 DDL655803 DNH655803 DXD655803 EGZ655803 EQV655803 FAR655803 FKN655803 FUJ655803 GEF655803 GOB655803 GXX655803 HHT655803 HRP655803 IBL655803 ILH655803 IVD655803 JEZ655803 JOV655803 JYR655803 KIN655803 KSJ655803 LCF655803 LMB655803 LVX655803 MFT655803 MPP655803 MZL655803 NJH655803 NTD655803 OCZ655803 OMV655803 OWR655803 PGN655803 PQJ655803 QAF655803 QKB655803 QTX655803 RDT655803 RNP655803 RXL655803 SHH655803 SRD655803 TAZ655803 TKV655803 TUR655803 UEN655803 UOJ655803 UYF655803 VIB655803 VRX655803 WBT655803 WLP655803 WVL655803 D721339 IZ721339 SV721339 ACR721339 AMN721339 AWJ721339 BGF721339 BQB721339 BZX721339 CJT721339 CTP721339 DDL721339 DNH721339 DXD721339 EGZ721339 EQV721339 FAR721339 FKN721339 FUJ721339 GEF721339 GOB721339 GXX721339 HHT721339 HRP721339 IBL721339 ILH721339 IVD721339 JEZ721339 JOV721339 JYR721339 KIN721339 KSJ721339 LCF721339 LMB721339 LVX721339 MFT721339 MPP721339 MZL721339 NJH721339 NTD721339 OCZ721339 OMV721339 OWR721339 PGN721339 PQJ721339 QAF721339 QKB721339 QTX721339 RDT721339 RNP721339 RXL721339 SHH721339 SRD721339 TAZ721339 TKV721339 TUR721339 UEN721339 UOJ721339 UYF721339 VIB721339 VRX721339 WBT721339 WLP721339 WVL721339 D786875 IZ786875 SV786875 ACR786875 AMN786875 AWJ786875 BGF786875 BQB786875 BZX786875 CJT786875 CTP786875 DDL786875 DNH786875 DXD786875 EGZ786875 EQV786875 FAR786875 FKN786875 FUJ786875 GEF786875 GOB786875 GXX786875 HHT786875 HRP786875 IBL786875 ILH786875 IVD786875 JEZ786875 JOV786875 JYR786875 KIN786875 KSJ786875 LCF786875 LMB786875 LVX786875 MFT786875 MPP786875 MZL786875 NJH786875 NTD786875 OCZ786875 OMV786875 OWR786875 PGN786875 PQJ786875 QAF786875 QKB786875 QTX786875 RDT786875 RNP786875 RXL786875 SHH786875 SRD786875 TAZ786875 TKV786875 TUR786875 UEN786875 UOJ786875 UYF786875 VIB786875 VRX786875 WBT786875 WLP786875 WVL786875 D852411 IZ852411 SV852411 ACR852411 AMN852411 AWJ852411 BGF852411 BQB852411 BZX852411 CJT852411 CTP852411 DDL852411 DNH852411 DXD852411 EGZ852411 EQV852411 FAR852411 FKN852411 FUJ852411 GEF852411 GOB852411 GXX852411 HHT852411 HRP852411 IBL852411 ILH852411 IVD852411 JEZ852411 JOV852411 JYR852411 KIN852411 KSJ852411 LCF852411 LMB852411 LVX852411 MFT852411 MPP852411 MZL852411 NJH852411 NTD852411 OCZ852411 OMV852411 OWR852411 PGN852411 PQJ852411 QAF852411 QKB852411 QTX852411 RDT852411 RNP852411 RXL852411 SHH852411 SRD852411 TAZ852411 TKV852411 TUR852411 UEN852411 UOJ852411 UYF852411 VIB852411 VRX852411 WBT852411 WLP852411 WVL852411 D917947 IZ917947 SV917947 ACR917947 AMN917947 AWJ917947 BGF917947 BQB917947 BZX917947 CJT917947 CTP917947 DDL917947 DNH917947 DXD917947 EGZ917947 EQV917947 FAR917947 FKN917947 FUJ917947 GEF917947 GOB917947 GXX917947 HHT917947 HRP917947 IBL917947 ILH917947 IVD917947 JEZ917947 JOV917947 JYR917947 KIN917947 KSJ917947 LCF917947 LMB917947 LVX917947 MFT917947 MPP917947 MZL917947 NJH917947 NTD917947 OCZ917947 OMV917947 OWR917947 PGN917947 PQJ917947 QAF917947 QKB917947 QTX917947 RDT917947 RNP917947 RXL917947 SHH917947 SRD917947 TAZ917947 TKV917947 TUR917947 UEN917947 UOJ917947 UYF917947 VIB917947 VRX917947 WBT917947 WLP917947 WVL917947 D983483 IZ983483 SV983483 ACR983483 AMN983483 AWJ983483 BGF983483 BQB983483 BZX983483 CJT983483 CTP983483 DDL983483 DNH983483 DXD983483 EGZ983483 EQV983483 FAR983483 FKN983483 FUJ983483 GEF983483 GOB983483 GXX983483 HHT983483 HRP983483 IBL983483 ILH983483 IVD983483 JEZ983483 JOV983483 JYR983483 KIN983483 KSJ983483 LCF983483 LMB983483 LVX983483 MFT983483 MPP983483 MZL983483 NJH983483 NTD983483 OCZ983483 OMV983483 OWR983483 PGN983483 PQJ983483 QAF983483 QKB983483 QTX983483 RDT983483 RNP983483 RXL983483 SHH983483 SRD983483 TAZ983483 TKV983483 TUR983483 UEN983483 UOJ983483 UYF983483 VIB983483 VRX983483 WBT983483 WLP983483 WVL983483 D360 IZ360 SV360 ACR360 AMN360 AWJ360 BGF360 BQB360 BZX360 CJT360 CTP360 DDL360 DNH360 DXD360 EGZ360 EQV360 FAR360 FKN360 FUJ360 GEF360 GOB360 GXX360 HHT360 HRP360 IBL360 ILH360 IVD360 JEZ360 JOV360 JYR360 KIN360 KSJ360 LCF360 LMB360 LVX360 MFT360 MPP360 MZL360 NJH360 NTD360 OCZ360 OMV360 OWR360 PGN360 PQJ360 QAF360 QKB360 QTX360 RDT360 RNP360 RXL360 SHH360 SRD360 TAZ360 TKV360 TUR360 UEN360 UOJ360 UYF360 VIB360 VRX360 WBT360 WLP360 WVL360 D65896 IZ65896 SV65896 ACR65896 AMN65896 AWJ65896 BGF65896 BQB65896 BZX65896 CJT65896 CTP65896 DDL65896 DNH65896 DXD65896 EGZ65896 EQV65896 FAR65896 FKN65896 FUJ65896 GEF65896 GOB65896 GXX65896 HHT65896 HRP65896 IBL65896 ILH65896 IVD65896 JEZ65896 JOV65896 JYR65896 KIN65896 KSJ65896 LCF65896 LMB65896 LVX65896 MFT65896 MPP65896 MZL65896 NJH65896 NTD65896 OCZ65896 OMV65896 OWR65896 PGN65896 PQJ65896 QAF65896 QKB65896 QTX65896 RDT65896 RNP65896 RXL65896 SHH65896 SRD65896 TAZ65896 TKV65896 TUR65896 UEN65896 UOJ65896 UYF65896 VIB65896 VRX65896 WBT65896 WLP65896 WVL65896 D131432 IZ131432 SV131432 ACR131432 AMN131432 AWJ131432 BGF131432 BQB131432 BZX131432 CJT131432 CTP131432 DDL131432 DNH131432 DXD131432 EGZ131432 EQV131432 FAR131432 FKN131432 FUJ131432 GEF131432 GOB131432 GXX131432 HHT131432 HRP131432 IBL131432 ILH131432 IVD131432 JEZ131432 JOV131432 JYR131432 KIN131432 KSJ131432 LCF131432 LMB131432 LVX131432 MFT131432 MPP131432 MZL131432 NJH131432 NTD131432 OCZ131432 OMV131432 OWR131432 PGN131432 PQJ131432 QAF131432 QKB131432 QTX131432 RDT131432 RNP131432 RXL131432 SHH131432 SRD131432 TAZ131432 TKV131432 TUR131432 UEN131432 UOJ131432 UYF131432 VIB131432 VRX131432 WBT131432 WLP131432 WVL131432 D196968 IZ196968 SV196968 ACR196968 AMN196968 AWJ196968 BGF196968 BQB196968 BZX196968 CJT196968 CTP196968 DDL196968 DNH196968 DXD196968 EGZ196968 EQV196968 FAR196968 FKN196968 FUJ196968 GEF196968 GOB196968 GXX196968 HHT196968 HRP196968 IBL196968 ILH196968 IVD196968 JEZ196968 JOV196968 JYR196968 KIN196968 KSJ196968 LCF196968 LMB196968 LVX196968 MFT196968 MPP196968 MZL196968 NJH196968 NTD196968 OCZ196968 OMV196968 OWR196968 PGN196968 PQJ196968 QAF196968 QKB196968 QTX196968 RDT196968 RNP196968 RXL196968 SHH196968 SRD196968 TAZ196968 TKV196968 TUR196968 UEN196968 UOJ196968 UYF196968 VIB196968 VRX196968 WBT196968 WLP196968 WVL196968 D262504 IZ262504 SV262504 ACR262504 AMN262504 AWJ262504 BGF262504 BQB262504 BZX262504 CJT262504 CTP262504 DDL262504 DNH262504 DXD262504 EGZ262504 EQV262504 FAR262504 FKN262504 FUJ262504 GEF262504 GOB262504 GXX262504 HHT262504 HRP262504 IBL262504 ILH262504 IVD262504 JEZ262504 JOV262504 JYR262504 KIN262504 KSJ262504 LCF262504 LMB262504 LVX262504 MFT262504 MPP262504 MZL262504 NJH262504 NTD262504 OCZ262504 OMV262504 OWR262504 PGN262504 PQJ262504 QAF262504 QKB262504 QTX262504 RDT262504 RNP262504 RXL262504 SHH262504 SRD262504 TAZ262504 TKV262504 TUR262504 UEN262504 UOJ262504 UYF262504 VIB262504 VRX262504 WBT262504 WLP262504 WVL262504 D328040 IZ328040 SV328040 ACR328040 AMN328040 AWJ328040 BGF328040 BQB328040 BZX328040 CJT328040 CTP328040 DDL328040 DNH328040 DXD328040 EGZ328040 EQV328040 FAR328040 FKN328040 FUJ328040 GEF328040 GOB328040 GXX328040 HHT328040 HRP328040 IBL328040 ILH328040 IVD328040 JEZ328040 JOV328040 JYR328040 KIN328040 KSJ328040 LCF328040 LMB328040 LVX328040 MFT328040 MPP328040 MZL328040 NJH328040 NTD328040 OCZ328040 OMV328040 OWR328040 PGN328040 PQJ328040 QAF328040 QKB328040 QTX328040 RDT328040 RNP328040 RXL328040 SHH328040 SRD328040 TAZ328040 TKV328040 TUR328040 UEN328040 UOJ328040 UYF328040 VIB328040 VRX328040 WBT328040 WLP328040 WVL328040 D393576 IZ393576 SV393576 ACR393576 AMN393576 AWJ393576 BGF393576 BQB393576 BZX393576 CJT393576 CTP393576 DDL393576 DNH393576 DXD393576 EGZ393576 EQV393576 FAR393576 FKN393576 FUJ393576 GEF393576 GOB393576 GXX393576 HHT393576 HRP393576 IBL393576 ILH393576 IVD393576 JEZ393576 JOV393576 JYR393576 KIN393576 KSJ393576 LCF393576 LMB393576 LVX393576 MFT393576 MPP393576 MZL393576 NJH393576 NTD393576 OCZ393576 OMV393576 OWR393576 PGN393576 PQJ393576 QAF393576 QKB393576 QTX393576 RDT393576 RNP393576 RXL393576 SHH393576 SRD393576 TAZ393576 TKV393576 TUR393576 UEN393576 UOJ393576 UYF393576 VIB393576 VRX393576 WBT393576 WLP393576 WVL393576 D459112 IZ459112 SV459112 ACR459112 AMN459112 AWJ459112 BGF459112 BQB459112 BZX459112 CJT459112 CTP459112 DDL459112 DNH459112 DXD459112 EGZ459112 EQV459112 FAR459112 FKN459112 FUJ459112 GEF459112 GOB459112 GXX459112 HHT459112 HRP459112 IBL459112 ILH459112 IVD459112 JEZ459112 JOV459112 JYR459112 KIN459112 KSJ459112 LCF459112 LMB459112 LVX459112 MFT459112 MPP459112 MZL459112 NJH459112 NTD459112 OCZ459112 OMV459112 OWR459112 PGN459112 PQJ459112 QAF459112 QKB459112 QTX459112 RDT459112 RNP459112 RXL459112 SHH459112 SRD459112 TAZ459112 TKV459112 TUR459112 UEN459112 UOJ459112 UYF459112 VIB459112 VRX459112 WBT459112 WLP459112 WVL459112 D524648 IZ524648 SV524648 ACR524648 AMN524648 AWJ524648 BGF524648 BQB524648 BZX524648 CJT524648 CTP524648 DDL524648 DNH524648 DXD524648 EGZ524648 EQV524648 FAR524648 FKN524648 FUJ524648 GEF524648 GOB524648 GXX524648 HHT524648 HRP524648 IBL524648 ILH524648 IVD524648 JEZ524648 JOV524648 JYR524648 KIN524648 KSJ524648 LCF524648 LMB524648 LVX524648 MFT524648 MPP524648 MZL524648 NJH524648 NTD524648 OCZ524648 OMV524648 OWR524648 PGN524648 PQJ524648 QAF524648 QKB524648 QTX524648 RDT524648 RNP524648 RXL524648 SHH524648 SRD524648 TAZ524648 TKV524648 TUR524648 UEN524648 UOJ524648 UYF524648 VIB524648 VRX524648 WBT524648 WLP524648 WVL524648 D590184 IZ590184 SV590184 ACR590184 AMN590184 AWJ590184 BGF590184 BQB590184 BZX590184 CJT590184 CTP590184 DDL590184 DNH590184 DXD590184 EGZ590184 EQV590184 FAR590184 FKN590184 FUJ590184 GEF590184 GOB590184 GXX590184 HHT590184 HRP590184 IBL590184 ILH590184 IVD590184 JEZ590184 JOV590184 JYR590184 KIN590184 KSJ590184 LCF590184 LMB590184 LVX590184 MFT590184 MPP590184 MZL590184 NJH590184 NTD590184 OCZ590184 OMV590184 OWR590184 PGN590184 PQJ590184 QAF590184 QKB590184 QTX590184 RDT590184 RNP590184 RXL590184 SHH590184 SRD590184 TAZ590184 TKV590184 TUR590184 UEN590184 UOJ590184 UYF590184 VIB590184 VRX590184 WBT590184 WLP590184 WVL590184 D655720 IZ655720 SV655720 ACR655720 AMN655720 AWJ655720 BGF655720 BQB655720 BZX655720 CJT655720 CTP655720 DDL655720 DNH655720 DXD655720 EGZ655720 EQV655720 FAR655720 FKN655720 FUJ655720 GEF655720 GOB655720 GXX655720 HHT655720 HRP655720 IBL655720 ILH655720 IVD655720 JEZ655720 JOV655720 JYR655720 KIN655720 KSJ655720 LCF655720 LMB655720 LVX655720 MFT655720 MPP655720 MZL655720 NJH655720 NTD655720 OCZ655720 OMV655720 OWR655720 PGN655720 PQJ655720 QAF655720 QKB655720 QTX655720 RDT655720 RNP655720 RXL655720 SHH655720 SRD655720 TAZ655720 TKV655720 TUR655720 UEN655720 UOJ655720 UYF655720 VIB655720 VRX655720 WBT655720 WLP655720 WVL655720 D721256 IZ721256 SV721256 ACR721256 AMN721256 AWJ721256 BGF721256 BQB721256 BZX721256 CJT721256 CTP721256 DDL721256 DNH721256 DXD721256 EGZ721256 EQV721256 FAR721256 FKN721256 FUJ721256 GEF721256 GOB721256 GXX721256 HHT721256 HRP721256 IBL721256 ILH721256 IVD721256 JEZ721256 JOV721256 JYR721256 KIN721256 KSJ721256 LCF721256 LMB721256 LVX721256 MFT721256 MPP721256 MZL721256 NJH721256 NTD721256 OCZ721256 OMV721256 OWR721256 PGN721256 PQJ721256 QAF721256 QKB721256 QTX721256 RDT721256 RNP721256 RXL721256 SHH721256 SRD721256 TAZ721256 TKV721256 TUR721256 UEN721256 UOJ721256 UYF721256 VIB721256 VRX721256 WBT721256 WLP721256 WVL721256 D786792 IZ786792 SV786792 ACR786792 AMN786792 AWJ786792 BGF786792 BQB786792 BZX786792 CJT786792 CTP786792 DDL786792 DNH786792 DXD786792 EGZ786792 EQV786792 FAR786792 FKN786792 FUJ786792 GEF786792 GOB786792 GXX786792 HHT786792 HRP786792 IBL786792 ILH786792 IVD786792 JEZ786792 JOV786792 JYR786792 KIN786792 KSJ786792 LCF786792 LMB786792 LVX786792 MFT786792 MPP786792 MZL786792 NJH786792 NTD786792 OCZ786792 OMV786792 OWR786792 PGN786792 PQJ786792 QAF786792 QKB786792 QTX786792 RDT786792 RNP786792 RXL786792 SHH786792 SRD786792 TAZ786792 TKV786792 TUR786792 UEN786792 UOJ786792 UYF786792 VIB786792 VRX786792 WBT786792 WLP786792 WVL786792 D852328 IZ852328 SV852328 ACR852328 AMN852328 AWJ852328 BGF852328 BQB852328 BZX852328 CJT852328 CTP852328 DDL852328 DNH852328 DXD852328 EGZ852328 EQV852328 FAR852328 FKN852328 FUJ852328 GEF852328 GOB852328 GXX852328 HHT852328 HRP852328 IBL852328 ILH852328 IVD852328 JEZ852328 JOV852328 JYR852328 KIN852328 KSJ852328 LCF852328 LMB852328 LVX852328 MFT852328 MPP852328 MZL852328 NJH852328 NTD852328 OCZ852328 OMV852328 OWR852328 PGN852328 PQJ852328 QAF852328 QKB852328 QTX852328 RDT852328 RNP852328 RXL852328 SHH852328 SRD852328 TAZ852328 TKV852328 TUR852328 UEN852328 UOJ852328 UYF852328 VIB852328 VRX852328 WBT852328 WLP852328 WVL852328 D917864 IZ917864 SV917864 ACR917864 AMN917864 AWJ917864 BGF917864 BQB917864 BZX917864 CJT917864 CTP917864 DDL917864 DNH917864 DXD917864 EGZ917864 EQV917864 FAR917864 FKN917864 FUJ917864 GEF917864 GOB917864 GXX917864 HHT917864 HRP917864 IBL917864 ILH917864 IVD917864 JEZ917864 JOV917864 JYR917864 KIN917864 KSJ917864 LCF917864 LMB917864 LVX917864 MFT917864 MPP917864 MZL917864 NJH917864 NTD917864 OCZ917864 OMV917864 OWR917864 PGN917864 PQJ917864 QAF917864 QKB917864 QTX917864 RDT917864 RNP917864 RXL917864 SHH917864 SRD917864 TAZ917864 TKV917864 TUR917864 UEN917864 UOJ917864 UYF917864 VIB917864 VRX917864 WBT917864 WLP917864 WVL917864 D983400 IZ983400 SV983400 ACR983400 AMN983400 AWJ983400 BGF983400 BQB983400 BZX983400 CJT983400 CTP983400 DDL983400 DNH983400 DXD983400 EGZ983400 EQV983400 FAR983400 FKN983400 FUJ983400 GEF983400 GOB983400 GXX983400 HHT983400 HRP983400 IBL983400 ILH983400 IVD983400 JEZ983400 JOV983400 JYR983400 KIN983400 KSJ983400 LCF983400 LMB983400 LVX983400 MFT983400 MPP983400 MZL983400 NJH983400 NTD983400 OCZ983400 OMV983400 OWR983400 PGN983400 PQJ983400 QAF983400 QKB983400 QTX983400 RDT983400 RNP983400 RXL983400 SHH983400 SRD983400 TAZ983400 TKV983400 TUR983400 UEN983400 UOJ983400 UYF983400 VIB983400 VRX983400 WBT983400 WLP983400 WVL983400 D225 IZ225 SV225 ACR225 AMN225 AWJ225 BGF225 BQB225 BZX225 CJT225 CTP225 DDL225 DNH225 DXD225 EGZ225 EQV225 FAR225 FKN225 FUJ225 GEF225 GOB225 GXX225 HHT225 HRP225 IBL225 ILH225 IVD225 JEZ225 JOV225 JYR225 KIN225 KSJ225 LCF225 LMB225 LVX225 MFT225 MPP225 MZL225 NJH225 NTD225 OCZ225 OMV225 OWR225 PGN225 PQJ225 QAF225 QKB225 QTX225 RDT225 RNP225 RXL225 SHH225 SRD225 TAZ225 TKV225 TUR225 UEN225 UOJ225 UYF225 VIB225 VRX225 WBT225 WLP225 WVL225 D65759 IZ65759 SV65759 ACR65759 AMN65759 AWJ65759 BGF65759 BQB65759 BZX65759 CJT65759 CTP65759 DDL65759 DNH65759 DXD65759 EGZ65759 EQV65759 FAR65759 FKN65759 FUJ65759 GEF65759 GOB65759 GXX65759 HHT65759 HRP65759 IBL65759 ILH65759 IVD65759 JEZ65759 JOV65759 JYR65759 KIN65759 KSJ65759 LCF65759 LMB65759 LVX65759 MFT65759 MPP65759 MZL65759 NJH65759 NTD65759 OCZ65759 OMV65759 OWR65759 PGN65759 PQJ65759 QAF65759 QKB65759 QTX65759 RDT65759 RNP65759 RXL65759 SHH65759 SRD65759 TAZ65759 TKV65759 TUR65759 UEN65759 UOJ65759 UYF65759 VIB65759 VRX65759 WBT65759 WLP65759 WVL65759 D131295 IZ131295 SV131295 ACR131295 AMN131295 AWJ131295 BGF131295 BQB131295 BZX131295 CJT131295 CTP131295 DDL131295 DNH131295 DXD131295 EGZ131295 EQV131295 FAR131295 FKN131295 FUJ131295 GEF131295 GOB131295 GXX131295 HHT131295 HRP131295 IBL131295 ILH131295 IVD131295 JEZ131295 JOV131295 JYR131295 KIN131295 KSJ131295 LCF131295 LMB131295 LVX131295 MFT131295 MPP131295 MZL131295 NJH131295 NTD131295 OCZ131295 OMV131295 OWR131295 PGN131295 PQJ131295 QAF131295 QKB131295 QTX131295 RDT131295 RNP131295 RXL131295 SHH131295 SRD131295 TAZ131295 TKV131295 TUR131295 UEN131295 UOJ131295 UYF131295 VIB131295 VRX131295 WBT131295 WLP131295 WVL131295 D196831 IZ196831 SV196831 ACR196831 AMN196831 AWJ196831 BGF196831 BQB196831 BZX196831 CJT196831 CTP196831 DDL196831 DNH196831 DXD196831 EGZ196831 EQV196831 FAR196831 FKN196831 FUJ196831 GEF196831 GOB196831 GXX196831 HHT196831 HRP196831 IBL196831 ILH196831 IVD196831 JEZ196831 JOV196831 JYR196831 KIN196831 KSJ196831 LCF196831 LMB196831 LVX196831 MFT196831 MPP196831 MZL196831 NJH196831 NTD196831 OCZ196831 OMV196831 OWR196831 PGN196831 PQJ196831 QAF196831 QKB196831 QTX196831 RDT196831 RNP196831 RXL196831 SHH196831 SRD196831 TAZ196831 TKV196831 TUR196831 UEN196831 UOJ196831 UYF196831 VIB196831 VRX196831 WBT196831 WLP196831 WVL196831 D262367 IZ262367 SV262367 ACR262367 AMN262367 AWJ262367 BGF262367 BQB262367 BZX262367 CJT262367 CTP262367 DDL262367 DNH262367 DXD262367 EGZ262367 EQV262367 FAR262367 FKN262367 FUJ262367 GEF262367 GOB262367 GXX262367 HHT262367 HRP262367 IBL262367 ILH262367 IVD262367 JEZ262367 JOV262367 JYR262367 KIN262367 KSJ262367 LCF262367 LMB262367 LVX262367 MFT262367 MPP262367 MZL262367 NJH262367 NTD262367 OCZ262367 OMV262367 OWR262367 PGN262367 PQJ262367 QAF262367 QKB262367 QTX262367 RDT262367 RNP262367 RXL262367 SHH262367 SRD262367 TAZ262367 TKV262367 TUR262367 UEN262367 UOJ262367 UYF262367 VIB262367 VRX262367 WBT262367 WLP262367 WVL262367 D327903 IZ327903 SV327903 ACR327903 AMN327903 AWJ327903 BGF327903 BQB327903 BZX327903 CJT327903 CTP327903 DDL327903 DNH327903 DXD327903 EGZ327903 EQV327903 FAR327903 FKN327903 FUJ327903 GEF327903 GOB327903 GXX327903 HHT327903 HRP327903 IBL327903 ILH327903 IVD327903 JEZ327903 JOV327903 JYR327903 KIN327903 KSJ327903 LCF327903 LMB327903 LVX327903 MFT327903 MPP327903 MZL327903 NJH327903 NTD327903 OCZ327903 OMV327903 OWR327903 PGN327903 PQJ327903 QAF327903 QKB327903 QTX327903 RDT327903 RNP327903 RXL327903 SHH327903 SRD327903 TAZ327903 TKV327903 TUR327903 UEN327903 UOJ327903 UYF327903 VIB327903 VRX327903 WBT327903 WLP327903 WVL327903 D393439 IZ393439 SV393439 ACR393439 AMN393439 AWJ393439 BGF393439 BQB393439 BZX393439 CJT393439 CTP393439 DDL393439 DNH393439 DXD393439 EGZ393439 EQV393439 FAR393439 FKN393439 FUJ393439 GEF393439 GOB393439 GXX393439 HHT393439 HRP393439 IBL393439 ILH393439 IVD393439 JEZ393439 JOV393439 JYR393439 KIN393439 KSJ393439 LCF393439 LMB393439 LVX393439 MFT393439 MPP393439 MZL393439 NJH393439 NTD393439 OCZ393439 OMV393439 OWR393439 PGN393439 PQJ393439 QAF393439 QKB393439 QTX393439 RDT393439 RNP393439 RXL393439 SHH393439 SRD393439 TAZ393439 TKV393439 TUR393439 UEN393439 UOJ393439 UYF393439 VIB393439 VRX393439 WBT393439 WLP393439 WVL393439 D458975 IZ458975 SV458975 ACR458975 AMN458975 AWJ458975 BGF458975 BQB458975 BZX458975 CJT458975 CTP458975 DDL458975 DNH458975 DXD458975 EGZ458975 EQV458975 FAR458975 FKN458975 FUJ458975 GEF458975 GOB458975 GXX458975 HHT458975 HRP458975 IBL458975 ILH458975 IVD458975 JEZ458975 JOV458975 JYR458975 KIN458975 KSJ458975 LCF458975 LMB458975 LVX458975 MFT458975 MPP458975 MZL458975 NJH458975 NTD458975 OCZ458975 OMV458975 OWR458975 PGN458975 PQJ458975 QAF458975 QKB458975 QTX458975 RDT458975 RNP458975 RXL458975 SHH458975 SRD458975 TAZ458975 TKV458975 TUR458975 UEN458975 UOJ458975 UYF458975 VIB458975 VRX458975 WBT458975 WLP458975 WVL458975 D524511 IZ524511 SV524511 ACR524511 AMN524511 AWJ524511 BGF524511 BQB524511 BZX524511 CJT524511 CTP524511 DDL524511 DNH524511 DXD524511 EGZ524511 EQV524511 FAR524511 FKN524511 FUJ524511 GEF524511 GOB524511 GXX524511 HHT524511 HRP524511 IBL524511 ILH524511 IVD524511 JEZ524511 JOV524511 JYR524511 KIN524511 KSJ524511 LCF524511 LMB524511 LVX524511 MFT524511 MPP524511 MZL524511 NJH524511 NTD524511 OCZ524511 OMV524511 OWR524511 PGN524511 PQJ524511 QAF524511 QKB524511 QTX524511 RDT524511 RNP524511 RXL524511 SHH524511 SRD524511 TAZ524511 TKV524511 TUR524511 UEN524511 UOJ524511 UYF524511 VIB524511 VRX524511 WBT524511 WLP524511 WVL524511 D590047 IZ590047 SV590047 ACR590047 AMN590047 AWJ590047 BGF590047 BQB590047 BZX590047 CJT590047 CTP590047 DDL590047 DNH590047 DXD590047 EGZ590047 EQV590047 FAR590047 FKN590047 FUJ590047 GEF590047 GOB590047 GXX590047 HHT590047 HRP590047 IBL590047 ILH590047 IVD590047 JEZ590047 JOV590047 JYR590047 KIN590047 KSJ590047 LCF590047 LMB590047 LVX590047 MFT590047 MPP590047 MZL590047 NJH590047 NTD590047 OCZ590047 OMV590047 OWR590047 PGN590047 PQJ590047 QAF590047 QKB590047 QTX590047 RDT590047 RNP590047 RXL590047 SHH590047 SRD590047 TAZ590047 TKV590047 TUR590047 UEN590047 UOJ590047 UYF590047 VIB590047 VRX590047 WBT590047 WLP590047 WVL590047 D655583 IZ655583 SV655583 ACR655583 AMN655583 AWJ655583 BGF655583 BQB655583 BZX655583 CJT655583 CTP655583 DDL655583 DNH655583 DXD655583 EGZ655583 EQV655583 FAR655583 FKN655583 FUJ655583 GEF655583 GOB655583 GXX655583 HHT655583 HRP655583 IBL655583 ILH655583 IVD655583 JEZ655583 JOV655583 JYR655583 KIN655583 KSJ655583 LCF655583 LMB655583 LVX655583 MFT655583 MPP655583 MZL655583 NJH655583 NTD655583 OCZ655583 OMV655583 OWR655583 PGN655583 PQJ655583 QAF655583 QKB655583 QTX655583 RDT655583 RNP655583 RXL655583 SHH655583 SRD655583 TAZ655583 TKV655583 TUR655583 UEN655583 UOJ655583 UYF655583 VIB655583 VRX655583 WBT655583 WLP655583 WVL655583 D721119 IZ721119 SV721119 ACR721119 AMN721119 AWJ721119 BGF721119 BQB721119 BZX721119 CJT721119 CTP721119 DDL721119 DNH721119 DXD721119 EGZ721119 EQV721119 FAR721119 FKN721119 FUJ721119 GEF721119 GOB721119 GXX721119 HHT721119 HRP721119 IBL721119 ILH721119 IVD721119 JEZ721119 JOV721119 JYR721119 KIN721119 KSJ721119 LCF721119 LMB721119 LVX721119 MFT721119 MPP721119 MZL721119 NJH721119 NTD721119 OCZ721119 OMV721119 OWR721119 PGN721119 PQJ721119 QAF721119 QKB721119 QTX721119 RDT721119 RNP721119 RXL721119 SHH721119 SRD721119 TAZ721119 TKV721119 TUR721119 UEN721119 UOJ721119 UYF721119 VIB721119 VRX721119 WBT721119 WLP721119 WVL721119 D786655 IZ786655 SV786655 ACR786655 AMN786655 AWJ786655 BGF786655 BQB786655 BZX786655 CJT786655 CTP786655 DDL786655 DNH786655 DXD786655 EGZ786655 EQV786655 FAR786655 FKN786655 FUJ786655 GEF786655 GOB786655 GXX786655 HHT786655 HRP786655 IBL786655 ILH786655 IVD786655 JEZ786655 JOV786655 JYR786655 KIN786655 KSJ786655 LCF786655 LMB786655 LVX786655 MFT786655 MPP786655 MZL786655 NJH786655 NTD786655 OCZ786655 OMV786655 OWR786655 PGN786655 PQJ786655 QAF786655 QKB786655 QTX786655 RDT786655 RNP786655 RXL786655 SHH786655 SRD786655 TAZ786655 TKV786655 TUR786655 UEN786655 UOJ786655 UYF786655 VIB786655 VRX786655 WBT786655 WLP786655 WVL786655 D852191 IZ852191 SV852191 ACR852191 AMN852191 AWJ852191 BGF852191 BQB852191 BZX852191 CJT852191 CTP852191 DDL852191 DNH852191 DXD852191 EGZ852191 EQV852191 FAR852191 FKN852191 FUJ852191 GEF852191 GOB852191 GXX852191 HHT852191 HRP852191 IBL852191 ILH852191 IVD852191 JEZ852191 JOV852191 JYR852191 KIN852191 KSJ852191 LCF852191 LMB852191 LVX852191 MFT852191 MPP852191 MZL852191 NJH852191 NTD852191 OCZ852191 OMV852191 OWR852191 PGN852191 PQJ852191 QAF852191 QKB852191 QTX852191 RDT852191 RNP852191 RXL852191 SHH852191 SRD852191 TAZ852191 TKV852191 TUR852191 UEN852191 UOJ852191 UYF852191 VIB852191 VRX852191 WBT852191 WLP852191 WVL852191 D917727 IZ917727 SV917727 ACR917727 AMN917727 AWJ917727 BGF917727 BQB917727 BZX917727 CJT917727 CTP917727 DDL917727 DNH917727 DXD917727 EGZ917727 EQV917727 FAR917727 FKN917727 FUJ917727 GEF917727 GOB917727 GXX917727 HHT917727 HRP917727 IBL917727 ILH917727 IVD917727 JEZ917727 JOV917727 JYR917727 KIN917727 KSJ917727 LCF917727 LMB917727 LVX917727 MFT917727 MPP917727 MZL917727 NJH917727 NTD917727 OCZ917727 OMV917727 OWR917727 PGN917727 PQJ917727 QAF917727 QKB917727 QTX917727 RDT917727 RNP917727 RXL917727 SHH917727 SRD917727 TAZ917727 TKV917727 TUR917727 UEN917727 UOJ917727 UYF917727 VIB917727 VRX917727 WBT917727 WLP917727 WVL917727 D983263 IZ983263 SV983263 ACR983263 AMN983263 AWJ983263 BGF983263 BQB983263 BZX983263 CJT983263 CTP983263 DDL983263 DNH983263 DXD983263 EGZ983263 EQV983263 FAR983263 FKN983263 FUJ983263 GEF983263 GOB983263 GXX983263 HHT983263 HRP983263 IBL983263 ILH983263 IVD983263 JEZ983263 JOV983263 JYR983263 KIN983263 KSJ983263 LCF983263 LMB983263 LVX983263 MFT983263 MPP983263 MZL983263 NJH983263 NTD983263 OCZ983263 OMV983263 OWR983263 PGN983263 PQJ983263 QAF983263 QKB983263 QTX983263 RDT983263 RNP983263 RXL983263 SHH983263 SRD983263 TAZ983263 TKV983263 TUR983263 UEN983263 UOJ983263 UYF983263 VIB983263 VRX983263 WBT983263 WLP983263 WVL983263 D7:D8 IZ131 SV131 ACR131 AMN131 AWJ131 BGF131 BQB131 BZX131 CJT131 CTP131 DDL131 DNH131 DXD131 EGZ131 EQV131 FAR131 FKN131 FUJ131 GEF131 GOB131 GXX131 HHT131 HRP131 IBL131 ILH131 IVD131 JEZ131 JOV131 JYR131 KIN131 KSJ131 LCF131 LMB131 LVX131 MFT131 MPP131 MZL131 NJH131 NTD131 OCZ131 OMV131 OWR131 PGN131 PQJ131 QAF131 QKB131 QTX131 RDT131 RNP131 RXL131 SHH131 SRD131 TAZ131 TKV131 TUR131 UEN131 UOJ131 UYF131 VIB131 VRX131 WBT131 WLP131 WVL131 D65671 IZ65671 SV65671 ACR65671 AMN65671 AWJ65671 BGF65671 BQB65671 BZX65671 CJT65671 CTP65671 DDL65671 DNH65671 DXD65671 EGZ65671 EQV65671 FAR65671 FKN65671 FUJ65671 GEF65671 GOB65671 GXX65671 HHT65671 HRP65671 IBL65671 ILH65671 IVD65671 JEZ65671 JOV65671 JYR65671 KIN65671 KSJ65671 LCF65671 LMB65671 LVX65671 MFT65671 MPP65671 MZL65671 NJH65671 NTD65671 OCZ65671 OMV65671 OWR65671 PGN65671 PQJ65671 QAF65671 QKB65671 QTX65671 RDT65671 RNP65671 RXL65671 SHH65671 SRD65671 TAZ65671 TKV65671 TUR65671 UEN65671 UOJ65671 UYF65671 VIB65671 VRX65671 WBT65671 WLP65671 WVL65671 D131207 IZ131207 SV131207 ACR131207 AMN131207 AWJ131207 BGF131207 BQB131207 BZX131207 CJT131207 CTP131207 DDL131207 DNH131207 DXD131207 EGZ131207 EQV131207 FAR131207 FKN131207 FUJ131207 GEF131207 GOB131207 GXX131207 HHT131207 HRP131207 IBL131207 ILH131207 IVD131207 JEZ131207 JOV131207 JYR131207 KIN131207 KSJ131207 LCF131207 LMB131207 LVX131207 MFT131207 MPP131207 MZL131207 NJH131207 NTD131207 OCZ131207 OMV131207 OWR131207 PGN131207 PQJ131207 QAF131207 QKB131207 QTX131207 RDT131207 RNP131207 RXL131207 SHH131207 SRD131207 TAZ131207 TKV131207 TUR131207 UEN131207 UOJ131207 UYF131207 VIB131207 VRX131207 WBT131207 WLP131207 WVL131207 D196743 IZ196743 SV196743 ACR196743 AMN196743 AWJ196743 BGF196743 BQB196743 BZX196743 CJT196743 CTP196743 DDL196743 DNH196743 DXD196743 EGZ196743 EQV196743 FAR196743 FKN196743 FUJ196743 GEF196743 GOB196743 GXX196743 HHT196743 HRP196743 IBL196743 ILH196743 IVD196743 JEZ196743 JOV196743 JYR196743 KIN196743 KSJ196743 LCF196743 LMB196743 LVX196743 MFT196743 MPP196743 MZL196743 NJH196743 NTD196743 OCZ196743 OMV196743 OWR196743 PGN196743 PQJ196743 QAF196743 QKB196743 QTX196743 RDT196743 RNP196743 RXL196743 SHH196743 SRD196743 TAZ196743 TKV196743 TUR196743 UEN196743 UOJ196743 UYF196743 VIB196743 VRX196743 WBT196743 WLP196743 WVL196743 D262279 IZ262279 SV262279 ACR262279 AMN262279 AWJ262279 BGF262279 BQB262279 BZX262279 CJT262279 CTP262279 DDL262279 DNH262279 DXD262279 EGZ262279 EQV262279 FAR262279 FKN262279 FUJ262279 GEF262279 GOB262279 GXX262279 HHT262279 HRP262279 IBL262279 ILH262279 IVD262279 JEZ262279 JOV262279 JYR262279 KIN262279 KSJ262279 LCF262279 LMB262279 LVX262279 MFT262279 MPP262279 MZL262279 NJH262279 NTD262279 OCZ262279 OMV262279 OWR262279 PGN262279 PQJ262279 QAF262279 QKB262279 QTX262279 RDT262279 RNP262279 RXL262279 SHH262279 SRD262279 TAZ262279 TKV262279 TUR262279 UEN262279 UOJ262279 UYF262279 VIB262279 VRX262279 WBT262279 WLP262279 WVL262279 D327815 IZ327815 SV327815 ACR327815 AMN327815 AWJ327815 BGF327815 BQB327815 BZX327815 CJT327815 CTP327815 DDL327815 DNH327815 DXD327815 EGZ327815 EQV327815 FAR327815 FKN327815 FUJ327815 GEF327815 GOB327815 GXX327815 HHT327815 HRP327815 IBL327815 ILH327815 IVD327815 JEZ327815 JOV327815 JYR327815 KIN327815 KSJ327815 LCF327815 LMB327815 LVX327815 MFT327815 MPP327815 MZL327815 NJH327815 NTD327815 OCZ327815 OMV327815 OWR327815 PGN327815 PQJ327815 QAF327815 QKB327815 QTX327815 RDT327815 RNP327815 RXL327815 SHH327815 SRD327815 TAZ327815 TKV327815 TUR327815 UEN327815 UOJ327815 UYF327815 VIB327815 VRX327815 WBT327815 WLP327815 WVL327815 D393351 IZ393351 SV393351 ACR393351 AMN393351 AWJ393351 BGF393351 BQB393351 BZX393351 CJT393351 CTP393351 DDL393351 DNH393351 DXD393351 EGZ393351 EQV393351 FAR393351 FKN393351 FUJ393351 GEF393351 GOB393351 GXX393351 HHT393351 HRP393351 IBL393351 ILH393351 IVD393351 JEZ393351 JOV393351 JYR393351 KIN393351 KSJ393351 LCF393351 LMB393351 LVX393351 MFT393351 MPP393351 MZL393351 NJH393351 NTD393351 OCZ393351 OMV393351 OWR393351 PGN393351 PQJ393351 QAF393351 QKB393351 QTX393351 RDT393351 RNP393351 RXL393351 SHH393351 SRD393351 TAZ393351 TKV393351 TUR393351 UEN393351 UOJ393351 UYF393351 VIB393351 VRX393351 WBT393351 WLP393351 WVL393351 D458887 IZ458887 SV458887 ACR458887 AMN458887 AWJ458887 BGF458887 BQB458887 BZX458887 CJT458887 CTP458887 DDL458887 DNH458887 DXD458887 EGZ458887 EQV458887 FAR458887 FKN458887 FUJ458887 GEF458887 GOB458887 GXX458887 HHT458887 HRP458887 IBL458887 ILH458887 IVD458887 JEZ458887 JOV458887 JYR458887 KIN458887 KSJ458887 LCF458887 LMB458887 LVX458887 MFT458887 MPP458887 MZL458887 NJH458887 NTD458887 OCZ458887 OMV458887 OWR458887 PGN458887 PQJ458887 QAF458887 QKB458887 QTX458887 RDT458887 RNP458887 RXL458887 SHH458887 SRD458887 TAZ458887 TKV458887 TUR458887 UEN458887 UOJ458887 UYF458887 VIB458887 VRX458887 WBT458887 WLP458887 WVL458887 D524423 IZ524423 SV524423 ACR524423 AMN524423 AWJ524423 BGF524423 BQB524423 BZX524423 CJT524423 CTP524423 DDL524423 DNH524423 DXD524423 EGZ524423 EQV524423 FAR524423 FKN524423 FUJ524423 GEF524423 GOB524423 GXX524423 HHT524423 HRP524423 IBL524423 ILH524423 IVD524423 JEZ524423 JOV524423 JYR524423 KIN524423 KSJ524423 LCF524423 LMB524423 LVX524423 MFT524423 MPP524423 MZL524423 NJH524423 NTD524423 OCZ524423 OMV524423 OWR524423 PGN524423 PQJ524423 QAF524423 QKB524423 QTX524423 RDT524423 RNP524423 RXL524423 SHH524423 SRD524423 TAZ524423 TKV524423 TUR524423 UEN524423 UOJ524423 UYF524423 VIB524423 VRX524423 WBT524423 WLP524423 WVL524423 D589959 IZ589959 SV589959 ACR589959 AMN589959 AWJ589959 BGF589959 BQB589959 BZX589959 CJT589959 CTP589959 DDL589959 DNH589959 DXD589959 EGZ589959 EQV589959 FAR589959 FKN589959 FUJ589959 GEF589959 GOB589959 GXX589959 HHT589959 HRP589959 IBL589959 ILH589959 IVD589959 JEZ589959 JOV589959 JYR589959 KIN589959 KSJ589959 LCF589959 LMB589959 LVX589959 MFT589959 MPP589959 MZL589959 NJH589959 NTD589959 OCZ589959 OMV589959 OWR589959 PGN589959 PQJ589959 QAF589959 QKB589959 QTX589959 RDT589959 RNP589959 RXL589959 SHH589959 SRD589959 TAZ589959 TKV589959 TUR589959 UEN589959 UOJ589959 UYF589959 VIB589959 VRX589959 WBT589959 WLP589959 WVL589959 D655495 IZ655495 SV655495 ACR655495 AMN655495 AWJ655495 BGF655495 BQB655495 BZX655495 CJT655495 CTP655495 DDL655495 DNH655495 DXD655495 EGZ655495 EQV655495 FAR655495 FKN655495 FUJ655495 GEF655495 GOB655495 GXX655495 HHT655495 HRP655495 IBL655495 ILH655495 IVD655495 JEZ655495 JOV655495 JYR655495 KIN655495 KSJ655495 LCF655495 LMB655495 LVX655495 MFT655495 MPP655495 MZL655495 NJH655495 NTD655495 OCZ655495 OMV655495 OWR655495 PGN655495 PQJ655495 QAF655495 QKB655495 QTX655495 RDT655495 RNP655495 RXL655495 SHH655495 SRD655495 TAZ655495 TKV655495 TUR655495 UEN655495 UOJ655495 UYF655495 VIB655495 VRX655495 WBT655495 WLP655495 WVL655495 D721031 IZ721031 SV721031 ACR721031 AMN721031 AWJ721031 BGF721031 BQB721031 BZX721031 CJT721031 CTP721031 DDL721031 DNH721031 DXD721031 EGZ721031 EQV721031 FAR721031 FKN721031 FUJ721031 GEF721031 GOB721031 GXX721031 HHT721031 HRP721031 IBL721031 ILH721031 IVD721031 JEZ721031 JOV721031 JYR721031 KIN721031 KSJ721031 LCF721031 LMB721031 LVX721031 MFT721031 MPP721031 MZL721031 NJH721031 NTD721031 OCZ721031 OMV721031 OWR721031 PGN721031 PQJ721031 QAF721031 QKB721031 QTX721031 RDT721031 RNP721031 RXL721031 SHH721031 SRD721031 TAZ721031 TKV721031 TUR721031 UEN721031 UOJ721031 UYF721031 VIB721031 VRX721031 WBT721031 WLP721031 WVL721031 D786567 IZ786567 SV786567 ACR786567 AMN786567 AWJ786567 BGF786567 BQB786567 BZX786567 CJT786567 CTP786567 DDL786567 DNH786567 DXD786567 EGZ786567 EQV786567 FAR786567 FKN786567 FUJ786567 GEF786567 GOB786567 GXX786567 HHT786567 HRP786567 IBL786567 ILH786567 IVD786567 JEZ786567 JOV786567 JYR786567 KIN786567 KSJ786567 LCF786567 LMB786567 LVX786567 MFT786567 MPP786567 MZL786567 NJH786567 NTD786567 OCZ786567 OMV786567 OWR786567 PGN786567 PQJ786567 QAF786567 QKB786567 QTX786567 RDT786567 RNP786567 RXL786567 SHH786567 SRD786567 TAZ786567 TKV786567 TUR786567 UEN786567 UOJ786567 UYF786567 VIB786567 VRX786567 WBT786567 WLP786567 WVL786567 D852103 IZ852103 SV852103 ACR852103 AMN852103 AWJ852103 BGF852103 BQB852103 BZX852103 CJT852103 CTP852103 DDL852103 DNH852103 DXD852103 EGZ852103 EQV852103 FAR852103 FKN852103 FUJ852103 GEF852103 GOB852103 GXX852103 HHT852103 HRP852103 IBL852103 ILH852103 IVD852103 JEZ852103 JOV852103 JYR852103 KIN852103 KSJ852103 LCF852103 LMB852103 LVX852103 MFT852103 MPP852103 MZL852103 NJH852103 NTD852103 OCZ852103 OMV852103 OWR852103 PGN852103 PQJ852103 QAF852103 QKB852103 QTX852103 RDT852103 RNP852103 RXL852103 SHH852103 SRD852103 TAZ852103 TKV852103 TUR852103 UEN852103 UOJ852103 UYF852103 VIB852103 VRX852103 WBT852103 WLP852103 WVL852103 D917639 IZ917639 SV917639 ACR917639 AMN917639 AWJ917639 BGF917639 BQB917639 BZX917639 CJT917639 CTP917639 DDL917639 DNH917639 DXD917639 EGZ917639 EQV917639 FAR917639 FKN917639 FUJ917639 GEF917639 GOB917639 GXX917639 HHT917639 HRP917639 IBL917639 ILH917639 IVD917639 JEZ917639 JOV917639 JYR917639 KIN917639 KSJ917639 LCF917639 LMB917639 LVX917639 MFT917639 MPP917639 MZL917639 NJH917639 NTD917639 OCZ917639 OMV917639 OWR917639 PGN917639 PQJ917639 QAF917639 QKB917639 QTX917639 RDT917639 RNP917639 RXL917639 SHH917639 SRD917639 TAZ917639 TKV917639 TUR917639 UEN917639 UOJ917639 UYF917639 VIB917639 VRX917639 WBT917639 WLP917639 WVL917639 D983175 IZ983175 SV983175 ACR983175 AMN983175 AWJ983175 BGF983175 BQB983175 BZX983175 CJT983175 CTP983175 DDL983175 DNH983175 DXD983175 EGZ983175 EQV983175 FAR983175 FKN983175 FUJ983175 GEF983175 GOB983175 GXX983175 HHT983175 HRP983175 IBL983175 ILH983175 IVD983175 JEZ983175 JOV983175 JYR983175 KIN983175 KSJ983175 LCF983175 LMB983175 LVX983175 MFT983175 MPP983175 MZL983175 NJH983175 NTD983175 OCZ983175 OMV983175 OWR983175 PGN983175 PQJ983175 QAF983175 QKB983175 QTX983175 RDT983175 RNP983175 RXL983175 SHH983175 SRD983175 TAZ983175 TKV983175 TUR983175 UEN983175 UOJ983175 UYF983175 VIB983175 VRX983175 WBT983175 WLP983175 WVL983175 WVK983094:WVL983094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88 IZ65588 SV65588 ACR65588 AMN65588 AWJ65588 BGF65588 BQB65588 BZX65588 CJT65588 CTP65588 DDL65588 DNH65588 DXD65588 EGZ65588 EQV65588 FAR65588 FKN65588 FUJ65588 GEF65588 GOB65588 GXX65588 HHT65588 HRP65588 IBL65588 ILH65588 IVD65588 JEZ65588 JOV65588 JYR65588 KIN65588 KSJ65588 LCF65588 LMB65588 LVX65588 MFT65588 MPP65588 MZL65588 NJH65588 NTD65588 OCZ65588 OMV65588 OWR65588 PGN65588 PQJ65588 QAF65588 QKB65588 QTX65588 RDT65588 RNP65588 RXL65588 SHH65588 SRD65588 TAZ65588 TKV65588 TUR65588 UEN65588 UOJ65588 UYF65588 VIB65588 VRX65588 WBT65588 WLP65588 WVL65588 D131124 IZ131124 SV131124 ACR131124 AMN131124 AWJ131124 BGF131124 BQB131124 BZX131124 CJT131124 CTP131124 DDL131124 DNH131124 DXD131124 EGZ131124 EQV131124 FAR131124 FKN131124 FUJ131124 GEF131124 GOB131124 GXX131124 HHT131124 HRP131124 IBL131124 ILH131124 IVD131124 JEZ131124 JOV131124 JYR131124 KIN131124 KSJ131124 LCF131124 LMB131124 LVX131124 MFT131124 MPP131124 MZL131124 NJH131124 NTD131124 OCZ131124 OMV131124 OWR131124 PGN131124 PQJ131124 QAF131124 QKB131124 QTX131124 RDT131124 RNP131124 RXL131124 SHH131124 SRD131124 TAZ131124 TKV131124 TUR131124 UEN131124 UOJ131124 UYF131124 VIB131124 VRX131124 WBT131124 WLP131124 WVL131124 D196660 IZ196660 SV196660 ACR196660 AMN196660 AWJ196660 BGF196660 BQB196660 BZX196660 CJT196660 CTP196660 DDL196660 DNH196660 DXD196660 EGZ196660 EQV196660 FAR196660 FKN196660 FUJ196660 GEF196660 GOB196660 GXX196660 HHT196660 HRP196660 IBL196660 ILH196660 IVD196660 JEZ196660 JOV196660 JYR196660 KIN196660 KSJ196660 LCF196660 LMB196660 LVX196660 MFT196660 MPP196660 MZL196660 NJH196660 NTD196660 OCZ196660 OMV196660 OWR196660 PGN196660 PQJ196660 QAF196660 QKB196660 QTX196660 RDT196660 RNP196660 RXL196660 SHH196660 SRD196660 TAZ196660 TKV196660 TUR196660 UEN196660 UOJ196660 UYF196660 VIB196660 VRX196660 WBT196660 WLP196660 WVL196660 D262196 IZ262196 SV262196 ACR262196 AMN262196 AWJ262196 BGF262196 BQB262196 BZX262196 CJT262196 CTP262196 DDL262196 DNH262196 DXD262196 EGZ262196 EQV262196 FAR262196 FKN262196 FUJ262196 GEF262196 GOB262196 GXX262196 HHT262196 HRP262196 IBL262196 ILH262196 IVD262196 JEZ262196 JOV262196 JYR262196 KIN262196 KSJ262196 LCF262196 LMB262196 LVX262196 MFT262196 MPP262196 MZL262196 NJH262196 NTD262196 OCZ262196 OMV262196 OWR262196 PGN262196 PQJ262196 QAF262196 QKB262196 QTX262196 RDT262196 RNP262196 RXL262196 SHH262196 SRD262196 TAZ262196 TKV262196 TUR262196 UEN262196 UOJ262196 UYF262196 VIB262196 VRX262196 WBT262196 WLP262196 WVL262196 D327732 IZ327732 SV327732 ACR327732 AMN327732 AWJ327732 BGF327732 BQB327732 BZX327732 CJT327732 CTP327732 DDL327732 DNH327732 DXD327732 EGZ327732 EQV327732 FAR327732 FKN327732 FUJ327732 GEF327732 GOB327732 GXX327732 HHT327732 HRP327732 IBL327732 ILH327732 IVD327732 JEZ327732 JOV327732 JYR327732 KIN327732 KSJ327732 LCF327732 LMB327732 LVX327732 MFT327732 MPP327732 MZL327732 NJH327732 NTD327732 OCZ327732 OMV327732 OWR327732 PGN327732 PQJ327732 QAF327732 QKB327732 QTX327732 RDT327732 RNP327732 RXL327732 SHH327732 SRD327732 TAZ327732 TKV327732 TUR327732 UEN327732 UOJ327732 UYF327732 VIB327732 VRX327732 WBT327732 WLP327732 WVL327732 D393268 IZ393268 SV393268 ACR393268 AMN393268 AWJ393268 BGF393268 BQB393268 BZX393268 CJT393268 CTP393268 DDL393268 DNH393268 DXD393268 EGZ393268 EQV393268 FAR393268 FKN393268 FUJ393268 GEF393268 GOB393268 GXX393268 HHT393268 HRP393268 IBL393268 ILH393268 IVD393268 JEZ393268 JOV393268 JYR393268 KIN393268 KSJ393268 LCF393268 LMB393268 LVX393268 MFT393268 MPP393268 MZL393268 NJH393268 NTD393268 OCZ393268 OMV393268 OWR393268 PGN393268 PQJ393268 QAF393268 QKB393268 QTX393268 RDT393268 RNP393268 RXL393268 SHH393268 SRD393268 TAZ393268 TKV393268 TUR393268 UEN393268 UOJ393268 UYF393268 VIB393268 VRX393268 WBT393268 WLP393268 WVL393268 D458804 IZ458804 SV458804 ACR458804 AMN458804 AWJ458804 BGF458804 BQB458804 BZX458804 CJT458804 CTP458804 DDL458804 DNH458804 DXD458804 EGZ458804 EQV458804 FAR458804 FKN458804 FUJ458804 GEF458804 GOB458804 GXX458804 HHT458804 HRP458804 IBL458804 ILH458804 IVD458804 JEZ458804 JOV458804 JYR458804 KIN458804 KSJ458804 LCF458804 LMB458804 LVX458804 MFT458804 MPP458804 MZL458804 NJH458804 NTD458804 OCZ458804 OMV458804 OWR458804 PGN458804 PQJ458804 QAF458804 QKB458804 QTX458804 RDT458804 RNP458804 RXL458804 SHH458804 SRD458804 TAZ458804 TKV458804 TUR458804 UEN458804 UOJ458804 UYF458804 VIB458804 VRX458804 WBT458804 WLP458804 WVL458804 D524340 IZ524340 SV524340 ACR524340 AMN524340 AWJ524340 BGF524340 BQB524340 BZX524340 CJT524340 CTP524340 DDL524340 DNH524340 DXD524340 EGZ524340 EQV524340 FAR524340 FKN524340 FUJ524340 GEF524340 GOB524340 GXX524340 HHT524340 HRP524340 IBL524340 ILH524340 IVD524340 JEZ524340 JOV524340 JYR524340 KIN524340 KSJ524340 LCF524340 LMB524340 LVX524340 MFT524340 MPP524340 MZL524340 NJH524340 NTD524340 OCZ524340 OMV524340 OWR524340 PGN524340 PQJ524340 QAF524340 QKB524340 QTX524340 RDT524340 RNP524340 RXL524340 SHH524340 SRD524340 TAZ524340 TKV524340 TUR524340 UEN524340 UOJ524340 UYF524340 VIB524340 VRX524340 WBT524340 WLP524340 WVL524340 D589876 IZ589876 SV589876 ACR589876 AMN589876 AWJ589876 BGF589876 BQB589876 BZX589876 CJT589876 CTP589876 DDL589876 DNH589876 DXD589876 EGZ589876 EQV589876 FAR589876 FKN589876 FUJ589876 GEF589876 GOB589876 GXX589876 HHT589876 HRP589876 IBL589876 ILH589876 IVD589876 JEZ589876 JOV589876 JYR589876 KIN589876 KSJ589876 LCF589876 LMB589876 LVX589876 MFT589876 MPP589876 MZL589876 NJH589876 NTD589876 OCZ589876 OMV589876 OWR589876 PGN589876 PQJ589876 QAF589876 QKB589876 QTX589876 RDT589876 RNP589876 RXL589876 SHH589876 SRD589876 TAZ589876 TKV589876 TUR589876 UEN589876 UOJ589876 UYF589876 VIB589876 VRX589876 WBT589876 WLP589876 WVL589876 D655412 IZ655412 SV655412 ACR655412 AMN655412 AWJ655412 BGF655412 BQB655412 BZX655412 CJT655412 CTP655412 DDL655412 DNH655412 DXD655412 EGZ655412 EQV655412 FAR655412 FKN655412 FUJ655412 GEF655412 GOB655412 GXX655412 HHT655412 HRP655412 IBL655412 ILH655412 IVD655412 JEZ655412 JOV655412 JYR655412 KIN655412 KSJ655412 LCF655412 LMB655412 LVX655412 MFT655412 MPP655412 MZL655412 NJH655412 NTD655412 OCZ655412 OMV655412 OWR655412 PGN655412 PQJ655412 QAF655412 QKB655412 QTX655412 RDT655412 RNP655412 RXL655412 SHH655412 SRD655412 TAZ655412 TKV655412 TUR655412 UEN655412 UOJ655412 UYF655412 VIB655412 VRX655412 WBT655412 WLP655412 WVL655412 D720948 IZ720948 SV720948 ACR720948 AMN720948 AWJ720948 BGF720948 BQB720948 BZX720948 CJT720948 CTP720948 DDL720948 DNH720948 DXD720948 EGZ720948 EQV720948 FAR720948 FKN720948 FUJ720948 GEF720948 GOB720948 GXX720948 HHT720948 HRP720948 IBL720948 ILH720948 IVD720948 JEZ720948 JOV720948 JYR720948 KIN720948 KSJ720948 LCF720948 LMB720948 LVX720948 MFT720948 MPP720948 MZL720948 NJH720948 NTD720948 OCZ720948 OMV720948 OWR720948 PGN720948 PQJ720948 QAF720948 QKB720948 QTX720948 RDT720948 RNP720948 RXL720948 SHH720948 SRD720948 TAZ720948 TKV720948 TUR720948 UEN720948 UOJ720948 UYF720948 VIB720948 VRX720948 WBT720948 WLP720948 WVL720948 D786484 IZ786484 SV786484 ACR786484 AMN786484 AWJ786484 BGF786484 BQB786484 BZX786484 CJT786484 CTP786484 DDL786484 DNH786484 DXD786484 EGZ786484 EQV786484 FAR786484 FKN786484 FUJ786484 GEF786484 GOB786484 GXX786484 HHT786484 HRP786484 IBL786484 ILH786484 IVD786484 JEZ786484 JOV786484 JYR786484 KIN786484 KSJ786484 LCF786484 LMB786484 LVX786484 MFT786484 MPP786484 MZL786484 NJH786484 NTD786484 OCZ786484 OMV786484 OWR786484 PGN786484 PQJ786484 QAF786484 QKB786484 QTX786484 RDT786484 RNP786484 RXL786484 SHH786484 SRD786484 TAZ786484 TKV786484 TUR786484 UEN786484 UOJ786484 UYF786484 VIB786484 VRX786484 WBT786484 WLP786484 WVL786484 D852020 IZ852020 SV852020 ACR852020 AMN852020 AWJ852020 BGF852020 BQB852020 BZX852020 CJT852020 CTP852020 DDL852020 DNH852020 DXD852020 EGZ852020 EQV852020 FAR852020 FKN852020 FUJ852020 GEF852020 GOB852020 GXX852020 HHT852020 HRP852020 IBL852020 ILH852020 IVD852020 JEZ852020 JOV852020 JYR852020 KIN852020 KSJ852020 LCF852020 LMB852020 LVX852020 MFT852020 MPP852020 MZL852020 NJH852020 NTD852020 OCZ852020 OMV852020 OWR852020 PGN852020 PQJ852020 QAF852020 QKB852020 QTX852020 RDT852020 RNP852020 RXL852020 SHH852020 SRD852020 TAZ852020 TKV852020 TUR852020 UEN852020 UOJ852020 UYF852020 VIB852020 VRX852020 WBT852020 WLP852020 WVL852020 D917556 IZ917556 SV917556 ACR917556 AMN917556 AWJ917556 BGF917556 BQB917556 BZX917556 CJT917556 CTP917556 DDL917556 DNH917556 DXD917556 EGZ917556 EQV917556 FAR917556 FKN917556 FUJ917556 GEF917556 GOB917556 GXX917556 HHT917556 HRP917556 IBL917556 ILH917556 IVD917556 JEZ917556 JOV917556 JYR917556 KIN917556 KSJ917556 LCF917556 LMB917556 LVX917556 MFT917556 MPP917556 MZL917556 NJH917556 NTD917556 OCZ917556 OMV917556 OWR917556 PGN917556 PQJ917556 QAF917556 QKB917556 QTX917556 RDT917556 RNP917556 RXL917556 SHH917556 SRD917556 TAZ917556 TKV917556 TUR917556 UEN917556 UOJ917556 UYF917556 VIB917556 VRX917556 WBT917556 WLP917556 WVL917556 D983092 IZ983092 SV983092 ACR983092 AMN983092 AWJ983092 BGF983092 BQB983092 BZX983092 CJT983092 CTP983092 DDL983092 DNH983092 DXD983092 EGZ983092 EQV983092 FAR983092 FKN983092 FUJ983092 GEF983092 GOB983092 GXX983092 HHT983092 HRP983092 IBL983092 ILH983092 IVD983092 JEZ983092 JOV983092 JYR983092 KIN983092 KSJ983092 LCF983092 LMB983092 LVX983092 MFT983092 MPP983092 MZL983092 NJH983092 NTD983092 OCZ983092 OMV983092 OWR983092 PGN983092 PQJ983092 QAF983092 QKB983092 QTX983092 RDT983092 RNP983092 RXL983092 SHH983092 SRD983092 TAZ983092 TKV983092 TUR983092 UEN983092 UOJ983092 UYF983092 VIB983092 VRX983092 WBT983092 WLP983092 WVL983092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90:D65590 IY65590:IZ65590 SU65590:SV65590 ACQ65590:ACR65590 AMM65590:AMN65590 AWI65590:AWJ65590 BGE65590:BGF65590 BQA65590:BQB65590 BZW65590:BZX65590 CJS65590:CJT65590 CTO65590:CTP65590 DDK65590:DDL65590 DNG65590:DNH65590 DXC65590:DXD65590 EGY65590:EGZ65590 EQU65590:EQV65590 FAQ65590:FAR65590 FKM65590:FKN65590 FUI65590:FUJ65590 GEE65590:GEF65590 GOA65590:GOB65590 GXW65590:GXX65590 HHS65590:HHT65590 HRO65590:HRP65590 IBK65590:IBL65590 ILG65590:ILH65590 IVC65590:IVD65590 JEY65590:JEZ65590 JOU65590:JOV65590 JYQ65590:JYR65590 KIM65590:KIN65590 KSI65590:KSJ65590 LCE65590:LCF65590 LMA65590:LMB65590 LVW65590:LVX65590 MFS65590:MFT65590 MPO65590:MPP65590 MZK65590:MZL65590 NJG65590:NJH65590 NTC65590:NTD65590 OCY65590:OCZ65590 OMU65590:OMV65590 OWQ65590:OWR65590 PGM65590:PGN65590 PQI65590:PQJ65590 QAE65590:QAF65590 QKA65590:QKB65590 QTW65590:QTX65590 RDS65590:RDT65590 RNO65590:RNP65590 RXK65590:RXL65590 SHG65590:SHH65590 SRC65590:SRD65590 TAY65590:TAZ65590 TKU65590:TKV65590 TUQ65590:TUR65590 UEM65590:UEN65590 UOI65590:UOJ65590 UYE65590:UYF65590 VIA65590:VIB65590 VRW65590:VRX65590 WBS65590:WBT65590 WLO65590:WLP65590 WVK65590:WVL65590 C131126:D131126 IY131126:IZ131126 SU131126:SV131126 ACQ131126:ACR131126 AMM131126:AMN131126 AWI131126:AWJ131126 BGE131126:BGF131126 BQA131126:BQB131126 BZW131126:BZX131126 CJS131126:CJT131126 CTO131126:CTP131126 DDK131126:DDL131126 DNG131126:DNH131126 DXC131126:DXD131126 EGY131126:EGZ131126 EQU131126:EQV131126 FAQ131126:FAR131126 FKM131126:FKN131126 FUI131126:FUJ131126 GEE131126:GEF131126 GOA131126:GOB131126 GXW131126:GXX131126 HHS131126:HHT131126 HRO131126:HRP131126 IBK131126:IBL131126 ILG131126:ILH131126 IVC131126:IVD131126 JEY131126:JEZ131126 JOU131126:JOV131126 JYQ131126:JYR131126 KIM131126:KIN131126 KSI131126:KSJ131126 LCE131126:LCF131126 LMA131126:LMB131126 LVW131126:LVX131126 MFS131126:MFT131126 MPO131126:MPP131126 MZK131126:MZL131126 NJG131126:NJH131126 NTC131126:NTD131126 OCY131126:OCZ131126 OMU131126:OMV131126 OWQ131126:OWR131126 PGM131126:PGN131126 PQI131126:PQJ131126 QAE131126:QAF131126 QKA131126:QKB131126 QTW131126:QTX131126 RDS131126:RDT131126 RNO131126:RNP131126 RXK131126:RXL131126 SHG131126:SHH131126 SRC131126:SRD131126 TAY131126:TAZ131126 TKU131126:TKV131126 TUQ131126:TUR131126 UEM131126:UEN131126 UOI131126:UOJ131126 UYE131126:UYF131126 VIA131126:VIB131126 VRW131126:VRX131126 WBS131126:WBT131126 WLO131126:WLP131126 WVK131126:WVL131126 C196662:D196662 IY196662:IZ196662 SU196662:SV196662 ACQ196662:ACR196662 AMM196662:AMN196662 AWI196662:AWJ196662 BGE196662:BGF196662 BQA196662:BQB196662 BZW196662:BZX196662 CJS196662:CJT196662 CTO196662:CTP196662 DDK196662:DDL196662 DNG196662:DNH196662 DXC196662:DXD196662 EGY196662:EGZ196662 EQU196662:EQV196662 FAQ196662:FAR196662 FKM196662:FKN196662 FUI196662:FUJ196662 GEE196662:GEF196662 GOA196662:GOB196662 GXW196662:GXX196662 HHS196662:HHT196662 HRO196662:HRP196662 IBK196662:IBL196662 ILG196662:ILH196662 IVC196662:IVD196662 JEY196662:JEZ196662 JOU196662:JOV196662 JYQ196662:JYR196662 KIM196662:KIN196662 KSI196662:KSJ196662 LCE196662:LCF196662 LMA196662:LMB196662 LVW196662:LVX196662 MFS196662:MFT196662 MPO196662:MPP196662 MZK196662:MZL196662 NJG196662:NJH196662 NTC196662:NTD196662 OCY196662:OCZ196662 OMU196662:OMV196662 OWQ196662:OWR196662 PGM196662:PGN196662 PQI196662:PQJ196662 QAE196662:QAF196662 QKA196662:QKB196662 QTW196662:QTX196662 RDS196662:RDT196662 RNO196662:RNP196662 RXK196662:RXL196662 SHG196662:SHH196662 SRC196662:SRD196662 TAY196662:TAZ196662 TKU196662:TKV196662 TUQ196662:TUR196662 UEM196662:UEN196662 UOI196662:UOJ196662 UYE196662:UYF196662 VIA196662:VIB196662 VRW196662:VRX196662 WBS196662:WBT196662 WLO196662:WLP196662 WVK196662:WVL196662 C262198:D262198 IY262198:IZ262198 SU262198:SV262198 ACQ262198:ACR262198 AMM262198:AMN262198 AWI262198:AWJ262198 BGE262198:BGF262198 BQA262198:BQB262198 BZW262198:BZX262198 CJS262198:CJT262198 CTO262198:CTP262198 DDK262198:DDL262198 DNG262198:DNH262198 DXC262198:DXD262198 EGY262198:EGZ262198 EQU262198:EQV262198 FAQ262198:FAR262198 FKM262198:FKN262198 FUI262198:FUJ262198 GEE262198:GEF262198 GOA262198:GOB262198 GXW262198:GXX262198 HHS262198:HHT262198 HRO262198:HRP262198 IBK262198:IBL262198 ILG262198:ILH262198 IVC262198:IVD262198 JEY262198:JEZ262198 JOU262198:JOV262198 JYQ262198:JYR262198 KIM262198:KIN262198 KSI262198:KSJ262198 LCE262198:LCF262198 LMA262198:LMB262198 LVW262198:LVX262198 MFS262198:MFT262198 MPO262198:MPP262198 MZK262198:MZL262198 NJG262198:NJH262198 NTC262198:NTD262198 OCY262198:OCZ262198 OMU262198:OMV262198 OWQ262198:OWR262198 PGM262198:PGN262198 PQI262198:PQJ262198 QAE262198:QAF262198 QKA262198:QKB262198 QTW262198:QTX262198 RDS262198:RDT262198 RNO262198:RNP262198 RXK262198:RXL262198 SHG262198:SHH262198 SRC262198:SRD262198 TAY262198:TAZ262198 TKU262198:TKV262198 TUQ262198:TUR262198 UEM262198:UEN262198 UOI262198:UOJ262198 UYE262198:UYF262198 VIA262198:VIB262198 VRW262198:VRX262198 WBS262198:WBT262198 WLO262198:WLP262198 WVK262198:WVL262198 C327734:D327734 IY327734:IZ327734 SU327734:SV327734 ACQ327734:ACR327734 AMM327734:AMN327734 AWI327734:AWJ327734 BGE327734:BGF327734 BQA327734:BQB327734 BZW327734:BZX327734 CJS327734:CJT327734 CTO327734:CTP327734 DDK327734:DDL327734 DNG327734:DNH327734 DXC327734:DXD327734 EGY327734:EGZ327734 EQU327734:EQV327734 FAQ327734:FAR327734 FKM327734:FKN327734 FUI327734:FUJ327734 GEE327734:GEF327734 GOA327734:GOB327734 GXW327734:GXX327734 HHS327734:HHT327734 HRO327734:HRP327734 IBK327734:IBL327734 ILG327734:ILH327734 IVC327734:IVD327734 JEY327734:JEZ327734 JOU327734:JOV327734 JYQ327734:JYR327734 KIM327734:KIN327734 KSI327734:KSJ327734 LCE327734:LCF327734 LMA327734:LMB327734 LVW327734:LVX327734 MFS327734:MFT327734 MPO327734:MPP327734 MZK327734:MZL327734 NJG327734:NJH327734 NTC327734:NTD327734 OCY327734:OCZ327734 OMU327734:OMV327734 OWQ327734:OWR327734 PGM327734:PGN327734 PQI327734:PQJ327734 QAE327734:QAF327734 QKA327734:QKB327734 QTW327734:QTX327734 RDS327734:RDT327734 RNO327734:RNP327734 RXK327734:RXL327734 SHG327734:SHH327734 SRC327734:SRD327734 TAY327734:TAZ327734 TKU327734:TKV327734 TUQ327734:TUR327734 UEM327734:UEN327734 UOI327734:UOJ327734 UYE327734:UYF327734 VIA327734:VIB327734 VRW327734:VRX327734 WBS327734:WBT327734 WLO327734:WLP327734 WVK327734:WVL327734 C393270:D393270 IY393270:IZ393270 SU393270:SV393270 ACQ393270:ACR393270 AMM393270:AMN393270 AWI393270:AWJ393270 BGE393270:BGF393270 BQA393270:BQB393270 BZW393270:BZX393270 CJS393270:CJT393270 CTO393270:CTP393270 DDK393270:DDL393270 DNG393270:DNH393270 DXC393270:DXD393270 EGY393270:EGZ393270 EQU393270:EQV393270 FAQ393270:FAR393270 FKM393270:FKN393270 FUI393270:FUJ393270 GEE393270:GEF393270 GOA393270:GOB393270 GXW393270:GXX393270 HHS393270:HHT393270 HRO393270:HRP393270 IBK393270:IBL393270 ILG393270:ILH393270 IVC393270:IVD393270 JEY393270:JEZ393270 JOU393270:JOV393270 JYQ393270:JYR393270 KIM393270:KIN393270 KSI393270:KSJ393270 LCE393270:LCF393270 LMA393270:LMB393270 LVW393270:LVX393270 MFS393270:MFT393270 MPO393270:MPP393270 MZK393270:MZL393270 NJG393270:NJH393270 NTC393270:NTD393270 OCY393270:OCZ393270 OMU393270:OMV393270 OWQ393270:OWR393270 PGM393270:PGN393270 PQI393270:PQJ393270 QAE393270:QAF393270 QKA393270:QKB393270 QTW393270:QTX393270 RDS393270:RDT393270 RNO393270:RNP393270 RXK393270:RXL393270 SHG393270:SHH393270 SRC393270:SRD393270 TAY393270:TAZ393270 TKU393270:TKV393270 TUQ393270:TUR393270 UEM393270:UEN393270 UOI393270:UOJ393270 UYE393270:UYF393270 VIA393270:VIB393270 VRW393270:VRX393270 WBS393270:WBT393270 WLO393270:WLP393270 WVK393270:WVL393270 C458806:D458806 IY458806:IZ458806 SU458806:SV458806 ACQ458806:ACR458806 AMM458806:AMN458806 AWI458806:AWJ458806 BGE458806:BGF458806 BQA458806:BQB458806 BZW458806:BZX458806 CJS458806:CJT458806 CTO458806:CTP458806 DDK458806:DDL458806 DNG458806:DNH458806 DXC458806:DXD458806 EGY458806:EGZ458806 EQU458806:EQV458806 FAQ458806:FAR458806 FKM458806:FKN458806 FUI458806:FUJ458806 GEE458806:GEF458806 GOA458806:GOB458806 GXW458806:GXX458806 HHS458806:HHT458806 HRO458806:HRP458806 IBK458806:IBL458806 ILG458806:ILH458806 IVC458806:IVD458806 JEY458806:JEZ458806 JOU458806:JOV458806 JYQ458806:JYR458806 KIM458806:KIN458806 KSI458806:KSJ458806 LCE458806:LCF458806 LMA458806:LMB458806 LVW458806:LVX458806 MFS458806:MFT458806 MPO458806:MPP458806 MZK458806:MZL458806 NJG458806:NJH458806 NTC458806:NTD458806 OCY458806:OCZ458806 OMU458806:OMV458806 OWQ458806:OWR458806 PGM458806:PGN458806 PQI458806:PQJ458806 QAE458806:QAF458806 QKA458806:QKB458806 QTW458806:QTX458806 RDS458806:RDT458806 RNO458806:RNP458806 RXK458806:RXL458806 SHG458806:SHH458806 SRC458806:SRD458806 TAY458806:TAZ458806 TKU458806:TKV458806 TUQ458806:TUR458806 UEM458806:UEN458806 UOI458806:UOJ458806 UYE458806:UYF458806 VIA458806:VIB458806 VRW458806:VRX458806 WBS458806:WBT458806 WLO458806:WLP458806 WVK458806:WVL458806 C524342:D524342 IY524342:IZ524342 SU524342:SV524342 ACQ524342:ACR524342 AMM524342:AMN524342 AWI524342:AWJ524342 BGE524342:BGF524342 BQA524342:BQB524342 BZW524342:BZX524342 CJS524342:CJT524342 CTO524342:CTP524342 DDK524342:DDL524342 DNG524342:DNH524342 DXC524342:DXD524342 EGY524342:EGZ524342 EQU524342:EQV524342 FAQ524342:FAR524342 FKM524342:FKN524342 FUI524342:FUJ524342 GEE524342:GEF524342 GOA524342:GOB524342 GXW524342:GXX524342 HHS524342:HHT524342 HRO524342:HRP524342 IBK524342:IBL524342 ILG524342:ILH524342 IVC524342:IVD524342 JEY524342:JEZ524342 JOU524342:JOV524342 JYQ524342:JYR524342 KIM524342:KIN524342 KSI524342:KSJ524342 LCE524342:LCF524342 LMA524342:LMB524342 LVW524342:LVX524342 MFS524342:MFT524342 MPO524342:MPP524342 MZK524342:MZL524342 NJG524342:NJH524342 NTC524342:NTD524342 OCY524342:OCZ524342 OMU524342:OMV524342 OWQ524342:OWR524342 PGM524342:PGN524342 PQI524342:PQJ524342 QAE524342:QAF524342 QKA524342:QKB524342 QTW524342:QTX524342 RDS524342:RDT524342 RNO524342:RNP524342 RXK524342:RXL524342 SHG524342:SHH524342 SRC524342:SRD524342 TAY524342:TAZ524342 TKU524342:TKV524342 TUQ524342:TUR524342 UEM524342:UEN524342 UOI524342:UOJ524342 UYE524342:UYF524342 VIA524342:VIB524342 VRW524342:VRX524342 WBS524342:WBT524342 WLO524342:WLP524342 WVK524342:WVL524342 C589878:D589878 IY589878:IZ589878 SU589878:SV589878 ACQ589878:ACR589878 AMM589878:AMN589878 AWI589878:AWJ589878 BGE589878:BGF589878 BQA589878:BQB589878 BZW589878:BZX589878 CJS589878:CJT589878 CTO589878:CTP589878 DDK589878:DDL589878 DNG589878:DNH589878 DXC589878:DXD589878 EGY589878:EGZ589878 EQU589878:EQV589878 FAQ589878:FAR589878 FKM589878:FKN589878 FUI589878:FUJ589878 GEE589878:GEF589878 GOA589878:GOB589878 GXW589878:GXX589878 HHS589878:HHT589878 HRO589878:HRP589878 IBK589878:IBL589878 ILG589878:ILH589878 IVC589878:IVD589878 JEY589878:JEZ589878 JOU589878:JOV589878 JYQ589878:JYR589878 KIM589878:KIN589878 KSI589878:KSJ589878 LCE589878:LCF589878 LMA589878:LMB589878 LVW589878:LVX589878 MFS589878:MFT589878 MPO589878:MPP589878 MZK589878:MZL589878 NJG589878:NJH589878 NTC589878:NTD589878 OCY589878:OCZ589878 OMU589878:OMV589878 OWQ589878:OWR589878 PGM589878:PGN589878 PQI589878:PQJ589878 QAE589878:QAF589878 QKA589878:QKB589878 QTW589878:QTX589878 RDS589878:RDT589878 RNO589878:RNP589878 RXK589878:RXL589878 SHG589878:SHH589878 SRC589878:SRD589878 TAY589878:TAZ589878 TKU589878:TKV589878 TUQ589878:TUR589878 UEM589878:UEN589878 UOI589878:UOJ589878 UYE589878:UYF589878 VIA589878:VIB589878 VRW589878:VRX589878 WBS589878:WBT589878 WLO589878:WLP589878 WVK589878:WVL589878 C655414:D655414 IY655414:IZ655414 SU655414:SV655414 ACQ655414:ACR655414 AMM655414:AMN655414 AWI655414:AWJ655414 BGE655414:BGF655414 BQA655414:BQB655414 BZW655414:BZX655414 CJS655414:CJT655414 CTO655414:CTP655414 DDK655414:DDL655414 DNG655414:DNH655414 DXC655414:DXD655414 EGY655414:EGZ655414 EQU655414:EQV655414 FAQ655414:FAR655414 FKM655414:FKN655414 FUI655414:FUJ655414 GEE655414:GEF655414 GOA655414:GOB655414 GXW655414:GXX655414 HHS655414:HHT655414 HRO655414:HRP655414 IBK655414:IBL655414 ILG655414:ILH655414 IVC655414:IVD655414 JEY655414:JEZ655414 JOU655414:JOV655414 JYQ655414:JYR655414 KIM655414:KIN655414 KSI655414:KSJ655414 LCE655414:LCF655414 LMA655414:LMB655414 LVW655414:LVX655414 MFS655414:MFT655414 MPO655414:MPP655414 MZK655414:MZL655414 NJG655414:NJH655414 NTC655414:NTD655414 OCY655414:OCZ655414 OMU655414:OMV655414 OWQ655414:OWR655414 PGM655414:PGN655414 PQI655414:PQJ655414 QAE655414:QAF655414 QKA655414:QKB655414 QTW655414:QTX655414 RDS655414:RDT655414 RNO655414:RNP655414 RXK655414:RXL655414 SHG655414:SHH655414 SRC655414:SRD655414 TAY655414:TAZ655414 TKU655414:TKV655414 TUQ655414:TUR655414 UEM655414:UEN655414 UOI655414:UOJ655414 UYE655414:UYF655414 VIA655414:VIB655414 VRW655414:VRX655414 WBS655414:WBT655414 WLO655414:WLP655414 WVK655414:WVL655414 C720950:D720950 IY720950:IZ720950 SU720950:SV720950 ACQ720950:ACR720950 AMM720950:AMN720950 AWI720950:AWJ720950 BGE720950:BGF720950 BQA720950:BQB720950 BZW720950:BZX720950 CJS720950:CJT720950 CTO720950:CTP720950 DDK720950:DDL720950 DNG720950:DNH720950 DXC720950:DXD720950 EGY720950:EGZ720950 EQU720950:EQV720950 FAQ720950:FAR720950 FKM720950:FKN720950 FUI720950:FUJ720950 GEE720950:GEF720950 GOA720950:GOB720950 GXW720950:GXX720950 HHS720950:HHT720950 HRO720950:HRP720950 IBK720950:IBL720950 ILG720950:ILH720950 IVC720950:IVD720950 JEY720950:JEZ720950 JOU720950:JOV720950 JYQ720950:JYR720950 KIM720950:KIN720950 KSI720950:KSJ720950 LCE720950:LCF720950 LMA720950:LMB720950 LVW720950:LVX720950 MFS720950:MFT720950 MPO720950:MPP720950 MZK720950:MZL720950 NJG720950:NJH720950 NTC720950:NTD720950 OCY720950:OCZ720950 OMU720950:OMV720950 OWQ720950:OWR720950 PGM720950:PGN720950 PQI720950:PQJ720950 QAE720950:QAF720950 QKA720950:QKB720950 QTW720950:QTX720950 RDS720950:RDT720950 RNO720950:RNP720950 RXK720950:RXL720950 SHG720950:SHH720950 SRC720950:SRD720950 TAY720950:TAZ720950 TKU720950:TKV720950 TUQ720950:TUR720950 UEM720950:UEN720950 UOI720950:UOJ720950 UYE720950:UYF720950 VIA720950:VIB720950 VRW720950:VRX720950 WBS720950:WBT720950 WLO720950:WLP720950 WVK720950:WVL720950 C786486:D786486 IY786486:IZ786486 SU786486:SV786486 ACQ786486:ACR786486 AMM786486:AMN786486 AWI786486:AWJ786486 BGE786486:BGF786486 BQA786486:BQB786486 BZW786486:BZX786486 CJS786486:CJT786486 CTO786486:CTP786486 DDK786486:DDL786486 DNG786486:DNH786486 DXC786486:DXD786486 EGY786486:EGZ786486 EQU786486:EQV786486 FAQ786486:FAR786486 FKM786486:FKN786486 FUI786486:FUJ786486 GEE786486:GEF786486 GOA786486:GOB786486 GXW786486:GXX786486 HHS786486:HHT786486 HRO786486:HRP786486 IBK786486:IBL786486 ILG786486:ILH786486 IVC786486:IVD786486 JEY786486:JEZ786486 JOU786486:JOV786486 JYQ786486:JYR786486 KIM786486:KIN786486 KSI786486:KSJ786486 LCE786486:LCF786486 LMA786486:LMB786486 LVW786486:LVX786486 MFS786486:MFT786486 MPO786486:MPP786486 MZK786486:MZL786486 NJG786486:NJH786486 NTC786486:NTD786486 OCY786486:OCZ786486 OMU786486:OMV786486 OWQ786486:OWR786486 PGM786486:PGN786486 PQI786486:PQJ786486 QAE786486:QAF786486 QKA786486:QKB786486 QTW786486:QTX786486 RDS786486:RDT786486 RNO786486:RNP786486 RXK786486:RXL786486 SHG786486:SHH786486 SRC786486:SRD786486 TAY786486:TAZ786486 TKU786486:TKV786486 TUQ786486:TUR786486 UEM786486:UEN786486 UOI786486:UOJ786486 UYE786486:UYF786486 VIA786486:VIB786486 VRW786486:VRX786486 WBS786486:WBT786486 WLO786486:WLP786486 WVK786486:WVL786486 C852022:D852022 IY852022:IZ852022 SU852022:SV852022 ACQ852022:ACR852022 AMM852022:AMN852022 AWI852022:AWJ852022 BGE852022:BGF852022 BQA852022:BQB852022 BZW852022:BZX852022 CJS852022:CJT852022 CTO852022:CTP852022 DDK852022:DDL852022 DNG852022:DNH852022 DXC852022:DXD852022 EGY852022:EGZ852022 EQU852022:EQV852022 FAQ852022:FAR852022 FKM852022:FKN852022 FUI852022:FUJ852022 GEE852022:GEF852022 GOA852022:GOB852022 GXW852022:GXX852022 HHS852022:HHT852022 HRO852022:HRP852022 IBK852022:IBL852022 ILG852022:ILH852022 IVC852022:IVD852022 JEY852022:JEZ852022 JOU852022:JOV852022 JYQ852022:JYR852022 KIM852022:KIN852022 KSI852022:KSJ852022 LCE852022:LCF852022 LMA852022:LMB852022 LVW852022:LVX852022 MFS852022:MFT852022 MPO852022:MPP852022 MZK852022:MZL852022 NJG852022:NJH852022 NTC852022:NTD852022 OCY852022:OCZ852022 OMU852022:OMV852022 OWQ852022:OWR852022 PGM852022:PGN852022 PQI852022:PQJ852022 QAE852022:QAF852022 QKA852022:QKB852022 QTW852022:QTX852022 RDS852022:RDT852022 RNO852022:RNP852022 RXK852022:RXL852022 SHG852022:SHH852022 SRC852022:SRD852022 TAY852022:TAZ852022 TKU852022:TKV852022 TUQ852022:TUR852022 UEM852022:UEN852022 UOI852022:UOJ852022 UYE852022:UYF852022 VIA852022:VIB852022 VRW852022:VRX852022 WBS852022:WBT852022 WLO852022:WLP852022 WVK852022:WVL852022 C917558:D917558 IY917558:IZ917558 SU917558:SV917558 ACQ917558:ACR917558 AMM917558:AMN917558 AWI917558:AWJ917558 BGE917558:BGF917558 BQA917558:BQB917558 BZW917558:BZX917558 CJS917558:CJT917558 CTO917558:CTP917558 DDK917558:DDL917558 DNG917558:DNH917558 DXC917558:DXD917558 EGY917558:EGZ917558 EQU917558:EQV917558 FAQ917558:FAR917558 FKM917558:FKN917558 FUI917558:FUJ917558 GEE917558:GEF917558 GOA917558:GOB917558 GXW917558:GXX917558 HHS917558:HHT917558 HRO917558:HRP917558 IBK917558:IBL917558 ILG917558:ILH917558 IVC917558:IVD917558 JEY917558:JEZ917558 JOU917558:JOV917558 JYQ917558:JYR917558 KIM917558:KIN917558 KSI917558:KSJ917558 LCE917558:LCF917558 LMA917558:LMB917558 LVW917558:LVX917558 MFS917558:MFT917558 MPO917558:MPP917558 MZK917558:MZL917558 NJG917558:NJH917558 NTC917558:NTD917558 OCY917558:OCZ917558 OMU917558:OMV917558 OWQ917558:OWR917558 PGM917558:PGN917558 PQI917558:PQJ917558 QAE917558:QAF917558 QKA917558:QKB917558 QTW917558:QTX917558 RDS917558:RDT917558 RNO917558:RNP917558 RXK917558:RXL917558 SHG917558:SHH917558 SRC917558:SRD917558 TAY917558:TAZ917558 TKU917558:TKV917558 TUQ917558:TUR917558 UEM917558:UEN917558 UOI917558:UOJ917558 UYE917558:UYF917558 VIA917558:VIB917558 VRW917558:VRX917558 WBS917558:WBT917558 WLO917558:WLP917558 WVK917558:WVL917558 C983094:D983094 IY983094:IZ983094 SU983094:SV983094 ACQ983094:ACR983094 AMM983094:AMN983094 AWI983094:AWJ983094 BGE983094:BGF983094 BQA983094:BQB983094 BZW983094:BZX983094 CJS983094:CJT983094 CTO983094:CTP983094 DDK983094:DDL983094 DNG983094:DNH983094 DXC983094:DXD983094 EGY983094:EGZ983094 EQU983094:EQV983094 FAQ983094:FAR983094 FKM983094:FKN983094 FUI983094:FUJ983094 GEE983094:GEF983094 GOA983094:GOB983094 GXW983094:GXX983094 HHS983094:HHT983094 HRO983094:HRP983094 IBK983094:IBL983094 ILG983094:ILH983094 IVC983094:IVD983094 JEY983094:JEZ983094 JOU983094:JOV983094 JYQ983094:JYR983094 KIM983094:KIN983094 KSI983094:KSJ983094 LCE983094:LCF983094 LMA983094:LMB983094 LVW983094:LVX983094 MFS983094:MFT983094 MPO983094:MPP983094 MZK983094:MZL983094 NJG983094:NJH983094 NTC983094:NTD983094 OCY983094:OCZ983094 OMU983094:OMV983094 OWQ983094:OWR983094 PGM983094:PGN983094 PQI983094:PQJ983094 QAE983094:QAF983094 QKA983094:QKB983094 QTW983094:QTX983094 RDS983094:RDT983094 RNO983094:RNP983094 RXK983094:RXL983094 SHG983094:SHH983094 SRC983094:SRD983094 TAY983094:TAZ983094 TKU983094:TKV983094 TUQ983094:TUR983094 UEM983094:UEN983094 UOI983094:UOJ983094 UYE983094:UYF983094 VIA983094:VIB983094 VRW983094:VRX983094 WBS983094:WBT983094 WLO983094:WLP983094 D131" xr:uid="{C12D22D1-59C5-44A1-87EA-387E48A07B2A}">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9" max="21" man="1"/>
    <brk id="312" max="21" man="1"/>
  </rowBreak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codeName="Sheet18">
    <tabColor rgb="FF99CCFF"/>
  </sheetPr>
  <dimension ref="A1:Y44"/>
  <sheetViews>
    <sheetView view="pageBreakPreview" topLeftCell="A13"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1036</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codeName="Sheet23">
    <tabColor rgb="FFFFFF00"/>
  </sheetPr>
  <dimension ref="A1:AC464"/>
  <sheetViews>
    <sheetView showZeros="0" view="pageBreakPreview" zoomScale="115" zoomScaleNormal="100" zoomScaleSheetLayoutView="115" workbookViewId="0">
      <selection activeCell="V17" sqref="V17"/>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7"/>
      <c r="X1" s="7"/>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7"/>
      <c r="X2" s="7"/>
    </row>
    <row r="3" spans="1:29"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7"/>
      <c r="X3" s="7"/>
    </row>
    <row r="4" spans="1:29"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7"/>
      <c r="X4" s="7"/>
    </row>
    <row r="5" spans="1:29" ht="18" customHeight="1">
      <c r="A5" s="880" t="str">
        <f>Title!A5</f>
        <v>Prep. By</v>
      </c>
      <c r="B5" s="943"/>
      <c r="C5" s="25" t="str">
        <f>Title!C5</f>
        <v>AP</v>
      </c>
      <c r="D5" s="880" t="str">
        <f>Title!D5</f>
        <v>Checked By</v>
      </c>
      <c r="E5" s="881"/>
      <c r="F5" s="943"/>
      <c r="G5" s="25" t="str">
        <f>Title!G5</f>
        <v>RB</v>
      </c>
      <c r="H5" s="944" t="s">
        <v>892</v>
      </c>
      <c r="I5" s="945"/>
      <c r="J5" s="945"/>
      <c r="K5" s="945"/>
      <c r="L5" s="945"/>
      <c r="M5" s="945"/>
      <c r="N5" s="946"/>
      <c r="O5" s="947" t="str">
        <f>Title!O5</f>
        <v>Contractor</v>
      </c>
      <c r="P5" s="948"/>
      <c r="Q5" s="949"/>
      <c r="R5" s="775" t="str">
        <f>Title!R5</f>
        <v>HITACHI</v>
      </c>
      <c r="S5" s="1068"/>
      <c r="T5" s="1068"/>
      <c r="U5" s="1068"/>
      <c r="V5" s="776"/>
      <c r="W5" s="7"/>
      <c r="X5" s="7"/>
    </row>
    <row r="6" spans="1:29" ht="18" customHeight="1">
      <c r="A6" s="9"/>
      <c r="V6" s="10"/>
    </row>
    <row r="7" spans="1:29" ht="18" customHeight="1">
      <c r="A7" s="9"/>
      <c r="B7" s="1099" t="s">
        <v>108</v>
      </c>
      <c r="C7" s="1100"/>
      <c r="D7" s="1099" t="s">
        <v>385</v>
      </c>
      <c r="E7" s="1101"/>
      <c r="F7" s="689"/>
      <c r="G7" s="689"/>
      <c r="H7" s="689" t="s">
        <v>386</v>
      </c>
      <c r="I7" s="689"/>
      <c r="J7" s="689"/>
      <c r="K7" s="689"/>
      <c r="L7" s="689"/>
      <c r="M7" s="689"/>
      <c r="N7" s="689"/>
      <c r="S7" s="187" t="s">
        <v>387</v>
      </c>
      <c r="T7" s="781" t="s">
        <v>388</v>
      </c>
      <c r="U7" s="782"/>
      <c r="V7" s="10"/>
      <c r="W7" s="30" t="s">
        <v>389</v>
      </c>
    </row>
    <row r="8" spans="1:29" ht="18" customHeight="1">
      <c r="A8" s="9"/>
      <c r="B8" s="1097"/>
      <c r="C8" s="1098"/>
      <c r="D8" s="1102"/>
      <c r="E8" s="1103"/>
      <c r="T8" s="781"/>
      <c r="U8" s="782"/>
      <c r="V8" s="10"/>
    </row>
    <row r="9" spans="1:29" ht="18" customHeight="1">
      <c r="A9" s="9"/>
      <c r="H9" s="789" t="s">
        <v>390</v>
      </c>
      <c r="I9" s="789"/>
      <c r="J9" s="790" t="s">
        <v>391</v>
      </c>
      <c r="K9" s="790"/>
      <c r="L9" s="790" t="s">
        <v>392</v>
      </c>
      <c r="M9" s="790"/>
      <c r="T9" s="781"/>
      <c r="U9" s="782"/>
      <c r="V9" s="10"/>
    </row>
    <row r="10" spans="1:29" ht="18" customHeight="1">
      <c r="A10" s="9"/>
      <c r="B10" s="47" t="s">
        <v>393</v>
      </c>
      <c r="H10" s="791">
        <v>2500</v>
      </c>
      <c r="I10" s="792"/>
      <c r="J10" s="781" t="s">
        <v>6</v>
      </c>
      <c r="K10" s="782"/>
      <c r="L10" s="781" t="s">
        <v>6</v>
      </c>
      <c r="M10" s="782"/>
      <c r="N10" s="191" t="s">
        <v>342</v>
      </c>
      <c r="O10" s="125">
        <v>1</v>
      </c>
      <c r="P10" s="27" t="s">
        <v>8</v>
      </c>
      <c r="V10" s="10"/>
    </row>
    <row r="11" spans="1:29" ht="18" customHeight="1">
      <c r="A11" s="9"/>
      <c r="B11" s="47" t="s">
        <v>394</v>
      </c>
      <c r="H11" s="781" t="s">
        <v>815</v>
      </c>
      <c r="I11" s="782"/>
      <c r="V11" s="10"/>
    </row>
    <row r="12" spans="1:29" ht="18" customHeight="1">
      <c r="A12" s="9"/>
      <c r="B12" s="47" t="s">
        <v>396</v>
      </c>
      <c r="G12" s="120" t="s">
        <v>397</v>
      </c>
      <c r="H12" s="781">
        <v>5</v>
      </c>
      <c r="I12" s="782"/>
      <c r="J12" s="192" t="s">
        <v>333</v>
      </c>
      <c r="M12" s="14"/>
      <c r="V12" s="10"/>
    </row>
    <row r="13" spans="1:29" ht="18" customHeight="1">
      <c r="A13" s="9"/>
      <c r="B13" s="47" t="s">
        <v>398</v>
      </c>
      <c r="G13" s="120" t="s">
        <v>399</v>
      </c>
      <c r="H13" s="781">
        <v>3750</v>
      </c>
      <c r="I13" s="782"/>
      <c r="J13" s="14" t="s">
        <v>305</v>
      </c>
      <c r="V13" s="10"/>
      <c r="W13" s="30" t="s">
        <v>400</v>
      </c>
      <c r="AA13" s="30"/>
      <c r="AB13" s="785">
        <f>Q120</f>
        <v>262.1898082240229</v>
      </c>
      <c r="AC13" s="786"/>
    </row>
    <row r="14" spans="1:29" ht="18" customHeight="1">
      <c r="A14" s="9"/>
      <c r="B14" s="14" t="s">
        <v>401</v>
      </c>
      <c r="G14" s="120" t="s">
        <v>402</v>
      </c>
      <c r="H14" s="781">
        <v>60</v>
      </c>
      <c r="I14" s="782"/>
      <c r="J14" s="14" t="s">
        <v>403</v>
      </c>
      <c r="M14" s="14"/>
      <c r="V14" s="10"/>
    </row>
    <row r="15" spans="1:29" ht="18" customHeight="1">
      <c r="A15" s="9"/>
      <c r="V15" s="10"/>
    </row>
    <row r="16" spans="1:29" ht="18" customHeight="1">
      <c r="A16" s="116" t="s">
        <v>404</v>
      </c>
      <c r="V16" s="10"/>
    </row>
    <row r="17" spans="1:22" ht="18" customHeight="1">
      <c r="A17" s="9"/>
      <c r="V17" s="10"/>
    </row>
    <row r="18" spans="1:22" ht="18" customHeight="1">
      <c r="A18" s="9"/>
      <c r="B18" s="194" t="s">
        <v>405</v>
      </c>
      <c r="C18" s="195"/>
      <c r="D18" s="195" t="str">
        <f>T7</f>
        <v>RED670</v>
      </c>
      <c r="E18" s="423"/>
      <c r="F18" s="423"/>
      <c r="G18" s="423"/>
      <c r="H18" s="182" t="s">
        <v>406</v>
      </c>
      <c r="I18" s="183" t="s">
        <v>127</v>
      </c>
      <c r="J18" s="787">
        <f>'CT-VT Burdens'!Q104</f>
        <v>0.02</v>
      </c>
      <c r="K18" s="788"/>
      <c r="L18" s="202" t="s">
        <v>157</v>
      </c>
      <c r="N18" s="197" t="s">
        <v>407</v>
      </c>
      <c r="V18" s="10"/>
    </row>
    <row r="19" spans="1:22" ht="18" customHeight="1">
      <c r="A19" s="9"/>
      <c r="B19" s="184" t="s">
        <v>405</v>
      </c>
      <c r="D19" s="424">
        <f>T8</f>
        <v>0</v>
      </c>
      <c r="E19" s="14"/>
      <c r="I19" s="28" t="s">
        <v>127</v>
      </c>
      <c r="J19" s="787"/>
      <c r="K19" s="788"/>
      <c r="L19" s="297" t="s">
        <v>157</v>
      </c>
      <c r="N19" s="27" t="s">
        <v>408</v>
      </c>
      <c r="O19" s="27" t="s">
        <v>127</v>
      </c>
      <c r="P19" s="27" t="s">
        <v>409</v>
      </c>
      <c r="Q19" s="191" t="s">
        <v>410</v>
      </c>
      <c r="R19" s="27" t="s">
        <v>411</v>
      </c>
      <c r="S19" s="27" t="s">
        <v>315</v>
      </c>
      <c r="T19" s="27" t="s">
        <v>411</v>
      </c>
      <c r="U19" s="30" t="s">
        <v>350</v>
      </c>
      <c r="V19" s="10"/>
    </row>
    <row r="20" spans="1:22" ht="18" customHeight="1">
      <c r="A20" s="9"/>
      <c r="B20" s="184" t="s">
        <v>405</v>
      </c>
      <c r="D20" s="424"/>
      <c r="E20" s="14"/>
      <c r="G20" s="199"/>
      <c r="H20" s="425"/>
      <c r="I20" s="101" t="s">
        <v>127</v>
      </c>
      <c r="J20" s="787"/>
      <c r="K20" s="788"/>
      <c r="L20" s="426" t="s">
        <v>157</v>
      </c>
      <c r="O20" s="27" t="s">
        <v>127</v>
      </c>
      <c r="P20" s="204">
        <f>J22</f>
        <v>1.0970224400000002</v>
      </c>
      <c r="Q20" s="191" t="s">
        <v>410</v>
      </c>
      <c r="R20" s="27">
        <f>O10</f>
        <v>1</v>
      </c>
      <c r="S20" s="27" t="s">
        <v>315</v>
      </c>
      <c r="T20" s="27">
        <f>O10</f>
        <v>1</v>
      </c>
      <c r="U20" s="30" t="s">
        <v>350</v>
      </c>
      <c r="V20" s="10"/>
    </row>
    <row r="21" spans="1:22" ht="18" customHeight="1">
      <c r="A21" s="9"/>
      <c r="B21" s="184" t="s">
        <v>412</v>
      </c>
      <c r="H21" s="425"/>
      <c r="I21" s="427" t="s">
        <v>127</v>
      </c>
      <c r="J21" s="793">
        <f>'CT-VT Burdens'!S24</f>
        <v>1.0770224400000001</v>
      </c>
      <c r="K21" s="794"/>
      <c r="L21" s="426" t="s">
        <v>157</v>
      </c>
      <c r="O21" s="27" t="s">
        <v>127</v>
      </c>
      <c r="P21" s="795">
        <f>P20/(R20*T20)</f>
        <v>1.0970224400000002</v>
      </c>
      <c r="Q21" s="795"/>
      <c r="R21" s="192" t="s">
        <v>333</v>
      </c>
      <c r="V21" s="10"/>
    </row>
    <row r="22" spans="1:22" ht="18" customHeight="1">
      <c r="A22" s="9"/>
      <c r="B22" s="205" t="s">
        <v>413</v>
      </c>
      <c r="C22" s="206"/>
      <c r="D22" s="206"/>
      <c r="E22" s="206"/>
      <c r="F22" s="346"/>
      <c r="G22" s="346"/>
      <c r="H22" s="190" t="s">
        <v>409</v>
      </c>
      <c r="I22" s="208" t="s">
        <v>127</v>
      </c>
      <c r="J22" s="766">
        <f>SUM(J18:K21)</f>
        <v>1.0970224400000002</v>
      </c>
      <c r="K22" s="796"/>
      <c r="L22" s="428" t="s">
        <v>157</v>
      </c>
      <c r="V22" s="10"/>
    </row>
    <row r="23" spans="1:22" ht="18" customHeight="1">
      <c r="A23" s="9"/>
      <c r="V23" s="10"/>
    </row>
    <row r="24" spans="1:22" ht="18" customHeight="1">
      <c r="A24" s="116" t="s">
        <v>414</v>
      </c>
      <c r="V24" s="10"/>
    </row>
    <row r="25" spans="1:22" ht="18" customHeight="1">
      <c r="A25" s="678" t="s">
        <v>415</v>
      </c>
      <c r="B25" s="679"/>
      <c r="C25" s="679"/>
      <c r="D25" s="679"/>
      <c r="E25" s="679"/>
      <c r="F25" s="679"/>
      <c r="G25" s="679"/>
      <c r="H25" s="679"/>
      <c r="I25" s="679"/>
      <c r="J25" s="679"/>
      <c r="K25" s="679"/>
      <c r="L25" s="679"/>
      <c r="M25" s="679"/>
      <c r="N25" s="679"/>
      <c r="O25" s="679"/>
      <c r="P25" s="679"/>
      <c r="Q25" s="679"/>
      <c r="R25" s="679"/>
      <c r="S25" s="679"/>
      <c r="T25" s="679"/>
      <c r="U25" s="679"/>
      <c r="V25" s="680"/>
    </row>
    <row r="26" spans="1:22" ht="18" customHeight="1">
      <c r="A26" s="678"/>
      <c r="B26" s="679"/>
      <c r="C26" s="679"/>
      <c r="D26" s="679"/>
      <c r="E26" s="679"/>
      <c r="F26" s="679"/>
      <c r="G26" s="679"/>
      <c r="H26" s="679"/>
      <c r="I26" s="679"/>
      <c r="J26" s="679"/>
      <c r="K26" s="679"/>
      <c r="L26" s="679"/>
      <c r="M26" s="679"/>
      <c r="N26" s="679"/>
      <c r="O26" s="679"/>
      <c r="P26" s="679"/>
      <c r="Q26" s="679"/>
      <c r="R26" s="679"/>
      <c r="S26" s="679"/>
      <c r="T26" s="679"/>
      <c r="U26" s="679"/>
      <c r="V26" s="680"/>
    </row>
    <row r="27" spans="1:22" ht="18" customHeight="1">
      <c r="A27" s="193" t="s">
        <v>416</v>
      </c>
      <c r="V27" s="10"/>
    </row>
    <row r="28" spans="1:22" ht="18" customHeight="1">
      <c r="A28" s="799" t="s">
        <v>417</v>
      </c>
      <c r="B28" s="800"/>
      <c r="C28" s="800"/>
      <c r="D28" s="14"/>
      <c r="E28" s="7"/>
      <c r="F28" s="802" t="s">
        <v>418</v>
      </c>
      <c r="G28" s="804"/>
      <c r="H28" s="689" t="s">
        <v>315</v>
      </c>
      <c r="I28" s="708" t="s">
        <v>411</v>
      </c>
      <c r="J28" s="803"/>
      <c r="K28" s="689" t="s">
        <v>315</v>
      </c>
      <c r="L28" s="802" t="s">
        <v>419</v>
      </c>
      <c r="M28" s="689" t="s">
        <v>420</v>
      </c>
      <c r="N28" s="729" t="s">
        <v>347</v>
      </c>
      <c r="O28" s="689" t="s">
        <v>408</v>
      </c>
      <c r="P28" s="689" t="s">
        <v>347</v>
      </c>
      <c r="Q28" s="759" t="s">
        <v>421</v>
      </c>
      <c r="R28" s="797"/>
      <c r="S28" s="797"/>
      <c r="T28" s="798" t="s">
        <v>350</v>
      </c>
      <c r="U28" s="230" t="s">
        <v>422</v>
      </c>
      <c r="V28" s="112"/>
    </row>
    <row r="29" spans="1:22" ht="18" customHeight="1">
      <c r="A29" s="801"/>
      <c r="B29" s="800"/>
      <c r="C29" s="800"/>
      <c r="D29" s="14"/>
      <c r="E29" s="7"/>
      <c r="F29" s="804"/>
      <c r="G29" s="804"/>
      <c r="H29" s="689"/>
      <c r="I29" s="689" t="s">
        <v>423</v>
      </c>
      <c r="J29" s="804"/>
      <c r="K29" s="689"/>
      <c r="L29" s="802"/>
      <c r="M29" s="689"/>
      <c r="N29" s="729"/>
      <c r="O29" s="689"/>
      <c r="P29" s="689"/>
      <c r="Q29" s="28" t="s">
        <v>146</v>
      </c>
      <c r="R29" s="28" t="s">
        <v>315</v>
      </c>
      <c r="S29" s="28" t="s">
        <v>146</v>
      </c>
      <c r="T29" s="798"/>
      <c r="U29" s="7"/>
      <c r="V29" s="112"/>
    </row>
    <row r="30" spans="1:22" ht="18" customHeight="1">
      <c r="A30" s="193" t="s">
        <v>424</v>
      </c>
      <c r="L30" s="429"/>
      <c r="M30" s="425"/>
      <c r="O30" s="425"/>
      <c r="V30" s="10"/>
    </row>
    <row r="31" spans="1:22" ht="18" customHeight="1">
      <c r="A31" s="799" t="s">
        <v>417</v>
      </c>
      <c r="B31" s="800"/>
      <c r="C31" s="800"/>
      <c r="D31" s="689">
        <v>2</v>
      </c>
      <c r="E31" s="689" t="s">
        <v>315</v>
      </c>
      <c r="F31" s="802" t="s">
        <v>425</v>
      </c>
      <c r="G31" s="804"/>
      <c r="H31" s="689" t="s">
        <v>315</v>
      </c>
      <c r="I31" s="708" t="s">
        <v>411</v>
      </c>
      <c r="J31" s="803"/>
      <c r="K31" s="689" t="s">
        <v>315</v>
      </c>
      <c r="L31" s="802" t="s">
        <v>419</v>
      </c>
      <c r="M31" s="689" t="s">
        <v>420</v>
      </c>
      <c r="N31" s="729" t="s">
        <v>347</v>
      </c>
      <c r="O31" s="689" t="s">
        <v>408</v>
      </c>
      <c r="P31" s="689" t="s">
        <v>347</v>
      </c>
      <c r="Q31" s="759" t="s">
        <v>421</v>
      </c>
      <c r="R31" s="797"/>
      <c r="S31" s="797"/>
      <c r="T31" s="798" t="s">
        <v>350</v>
      </c>
      <c r="U31" s="230" t="s">
        <v>426</v>
      </c>
      <c r="V31" s="112"/>
    </row>
    <row r="32" spans="1:22" ht="18" customHeight="1">
      <c r="A32" s="801"/>
      <c r="B32" s="800"/>
      <c r="C32" s="800"/>
      <c r="D32" s="689"/>
      <c r="E32" s="689"/>
      <c r="F32" s="804"/>
      <c r="G32" s="804"/>
      <c r="H32" s="689"/>
      <c r="I32" s="689" t="s">
        <v>423</v>
      </c>
      <c r="J32" s="804"/>
      <c r="K32" s="689"/>
      <c r="L32" s="802"/>
      <c r="M32" s="689"/>
      <c r="N32" s="729"/>
      <c r="O32" s="689"/>
      <c r="P32" s="689"/>
      <c r="Q32" s="28" t="s">
        <v>146</v>
      </c>
      <c r="R32" s="28" t="s">
        <v>315</v>
      </c>
      <c r="S32" s="28" t="s">
        <v>146</v>
      </c>
      <c r="T32" s="798"/>
      <c r="U32" s="7"/>
      <c r="V32" s="112"/>
    </row>
    <row r="33" spans="1:22" ht="18" customHeight="1">
      <c r="A33" s="9"/>
      <c r="V33" s="10"/>
    </row>
    <row r="34" spans="1:22" ht="18" customHeight="1">
      <c r="A34" s="9"/>
      <c r="B34" s="14" t="s">
        <v>427</v>
      </c>
      <c r="C34" s="14"/>
      <c r="D34" s="103"/>
      <c r="E34" s="103"/>
      <c r="F34" s="14"/>
      <c r="G34" s="14"/>
      <c r="H34" s="5"/>
      <c r="I34" s="5"/>
      <c r="J34" s="5"/>
      <c r="P34" s="120" t="s">
        <v>428</v>
      </c>
      <c r="V34" s="10"/>
    </row>
    <row r="35" spans="1:22" ht="18" customHeight="1">
      <c r="A35" s="9"/>
      <c r="B35" s="14" t="s">
        <v>429</v>
      </c>
      <c r="C35" s="14"/>
      <c r="D35" s="103"/>
      <c r="E35" s="103"/>
      <c r="F35" s="14"/>
      <c r="G35" s="14"/>
      <c r="H35" s="5"/>
      <c r="I35" s="5"/>
      <c r="J35" s="5"/>
      <c r="P35" s="120" t="s">
        <v>430</v>
      </c>
      <c r="Q35" s="234" t="s">
        <v>127</v>
      </c>
      <c r="R35" s="684">
        <f>H10</f>
        <v>2500</v>
      </c>
      <c r="S35" s="684"/>
      <c r="T35" s="14" t="s">
        <v>8</v>
      </c>
      <c r="V35" s="10"/>
    </row>
    <row r="36" spans="1:22" ht="18" customHeight="1">
      <c r="A36" s="9"/>
      <c r="B36" s="14" t="s">
        <v>431</v>
      </c>
      <c r="C36" s="14"/>
      <c r="D36" s="14"/>
      <c r="E36" s="14"/>
      <c r="F36" s="14"/>
      <c r="G36" s="14"/>
      <c r="H36" s="14"/>
      <c r="I36" s="14"/>
      <c r="J36" s="14"/>
      <c r="P36" s="120" t="s">
        <v>418</v>
      </c>
      <c r="Q36" s="234" t="s">
        <v>127</v>
      </c>
      <c r="R36" s="684">
        <f>'Parameters &amp; Fault Cal. (4)'!Q32</f>
        <v>50000</v>
      </c>
      <c r="S36" s="684"/>
      <c r="T36" s="14" t="s">
        <v>8</v>
      </c>
      <c r="V36" s="10"/>
    </row>
    <row r="37" spans="1:22" ht="18" customHeight="1">
      <c r="A37" s="9"/>
      <c r="B37" s="14" t="s">
        <v>432</v>
      </c>
      <c r="C37" s="14"/>
      <c r="D37" s="14"/>
      <c r="E37" s="14"/>
      <c r="F37" s="14"/>
      <c r="G37" s="14"/>
      <c r="H37" s="14"/>
      <c r="I37" s="14"/>
      <c r="J37" s="14"/>
      <c r="P37" s="120" t="s">
        <v>425</v>
      </c>
      <c r="Q37" s="234" t="s">
        <v>127</v>
      </c>
      <c r="R37" s="713">
        <f>'Parameters &amp; Fault Cal. (4)'!M71</f>
        <v>42229.804278926844</v>
      </c>
      <c r="S37" s="684"/>
      <c r="T37" s="14" t="s">
        <v>8</v>
      </c>
      <c r="U37" s="30" t="s">
        <v>433</v>
      </c>
      <c r="V37" s="10"/>
    </row>
    <row r="38" spans="1:22" ht="18" customHeight="1">
      <c r="A38" s="9"/>
      <c r="B38" s="14"/>
      <c r="C38" s="14"/>
      <c r="D38" s="14"/>
      <c r="E38" s="14"/>
      <c r="F38" s="14"/>
      <c r="G38" s="14"/>
      <c r="H38" s="14"/>
      <c r="I38" s="14"/>
      <c r="J38" s="14"/>
      <c r="P38" s="120"/>
      <c r="Q38" s="234" t="s">
        <v>127</v>
      </c>
      <c r="R38" s="713">
        <f>'Parameters &amp; Fault Cal. (4)'!M92</f>
        <v>43475.278268251794</v>
      </c>
      <c r="S38" s="684"/>
      <c r="T38" s="14" t="s">
        <v>8</v>
      </c>
      <c r="U38" s="30" t="s">
        <v>434</v>
      </c>
      <c r="V38" s="10"/>
    </row>
    <row r="39" spans="1:22" ht="18" customHeight="1">
      <c r="A39" s="9"/>
      <c r="B39" s="14" t="s">
        <v>435</v>
      </c>
      <c r="C39" s="14"/>
      <c r="D39" s="103"/>
      <c r="E39" s="103"/>
      <c r="F39" s="14"/>
      <c r="G39" s="14"/>
      <c r="H39" s="5"/>
      <c r="I39" s="5"/>
      <c r="J39" s="5"/>
      <c r="P39" s="120" t="s">
        <v>436</v>
      </c>
      <c r="Q39" s="234" t="s">
        <v>127</v>
      </c>
      <c r="R39" s="684">
        <f>'CT-VT Burdens'!S17</f>
        <v>1</v>
      </c>
      <c r="S39" s="684"/>
      <c r="T39" s="14" t="s">
        <v>8</v>
      </c>
      <c r="V39" s="10"/>
    </row>
    <row r="40" spans="1:22" ht="18" customHeight="1">
      <c r="A40" s="9"/>
      <c r="B40" s="14" t="s">
        <v>437</v>
      </c>
      <c r="C40" s="14"/>
      <c r="D40" s="103"/>
      <c r="E40" s="103"/>
      <c r="F40" s="14"/>
      <c r="G40" s="14"/>
      <c r="H40" s="5"/>
      <c r="I40" s="5"/>
      <c r="J40" s="5"/>
      <c r="P40" s="120" t="s">
        <v>438</v>
      </c>
      <c r="Q40" s="234" t="s">
        <v>127</v>
      </c>
      <c r="R40" s="684">
        <f>'CT-VT Burdens'!S18</f>
        <v>1</v>
      </c>
      <c r="S40" s="684"/>
      <c r="T40" s="14" t="s">
        <v>8</v>
      </c>
      <c r="V40" s="10"/>
    </row>
    <row r="41" spans="1:22" ht="18" customHeight="1">
      <c r="A41" s="9"/>
      <c r="B41" s="14" t="s">
        <v>439</v>
      </c>
      <c r="C41" s="14"/>
      <c r="D41" s="103"/>
      <c r="E41" s="103"/>
      <c r="F41" s="14"/>
      <c r="G41" s="14"/>
      <c r="H41" s="5"/>
      <c r="I41" s="5"/>
      <c r="J41" s="5"/>
      <c r="P41" s="120" t="s">
        <v>440</v>
      </c>
      <c r="Q41" s="234" t="s">
        <v>127</v>
      </c>
      <c r="R41" s="684">
        <f>H12</f>
        <v>5</v>
      </c>
      <c r="S41" s="684"/>
      <c r="T41" s="192" t="s">
        <v>333</v>
      </c>
      <c r="V41" s="10"/>
    </row>
    <row r="42" spans="1:22" ht="18" customHeight="1">
      <c r="A42" s="9"/>
      <c r="B42" s="7" t="s">
        <v>153</v>
      </c>
      <c r="C42" s="14"/>
      <c r="D42" s="14"/>
      <c r="E42" s="14"/>
      <c r="F42" s="14"/>
      <c r="G42" s="14"/>
      <c r="H42" s="14"/>
      <c r="I42" s="14"/>
      <c r="J42" s="14"/>
      <c r="P42" s="237" t="s">
        <v>441</v>
      </c>
      <c r="Q42" s="234" t="s">
        <v>127</v>
      </c>
      <c r="R42" s="795">
        <f>P21</f>
        <v>1.0970224400000002</v>
      </c>
      <c r="S42" s="684"/>
      <c r="T42" s="192" t="s">
        <v>333</v>
      </c>
      <c r="V42" s="10"/>
    </row>
    <row r="43" spans="1:22" ht="18" customHeight="1">
      <c r="A43" s="9"/>
      <c r="B43" s="40" t="s">
        <v>442</v>
      </c>
      <c r="C43" s="14"/>
      <c r="D43" s="14"/>
      <c r="E43" s="14"/>
      <c r="F43" s="14"/>
      <c r="G43" s="14"/>
      <c r="H43" s="5"/>
      <c r="I43" s="5"/>
      <c r="J43" s="5"/>
      <c r="P43" s="237" t="s">
        <v>443</v>
      </c>
      <c r="Q43" s="234" t="s">
        <v>127</v>
      </c>
      <c r="R43" s="795">
        <f>J18</f>
        <v>0.02</v>
      </c>
      <c r="S43" s="684"/>
      <c r="T43" s="14" t="s">
        <v>157</v>
      </c>
      <c r="V43" s="10"/>
    </row>
    <row r="44" spans="1:22" ht="18" customHeight="1">
      <c r="A44" s="9"/>
      <c r="B44" s="40"/>
      <c r="C44" s="14"/>
      <c r="D44" s="14"/>
      <c r="E44" s="14"/>
      <c r="F44" s="14"/>
      <c r="G44" s="14"/>
      <c r="H44" s="5"/>
      <c r="I44" s="5"/>
      <c r="J44" s="5"/>
      <c r="P44" s="237"/>
      <c r="Q44" s="234"/>
      <c r="R44" s="211"/>
      <c r="S44" s="27"/>
      <c r="T44" s="14"/>
      <c r="V44" s="10"/>
    </row>
    <row r="45" spans="1:22" s="7" customFormat="1" ht="18" customHeight="1">
      <c r="A45" s="382"/>
      <c r="B45" s="20"/>
      <c r="C45" s="20"/>
      <c r="D45" s="20"/>
      <c r="E45" s="20"/>
      <c r="F45" s="20"/>
      <c r="G45" s="20"/>
      <c r="H45" s="20"/>
      <c r="I45" s="20"/>
      <c r="J45" s="20"/>
      <c r="K45" s="20"/>
      <c r="L45" s="20"/>
      <c r="M45" s="20"/>
      <c r="N45" s="20"/>
      <c r="O45" s="20"/>
      <c r="P45" s="20"/>
      <c r="Q45" s="21"/>
      <c r="R45" s="22"/>
      <c r="S45" s="23"/>
      <c r="T45" s="20"/>
      <c r="U45" s="20"/>
      <c r="V45" s="134"/>
    </row>
    <row r="46" spans="1:22" ht="18" customHeight="1">
      <c r="A46" s="383" t="s">
        <v>416</v>
      </c>
      <c r="B46" s="384"/>
      <c r="C46" s="384"/>
      <c r="D46" s="384"/>
      <c r="E46" s="384"/>
      <c r="F46" s="384"/>
      <c r="G46" s="384"/>
      <c r="H46" s="384"/>
      <c r="I46" s="384"/>
      <c r="J46" s="384"/>
      <c r="K46" s="384"/>
      <c r="L46" s="384"/>
      <c r="M46" s="384"/>
      <c r="N46" s="384"/>
      <c r="O46" s="384"/>
      <c r="P46" s="384"/>
      <c r="Q46" s="384"/>
      <c r="R46" s="384"/>
      <c r="S46" s="384"/>
      <c r="T46" s="384"/>
      <c r="U46" s="384"/>
      <c r="V46" s="395"/>
    </row>
    <row r="47" spans="1:22" ht="18" customHeight="1">
      <c r="A47" s="799" t="s">
        <v>417</v>
      </c>
      <c r="B47" s="800"/>
      <c r="C47" s="800"/>
      <c r="D47" s="14"/>
      <c r="E47" s="7"/>
      <c r="F47" s="808">
        <f>R36</f>
        <v>50000</v>
      </c>
      <c r="G47" s="1307"/>
      <c r="H47" s="805" t="s">
        <v>315</v>
      </c>
      <c r="I47" s="809">
        <f>R39</f>
        <v>1</v>
      </c>
      <c r="J47" s="810"/>
      <c r="K47" s="805" t="s">
        <v>315</v>
      </c>
      <c r="L47" s="808" t="s">
        <v>419</v>
      </c>
      <c r="M47" s="815">
        <f>R41</f>
        <v>5</v>
      </c>
      <c r="N47" s="816" t="s">
        <v>347</v>
      </c>
      <c r="O47" s="817">
        <f>R42</f>
        <v>1.0970224400000002</v>
      </c>
      <c r="P47" s="805" t="s">
        <v>347</v>
      </c>
      <c r="Q47" s="806">
        <f>R43</f>
        <v>0.02</v>
      </c>
      <c r="R47" s="807"/>
      <c r="S47" s="807"/>
      <c r="T47" s="798" t="s">
        <v>350</v>
      </c>
      <c r="U47" s="230" t="s">
        <v>422</v>
      </c>
      <c r="V47" s="112"/>
    </row>
    <row r="48" spans="1:22" ht="18" customHeight="1">
      <c r="A48" s="801"/>
      <c r="B48" s="800"/>
      <c r="C48" s="800"/>
      <c r="D48" s="14"/>
      <c r="E48" s="7"/>
      <c r="F48" s="1307"/>
      <c r="G48" s="1307"/>
      <c r="H48" s="805"/>
      <c r="I48" s="805">
        <f>R35</f>
        <v>2500</v>
      </c>
      <c r="J48" s="811"/>
      <c r="K48" s="805"/>
      <c r="L48" s="808"/>
      <c r="M48" s="815"/>
      <c r="N48" s="816"/>
      <c r="O48" s="815"/>
      <c r="P48" s="805"/>
      <c r="Q48" s="221">
        <f>R40</f>
        <v>1</v>
      </c>
      <c r="R48" s="221" t="s">
        <v>315</v>
      </c>
      <c r="S48" s="221">
        <f>R40</f>
        <v>1</v>
      </c>
      <c r="T48" s="798"/>
      <c r="U48" s="7"/>
      <c r="V48" s="112"/>
    </row>
    <row r="49" spans="1:22" ht="18" customHeight="1">
      <c r="A49" s="9"/>
      <c r="L49" s="429"/>
      <c r="V49" s="10"/>
    </row>
    <row r="50" spans="1:22" ht="18" customHeight="1">
      <c r="A50" s="9"/>
      <c r="C50" s="27" t="s">
        <v>127</v>
      </c>
      <c r="D50" s="812">
        <f>F47*(I47/I48)*(M47+O47+(Q47/(Q48*S48)))</f>
        <v>122.34044879999999</v>
      </c>
      <c r="E50" s="813"/>
      <c r="F50" s="27" t="s">
        <v>305</v>
      </c>
      <c r="L50" s="429"/>
      <c r="V50" s="10"/>
    </row>
    <row r="51" spans="1:22" ht="18" customHeight="1">
      <c r="A51" s="9"/>
      <c r="L51" s="429"/>
      <c r="V51" s="10"/>
    </row>
    <row r="52" spans="1:22" ht="18" customHeight="1">
      <c r="A52" s="193" t="s">
        <v>444</v>
      </c>
      <c r="L52" s="429"/>
      <c r="V52" s="10"/>
    </row>
    <row r="53" spans="1:22" ht="18" customHeight="1">
      <c r="A53" s="799" t="s">
        <v>417</v>
      </c>
      <c r="B53" s="800"/>
      <c r="C53" s="800"/>
      <c r="D53" s="805">
        <v>2</v>
      </c>
      <c r="E53" s="805" t="s">
        <v>315</v>
      </c>
      <c r="F53" s="814">
        <f>R37</f>
        <v>42229.804278926844</v>
      </c>
      <c r="G53" s="811"/>
      <c r="H53" s="805" t="s">
        <v>315</v>
      </c>
      <c r="I53" s="809">
        <f>R39</f>
        <v>1</v>
      </c>
      <c r="J53" s="810"/>
      <c r="K53" s="805" t="s">
        <v>315</v>
      </c>
      <c r="L53" s="808" t="s">
        <v>419</v>
      </c>
      <c r="M53" s="815">
        <f>R41</f>
        <v>5</v>
      </c>
      <c r="N53" s="816" t="s">
        <v>347</v>
      </c>
      <c r="O53" s="817">
        <f>R42</f>
        <v>1.0970224400000002</v>
      </c>
      <c r="P53" s="805" t="s">
        <v>347</v>
      </c>
      <c r="Q53" s="807">
        <f>Q47</f>
        <v>0.02</v>
      </c>
      <c r="R53" s="807"/>
      <c r="S53" s="807"/>
      <c r="T53" s="798" t="s">
        <v>350</v>
      </c>
      <c r="U53" s="230" t="s">
        <v>426</v>
      </c>
      <c r="V53" s="112"/>
    </row>
    <row r="54" spans="1:22" ht="18" customHeight="1">
      <c r="A54" s="801"/>
      <c r="B54" s="800"/>
      <c r="C54" s="800"/>
      <c r="D54" s="805"/>
      <c r="E54" s="805"/>
      <c r="F54" s="811"/>
      <c r="G54" s="811"/>
      <c r="H54" s="805"/>
      <c r="I54" s="805">
        <f>R35</f>
        <v>2500</v>
      </c>
      <c r="J54" s="811"/>
      <c r="K54" s="805"/>
      <c r="L54" s="808"/>
      <c r="M54" s="815"/>
      <c r="N54" s="816"/>
      <c r="O54" s="815"/>
      <c r="P54" s="805"/>
      <c r="Q54" s="221">
        <f>R40</f>
        <v>1</v>
      </c>
      <c r="R54" s="221" t="s">
        <v>315</v>
      </c>
      <c r="S54" s="221">
        <f>R40</f>
        <v>1</v>
      </c>
      <c r="T54" s="798"/>
      <c r="U54" s="7"/>
      <c r="V54" s="112"/>
    </row>
    <row r="55" spans="1:22" ht="18" customHeight="1">
      <c r="A55" s="9"/>
      <c r="L55" s="429"/>
      <c r="V55" s="10"/>
    </row>
    <row r="56" spans="1:22" ht="18" customHeight="1">
      <c r="A56" s="9"/>
      <c r="C56" s="27" t="s">
        <v>127</v>
      </c>
      <c r="D56" s="812">
        <f>D53*F53*(I53/I54)*(M53+O53+(Q53/(Q54*S54)))</f>
        <v>206.65652832880281</v>
      </c>
      <c r="E56" s="813"/>
      <c r="F56" s="27" t="s">
        <v>305</v>
      </c>
      <c r="L56" s="429"/>
      <c r="V56" s="10"/>
    </row>
    <row r="57" spans="1:22" ht="18" customHeight="1">
      <c r="A57" s="9"/>
      <c r="L57" s="429"/>
      <c r="V57" s="10"/>
    </row>
    <row r="58" spans="1:22" ht="18" customHeight="1">
      <c r="A58" s="193" t="s">
        <v>445</v>
      </c>
      <c r="L58" s="429"/>
      <c r="V58" s="10"/>
    </row>
    <row r="59" spans="1:22" ht="18" customHeight="1">
      <c r="A59" s="799" t="s">
        <v>417</v>
      </c>
      <c r="B59" s="800"/>
      <c r="C59" s="800"/>
      <c r="D59" s="805">
        <v>2</v>
      </c>
      <c r="E59" s="805" t="s">
        <v>315</v>
      </c>
      <c r="F59" s="814">
        <f>R38</f>
        <v>43475.278268251794</v>
      </c>
      <c r="G59" s="811"/>
      <c r="H59" s="805" t="s">
        <v>315</v>
      </c>
      <c r="I59" s="809">
        <f>R39</f>
        <v>1</v>
      </c>
      <c r="J59" s="810"/>
      <c r="K59" s="805" t="s">
        <v>315</v>
      </c>
      <c r="L59" s="808" t="s">
        <v>419</v>
      </c>
      <c r="M59" s="815">
        <f>R41</f>
        <v>5</v>
      </c>
      <c r="N59" s="816" t="s">
        <v>347</v>
      </c>
      <c r="O59" s="817">
        <f>R42</f>
        <v>1.0970224400000002</v>
      </c>
      <c r="P59" s="805" t="s">
        <v>347</v>
      </c>
      <c r="Q59" s="807">
        <f>R43</f>
        <v>0.02</v>
      </c>
      <c r="R59" s="807"/>
      <c r="S59" s="807"/>
      <c r="T59" s="798" t="s">
        <v>350</v>
      </c>
      <c r="U59" s="230" t="s">
        <v>426</v>
      </c>
      <c r="V59" s="112"/>
    </row>
    <row r="60" spans="1:22" ht="18" customHeight="1">
      <c r="A60" s="801"/>
      <c r="B60" s="800"/>
      <c r="C60" s="800"/>
      <c r="D60" s="805"/>
      <c r="E60" s="805"/>
      <c r="F60" s="811"/>
      <c r="G60" s="811"/>
      <c r="H60" s="805"/>
      <c r="I60" s="805">
        <f>R35</f>
        <v>2500</v>
      </c>
      <c r="J60" s="811"/>
      <c r="K60" s="805"/>
      <c r="L60" s="808"/>
      <c r="M60" s="815"/>
      <c r="N60" s="816"/>
      <c r="O60" s="815"/>
      <c r="P60" s="805"/>
      <c r="Q60" s="221">
        <f>R40</f>
        <v>1</v>
      </c>
      <c r="R60" s="221" t="s">
        <v>315</v>
      </c>
      <c r="S60" s="221">
        <f>R40</f>
        <v>1</v>
      </c>
      <c r="T60" s="798"/>
      <c r="U60" s="7"/>
      <c r="V60" s="112"/>
    </row>
    <row r="61" spans="1:22" ht="18" customHeight="1">
      <c r="A61" s="9"/>
      <c r="V61" s="10"/>
    </row>
    <row r="62" spans="1:22" ht="18" customHeight="1">
      <c r="A62" s="9"/>
      <c r="C62" s="27" t="s">
        <v>127</v>
      </c>
      <c r="D62" s="812">
        <f>D59*F59*(I59/I60)*(M59+O59+(Q59/(Q60*S60)))</f>
        <v>212.75140220171244</v>
      </c>
      <c r="E62" s="813"/>
      <c r="F62" s="27" t="s">
        <v>305</v>
      </c>
      <c r="V62" s="10"/>
    </row>
    <row r="63" spans="1:22" ht="18" customHeight="1">
      <c r="A63" s="9"/>
      <c r="V63" s="10"/>
    </row>
    <row r="64" spans="1:22" ht="18" customHeight="1">
      <c r="A64" s="116" t="s">
        <v>446</v>
      </c>
      <c r="V64" s="10"/>
    </row>
    <row r="65" spans="1:22" ht="18" customHeight="1">
      <c r="A65" s="678" t="s">
        <v>415</v>
      </c>
      <c r="B65" s="679"/>
      <c r="C65" s="679"/>
      <c r="D65" s="679"/>
      <c r="E65" s="679"/>
      <c r="F65" s="679"/>
      <c r="G65" s="679"/>
      <c r="H65" s="679"/>
      <c r="I65" s="679"/>
      <c r="J65" s="679"/>
      <c r="K65" s="679"/>
      <c r="L65" s="679"/>
      <c r="M65" s="679"/>
      <c r="N65" s="679"/>
      <c r="O65" s="679"/>
      <c r="P65" s="679"/>
      <c r="Q65" s="679"/>
      <c r="R65" s="679"/>
      <c r="S65" s="679"/>
      <c r="T65" s="679"/>
      <c r="U65" s="679"/>
      <c r="V65" s="680"/>
    </row>
    <row r="66" spans="1:22" ht="18" customHeight="1">
      <c r="A66" s="678"/>
      <c r="B66" s="679"/>
      <c r="C66" s="679"/>
      <c r="D66" s="679"/>
      <c r="E66" s="679"/>
      <c r="F66" s="679"/>
      <c r="G66" s="679"/>
      <c r="H66" s="679"/>
      <c r="I66" s="679"/>
      <c r="J66" s="679"/>
      <c r="K66" s="679"/>
      <c r="L66" s="679"/>
      <c r="M66" s="679"/>
      <c r="N66" s="679"/>
      <c r="O66" s="679"/>
      <c r="P66" s="679"/>
      <c r="Q66" s="679"/>
      <c r="R66" s="679"/>
      <c r="S66" s="679"/>
      <c r="T66" s="679"/>
      <c r="U66" s="679"/>
      <c r="V66" s="680"/>
    </row>
    <row r="67" spans="1:22" ht="18" customHeight="1">
      <c r="A67" s="193" t="s">
        <v>416</v>
      </c>
      <c r="V67" s="10"/>
    </row>
    <row r="68" spans="1:22" ht="18" customHeight="1">
      <c r="A68" s="799" t="s">
        <v>417</v>
      </c>
      <c r="B68" s="800"/>
      <c r="C68" s="800"/>
      <c r="D68" s="802" t="s">
        <v>418</v>
      </c>
      <c r="E68" s="804"/>
      <c r="F68" s="689" t="s">
        <v>315</v>
      </c>
      <c r="G68" s="708" t="s">
        <v>436</v>
      </c>
      <c r="H68" s="803"/>
      <c r="I68" s="689" t="s">
        <v>315</v>
      </c>
      <c r="J68" s="708" t="s">
        <v>135</v>
      </c>
      <c r="K68" s="689" t="s">
        <v>315</v>
      </c>
      <c r="L68" s="802" t="s">
        <v>419</v>
      </c>
      <c r="M68" s="689" t="s">
        <v>440</v>
      </c>
      <c r="N68" s="729" t="s">
        <v>347</v>
      </c>
      <c r="O68" s="689" t="s">
        <v>447</v>
      </c>
      <c r="P68" s="689" t="s">
        <v>347</v>
      </c>
      <c r="Q68" s="759" t="s">
        <v>448</v>
      </c>
      <c r="R68" s="797"/>
      <c r="S68" s="797"/>
      <c r="T68" s="798" t="s">
        <v>350</v>
      </c>
      <c r="U68" s="230" t="s">
        <v>422</v>
      </c>
      <c r="V68" s="112"/>
    </row>
    <row r="69" spans="1:22" ht="18" customHeight="1">
      <c r="A69" s="801"/>
      <c r="B69" s="800"/>
      <c r="C69" s="800"/>
      <c r="D69" s="804"/>
      <c r="E69" s="804"/>
      <c r="F69" s="689"/>
      <c r="G69" s="689" t="s">
        <v>430</v>
      </c>
      <c r="H69" s="804"/>
      <c r="I69" s="689"/>
      <c r="J69" s="689"/>
      <c r="K69" s="689"/>
      <c r="L69" s="802"/>
      <c r="M69" s="689"/>
      <c r="N69" s="729"/>
      <c r="O69" s="689"/>
      <c r="P69" s="689"/>
      <c r="Q69" s="28" t="s">
        <v>438</v>
      </c>
      <c r="R69" s="28" t="s">
        <v>315</v>
      </c>
      <c r="S69" s="28" t="s">
        <v>438</v>
      </c>
      <c r="T69" s="798"/>
      <c r="U69" s="7"/>
      <c r="V69" s="112"/>
    </row>
    <row r="70" spans="1:22" ht="18" customHeight="1">
      <c r="A70" s="193" t="s">
        <v>449</v>
      </c>
      <c r="I70" s="7"/>
      <c r="J70" s="7"/>
      <c r="K70" s="7"/>
      <c r="L70" s="429"/>
      <c r="M70" s="425"/>
      <c r="O70" s="425"/>
      <c r="V70" s="10"/>
    </row>
    <row r="71" spans="1:22" ht="18" customHeight="1">
      <c r="A71" s="799" t="s">
        <v>417</v>
      </c>
      <c r="B71" s="800"/>
      <c r="C71" s="800"/>
      <c r="D71" s="802" t="s">
        <v>450</v>
      </c>
      <c r="E71" s="804"/>
      <c r="F71" s="689" t="s">
        <v>315</v>
      </c>
      <c r="G71" s="708" t="s">
        <v>436</v>
      </c>
      <c r="H71" s="803"/>
      <c r="I71" s="689" t="s">
        <v>315</v>
      </c>
      <c r="J71" s="708" t="s">
        <v>451</v>
      </c>
      <c r="K71" s="689" t="s">
        <v>315</v>
      </c>
      <c r="L71" s="802" t="s">
        <v>419</v>
      </c>
      <c r="M71" s="689" t="s">
        <v>440</v>
      </c>
      <c r="N71" s="729" t="s">
        <v>347</v>
      </c>
      <c r="O71" s="689" t="s">
        <v>447</v>
      </c>
      <c r="P71" s="689" t="s">
        <v>347</v>
      </c>
      <c r="Q71" s="759" t="s">
        <v>448</v>
      </c>
      <c r="R71" s="797"/>
      <c r="S71" s="797"/>
      <c r="T71" s="798" t="s">
        <v>350</v>
      </c>
      <c r="U71" s="230" t="s">
        <v>426</v>
      </c>
      <c r="V71" s="112"/>
    </row>
    <row r="72" spans="1:22" ht="18" customHeight="1">
      <c r="A72" s="801"/>
      <c r="B72" s="800"/>
      <c r="C72" s="800"/>
      <c r="D72" s="804"/>
      <c r="E72" s="804"/>
      <c r="F72" s="689"/>
      <c r="G72" s="689" t="s">
        <v>430</v>
      </c>
      <c r="H72" s="804"/>
      <c r="I72" s="689"/>
      <c r="J72" s="689"/>
      <c r="K72" s="689"/>
      <c r="L72" s="802"/>
      <c r="M72" s="689"/>
      <c r="N72" s="729"/>
      <c r="O72" s="689"/>
      <c r="P72" s="689"/>
      <c r="Q72" s="28" t="s">
        <v>438</v>
      </c>
      <c r="R72" s="28" t="s">
        <v>315</v>
      </c>
      <c r="S72" s="28" t="s">
        <v>438</v>
      </c>
      <c r="T72" s="798"/>
      <c r="U72" s="7"/>
      <c r="V72" s="112"/>
    </row>
    <row r="73" spans="1:22" ht="18" customHeight="1">
      <c r="A73" s="9"/>
      <c r="V73" s="10"/>
    </row>
    <row r="74" spans="1:22" ht="18" customHeight="1">
      <c r="A74" s="9"/>
      <c r="B74" s="14" t="s">
        <v>427</v>
      </c>
      <c r="P74" s="120" t="s">
        <v>428</v>
      </c>
      <c r="V74" s="10"/>
    </row>
    <row r="75" spans="1:22" ht="18" customHeight="1">
      <c r="A75" s="9"/>
      <c r="B75" s="14" t="s">
        <v>429</v>
      </c>
      <c r="P75" s="120" t="s">
        <v>430</v>
      </c>
      <c r="Q75" s="234" t="s">
        <v>127</v>
      </c>
      <c r="R75" s="684">
        <f>R35</f>
        <v>2500</v>
      </c>
      <c r="S75" s="684"/>
      <c r="T75" s="14" t="s">
        <v>8</v>
      </c>
      <c r="V75" s="10"/>
    </row>
    <row r="76" spans="1:22" ht="18" customHeight="1">
      <c r="A76" s="9"/>
      <c r="B76" s="14" t="s">
        <v>431</v>
      </c>
      <c r="P76" s="120" t="s">
        <v>418</v>
      </c>
      <c r="Q76" s="234" t="s">
        <v>127</v>
      </c>
      <c r="R76" s="684">
        <f>R36</f>
        <v>50000</v>
      </c>
      <c r="S76" s="684"/>
      <c r="T76" s="14" t="s">
        <v>8</v>
      </c>
      <c r="V76" s="10"/>
    </row>
    <row r="77" spans="1:22" ht="18" customHeight="1">
      <c r="A77" s="9"/>
      <c r="B77" s="14" t="s">
        <v>452</v>
      </c>
      <c r="P77" s="120" t="s">
        <v>450</v>
      </c>
      <c r="Q77" s="234" t="s">
        <v>127</v>
      </c>
      <c r="R77" s="713">
        <f>'Parameters &amp; Fault Cal. (4)'!M112</f>
        <v>43584.822413584639</v>
      </c>
      <c r="S77" s="684"/>
      <c r="T77" s="14" t="s">
        <v>8</v>
      </c>
      <c r="U77" s="30" t="s">
        <v>433</v>
      </c>
      <c r="V77" s="10"/>
    </row>
    <row r="78" spans="1:22" ht="18" customHeight="1">
      <c r="A78" s="9"/>
      <c r="B78" s="14"/>
      <c r="P78" s="120"/>
      <c r="Q78" s="234" t="s">
        <v>127</v>
      </c>
      <c r="R78" s="713">
        <f>'Parameters &amp; Fault Cal. (4)'!M133</f>
        <v>44648.255952235893</v>
      </c>
      <c r="S78" s="684"/>
      <c r="T78" s="14" t="s">
        <v>8</v>
      </c>
      <c r="U78" s="30" t="s">
        <v>434</v>
      </c>
      <c r="V78" s="10"/>
    </row>
    <row r="79" spans="1:22" ht="18" customHeight="1">
      <c r="A79" s="9"/>
      <c r="B79" s="14" t="s">
        <v>453</v>
      </c>
      <c r="P79" s="120" t="s">
        <v>436</v>
      </c>
      <c r="Q79" s="234" t="s">
        <v>127</v>
      </c>
      <c r="R79" s="684">
        <f>R39</f>
        <v>1</v>
      </c>
      <c r="S79" s="684"/>
      <c r="T79" s="14" t="s">
        <v>8</v>
      </c>
      <c r="V79" s="10"/>
    </row>
    <row r="80" spans="1:22" ht="18" customHeight="1">
      <c r="A80" s="9"/>
      <c r="B80" s="14" t="s">
        <v>437</v>
      </c>
      <c r="P80" s="120" t="s">
        <v>438</v>
      </c>
      <c r="Q80" s="234" t="s">
        <v>127</v>
      </c>
      <c r="R80" s="684">
        <f>R40</f>
        <v>1</v>
      </c>
      <c r="S80" s="684"/>
      <c r="T80" s="14" t="s">
        <v>8</v>
      </c>
      <c r="V80" s="10"/>
    </row>
    <row r="81" spans="1:22" ht="18" customHeight="1">
      <c r="A81" s="9"/>
      <c r="B81" s="14" t="s">
        <v>439</v>
      </c>
      <c r="P81" s="120" t="s">
        <v>440</v>
      </c>
      <c r="Q81" s="234" t="s">
        <v>127</v>
      </c>
      <c r="R81" s="684">
        <f>R41</f>
        <v>5</v>
      </c>
      <c r="S81" s="684"/>
      <c r="T81" s="192" t="s">
        <v>333</v>
      </c>
      <c r="V81" s="10"/>
    </row>
    <row r="82" spans="1:22" ht="18" customHeight="1">
      <c r="A82" s="9"/>
      <c r="B82" s="14" t="s">
        <v>454</v>
      </c>
      <c r="P82" s="237" t="s">
        <v>441</v>
      </c>
      <c r="Q82" s="234" t="s">
        <v>127</v>
      </c>
      <c r="R82" s="795">
        <f>R42</f>
        <v>1.0970224400000002</v>
      </c>
      <c r="S82" s="684"/>
      <c r="T82" s="192" t="s">
        <v>333</v>
      </c>
      <c r="V82" s="10"/>
    </row>
    <row r="83" spans="1:22" ht="18" customHeight="1">
      <c r="A83" s="9"/>
      <c r="B83" s="40" t="s">
        <v>442</v>
      </c>
      <c r="P83" s="237" t="s">
        <v>443</v>
      </c>
      <c r="Q83" s="234" t="s">
        <v>127</v>
      </c>
      <c r="R83" s="795">
        <f>J18</f>
        <v>0.02</v>
      </c>
      <c r="S83" s="684"/>
      <c r="T83" s="14" t="s">
        <v>157</v>
      </c>
      <c r="V83" s="10"/>
    </row>
    <row r="84" spans="1:22" ht="18" customHeight="1">
      <c r="A84" s="9"/>
      <c r="B84" s="40"/>
      <c r="P84" s="237"/>
      <c r="Q84" s="234"/>
      <c r="R84" s="211"/>
      <c r="S84" s="27"/>
      <c r="T84" s="14"/>
      <c r="V84" s="10"/>
    </row>
    <row r="85" spans="1:22" s="7" customFormat="1" ht="18" customHeight="1">
      <c r="A85" s="382"/>
      <c r="B85" s="20"/>
      <c r="C85" s="20"/>
      <c r="D85" s="20"/>
      <c r="E85" s="20"/>
      <c r="F85" s="20"/>
      <c r="G85" s="20"/>
      <c r="H85" s="20"/>
      <c r="I85" s="20"/>
      <c r="J85" s="20"/>
      <c r="K85" s="20"/>
      <c r="L85" s="20"/>
      <c r="M85" s="20"/>
      <c r="N85" s="20"/>
      <c r="O85" s="20"/>
      <c r="P85" s="20"/>
      <c r="Q85" s="21"/>
      <c r="R85" s="22"/>
      <c r="S85" s="23"/>
      <c r="T85" s="20"/>
      <c r="U85" s="20"/>
      <c r="V85" s="134"/>
    </row>
    <row r="86" spans="1:22" ht="18" customHeight="1">
      <c r="A86" s="431" t="s">
        <v>455</v>
      </c>
      <c r="B86" s="432"/>
      <c r="C86" s="433"/>
      <c r="D86" s="434"/>
      <c r="E86" s="433"/>
      <c r="F86" s="434"/>
      <c r="G86" s="434"/>
      <c r="H86" s="432"/>
      <c r="I86" s="432"/>
      <c r="J86" s="432"/>
      <c r="K86" s="435"/>
      <c r="L86" s="435"/>
      <c r="M86" s="111"/>
      <c r="N86" s="434"/>
      <c r="O86" s="434"/>
      <c r="P86" s="435"/>
      <c r="Q86" s="436"/>
      <c r="R86" s="111"/>
      <c r="S86" s="111"/>
      <c r="T86" s="111"/>
      <c r="U86" s="111"/>
      <c r="V86" s="140"/>
    </row>
    <row r="87" spans="1:22" ht="18" customHeight="1">
      <c r="A87" s="96" t="s">
        <v>456</v>
      </c>
      <c r="B87" s="152"/>
      <c r="C87" s="437"/>
      <c r="D87" s="376"/>
      <c r="E87" s="437"/>
      <c r="F87" s="376"/>
      <c r="G87" s="376"/>
      <c r="H87" s="152"/>
      <c r="I87" s="152"/>
      <c r="J87" s="152"/>
      <c r="K87" s="153"/>
      <c r="L87" s="153"/>
      <c r="M87" s="7"/>
      <c r="N87" s="376"/>
      <c r="O87" s="376"/>
      <c r="P87" s="153"/>
      <c r="Q87" s="438"/>
      <c r="R87" s="7"/>
      <c r="S87" s="7"/>
      <c r="T87" s="7"/>
      <c r="U87" s="7"/>
      <c r="V87" s="112"/>
    </row>
    <row r="88" spans="1:22" ht="18" customHeight="1">
      <c r="A88" s="396"/>
      <c r="B88" s="152"/>
      <c r="C88" s="437"/>
      <c r="D88" s="7"/>
      <c r="E88" s="7"/>
      <c r="F88" s="7"/>
      <c r="G88" s="376"/>
      <c r="H88" s="439" t="s">
        <v>457</v>
      </c>
      <c r="I88" s="14" t="s">
        <v>458</v>
      </c>
      <c r="J88" s="7"/>
      <c r="K88" s="28" t="s">
        <v>459</v>
      </c>
      <c r="L88" s="28" t="s">
        <v>135</v>
      </c>
      <c r="M88" s="440"/>
      <c r="N88" s="376"/>
      <c r="O88" s="376"/>
      <c r="P88" s="102" t="s">
        <v>127</v>
      </c>
      <c r="Q88" s="28">
        <v>1</v>
      </c>
      <c r="R88" s="7"/>
      <c r="S88" s="7"/>
      <c r="T88" s="7"/>
      <c r="U88" s="7"/>
      <c r="V88" s="112"/>
    </row>
    <row r="89" spans="1:22" ht="18" customHeight="1">
      <c r="A89" s="396"/>
      <c r="B89" s="152"/>
      <c r="C89" s="437"/>
      <c r="D89" s="7"/>
      <c r="E89" s="7"/>
      <c r="F89" s="7"/>
      <c r="G89" s="376"/>
      <c r="H89" s="439"/>
      <c r="I89" s="14"/>
      <c r="J89" s="7"/>
      <c r="K89" s="28"/>
      <c r="L89" s="28"/>
      <c r="M89" s="440"/>
      <c r="N89" s="376"/>
      <c r="O89" s="376"/>
      <c r="P89" s="102"/>
      <c r="Q89" s="28"/>
      <c r="R89" s="7"/>
      <c r="S89" s="7"/>
      <c r="T89" s="7"/>
      <c r="U89" s="7"/>
      <c r="V89" s="112"/>
    </row>
    <row r="90" spans="1:22" ht="18" customHeight="1">
      <c r="A90" s="96" t="s">
        <v>460</v>
      </c>
      <c r="B90" s="152"/>
      <c r="C90" s="437"/>
      <c r="D90" s="376"/>
      <c r="E90" s="437"/>
      <c r="F90" s="376"/>
      <c r="G90" s="376"/>
      <c r="H90" s="152"/>
      <c r="I90" s="7"/>
      <c r="J90" s="7"/>
      <c r="K90" s="121"/>
      <c r="L90" s="121"/>
      <c r="M90" s="7"/>
      <c r="N90" s="376"/>
      <c r="O90" s="376"/>
      <c r="P90" s="153"/>
      <c r="Q90" s="438"/>
      <c r="V90" s="10"/>
    </row>
    <row r="91" spans="1:22" ht="18" customHeight="1">
      <c r="A91" s="96" t="s">
        <v>461</v>
      </c>
      <c r="B91" s="152"/>
      <c r="C91" s="437"/>
      <c r="D91" s="376"/>
      <c r="E91" s="437"/>
      <c r="F91" s="376"/>
      <c r="G91" s="376"/>
      <c r="H91" s="152"/>
      <c r="I91" s="7"/>
      <c r="J91" s="7"/>
      <c r="K91" s="121"/>
      <c r="L91" s="121"/>
      <c r="M91" s="7"/>
      <c r="N91" s="376"/>
      <c r="O91" s="376"/>
      <c r="P91" s="153"/>
      <c r="Q91" s="438"/>
      <c r="V91" s="10"/>
    </row>
    <row r="92" spans="1:22" ht="18" customHeight="1">
      <c r="A92" s="396"/>
      <c r="B92" s="152"/>
      <c r="C92" s="437"/>
      <c r="D92" s="7"/>
      <c r="E92" s="7"/>
      <c r="F92" s="7"/>
      <c r="G92" s="376"/>
      <c r="H92" s="439" t="s">
        <v>457</v>
      </c>
      <c r="I92" s="14" t="s">
        <v>462</v>
      </c>
      <c r="J92" s="7"/>
      <c r="K92" s="28" t="s">
        <v>459</v>
      </c>
      <c r="L92" s="28" t="s">
        <v>451</v>
      </c>
      <c r="M92" s="440"/>
      <c r="N92" s="376"/>
      <c r="O92" s="376"/>
      <c r="P92" s="102" t="s">
        <v>127</v>
      </c>
      <c r="Q92" s="28">
        <v>3</v>
      </c>
      <c r="V92" s="10"/>
    </row>
    <row r="93" spans="1:22" ht="18" customHeight="1">
      <c r="A93" s="396"/>
      <c r="B93" s="152"/>
      <c r="C93" s="437"/>
      <c r="D93" s="7"/>
      <c r="E93" s="7"/>
      <c r="F93" s="7"/>
      <c r="G93" s="376"/>
      <c r="H93" s="439"/>
      <c r="I93" s="14"/>
      <c r="J93" s="7"/>
      <c r="K93" s="28"/>
      <c r="L93" s="28"/>
      <c r="M93" s="440"/>
      <c r="N93" s="376"/>
      <c r="O93" s="376"/>
      <c r="P93" s="102"/>
      <c r="Q93" s="28"/>
      <c r="V93" s="10"/>
    </row>
    <row r="94" spans="1:22" ht="18" customHeight="1">
      <c r="A94" s="193" t="s">
        <v>416</v>
      </c>
      <c r="V94" s="10"/>
    </row>
    <row r="95" spans="1:22" ht="18" customHeight="1">
      <c r="A95" s="114"/>
      <c r="B95" s="7"/>
      <c r="C95" s="7"/>
      <c r="D95" s="7"/>
      <c r="E95" s="7"/>
      <c r="F95" s="7"/>
      <c r="G95" s="14" t="s">
        <v>463</v>
      </c>
      <c r="H95" s="7"/>
      <c r="I95" s="7"/>
      <c r="J95" s="7"/>
      <c r="K95" s="28" t="s">
        <v>127</v>
      </c>
      <c r="L95" s="692">
        <f>'Parameters &amp; Fault Cal. (4)'!Q60</f>
        <v>47.727272727272727</v>
      </c>
      <c r="M95" s="689"/>
      <c r="N95" s="14" t="s">
        <v>464</v>
      </c>
      <c r="O95" s="28" t="s">
        <v>135</v>
      </c>
      <c r="P95" s="28" t="s">
        <v>127</v>
      </c>
      <c r="Q95" s="28">
        <f>IF(L95&lt;=400,Q88,Q89)</f>
        <v>1</v>
      </c>
      <c r="R95" s="7"/>
      <c r="S95" s="7"/>
      <c r="T95" s="7"/>
      <c r="V95" s="10"/>
    </row>
    <row r="96" spans="1:22" ht="18" customHeight="1">
      <c r="A96" s="799" t="s">
        <v>417</v>
      </c>
      <c r="B96" s="800"/>
      <c r="C96" s="800"/>
      <c r="D96" s="808">
        <f>R76</f>
        <v>50000</v>
      </c>
      <c r="E96" s="818"/>
      <c r="F96" s="805" t="s">
        <v>315</v>
      </c>
      <c r="G96" s="809">
        <f>R79</f>
        <v>1</v>
      </c>
      <c r="H96" s="821"/>
      <c r="I96" s="805" t="s">
        <v>315</v>
      </c>
      <c r="J96" s="822">
        <f>Q95</f>
        <v>1</v>
      </c>
      <c r="K96" s="805" t="s">
        <v>315</v>
      </c>
      <c r="L96" s="808" t="s">
        <v>419</v>
      </c>
      <c r="M96" s="815">
        <f>R81</f>
        <v>5</v>
      </c>
      <c r="N96" s="816" t="s">
        <v>347</v>
      </c>
      <c r="O96" s="817">
        <f>R82</f>
        <v>1.0970224400000002</v>
      </c>
      <c r="P96" s="805" t="s">
        <v>347</v>
      </c>
      <c r="Q96" s="807">
        <f>R83</f>
        <v>0.02</v>
      </c>
      <c r="R96" s="807"/>
      <c r="S96" s="807"/>
      <c r="T96" s="798" t="s">
        <v>350</v>
      </c>
      <c r="U96" s="230" t="s">
        <v>422</v>
      </c>
      <c r="V96" s="112"/>
    </row>
    <row r="97" spans="1:22" ht="18" customHeight="1">
      <c r="A97" s="801"/>
      <c r="B97" s="800"/>
      <c r="C97" s="800"/>
      <c r="D97" s="818"/>
      <c r="E97" s="818"/>
      <c r="F97" s="805"/>
      <c r="G97" s="805">
        <f>R75</f>
        <v>2500</v>
      </c>
      <c r="H97" s="818"/>
      <c r="I97" s="805"/>
      <c r="J97" s="805"/>
      <c r="K97" s="805"/>
      <c r="L97" s="808"/>
      <c r="M97" s="815"/>
      <c r="N97" s="816"/>
      <c r="O97" s="815"/>
      <c r="P97" s="805"/>
      <c r="Q97" s="221">
        <f>R80</f>
        <v>1</v>
      </c>
      <c r="R97" s="221" t="s">
        <v>315</v>
      </c>
      <c r="S97" s="221">
        <f>R80</f>
        <v>1</v>
      </c>
      <c r="T97" s="798"/>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127</v>
      </c>
      <c r="D99" s="819">
        <f>D96*(G96/G97)*J96*(M96+O96+(Q96/(Q97*S97)))</f>
        <v>122.34044879999999</v>
      </c>
      <c r="E99" s="820"/>
      <c r="F99" s="27" t="s">
        <v>305</v>
      </c>
      <c r="V99" s="10"/>
    </row>
    <row r="100" spans="1:22" ht="18" customHeight="1">
      <c r="A100" s="9"/>
      <c r="V100" s="10"/>
    </row>
    <row r="101" spans="1:22" ht="18" customHeight="1">
      <c r="A101" s="193" t="s">
        <v>465</v>
      </c>
      <c r="V101" s="10"/>
    </row>
    <row r="102" spans="1:22" ht="18" customHeight="1">
      <c r="A102" s="9"/>
      <c r="E102" s="30" t="s">
        <v>466</v>
      </c>
      <c r="K102" s="27" t="s">
        <v>127</v>
      </c>
      <c r="L102" s="795">
        <f>'Parameters &amp; Fault Cal. (4)'!Q118</f>
        <v>41.979419477826461</v>
      </c>
      <c r="M102" s="684"/>
      <c r="N102" s="30" t="s">
        <v>464</v>
      </c>
      <c r="O102" s="28" t="s">
        <v>451</v>
      </c>
      <c r="P102" s="27" t="s">
        <v>127</v>
      </c>
      <c r="Q102" s="27">
        <f>IF(L102&lt;=200,Q92,Q93)</f>
        <v>3</v>
      </c>
      <c r="V102" s="10"/>
    </row>
    <row r="103" spans="1:22" ht="18" customHeight="1">
      <c r="A103" s="799" t="s">
        <v>417</v>
      </c>
      <c r="B103" s="800"/>
      <c r="C103" s="800"/>
      <c r="D103" s="814">
        <f>R77</f>
        <v>43584.822413584639</v>
      </c>
      <c r="E103" s="811"/>
      <c r="F103" s="805" t="s">
        <v>315</v>
      </c>
      <c r="G103" s="809">
        <f>R79</f>
        <v>1</v>
      </c>
      <c r="H103" s="810"/>
      <c r="I103" s="805" t="s">
        <v>315</v>
      </c>
      <c r="J103" s="822">
        <f>Q102</f>
        <v>3</v>
      </c>
      <c r="K103" s="805" t="s">
        <v>315</v>
      </c>
      <c r="L103" s="808" t="s">
        <v>419</v>
      </c>
      <c r="M103" s="815">
        <f>R81</f>
        <v>5</v>
      </c>
      <c r="N103" s="816" t="s">
        <v>347</v>
      </c>
      <c r="O103" s="817">
        <f>R82</f>
        <v>1.0970224400000002</v>
      </c>
      <c r="P103" s="805" t="s">
        <v>347</v>
      </c>
      <c r="Q103" s="807">
        <f>R83</f>
        <v>0.02</v>
      </c>
      <c r="R103" s="807"/>
      <c r="S103" s="807"/>
      <c r="T103" s="798" t="s">
        <v>350</v>
      </c>
      <c r="U103" s="230" t="s">
        <v>426</v>
      </c>
      <c r="V103" s="112"/>
    </row>
    <row r="104" spans="1:22" ht="18" customHeight="1">
      <c r="A104" s="801"/>
      <c r="B104" s="800"/>
      <c r="C104" s="800"/>
      <c r="D104" s="811"/>
      <c r="E104" s="811"/>
      <c r="F104" s="805"/>
      <c r="G104" s="805">
        <f>R75</f>
        <v>2500</v>
      </c>
      <c r="H104" s="811"/>
      <c r="I104" s="805"/>
      <c r="J104" s="805"/>
      <c r="K104" s="805"/>
      <c r="L104" s="808"/>
      <c r="M104" s="815"/>
      <c r="N104" s="816"/>
      <c r="O104" s="815"/>
      <c r="P104" s="805"/>
      <c r="Q104" s="221">
        <f>R80</f>
        <v>1</v>
      </c>
      <c r="R104" s="221" t="s">
        <v>315</v>
      </c>
      <c r="S104" s="221">
        <f>R80</f>
        <v>1</v>
      </c>
      <c r="T104" s="798"/>
      <c r="U104" s="7"/>
      <c r="V104" s="112"/>
    </row>
    <row r="105" spans="1:22" ht="18" customHeight="1">
      <c r="A105" s="9"/>
      <c r="I105" s="7"/>
      <c r="J105" s="7"/>
      <c r="K105" s="7"/>
      <c r="V105" s="10"/>
    </row>
    <row r="106" spans="1:22" ht="18" customHeight="1">
      <c r="A106" s="9"/>
      <c r="C106" s="27" t="s">
        <v>127</v>
      </c>
      <c r="D106" s="819">
        <f>D103*(G103/G104)*J103*(M103+O103+(Q103/(Q104*S104)))</f>
        <v>319.93120409677465</v>
      </c>
      <c r="E106" s="820"/>
      <c r="F106" s="27" t="s">
        <v>305</v>
      </c>
      <c r="I106" s="7"/>
      <c r="J106" s="7"/>
      <c r="K106" s="7"/>
      <c r="V106" s="10"/>
    </row>
    <row r="107" spans="1:22" ht="18" customHeight="1">
      <c r="A107" s="9"/>
      <c r="I107" s="7"/>
      <c r="J107" s="7"/>
      <c r="K107" s="7"/>
      <c r="V107" s="10"/>
    </row>
    <row r="108" spans="1:22" ht="18" customHeight="1">
      <c r="A108" s="193" t="s">
        <v>467</v>
      </c>
      <c r="I108" s="7"/>
      <c r="J108" s="7"/>
      <c r="K108" s="7"/>
      <c r="V108" s="10"/>
    </row>
    <row r="109" spans="1:22" ht="18" customHeight="1">
      <c r="A109" s="9"/>
      <c r="E109" s="30" t="s">
        <v>468</v>
      </c>
      <c r="I109" s="7"/>
      <c r="J109" s="7"/>
      <c r="K109" s="28" t="s">
        <v>127</v>
      </c>
      <c r="L109" s="795">
        <f>'Parameters &amp; Fault Cal. (4)'!Q142</f>
        <v>29.635036773964003</v>
      </c>
      <c r="M109" s="684"/>
      <c r="N109" s="27" t="s">
        <v>464</v>
      </c>
      <c r="O109" s="28" t="s">
        <v>451</v>
      </c>
      <c r="P109" s="27" t="s">
        <v>127</v>
      </c>
      <c r="Q109" s="27">
        <f>IF(L109&lt;=200,Q92,Q93)</f>
        <v>3</v>
      </c>
      <c r="V109" s="10"/>
    </row>
    <row r="110" spans="1:22" ht="18" customHeight="1">
      <c r="A110" s="799" t="s">
        <v>417</v>
      </c>
      <c r="B110" s="800"/>
      <c r="C110" s="800"/>
      <c r="D110" s="814">
        <f>R78</f>
        <v>44648.255952235893</v>
      </c>
      <c r="E110" s="811"/>
      <c r="F110" s="805" t="s">
        <v>315</v>
      </c>
      <c r="G110" s="809">
        <f>R79</f>
        <v>1</v>
      </c>
      <c r="H110" s="810"/>
      <c r="I110" s="805" t="s">
        <v>315</v>
      </c>
      <c r="J110" s="822">
        <f>Q109</f>
        <v>3</v>
      </c>
      <c r="K110" s="805" t="s">
        <v>315</v>
      </c>
      <c r="L110" s="808" t="s">
        <v>419</v>
      </c>
      <c r="M110" s="815">
        <f>R81</f>
        <v>5</v>
      </c>
      <c r="N110" s="816" t="s">
        <v>347</v>
      </c>
      <c r="O110" s="817">
        <f>R82</f>
        <v>1.0970224400000002</v>
      </c>
      <c r="P110" s="805" t="s">
        <v>347</v>
      </c>
      <c r="Q110" s="807">
        <f>R83</f>
        <v>0.02</v>
      </c>
      <c r="R110" s="807"/>
      <c r="S110" s="807"/>
      <c r="T110" s="798" t="s">
        <v>350</v>
      </c>
      <c r="U110" s="230" t="s">
        <v>426</v>
      </c>
      <c r="V110" s="112"/>
    </row>
    <row r="111" spans="1:22" ht="18" customHeight="1">
      <c r="A111" s="801"/>
      <c r="B111" s="800"/>
      <c r="C111" s="800"/>
      <c r="D111" s="811"/>
      <c r="E111" s="811"/>
      <c r="F111" s="805"/>
      <c r="G111" s="805">
        <f>R75</f>
        <v>2500</v>
      </c>
      <c r="H111" s="811"/>
      <c r="I111" s="805"/>
      <c r="J111" s="805"/>
      <c r="K111" s="805"/>
      <c r="L111" s="808"/>
      <c r="M111" s="815"/>
      <c r="N111" s="816"/>
      <c r="O111" s="815"/>
      <c r="P111" s="805"/>
      <c r="Q111" s="221">
        <f>R80</f>
        <v>1</v>
      </c>
      <c r="R111" s="221" t="s">
        <v>315</v>
      </c>
      <c r="S111" s="221">
        <f>R80</f>
        <v>1</v>
      </c>
      <c r="T111" s="798"/>
      <c r="U111" s="7"/>
      <c r="V111" s="112"/>
    </row>
    <row r="112" spans="1:22" ht="18" customHeight="1">
      <c r="A112" s="9"/>
      <c r="V112" s="10"/>
    </row>
    <row r="113" spans="1:26" ht="18" customHeight="1">
      <c r="A113" s="9"/>
      <c r="C113" s="30" t="s">
        <v>127</v>
      </c>
      <c r="D113" s="823">
        <f>D110*(G110/G111)*J110*(M110+O110+(Q110/(Q111*S111)))</f>
        <v>327.73726028002864</v>
      </c>
      <c r="E113" s="824"/>
      <c r="F113" s="27" t="s">
        <v>305</v>
      </c>
      <c r="V113" s="10"/>
    </row>
    <row r="114" spans="1:26" ht="18" customHeight="1">
      <c r="A114" s="9"/>
      <c r="V114" s="10"/>
    </row>
    <row r="115" spans="1:26" ht="18" customHeight="1">
      <c r="A115" s="184" t="s">
        <v>469</v>
      </c>
      <c r="M115" s="825">
        <f>H10</f>
        <v>2500</v>
      </c>
      <c r="N115" s="826"/>
      <c r="O115" s="30" t="s">
        <v>470</v>
      </c>
      <c r="Q115" s="812">
        <f>MAX(D50,D56,D62,D99,D106,D113)</f>
        <v>327.73726028002864</v>
      </c>
      <c r="R115" s="813"/>
      <c r="S115" s="30" t="s">
        <v>305</v>
      </c>
      <c r="V115" s="10"/>
    </row>
    <row r="116" spans="1:26" ht="18" customHeight="1">
      <c r="A116" s="351" t="s">
        <v>471</v>
      </c>
      <c r="B116" s="7"/>
      <c r="C116" s="7"/>
      <c r="D116" s="441"/>
      <c r="E116" s="7"/>
      <c r="F116" s="7"/>
      <c r="G116" s="372"/>
      <c r="H116" s="7"/>
      <c r="J116" s="7"/>
      <c r="K116" s="7"/>
      <c r="L116" s="7"/>
      <c r="M116" s="7"/>
      <c r="N116" s="7"/>
      <c r="O116" s="7"/>
      <c r="P116" s="250"/>
      <c r="Q116" s="251"/>
      <c r="R116" s="372"/>
      <c r="S116" s="7"/>
      <c r="V116" s="10"/>
    </row>
    <row r="117" spans="1:26" ht="18" customHeight="1">
      <c r="A117" s="96" t="s">
        <v>472</v>
      </c>
      <c r="V117" s="10"/>
    </row>
    <row r="118" spans="1:26" ht="18" customHeight="1">
      <c r="A118" s="9"/>
      <c r="N118" s="7"/>
      <c r="O118" s="28" t="s">
        <v>473</v>
      </c>
      <c r="P118" s="102" t="s">
        <v>127</v>
      </c>
      <c r="Q118" s="694" t="s">
        <v>474</v>
      </c>
      <c r="R118" s="694"/>
      <c r="S118" s="28" t="s">
        <v>315</v>
      </c>
      <c r="T118" s="28">
        <v>0.8</v>
      </c>
      <c r="V118" s="10"/>
    </row>
    <row r="119" spans="1:26" ht="18" customHeight="1">
      <c r="A119" s="9"/>
      <c r="N119" s="252"/>
      <c r="O119" s="28"/>
      <c r="P119" s="102" t="s">
        <v>127</v>
      </c>
      <c r="Q119" s="829">
        <f>+Q115</f>
        <v>327.73726028002864</v>
      </c>
      <c r="R119" s="708"/>
      <c r="S119" s="222" t="s">
        <v>315</v>
      </c>
      <c r="T119" s="253">
        <f>+T118</f>
        <v>0.8</v>
      </c>
      <c r="V119" s="10"/>
    </row>
    <row r="120" spans="1:26" ht="18" customHeight="1">
      <c r="A120" s="9"/>
      <c r="O120" s="28"/>
      <c r="P120" s="28" t="s">
        <v>127</v>
      </c>
      <c r="Q120" s="830">
        <f>Q119*T119</f>
        <v>262.1898082240229</v>
      </c>
      <c r="R120" s="831"/>
      <c r="S120" s="47" t="s">
        <v>305</v>
      </c>
      <c r="T120" s="28"/>
      <c r="V120" s="10"/>
    </row>
    <row r="121" spans="1:26" ht="18" customHeight="1">
      <c r="A121" s="9"/>
      <c r="D121" s="14" t="s">
        <v>475</v>
      </c>
      <c r="G121" s="27" t="s">
        <v>476</v>
      </c>
      <c r="H121" s="14" t="s">
        <v>477</v>
      </c>
      <c r="V121" s="10"/>
      <c r="Z121" t="str">
        <f>IF(E122&gt;H122,"&gt;","&lt;")</f>
        <v>&gt;</v>
      </c>
    </row>
    <row r="122" spans="1:26" ht="18" customHeight="1">
      <c r="A122" s="9"/>
      <c r="E122" s="684">
        <f>H13</f>
        <v>3750</v>
      </c>
      <c r="F122" s="684"/>
      <c r="G122" s="27" t="s">
        <v>476</v>
      </c>
      <c r="H122" s="795">
        <f>Q120</f>
        <v>262.1898082240229</v>
      </c>
      <c r="I122" s="684"/>
      <c r="V122" s="10"/>
    </row>
    <row r="123" spans="1:26" ht="18" customHeight="1">
      <c r="A123" s="9"/>
      <c r="F123" s="244" t="s">
        <v>478</v>
      </c>
      <c r="H123" s="18" t="str">
        <f>IF(E122&gt;H122,"Suitably Dimensioned","Under Dimensioned")</f>
        <v>Suitably Dimensioned</v>
      </c>
      <c r="V123" s="10"/>
      <c r="Z123" t="str">
        <f>IF(G121="&gt;","Suitably Dimensioned","Under Dimensioned")</f>
        <v>Suitably Dimensioned</v>
      </c>
    </row>
    <row r="124" spans="1:26" ht="18" customHeight="1">
      <c r="A124" s="9"/>
      <c r="F124" s="244"/>
      <c r="H124" s="18"/>
      <c r="V124" s="10"/>
    </row>
    <row r="125" spans="1:26" s="7" customFormat="1" ht="18" customHeight="1">
      <c r="A125" s="382"/>
      <c r="B125" s="20"/>
      <c r="C125" s="20"/>
      <c r="D125" s="20"/>
      <c r="E125" s="20"/>
      <c r="F125" s="20"/>
      <c r="G125" s="20"/>
      <c r="H125" s="20"/>
      <c r="I125" s="20"/>
      <c r="J125" s="20"/>
      <c r="K125" s="20"/>
      <c r="L125" s="20"/>
      <c r="M125" s="20"/>
      <c r="N125" s="20"/>
      <c r="O125" s="20"/>
      <c r="P125" s="20"/>
      <c r="Q125" s="21"/>
      <c r="R125" s="22"/>
      <c r="S125" s="23"/>
      <c r="T125" s="20"/>
      <c r="U125" s="20"/>
      <c r="V125" s="134"/>
    </row>
    <row r="126" spans="1:26" ht="18" hidden="1" customHeight="1">
      <c r="A126" s="442"/>
      <c r="B126" s="384"/>
      <c r="C126" s="384"/>
      <c r="D126" s="384"/>
      <c r="E126" s="384"/>
      <c r="F126" s="384"/>
      <c r="G126" s="384"/>
      <c r="H126" s="384"/>
      <c r="I126" s="384"/>
      <c r="J126" s="384"/>
      <c r="K126" s="384"/>
      <c r="L126" s="384"/>
      <c r="M126" s="384"/>
      <c r="N126" s="384"/>
      <c r="O126" s="384"/>
      <c r="P126" s="384"/>
      <c r="Q126" s="384"/>
      <c r="R126" s="384"/>
      <c r="S126" s="384"/>
      <c r="T126" s="384"/>
      <c r="U126" s="384"/>
      <c r="V126" s="395"/>
    </row>
    <row r="127" spans="1:26" ht="18" hidden="1" customHeight="1">
      <c r="A127" s="116" t="s">
        <v>479</v>
      </c>
      <c r="V127" s="10"/>
    </row>
    <row r="128" spans="1:26" ht="18" hidden="1" customHeight="1">
      <c r="A128" s="678" t="s">
        <v>480</v>
      </c>
      <c r="B128" s="1207"/>
      <c r="C128" s="1207"/>
      <c r="D128" s="1207"/>
      <c r="E128" s="1207"/>
      <c r="F128" s="1207"/>
      <c r="G128" s="1207"/>
      <c r="H128" s="1207"/>
      <c r="I128" s="1207"/>
      <c r="J128" s="1207"/>
      <c r="K128" s="1207"/>
      <c r="L128" s="1207"/>
      <c r="M128" s="1207"/>
      <c r="N128" s="1207"/>
      <c r="O128" s="1207"/>
      <c r="P128" s="1207"/>
      <c r="Q128" s="1207"/>
      <c r="R128" s="1207"/>
      <c r="S128" s="1207"/>
      <c r="T128" s="1207"/>
      <c r="U128" s="1207"/>
      <c r="V128" s="1208"/>
    </row>
    <row r="129" spans="1:22" ht="18" hidden="1" customHeight="1">
      <c r="A129" s="1209"/>
      <c r="B129" s="1207"/>
      <c r="C129" s="1207"/>
      <c r="D129" s="1207"/>
      <c r="E129" s="1207"/>
      <c r="F129" s="1207"/>
      <c r="G129" s="1207"/>
      <c r="H129" s="1207"/>
      <c r="I129" s="1207"/>
      <c r="J129" s="1207"/>
      <c r="K129" s="1207"/>
      <c r="L129" s="1207"/>
      <c r="M129" s="1207"/>
      <c r="N129" s="1207"/>
      <c r="O129" s="1207"/>
      <c r="P129" s="1207"/>
      <c r="Q129" s="1207"/>
      <c r="R129" s="1207"/>
      <c r="S129" s="1207"/>
      <c r="T129" s="1207"/>
      <c r="U129" s="1207"/>
      <c r="V129" s="1208"/>
    </row>
    <row r="130" spans="1:22" ht="18" hidden="1" customHeight="1">
      <c r="A130" s="443"/>
      <c r="B130" s="5"/>
      <c r="C130" s="5"/>
      <c r="D130" s="5"/>
      <c r="E130" s="5"/>
      <c r="F130" s="30"/>
      <c r="G130" s="30"/>
      <c r="H130" s="30"/>
      <c r="I130" s="30"/>
      <c r="J130" s="30"/>
      <c r="K130" s="30"/>
      <c r="L130" s="30"/>
      <c r="M130" s="212"/>
      <c r="N130" s="212"/>
      <c r="O130" s="103"/>
      <c r="P130" s="30"/>
      <c r="Q130" s="223"/>
      <c r="R130" s="14"/>
      <c r="S130" s="214"/>
      <c r="T130" s="30"/>
      <c r="U130" s="30"/>
      <c r="V130" s="185"/>
    </row>
    <row r="131" spans="1:22" ht="18" hidden="1" customHeight="1">
      <c r="A131" s="799" t="s">
        <v>417</v>
      </c>
      <c r="B131" s="802"/>
      <c r="C131" s="802"/>
      <c r="D131" s="689">
        <v>5</v>
      </c>
      <c r="E131" s="689" t="s">
        <v>315</v>
      </c>
      <c r="F131" s="689" t="s">
        <v>481</v>
      </c>
      <c r="G131" s="684"/>
      <c r="H131" s="689" t="s">
        <v>315</v>
      </c>
      <c r="I131" s="708" t="s">
        <v>482</v>
      </c>
      <c r="J131" s="828"/>
      <c r="K131" s="689" t="s">
        <v>315</v>
      </c>
      <c r="L131" s="716" t="s">
        <v>419</v>
      </c>
      <c r="M131" s="716" t="s">
        <v>420</v>
      </c>
      <c r="N131" s="729" t="s">
        <v>347</v>
      </c>
      <c r="O131" s="716" t="s">
        <v>408</v>
      </c>
      <c r="P131" s="689" t="s">
        <v>347</v>
      </c>
      <c r="Q131" s="759" t="s">
        <v>421</v>
      </c>
      <c r="R131" s="797"/>
      <c r="S131" s="797"/>
      <c r="T131" s="798" t="s">
        <v>350</v>
      </c>
      <c r="U131" s="230" t="s">
        <v>422</v>
      </c>
      <c r="V131" s="97"/>
    </row>
    <row r="132" spans="1:22" ht="18" hidden="1" customHeight="1">
      <c r="A132" s="827"/>
      <c r="B132" s="802"/>
      <c r="C132" s="802"/>
      <c r="D132" s="689"/>
      <c r="E132" s="689"/>
      <c r="F132" s="684"/>
      <c r="G132" s="684"/>
      <c r="H132" s="689"/>
      <c r="I132" s="689" t="s">
        <v>483</v>
      </c>
      <c r="J132" s="723"/>
      <c r="K132" s="689"/>
      <c r="L132" s="716"/>
      <c r="M132" s="716"/>
      <c r="N132" s="729"/>
      <c r="O132" s="716"/>
      <c r="P132" s="689"/>
      <c r="Q132" s="28" t="s">
        <v>146</v>
      </c>
      <c r="R132" s="28" t="s">
        <v>315</v>
      </c>
      <c r="S132" s="28" t="s">
        <v>146</v>
      </c>
      <c r="T132" s="798"/>
      <c r="U132" s="14"/>
      <c r="V132" s="97"/>
    </row>
    <row r="133" spans="1:22" ht="18" hidden="1" customHeight="1">
      <c r="A133" s="147"/>
      <c r="B133" s="14" t="s">
        <v>427</v>
      </c>
      <c r="C133" s="14"/>
      <c r="D133" s="103"/>
      <c r="E133" s="103"/>
      <c r="F133" s="14"/>
      <c r="G133" s="14"/>
      <c r="H133" s="5"/>
      <c r="I133" s="5"/>
      <c r="J133" s="5"/>
      <c r="K133" s="30"/>
      <c r="L133" s="30"/>
      <c r="M133" s="30"/>
      <c r="N133" s="30"/>
      <c r="O133" s="30"/>
      <c r="P133" s="120" t="s">
        <v>428</v>
      </c>
      <c r="Q133" s="30"/>
      <c r="R133" s="30"/>
      <c r="S133" s="30"/>
      <c r="T133" s="30"/>
      <c r="U133" s="444"/>
      <c r="V133" s="445"/>
    </row>
    <row r="134" spans="1:22" ht="18" hidden="1" customHeight="1">
      <c r="A134" s="446"/>
      <c r="B134" s="14" t="s">
        <v>429</v>
      </c>
      <c r="C134" s="14"/>
      <c r="D134" s="103"/>
      <c r="E134" s="103"/>
      <c r="F134" s="14"/>
      <c r="G134" s="14"/>
      <c r="H134" s="5"/>
      <c r="I134" s="5"/>
      <c r="J134" s="5"/>
      <c r="K134" s="30"/>
      <c r="L134" s="30"/>
      <c r="M134" s="30"/>
      <c r="N134" s="30"/>
      <c r="O134" s="30"/>
      <c r="P134" s="120" t="s">
        <v>484</v>
      </c>
      <c r="Q134" s="234" t="s">
        <v>127</v>
      </c>
      <c r="R134" s="684">
        <f>R35</f>
        <v>2500</v>
      </c>
      <c r="S134" s="684"/>
      <c r="T134" s="14" t="s">
        <v>8</v>
      </c>
      <c r="U134" s="444"/>
      <c r="V134" s="445"/>
    </row>
    <row r="135" spans="1:22" ht="18" hidden="1" customHeight="1">
      <c r="A135" s="446"/>
      <c r="B135" s="14" t="s">
        <v>485</v>
      </c>
      <c r="C135" s="14"/>
      <c r="D135" s="14"/>
      <c r="E135" s="14"/>
      <c r="F135" s="14"/>
      <c r="G135" s="14"/>
      <c r="H135" s="14"/>
      <c r="I135" s="14"/>
      <c r="J135" s="14"/>
      <c r="K135" s="30"/>
      <c r="L135" s="30"/>
      <c r="M135" s="30"/>
      <c r="N135" s="30"/>
      <c r="O135" s="30"/>
      <c r="P135" s="120" t="s">
        <v>481</v>
      </c>
      <c r="Q135" s="234" t="s">
        <v>127</v>
      </c>
      <c r="R135" s="713">
        <f>R76</f>
        <v>50000</v>
      </c>
      <c r="S135" s="713"/>
      <c r="T135" s="14" t="s">
        <v>8</v>
      </c>
      <c r="U135" s="444"/>
      <c r="V135" s="445"/>
    </row>
    <row r="136" spans="1:22" ht="18" hidden="1" customHeight="1">
      <c r="A136" s="446"/>
      <c r="B136" s="14" t="s">
        <v>435</v>
      </c>
      <c r="C136" s="14"/>
      <c r="D136" s="103"/>
      <c r="E136" s="103"/>
      <c r="F136" s="14"/>
      <c r="G136" s="14"/>
      <c r="H136" s="5"/>
      <c r="I136" s="5"/>
      <c r="J136" s="5"/>
      <c r="K136" s="30"/>
      <c r="L136" s="30"/>
      <c r="M136" s="30"/>
      <c r="N136" s="30"/>
      <c r="O136" s="30"/>
      <c r="P136" s="120" t="s">
        <v>486</v>
      </c>
      <c r="Q136" s="234" t="s">
        <v>127</v>
      </c>
      <c r="R136" s="684">
        <f>R79</f>
        <v>1</v>
      </c>
      <c r="S136" s="684"/>
      <c r="T136" s="14" t="s">
        <v>8</v>
      </c>
      <c r="U136" s="444"/>
      <c r="V136" s="445"/>
    </row>
    <row r="137" spans="1:22" ht="18" hidden="1" customHeight="1">
      <c r="A137" s="147"/>
      <c r="B137" s="14" t="s">
        <v>437</v>
      </c>
      <c r="C137" s="14"/>
      <c r="D137" s="103"/>
      <c r="E137" s="103"/>
      <c r="F137" s="14"/>
      <c r="G137" s="14"/>
      <c r="H137" s="5"/>
      <c r="I137" s="5"/>
      <c r="J137" s="5"/>
      <c r="K137" s="30"/>
      <c r="L137" s="30"/>
      <c r="M137" s="30"/>
      <c r="N137" s="30"/>
      <c r="O137" s="30"/>
      <c r="P137" s="120" t="s">
        <v>438</v>
      </c>
      <c r="Q137" s="234" t="s">
        <v>127</v>
      </c>
      <c r="R137" s="684">
        <f>R80</f>
        <v>1</v>
      </c>
      <c r="S137" s="684"/>
      <c r="T137" s="14" t="s">
        <v>8</v>
      </c>
      <c r="U137" s="18"/>
      <c r="V137" s="97"/>
    </row>
    <row r="138" spans="1:22" ht="18" hidden="1" customHeight="1">
      <c r="A138" s="147"/>
      <c r="B138" s="14" t="s">
        <v>439</v>
      </c>
      <c r="C138" s="14"/>
      <c r="D138" s="103"/>
      <c r="E138" s="103"/>
      <c r="F138" s="14"/>
      <c r="G138" s="14"/>
      <c r="H138" s="5"/>
      <c r="I138" s="5"/>
      <c r="J138" s="5"/>
      <c r="K138" s="30"/>
      <c r="L138" s="30"/>
      <c r="M138" s="30"/>
      <c r="N138" s="30"/>
      <c r="O138" s="30"/>
      <c r="P138" s="120" t="s">
        <v>440</v>
      </c>
      <c r="Q138" s="234" t="s">
        <v>127</v>
      </c>
      <c r="R138" s="684">
        <f>R81</f>
        <v>5</v>
      </c>
      <c r="S138" s="684"/>
      <c r="T138" s="192" t="s">
        <v>333</v>
      </c>
      <c r="U138" s="18"/>
      <c r="V138" s="97"/>
    </row>
    <row r="139" spans="1:22" ht="18" hidden="1" customHeight="1">
      <c r="A139" s="184"/>
      <c r="B139" s="14" t="s">
        <v>487</v>
      </c>
      <c r="C139" s="14"/>
      <c r="D139" s="14"/>
      <c r="E139" s="14"/>
      <c r="F139" s="14"/>
      <c r="G139" s="14"/>
      <c r="H139" s="14"/>
      <c r="I139" s="14"/>
      <c r="J139" s="14"/>
      <c r="K139" s="30"/>
      <c r="L139" s="30"/>
      <c r="M139" s="30"/>
      <c r="N139" s="30"/>
      <c r="O139" s="30"/>
      <c r="P139" s="237" t="s">
        <v>441</v>
      </c>
      <c r="Q139" s="234" t="s">
        <v>127</v>
      </c>
      <c r="R139" s="795">
        <f>R82</f>
        <v>1.0970224400000002</v>
      </c>
      <c r="S139" s="795"/>
      <c r="T139" s="192" t="s">
        <v>333</v>
      </c>
      <c r="U139" s="30"/>
      <c r="V139" s="185"/>
    </row>
    <row r="140" spans="1:22" ht="18" hidden="1" customHeight="1">
      <c r="A140" s="96"/>
      <c r="B140" s="40" t="s">
        <v>488</v>
      </c>
      <c r="C140" s="14"/>
      <c r="D140" s="14"/>
      <c r="E140" s="14"/>
      <c r="F140" s="14"/>
      <c r="G140" s="14"/>
      <c r="H140" s="5"/>
      <c r="I140" s="5"/>
      <c r="J140" s="5"/>
      <c r="K140" s="30"/>
      <c r="L140" s="30"/>
      <c r="M140" s="30"/>
      <c r="N140" s="30"/>
      <c r="O140" s="30"/>
      <c r="P140" s="237" t="s">
        <v>443</v>
      </c>
      <c r="Q140" s="234" t="s">
        <v>127</v>
      </c>
      <c r="R140" s="795">
        <f>J19</f>
        <v>0</v>
      </c>
      <c r="S140" s="684"/>
      <c r="T140" s="14" t="s">
        <v>157</v>
      </c>
      <c r="U140" s="30"/>
      <c r="V140" s="185"/>
    </row>
    <row r="141" spans="1:22" ht="18" hidden="1" customHeight="1">
      <c r="A141" s="96"/>
      <c r="B141" s="30" t="s">
        <v>489</v>
      </c>
      <c r="C141" s="30"/>
      <c r="D141" s="30"/>
      <c r="E141" s="30"/>
      <c r="F141" s="30" t="s">
        <v>490</v>
      </c>
      <c r="G141" s="27" t="s">
        <v>420</v>
      </c>
      <c r="H141" s="27" t="s">
        <v>315</v>
      </c>
      <c r="I141" s="27" t="s">
        <v>482</v>
      </c>
      <c r="J141" s="27" t="s">
        <v>315</v>
      </c>
      <c r="K141" s="27" t="s">
        <v>482</v>
      </c>
      <c r="L141" s="30"/>
      <c r="M141" s="30"/>
      <c r="N141" s="30"/>
      <c r="O141" s="30"/>
      <c r="P141" s="244" t="s">
        <v>491</v>
      </c>
      <c r="Q141" s="234" t="s">
        <v>127</v>
      </c>
      <c r="R141" s="795">
        <f>R138*R136*R136</f>
        <v>5</v>
      </c>
      <c r="S141" s="684"/>
      <c r="T141" s="14" t="s">
        <v>157</v>
      </c>
      <c r="U141" s="30"/>
      <c r="V141" s="185"/>
    </row>
    <row r="142" spans="1:22" ht="18" hidden="1" customHeight="1">
      <c r="A142" s="96"/>
      <c r="B142" s="30" t="s">
        <v>492</v>
      </c>
      <c r="C142" s="30"/>
      <c r="D142" s="30"/>
      <c r="E142" s="30"/>
      <c r="F142" s="30"/>
      <c r="G142" s="30"/>
      <c r="H142" s="30"/>
      <c r="I142" s="30"/>
      <c r="J142" s="30"/>
      <c r="K142" s="30"/>
      <c r="L142" s="30"/>
      <c r="M142" s="30"/>
      <c r="N142" s="30"/>
      <c r="O142" s="30"/>
      <c r="P142" s="120" t="s">
        <v>493</v>
      </c>
      <c r="Q142" s="234" t="s">
        <v>127</v>
      </c>
      <c r="R142" s="795">
        <f>H122</f>
        <v>262.1898082240229</v>
      </c>
      <c r="S142" s="684"/>
      <c r="T142" s="14" t="s">
        <v>157</v>
      </c>
      <c r="U142" s="30"/>
      <c r="V142" s="185"/>
    </row>
    <row r="143" spans="1:22" ht="18" hidden="1" customHeight="1">
      <c r="A143" s="96"/>
      <c r="B143" s="30" t="s">
        <v>494</v>
      </c>
      <c r="C143" s="30"/>
      <c r="D143" s="30"/>
      <c r="E143" s="30"/>
      <c r="F143" s="30"/>
      <c r="G143" s="30"/>
      <c r="H143" s="30"/>
      <c r="I143" s="30"/>
      <c r="J143" s="30"/>
      <c r="K143" s="30"/>
      <c r="L143" s="30"/>
      <c r="M143" s="30"/>
      <c r="N143" s="30"/>
      <c r="O143" s="30"/>
      <c r="P143" s="244" t="s">
        <v>495</v>
      </c>
      <c r="Q143" s="234" t="s">
        <v>127</v>
      </c>
      <c r="R143" s="684">
        <f>I120</f>
        <v>0</v>
      </c>
      <c r="S143" s="684"/>
      <c r="T143" s="30"/>
      <c r="U143" s="30"/>
      <c r="V143" s="185"/>
    </row>
    <row r="144" spans="1:22" ht="18" hidden="1" customHeight="1">
      <c r="A144" s="799" t="s">
        <v>417</v>
      </c>
      <c r="B144" s="802"/>
      <c r="C144" s="802"/>
      <c r="D144" s="689">
        <v>5</v>
      </c>
      <c r="E144" s="689" t="s">
        <v>315</v>
      </c>
      <c r="F144" s="834">
        <f>R135</f>
        <v>50000</v>
      </c>
      <c r="G144" s="713"/>
      <c r="H144" s="689" t="s">
        <v>315</v>
      </c>
      <c r="I144" s="708">
        <f>R136</f>
        <v>1</v>
      </c>
      <c r="J144" s="828"/>
      <c r="K144" s="689" t="s">
        <v>315</v>
      </c>
      <c r="L144" s="716" t="s">
        <v>419</v>
      </c>
      <c r="M144" s="716">
        <f>R138</f>
        <v>5</v>
      </c>
      <c r="N144" s="729" t="s">
        <v>347</v>
      </c>
      <c r="O144" s="1214">
        <f>R139</f>
        <v>1.0970224400000002</v>
      </c>
      <c r="P144" s="689" t="s">
        <v>347</v>
      </c>
      <c r="Q144" s="833">
        <f>R140</f>
        <v>0</v>
      </c>
      <c r="R144" s="797"/>
      <c r="S144" s="797"/>
      <c r="T144" s="798" t="s">
        <v>350</v>
      </c>
      <c r="U144" s="230" t="s">
        <v>422</v>
      </c>
      <c r="V144" s="97"/>
    </row>
    <row r="145" spans="1:22" ht="18" hidden="1" customHeight="1">
      <c r="A145" s="827"/>
      <c r="B145" s="802"/>
      <c r="C145" s="802"/>
      <c r="D145" s="689"/>
      <c r="E145" s="689"/>
      <c r="F145" s="713"/>
      <c r="G145" s="713"/>
      <c r="H145" s="689"/>
      <c r="I145" s="689">
        <f>R134</f>
        <v>2500</v>
      </c>
      <c r="J145" s="723"/>
      <c r="K145" s="689"/>
      <c r="L145" s="716"/>
      <c r="M145" s="716"/>
      <c r="N145" s="729"/>
      <c r="O145" s="716"/>
      <c r="P145" s="689"/>
      <c r="Q145" s="28">
        <f>R137</f>
        <v>1</v>
      </c>
      <c r="R145" s="28" t="s">
        <v>315</v>
      </c>
      <c r="S145" s="28">
        <f>R137</f>
        <v>1</v>
      </c>
      <c r="T145" s="798"/>
      <c r="U145" s="14"/>
      <c r="V145" s="97"/>
    </row>
    <row r="146" spans="1:22" ht="18" hidden="1" customHeight="1">
      <c r="A146" s="184"/>
      <c r="B146" s="30"/>
      <c r="C146" s="30"/>
      <c r="D146" s="30"/>
      <c r="E146" s="30"/>
      <c r="F146" s="30"/>
      <c r="G146" s="30"/>
      <c r="H146" s="30"/>
      <c r="I146" s="30"/>
      <c r="J146" s="30"/>
      <c r="K146" s="30"/>
      <c r="L146" s="30"/>
      <c r="M146" s="30"/>
      <c r="N146" s="30"/>
      <c r="O146" s="30"/>
      <c r="P146" s="30"/>
      <c r="Q146" s="30"/>
      <c r="R146" s="30"/>
      <c r="S146" s="30"/>
      <c r="T146" s="30"/>
      <c r="U146" s="30"/>
      <c r="V146" s="185"/>
    </row>
    <row r="147" spans="1:22" ht="18" hidden="1" customHeight="1">
      <c r="A147" s="184"/>
      <c r="B147" s="30"/>
      <c r="C147" s="30" t="s">
        <v>127</v>
      </c>
      <c r="D147" s="812">
        <f>D144*F144*(I144/I145)*(M144+O144+(Q144/(Q145*S145)))</f>
        <v>609.70224399999995</v>
      </c>
      <c r="E147" s="813"/>
      <c r="F147" s="30" t="s">
        <v>305</v>
      </c>
      <c r="G147" s="30"/>
      <c r="H147" s="30"/>
      <c r="I147" s="30"/>
      <c r="J147" s="30"/>
      <c r="K147" s="30"/>
      <c r="L147" s="30"/>
      <c r="M147" s="30"/>
      <c r="N147" s="30"/>
      <c r="O147" s="30"/>
      <c r="P147" s="30"/>
      <c r="Q147" s="30"/>
      <c r="R147" s="30"/>
      <c r="S147" s="30"/>
      <c r="T147" s="30"/>
      <c r="U147" s="30"/>
      <c r="V147" s="185"/>
    </row>
    <row r="148" spans="1:22" ht="18" hidden="1" customHeight="1">
      <c r="A148" s="9"/>
      <c r="V148" s="10"/>
    </row>
    <row r="149" spans="1:22" ht="18" hidden="1" customHeight="1">
      <c r="A149" s="351" t="s">
        <v>471</v>
      </c>
      <c r="B149" s="7"/>
      <c r="C149" s="7"/>
      <c r="D149" s="441"/>
      <c r="E149" s="7"/>
      <c r="F149" s="7"/>
      <c r="G149" s="372"/>
      <c r="H149" s="7"/>
      <c r="J149" s="7"/>
      <c r="K149" s="7"/>
      <c r="L149" s="7"/>
      <c r="M149" s="7"/>
      <c r="N149" s="7"/>
      <c r="O149" s="7"/>
      <c r="P149" s="250"/>
      <c r="Q149" s="251"/>
      <c r="R149" s="372"/>
      <c r="S149" s="7"/>
      <c r="V149" s="10"/>
    </row>
    <row r="150" spans="1:22" ht="18" hidden="1" customHeight="1">
      <c r="A150" s="96" t="s">
        <v>496</v>
      </c>
      <c r="V150" s="10"/>
    </row>
    <row r="151" spans="1:22" ht="18" hidden="1" customHeight="1">
      <c r="A151" s="9"/>
      <c r="N151" s="7"/>
      <c r="O151" s="28" t="s">
        <v>473</v>
      </c>
      <c r="P151" s="102" t="s">
        <v>127</v>
      </c>
      <c r="Q151" s="694" t="s">
        <v>474</v>
      </c>
      <c r="R151" s="694"/>
      <c r="S151" s="28" t="s">
        <v>315</v>
      </c>
      <c r="T151" s="28">
        <v>0.8</v>
      </c>
      <c r="V151" s="10"/>
    </row>
    <row r="152" spans="1:22" ht="18" hidden="1" customHeight="1">
      <c r="A152" s="9"/>
      <c r="N152" s="252"/>
      <c r="O152" s="28"/>
      <c r="P152" s="102" t="s">
        <v>127</v>
      </c>
      <c r="Q152" s="829">
        <f>D147</f>
        <v>609.70224399999995</v>
      </c>
      <c r="R152" s="708"/>
      <c r="S152" s="222" t="s">
        <v>315</v>
      </c>
      <c r="T152" s="253">
        <f>+T151</f>
        <v>0.8</v>
      </c>
      <c r="V152" s="10"/>
    </row>
    <row r="153" spans="1:22" ht="18" hidden="1" customHeight="1">
      <c r="A153" s="9"/>
      <c r="O153" s="28"/>
      <c r="P153" s="28" t="s">
        <v>127</v>
      </c>
      <c r="Q153" s="830">
        <f>Q152*T152</f>
        <v>487.76179519999999</v>
      </c>
      <c r="R153" s="831"/>
      <c r="S153" s="47" t="s">
        <v>305</v>
      </c>
      <c r="T153" s="28"/>
      <c r="V153" s="10"/>
    </row>
    <row r="154" spans="1:22" ht="18" hidden="1" customHeight="1">
      <c r="A154" s="9"/>
      <c r="D154" s="14" t="s">
        <v>475</v>
      </c>
      <c r="G154" s="27" t="str">
        <f>IF(E155&gt;H155,"&gt;","&lt;")</f>
        <v>&gt;</v>
      </c>
      <c r="H154" s="14" t="s">
        <v>477</v>
      </c>
      <c r="V154" s="10"/>
    </row>
    <row r="155" spans="1:22" ht="18" hidden="1" customHeight="1">
      <c r="A155" s="9"/>
      <c r="E155" s="684">
        <f>H13</f>
        <v>3750</v>
      </c>
      <c r="F155" s="684"/>
      <c r="G155" s="27" t="str">
        <f>G154</f>
        <v>&gt;</v>
      </c>
      <c r="H155" s="795">
        <f>Q153</f>
        <v>487.76179519999999</v>
      </c>
      <c r="I155" s="684"/>
      <c r="V155" s="10"/>
    </row>
    <row r="156" spans="1:22" ht="18" hidden="1" customHeight="1">
      <c r="A156" s="9"/>
      <c r="F156" s="244" t="s">
        <v>478</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82"/>
      <c r="B171" s="20"/>
      <c r="C171" s="20"/>
      <c r="D171" s="20"/>
      <c r="E171" s="20"/>
      <c r="F171" s="20"/>
      <c r="G171" s="20"/>
      <c r="H171" s="20"/>
      <c r="I171" s="20"/>
      <c r="J171" s="20"/>
      <c r="K171" s="20"/>
      <c r="L171" s="20"/>
      <c r="M171" s="20"/>
      <c r="N171" s="20"/>
      <c r="O171" s="20"/>
      <c r="P171" s="20"/>
      <c r="Q171" s="21"/>
      <c r="R171" s="22"/>
      <c r="S171" s="23"/>
      <c r="T171" s="20"/>
      <c r="U171" s="20"/>
      <c r="V171" s="134"/>
    </row>
    <row r="172" spans="1:22" ht="18" hidden="1" customHeight="1">
      <c r="A172" s="442"/>
      <c r="B172" s="384"/>
      <c r="C172" s="384"/>
      <c r="D172" s="384"/>
      <c r="E172" s="384"/>
      <c r="F172" s="384"/>
      <c r="G172" s="384"/>
      <c r="H172" s="384"/>
      <c r="I172" s="384"/>
      <c r="J172" s="384"/>
      <c r="K172" s="384"/>
      <c r="L172" s="384"/>
      <c r="M172" s="384"/>
      <c r="N172" s="384"/>
      <c r="O172" s="384"/>
      <c r="P172" s="384"/>
      <c r="Q172" s="384"/>
      <c r="R172" s="384"/>
      <c r="S172" s="384"/>
      <c r="T172" s="384"/>
      <c r="U172" s="384"/>
      <c r="V172" s="395"/>
    </row>
    <row r="173" spans="1:22" ht="18" hidden="1" customHeight="1">
      <c r="A173" s="9"/>
      <c r="B173" s="835" t="str">
        <f>B7</f>
        <v>T1</v>
      </c>
      <c r="C173" s="836"/>
      <c r="D173" s="1306" t="str">
        <f>D7</f>
        <v>Core1</v>
      </c>
      <c r="E173" s="1113"/>
      <c r="F173" s="689">
        <f>F7</f>
        <v>0</v>
      </c>
      <c r="G173" s="689"/>
      <c r="H173" s="689" t="str">
        <f>H7</f>
        <v>(Diff. + Dist.)</v>
      </c>
      <c r="I173" s="689"/>
      <c r="J173" s="689"/>
      <c r="K173" s="689"/>
      <c r="L173" s="689"/>
      <c r="M173" s="689"/>
      <c r="P173" s="186"/>
      <c r="S173" s="187" t="s">
        <v>387</v>
      </c>
      <c r="T173" s="835" t="str">
        <f>T7</f>
        <v>RED670</v>
      </c>
      <c r="U173" s="836"/>
      <c r="V173" s="10"/>
    </row>
    <row r="174" spans="1:22" ht="18" hidden="1" customHeight="1">
      <c r="A174" s="9"/>
      <c r="B174" s="1118">
        <f>B8</f>
        <v>0</v>
      </c>
      <c r="C174" s="1118"/>
      <c r="D174" s="1114"/>
      <c r="E174" s="1115"/>
      <c r="T174" s="839">
        <f>T8</f>
        <v>0</v>
      </c>
      <c r="U174" s="840"/>
      <c r="V174" s="10"/>
    </row>
    <row r="175" spans="1:22" ht="18" hidden="1" customHeight="1">
      <c r="A175" s="9"/>
      <c r="H175" s="708" t="s">
        <v>390</v>
      </c>
      <c r="I175" s="708"/>
      <c r="J175" s="789" t="s">
        <v>391</v>
      </c>
      <c r="K175" s="789"/>
      <c r="L175" s="790" t="s">
        <v>392</v>
      </c>
      <c r="M175" s="790"/>
      <c r="T175" s="839">
        <f>T9</f>
        <v>0</v>
      </c>
      <c r="U175" s="840"/>
      <c r="V175" s="10"/>
    </row>
    <row r="176" spans="1:22" ht="18" hidden="1" customHeight="1">
      <c r="A176" s="9"/>
      <c r="B176" s="47" t="s">
        <v>393</v>
      </c>
      <c r="H176" s="835">
        <f>H10</f>
        <v>2500</v>
      </c>
      <c r="I176" s="836"/>
      <c r="J176" s="843" t="str">
        <f>J10</f>
        <v>-</v>
      </c>
      <c r="K176" s="844"/>
      <c r="L176" s="835" t="str">
        <f>L10</f>
        <v>-</v>
      </c>
      <c r="M176" s="836"/>
      <c r="N176" s="191" t="s">
        <v>342</v>
      </c>
      <c r="O176" s="491">
        <f>O10</f>
        <v>1</v>
      </c>
      <c r="P176" s="27" t="s">
        <v>8</v>
      </c>
      <c r="V176" s="10"/>
    </row>
    <row r="177" spans="1:29" ht="18" hidden="1" customHeight="1">
      <c r="A177" s="9"/>
      <c r="B177" s="47" t="s">
        <v>394</v>
      </c>
      <c r="J177" s="835" t="str">
        <f>H11</f>
        <v>PX-A</v>
      </c>
      <c r="K177" s="836"/>
      <c r="V177" s="10"/>
    </row>
    <row r="178" spans="1:29" ht="18" hidden="1" customHeight="1">
      <c r="A178" s="9"/>
      <c r="B178" s="47" t="s">
        <v>396</v>
      </c>
      <c r="I178" s="120" t="s">
        <v>497</v>
      </c>
      <c r="J178" s="781">
        <v>3</v>
      </c>
      <c r="K178" s="782"/>
      <c r="L178" s="192" t="s">
        <v>333</v>
      </c>
      <c r="N178" s="7"/>
      <c r="O178" s="7"/>
      <c r="V178" s="10"/>
    </row>
    <row r="179" spans="1:29" ht="18" hidden="1" customHeight="1">
      <c r="A179" s="9"/>
      <c r="B179" s="47" t="s">
        <v>398</v>
      </c>
      <c r="I179" s="120" t="s">
        <v>498</v>
      </c>
      <c r="J179" s="781">
        <v>200</v>
      </c>
      <c r="K179" s="782"/>
      <c r="L179" s="14" t="s">
        <v>305</v>
      </c>
      <c r="O179" s="7"/>
      <c r="V179" s="10"/>
      <c r="W179" s="30" t="s">
        <v>400</v>
      </c>
      <c r="AB179" s="785" t="e">
        <f>Q286</f>
        <v>#VALUE!</v>
      </c>
      <c r="AC179" s="786"/>
    </row>
    <row r="180" spans="1:29" ht="18" hidden="1" customHeight="1">
      <c r="A180" s="9"/>
      <c r="B180" s="14" t="s">
        <v>401</v>
      </c>
      <c r="I180" s="120" t="s">
        <v>402</v>
      </c>
      <c r="J180" s="781">
        <v>100</v>
      </c>
      <c r="K180" s="782"/>
      <c r="L180" s="14" t="s">
        <v>403</v>
      </c>
      <c r="O180" s="7"/>
      <c r="V180" s="10"/>
    </row>
    <row r="181" spans="1:29" ht="18" hidden="1" customHeight="1">
      <c r="A181" s="9"/>
      <c r="V181" s="10"/>
    </row>
    <row r="182" spans="1:29" ht="18" hidden="1" customHeight="1">
      <c r="A182" s="116" t="s">
        <v>404</v>
      </c>
      <c r="V182" s="10"/>
    </row>
    <row r="183" spans="1:29" ht="18" hidden="1" customHeight="1">
      <c r="A183" s="9"/>
      <c r="V183" s="10"/>
    </row>
    <row r="184" spans="1:29" ht="18" hidden="1" customHeight="1">
      <c r="A184" s="9"/>
      <c r="B184" s="194" t="s">
        <v>405</v>
      </c>
      <c r="C184" s="195"/>
      <c r="D184" s="195" t="str">
        <f>T173</f>
        <v>RED670</v>
      </c>
      <c r="E184" s="423"/>
      <c r="F184" s="423"/>
      <c r="G184" s="423"/>
      <c r="H184" s="182" t="s">
        <v>406</v>
      </c>
      <c r="I184" s="183" t="s">
        <v>127</v>
      </c>
      <c r="J184" s="841">
        <f>J18</f>
        <v>0.02</v>
      </c>
      <c r="K184" s="842"/>
      <c r="L184" s="202" t="s">
        <v>157</v>
      </c>
      <c r="N184" s="197" t="s">
        <v>407</v>
      </c>
      <c r="V184" s="10"/>
    </row>
    <row r="185" spans="1:29" ht="18" hidden="1" customHeight="1">
      <c r="A185" s="9"/>
      <c r="B185" s="9" t="s">
        <v>405</v>
      </c>
      <c r="D185" s="424">
        <f>T174</f>
        <v>0</v>
      </c>
      <c r="I185" s="28" t="s">
        <v>127</v>
      </c>
      <c r="J185" s="841">
        <f>J19</f>
        <v>0</v>
      </c>
      <c r="K185" s="845"/>
      <c r="L185" s="297" t="s">
        <v>157</v>
      </c>
      <c r="V185" s="10"/>
    </row>
    <row r="186" spans="1:29" ht="18" hidden="1" customHeight="1">
      <c r="A186" s="9"/>
      <c r="B186" s="9" t="s">
        <v>405</v>
      </c>
      <c r="D186" s="424">
        <f>T175</f>
        <v>0</v>
      </c>
      <c r="E186" s="14"/>
      <c r="G186" s="199"/>
      <c r="H186" s="425"/>
      <c r="I186" s="101" t="s">
        <v>127</v>
      </c>
      <c r="J186" s="846">
        <f>J20</f>
        <v>0</v>
      </c>
      <c r="K186" s="847"/>
      <c r="L186" s="426" t="s">
        <v>157</v>
      </c>
      <c r="N186" s="27" t="s">
        <v>408</v>
      </c>
      <c r="O186" s="27" t="s">
        <v>127</v>
      </c>
      <c r="P186" s="27" t="s">
        <v>409</v>
      </c>
      <c r="Q186" s="191" t="s">
        <v>410</v>
      </c>
      <c r="R186" s="27" t="s">
        <v>411</v>
      </c>
      <c r="S186" s="27" t="s">
        <v>315</v>
      </c>
      <c r="T186" s="27" t="s">
        <v>411</v>
      </c>
      <c r="U186" s="30" t="s">
        <v>350</v>
      </c>
      <c r="V186" s="10"/>
    </row>
    <row r="187" spans="1:29" ht="18" hidden="1" customHeight="1">
      <c r="A187" s="9"/>
      <c r="B187" s="9" t="s">
        <v>412</v>
      </c>
      <c r="H187" s="425"/>
      <c r="I187" s="427" t="s">
        <v>127</v>
      </c>
      <c r="J187" s="848">
        <f>J21</f>
        <v>1.0770224400000001</v>
      </c>
      <c r="K187" s="849"/>
      <c r="L187" s="426" t="s">
        <v>157</v>
      </c>
      <c r="N187" s="27"/>
      <c r="O187" s="27" t="s">
        <v>127</v>
      </c>
      <c r="P187" s="211">
        <f>J188</f>
        <v>1.0970224400000002</v>
      </c>
      <c r="Q187" s="191" t="s">
        <v>410</v>
      </c>
      <c r="R187" s="27">
        <f>O176</f>
        <v>1</v>
      </c>
      <c r="S187" s="27" t="s">
        <v>315</v>
      </c>
      <c r="T187" s="27">
        <f>O176</f>
        <v>1</v>
      </c>
      <c r="U187" s="30" t="s">
        <v>350</v>
      </c>
      <c r="V187" s="10"/>
    </row>
    <row r="188" spans="1:29" ht="18" hidden="1" customHeight="1">
      <c r="A188" s="9"/>
      <c r="B188" s="205" t="s">
        <v>413</v>
      </c>
      <c r="C188" s="206"/>
      <c r="D188" s="206"/>
      <c r="E188" s="206"/>
      <c r="F188" s="346"/>
      <c r="G188" s="346"/>
      <c r="H188" s="190" t="s">
        <v>409</v>
      </c>
      <c r="I188" s="208" t="s">
        <v>127</v>
      </c>
      <c r="J188" s="766">
        <f>SUM(J184:K187)</f>
        <v>1.0970224400000002</v>
      </c>
      <c r="K188" s="796"/>
      <c r="L188" s="428" t="s">
        <v>157</v>
      </c>
      <c r="O188" s="27" t="s">
        <v>127</v>
      </c>
      <c r="P188" s="795">
        <f>P187/(R187*T187)</f>
        <v>1.0970224400000002</v>
      </c>
      <c r="Q188" s="795"/>
      <c r="R188" s="192" t="s">
        <v>333</v>
      </c>
      <c r="V188" s="10"/>
    </row>
    <row r="189" spans="1:29" ht="18" hidden="1" customHeight="1">
      <c r="A189" s="9"/>
      <c r="V189" s="10"/>
    </row>
    <row r="190" spans="1:29" ht="18" hidden="1" customHeight="1">
      <c r="A190" s="116" t="s">
        <v>414</v>
      </c>
      <c r="V190" s="10"/>
    </row>
    <row r="191" spans="1:29" ht="18" hidden="1" customHeight="1">
      <c r="A191" s="678" t="s">
        <v>415</v>
      </c>
      <c r="B191" s="679"/>
      <c r="C191" s="679"/>
      <c r="D191" s="679"/>
      <c r="E191" s="679"/>
      <c r="F191" s="679"/>
      <c r="G191" s="679"/>
      <c r="H191" s="679"/>
      <c r="I191" s="679"/>
      <c r="J191" s="679"/>
      <c r="K191" s="679"/>
      <c r="L191" s="679"/>
      <c r="M191" s="679"/>
      <c r="N191" s="679"/>
      <c r="O191" s="679"/>
      <c r="P191" s="679"/>
      <c r="Q191" s="679"/>
      <c r="R191" s="679"/>
      <c r="S191" s="679"/>
      <c r="T191" s="679"/>
      <c r="U191" s="679"/>
      <c r="V191" s="680"/>
    </row>
    <row r="192" spans="1:29" ht="18" hidden="1" customHeight="1">
      <c r="A192" s="678"/>
      <c r="B192" s="679"/>
      <c r="C192" s="679"/>
      <c r="D192" s="679"/>
      <c r="E192" s="679"/>
      <c r="F192" s="679"/>
      <c r="G192" s="679"/>
      <c r="H192" s="679"/>
      <c r="I192" s="679"/>
      <c r="J192" s="679"/>
      <c r="K192" s="679"/>
      <c r="L192" s="679"/>
      <c r="M192" s="679"/>
      <c r="N192" s="679"/>
      <c r="O192" s="679"/>
      <c r="P192" s="679"/>
      <c r="Q192" s="679"/>
      <c r="R192" s="679"/>
      <c r="S192" s="679"/>
      <c r="T192" s="679"/>
      <c r="U192" s="679"/>
      <c r="V192" s="680"/>
    </row>
    <row r="193" spans="1:22" ht="18" hidden="1" customHeight="1">
      <c r="A193" s="193" t="s">
        <v>416</v>
      </c>
      <c r="V193" s="10"/>
    </row>
    <row r="194" spans="1:22" ht="18" hidden="1" customHeight="1">
      <c r="A194" s="799" t="s">
        <v>417</v>
      </c>
      <c r="B194" s="800"/>
      <c r="C194" s="800"/>
      <c r="D194" s="14"/>
      <c r="E194" s="7"/>
      <c r="F194" s="808" t="s">
        <v>418</v>
      </c>
      <c r="G194" s="811"/>
      <c r="H194" s="805" t="s">
        <v>315</v>
      </c>
      <c r="I194" s="822" t="s">
        <v>411</v>
      </c>
      <c r="J194" s="810"/>
      <c r="K194" s="805" t="s">
        <v>315</v>
      </c>
      <c r="L194" s="808" t="s">
        <v>419</v>
      </c>
      <c r="M194" s="805" t="s">
        <v>420</v>
      </c>
      <c r="N194" s="816" t="s">
        <v>347</v>
      </c>
      <c r="O194" s="805" t="s">
        <v>408</v>
      </c>
      <c r="P194" s="805" t="s">
        <v>347</v>
      </c>
      <c r="Q194" s="850" t="s">
        <v>421</v>
      </c>
      <c r="R194" s="807"/>
      <c r="S194" s="807"/>
      <c r="T194" s="798" t="s">
        <v>350</v>
      </c>
      <c r="U194" s="230" t="s">
        <v>422</v>
      </c>
      <c r="V194" s="112"/>
    </row>
    <row r="195" spans="1:22" ht="18" hidden="1" customHeight="1">
      <c r="A195" s="801"/>
      <c r="B195" s="800"/>
      <c r="C195" s="800"/>
      <c r="D195" s="14"/>
      <c r="E195" s="7"/>
      <c r="F195" s="811"/>
      <c r="G195" s="811"/>
      <c r="H195" s="805"/>
      <c r="I195" s="805" t="s">
        <v>423</v>
      </c>
      <c r="J195" s="811"/>
      <c r="K195" s="805"/>
      <c r="L195" s="808"/>
      <c r="M195" s="805"/>
      <c r="N195" s="816"/>
      <c r="O195" s="805"/>
      <c r="P195" s="805"/>
      <c r="Q195" s="221" t="s">
        <v>146</v>
      </c>
      <c r="R195" s="221" t="s">
        <v>315</v>
      </c>
      <c r="S195" s="221" t="s">
        <v>146</v>
      </c>
      <c r="T195" s="798"/>
      <c r="U195" s="7"/>
      <c r="V195" s="112"/>
    </row>
    <row r="196" spans="1:22" ht="18" hidden="1" customHeight="1">
      <c r="A196" s="193" t="s">
        <v>424</v>
      </c>
      <c r="L196" s="429"/>
      <c r="M196" s="27"/>
      <c r="N196" s="27"/>
      <c r="O196" s="27"/>
      <c r="V196" s="10"/>
    </row>
    <row r="197" spans="1:22" ht="18" hidden="1" customHeight="1">
      <c r="A197" s="799" t="s">
        <v>417</v>
      </c>
      <c r="B197" s="800"/>
      <c r="C197" s="800"/>
      <c r="D197" s="689">
        <v>2</v>
      </c>
      <c r="E197" s="689" t="s">
        <v>315</v>
      </c>
      <c r="F197" s="808" t="s">
        <v>425</v>
      </c>
      <c r="G197" s="811"/>
      <c r="H197" s="805" t="s">
        <v>315</v>
      </c>
      <c r="I197" s="822" t="s">
        <v>411</v>
      </c>
      <c r="J197" s="810"/>
      <c r="K197" s="805" t="s">
        <v>315</v>
      </c>
      <c r="L197" s="808" t="s">
        <v>419</v>
      </c>
      <c r="M197" s="805" t="s">
        <v>420</v>
      </c>
      <c r="N197" s="816" t="s">
        <v>347</v>
      </c>
      <c r="O197" s="805" t="s">
        <v>408</v>
      </c>
      <c r="P197" s="805" t="s">
        <v>347</v>
      </c>
      <c r="Q197" s="850" t="s">
        <v>421</v>
      </c>
      <c r="R197" s="807"/>
      <c r="S197" s="807"/>
      <c r="T197" s="798" t="s">
        <v>350</v>
      </c>
      <c r="U197" s="230" t="s">
        <v>426</v>
      </c>
      <c r="V197" s="112"/>
    </row>
    <row r="198" spans="1:22" ht="18" hidden="1" customHeight="1">
      <c r="A198" s="801"/>
      <c r="B198" s="800"/>
      <c r="C198" s="800"/>
      <c r="D198" s="689"/>
      <c r="E198" s="689"/>
      <c r="F198" s="811"/>
      <c r="G198" s="811"/>
      <c r="H198" s="805"/>
      <c r="I198" s="805" t="s">
        <v>423</v>
      </c>
      <c r="J198" s="811"/>
      <c r="K198" s="805"/>
      <c r="L198" s="808"/>
      <c r="M198" s="805"/>
      <c r="N198" s="816"/>
      <c r="O198" s="805"/>
      <c r="P198" s="805"/>
      <c r="Q198" s="221" t="s">
        <v>146</v>
      </c>
      <c r="R198" s="221" t="s">
        <v>315</v>
      </c>
      <c r="S198" s="221" t="s">
        <v>146</v>
      </c>
      <c r="T198" s="798"/>
      <c r="U198" s="7"/>
      <c r="V198" s="112"/>
    </row>
    <row r="199" spans="1:22" ht="18" hidden="1" customHeight="1">
      <c r="A199" s="9"/>
      <c r="V199" s="10"/>
    </row>
    <row r="200" spans="1:22" ht="18" hidden="1" customHeight="1">
      <c r="A200" s="9"/>
      <c r="B200" s="14" t="s">
        <v>427</v>
      </c>
      <c r="C200" s="14"/>
      <c r="D200" s="103"/>
      <c r="E200" s="103"/>
      <c r="F200" s="14"/>
      <c r="G200" s="14"/>
      <c r="H200" s="5"/>
      <c r="I200" s="5"/>
      <c r="J200" s="5"/>
      <c r="P200" s="120" t="s">
        <v>428</v>
      </c>
      <c r="V200" s="10"/>
    </row>
    <row r="201" spans="1:22" ht="18" hidden="1" customHeight="1">
      <c r="A201" s="9"/>
      <c r="B201" s="14" t="s">
        <v>429</v>
      </c>
      <c r="C201" s="14"/>
      <c r="D201" s="103"/>
      <c r="E201" s="103"/>
      <c r="F201" s="14"/>
      <c r="G201" s="14"/>
      <c r="H201" s="5"/>
      <c r="I201" s="5"/>
      <c r="J201" s="5"/>
      <c r="P201" s="120" t="s">
        <v>430</v>
      </c>
      <c r="Q201" s="234" t="s">
        <v>127</v>
      </c>
      <c r="R201" s="684" t="str">
        <f>J176</f>
        <v>-</v>
      </c>
      <c r="S201" s="684"/>
      <c r="T201" s="14" t="s">
        <v>8</v>
      </c>
      <c r="V201" s="10"/>
    </row>
    <row r="202" spans="1:22" ht="18" hidden="1" customHeight="1">
      <c r="A202" s="9"/>
      <c r="B202" s="14" t="s">
        <v>431</v>
      </c>
      <c r="C202" s="14"/>
      <c r="D202" s="14"/>
      <c r="E202" s="14"/>
      <c r="F202" s="14"/>
      <c r="G202" s="14"/>
      <c r="H202" s="14"/>
      <c r="I202" s="14"/>
      <c r="J202" s="14"/>
      <c r="P202" s="120" t="s">
        <v>418</v>
      </c>
      <c r="Q202" s="234" t="s">
        <v>127</v>
      </c>
      <c r="R202" s="684">
        <f>R36</f>
        <v>50000</v>
      </c>
      <c r="S202" s="684"/>
      <c r="T202" s="14" t="s">
        <v>8</v>
      </c>
      <c r="V202" s="10"/>
    </row>
    <row r="203" spans="1:22" ht="18" hidden="1" customHeight="1">
      <c r="A203" s="9"/>
      <c r="B203" s="14" t="s">
        <v>432</v>
      </c>
      <c r="C203" s="14"/>
      <c r="D203" s="14"/>
      <c r="E203" s="14"/>
      <c r="F203" s="14"/>
      <c r="G203" s="14"/>
      <c r="H203" s="14"/>
      <c r="I203" s="14"/>
      <c r="J203" s="14"/>
      <c r="P203" s="120" t="s">
        <v>425</v>
      </c>
      <c r="Q203" s="234" t="s">
        <v>127</v>
      </c>
      <c r="R203" s="713">
        <f>R37</f>
        <v>42229.804278926844</v>
      </c>
      <c r="S203" s="684"/>
      <c r="T203" s="14" t="s">
        <v>8</v>
      </c>
      <c r="U203" s="30" t="s">
        <v>433</v>
      </c>
      <c r="V203" s="10"/>
    </row>
    <row r="204" spans="1:22" ht="18" hidden="1" customHeight="1">
      <c r="A204" s="9"/>
      <c r="B204" s="14"/>
      <c r="C204" s="14"/>
      <c r="D204" s="14"/>
      <c r="E204" s="14"/>
      <c r="F204" s="14"/>
      <c r="G204" s="14"/>
      <c r="H204" s="14"/>
      <c r="I204" s="14"/>
      <c r="J204" s="14"/>
      <c r="P204" s="120"/>
      <c r="Q204" s="234" t="s">
        <v>127</v>
      </c>
      <c r="R204" s="713">
        <f>R38</f>
        <v>43475.278268251794</v>
      </c>
      <c r="S204" s="684"/>
      <c r="T204" s="14" t="s">
        <v>8</v>
      </c>
      <c r="U204" s="30" t="s">
        <v>434</v>
      </c>
      <c r="V204" s="10"/>
    </row>
    <row r="205" spans="1:22" ht="18" hidden="1" customHeight="1">
      <c r="A205" s="9"/>
      <c r="B205" s="14" t="s">
        <v>435</v>
      </c>
      <c r="C205" s="14"/>
      <c r="D205" s="103"/>
      <c r="E205" s="103"/>
      <c r="F205" s="14"/>
      <c r="G205" s="14"/>
      <c r="H205" s="5"/>
      <c r="I205" s="5"/>
      <c r="J205" s="5"/>
      <c r="P205" s="120" t="s">
        <v>436</v>
      </c>
      <c r="Q205" s="234" t="s">
        <v>127</v>
      </c>
      <c r="R205" s="684">
        <f>R39</f>
        <v>1</v>
      </c>
      <c r="S205" s="684"/>
      <c r="T205" s="14" t="s">
        <v>8</v>
      </c>
      <c r="V205" s="10"/>
    </row>
    <row r="206" spans="1:22" ht="18" hidden="1" customHeight="1">
      <c r="A206" s="9"/>
      <c r="B206" s="14" t="s">
        <v>437</v>
      </c>
      <c r="C206" s="14"/>
      <c r="D206" s="103"/>
      <c r="E206" s="103"/>
      <c r="F206" s="14"/>
      <c r="G206" s="14"/>
      <c r="H206" s="5"/>
      <c r="I206" s="5"/>
      <c r="J206" s="5"/>
      <c r="P206" s="120" t="s">
        <v>438</v>
      </c>
      <c r="Q206" s="234" t="s">
        <v>127</v>
      </c>
      <c r="R206" s="684">
        <f>R40</f>
        <v>1</v>
      </c>
      <c r="S206" s="684"/>
      <c r="T206" s="14" t="s">
        <v>8</v>
      </c>
      <c r="V206" s="10"/>
    </row>
    <row r="207" spans="1:22" ht="18" hidden="1" customHeight="1">
      <c r="A207" s="9"/>
      <c r="B207" s="14" t="s">
        <v>439</v>
      </c>
      <c r="C207" s="14"/>
      <c r="D207" s="103"/>
      <c r="E207" s="103"/>
      <c r="F207" s="14"/>
      <c r="G207" s="14"/>
      <c r="H207" s="5"/>
      <c r="I207" s="5"/>
      <c r="J207" s="5"/>
      <c r="P207" s="120" t="s">
        <v>440</v>
      </c>
      <c r="Q207" s="234" t="s">
        <v>127</v>
      </c>
      <c r="R207" s="684">
        <f>J178</f>
        <v>3</v>
      </c>
      <c r="S207" s="684"/>
      <c r="T207" s="192" t="s">
        <v>333</v>
      </c>
      <c r="V207" s="10"/>
    </row>
    <row r="208" spans="1:22" ht="18" hidden="1" customHeight="1">
      <c r="A208" s="9"/>
      <c r="B208" s="14" t="s">
        <v>153</v>
      </c>
      <c r="C208" s="14"/>
      <c r="D208" s="14"/>
      <c r="E208" s="14"/>
      <c r="F208" s="14"/>
      <c r="G208" s="14"/>
      <c r="H208" s="14"/>
      <c r="I208" s="14"/>
      <c r="J208" s="14"/>
      <c r="P208" s="237" t="s">
        <v>441</v>
      </c>
      <c r="Q208" s="234" t="s">
        <v>127</v>
      </c>
      <c r="R208" s="795">
        <f>R42</f>
        <v>1.0970224400000002</v>
      </c>
      <c r="S208" s="684"/>
      <c r="T208" s="192" t="s">
        <v>333</v>
      </c>
      <c r="V208" s="10"/>
    </row>
    <row r="209" spans="1:22" ht="18" hidden="1" customHeight="1">
      <c r="A209" s="9"/>
      <c r="B209" s="40" t="s">
        <v>442</v>
      </c>
      <c r="C209" s="14"/>
      <c r="D209" s="14"/>
      <c r="E209" s="14"/>
      <c r="F209" s="14"/>
      <c r="G209" s="14"/>
      <c r="H209" s="5"/>
      <c r="I209" s="5"/>
      <c r="J209" s="5"/>
      <c r="P209" s="237" t="s">
        <v>443</v>
      </c>
      <c r="Q209" s="234" t="s">
        <v>127</v>
      </c>
      <c r="R209" s="795">
        <f>R43</f>
        <v>0.02</v>
      </c>
      <c r="S209" s="684"/>
      <c r="T209" s="14" t="s">
        <v>157</v>
      </c>
      <c r="V209" s="10"/>
    </row>
    <row r="210" spans="1:22" ht="18" hidden="1" customHeight="1">
      <c r="A210" s="9"/>
      <c r="B210" s="40"/>
      <c r="C210" s="14"/>
      <c r="D210" s="14"/>
      <c r="E210" s="14"/>
      <c r="F210" s="14"/>
      <c r="G210" s="14"/>
      <c r="H210" s="5"/>
      <c r="I210" s="5"/>
      <c r="J210" s="5"/>
      <c r="P210" s="237"/>
      <c r="Q210" s="234"/>
      <c r="R210" s="211"/>
      <c r="S210" s="27"/>
      <c r="T210" s="14"/>
      <c r="V210" s="10"/>
    </row>
    <row r="211" spans="1:22" s="7" customFormat="1" ht="18" hidden="1" customHeight="1">
      <c r="A211" s="382"/>
      <c r="B211" s="20"/>
      <c r="C211" s="20"/>
      <c r="D211" s="20"/>
      <c r="E211" s="20"/>
      <c r="F211" s="20"/>
      <c r="G211" s="20"/>
      <c r="H211" s="20"/>
      <c r="I211" s="20"/>
      <c r="J211" s="20"/>
      <c r="K211" s="20"/>
      <c r="L211" s="20"/>
      <c r="M211" s="20"/>
      <c r="N211" s="20"/>
      <c r="O211" s="20"/>
      <c r="P211" s="20"/>
      <c r="Q211" s="21"/>
      <c r="R211" s="22"/>
      <c r="S211" s="23"/>
      <c r="T211" s="20"/>
      <c r="U211" s="20"/>
      <c r="V211" s="134"/>
    </row>
    <row r="212" spans="1:22" ht="18" hidden="1" customHeight="1">
      <c r="A212" s="383" t="s">
        <v>416</v>
      </c>
      <c r="B212" s="384"/>
      <c r="C212" s="384"/>
      <c r="D212" s="384"/>
      <c r="E212" s="384"/>
      <c r="F212" s="384"/>
      <c r="G212" s="384"/>
      <c r="H212" s="384"/>
      <c r="I212" s="384"/>
      <c r="J212" s="384"/>
      <c r="K212" s="384"/>
      <c r="L212" s="384"/>
      <c r="M212" s="384"/>
      <c r="N212" s="384"/>
      <c r="O212" s="384"/>
      <c r="P212" s="384"/>
      <c r="Q212" s="384"/>
      <c r="R212" s="384"/>
      <c r="S212" s="384"/>
      <c r="T212" s="384"/>
      <c r="U212" s="384"/>
      <c r="V212" s="395"/>
    </row>
    <row r="213" spans="1:22" ht="18" hidden="1" customHeight="1">
      <c r="A213" s="799" t="s">
        <v>417</v>
      </c>
      <c r="B213" s="800"/>
      <c r="C213" s="800"/>
      <c r="D213" s="14"/>
      <c r="E213" s="7"/>
      <c r="F213" s="808">
        <f>R202</f>
        <v>50000</v>
      </c>
      <c r="G213" s="811"/>
      <c r="H213" s="805" t="s">
        <v>315</v>
      </c>
      <c r="I213" s="809">
        <f>R205</f>
        <v>1</v>
      </c>
      <c r="J213" s="810"/>
      <c r="K213" s="805" t="s">
        <v>315</v>
      </c>
      <c r="L213" s="808" t="s">
        <v>419</v>
      </c>
      <c r="M213" s="815">
        <f>R207</f>
        <v>3</v>
      </c>
      <c r="N213" s="816" t="s">
        <v>347</v>
      </c>
      <c r="O213" s="817">
        <f>R208</f>
        <v>1.0970224400000002</v>
      </c>
      <c r="P213" s="805" t="s">
        <v>347</v>
      </c>
      <c r="Q213" s="807">
        <f>R209</f>
        <v>0.02</v>
      </c>
      <c r="R213" s="807"/>
      <c r="S213" s="807"/>
      <c r="T213" s="798" t="s">
        <v>350</v>
      </c>
      <c r="U213" s="230" t="s">
        <v>422</v>
      </c>
      <c r="V213" s="112"/>
    </row>
    <row r="214" spans="1:22" ht="18" hidden="1" customHeight="1">
      <c r="A214" s="801"/>
      <c r="B214" s="800"/>
      <c r="C214" s="800"/>
      <c r="D214" s="14"/>
      <c r="E214" s="7"/>
      <c r="F214" s="811"/>
      <c r="G214" s="811"/>
      <c r="H214" s="805"/>
      <c r="I214" s="805" t="str">
        <f>R201</f>
        <v>-</v>
      </c>
      <c r="J214" s="811"/>
      <c r="K214" s="805"/>
      <c r="L214" s="808"/>
      <c r="M214" s="815"/>
      <c r="N214" s="816"/>
      <c r="O214" s="815"/>
      <c r="P214" s="805"/>
      <c r="Q214" s="221">
        <f>R206</f>
        <v>1</v>
      </c>
      <c r="R214" s="221" t="s">
        <v>315</v>
      </c>
      <c r="S214" s="221">
        <f>R206</f>
        <v>1</v>
      </c>
      <c r="T214" s="798"/>
      <c r="U214" s="7"/>
      <c r="V214" s="112"/>
    </row>
    <row r="215" spans="1:22" ht="18" hidden="1" customHeight="1">
      <c r="A215" s="9"/>
      <c r="L215" s="429"/>
      <c r="V215" s="10"/>
    </row>
    <row r="216" spans="1:22" ht="18" hidden="1" customHeight="1">
      <c r="A216" s="9"/>
      <c r="C216" s="27" t="s">
        <v>127</v>
      </c>
      <c r="D216" s="812" t="e">
        <f>F213*(I213/I214)*(M213+O213+(Q213/(Q214*S214)))</f>
        <v>#VALUE!</v>
      </c>
      <c r="E216" s="813"/>
      <c r="F216" s="27" t="s">
        <v>305</v>
      </c>
      <c r="L216" s="429"/>
      <c r="V216" s="10"/>
    </row>
    <row r="217" spans="1:22" ht="18" hidden="1" customHeight="1">
      <c r="A217" s="9"/>
      <c r="L217" s="429"/>
      <c r="V217" s="10"/>
    </row>
    <row r="218" spans="1:22" ht="18" hidden="1" customHeight="1">
      <c r="A218" s="193" t="s">
        <v>444</v>
      </c>
      <c r="L218" s="429"/>
      <c r="V218" s="10"/>
    </row>
    <row r="219" spans="1:22" ht="18" hidden="1" customHeight="1">
      <c r="A219" s="799" t="s">
        <v>417</v>
      </c>
      <c r="B219" s="800"/>
      <c r="C219" s="800"/>
      <c r="D219" s="689">
        <v>2</v>
      </c>
      <c r="E219" s="689" t="s">
        <v>315</v>
      </c>
      <c r="F219" s="814">
        <f>R203</f>
        <v>42229.804278926844</v>
      </c>
      <c r="G219" s="811"/>
      <c r="H219" s="805" t="s">
        <v>315</v>
      </c>
      <c r="I219" s="809">
        <f>R205</f>
        <v>1</v>
      </c>
      <c r="J219" s="810"/>
      <c r="K219" s="805" t="s">
        <v>315</v>
      </c>
      <c r="L219" s="808" t="s">
        <v>419</v>
      </c>
      <c r="M219" s="815">
        <f>R207</f>
        <v>3</v>
      </c>
      <c r="N219" s="816" t="s">
        <v>347</v>
      </c>
      <c r="O219" s="817">
        <f>R208</f>
        <v>1.0970224400000002</v>
      </c>
      <c r="P219" s="805" t="s">
        <v>347</v>
      </c>
      <c r="Q219" s="807">
        <f>Q213</f>
        <v>0.02</v>
      </c>
      <c r="R219" s="807"/>
      <c r="S219" s="807"/>
      <c r="T219" s="798" t="s">
        <v>350</v>
      </c>
      <c r="U219" s="230" t="s">
        <v>426</v>
      </c>
      <c r="V219" s="112"/>
    </row>
    <row r="220" spans="1:22" ht="18" hidden="1" customHeight="1">
      <c r="A220" s="801"/>
      <c r="B220" s="800"/>
      <c r="C220" s="800"/>
      <c r="D220" s="689"/>
      <c r="E220" s="689"/>
      <c r="F220" s="811"/>
      <c r="G220" s="811"/>
      <c r="H220" s="805"/>
      <c r="I220" s="805" t="str">
        <f>R201</f>
        <v>-</v>
      </c>
      <c r="J220" s="811"/>
      <c r="K220" s="805"/>
      <c r="L220" s="808"/>
      <c r="M220" s="815"/>
      <c r="N220" s="816"/>
      <c r="O220" s="815"/>
      <c r="P220" s="805"/>
      <c r="Q220" s="221">
        <f>R206</f>
        <v>1</v>
      </c>
      <c r="R220" s="221" t="s">
        <v>315</v>
      </c>
      <c r="S220" s="221">
        <f>R206</f>
        <v>1</v>
      </c>
      <c r="T220" s="798"/>
      <c r="U220" s="7"/>
      <c r="V220" s="112"/>
    </row>
    <row r="221" spans="1:22" ht="18" hidden="1" customHeight="1">
      <c r="A221" s="9"/>
      <c r="L221" s="429"/>
      <c r="V221" s="10"/>
    </row>
    <row r="222" spans="1:22" ht="18" hidden="1" customHeight="1">
      <c r="A222" s="9"/>
      <c r="C222" s="27" t="s">
        <v>127</v>
      </c>
      <c r="D222" s="812" t="e">
        <f>D219*F219*(I219/I220)*(M219+O219+(Q219/(Q220*S220)))</f>
        <v>#VALUE!</v>
      </c>
      <c r="E222" s="813"/>
      <c r="F222" s="27" t="s">
        <v>305</v>
      </c>
      <c r="L222" s="429"/>
      <c r="V222" s="10"/>
    </row>
    <row r="223" spans="1:22" ht="18" hidden="1" customHeight="1">
      <c r="A223" s="9"/>
      <c r="L223" s="429"/>
      <c r="V223" s="10"/>
    </row>
    <row r="224" spans="1:22" ht="18" hidden="1" customHeight="1">
      <c r="A224" s="193" t="s">
        <v>445</v>
      </c>
      <c r="L224" s="429"/>
      <c r="V224" s="10"/>
    </row>
    <row r="225" spans="1:22" ht="18" hidden="1" customHeight="1">
      <c r="A225" s="799" t="s">
        <v>417</v>
      </c>
      <c r="B225" s="800"/>
      <c r="C225" s="800"/>
      <c r="D225" s="805">
        <v>2</v>
      </c>
      <c r="E225" s="805" t="s">
        <v>315</v>
      </c>
      <c r="F225" s="814">
        <f>R204</f>
        <v>43475.278268251794</v>
      </c>
      <c r="G225" s="811"/>
      <c r="H225" s="805" t="s">
        <v>315</v>
      </c>
      <c r="I225" s="809">
        <f>R205</f>
        <v>1</v>
      </c>
      <c r="J225" s="810"/>
      <c r="K225" s="805" t="s">
        <v>315</v>
      </c>
      <c r="L225" s="808" t="s">
        <v>419</v>
      </c>
      <c r="M225" s="815">
        <f>R207</f>
        <v>3</v>
      </c>
      <c r="N225" s="816" t="s">
        <v>347</v>
      </c>
      <c r="O225" s="817">
        <f>R208</f>
        <v>1.0970224400000002</v>
      </c>
      <c r="P225" s="805" t="s">
        <v>347</v>
      </c>
      <c r="Q225" s="807">
        <f>R209</f>
        <v>0.02</v>
      </c>
      <c r="R225" s="807"/>
      <c r="S225" s="807"/>
      <c r="T225" s="798" t="s">
        <v>350</v>
      </c>
      <c r="U225" s="230" t="s">
        <v>426</v>
      </c>
      <c r="V225" s="112"/>
    </row>
    <row r="226" spans="1:22" ht="18" hidden="1" customHeight="1">
      <c r="A226" s="801"/>
      <c r="B226" s="800"/>
      <c r="C226" s="800"/>
      <c r="D226" s="805"/>
      <c r="E226" s="805"/>
      <c r="F226" s="811"/>
      <c r="G226" s="811"/>
      <c r="H226" s="805"/>
      <c r="I226" s="805" t="str">
        <f>R201</f>
        <v>-</v>
      </c>
      <c r="J226" s="811"/>
      <c r="K226" s="805"/>
      <c r="L226" s="808"/>
      <c r="M226" s="815"/>
      <c r="N226" s="816"/>
      <c r="O226" s="815"/>
      <c r="P226" s="805"/>
      <c r="Q226" s="221">
        <f>R206</f>
        <v>1</v>
      </c>
      <c r="R226" s="221" t="s">
        <v>315</v>
      </c>
      <c r="S226" s="221">
        <f>R206</f>
        <v>1</v>
      </c>
      <c r="T226" s="798"/>
      <c r="U226" s="7"/>
      <c r="V226" s="112"/>
    </row>
    <row r="227" spans="1:22" ht="18" hidden="1" customHeight="1">
      <c r="A227" s="9"/>
      <c r="V227" s="10"/>
    </row>
    <row r="228" spans="1:22" ht="18" hidden="1" customHeight="1">
      <c r="A228" s="9"/>
      <c r="C228" s="27" t="s">
        <v>127</v>
      </c>
      <c r="D228" s="812" t="e">
        <f>D225*F225*(I225/I226)*(M225+O225+(Q225/(Q226*S226)))</f>
        <v>#VALUE!</v>
      </c>
      <c r="E228" s="813"/>
      <c r="F228" s="27" t="s">
        <v>305</v>
      </c>
      <c r="V228" s="10"/>
    </row>
    <row r="229" spans="1:22" ht="18" hidden="1" customHeight="1">
      <c r="A229" s="9"/>
      <c r="V229" s="10"/>
    </row>
    <row r="230" spans="1:22" ht="18" hidden="1" customHeight="1">
      <c r="A230" s="116" t="s">
        <v>446</v>
      </c>
      <c r="V230" s="10"/>
    </row>
    <row r="231" spans="1:22" ht="18" hidden="1" customHeight="1">
      <c r="A231" s="678" t="s">
        <v>499</v>
      </c>
      <c r="B231" s="679"/>
      <c r="C231" s="679"/>
      <c r="D231" s="679"/>
      <c r="E231" s="679"/>
      <c r="F231" s="679"/>
      <c r="G231" s="679"/>
      <c r="H231" s="679"/>
      <c r="I231" s="679"/>
      <c r="J231" s="679"/>
      <c r="K231" s="679"/>
      <c r="L231" s="679"/>
      <c r="M231" s="679"/>
      <c r="N231" s="679"/>
      <c r="O231" s="679"/>
      <c r="P231" s="679"/>
      <c r="Q231" s="679"/>
      <c r="R231" s="679"/>
      <c r="S231" s="679"/>
      <c r="T231" s="679"/>
      <c r="U231" s="679"/>
      <c r="V231" s="680"/>
    </row>
    <row r="232" spans="1:22" ht="18" hidden="1" customHeight="1">
      <c r="A232" s="678"/>
      <c r="B232" s="679"/>
      <c r="C232" s="679"/>
      <c r="D232" s="679"/>
      <c r="E232" s="679"/>
      <c r="F232" s="679"/>
      <c r="G232" s="679"/>
      <c r="H232" s="679"/>
      <c r="I232" s="679"/>
      <c r="J232" s="679"/>
      <c r="K232" s="679"/>
      <c r="L232" s="679"/>
      <c r="M232" s="679"/>
      <c r="N232" s="679"/>
      <c r="O232" s="679"/>
      <c r="P232" s="679"/>
      <c r="Q232" s="679"/>
      <c r="R232" s="679"/>
      <c r="S232" s="679"/>
      <c r="T232" s="679"/>
      <c r="U232" s="679"/>
      <c r="V232" s="680"/>
    </row>
    <row r="233" spans="1:22" ht="18" hidden="1" customHeight="1">
      <c r="A233" s="447" t="s">
        <v>416</v>
      </c>
      <c r="V233" s="10"/>
    </row>
    <row r="234" spans="1:22" ht="18" hidden="1" customHeight="1">
      <c r="A234" s="799" t="s">
        <v>417</v>
      </c>
      <c r="B234" s="800"/>
      <c r="C234" s="800"/>
      <c r="D234" s="802" t="s">
        <v>418</v>
      </c>
      <c r="E234" s="804"/>
      <c r="F234" s="689" t="s">
        <v>315</v>
      </c>
      <c r="G234" s="708" t="s">
        <v>436</v>
      </c>
      <c r="H234" s="803"/>
      <c r="I234" s="689" t="s">
        <v>315</v>
      </c>
      <c r="J234" s="851" t="s">
        <v>135</v>
      </c>
      <c r="K234" s="689" t="s">
        <v>315</v>
      </c>
      <c r="L234" s="802" t="s">
        <v>419</v>
      </c>
      <c r="M234" s="716" t="s">
        <v>440</v>
      </c>
      <c r="N234" s="729" t="s">
        <v>347</v>
      </c>
      <c r="O234" s="716" t="s">
        <v>447</v>
      </c>
      <c r="P234" s="689" t="s">
        <v>347</v>
      </c>
      <c r="Q234" s="759" t="s">
        <v>448</v>
      </c>
      <c r="R234" s="797"/>
      <c r="S234" s="797"/>
      <c r="T234" s="798" t="s">
        <v>350</v>
      </c>
      <c r="U234" s="230" t="s">
        <v>422</v>
      </c>
      <c r="V234" s="112"/>
    </row>
    <row r="235" spans="1:22" ht="18" hidden="1" customHeight="1">
      <c r="A235" s="801"/>
      <c r="B235" s="800"/>
      <c r="C235" s="800"/>
      <c r="D235" s="804"/>
      <c r="E235" s="804"/>
      <c r="F235" s="689"/>
      <c r="G235" s="689" t="s">
        <v>430</v>
      </c>
      <c r="H235" s="804"/>
      <c r="I235" s="689"/>
      <c r="J235" s="689"/>
      <c r="K235" s="689"/>
      <c r="L235" s="802"/>
      <c r="M235" s="716"/>
      <c r="N235" s="729"/>
      <c r="O235" s="716"/>
      <c r="P235" s="689"/>
      <c r="Q235" s="28" t="s">
        <v>438</v>
      </c>
      <c r="R235" s="28" t="s">
        <v>315</v>
      </c>
      <c r="S235" s="28" t="s">
        <v>438</v>
      </c>
      <c r="T235" s="798"/>
      <c r="U235" s="7"/>
      <c r="V235" s="112"/>
    </row>
    <row r="236" spans="1:22" ht="18" hidden="1" customHeight="1">
      <c r="A236" s="447" t="s">
        <v>449</v>
      </c>
      <c r="L236" s="429"/>
      <c r="V236" s="10"/>
    </row>
    <row r="237" spans="1:22" ht="18" hidden="1" customHeight="1">
      <c r="A237" s="799" t="s">
        <v>417</v>
      </c>
      <c r="B237" s="800"/>
      <c r="C237" s="800"/>
      <c r="D237" s="802" t="s">
        <v>450</v>
      </c>
      <c r="E237" s="804"/>
      <c r="F237" s="689" t="s">
        <v>315</v>
      </c>
      <c r="G237" s="708" t="s">
        <v>436</v>
      </c>
      <c r="H237" s="803"/>
      <c r="I237" s="689" t="s">
        <v>315</v>
      </c>
      <c r="J237" s="851" t="s">
        <v>451</v>
      </c>
      <c r="K237" s="689" t="s">
        <v>315</v>
      </c>
      <c r="L237" s="802" t="s">
        <v>419</v>
      </c>
      <c r="M237" s="716" t="s">
        <v>440</v>
      </c>
      <c r="N237" s="729" t="s">
        <v>347</v>
      </c>
      <c r="O237" s="716" t="s">
        <v>447</v>
      </c>
      <c r="P237" s="689" t="s">
        <v>347</v>
      </c>
      <c r="Q237" s="759" t="s">
        <v>448</v>
      </c>
      <c r="R237" s="797"/>
      <c r="S237" s="797"/>
      <c r="T237" s="798" t="s">
        <v>350</v>
      </c>
      <c r="U237" s="230" t="s">
        <v>426</v>
      </c>
      <c r="V237" s="112"/>
    </row>
    <row r="238" spans="1:22" ht="18" hidden="1" customHeight="1">
      <c r="A238" s="801"/>
      <c r="B238" s="800"/>
      <c r="C238" s="800"/>
      <c r="D238" s="804"/>
      <c r="E238" s="804"/>
      <c r="F238" s="689"/>
      <c r="G238" s="689" t="s">
        <v>430</v>
      </c>
      <c r="H238" s="804"/>
      <c r="I238" s="689"/>
      <c r="J238" s="689"/>
      <c r="K238" s="689"/>
      <c r="L238" s="802"/>
      <c r="M238" s="716"/>
      <c r="N238" s="729"/>
      <c r="O238" s="716"/>
      <c r="P238" s="689"/>
      <c r="Q238" s="28" t="s">
        <v>438</v>
      </c>
      <c r="R238" s="28" t="s">
        <v>315</v>
      </c>
      <c r="S238" s="28" t="s">
        <v>438</v>
      </c>
      <c r="T238" s="798"/>
      <c r="U238" s="7"/>
      <c r="V238" s="112"/>
    </row>
    <row r="239" spans="1:22" ht="18" hidden="1" customHeight="1">
      <c r="A239" s="9"/>
      <c r="V239" s="10"/>
    </row>
    <row r="240" spans="1:22" ht="18" hidden="1" customHeight="1">
      <c r="A240" s="9"/>
      <c r="B240" s="14" t="s">
        <v>427</v>
      </c>
      <c r="P240" s="120" t="s">
        <v>428</v>
      </c>
      <c r="V240" s="10"/>
    </row>
    <row r="241" spans="1:22" ht="18" hidden="1" customHeight="1">
      <c r="A241" s="9"/>
      <c r="B241" s="14" t="s">
        <v>429</v>
      </c>
      <c r="P241" s="120" t="s">
        <v>430</v>
      </c>
      <c r="Q241" s="234" t="s">
        <v>127</v>
      </c>
      <c r="R241" s="684" t="str">
        <f>R201</f>
        <v>-</v>
      </c>
      <c r="S241" s="684"/>
      <c r="T241" s="14" t="s">
        <v>8</v>
      </c>
      <c r="V241" s="10"/>
    </row>
    <row r="242" spans="1:22" ht="18" hidden="1" customHeight="1">
      <c r="A242" s="9"/>
      <c r="B242" s="14" t="s">
        <v>431</v>
      </c>
      <c r="P242" s="120" t="s">
        <v>418</v>
      </c>
      <c r="Q242" s="234" t="s">
        <v>127</v>
      </c>
      <c r="R242" s="684">
        <f>R202</f>
        <v>50000</v>
      </c>
      <c r="S242" s="684"/>
      <c r="T242" s="14" t="s">
        <v>8</v>
      </c>
      <c r="V242" s="10"/>
    </row>
    <row r="243" spans="1:22" ht="18" hidden="1" customHeight="1">
      <c r="A243" s="9"/>
      <c r="B243" s="14" t="s">
        <v>452</v>
      </c>
      <c r="P243" s="120" t="s">
        <v>450</v>
      </c>
      <c r="Q243" s="234" t="s">
        <v>127</v>
      </c>
      <c r="R243" s="713">
        <f>R77</f>
        <v>43584.822413584639</v>
      </c>
      <c r="S243" s="684"/>
      <c r="T243" s="14" t="s">
        <v>8</v>
      </c>
      <c r="U243" s="30" t="s">
        <v>433</v>
      </c>
      <c r="V243" s="10"/>
    </row>
    <row r="244" spans="1:22" ht="18" hidden="1" customHeight="1">
      <c r="A244" s="9"/>
      <c r="B244" s="14"/>
      <c r="P244" s="120"/>
      <c r="Q244" s="234" t="s">
        <v>127</v>
      </c>
      <c r="R244" s="713">
        <f>R78</f>
        <v>44648.255952235893</v>
      </c>
      <c r="S244" s="684"/>
      <c r="T244" s="14" t="s">
        <v>8</v>
      </c>
      <c r="U244" s="30" t="s">
        <v>434</v>
      </c>
      <c r="V244" s="10"/>
    </row>
    <row r="245" spans="1:22" ht="18" hidden="1" customHeight="1">
      <c r="A245" s="9"/>
      <c r="B245" s="14" t="s">
        <v>453</v>
      </c>
      <c r="P245" s="120" t="s">
        <v>436</v>
      </c>
      <c r="Q245" s="234" t="s">
        <v>127</v>
      </c>
      <c r="R245" s="684">
        <f>R205</f>
        <v>1</v>
      </c>
      <c r="S245" s="684"/>
      <c r="T245" s="14" t="s">
        <v>8</v>
      </c>
      <c r="V245" s="10"/>
    </row>
    <row r="246" spans="1:22" ht="18" hidden="1" customHeight="1">
      <c r="A246" s="9"/>
      <c r="B246" s="14" t="s">
        <v>437</v>
      </c>
      <c r="P246" s="120" t="s">
        <v>438</v>
      </c>
      <c r="Q246" s="234" t="s">
        <v>127</v>
      </c>
      <c r="R246" s="684">
        <f>R206</f>
        <v>1</v>
      </c>
      <c r="S246" s="684"/>
      <c r="T246" s="14" t="s">
        <v>8</v>
      </c>
      <c r="V246" s="10"/>
    </row>
    <row r="247" spans="1:22" ht="18" hidden="1" customHeight="1">
      <c r="A247" s="9"/>
      <c r="B247" s="14" t="s">
        <v>439</v>
      </c>
      <c r="P247" s="120" t="s">
        <v>440</v>
      </c>
      <c r="Q247" s="234" t="s">
        <v>127</v>
      </c>
      <c r="R247" s="684">
        <f>R207</f>
        <v>3</v>
      </c>
      <c r="S247" s="684"/>
      <c r="T247" s="192" t="s">
        <v>333</v>
      </c>
      <c r="V247" s="10"/>
    </row>
    <row r="248" spans="1:22" ht="18" hidden="1" customHeight="1">
      <c r="A248" s="9"/>
      <c r="B248" s="14" t="s">
        <v>454</v>
      </c>
      <c r="P248" s="237" t="s">
        <v>441</v>
      </c>
      <c r="Q248" s="234" t="s">
        <v>127</v>
      </c>
      <c r="R248" s="795">
        <f>R208</f>
        <v>1.0970224400000002</v>
      </c>
      <c r="S248" s="684"/>
      <c r="T248" s="192" t="s">
        <v>333</v>
      </c>
      <c r="V248" s="10"/>
    </row>
    <row r="249" spans="1:22" ht="18" hidden="1" customHeight="1">
      <c r="A249" s="9"/>
      <c r="B249" s="40" t="s">
        <v>442</v>
      </c>
      <c r="P249" s="237" t="s">
        <v>443</v>
      </c>
      <c r="Q249" s="234" t="s">
        <v>127</v>
      </c>
      <c r="R249" s="795">
        <f>R209</f>
        <v>0.02</v>
      </c>
      <c r="S249" s="684"/>
      <c r="T249" s="14" t="s">
        <v>157</v>
      </c>
      <c r="V249" s="10"/>
    </row>
    <row r="250" spans="1:22" ht="18" hidden="1" customHeight="1">
      <c r="A250" s="9"/>
      <c r="B250" s="40"/>
      <c r="P250" s="237"/>
      <c r="Q250" s="234"/>
      <c r="R250" s="211"/>
      <c r="S250" s="27"/>
      <c r="T250" s="14"/>
      <c r="V250" s="10"/>
    </row>
    <row r="251" spans="1:22" s="7" customFormat="1" ht="18" hidden="1" customHeight="1">
      <c r="A251" s="382"/>
      <c r="B251" s="20"/>
      <c r="C251" s="20"/>
      <c r="D251" s="20"/>
      <c r="E251" s="20"/>
      <c r="F251" s="20"/>
      <c r="G251" s="20"/>
      <c r="H251" s="20"/>
      <c r="I251" s="20"/>
      <c r="J251" s="20"/>
      <c r="K251" s="20"/>
      <c r="L251" s="20"/>
      <c r="M251" s="20"/>
      <c r="N251" s="20"/>
      <c r="O251" s="20"/>
      <c r="P251" s="20"/>
      <c r="Q251" s="21"/>
      <c r="R251" s="22"/>
      <c r="S251" s="23"/>
      <c r="T251" s="20"/>
      <c r="U251" s="20"/>
      <c r="V251" s="134"/>
    </row>
    <row r="252" spans="1:22" ht="18" hidden="1" customHeight="1">
      <c r="A252" s="431" t="s">
        <v>455</v>
      </c>
      <c r="B252" s="432"/>
      <c r="C252" s="433"/>
      <c r="D252" s="434"/>
      <c r="E252" s="433"/>
      <c r="F252" s="434"/>
      <c r="G252" s="434"/>
      <c r="H252" s="432"/>
      <c r="I252" s="432"/>
      <c r="J252" s="432"/>
      <c r="K252" s="435"/>
      <c r="L252" s="435"/>
      <c r="M252" s="111"/>
      <c r="N252" s="434"/>
      <c r="O252" s="434"/>
      <c r="P252" s="435"/>
      <c r="Q252" s="436"/>
      <c r="R252" s="111"/>
      <c r="S252" s="111"/>
      <c r="T252" s="111"/>
      <c r="U252" s="111"/>
      <c r="V252" s="140"/>
    </row>
    <row r="253" spans="1:22" ht="18" hidden="1" customHeight="1">
      <c r="A253" s="96" t="s">
        <v>456</v>
      </c>
      <c r="B253" s="152"/>
      <c r="C253" s="437"/>
      <c r="D253" s="376"/>
      <c r="E253" s="437"/>
      <c r="F253" s="376"/>
      <c r="G253" s="376"/>
      <c r="H253" s="152"/>
      <c r="I253" s="152"/>
      <c r="J253" s="152"/>
      <c r="K253" s="153"/>
      <c r="L253" s="153"/>
      <c r="M253" s="7"/>
      <c r="N253" s="376"/>
      <c r="O253" s="376"/>
      <c r="P253" s="153"/>
      <c r="Q253" s="438"/>
      <c r="R253" s="7"/>
      <c r="S253" s="7"/>
      <c r="T253" s="7"/>
      <c r="U253" s="7"/>
      <c r="V253" s="112"/>
    </row>
    <row r="254" spans="1:22" ht="18" hidden="1" customHeight="1">
      <c r="A254" s="396"/>
      <c r="B254" s="152"/>
      <c r="C254" s="437"/>
      <c r="D254" s="7"/>
      <c r="E254" s="7"/>
      <c r="F254" s="7"/>
      <c r="G254" s="376"/>
      <c r="H254" s="439" t="s">
        <v>457</v>
      </c>
      <c r="I254" s="14" t="s">
        <v>458</v>
      </c>
      <c r="J254" s="7"/>
      <c r="K254" s="28" t="s">
        <v>459</v>
      </c>
      <c r="L254" s="28" t="s">
        <v>135</v>
      </c>
      <c r="M254" s="440"/>
      <c r="N254" s="376"/>
      <c r="O254" s="376"/>
      <c r="P254" s="102" t="s">
        <v>127</v>
      </c>
      <c r="Q254" s="28">
        <v>1</v>
      </c>
      <c r="R254" s="7"/>
      <c r="S254" s="7"/>
      <c r="T254" s="7"/>
      <c r="U254" s="7"/>
      <c r="V254" s="112"/>
    </row>
    <row r="255" spans="1:22" ht="18" hidden="1" customHeight="1">
      <c r="A255" s="396"/>
      <c r="B255" s="152"/>
      <c r="C255" s="437"/>
      <c r="D255" s="7"/>
      <c r="E255" s="7"/>
      <c r="F255" s="7"/>
      <c r="G255" s="376"/>
      <c r="H255" s="439"/>
      <c r="I255" s="14"/>
      <c r="J255" s="7"/>
      <c r="K255" s="28"/>
      <c r="L255" s="28"/>
      <c r="M255" s="440"/>
      <c r="N255" s="376"/>
      <c r="O255" s="376"/>
      <c r="P255" s="102"/>
      <c r="Q255" s="28"/>
      <c r="R255" s="7"/>
      <c r="S255" s="7"/>
      <c r="T255" s="7"/>
      <c r="U255" s="7"/>
      <c r="V255" s="112"/>
    </row>
    <row r="256" spans="1:22" ht="18" hidden="1" customHeight="1">
      <c r="A256" s="96" t="s">
        <v>460</v>
      </c>
      <c r="B256" s="152"/>
      <c r="C256" s="437"/>
      <c r="D256" s="376"/>
      <c r="E256" s="437"/>
      <c r="F256" s="376"/>
      <c r="G256" s="376"/>
      <c r="H256" s="152"/>
      <c r="I256" s="7"/>
      <c r="J256" s="7"/>
      <c r="K256" s="121"/>
      <c r="L256" s="121"/>
      <c r="M256" s="7"/>
      <c r="N256" s="376"/>
      <c r="O256" s="376"/>
      <c r="P256" s="153"/>
      <c r="Q256" s="438"/>
      <c r="V256" s="10"/>
    </row>
    <row r="257" spans="1:22" ht="18" hidden="1" customHeight="1">
      <c r="A257" s="96" t="s">
        <v>461</v>
      </c>
      <c r="B257" s="152"/>
      <c r="C257" s="437"/>
      <c r="D257" s="376"/>
      <c r="E257" s="437"/>
      <c r="F257" s="376"/>
      <c r="G257" s="376"/>
      <c r="H257" s="152"/>
      <c r="I257" s="7"/>
      <c r="J257" s="7"/>
      <c r="K257" s="121"/>
      <c r="L257" s="121"/>
      <c r="M257" s="7"/>
      <c r="N257" s="376"/>
      <c r="O257" s="376"/>
      <c r="P257" s="153"/>
      <c r="Q257" s="438"/>
      <c r="V257" s="10"/>
    </row>
    <row r="258" spans="1:22" ht="18" hidden="1" customHeight="1">
      <c r="A258" s="396"/>
      <c r="B258" s="152"/>
      <c r="C258" s="437"/>
      <c r="D258" s="7"/>
      <c r="E258" s="7"/>
      <c r="F258" s="7"/>
      <c r="G258" s="376"/>
      <c r="H258" s="439" t="s">
        <v>457</v>
      </c>
      <c r="I258" s="14" t="s">
        <v>462</v>
      </c>
      <c r="J258" s="7"/>
      <c r="K258" s="28" t="s">
        <v>459</v>
      </c>
      <c r="L258" s="28" t="s">
        <v>451</v>
      </c>
      <c r="M258" s="440"/>
      <c r="N258" s="376"/>
      <c r="O258" s="376"/>
      <c r="P258" s="102" t="s">
        <v>127</v>
      </c>
      <c r="Q258" s="28">
        <v>3</v>
      </c>
      <c r="V258" s="10"/>
    </row>
    <row r="259" spans="1:22" ht="18" hidden="1" customHeight="1">
      <c r="A259" s="396"/>
      <c r="B259" s="152"/>
      <c r="C259" s="437"/>
      <c r="D259" s="7"/>
      <c r="E259" s="7"/>
      <c r="F259" s="7"/>
      <c r="G259" s="376"/>
      <c r="H259" s="439"/>
      <c r="I259" s="14"/>
      <c r="J259" s="7"/>
      <c r="K259" s="28"/>
      <c r="L259" s="28"/>
      <c r="M259" s="440"/>
      <c r="N259" s="376"/>
      <c r="O259" s="376"/>
      <c r="P259" s="102"/>
      <c r="Q259" s="28"/>
      <c r="V259" s="10"/>
    </row>
    <row r="260" spans="1:22" ht="18" hidden="1" customHeight="1">
      <c r="A260" s="193" t="s">
        <v>416</v>
      </c>
      <c r="V260" s="10"/>
    </row>
    <row r="261" spans="1:22" ht="18" hidden="1" customHeight="1">
      <c r="A261" s="114"/>
      <c r="B261" s="7"/>
      <c r="C261" s="7"/>
      <c r="D261" s="7"/>
      <c r="E261" s="7"/>
      <c r="F261" s="7"/>
      <c r="G261" s="14" t="s">
        <v>463</v>
      </c>
      <c r="H261" s="7"/>
      <c r="I261" s="7"/>
      <c r="J261" s="7"/>
      <c r="K261" s="28" t="s">
        <v>127</v>
      </c>
      <c r="L261" s="692">
        <f>L95</f>
        <v>47.727272727272727</v>
      </c>
      <c r="M261" s="689"/>
      <c r="N261" s="28" t="s">
        <v>464</v>
      </c>
      <c r="O261" s="28" t="s">
        <v>135</v>
      </c>
      <c r="P261" s="28" t="s">
        <v>127</v>
      </c>
      <c r="Q261" s="28">
        <f>IF(L261&lt;=400,Q254,Q255)</f>
        <v>1</v>
      </c>
      <c r="R261" s="7"/>
      <c r="S261" s="7"/>
      <c r="T261" s="7"/>
      <c r="V261" s="10"/>
    </row>
    <row r="262" spans="1:22" ht="18" hidden="1" customHeight="1">
      <c r="A262" s="799" t="s">
        <v>417</v>
      </c>
      <c r="B262" s="800"/>
      <c r="C262" s="800"/>
      <c r="D262" s="808">
        <f>R242</f>
        <v>50000</v>
      </c>
      <c r="E262" s="818"/>
      <c r="F262" s="805" t="s">
        <v>315</v>
      </c>
      <c r="G262" s="809">
        <f>R245</f>
        <v>1</v>
      </c>
      <c r="H262" s="821"/>
      <c r="I262" s="805" t="s">
        <v>315</v>
      </c>
      <c r="J262" s="822">
        <f>Q261</f>
        <v>1</v>
      </c>
      <c r="K262" s="805" t="s">
        <v>315</v>
      </c>
      <c r="L262" s="808" t="s">
        <v>419</v>
      </c>
      <c r="M262" s="815">
        <f>R247</f>
        <v>3</v>
      </c>
      <c r="N262" s="816" t="s">
        <v>347</v>
      </c>
      <c r="O262" s="817">
        <f>R248</f>
        <v>1.0970224400000002</v>
      </c>
      <c r="P262" s="805" t="s">
        <v>347</v>
      </c>
      <c r="Q262" s="807">
        <f>R249</f>
        <v>0.02</v>
      </c>
      <c r="R262" s="807"/>
      <c r="S262" s="807"/>
      <c r="T262" s="798" t="s">
        <v>350</v>
      </c>
      <c r="U262" s="230" t="s">
        <v>422</v>
      </c>
      <c r="V262" s="112"/>
    </row>
    <row r="263" spans="1:22" ht="18" hidden="1" customHeight="1">
      <c r="A263" s="801"/>
      <c r="B263" s="800"/>
      <c r="C263" s="800"/>
      <c r="D263" s="818"/>
      <c r="E263" s="818"/>
      <c r="F263" s="805"/>
      <c r="G263" s="805" t="str">
        <f>R241</f>
        <v>-</v>
      </c>
      <c r="H263" s="818"/>
      <c r="I263" s="805"/>
      <c r="J263" s="805"/>
      <c r="K263" s="805"/>
      <c r="L263" s="808"/>
      <c r="M263" s="815"/>
      <c r="N263" s="816"/>
      <c r="O263" s="815"/>
      <c r="P263" s="805"/>
      <c r="Q263" s="221">
        <f>R246</f>
        <v>1</v>
      </c>
      <c r="R263" s="221" t="s">
        <v>315</v>
      </c>
      <c r="S263" s="221">
        <f>R246</f>
        <v>1</v>
      </c>
      <c r="T263" s="798"/>
      <c r="U263" s="7"/>
      <c r="V263" s="112"/>
    </row>
    <row r="264" spans="1:22" ht="18" hidden="1" customHeight="1">
      <c r="A264" s="9"/>
      <c r="V264" s="10"/>
    </row>
    <row r="265" spans="1:22" ht="18" hidden="1" customHeight="1">
      <c r="A265" s="9"/>
      <c r="C265" s="27" t="s">
        <v>127</v>
      </c>
      <c r="D265" s="819" t="e">
        <f>D262*(G262/G263)*J262*(M262+O262+(Q262/(Q263*S263)))</f>
        <v>#VALUE!</v>
      </c>
      <c r="E265" s="820"/>
      <c r="F265" s="27" t="s">
        <v>305</v>
      </c>
      <c r="V265" s="10"/>
    </row>
    <row r="266" spans="1:22" ht="18" hidden="1" customHeight="1">
      <c r="A266" s="9"/>
      <c r="V266" s="10"/>
    </row>
    <row r="267" spans="1:22" ht="18" hidden="1" customHeight="1">
      <c r="A267" s="193" t="s">
        <v>465</v>
      </c>
      <c r="V267" s="10"/>
    </row>
    <row r="268" spans="1:22" ht="18" hidden="1" customHeight="1">
      <c r="A268" s="9"/>
      <c r="E268" s="30" t="s">
        <v>466</v>
      </c>
      <c r="K268" s="27" t="s">
        <v>127</v>
      </c>
      <c r="L268" s="795">
        <f>L102</f>
        <v>41.979419477826461</v>
      </c>
      <c r="M268" s="684"/>
      <c r="N268" s="27" t="s">
        <v>464</v>
      </c>
      <c r="O268" s="28" t="s">
        <v>451</v>
      </c>
      <c r="P268" s="27" t="s">
        <v>127</v>
      </c>
      <c r="Q268" s="27">
        <f>IF(L268&lt;=200,Q258,Q259)</f>
        <v>3</v>
      </c>
      <c r="V268" s="10"/>
    </row>
    <row r="269" spans="1:22" ht="18" hidden="1" customHeight="1">
      <c r="A269" s="799" t="s">
        <v>417</v>
      </c>
      <c r="B269" s="800"/>
      <c r="C269" s="800"/>
      <c r="D269" s="814">
        <f>R243</f>
        <v>43584.822413584639</v>
      </c>
      <c r="E269" s="811"/>
      <c r="F269" s="805" t="s">
        <v>315</v>
      </c>
      <c r="G269" s="809">
        <f>R245</f>
        <v>1</v>
      </c>
      <c r="H269" s="810"/>
      <c r="I269" s="805" t="s">
        <v>315</v>
      </c>
      <c r="J269" s="852">
        <f>Q268</f>
        <v>3</v>
      </c>
      <c r="K269" s="805" t="s">
        <v>315</v>
      </c>
      <c r="L269" s="808" t="s">
        <v>419</v>
      </c>
      <c r="M269" s="815">
        <f>R247</f>
        <v>3</v>
      </c>
      <c r="N269" s="816" t="s">
        <v>347</v>
      </c>
      <c r="O269" s="817">
        <f>R248</f>
        <v>1.0970224400000002</v>
      </c>
      <c r="P269" s="805" t="s">
        <v>347</v>
      </c>
      <c r="Q269" s="807">
        <f>R249</f>
        <v>0.02</v>
      </c>
      <c r="R269" s="807"/>
      <c r="S269" s="807"/>
      <c r="T269" s="798" t="s">
        <v>350</v>
      </c>
      <c r="U269" s="230" t="s">
        <v>426</v>
      </c>
      <c r="V269" s="112"/>
    </row>
    <row r="270" spans="1:22" ht="18" hidden="1" customHeight="1">
      <c r="A270" s="801"/>
      <c r="B270" s="800"/>
      <c r="C270" s="800"/>
      <c r="D270" s="811"/>
      <c r="E270" s="811"/>
      <c r="F270" s="805"/>
      <c r="G270" s="805" t="str">
        <f>R241</f>
        <v>-</v>
      </c>
      <c r="H270" s="811"/>
      <c r="I270" s="805"/>
      <c r="J270" s="805"/>
      <c r="K270" s="805"/>
      <c r="L270" s="808"/>
      <c r="M270" s="815"/>
      <c r="N270" s="816"/>
      <c r="O270" s="815"/>
      <c r="P270" s="805"/>
      <c r="Q270" s="221">
        <f>R246</f>
        <v>1</v>
      </c>
      <c r="R270" s="221" t="s">
        <v>315</v>
      </c>
      <c r="S270" s="221">
        <f>R246</f>
        <v>1</v>
      </c>
      <c r="T270" s="798"/>
      <c r="U270" s="7"/>
      <c r="V270" s="112"/>
    </row>
    <row r="271" spans="1:22" ht="18" hidden="1" customHeight="1">
      <c r="A271" s="9"/>
      <c r="V271" s="10"/>
    </row>
    <row r="272" spans="1:22" ht="18" hidden="1" customHeight="1">
      <c r="A272" s="9"/>
      <c r="C272" s="27" t="s">
        <v>127</v>
      </c>
      <c r="D272" s="819" t="e">
        <f>D269*(G269/G270)*J269*(M269+O269+(Q269/(Q270*S270)))</f>
        <v>#VALUE!</v>
      </c>
      <c r="E272" s="820"/>
      <c r="F272" s="27" t="s">
        <v>305</v>
      </c>
      <c r="V272" s="10"/>
    </row>
    <row r="273" spans="1:22" ht="18" hidden="1" customHeight="1">
      <c r="A273" s="9"/>
      <c r="V273" s="10"/>
    </row>
    <row r="274" spans="1:22" ht="18" hidden="1" customHeight="1">
      <c r="A274" s="193" t="s">
        <v>467</v>
      </c>
      <c r="V274" s="10"/>
    </row>
    <row r="275" spans="1:22" ht="18" hidden="1" customHeight="1">
      <c r="A275" s="9"/>
      <c r="E275" s="30" t="s">
        <v>468</v>
      </c>
      <c r="K275" s="27" t="s">
        <v>127</v>
      </c>
      <c r="L275" s="795">
        <f>L109</f>
        <v>29.635036773964003</v>
      </c>
      <c r="M275" s="684"/>
      <c r="N275" s="27" t="s">
        <v>464</v>
      </c>
      <c r="O275" s="28" t="s">
        <v>451</v>
      </c>
      <c r="P275" s="27" t="s">
        <v>127</v>
      </c>
      <c r="Q275" s="27">
        <f>IF(L275&lt;=200,Q258,Q259)</f>
        <v>3</v>
      </c>
      <c r="V275" s="10"/>
    </row>
    <row r="276" spans="1:22" ht="18" hidden="1" customHeight="1">
      <c r="A276" s="799" t="s">
        <v>417</v>
      </c>
      <c r="B276" s="800"/>
      <c r="C276" s="800"/>
      <c r="D276" s="814">
        <f>R244</f>
        <v>44648.255952235893</v>
      </c>
      <c r="E276" s="811"/>
      <c r="F276" s="805" t="s">
        <v>315</v>
      </c>
      <c r="G276" s="809">
        <f>R245</f>
        <v>1</v>
      </c>
      <c r="H276" s="810"/>
      <c r="I276" s="805" t="s">
        <v>315</v>
      </c>
      <c r="J276" s="852">
        <f>Q275</f>
        <v>3</v>
      </c>
      <c r="K276" s="805" t="s">
        <v>315</v>
      </c>
      <c r="L276" s="808" t="s">
        <v>419</v>
      </c>
      <c r="M276" s="815">
        <f>R247</f>
        <v>3</v>
      </c>
      <c r="N276" s="816" t="s">
        <v>347</v>
      </c>
      <c r="O276" s="817">
        <f>R248</f>
        <v>1.0970224400000002</v>
      </c>
      <c r="P276" s="805" t="s">
        <v>347</v>
      </c>
      <c r="Q276" s="807">
        <f>R249</f>
        <v>0.02</v>
      </c>
      <c r="R276" s="807"/>
      <c r="S276" s="807"/>
      <c r="T276" s="798" t="s">
        <v>350</v>
      </c>
      <c r="U276" s="230" t="s">
        <v>426</v>
      </c>
      <c r="V276" s="112"/>
    </row>
    <row r="277" spans="1:22" ht="18" hidden="1" customHeight="1">
      <c r="A277" s="801"/>
      <c r="B277" s="800"/>
      <c r="C277" s="800"/>
      <c r="D277" s="811"/>
      <c r="E277" s="811"/>
      <c r="F277" s="805"/>
      <c r="G277" s="805" t="str">
        <f>R241</f>
        <v>-</v>
      </c>
      <c r="H277" s="811"/>
      <c r="I277" s="805"/>
      <c r="J277" s="805"/>
      <c r="K277" s="805"/>
      <c r="L277" s="808"/>
      <c r="M277" s="815"/>
      <c r="N277" s="816"/>
      <c r="O277" s="815"/>
      <c r="P277" s="805"/>
      <c r="Q277" s="221">
        <f>R246</f>
        <v>1</v>
      </c>
      <c r="R277" s="221" t="s">
        <v>315</v>
      </c>
      <c r="S277" s="221">
        <f>R246</f>
        <v>1</v>
      </c>
      <c r="T277" s="798"/>
      <c r="U277" s="7"/>
      <c r="V277" s="112"/>
    </row>
    <row r="278" spans="1:22" ht="18" hidden="1" customHeight="1">
      <c r="A278" s="9"/>
      <c r="V278" s="10"/>
    </row>
    <row r="279" spans="1:22" ht="18" hidden="1" customHeight="1">
      <c r="A279" s="9"/>
      <c r="C279" s="27" t="s">
        <v>127</v>
      </c>
      <c r="D279" s="819" t="e">
        <f>D276*(G276/G277)*J276*(M276+O276+(Q276/(Q277*S277)))</f>
        <v>#VALUE!</v>
      </c>
      <c r="E279" s="820"/>
      <c r="F279" s="27" t="s">
        <v>305</v>
      </c>
      <c r="V279" s="10"/>
    </row>
    <row r="280" spans="1:22" ht="18" hidden="1" customHeight="1">
      <c r="A280" s="9"/>
      <c r="V280" s="10"/>
    </row>
    <row r="281" spans="1:22" ht="18" hidden="1" customHeight="1">
      <c r="A281" s="184" t="s">
        <v>469</v>
      </c>
      <c r="M281" s="825" t="str">
        <f>J176</f>
        <v>-</v>
      </c>
      <c r="N281" s="826"/>
      <c r="O281" s="30" t="s">
        <v>470</v>
      </c>
      <c r="Q281" s="812" t="e">
        <f>MAX(D216,D222,D228,D265,D272,D279)</f>
        <v>#VALUE!</v>
      </c>
      <c r="R281" s="820"/>
      <c r="S281" s="30" t="s">
        <v>305</v>
      </c>
      <c r="V281" s="10"/>
    </row>
    <row r="282" spans="1:22" ht="18" hidden="1" customHeight="1">
      <c r="A282" s="351" t="s">
        <v>471</v>
      </c>
      <c r="B282" s="7"/>
      <c r="C282" s="7"/>
      <c r="D282" s="441"/>
      <c r="E282" s="7"/>
      <c r="F282" s="7"/>
      <c r="G282" s="372"/>
      <c r="H282" s="7"/>
      <c r="J282" s="7"/>
      <c r="K282" s="7"/>
      <c r="L282" s="7"/>
      <c r="M282" s="7"/>
      <c r="N282" s="7"/>
      <c r="O282" s="7"/>
      <c r="P282" s="250"/>
      <c r="Q282" s="251"/>
      <c r="R282" s="372"/>
      <c r="S282" s="7"/>
      <c r="V282" s="10"/>
    </row>
    <row r="283" spans="1:22" ht="18" hidden="1" customHeight="1">
      <c r="A283" s="96" t="s">
        <v>472</v>
      </c>
      <c r="V283" s="10"/>
    </row>
    <row r="284" spans="1:22" ht="18" hidden="1" customHeight="1">
      <c r="A284" s="9"/>
      <c r="N284" s="7"/>
      <c r="O284" s="28" t="s">
        <v>473</v>
      </c>
      <c r="P284" s="102" t="s">
        <v>127</v>
      </c>
      <c r="Q284" s="694" t="s">
        <v>474</v>
      </c>
      <c r="R284" s="694"/>
      <c r="S284" s="28" t="s">
        <v>315</v>
      </c>
      <c r="T284" s="28">
        <v>0.8</v>
      </c>
      <c r="V284" s="10"/>
    </row>
    <row r="285" spans="1:22" ht="18" hidden="1" customHeight="1">
      <c r="A285" s="9"/>
      <c r="N285" s="252"/>
      <c r="O285" s="28"/>
      <c r="P285" s="102" t="s">
        <v>127</v>
      </c>
      <c r="Q285" s="829" t="e">
        <f>+Q281</f>
        <v>#VALUE!</v>
      </c>
      <c r="R285" s="708"/>
      <c r="S285" s="222" t="s">
        <v>315</v>
      </c>
      <c r="T285" s="253">
        <f>+T284</f>
        <v>0.8</v>
      </c>
      <c r="V285" s="10"/>
    </row>
    <row r="286" spans="1:22" ht="18" hidden="1" customHeight="1">
      <c r="A286" s="9"/>
      <c r="O286" s="28"/>
      <c r="P286" s="28" t="s">
        <v>127</v>
      </c>
      <c r="Q286" s="830" t="e">
        <f>Q285*T285</f>
        <v>#VALUE!</v>
      </c>
      <c r="R286" s="776"/>
      <c r="S286" s="28" t="s">
        <v>305</v>
      </c>
      <c r="T286" s="28"/>
      <c r="V286" s="10"/>
    </row>
    <row r="287" spans="1:22" ht="18" hidden="1" customHeight="1">
      <c r="A287" s="9"/>
      <c r="D287" s="30" t="s">
        <v>475</v>
      </c>
      <c r="G287" s="27" t="e">
        <f>IF(E288&gt;H288,"&gt;","&lt;")</f>
        <v>#VALUE!</v>
      </c>
      <c r="H287" s="296" t="s">
        <v>477</v>
      </c>
      <c r="I287" s="27"/>
      <c r="O287" s="7"/>
      <c r="P287" s="7"/>
      <c r="Q287" s="7"/>
      <c r="R287" s="7"/>
      <c r="S287" s="7"/>
      <c r="T287" s="7"/>
      <c r="V287" s="10"/>
    </row>
    <row r="288" spans="1:22" ht="18" hidden="1" customHeight="1">
      <c r="A288" s="9"/>
      <c r="E288" s="684">
        <f>J179</f>
        <v>200</v>
      </c>
      <c r="F288" s="684"/>
      <c r="G288" s="27" t="e">
        <f>G287</f>
        <v>#VALUE!</v>
      </c>
      <c r="H288" s="795" t="e">
        <f>Q286</f>
        <v>#VALUE!</v>
      </c>
      <c r="I288" s="684"/>
      <c r="V288" s="10"/>
    </row>
    <row r="289" spans="1:29" ht="18" hidden="1" customHeight="1">
      <c r="A289" s="9"/>
      <c r="F289" s="244" t="s">
        <v>478</v>
      </c>
      <c r="H289" s="18" t="e">
        <f>IF(G287="&gt;","Suitably Dimensioned","Under Dimensioned")</f>
        <v>#VALUE!</v>
      </c>
      <c r="V289" s="10"/>
    </row>
    <row r="290" spans="1:29" ht="18" hidden="1" customHeight="1">
      <c r="A290" s="9"/>
      <c r="F290" s="244"/>
      <c r="H290" s="18"/>
      <c r="V290" s="10"/>
    </row>
    <row r="291" spans="1:29" s="7" customFormat="1" ht="18" hidden="1" customHeight="1">
      <c r="A291" s="382"/>
      <c r="B291" s="20"/>
      <c r="C291" s="20"/>
      <c r="D291" s="20"/>
      <c r="E291" s="20"/>
      <c r="F291" s="20"/>
      <c r="G291" s="20"/>
      <c r="H291" s="20"/>
      <c r="I291" s="20"/>
      <c r="J291" s="20"/>
      <c r="K291" s="20"/>
      <c r="L291" s="20"/>
      <c r="M291" s="20"/>
      <c r="N291" s="20"/>
      <c r="O291" s="20"/>
      <c r="P291" s="20"/>
      <c r="Q291" s="21"/>
      <c r="R291" s="22"/>
      <c r="S291" s="23"/>
      <c r="T291" s="20"/>
      <c r="U291" s="20"/>
      <c r="V291" s="134"/>
    </row>
    <row r="292" spans="1:29" ht="18" hidden="1" customHeight="1">
      <c r="A292" s="442"/>
      <c r="B292" s="384"/>
      <c r="C292" s="384"/>
      <c r="D292" s="384"/>
      <c r="E292" s="384"/>
      <c r="F292" s="384"/>
      <c r="G292" s="384"/>
      <c r="H292" s="384"/>
      <c r="I292" s="384"/>
      <c r="J292" s="384"/>
      <c r="K292" s="384"/>
      <c r="L292" s="384"/>
      <c r="M292" s="384"/>
      <c r="N292" s="384"/>
      <c r="O292" s="384"/>
      <c r="P292" s="384"/>
      <c r="Q292" s="384"/>
      <c r="R292" s="384"/>
      <c r="S292" s="384"/>
      <c r="T292" s="384"/>
      <c r="U292" s="384"/>
      <c r="V292" s="395"/>
    </row>
    <row r="293" spans="1:29" ht="18" hidden="1" customHeight="1">
      <c r="A293" s="9"/>
      <c r="B293" s="854" t="str">
        <f>B173</f>
        <v>T1</v>
      </c>
      <c r="C293" s="831"/>
      <c r="D293" s="855" t="str">
        <f>D173</f>
        <v>Core1</v>
      </c>
      <c r="E293" s="856"/>
      <c r="F293" s="689">
        <f>F173</f>
        <v>0</v>
      </c>
      <c r="G293" s="689"/>
      <c r="H293" s="689" t="str">
        <f>H173</f>
        <v>(Diff. + Dist.)</v>
      </c>
      <c r="I293" s="689"/>
      <c r="J293" s="689"/>
      <c r="K293" s="689"/>
      <c r="L293" s="689"/>
      <c r="M293" s="689"/>
      <c r="P293" s="186"/>
      <c r="S293" s="187" t="s">
        <v>387</v>
      </c>
      <c r="T293" s="854" t="str">
        <f>T173</f>
        <v>RED670</v>
      </c>
      <c r="U293" s="831"/>
      <c r="V293" s="10"/>
    </row>
    <row r="294" spans="1:29" ht="18" hidden="1" customHeight="1">
      <c r="A294" s="9"/>
      <c r="B294" s="853">
        <f>B174</f>
        <v>0</v>
      </c>
      <c r="C294" s="853"/>
      <c r="D294" s="857"/>
      <c r="E294" s="858"/>
      <c r="F294" s="448"/>
      <c r="T294" s="854">
        <f>T174</f>
        <v>0</v>
      </c>
      <c r="U294" s="831"/>
      <c r="V294" s="10"/>
    </row>
    <row r="295" spans="1:29" ht="18" hidden="1" customHeight="1">
      <c r="A295" s="9"/>
      <c r="H295" s="708" t="s">
        <v>390</v>
      </c>
      <c r="I295" s="708"/>
      <c r="J295" s="790" t="s">
        <v>391</v>
      </c>
      <c r="K295" s="790"/>
      <c r="L295" s="789" t="s">
        <v>392</v>
      </c>
      <c r="M295" s="789"/>
      <c r="T295" s="854">
        <f>T175</f>
        <v>0</v>
      </c>
      <c r="U295" s="831"/>
      <c r="V295" s="10"/>
    </row>
    <row r="296" spans="1:29" ht="18" hidden="1" customHeight="1">
      <c r="A296" s="9"/>
      <c r="B296" s="47" t="s">
        <v>393</v>
      </c>
      <c r="H296" s="854">
        <f>H176</f>
        <v>2500</v>
      </c>
      <c r="I296" s="831"/>
      <c r="J296" s="854" t="str">
        <f>J176</f>
        <v>-</v>
      </c>
      <c r="K296" s="831"/>
      <c r="L296" s="863" t="str">
        <f>L176</f>
        <v>-</v>
      </c>
      <c r="M296" s="864"/>
      <c r="N296" s="123" t="s">
        <v>342</v>
      </c>
      <c r="O296" s="256">
        <f>O176</f>
        <v>1</v>
      </c>
      <c r="P296" s="425" t="s">
        <v>8</v>
      </c>
      <c r="V296" s="10"/>
    </row>
    <row r="297" spans="1:29" ht="18" hidden="1" customHeight="1">
      <c r="A297" s="9"/>
      <c r="B297" s="47" t="s">
        <v>394</v>
      </c>
      <c r="L297" s="854" t="str">
        <f>J177</f>
        <v>PX-A</v>
      </c>
      <c r="M297" s="831"/>
      <c r="V297" s="10"/>
    </row>
    <row r="298" spans="1:29" ht="18" hidden="1" customHeight="1">
      <c r="A298" s="9"/>
      <c r="B298" s="47" t="s">
        <v>396</v>
      </c>
      <c r="K298" s="120" t="s">
        <v>497</v>
      </c>
      <c r="L298" s="781" t="s">
        <v>6</v>
      </c>
      <c r="M298" s="782"/>
      <c r="N298" s="192" t="s">
        <v>333</v>
      </c>
      <c r="V298" s="10"/>
    </row>
    <row r="299" spans="1:29" ht="18" hidden="1" customHeight="1">
      <c r="A299" s="9"/>
      <c r="B299" s="47" t="s">
        <v>398</v>
      </c>
      <c r="K299" s="120" t="s">
        <v>498</v>
      </c>
      <c r="L299" s="781" t="s">
        <v>6</v>
      </c>
      <c r="M299" s="782"/>
      <c r="N299" s="14" t="s">
        <v>305</v>
      </c>
      <c r="V299" s="10"/>
      <c r="W299" s="30" t="s">
        <v>400</v>
      </c>
      <c r="AB299" s="785" t="e">
        <f>Q415</f>
        <v>#VALUE!</v>
      </c>
      <c r="AC299" s="786"/>
    </row>
    <row r="300" spans="1:29" ht="18" hidden="1" customHeight="1">
      <c r="A300" s="9"/>
      <c r="B300" s="14" t="s">
        <v>401</v>
      </c>
      <c r="K300" s="120" t="s">
        <v>402</v>
      </c>
      <c r="L300" s="781" t="s">
        <v>6</v>
      </c>
      <c r="M300" s="782"/>
      <c r="N300" s="14" t="s">
        <v>403</v>
      </c>
      <c r="V300" s="10"/>
    </row>
    <row r="301" spans="1:29" ht="18" hidden="1" customHeight="1">
      <c r="A301" s="9"/>
      <c r="V301" s="10"/>
    </row>
    <row r="302" spans="1:29" ht="18" hidden="1" customHeight="1">
      <c r="A302" s="116" t="s">
        <v>404</v>
      </c>
      <c r="V302" s="10"/>
    </row>
    <row r="303" spans="1:29" ht="18" hidden="1" customHeight="1">
      <c r="A303" s="9"/>
      <c r="V303" s="10"/>
    </row>
    <row r="304" spans="1:29" ht="18" hidden="1" customHeight="1">
      <c r="A304" s="9"/>
      <c r="B304" s="194" t="s">
        <v>405</v>
      </c>
      <c r="C304" s="195"/>
      <c r="D304" s="195" t="str">
        <f>T293</f>
        <v>RED670</v>
      </c>
      <c r="E304" s="423"/>
      <c r="F304" s="423"/>
      <c r="G304" s="423"/>
      <c r="H304" s="182" t="s">
        <v>406</v>
      </c>
      <c r="I304" s="183" t="s">
        <v>127</v>
      </c>
      <c r="J304" s="766">
        <f>J184</f>
        <v>0.02</v>
      </c>
      <c r="K304" s="859"/>
      <c r="L304" s="202" t="s">
        <v>157</v>
      </c>
      <c r="N304" s="197" t="s">
        <v>407</v>
      </c>
      <c r="V304" s="10"/>
    </row>
    <row r="305" spans="1:22" ht="18" hidden="1" customHeight="1">
      <c r="A305" s="9"/>
      <c r="B305" s="184" t="s">
        <v>405</v>
      </c>
      <c r="D305" s="424">
        <f>T294</f>
        <v>0</v>
      </c>
      <c r="I305" s="28" t="s">
        <v>127</v>
      </c>
      <c r="J305" s="766">
        <f>J185</f>
        <v>0</v>
      </c>
      <c r="K305" s="796"/>
      <c r="L305" s="297" t="s">
        <v>157</v>
      </c>
      <c r="V305" s="10"/>
    </row>
    <row r="306" spans="1:22" ht="18" hidden="1" customHeight="1">
      <c r="A306" s="9"/>
      <c r="B306" s="184" t="s">
        <v>405</v>
      </c>
      <c r="D306" s="424">
        <f>T295</f>
        <v>0</v>
      </c>
      <c r="E306" s="14"/>
      <c r="G306" s="199"/>
      <c r="H306" s="425"/>
      <c r="I306" s="101" t="s">
        <v>127</v>
      </c>
      <c r="J306" s="696">
        <f>J186</f>
        <v>0</v>
      </c>
      <c r="K306" s="860"/>
      <c r="L306" s="426" t="s">
        <v>157</v>
      </c>
      <c r="N306" s="27" t="s">
        <v>408</v>
      </c>
      <c r="O306" s="27" t="s">
        <v>127</v>
      </c>
      <c r="P306" s="27" t="s">
        <v>409</v>
      </c>
      <c r="Q306" s="191" t="s">
        <v>410</v>
      </c>
      <c r="R306" s="27" t="s">
        <v>411</v>
      </c>
      <c r="S306" s="27" t="s">
        <v>315</v>
      </c>
      <c r="T306" s="27" t="s">
        <v>411</v>
      </c>
      <c r="U306" s="30" t="s">
        <v>350</v>
      </c>
      <c r="V306" s="10"/>
    </row>
    <row r="307" spans="1:22" ht="18" hidden="1" customHeight="1">
      <c r="A307" s="9"/>
      <c r="B307" s="184" t="s">
        <v>412</v>
      </c>
      <c r="H307" s="425"/>
      <c r="I307" s="427" t="s">
        <v>127</v>
      </c>
      <c r="J307" s="861">
        <f>J187</f>
        <v>1.0770224400000001</v>
      </c>
      <c r="K307" s="862"/>
      <c r="L307" s="426" t="s">
        <v>157</v>
      </c>
      <c r="O307" s="27" t="s">
        <v>127</v>
      </c>
      <c r="P307" s="211">
        <f>J308</f>
        <v>1.0770224400000001</v>
      </c>
      <c r="Q307" s="191" t="s">
        <v>410</v>
      </c>
      <c r="R307" s="27">
        <f>O296</f>
        <v>1</v>
      </c>
      <c r="S307" s="27" t="s">
        <v>315</v>
      </c>
      <c r="T307" s="27">
        <f>O296</f>
        <v>1</v>
      </c>
      <c r="U307" s="30" t="s">
        <v>350</v>
      </c>
      <c r="V307" s="10"/>
    </row>
    <row r="308" spans="1:22" ht="18" hidden="1" customHeight="1">
      <c r="A308" s="9"/>
      <c r="B308" s="205" t="s">
        <v>413</v>
      </c>
      <c r="C308" s="206"/>
      <c r="D308" s="206"/>
      <c r="E308" s="206"/>
      <c r="F308" s="346"/>
      <c r="G308" s="346"/>
      <c r="H308" s="190" t="s">
        <v>409</v>
      </c>
      <c r="I308" s="208" t="s">
        <v>127</v>
      </c>
      <c r="J308" s="766">
        <f>SUM(J305:K307)</f>
        <v>1.0770224400000001</v>
      </c>
      <c r="K308" s="796"/>
      <c r="L308" s="428" t="s">
        <v>157</v>
      </c>
      <c r="O308" s="27" t="s">
        <v>127</v>
      </c>
      <c r="P308" s="795">
        <f>P307/(R307*T307)</f>
        <v>1.0770224400000001</v>
      </c>
      <c r="Q308" s="795"/>
      <c r="R308" s="192" t="s">
        <v>333</v>
      </c>
      <c r="V308" s="10"/>
    </row>
    <row r="309" spans="1:22" ht="18" hidden="1" customHeight="1">
      <c r="A309" s="9"/>
      <c r="V309" s="10"/>
    </row>
    <row r="310" spans="1:22" ht="18" hidden="1" customHeight="1">
      <c r="A310" s="116" t="s">
        <v>414</v>
      </c>
      <c r="V310" s="10"/>
    </row>
    <row r="311" spans="1:22" ht="18" hidden="1" customHeight="1">
      <c r="A311" s="678" t="s">
        <v>499</v>
      </c>
      <c r="B311" s="679"/>
      <c r="C311" s="679"/>
      <c r="D311" s="679"/>
      <c r="E311" s="679"/>
      <c r="F311" s="679"/>
      <c r="G311" s="679"/>
      <c r="H311" s="679"/>
      <c r="I311" s="679"/>
      <c r="J311" s="679"/>
      <c r="K311" s="679"/>
      <c r="L311" s="679"/>
      <c r="M311" s="679"/>
      <c r="N311" s="679"/>
      <c r="O311" s="679"/>
      <c r="P311" s="679"/>
      <c r="Q311" s="679"/>
      <c r="R311" s="679"/>
      <c r="S311" s="679"/>
      <c r="T311" s="679"/>
      <c r="U311" s="679"/>
      <c r="V311" s="680"/>
    </row>
    <row r="312" spans="1:22" ht="18" hidden="1" customHeight="1">
      <c r="A312" s="678"/>
      <c r="B312" s="679"/>
      <c r="C312" s="679"/>
      <c r="D312" s="679"/>
      <c r="E312" s="679"/>
      <c r="F312" s="679"/>
      <c r="G312" s="679"/>
      <c r="H312" s="679"/>
      <c r="I312" s="679"/>
      <c r="J312" s="679"/>
      <c r="K312" s="679"/>
      <c r="L312" s="679"/>
      <c r="M312" s="679"/>
      <c r="N312" s="679"/>
      <c r="O312" s="679"/>
      <c r="P312" s="679"/>
      <c r="Q312" s="679"/>
      <c r="R312" s="679"/>
      <c r="S312" s="679"/>
      <c r="T312" s="679"/>
      <c r="U312" s="679"/>
      <c r="V312" s="680"/>
    </row>
    <row r="313" spans="1:22" ht="18" hidden="1" customHeight="1">
      <c r="A313" s="193" t="s">
        <v>416</v>
      </c>
      <c r="V313" s="10"/>
    </row>
    <row r="314" spans="1:22" ht="18" hidden="1" customHeight="1">
      <c r="A314" s="799" t="s">
        <v>417</v>
      </c>
      <c r="B314" s="800"/>
      <c r="C314" s="800"/>
      <c r="D314" s="14"/>
      <c r="E314" s="7"/>
      <c r="F314" s="802" t="s">
        <v>418</v>
      </c>
      <c r="G314" s="804"/>
      <c r="H314" s="689" t="s">
        <v>315</v>
      </c>
      <c r="I314" s="708" t="s">
        <v>411</v>
      </c>
      <c r="J314" s="803"/>
      <c r="K314" s="689" t="s">
        <v>315</v>
      </c>
      <c r="L314" s="802" t="s">
        <v>419</v>
      </c>
      <c r="M314" s="689" t="s">
        <v>420</v>
      </c>
      <c r="N314" s="729" t="s">
        <v>347</v>
      </c>
      <c r="O314" s="689" t="s">
        <v>408</v>
      </c>
      <c r="P314" s="689" t="s">
        <v>347</v>
      </c>
      <c r="Q314" s="759" t="s">
        <v>421</v>
      </c>
      <c r="R314" s="797"/>
      <c r="S314" s="797"/>
      <c r="T314" s="798" t="s">
        <v>350</v>
      </c>
      <c r="U314" s="230" t="s">
        <v>422</v>
      </c>
      <c r="V314" s="112"/>
    </row>
    <row r="315" spans="1:22" ht="18" hidden="1" customHeight="1">
      <c r="A315" s="801"/>
      <c r="B315" s="800"/>
      <c r="C315" s="800"/>
      <c r="D315" s="14"/>
      <c r="E315" s="7"/>
      <c r="F315" s="804"/>
      <c r="G315" s="804"/>
      <c r="H315" s="689"/>
      <c r="I315" s="689" t="s">
        <v>423</v>
      </c>
      <c r="J315" s="804"/>
      <c r="K315" s="689"/>
      <c r="L315" s="802"/>
      <c r="M315" s="689"/>
      <c r="N315" s="729"/>
      <c r="O315" s="689"/>
      <c r="P315" s="689"/>
      <c r="Q315" s="28" t="s">
        <v>146</v>
      </c>
      <c r="R315" s="28" t="s">
        <v>315</v>
      </c>
      <c r="S315" s="28" t="s">
        <v>146</v>
      </c>
      <c r="T315" s="798"/>
      <c r="U315" s="7"/>
      <c r="V315" s="112"/>
    </row>
    <row r="316" spans="1:22" ht="18" hidden="1" customHeight="1">
      <c r="A316" s="193" t="s">
        <v>424</v>
      </c>
      <c r="L316" s="429"/>
      <c r="M316" s="425"/>
      <c r="N316" s="425"/>
      <c r="O316" s="425"/>
      <c r="V316" s="10"/>
    </row>
    <row r="317" spans="1:22" ht="18" hidden="1" customHeight="1">
      <c r="A317" s="799" t="s">
        <v>417</v>
      </c>
      <c r="B317" s="800"/>
      <c r="C317" s="800"/>
      <c r="D317" s="689">
        <v>2</v>
      </c>
      <c r="E317" s="689" t="s">
        <v>315</v>
      </c>
      <c r="F317" s="802" t="s">
        <v>425</v>
      </c>
      <c r="G317" s="804"/>
      <c r="H317" s="689" t="s">
        <v>315</v>
      </c>
      <c r="I317" s="708" t="s">
        <v>411</v>
      </c>
      <c r="J317" s="803"/>
      <c r="K317" s="689" t="s">
        <v>315</v>
      </c>
      <c r="L317" s="802" t="s">
        <v>419</v>
      </c>
      <c r="M317" s="689" t="s">
        <v>420</v>
      </c>
      <c r="N317" s="729" t="s">
        <v>347</v>
      </c>
      <c r="O317" s="689" t="s">
        <v>408</v>
      </c>
      <c r="P317" s="689" t="s">
        <v>347</v>
      </c>
      <c r="Q317" s="759" t="s">
        <v>421</v>
      </c>
      <c r="R317" s="797"/>
      <c r="S317" s="797"/>
      <c r="T317" s="798" t="s">
        <v>350</v>
      </c>
      <c r="U317" s="230" t="s">
        <v>426</v>
      </c>
      <c r="V317" s="112"/>
    </row>
    <row r="318" spans="1:22" ht="18" hidden="1" customHeight="1">
      <c r="A318" s="801"/>
      <c r="B318" s="800"/>
      <c r="C318" s="800"/>
      <c r="D318" s="689"/>
      <c r="E318" s="689"/>
      <c r="F318" s="804"/>
      <c r="G318" s="804"/>
      <c r="H318" s="689"/>
      <c r="I318" s="689" t="s">
        <v>423</v>
      </c>
      <c r="J318" s="804"/>
      <c r="K318" s="689"/>
      <c r="L318" s="802"/>
      <c r="M318" s="689"/>
      <c r="N318" s="729"/>
      <c r="O318" s="689"/>
      <c r="P318" s="689"/>
      <c r="Q318" s="28" t="s">
        <v>146</v>
      </c>
      <c r="R318" s="28" t="s">
        <v>315</v>
      </c>
      <c r="S318" s="28" t="s">
        <v>146</v>
      </c>
      <c r="T318" s="798"/>
      <c r="U318" s="7"/>
      <c r="V318" s="112"/>
    </row>
    <row r="319" spans="1:22" ht="18" hidden="1" customHeight="1">
      <c r="A319" s="9"/>
      <c r="V319" s="10"/>
    </row>
    <row r="320" spans="1:22" ht="18" hidden="1" customHeight="1">
      <c r="A320" s="9"/>
      <c r="B320" s="14" t="s">
        <v>427</v>
      </c>
      <c r="C320" s="14"/>
      <c r="D320" s="103"/>
      <c r="E320" s="103"/>
      <c r="F320" s="14"/>
      <c r="G320" s="14"/>
      <c r="H320" s="5"/>
      <c r="I320" s="5"/>
      <c r="J320" s="5"/>
      <c r="P320" s="120" t="s">
        <v>428</v>
      </c>
      <c r="V320" s="10"/>
    </row>
    <row r="321" spans="1:22" ht="18" hidden="1" customHeight="1">
      <c r="A321" s="9"/>
      <c r="B321" s="14" t="s">
        <v>429</v>
      </c>
      <c r="C321" s="14"/>
      <c r="D321" s="103"/>
      <c r="E321" s="103"/>
      <c r="F321" s="14"/>
      <c r="G321" s="14"/>
      <c r="H321" s="5"/>
      <c r="I321" s="5"/>
      <c r="J321" s="5"/>
      <c r="P321" s="120" t="s">
        <v>430</v>
      </c>
      <c r="Q321" s="234" t="s">
        <v>127</v>
      </c>
      <c r="R321" s="684" t="str">
        <f>L296</f>
        <v>-</v>
      </c>
      <c r="S321" s="684"/>
      <c r="T321" s="14" t="s">
        <v>8</v>
      </c>
      <c r="V321" s="10"/>
    </row>
    <row r="322" spans="1:22" ht="18" hidden="1" customHeight="1">
      <c r="A322" s="9"/>
      <c r="B322" s="14" t="s">
        <v>431</v>
      </c>
      <c r="C322" s="14"/>
      <c r="D322" s="14"/>
      <c r="E322" s="14"/>
      <c r="F322" s="14"/>
      <c r="G322" s="14"/>
      <c r="H322" s="14"/>
      <c r="I322" s="14"/>
      <c r="J322" s="14"/>
      <c r="P322" s="120" t="s">
        <v>418</v>
      </c>
      <c r="Q322" s="234" t="s">
        <v>127</v>
      </c>
      <c r="R322" s="684">
        <f>R202</f>
        <v>50000</v>
      </c>
      <c r="S322" s="684"/>
      <c r="T322" s="14" t="s">
        <v>8</v>
      </c>
      <c r="V322" s="10"/>
    </row>
    <row r="323" spans="1:22" ht="18" hidden="1" customHeight="1">
      <c r="A323" s="9"/>
      <c r="B323" s="14" t="s">
        <v>432</v>
      </c>
      <c r="C323" s="14"/>
      <c r="D323" s="14"/>
      <c r="E323" s="14"/>
      <c r="F323" s="14"/>
      <c r="G323" s="14"/>
      <c r="H323" s="14"/>
      <c r="I323" s="14"/>
      <c r="J323" s="14"/>
      <c r="P323" s="120" t="s">
        <v>425</v>
      </c>
      <c r="Q323" s="234" t="s">
        <v>127</v>
      </c>
      <c r="R323" s="713">
        <f>R203</f>
        <v>42229.804278926844</v>
      </c>
      <c r="S323" s="684"/>
      <c r="T323" s="14" t="s">
        <v>8</v>
      </c>
      <c r="U323" s="30" t="s">
        <v>433</v>
      </c>
      <c r="V323" s="10"/>
    </row>
    <row r="324" spans="1:22" ht="18" hidden="1" customHeight="1">
      <c r="A324" s="9"/>
      <c r="B324" s="14"/>
      <c r="C324" s="14"/>
      <c r="D324" s="14"/>
      <c r="E324" s="14"/>
      <c r="F324" s="14"/>
      <c r="G324" s="14"/>
      <c r="H324" s="14"/>
      <c r="I324" s="14"/>
      <c r="J324" s="14"/>
      <c r="P324" s="120"/>
      <c r="Q324" s="234" t="s">
        <v>127</v>
      </c>
      <c r="R324" s="713">
        <f>R204</f>
        <v>43475.278268251794</v>
      </c>
      <c r="S324" s="684"/>
      <c r="T324" s="14" t="s">
        <v>8</v>
      </c>
      <c r="U324" s="30" t="s">
        <v>434</v>
      </c>
      <c r="V324" s="10"/>
    </row>
    <row r="325" spans="1:22" ht="18" hidden="1" customHeight="1">
      <c r="A325" s="9"/>
      <c r="B325" s="14" t="s">
        <v>435</v>
      </c>
      <c r="C325" s="14"/>
      <c r="D325" s="103"/>
      <c r="E325" s="103"/>
      <c r="F325" s="14"/>
      <c r="G325" s="14"/>
      <c r="H325" s="5"/>
      <c r="I325" s="5"/>
      <c r="J325" s="5"/>
      <c r="P325" s="120" t="s">
        <v>436</v>
      </c>
      <c r="Q325" s="234" t="s">
        <v>127</v>
      </c>
      <c r="R325" s="684">
        <f>R205</f>
        <v>1</v>
      </c>
      <c r="S325" s="684"/>
      <c r="T325" s="14" t="s">
        <v>8</v>
      </c>
      <c r="V325" s="10"/>
    </row>
    <row r="326" spans="1:22" ht="18" hidden="1" customHeight="1">
      <c r="A326" s="9"/>
      <c r="B326" s="14" t="s">
        <v>437</v>
      </c>
      <c r="C326" s="14"/>
      <c r="D326" s="103"/>
      <c r="E326" s="103"/>
      <c r="F326" s="14"/>
      <c r="G326" s="14"/>
      <c r="H326" s="5"/>
      <c r="I326" s="5"/>
      <c r="J326" s="5"/>
      <c r="P326" s="120" t="s">
        <v>438</v>
      </c>
      <c r="Q326" s="234" t="s">
        <v>127</v>
      </c>
      <c r="R326" s="684">
        <f>R206</f>
        <v>1</v>
      </c>
      <c r="S326" s="684"/>
      <c r="T326" s="14" t="s">
        <v>8</v>
      </c>
      <c r="V326" s="10"/>
    </row>
    <row r="327" spans="1:22" ht="18" hidden="1" customHeight="1">
      <c r="A327" s="9"/>
      <c r="B327" s="14" t="s">
        <v>439</v>
      </c>
      <c r="C327" s="14"/>
      <c r="D327" s="103"/>
      <c r="E327" s="103"/>
      <c r="F327" s="14"/>
      <c r="G327" s="14"/>
      <c r="H327" s="5"/>
      <c r="I327" s="5"/>
      <c r="J327" s="5"/>
      <c r="P327" s="120" t="s">
        <v>440</v>
      </c>
      <c r="Q327" s="234" t="s">
        <v>127</v>
      </c>
      <c r="R327" s="684" t="str">
        <f>L298</f>
        <v>-</v>
      </c>
      <c r="S327" s="684"/>
      <c r="T327" s="192" t="s">
        <v>333</v>
      </c>
      <c r="V327" s="10"/>
    </row>
    <row r="328" spans="1:22" ht="18" hidden="1" customHeight="1">
      <c r="A328" s="9"/>
      <c r="B328" s="14" t="s">
        <v>153</v>
      </c>
      <c r="C328" s="14"/>
      <c r="D328" s="14"/>
      <c r="E328" s="14"/>
      <c r="F328" s="14"/>
      <c r="G328" s="14"/>
      <c r="H328" s="14"/>
      <c r="I328" s="14"/>
      <c r="J328" s="14"/>
      <c r="P328" s="237" t="s">
        <v>441</v>
      </c>
      <c r="Q328" s="234" t="s">
        <v>127</v>
      </c>
      <c r="R328" s="795">
        <f>R208</f>
        <v>1.0970224400000002</v>
      </c>
      <c r="S328" s="684"/>
      <c r="T328" s="192" t="s">
        <v>333</v>
      </c>
      <c r="V328" s="10"/>
    </row>
    <row r="329" spans="1:22" ht="18" hidden="1" customHeight="1">
      <c r="A329" s="9"/>
      <c r="B329" s="40" t="s">
        <v>442</v>
      </c>
      <c r="C329" s="14"/>
      <c r="D329" s="14"/>
      <c r="E329" s="14"/>
      <c r="F329" s="14"/>
      <c r="G329" s="14"/>
      <c r="H329" s="5"/>
      <c r="I329" s="5"/>
      <c r="J329" s="5"/>
      <c r="P329" s="237" t="s">
        <v>443</v>
      </c>
      <c r="Q329" s="234" t="s">
        <v>127</v>
      </c>
      <c r="R329" s="795">
        <f>R209</f>
        <v>0.02</v>
      </c>
      <c r="S329" s="684"/>
      <c r="T329" s="14" t="s">
        <v>157</v>
      </c>
      <c r="V329" s="10"/>
    </row>
    <row r="330" spans="1:22" ht="18" hidden="1" customHeight="1">
      <c r="A330" s="9"/>
      <c r="B330" s="40"/>
      <c r="C330" s="14"/>
      <c r="D330" s="14"/>
      <c r="E330" s="14"/>
      <c r="F330" s="14"/>
      <c r="G330" s="14"/>
      <c r="H330" s="5"/>
      <c r="I330" s="5"/>
      <c r="J330" s="5"/>
      <c r="P330" s="237"/>
      <c r="Q330" s="234"/>
      <c r="R330" s="211"/>
      <c r="S330" s="27"/>
      <c r="T330" s="14"/>
      <c r="V330" s="10"/>
    </row>
    <row r="331" spans="1:22" ht="18" hidden="1" customHeight="1">
      <c r="A331" s="9"/>
      <c r="B331" s="40"/>
      <c r="C331" s="14"/>
      <c r="D331" s="14"/>
      <c r="E331" s="14"/>
      <c r="F331" s="14"/>
      <c r="G331" s="14"/>
      <c r="H331" s="5"/>
      <c r="I331" s="5"/>
      <c r="J331" s="5"/>
      <c r="P331" s="237"/>
      <c r="Q331" s="234"/>
      <c r="R331" s="211"/>
      <c r="S331" s="27"/>
      <c r="T331" s="14"/>
      <c r="V331" s="10"/>
    </row>
    <row r="332" spans="1:22" ht="18" hidden="1" customHeight="1">
      <c r="A332" s="9"/>
      <c r="B332" s="40"/>
      <c r="C332" s="14"/>
      <c r="D332" s="14"/>
      <c r="E332" s="14"/>
      <c r="F332" s="14"/>
      <c r="G332" s="14"/>
      <c r="H332" s="5"/>
      <c r="I332" s="5"/>
      <c r="J332" s="5"/>
      <c r="P332" s="237"/>
      <c r="Q332" s="234"/>
      <c r="R332" s="211"/>
      <c r="S332" s="27"/>
      <c r="T332" s="14"/>
      <c r="V332" s="10"/>
    </row>
    <row r="333" spans="1:22" ht="18" hidden="1" customHeight="1">
      <c r="A333" s="9"/>
      <c r="B333" s="40"/>
      <c r="C333" s="14"/>
      <c r="D333" s="14"/>
      <c r="E333" s="14"/>
      <c r="F333" s="14"/>
      <c r="G333" s="14"/>
      <c r="H333" s="5"/>
      <c r="I333" s="5"/>
      <c r="J333" s="5"/>
      <c r="P333" s="237"/>
      <c r="Q333" s="234"/>
      <c r="R333" s="211"/>
      <c r="S333" s="27"/>
      <c r="T333" s="14"/>
      <c r="V333" s="10"/>
    </row>
    <row r="334" spans="1:22" ht="18" hidden="1" customHeight="1">
      <c r="A334" s="9"/>
      <c r="B334" s="40"/>
      <c r="C334" s="14"/>
      <c r="D334" s="14"/>
      <c r="E334" s="14"/>
      <c r="F334" s="14"/>
      <c r="G334" s="14"/>
      <c r="H334" s="5"/>
      <c r="I334" s="5"/>
      <c r="J334" s="5"/>
      <c r="P334" s="237"/>
      <c r="Q334" s="234"/>
      <c r="R334" s="211"/>
      <c r="S334" s="27"/>
      <c r="T334" s="14"/>
      <c r="V334" s="10"/>
    </row>
    <row r="335" spans="1:22" s="7" customFormat="1" ht="18" hidden="1" customHeight="1">
      <c r="A335" s="382"/>
      <c r="B335" s="20"/>
      <c r="C335" s="20"/>
      <c r="D335" s="20"/>
      <c r="E335" s="20"/>
      <c r="F335" s="20"/>
      <c r="G335" s="20"/>
      <c r="H335" s="20"/>
      <c r="I335" s="20"/>
      <c r="J335" s="20"/>
      <c r="K335" s="20"/>
      <c r="L335" s="20"/>
      <c r="M335" s="20"/>
      <c r="N335" s="20"/>
      <c r="O335" s="20"/>
      <c r="P335" s="20"/>
      <c r="Q335" s="21"/>
      <c r="R335" s="22"/>
      <c r="S335" s="23"/>
      <c r="T335" s="20"/>
      <c r="U335" s="20"/>
      <c r="V335" s="134"/>
    </row>
    <row r="336" spans="1:22" ht="18" hidden="1" customHeight="1">
      <c r="A336" s="383" t="s">
        <v>416</v>
      </c>
      <c r="B336" s="384"/>
      <c r="C336" s="384"/>
      <c r="D336" s="384"/>
      <c r="E336" s="384"/>
      <c r="F336" s="384"/>
      <c r="G336" s="384"/>
      <c r="H336" s="384"/>
      <c r="I336" s="384"/>
      <c r="J336" s="384"/>
      <c r="K336" s="384"/>
      <c r="L336" s="384"/>
      <c r="M336" s="384"/>
      <c r="N336" s="384"/>
      <c r="O336" s="384"/>
      <c r="P336" s="384"/>
      <c r="Q336" s="384"/>
      <c r="R336" s="384"/>
      <c r="S336" s="384"/>
      <c r="T336" s="384"/>
      <c r="U336" s="384"/>
      <c r="V336" s="395"/>
    </row>
    <row r="337" spans="1:22" ht="18" hidden="1" customHeight="1">
      <c r="A337" s="799" t="s">
        <v>417</v>
      </c>
      <c r="B337" s="800"/>
      <c r="C337" s="800"/>
      <c r="D337" s="14"/>
      <c r="E337" s="7"/>
      <c r="F337" s="808">
        <f>R322</f>
        <v>50000</v>
      </c>
      <c r="G337" s="811"/>
      <c r="H337" s="805" t="s">
        <v>315</v>
      </c>
      <c r="I337" s="809">
        <f>R325</f>
        <v>1</v>
      </c>
      <c r="J337" s="810"/>
      <c r="K337" s="805" t="s">
        <v>315</v>
      </c>
      <c r="L337" s="808" t="s">
        <v>419</v>
      </c>
      <c r="M337" s="815" t="str">
        <f>R327</f>
        <v>-</v>
      </c>
      <c r="N337" s="816" t="s">
        <v>347</v>
      </c>
      <c r="O337" s="817">
        <f>R328</f>
        <v>1.0970224400000002</v>
      </c>
      <c r="P337" s="805" t="s">
        <v>347</v>
      </c>
      <c r="Q337" s="807">
        <f>R329</f>
        <v>0.02</v>
      </c>
      <c r="R337" s="807"/>
      <c r="S337" s="807"/>
      <c r="T337" s="798" t="s">
        <v>350</v>
      </c>
      <c r="U337" s="230" t="s">
        <v>422</v>
      </c>
      <c r="V337" s="112"/>
    </row>
    <row r="338" spans="1:22" ht="18" hidden="1" customHeight="1">
      <c r="A338" s="801"/>
      <c r="B338" s="800"/>
      <c r="C338" s="800"/>
      <c r="D338" s="14"/>
      <c r="E338" s="7"/>
      <c r="F338" s="811"/>
      <c r="G338" s="811"/>
      <c r="H338" s="805"/>
      <c r="I338" s="805" t="str">
        <f>R321</f>
        <v>-</v>
      </c>
      <c r="J338" s="811"/>
      <c r="K338" s="805"/>
      <c r="L338" s="808"/>
      <c r="M338" s="815"/>
      <c r="N338" s="816"/>
      <c r="O338" s="815"/>
      <c r="P338" s="805"/>
      <c r="Q338" s="221">
        <f>R326</f>
        <v>1</v>
      </c>
      <c r="R338" s="221" t="s">
        <v>315</v>
      </c>
      <c r="S338" s="221">
        <f>R326</f>
        <v>1</v>
      </c>
      <c r="T338" s="798"/>
      <c r="U338" s="7"/>
      <c r="V338" s="112"/>
    </row>
    <row r="339" spans="1:22" ht="18" hidden="1" customHeight="1">
      <c r="A339" s="9"/>
      <c r="L339" s="429"/>
      <c r="V339" s="10"/>
    </row>
    <row r="340" spans="1:22" ht="18" hidden="1" customHeight="1">
      <c r="A340" s="9"/>
      <c r="C340" s="27" t="s">
        <v>127</v>
      </c>
      <c r="D340" s="812" t="e">
        <f>F337*(I337/I338)*(M337+O337+(Q337/(Q338*S338)))</f>
        <v>#VALUE!</v>
      </c>
      <c r="E340" s="813"/>
      <c r="F340" s="27" t="s">
        <v>305</v>
      </c>
      <c r="L340" s="429"/>
      <c r="V340" s="10"/>
    </row>
    <row r="341" spans="1:22" ht="18" hidden="1" customHeight="1">
      <c r="A341" s="9"/>
      <c r="L341" s="429"/>
      <c r="V341" s="10"/>
    </row>
    <row r="342" spans="1:22" ht="18" hidden="1" customHeight="1">
      <c r="A342" s="193" t="s">
        <v>444</v>
      </c>
      <c r="L342" s="429"/>
      <c r="V342" s="10"/>
    </row>
    <row r="343" spans="1:22" ht="18" hidden="1" customHeight="1">
      <c r="A343" s="799" t="s">
        <v>417</v>
      </c>
      <c r="B343" s="800"/>
      <c r="C343" s="800"/>
      <c r="D343" s="805">
        <v>2</v>
      </c>
      <c r="E343" s="805" t="s">
        <v>315</v>
      </c>
      <c r="F343" s="814">
        <f>R323</f>
        <v>42229.804278926844</v>
      </c>
      <c r="G343" s="811"/>
      <c r="H343" s="805" t="s">
        <v>315</v>
      </c>
      <c r="I343" s="809">
        <f>R325</f>
        <v>1</v>
      </c>
      <c r="J343" s="810"/>
      <c r="K343" s="805" t="s">
        <v>315</v>
      </c>
      <c r="L343" s="808" t="s">
        <v>419</v>
      </c>
      <c r="M343" s="815" t="str">
        <f>R327</f>
        <v>-</v>
      </c>
      <c r="N343" s="816" t="s">
        <v>347</v>
      </c>
      <c r="O343" s="817">
        <f>R328</f>
        <v>1.0970224400000002</v>
      </c>
      <c r="P343" s="805" t="s">
        <v>347</v>
      </c>
      <c r="Q343" s="807">
        <f>Q337</f>
        <v>0.02</v>
      </c>
      <c r="R343" s="807"/>
      <c r="S343" s="807"/>
      <c r="T343" s="798" t="s">
        <v>350</v>
      </c>
      <c r="U343" s="230" t="s">
        <v>426</v>
      </c>
      <c r="V343" s="112"/>
    </row>
    <row r="344" spans="1:22" ht="18" hidden="1" customHeight="1">
      <c r="A344" s="801"/>
      <c r="B344" s="800"/>
      <c r="C344" s="800"/>
      <c r="D344" s="805"/>
      <c r="E344" s="805"/>
      <c r="F344" s="811"/>
      <c r="G344" s="811"/>
      <c r="H344" s="805"/>
      <c r="I344" s="805" t="str">
        <f>R321</f>
        <v>-</v>
      </c>
      <c r="J344" s="811"/>
      <c r="K344" s="805"/>
      <c r="L344" s="808"/>
      <c r="M344" s="815"/>
      <c r="N344" s="816"/>
      <c r="O344" s="815"/>
      <c r="P344" s="805"/>
      <c r="Q344" s="221">
        <f>R326</f>
        <v>1</v>
      </c>
      <c r="R344" s="221" t="s">
        <v>315</v>
      </c>
      <c r="S344" s="221">
        <f>R326</f>
        <v>1</v>
      </c>
      <c r="T344" s="798"/>
      <c r="U344" s="7"/>
      <c r="V344" s="112"/>
    </row>
    <row r="345" spans="1:22" ht="18" hidden="1" customHeight="1">
      <c r="A345" s="9"/>
      <c r="L345" s="429"/>
      <c r="V345" s="10"/>
    </row>
    <row r="346" spans="1:22" ht="18" hidden="1" customHeight="1">
      <c r="A346" s="9"/>
      <c r="C346" s="27" t="s">
        <v>127</v>
      </c>
      <c r="D346" s="812" t="e">
        <f>D343*F343*(I343/I344)*(M343+O343+(Q343/(Q344*S344)))</f>
        <v>#VALUE!</v>
      </c>
      <c r="E346" s="813"/>
      <c r="F346" s="27" t="s">
        <v>305</v>
      </c>
      <c r="L346" s="429"/>
      <c r="V346" s="10"/>
    </row>
    <row r="347" spans="1:22" ht="18" hidden="1" customHeight="1">
      <c r="A347" s="9"/>
      <c r="L347" s="429"/>
      <c r="V347" s="10"/>
    </row>
    <row r="348" spans="1:22" ht="18" hidden="1" customHeight="1">
      <c r="A348" s="193" t="s">
        <v>445</v>
      </c>
      <c r="L348" s="429"/>
      <c r="V348" s="10"/>
    </row>
    <row r="349" spans="1:22" ht="18" hidden="1" customHeight="1">
      <c r="A349" s="799" t="s">
        <v>417</v>
      </c>
      <c r="B349" s="800"/>
      <c r="C349" s="800"/>
      <c r="D349" s="805">
        <v>2</v>
      </c>
      <c r="E349" s="805" t="s">
        <v>315</v>
      </c>
      <c r="F349" s="814">
        <f>R324</f>
        <v>43475.278268251794</v>
      </c>
      <c r="G349" s="811"/>
      <c r="H349" s="805" t="s">
        <v>315</v>
      </c>
      <c r="I349" s="809">
        <f>R325</f>
        <v>1</v>
      </c>
      <c r="J349" s="810"/>
      <c r="K349" s="805" t="s">
        <v>315</v>
      </c>
      <c r="L349" s="808" t="s">
        <v>419</v>
      </c>
      <c r="M349" s="815" t="str">
        <f>R327</f>
        <v>-</v>
      </c>
      <c r="N349" s="816" t="s">
        <v>347</v>
      </c>
      <c r="O349" s="817">
        <f>R328</f>
        <v>1.0970224400000002</v>
      </c>
      <c r="P349" s="805" t="s">
        <v>347</v>
      </c>
      <c r="Q349" s="807">
        <f>R329</f>
        <v>0.02</v>
      </c>
      <c r="R349" s="807"/>
      <c r="S349" s="807"/>
      <c r="T349" s="798" t="s">
        <v>350</v>
      </c>
      <c r="U349" s="230" t="s">
        <v>426</v>
      </c>
      <c r="V349" s="112"/>
    </row>
    <row r="350" spans="1:22" ht="18" hidden="1" customHeight="1">
      <c r="A350" s="801"/>
      <c r="B350" s="800"/>
      <c r="C350" s="800"/>
      <c r="D350" s="805"/>
      <c r="E350" s="805"/>
      <c r="F350" s="811"/>
      <c r="G350" s="811"/>
      <c r="H350" s="805"/>
      <c r="I350" s="805" t="str">
        <f>R321</f>
        <v>-</v>
      </c>
      <c r="J350" s="811"/>
      <c r="K350" s="805"/>
      <c r="L350" s="808"/>
      <c r="M350" s="815"/>
      <c r="N350" s="816"/>
      <c r="O350" s="815"/>
      <c r="P350" s="805"/>
      <c r="Q350" s="221">
        <f>R326</f>
        <v>1</v>
      </c>
      <c r="R350" s="221" t="s">
        <v>315</v>
      </c>
      <c r="S350" s="221">
        <f>R326</f>
        <v>1</v>
      </c>
      <c r="T350" s="798"/>
      <c r="U350" s="7"/>
      <c r="V350" s="112"/>
    </row>
    <row r="351" spans="1:22" ht="18" hidden="1" customHeight="1">
      <c r="A351" s="9"/>
      <c r="V351" s="10"/>
    </row>
    <row r="352" spans="1:22" ht="18" hidden="1" customHeight="1">
      <c r="A352" s="9"/>
      <c r="C352" s="27" t="s">
        <v>127</v>
      </c>
      <c r="D352" s="812" t="e">
        <f>D349*F349*(I349/I350)*(M349+O349+(Q349/(Q350*S350)))</f>
        <v>#VALUE!</v>
      </c>
      <c r="E352" s="813"/>
      <c r="F352" s="27" t="s">
        <v>305</v>
      </c>
      <c r="V352" s="10"/>
    </row>
    <row r="353" spans="1:22" ht="18" hidden="1" customHeight="1">
      <c r="A353" s="9"/>
      <c r="V353" s="10"/>
    </row>
    <row r="354" spans="1:22" ht="18" hidden="1" customHeight="1">
      <c r="A354" s="116" t="s">
        <v>446</v>
      </c>
      <c r="V354" s="10"/>
    </row>
    <row r="355" spans="1:22" ht="18" hidden="1" customHeight="1">
      <c r="A355" s="678" t="s">
        <v>499</v>
      </c>
      <c r="B355" s="679"/>
      <c r="C355" s="679"/>
      <c r="D355" s="679"/>
      <c r="E355" s="679"/>
      <c r="F355" s="679"/>
      <c r="G355" s="679"/>
      <c r="H355" s="679"/>
      <c r="I355" s="679"/>
      <c r="J355" s="679"/>
      <c r="K355" s="679"/>
      <c r="L355" s="679"/>
      <c r="M355" s="679"/>
      <c r="N355" s="679"/>
      <c r="O355" s="679"/>
      <c r="P355" s="679"/>
      <c r="Q355" s="679"/>
      <c r="R355" s="679"/>
      <c r="S355" s="679"/>
      <c r="T355" s="679"/>
      <c r="U355" s="679"/>
      <c r="V355" s="680"/>
    </row>
    <row r="356" spans="1:22" ht="18" hidden="1" customHeight="1">
      <c r="A356" s="678"/>
      <c r="B356" s="679"/>
      <c r="C356" s="679"/>
      <c r="D356" s="679"/>
      <c r="E356" s="679"/>
      <c r="F356" s="679"/>
      <c r="G356" s="679"/>
      <c r="H356" s="679"/>
      <c r="I356" s="679"/>
      <c r="J356" s="679"/>
      <c r="K356" s="679"/>
      <c r="L356" s="679"/>
      <c r="M356" s="679"/>
      <c r="N356" s="679"/>
      <c r="O356" s="679"/>
      <c r="P356" s="679"/>
      <c r="Q356" s="679"/>
      <c r="R356" s="679"/>
      <c r="S356" s="679"/>
      <c r="T356" s="679"/>
      <c r="U356" s="679"/>
      <c r="V356" s="680"/>
    </row>
    <row r="357" spans="1:22" ht="18" hidden="1" customHeight="1">
      <c r="A357" s="193" t="s">
        <v>416</v>
      </c>
      <c r="V357" s="10"/>
    </row>
    <row r="358" spans="1:22" ht="18" hidden="1" customHeight="1">
      <c r="A358" s="799" t="s">
        <v>417</v>
      </c>
      <c r="B358" s="800"/>
      <c r="C358" s="800"/>
      <c r="D358" s="802" t="s">
        <v>418</v>
      </c>
      <c r="E358" s="804"/>
      <c r="F358" s="689" t="s">
        <v>315</v>
      </c>
      <c r="G358" s="708" t="s">
        <v>436</v>
      </c>
      <c r="H358" s="803"/>
      <c r="I358" s="689" t="s">
        <v>315</v>
      </c>
      <c r="J358" s="851" t="s">
        <v>135</v>
      </c>
      <c r="K358" s="689" t="s">
        <v>315</v>
      </c>
      <c r="L358" s="802" t="s">
        <v>419</v>
      </c>
      <c r="M358" s="689" t="s">
        <v>440</v>
      </c>
      <c r="N358" s="729" t="s">
        <v>347</v>
      </c>
      <c r="O358" s="689" t="s">
        <v>447</v>
      </c>
      <c r="P358" s="689" t="s">
        <v>347</v>
      </c>
      <c r="Q358" s="759" t="s">
        <v>448</v>
      </c>
      <c r="R358" s="797"/>
      <c r="S358" s="797"/>
      <c r="T358" s="798" t="s">
        <v>350</v>
      </c>
      <c r="U358" s="230" t="s">
        <v>422</v>
      </c>
      <c r="V358" s="112"/>
    </row>
    <row r="359" spans="1:22" ht="18" hidden="1" customHeight="1">
      <c r="A359" s="801"/>
      <c r="B359" s="800"/>
      <c r="C359" s="800"/>
      <c r="D359" s="804"/>
      <c r="E359" s="804"/>
      <c r="F359" s="689"/>
      <c r="G359" s="689" t="s">
        <v>430</v>
      </c>
      <c r="H359" s="804"/>
      <c r="I359" s="689"/>
      <c r="J359" s="689"/>
      <c r="K359" s="689"/>
      <c r="L359" s="802"/>
      <c r="M359" s="689"/>
      <c r="N359" s="729"/>
      <c r="O359" s="689"/>
      <c r="P359" s="689"/>
      <c r="Q359" s="28" t="s">
        <v>438</v>
      </c>
      <c r="R359" s="28" t="s">
        <v>315</v>
      </c>
      <c r="S359" s="28" t="s">
        <v>438</v>
      </c>
      <c r="T359" s="798"/>
      <c r="U359" s="7"/>
      <c r="V359" s="112"/>
    </row>
    <row r="360" spans="1:22" ht="18" hidden="1" customHeight="1">
      <c r="A360" s="193" t="s">
        <v>449</v>
      </c>
      <c r="L360" s="429"/>
      <c r="M360" s="425"/>
      <c r="N360" s="425"/>
      <c r="O360" s="425"/>
      <c r="V360" s="10"/>
    </row>
    <row r="361" spans="1:22" ht="18" hidden="1" customHeight="1">
      <c r="A361" s="799" t="s">
        <v>417</v>
      </c>
      <c r="B361" s="800"/>
      <c r="C361" s="800"/>
      <c r="D361" s="802" t="s">
        <v>450</v>
      </c>
      <c r="E361" s="804"/>
      <c r="F361" s="689" t="s">
        <v>315</v>
      </c>
      <c r="G361" s="708" t="s">
        <v>436</v>
      </c>
      <c r="H361" s="803"/>
      <c r="I361" s="689" t="s">
        <v>315</v>
      </c>
      <c r="J361" s="851" t="s">
        <v>451</v>
      </c>
      <c r="K361" s="689" t="s">
        <v>315</v>
      </c>
      <c r="L361" s="802" t="s">
        <v>419</v>
      </c>
      <c r="M361" s="689" t="s">
        <v>440</v>
      </c>
      <c r="N361" s="729" t="s">
        <v>347</v>
      </c>
      <c r="O361" s="689" t="s">
        <v>447</v>
      </c>
      <c r="P361" s="689" t="s">
        <v>347</v>
      </c>
      <c r="Q361" s="759" t="s">
        <v>448</v>
      </c>
      <c r="R361" s="797"/>
      <c r="S361" s="797"/>
      <c r="T361" s="798" t="s">
        <v>350</v>
      </c>
      <c r="U361" s="230" t="s">
        <v>426</v>
      </c>
      <c r="V361" s="112"/>
    </row>
    <row r="362" spans="1:22" ht="18" hidden="1" customHeight="1">
      <c r="A362" s="801"/>
      <c r="B362" s="800"/>
      <c r="C362" s="800"/>
      <c r="D362" s="804"/>
      <c r="E362" s="804"/>
      <c r="F362" s="689"/>
      <c r="G362" s="689" t="s">
        <v>430</v>
      </c>
      <c r="H362" s="804"/>
      <c r="I362" s="689"/>
      <c r="J362" s="689"/>
      <c r="K362" s="689"/>
      <c r="L362" s="802"/>
      <c r="M362" s="689"/>
      <c r="N362" s="729"/>
      <c r="O362" s="689"/>
      <c r="P362" s="689"/>
      <c r="Q362" s="28" t="s">
        <v>438</v>
      </c>
      <c r="R362" s="28" t="s">
        <v>315</v>
      </c>
      <c r="S362" s="28" t="s">
        <v>438</v>
      </c>
      <c r="T362" s="798"/>
      <c r="U362" s="7"/>
      <c r="V362" s="112"/>
    </row>
    <row r="363" spans="1:22" ht="18" hidden="1" customHeight="1">
      <c r="A363" s="9"/>
      <c r="V363" s="10"/>
    </row>
    <row r="364" spans="1:22" ht="18" hidden="1" customHeight="1">
      <c r="A364" s="9"/>
      <c r="B364" s="14" t="s">
        <v>427</v>
      </c>
      <c r="P364" s="120" t="s">
        <v>428</v>
      </c>
      <c r="V364" s="10"/>
    </row>
    <row r="365" spans="1:22" ht="18" hidden="1" customHeight="1">
      <c r="A365" s="9"/>
      <c r="B365" s="14" t="s">
        <v>429</v>
      </c>
      <c r="P365" s="120" t="s">
        <v>430</v>
      </c>
      <c r="Q365" s="234" t="s">
        <v>127</v>
      </c>
      <c r="R365" s="684" t="str">
        <f>R321</f>
        <v>-</v>
      </c>
      <c r="S365" s="684"/>
      <c r="T365" s="14" t="s">
        <v>8</v>
      </c>
      <c r="V365" s="10"/>
    </row>
    <row r="366" spans="1:22" ht="18" hidden="1" customHeight="1">
      <c r="A366" s="9"/>
      <c r="B366" s="14" t="s">
        <v>431</v>
      </c>
      <c r="P366" s="120" t="s">
        <v>418</v>
      </c>
      <c r="Q366" s="234" t="s">
        <v>127</v>
      </c>
      <c r="R366" s="684">
        <f>R322</f>
        <v>50000</v>
      </c>
      <c r="S366" s="684"/>
      <c r="T366" s="14" t="s">
        <v>8</v>
      </c>
      <c r="V366" s="10"/>
    </row>
    <row r="367" spans="1:22" ht="18" hidden="1" customHeight="1">
      <c r="A367" s="9"/>
      <c r="B367" s="14" t="s">
        <v>452</v>
      </c>
      <c r="P367" s="120" t="s">
        <v>450</v>
      </c>
      <c r="Q367" s="234" t="s">
        <v>127</v>
      </c>
      <c r="R367" s="713">
        <f>R243</f>
        <v>43584.822413584639</v>
      </c>
      <c r="S367" s="684"/>
      <c r="T367" s="14" t="s">
        <v>8</v>
      </c>
      <c r="U367" s="30" t="s">
        <v>433</v>
      </c>
      <c r="V367" s="10"/>
    </row>
    <row r="368" spans="1:22" ht="18" hidden="1" customHeight="1">
      <c r="A368" s="9"/>
      <c r="B368" s="14"/>
      <c r="P368" s="120"/>
      <c r="Q368" s="234" t="s">
        <v>127</v>
      </c>
      <c r="R368" s="713">
        <f>R244</f>
        <v>44648.255952235893</v>
      </c>
      <c r="S368" s="684"/>
      <c r="T368" s="14" t="s">
        <v>8</v>
      </c>
      <c r="U368" s="30" t="s">
        <v>434</v>
      </c>
      <c r="V368" s="10"/>
    </row>
    <row r="369" spans="1:22" ht="18" hidden="1" customHeight="1">
      <c r="A369" s="9"/>
      <c r="B369" s="14" t="s">
        <v>453</v>
      </c>
      <c r="P369" s="120" t="s">
        <v>436</v>
      </c>
      <c r="Q369" s="234" t="s">
        <v>127</v>
      </c>
      <c r="R369" s="684">
        <f>R325</f>
        <v>1</v>
      </c>
      <c r="S369" s="684"/>
      <c r="T369" s="14" t="s">
        <v>8</v>
      </c>
      <c r="V369" s="10"/>
    </row>
    <row r="370" spans="1:22" ht="18" hidden="1" customHeight="1">
      <c r="A370" s="9"/>
      <c r="B370" s="14" t="s">
        <v>437</v>
      </c>
      <c r="P370" s="120" t="s">
        <v>438</v>
      </c>
      <c r="Q370" s="234" t="s">
        <v>127</v>
      </c>
      <c r="R370" s="684">
        <f>R326</f>
        <v>1</v>
      </c>
      <c r="S370" s="684"/>
      <c r="T370" s="14" t="s">
        <v>8</v>
      </c>
      <c r="V370" s="10"/>
    </row>
    <row r="371" spans="1:22" ht="18" hidden="1" customHeight="1">
      <c r="A371" s="9"/>
      <c r="B371" s="14" t="s">
        <v>439</v>
      </c>
      <c r="P371" s="120" t="s">
        <v>440</v>
      </c>
      <c r="Q371" s="234" t="s">
        <v>127</v>
      </c>
      <c r="R371" s="684" t="str">
        <f>L298</f>
        <v>-</v>
      </c>
      <c r="S371" s="684"/>
      <c r="T371" s="192" t="s">
        <v>333</v>
      </c>
      <c r="V371" s="10"/>
    </row>
    <row r="372" spans="1:22" ht="18" hidden="1" customHeight="1">
      <c r="A372" s="9"/>
      <c r="B372" s="14" t="s">
        <v>454</v>
      </c>
      <c r="P372" s="237" t="s">
        <v>441</v>
      </c>
      <c r="Q372" s="234" t="s">
        <v>127</v>
      </c>
      <c r="R372" s="795">
        <f>R328</f>
        <v>1.0970224400000002</v>
      </c>
      <c r="S372" s="684"/>
      <c r="T372" s="192" t="s">
        <v>333</v>
      </c>
      <c r="V372" s="10"/>
    </row>
    <row r="373" spans="1:22" ht="18" hidden="1" customHeight="1">
      <c r="A373" s="9"/>
      <c r="B373" s="40" t="s">
        <v>442</v>
      </c>
      <c r="P373" s="237" t="s">
        <v>443</v>
      </c>
      <c r="Q373" s="234" t="s">
        <v>127</v>
      </c>
      <c r="R373" s="795">
        <f>R329</f>
        <v>0.02</v>
      </c>
      <c r="S373" s="684"/>
      <c r="T373" s="14" t="s">
        <v>157</v>
      </c>
      <c r="V373" s="10"/>
    </row>
    <row r="374" spans="1:22" ht="18" hidden="1" customHeight="1">
      <c r="A374" s="9"/>
      <c r="B374" s="40"/>
      <c r="P374" s="237"/>
      <c r="Q374" s="234"/>
      <c r="R374" s="211"/>
      <c r="S374" s="27"/>
      <c r="T374" s="14"/>
      <c r="V374" s="10"/>
    </row>
    <row r="375" spans="1:22" ht="18" hidden="1" customHeight="1">
      <c r="A375" s="9"/>
      <c r="B375" s="40"/>
      <c r="P375" s="237"/>
      <c r="Q375" s="234"/>
      <c r="R375" s="211"/>
      <c r="S375" s="27"/>
      <c r="T375" s="14"/>
      <c r="V375" s="10"/>
    </row>
    <row r="376" spans="1:22" ht="18" hidden="1" customHeight="1">
      <c r="A376" s="9"/>
      <c r="B376" s="40"/>
      <c r="P376" s="237"/>
      <c r="Q376" s="234"/>
      <c r="R376" s="211"/>
      <c r="S376" s="27"/>
      <c r="T376" s="14"/>
      <c r="V376" s="10"/>
    </row>
    <row r="377" spans="1:22" ht="18" hidden="1" customHeight="1">
      <c r="A377" s="9"/>
      <c r="B377" s="40"/>
      <c r="P377" s="237"/>
      <c r="Q377" s="234"/>
      <c r="R377" s="211"/>
      <c r="S377" s="27"/>
      <c r="T377" s="14"/>
      <c r="V377" s="10"/>
    </row>
    <row r="378" spans="1:22" ht="18" hidden="1" customHeight="1">
      <c r="A378" s="9"/>
      <c r="B378" s="40"/>
      <c r="P378" s="237"/>
      <c r="Q378" s="234"/>
      <c r="R378" s="211"/>
      <c r="S378" s="27"/>
      <c r="T378" s="14"/>
      <c r="V378" s="10"/>
    </row>
    <row r="379" spans="1:22" s="7" customFormat="1" ht="18" hidden="1" customHeight="1">
      <c r="A379" s="382"/>
      <c r="B379" s="20"/>
      <c r="C379" s="20"/>
      <c r="D379" s="20"/>
      <c r="E379" s="20"/>
      <c r="F379" s="20"/>
      <c r="G379" s="20"/>
      <c r="H379" s="20"/>
      <c r="I379" s="20"/>
      <c r="J379" s="20"/>
      <c r="K379" s="20"/>
      <c r="L379" s="20"/>
      <c r="M379" s="20"/>
      <c r="N379" s="20"/>
      <c r="O379" s="20"/>
      <c r="P379" s="20"/>
      <c r="Q379" s="21"/>
      <c r="R379" s="22"/>
      <c r="S379" s="23"/>
      <c r="T379" s="20"/>
      <c r="U379" s="20"/>
      <c r="V379" s="134"/>
    </row>
    <row r="380" spans="1:22" ht="18" hidden="1" customHeight="1">
      <c r="A380" s="431" t="s">
        <v>455</v>
      </c>
      <c r="B380" s="432"/>
      <c r="C380" s="433"/>
      <c r="D380" s="434"/>
      <c r="E380" s="433"/>
      <c r="F380" s="434"/>
      <c r="G380" s="434"/>
      <c r="H380" s="432"/>
      <c r="I380" s="432"/>
      <c r="J380" s="432"/>
      <c r="K380" s="435"/>
      <c r="L380" s="435"/>
      <c r="M380" s="111"/>
      <c r="N380" s="434"/>
      <c r="O380" s="434"/>
      <c r="P380" s="435"/>
      <c r="Q380" s="436"/>
      <c r="R380" s="111"/>
      <c r="S380" s="111"/>
      <c r="T380" s="111"/>
      <c r="U380" s="111"/>
      <c r="V380" s="140"/>
    </row>
    <row r="381" spans="1:22" ht="18" hidden="1" customHeight="1">
      <c r="A381" s="96" t="s">
        <v>456</v>
      </c>
      <c r="B381" s="152"/>
      <c r="C381" s="437"/>
      <c r="D381" s="376"/>
      <c r="E381" s="437"/>
      <c r="F381" s="376"/>
      <c r="G381" s="376"/>
      <c r="H381" s="152"/>
      <c r="I381" s="152"/>
      <c r="J381" s="152"/>
      <c r="K381" s="153"/>
      <c r="L381" s="153"/>
      <c r="M381" s="7"/>
      <c r="N381" s="376"/>
      <c r="O381" s="376"/>
      <c r="P381" s="153"/>
      <c r="Q381" s="438"/>
      <c r="R381" s="7"/>
      <c r="S381" s="7"/>
      <c r="T381" s="7"/>
      <c r="U381" s="7"/>
      <c r="V381" s="112"/>
    </row>
    <row r="382" spans="1:22" ht="18" hidden="1" customHeight="1">
      <c r="A382" s="396"/>
      <c r="B382" s="152"/>
      <c r="C382" s="437"/>
      <c r="D382" s="7"/>
      <c r="E382" s="7"/>
      <c r="F382" s="7"/>
      <c r="G382" s="376"/>
      <c r="H382" s="439" t="s">
        <v>457</v>
      </c>
      <c r="I382" s="14" t="s">
        <v>458</v>
      </c>
      <c r="J382" s="7"/>
      <c r="K382" s="28" t="s">
        <v>459</v>
      </c>
      <c r="L382" s="28" t="s">
        <v>135</v>
      </c>
      <c r="M382" s="440"/>
      <c r="N382" s="376"/>
      <c r="O382" s="376"/>
      <c r="P382" s="102" t="s">
        <v>127</v>
      </c>
      <c r="Q382" s="28">
        <v>1</v>
      </c>
      <c r="R382" s="7"/>
      <c r="S382" s="7"/>
      <c r="T382" s="7"/>
      <c r="U382" s="7"/>
      <c r="V382" s="112"/>
    </row>
    <row r="383" spans="1:22" ht="18" hidden="1" customHeight="1">
      <c r="A383" s="396"/>
      <c r="B383" s="152"/>
      <c r="C383" s="437"/>
      <c r="D383" s="7"/>
      <c r="E383" s="7"/>
      <c r="F383" s="7"/>
      <c r="G383" s="376"/>
      <c r="H383" s="439"/>
      <c r="I383" s="14"/>
      <c r="J383" s="7"/>
      <c r="K383" s="28"/>
      <c r="L383" s="28"/>
      <c r="M383" s="440"/>
      <c r="N383" s="376"/>
      <c r="O383" s="376"/>
      <c r="P383" s="102"/>
      <c r="Q383" s="28"/>
      <c r="R383" s="7"/>
      <c r="S383" s="7"/>
      <c r="T383" s="7"/>
      <c r="U383" s="7"/>
      <c r="V383" s="112"/>
    </row>
    <row r="384" spans="1:22" ht="18" hidden="1" customHeight="1">
      <c r="A384" s="96" t="s">
        <v>460</v>
      </c>
      <c r="B384" s="152"/>
      <c r="C384" s="437"/>
      <c r="D384" s="376"/>
      <c r="E384" s="437"/>
      <c r="F384" s="376"/>
      <c r="G384" s="376"/>
      <c r="H384" s="152"/>
      <c r="I384" s="7"/>
      <c r="J384" s="7"/>
      <c r="K384" s="121"/>
      <c r="L384" s="121"/>
      <c r="M384" s="7"/>
      <c r="N384" s="376"/>
      <c r="O384" s="376"/>
      <c r="P384" s="153"/>
      <c r="Q384" s="438"/>
      <c r="V384" s="10"/>
    </row>
    <row r="385" spans="1:22" ht="18" hidden="1" customHeight="1">
      <c r="A385" s="96" t="s">
        <v>461</v>
      </c>
      <c r="B385" s="152"/>
      <c r="C385" s="437"/>
      <c r="D385" s="376"/>
      <c r="E385" s="437"/>
      <c r="F385" s="376"/>
      <c r="G385" s="376"/>
      <c r="H385" s="152"/>
      <c r="I385" s="7"/>
      <c r="J385" s="7"/>
      <c r="K385" s="121"/>
      <c r="L385" s="121"/>
      <c r="M385" s="7"/>
      <c r="N385" s="376"/>
      <c r="O385" s="376"/>
      <c r="P385" s="153"/>
      <c r="Q385" s="438"/>
      <c r="V385" s="10"/>
    </row>
    <row r="386" spans="1:22" ht="18" hidden="1" customHeight="1">
      <c r="A386" s="396"/>
      <c r="B386" s="152"/>
      <c r="C386" s="437"/>
      <c r="D386" s="7"/>
      <c r="E386" s="7"/>
      <c r="F386" s="7"/>
      <c r="G386" s="376"/>
      <c r="H386" s="439" t="s">
        <v>457</v>
      </c>
      <c r="I386" s="14" t="s">
        <v>462</v>
      </c>
      <c r="J386" s="7"/>
      <c r="K386" s="28" t="s">
        <v>459</v>
      </c>
      <c r="L386" s="28" t="s">
        <v>451</v>
      </c>
      <c r="M386" s="440"/>
      <c r="N386" s="376"/>
      <c r="O386" s="376"/>
      <c r="P386" s="102" t="s">
        <v>127</v>
      </c>
      <c r="Q386" s="28">
        <v>3</v>
      </c>
      <c r="V386" s="10"/>
    </row>
    <row r="387" spans="1:22" ht="18" hidden="1" customHeight="1">
      <c r="A387" s="396"/>
      <c r="B387" s="152"/>
      <c r="C387" s="437"/>
      <c r="D387" s="7"/>
      <c r="E387" s="7"/>
      <c r="F387" s="7"/>
      <c r="G387" s="376"/>
      <c r="H387" s="439"/>
      <c r="I387" s="14"/>
      <c r="J387" s="7"/>
      <c r="K387" s="28"/>
      <c r="L387" s="28"/>
      <c r="M387" s="440"/>
      <c r="N387" s="376"/>
      <c r="O387" s="376"/>
      <c r="P387" s="102"/>
      <c r="Q387" s="28"/>
      <c r="V387" s="10"/>
    </row>
    <row r="388" spans="1:22" ht="18" hidden="1" customHeight="1">
      <c r="A388" s="9"/>
      <c r="V388" s="10"/>
    </row>
    <row r="389" spans="1:22" ht="18" hidden="1" customHeight="1">
      <c r="A389" s="193" t="s">
        <v>416</v>
      </c>
      <c r="V389" s="10"/>
    </row>
    <row r="390" spans="1:22" ht="18" hidden="1" customHeight="1">
      <c r="A390" s="114"/>
      <c r="B390" s="7"/>
      <c r="C390" s="7"/>
      <c r="D390" s="7"/>
      <c r="E390" s="7"/>
      <c r="F390" s="7"/>
      <c r="G390" s="14" t="s">
        <v>463</v>
      </c>
      <c r="H390" s="7"/>
      <c r="I390" s="7"/>
      <c r="J390" s="7"/>
      <c r="K390" s="28" t="s">
        <v>127</v>
      </c>
      <c r="L390" s="692">
        <f>L261</f>
        <v>47.727272727272727</v>
      </c>
      <c r="M390" s="689"/>
      <c r="N390" s="28" t="s">
        <v>464</v>
      </c>
      <c r="O390" s="28" t="s">
        <v>135</v>
      </c>
      <c r="P390" s="28" t="s">
        <v>127</v>
      </c>
      <c r="Q390" s="28">
        <f>IF(L390&lt;=400,Q382,Q383)</f>
        <v>1</v>
      </c>
      <c r="R390" s="7"/>
      <c r="S390" s="7"/>
      <c r="T390" s="7"/>
      <c r="V390" s="10"/>
    </row>
    <row r="391" spans="1:22" ht="18" hidden="1" customHeight="1">
      <c r="A391" s="799" t="s">
        <v>417</v>
      </c>
      <c r="B391" s="800"/>
      <c r="C391" s="800"/>
      <c r="D391" s="808">
        <f>R366</f>
        <v>50000</v>
      </c>
      <c r="E391" s="818"/>
      <c r="F391" s="805" t="s">
        <v>315</v>
      </c>
      <c r="G391" s="809">
        <f>R369</f>
        <v>1</v>
      </c>
      <c r="H391" s="821"/>
      <c r="I391" s="805" t="s">
        <v>315</v>
      </c>
      <c r="J391" s="822">
        <f>Q390</f>
        <v>1</v>
      </c>
      <c r="K391" s="805" t="s">
        <v>315</v>
      </c>
      <c r="L391" s="808" t="s">
        <v>419</v>
      </c>
      <c r="M391" s="815" t="str">
        <f>R371</f>
        <v>-</v>
      </c>
      <c r="N391" s="816" t="s">
        <v>347</v>
      </c>
      <c r="O391" s="817">
        <f>R372</f>
        <v>1.0970224400000002</v>
      </c>
      <c r="P391" s="805" t="s">
        <v>347</v>
      </c>
      <c r="Q391" s="807">
        <f>R373</f>
        <v>0.02</v>
      </c>
      <c r="R391" s="807"/>
      <c r="S391" s="807"/>
      <c r="T391" s="798" t="s">
        <v>350</v>
      </c>
      <c r="U391" s="230" t="s">
        <v>422</v>
      </c>
      <c r="V391" s="112"/>
    </row>
    <row r="392" spans="1:22" ht="18" hidden="1" customHeight="1">
      <c r="A392" s="801"/>
      <c r="B392" s="800"/>
      <c r="C392" s="800"/>
      <c r="D392" s="818"/>
      <c r="E392" s="818"/>
      <c r="F392" s="805"/>
      <c r="G392" s="805" t="str">
        <f>R365</f>
        <v>-</v>
      </c>
      <c r="H392" s="818"/>
      <c r="I392" s="805"/>
      <c r="J392" s="805"/>
      <c r="K392" s="805"/>
      <c r="L392" s="808"/>
      <c r="M392" s="815"/>
      <c r="N392" s="816"/>
      <c r="O392" s="815"/>
      <c r="P392" s="805"/>
      <c r="Q392" s="221">
        <f>R370</f>
        <v>1</v>
      </c>
      <c r="R392" s="221" t="s">
        <v>315</v>
      </c>
      <c r="S392" s="221">
        <f>R370</f>
        <v>1</v>
      </c>
      <c r="T392" s="798"/>
      <c r="U392" s="7"/>
      <c r="V392" s="112"/>
    </row>
    <row r="393" spans="1:22" ht="18" hidden="1" customHeight="1">
      <c r="A393" s="9"/>
      <c r="V393" s="10"/>
    </row>
    <row r="394" spans="1:22" ht="18" hidden="1" customHeight="1">
      <c r="A394" s="9"/>
      <c r="C394" s="27" t="s">
        <v>127</v>
      </c>
      <c r="D394" s="819" t="e">
        <f>D391*(G391/G392)*J391*(M391+O391+(Q391/(Q392*S392)))</f>
        <v>#VALUE!</v>
      </c>
      <c r="E394" s="820"/>
      <c r="F394" s="27" t="s">
        <v>305</v>
      </c>
      <c r="V394" s="10"/>
    </row>
    <row r="395" spans="1:22" ht="18" hidden="1" customHeight="1">
      <c r="A395" s="9"/>
      <c r="V395" s="10"/>
    </row>
    <row r="396" spans="1:22" ht="18" hidden="1" customHeight="1">
      <c r="A396" s="193" t="s">
        <v>465</v>
      </c>
      <c r="V396" s="10"/>
    </row>
    <row r="397" spans="1:22" ht="18" hidden="1" customHeight="1">
      <c r="A397" s="9"/>
      <c r="E397" s="30" t="s">
        <v>466</v>
      </c>
      <c r="K397" s="27" t="s">
        <v>127</v>
      </c>
      <c r="L397" s="795">
        <f>L268</f>
        <v>41.979419477826461</v>
      </c>
      <c r="M397" s="684"/>
      <c r="N397" s="27" t="s">
        <v>464</v>
      </c>
      <c r="O397" s="28" t="s">
        <v>451</v>
      </c>
      <c r="P397" s="27" t="s">
        <v>127</v>
      </c>
      <c r="Q397" s="27">
        <f>IF(L397&lt;=200,Q386,Q387)</f>
        <v>3</v>
      </c>
      <c r="V397" s="10"/>
    </row>
    <row r="398" spans="1:22" ht="18" hidden="1" customHeight="1">
      <c r="A398" s="799" t="s">
        <v>417</v>
      </c>
      <c r="B398" s="800"/>
      <c r="C398" s="800"/>
      <c r="D398" s="814">
        <f>R367</f>
        <v>43584.822413584639</v>
      </c>
      <c r="E398" s="811"/>
      <c r="F398" s="805" t="s">
        <v>315</v>
      </c>
      <c r="G398" s="809">
        <f>R369</f>
        <v>1</v>
      </c>
      <c r="H398" s="810"/>
      <c r="I398" s="805" t="s">
        <v>315</v>
      </c>
      <c r="J398" s="852">
        <f>Q397</f>
        <v>3</v>
      </c>
      <c r="K398" s="805" t="s">
        <v>315</v>
      </c>
      <c r="L398" s="808" t="s">
        <v>419</v>
      </c>
      <c r="M398" s="815" t="str">
        <f>R371</f>
        <v>-</v>
      </c>
      <c r="N398" s="816" t="s">
        <v>347</v>
      </c>
      <c r="O398" s="817">
        <f>R372</f>
        <v>1.0970224400000002</v>
      </c>
      <c r="P398" s="805" t="s">
        <v>347</v>
      </c>
      <c r="Q398" s="807">
        <f>R373</f>
        <v>0.02</v>
      </c>
      <c r="R398" s="807"/>
      <c r="S398" s="807"/>
      <c r="T398" s="798" t="s">
        <v>350</v>
      </c>
      <c r="U398" s="230" t="s">
        <v>426</v>
      </c>
      <c r="V398" s="112"/>
    </row>
    <row r="399" spans="1:22" ht="18" hidden="1" customHeight="1">
      <c r="A399" s="801"/>
      <c r="B399" s="800"/>
      <c r="C399" s="800"/>
      <c r="D399" s="811"/>
      <c r="E399" s="811"/>
      <c r="F399" s="805"/>
      <c r="G399" s="805" t="str">
        <f>R365</f>
        <v>-</v>
      </c>
      <c r="H399" s="811"/>
      <c r="I399" s="805"/>
      <c r="J399" s="805"/>
      <c r="K399" s="805"/>
      <c r="L399" s="808"/>
      <c r="M399" s="815"/>
      <c r="N399" s="816"/>
      <c r="O399" s="815"/>
      <c r="P399" s="805"/>
      <c r="Q399" s="221">
        <f>R370</f>
        <v>1</v>
      </c>
      <c r="R399" s="221" t="s">
        <v>315</v>
      </c>
      <c r="S399" s="221">
        <f>R370</f>
        <v>1</v>
      </c>
      <c r="T399" s="798"/>
      <c r="U399" s="7"/>
      <c r="V399" s="112"/>
    </row>
    <row r="400" spans="1:22" ht="18" hidden="1" customHeight="1">
      <c r="A400" s="9"/>
      <c r="V400" s="10"/>
    </row>
    <row r="401" spans="1:22" ht="18" hidden="1" customHeight="1">
      <c r="A401" s="9"/>
      <c r="C401" s="27" t="s">
        <v>127</v>
      </c>
      <c r="D401" s="819" t="e">
        <f>D398*(G398/G399)*J398*(M398+O398+(Q398/(Q399*S399)))</f>
        <v>#VALUE!</v>
      </c>
      <c r="E401" s="820"/>
      <c r="F401" s="27" t="s">
        <v>305</v>
      </c>
      <c r="V401" s="10"/>
    </row>
    <row r="402" spans="1:22" ht="18" hidden="1" customHeight="1">
      <c r="A402" s="9"/>
      <c r="V402" s="10"/>
    </row>
    <row r="403" spans="1:22" ht="18" hidden="1" customHeight="1">
      <c r="A403" s="193" t="s">
        <v>467</v>
      </c>
      <c r="V403" s="10"/>
    </row>
    <row r="404" spans="1:22" ht="18" hidden="1" customHeight="1">
      <c r="A404" s="9"/>
      <c r="E404" s="30" t="s">
        <v>468</v>
      </c>
      <c r="K404" s="27" t="s">
        <v>127</v>
      </c>
      <c r="L404" s="795">
        <f>L275</f>
        <v>29.635036773964003</v>
      </c>
      <c r="M404" s="684"/>
      <c r="N404" s="27" t="s">
        <v>464</v>
      </c>
      <c r="O404" s="28" t="s">
        <v>451</v>
      </c>
      <c r="P404" s="27" t="s">
        <v>127</v>
      </c>
      <c r="Q404" s="27">
        <f>IF(L404&lt;=30,Q386,Q387)</f>
        <v>3</v>
      </c>
      <c r="V404" s="10"/>
    </row>
    <row r="405" spans="1:22" ht="18" hidden="1" customHeight="1">
      <c r="A405" s="799" t="s">
        <v>417</v>
      </c>
      <c r="B405" s="800"/>
      <c r="C405" s="800"/>
      <c r="D405" s="814">
        <f>R368</f>
        <v>44648.255952235893</v>
      </c>
      <c r="E405" s="811"/>
      <c r="F405" s="805" t="s">
        <v>315</v>
      </c>
      <c r="G405" s="809">
        <f>R369</f>
        <v>1</v>
      </c>
      <c r="H405" s="810"/>
      <c r="I405" s="805" t="s">
        <v>315</v>
      </c>
      <c r="J405" s="852">
        <f>Q404</f>
        <v>3</v>
      </c>
      <c r="K405" s="805" t="s">
        <v>315</v>
      </c>
      <c r="L405" s="808" t="s">
        <v>419</v>
      </c>
      <c r="M405" s="815" t="str">
        <f>R371</f>
        <v>-</v>
      </c>
      <c r="N405" s="816" t="s">
        <v>347</v>
      </c>
      <c r="O405" s="817">
        <f>R372</f>
        <v>1.0970224400000002</v>
      </c>
      <c r="P405" s="805" t="s">
        <v>347</v>
      </c>
      <c r="Q405" s="807">
        <f>R373</f>
        <v>0.02</v>
      </c>
      <c r="R405" s="807"/>
      <c r="S405" s="807"/>
      <c r="T405" s="798" t="s">
        <v>350</v>
      </c>
      <c r="U405" s="230" t="s">
        <v>426</v>
      </c>
      <c r="V405" s="112"/>
    </row>
    <row r="406" spans="1:22" ht="18" hidden="1" customHeight="1">
      <c r="A406" s="801"/>
      <c r="B406" s="800"/>
      <c r="C406" s="800"/>
      <c r="D406" s="811"/>
      <c r="E406" s="811"/>
      <c r="F406" s="805"/>
      <c r="G406" s="805" t="str">
        <f>R365</f>
        <v>-</v>
      </c>
      <c r="H406" s="811"/>
      <c r="I406" s="805"/>
      <c r="J406" s="805"/>
      <c r="K406" s="805"/>
      <c r="L406" s="808"/>
      <c r="M406" s="815"/>
      <c r="N406" s="816"/>
      <c r="O406" s="815"/>
      <c r="P406" s="805"/>
      <c r="Q406" s="221">
        <f>R370</f>
        <v>1</v>
      </c>
      <c r="R406" s="221" t="s">
        <v>315</v>
      </c>
      <c r="S406" s="221">
        <f>R370</f>
        <v>1</v>
      </c>
      <c r="T406" s="798"/>
      <c r="U406" s="7"/>
      <c r="V406" s="112"/>
    </row>
    <row r="407" spans="1:22" ht="18" hidden="1" customHeight="1">
      <c r="A407" s="9"/>
      <c r="D407" s="430"/>
      <c r="E407" s="430"/>
      <c r="F407" s="430"/>
      <c r="G407" s="430"/>
      <c r="H407" s="430"/>
      <c r="I407" s="430"/>
      <c r="J407" s="430"/>
      <c r="K407" s="430"/>
      <c r="L407" s="430"/>
      <c r="M407" s="430"/>
      <c r="N407" s="430"/>
      <c r="O407" s="430"/>
      <c r="P407" s="430"/>
      <c r="Q407" s="430"/>
      <c r="R407" s="430"/>
      <c r="S407" s="430"/>
      <c r="V407" s="10"/>
    </row>
    <row r="408" spans="1:22" ht="18" hidden="1" customHeight="1">
      <c r="A408" s="9"/>
      <c r="C408" s="27" t="s">
        <v>127</v>
      </c>
      <c r="D408" s="819" t="e">
        <f>D405*(G405/G406)*J405*(M405+O405+(Q405/(Q406*S406)))</f>
        <v>#VALUE!</v>
      </c>
      <c r="E408" s="820"/>
      <c r="F408" s="27" t="s">
        <v>305</v>
      </c>
      <c r="V408" s="10"/>
    </row>
    <row r="409" spans="1:22" ht="18" hidden="1" customHeight="1">
      <c r="A409" s="9"/>
      <c r="V409" s="10"/>
    </row>
    <row r="410" spans="1:22" ht="18" hidden="1" customHeight="1">
      <c r="A410" s="184" t="s">
        <v>469</v>
      </c>
      <c r="M410" s="865" t="str">
        <f>L296</f>
        <v>-</v>
      </c>
      <c r="N410" s="866"/>
      <c r="O410" s="30" t="s">
        <v>470</v>
      </c>
      <c r="P410" s="30"/>
      <c r="Q410" s="867" t="e">
        <f>MAX(D340,D346,D352,D394,D401,D408)</f>
        <v>#VALUE!</v>
      </c>
      <c r="R410" s="824"/>
      <c r="S410" s="30" t="s">
        <v>305</v>
      </c>
      <c r="V410" s="10"/>
    </row>
    <row r="411" spans="1:22" ht="18" hidden="1" customHeight="1">
      <c r="A411" s="351" t="s">
        <v>471</v>
      </c>
      <c r="B411" s="7"/>
      <c r="C411" s="7"/>
      <c r="D411" s="441"/>
      <c r="E411" s="7"/>
      <c r="F411" s="7"/>
      <c r="G411" s="372"/>
      <c r="H411" s="7"/>
      <c r="J411" s="7"/>
      <c r="K411" s="7"/>
      <c r="L411" s="7"/>
      <c r="M411" s="7"/>
      <c r="N411" s="7"/>
      <c r="O411" s="7"/>
      <c r="P411" s="250"/>
      <c r="Q411" s="251"/>
      <c r="R411" s="372"/>
      <c r="S411" s="7"/>
      <c r="V411" s="10"/>
    </row>
    <row r="412" spans="1:22" ht="18" hidden="1" customHeight="1">
      <c r="A412" s="96" t="s">
        <v>500</v>
      </c>
      <c r="V412" s="10"/>
    </row>
    <row r="413" spans="1:22" ht="18" hidden="1" customHeight="1">
      <c r="A413" s="9"/>
      <c r="N413" s="7"/>
      <c r="O413" s="28" t="s">
        <v>473</v>
      </c>
      <c r="P413" s="102" t="s">
        <v>127</v>
      </c>
      <c r="Q413" s="694" t="s">
        <v>474</v>
      </c>
      <c r="R413" s="694"/>
      <c r="S413" s="28" t="s">
        <v>315</v>
      </c>
      <c r="T413" s="28">
        <v>0.8</v>
      </c>
      <c r="V413" s="10"/>
    </row>
    <row r="414" spans="1:22" ht="18" hidden="1" customHeight="1">
      <c r="A414" s="9"/>
      <c r="N414" s="252"/>
      <c r="O414" s="28"/>
      <c r="P414" s="102" t="s">
        <v>127</v>
      </c>
      <c r="Q414" s="829" t="e">
        <f>+Q410</f>
        <v>#VALUE!</v>
      </c>
      <c r="R414" s="708"/>
      <c r="S414" s="222" t="s">
        <v>315</v>
      </c>
      <c r="T414" s="253">
        <f>+T413</f>
        <v>0.8</v>
      </c>
      <c r="V414" s="10"/>
    </row>
    <row r="415" spans="1:22" ht="18" hidden="1" customHeight="1">
      <c r="A415" s="9"/>
      <c r="O415" s="28"/>
      <c r="P415" s="28" t="s">
        <v>127</v>
      </c>
      <c r="Q415" s="830" t="e">
        <f>Q414*T414</f>
        <v>#VALUE!</v>
      </c>
      <c r="R415" s="776"/>
      <c r="S415" s="28" t="s">
        <v>305</v>
      </c>
      <c r="T415" s="28"/>
      <c r="V415" s="10"/>
    </row>
    <row r="416" spans="1:22" ht="18" hidden="1" customHeight="1">
      <c r="A416" s="9"/>
      <c r="D416" s="30" t="s">
        <v>475</v>
      </c>
      <c r="G416" s="27" t="e">
        <f>IF(E417&gt;H417,"&gt;","&lt;")</f>
        <v>#VALUE!</v>
      </c>
      <c r="H416" s="30" t="s">
        <v>477</v>
      </c>
      <c r="V416" s="10"/>
    </row>
    <row r="417" spans="1:22" ht="18" hidden="1" customHeight="1">
      <c r="A417" s="9"/>
      <c r="E417" s="684" t="str">
        <f>L299</f>
        <v>-</v>
      </c>
      <c r="F417" s="684"/>
      <c r="G417" s="27" t="e">
        <f>G416</f>
        <v>#VALUE!</v>
      </c>
      <c r="H417" s="795" t="e">
        <f>Q415</f>
        <v>#VALUE!</v>
      </c>
      <c r="I417" s="684"/>
      <c r="V417" s="10"/>
    </row>
    <row r="418" spans="1:22" ht="18" hidden="1" customHeight="1">
      <c r="A418" s="9"/>
      <c r="F418" s="244" t="s">
        <v>478</v>
      </c>
      <c r="H418" s="18" t="e">
        <f>IF(G416="&gt;","Suitably Dimensioned","Under Dimensioned")</f>
        <v>#VALUE!</v>
      </c>
      <c r="V418" s="10"/>
    </row>
    <row r="419" spans="1:22" ht="18" hidden="1" customHeight="1">
      <c r="A419" s="9"/>
      <c r="F419" s="244"/>
      <c r="H419" s="18"/>
      <c r="V419" s="10"/>
    </row>
    <row r="420" spans="1:22" ht="18" hidden="1" customHeight="1">
      <c r="A420" s="9"/>
      <c r="F420" s="244"/>
      <c r="H420" s="18"/>
      <c r="V420" s="10"/>
    </row>
    <row r="421" spans="1:22" ht="18" hidden="1" customHeight="1">
      <c r="A421" s="9"/>
      <c r="F421" s="244"/>
      <c r="H421" s="18"/>
      <c r="V421" s="10"/>
    </row>
    <row r="422" spans="1:22" ht="18" hidden="1" customHeight="1">
      <c r="A422" s="9"/>
      <c r="F422" s="244"/>
      <c r="H422" s="18"/>
      <c r="V422" s="10"/>
    </row>
    <row r="423" spans="1:22" ht="18" hidden="1" customHeight="1">
      <c r="A423" s="9"/>
      <c r="F423" s="244"/>
      <c r="H423" s="18"/>
      <c r="V423" s="10"/>
    </row>
    <row r="424" spans="1:22" s="7" customFormat="1" ht="18" hidden="1" customHeight="1">
      <c r="A424" s="382"/>
      <c r="B424" s="20"/>
      <c r="C424" s="20"/>
      <c r="D424" s="20"/>
      <c r="E424" s="20"/>
      <c r="F424" s="20"/>
      <c r="G424" s="20"/>
      <c r="H424" s="20"/>
      <c r="I424" s="20"/>
      <c r="J424" s="20"/>
      <c r="K424" s="20"/>
      <c r="L424" s="20"/>
      <c r="M424" s="20"/>
      <c r="N424" s="20"/>
      <c r="O424" s="20"/>
      <c r="P424" s="20"/>
      <c r="Q424" s="21"/>
      <c r="R424" s="22"/>
      <c r="S424" s="23"/>
      <c r="T424" s="20"/>
      <c r="U424" s="20"/>
      <c r="V424" s="134"/>
    </row>
    <row r="425" spans="1:22" ht="18" customHeight="1">
      <c r="A425" s="442"/>
      <c r="B425" s="384"/>
      <c r="C425" s="384"/>
      <c r="D425" s="384"/>
      <c r="E425" s="384"/>
      <c r="F425" s="384"/>
      <c r="G425" s="384"/>
      <c r="H425" s="384"/>
      <c r="I425" s="384"/>
      <c r="J425" s="384"/>
      <c r="K425" s="384"/>
      <c r="L425" s="384"/>
      <c r="M425" s="384"/>
      <c r="N425" s="384"/>
      <c r="O425" s="384"/>
      <c r="P425" s="384"/>
      <c r="Q425" s="384"/>
      <c r="R425" s="384"/>
      <c r="S425" s="384"/>
      <c r="T425" s="384"/>
      <c r="U425" s="384"/>
      <c r="V425" s="395"/>
    </row>
    <row r="426" spans="1:22" ht="18" customHeight="1">
      <c r="A426" s="262" t="s">
        <v>501</v>
      </c>
      <c r="B426" s="7"/>
      <c r="C426" s="7"/>
      <c r="D426" s="124"/>
      <c r="E426" s="124"/>
      <c r="F426" s="115"/>
      <c r="G426" s="115"/>
      <c r="H426" s="7"/>
      <c r="I426" s="7"/>
      <c r="J426" s="7"/>
      <c r="K426" s="7"/>
      <c r="L426" s="7"/>
      <c r="M426" s="7"/>
      <c r="N426" s="7"/>
      <c r="O426" s="7"/>
      <c r="P426" s="121"/>
      <c r="Q426" s="124"/>
      <c r="R426" s="372"/>
      <c r="S426" s="449"/>
      <c r="T426" s="450"/>
      <c r="U426" s="7"/>
      <c r="V426" s="112"/>
    </row>
    <row r="427" spans="1:22" ht="18" customHeight="1">
      <c r="A427" s="868" t="s">
        <v>85</v>
      </c>
      <c r="B427" s="868"/>
      <c r="C427" s="869"/>
      <c r="D427" s="868" t="s">
        <v>86</v>
      </c>
      <c r="E427" s="868"/>
      <c r="F427" s="868"/>
      <c r="G427" s="868" t="s">
        <v>87</v>
      </c>
      <c r="H427" s="868"/>
      <c r="I427" s="868" t="s">
        <v>88</v>
      </c>
      <c r="J427" s="868"/>
      <c r="K427" s="868" t="s">
        <v>502</v>
      </c>
      <c r="L427" s="868"/>
      <c r="M427" s="868" t="s">
        <v>503</v>
      </c>
      <c r="N427" s="868"/>
      <c r="O427" s="868" t="s">
        <v>504</v>
      </c>
      <c r="P427" s="868"/>
      <c r="Q427" s="868" t="s">
        <v>505</v>
      </c>
      <c r="R427" s="868"/>
      <c r="S427" s="868" t="s">
        <v>93</v>
      </c>
      <c r="T427" s="868"/>
      <c r="U427" s="868"/>
      <c r="V427" s="868"/>
    </row>
    <row r="428" spans="1:22" ht="18" customHeight="1">
      <c r="A428" s="868"/>
      <c r="B428" s="868"/>
      <c r="C428" s="869"/>
      <c r="D428" s="868"/>
      <c r="E428" s="868"/>
      <c r="F428" s="868"/>
      <c r="G428" s="868"/>
      <c r="H428" s="868"/>
      <c r="I428" s="868"/>
      <c r="J428" s="868"/>
      <c r="K428" s="868"/>
      <c r="L428" s="868"/>
      <c r="M428" s="868"/>
      <c r="N428" s="868"/>
      <c r="O428" s="868"/>
      <c r="P428" s="868"/>
      <c r="Q428" s="868"/>
      <c r="R428" s="868"/>
      <c r="S428" s="868"/>
      <c r="T428" s="868"/>
      <c r="U428" s="868"/>
      <c r="V428" s="868"/>
    </row>
    <row r="429" spans="1:22" ht="18" customHeight="1">
      <c r="A429" s="868"/>
      <c r="B429" s="868"/>
      <c r="C429" s="869"/>
      <c r="D429" s="868"/>
      <c r="E429" s="868"/>
      <c r="F429" s="868"/>
      <c r="G429" s="868"/>
      <c r="H429" s="868"/>
      <c r="I429" s="868"/>
      <c r="J429" s="868"/>
      <c r="K429" s="868"/>
      <c r="L429" s="868"/>
      <c r="M429" s="868"/>
      <c r="N429" s="868"/>
      <c r="O429" s="868"/>
      <c r="P429" s="868"/>
      <c r="Q429" s="868"/>
      <c r="R429" s="868"/>
      <c r="S429" s="868"/>
      <c r="T429" s="868"/>
      <c r="U429" s="868"/>
      <c r="V429" s="868"/>
    </row>
    <row r="430" spans="1:22" ht="18" customHeight="1">
      <c r="A430" s="868"/>
      <c r="B430" s="868"/>
      <c r="C430" s="869"/>
      <c r="D430" s="868"/>
      <c r="E430" s="868"/>
      <c r="F430" s="868"/>
      <c r="G430" s="868"/>
      <c r="H430" s="868"/>
      <c r="I430" s="868"/>
      <c r="J430" s="868"/>
      <c r="K430" s="868"/>
      <c r="L430" s="868"/>
      <c r="M430" s="868"/>
      <c r="N430" s="868"/>
      <c r="O430" s="868"/>
      <c r="P430" s="868"/>
      <c r="Q430" s="868"/>
      <c r="R430" s="868"/>
      <c r="S430" s="868"/>
      <c r="T430" s="868"/>
      <c r="U430" s="868"/>
      <c r="V430" s="868"/>
    </row>
    <row r="431" spans="1:22" ht="18" customHeight="1">
      <c r="A431" s="765" t="str">
        <f>B7</f>
        <v>T1</v>
      </c>
      <c r="B431" s="765" t="str">
        <f>D7</f>
        <v>Core1</v>
      </c>
      <c r="C431" s="765"/>
      <c r="D431" s="870">
        <f>H10</f>
        <v>2500</v>
      </c>
      <c r="E431" s="870"/>
      <c r="F431" s="871">
        <f>O10</f>
        <v>1</v>
      </c>
      <c r="G431" s="870">
        <f>'CT-VT Burdens'!S21</f>
        <v>120</v>
      </c>
      <c r="H431" s="874">
        <f>'CT-VT Burdens'!S10</f>
        <v>6</v>
      </c>
      <c r="I431" s="874" t="str">
        <f>H11</f>
        <v>PX-A</v>
      </c>
      <c r="J431" s="874"/>
      <c r="K431" s="869">
        <f>H12</f>
        <v>5</v>
      </c>
      <c r="L431" s="869"/>
      <c r="M431" s="869">
        <f>H13</f>
        <v>3750</v>
      </c>
      <c r="N431" s="869"/>
      <c r="O431" s="870">
        <f>H14</f>
        <v>60</v>
      </c>
      <c r="P431" s="870"/>
      <c r="Q431" s="879" t="str">
        <f>IF(T8="",T7,IF(T9="",T7&amp;"+"&amp;T8,T7&amp;"+"&amp;T8&amp;"+"&amp;T9))</f>
        <v>RED670</v>
      </c>
      <c r="R431" s="879"/>
      <c r="S431" s="878" t="str">
        <f>H123</f>
        <v>Suitably Dimensioned</v>
      </c>
      <c r="T431" s="878"/>
      <c r="U431" s="878"/>
      <c r="V431" s="878"/>
    </row>
    <row r="432" spans="1:22" ht="18" customHeight="1">
      <c r="A432" s="765"/>
      <c r="B432" s="765"/>
      <c r="C432" s="765"/>
      <c r="D432" s="870" t="str">
        <f>J10</f>
        <v>-</v>
      </c>
      <c r="E432" s="870"/>
      <c r="F432" s="872"/>
      <c r="G432" s="870"/>
      <c r="H432" s="870"/>
      <c r="I432" s="874"/>
      <c r="J432" s="874"/>
      <c r="K432" s="875" t="s">
        <v>6</v>
      </c>
      <c r="L432" s="869"/>
      <c r="M432" s="875" t="s">
        <v>6</v>
      </c>
      <c r="N432" s="869"/>
      <c r="O432" s="876" t="s">
        <v>6</v>
      </c>
      <c r="P432" s="870"/>
      <c r="Q432" s="879"/>
      <c r="R432" s="879"/>
      <c r="S432" s="877" t="s">
        <v>6</v>
      </c>
      <c r="T432" s="878"/>
      <c r="U432" s="878"/>
      <c r="V432" s="878"/>
    </row>
    <row r="433" spans="1:22" ht="18" customHeight="1">
      <c r="A433" s="765"/>
      <c r="B433" s="765"/>
      <c r="C433" s="765"/>
      <c r="D433" s="870" t="str">
        <f>L10</f>
        <v>-</v>
      </c>
      <c r="E433" s="870"/>
      <c r="F433" s="873"/>
      <c r="G433" s="870"/>
      <c r="H433" s="870"/>
      <c r="I433" s="874"/>
      <c r="J433" s="874"/>
      <c r="K433" s="869" t="str">
        <f>L298</f>
        <v>-</v>
      </c>
      <c r="L433" s="869"/>
      <c r="M433" s="869" t="str">
        <f>L299</f>
        <v>-</v>
      </c>
      <c r="N433" s="869"/>
      <c r="O433" s="870" t="str">
        <f>L300</f>
        <v>-</v>
      </c>
      <c r="P433" s="870"/>
      <c r="Q433" s="879"/>
      <c r="R433" s="879"/>
      <c r="S433" s="878" t="s">
        <v>6</v>
      </c>
      <c r="T433" s="878"/>
      <c r="U433" s="878"/>
      <c r="V433" s="87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82"/>
      <c r="B464" s="20"/>
      <c r="C464" s="20"/>
      <c r="D464" s="20"/>
      <c r="E464" s="20"/>
      <c r="F464" s="20"/>
      <c r="G464" s="20"/>
      <c r="H464" s="20"/>
      <c r="I464" s="20"/>
      <c r="J464" s="20"/>
      <c r="K464" s="20"/>
      <c r="L464" s="20"/>
      <c r="M464" s="20"/>
      <c r="N464" s="20"/>
      <c r="O464" s="20"/>
      <c r="P464" s="20"/>
      <c r="Q464" s="21"/>
      <c r="R464" s="22"/>
      <c r="S464" s="23"/>
      <c r="T464" s="20"/>
      <c r="U464" s="20"/>
      <c r="V464" s="134"/>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160" priority="2" stopIfTrue="1" operator="equal">
      <formula>"Under Dimentioned"</formula>
    </cfRule>
  </conditionalFormatting>
  <conditionalFormatting sqref="H156">
    <cfRule type="cellIs" dxfId="159"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11"/>
  <sheetViews>
    <sheetView showZeros="0" view="pageBreakPreview" zoomScale="130" zoomScaleNormal="100" zoomScaleSheetLayoutView="130" workbookViewId="0">
      <selection activeCell="X21" sqref="X21"/>
    </sheetView>
  </sheetViews>
  <sheetFormatPr defaultColWidth="4.33203125" defaultRowHeight="18" customHeight="1"/>
  <cols>
    <col min="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9"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9" ht="25.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9" ht="19.2" customHeight="1">
      <c r="A5" s="880" t="str">
        <f>Title!A5</f>
        <v>Prep. By</v>
      </c>
      <c r="B5" s="943"/>
      <c r="C5" s="25" t="str">
        <f>Title!C5</f>
        <v>AP</v>
      </c>
      <c r="D5" s="880" t="str">
        <f>Title!D5</f>
        <v>Checked By</v>
      </c>
      <c r="E5" s="881"/>
      <c r="F5" s="943"/>
      <c r="G5" s="25" t="str">
        <f>Title!G5</f>
        <v>RB</v>
      </c>
      <c r="H5" s="944" t="s">
        <v>1037</v>
      </c>
      <c r="I5" s="945"/>
      <c r="J5" s="945"/>
      <c r="K5" s="945"/>
      <c r="L5" s="945"/>
      <c r="M5" s="945"/>
      <c r="N5" s="946"/>
      <c r="O5" s="947" t="str">
        <f>Title!O5</f>
        <v>Contractor</v>
      </c>
      <c r="P5" s="948"/>
      <c r="Q5" s="949"/>
      <c r="R5" s="775" t="str">
        <f>Title!R5</f>
        <v>HITACHI</v>
      </c>
      <c r="S5" s="1068"/>
      <c r="T5" s="1068"/>
      <c r="U5" s="1068"/>
      <c r="V5" s="776"/>
      <c r="W5" s="14"/>
      <c r="X5" s="14"/>
    </row>
    <row r="6" spans="1:29" ht="18" customHeight="1">
      <c r="A6" s="184"/>
      <c r="V6" s="185"/>
    </row>
    <row r="7" spans="1:29" ht="18" customHeight="1">
      <c r="A7" s="184"/>
      <c r="B7" s="781" t="s">
        <v>108</v>
      </c>
      <c r="C7" s="782"/>
      <c r="D7" s="1099" t="s">
        <v>385</v>
      </c>
      <c r="E7" s="1101"/>
      <c r="F7" s="186"/>
      <c r="G7" s="684" t="s">
        <v>1060</v>
      </c>
      <c r="H7" s="684"/>
      <c r="I7" s="684"/>
      <c r="J7" s="684"/>
      <c r="K7" s="684"/>
      <c r="L7" s="684"/>
      <c r="M7" s="684"/>
      <c r="N7" s="684"/>
      <c r="P7" s="186"/>
      <c r="S7" s="187" t="s">
        <v>387</v>
      </c>
      <c r="T7" s="1161" t="s">
        <v>228</v>
      </c>
      <c r="U7" s="1162"/>
      <c r="V7" s="185"/>
    </row>
    <row r="8" spans="1:29" ht="18" customHeight="1">
      <c r="A8" s="184"/>
      <c r="B8" s="743"/>
      <c r="C8" s="743"/>
      <c r="D8" s="1102"/>
      <c r="E8" s="1103"/>
      <c r="F8" s="255"/>
      <c r="T8" s="1161"/>
      <c r="U8" s="1162"/>
      <c r="V8" s="185"/>
    </row>
    <row r="9" spans="1:29" ht="18" customHeight="1">
      <c r="A9" s="1191"/>
      <c r="B9" s="1192"/>
      <c r="C9" s="1192"/>
      <c r="D9" s="684"/>
      <c r="H9" s="789" t="s">
        <v>390</v>
      </c>
      <c r="I9" s="789"/>
      <c r="J9" s="708" t="s">
        <v>391</v>
      </c>
      <c r="K9" s="708"/>
      <c r="L9" s="708" t="s">
        <v>392</v>
      </c>
      <c r="M9" s="708"/>
      <c r="T9" s="1161"/>
      <c r="U9" s="1162"/>
      <c r="V9" s="185"/>
    </row>
    <row r="10" spans="1:29" ht="18" customHeight="1">
      <c r="A10" s="184"/>
      <c r="B10" s="47" t="s">
        <v>393</v>
      </c>
      <c r="H10" s="791">
        <v>1600</v>
      </c>
      <c r="I10" s="792"/>
      <c r="J10" s="781">
        <v>400</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8</v>
      </c>
      <c r="I12" s="782"/>
      <c r="J12" s="192" t="s">
        <v>333</v>
      </c>
      <c r="V12" s="185"/>
    </row>
    <row r="13" spans="1:29" ht="18" customHeight="1">
      <c r="A13" s="184"/>
      <c r="B13" s="47" t="s">
        <v>398</v>
      </c>
      <c r="G13" s="120" t="s">
        <v>498</v>
      </c>
      <c r="H13" s="781">
        <v>1600</v>
      </c>
      <c r="I13" s="782"/>
      <c r="J13" s="14" t="s">
        <v>305</v>
      </c>
      <c r="V13" s="185"/>
      <c r="W13" s="30" t="s">
        <v>400</v>
      </c>
      <c r="AB13" s="785">
        <f>D68</f>
        <v>324.61160018255754</v>
      </c>
      <c r="AC13" s="786"/>
    </row>
    <row r="14" spans="1:29" ht="18" customHeight="1">
      <c r="A14" s="184"/>
      <c r="B14" s="14" t="s">
        <v>401</v>
      </c>
      <c r="G14" s="120" t="s">
        <v>402</v>
      </c>
      <c r="H14" s="781">
        <v>10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SEL487E</v>
      </c>
      <c r="E18" s="196"/>
      <c r="F18" s="196"/>
      <c r="G18" s="196"/>
      <c r="H18" s="182" t="s">
        <v>406</v>
      </c>
      <c r="I18" s="183" t="s">
        <v>127</v>
      </c>
      <c r="J18" s="1308">
        <f>'CT-VT Burdens'!Q131</f>
        <v>0.1</v>
      </c>
      <c r="K18" s="1309"/>
      <c r="L18" s="3" t="s">
        <v>157</v>
      </c>
      <c r="V18" s="185"/>
    </row>
    <row r="19" spans="1:22" ht="18" customHeight="1">
      <c r="A19" s="184"/>
      <c r="B19" s="184" t="s">
        <v>405</v>
      </c>
      <c r="D19" s="30">
        <f>T8</f>
        <v>0</v>
      </c>
      <c r="H19" s="27"/>
      <c r="I19" s="177" t="s">
        <v>127</v>
      </c>
      <c r="J19" s="1194"/>
      <c r="K19" s="1107"/>
      <c r="L19" s="198" t="s">
        <v>157</v>
      </c>
      <c r="V19" s="185"/>
    </row>
    <row r="20" spans="1:22" ht="18" customHeight="1">
      <c r="A20" s="184"/>
      <c r="B20" s="184" t="s">
        <v>405</v>
      </c>
      <c r="D20" s="30">
        <f>T9</f>
        <v>0</v>
      </c>
      <c r="E20" s="14"/>
      <c r="G20" s="199"/>
      <c r="H20" s="27"/>
      <c r="I20" s="177" t="s">
        <v>127</v>
      </c>
      <c r="J20" s="1108"/>
      <c r="K20" s="788"/>
      <c r="L20" s="202" t="s">
        <v>157</v>
      </c>
      <c r="V20" s="185"/>
    </row>
    <row r="21" spans="1:22" ht="18" customHeight="1">
      <c r="A21" s="184"/>
      <c r="B21" s="184" t="s">
        <v>412</v>
      </c>
      <c r="H21" s="27" t="s">
        <v>599</v>
      </c>
      <c r="I21" s="177" t="s">
        <v>127</v>
      </c>
      <c r="J21" s="793">
        <f>'CT-VT Burdens'!S24</f>
        <v>1.0770224400000001</v>
      </c>
      <c r="K21" s="1156"/>
      <c r="L21" s="203" t="s">
        <v>157</v>
      </c>
      <c r="V21" s="185"/>
    </row>
    <row r="22" spans="1:22" ht="18" customHeight="1">
      <c r="A22" s="184"/>
      <c r="B22" s="205" t="s">
        <v>413</v>
      </c>
      <c r="C22" s="206"/>
      <c r="D22" s="206"/>
      <c r="E22" s="206"/>
      <c r="F22" s="207"/>
      <c r="G22" s="207"/>
      <c r="H22" s="190" t="s">
        <v>409</v>
      </c>
      <c r="I22" s="208" t="s">
        <v>127</v>
      </c>
      <c r="J22" s="766">
        <f>J18+J21</f>
        <v>1.1770224400000002</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S58</f>
        <v>1</v>
      </c>
      <c r="G26" s="27" t="s">
        <v>315</v>
      </c>
      <c r="H26" s="27">
        <f>S58</f>
        <v>1</v>
      </c>
      <c r="I26" s="30" t="s">
        <v>350</v>
      </c>
      <c r="J26" s="199"/>
      <c r="L26" s="47"/>
      <c r="N26" s="27" t="s">
        <v>127</v>
      </c>
      <c r="O26" s="204">
        <f>J22</f>
        <v>1.1770224400000002</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1.1770224400000002</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c r="C29" s="47"/>
      <c r="D29" s="47"/>
      <c r="E29" s="47"/>
      <c r="H29" s="27"/>
      <c r="I29" s="28"/>
      <c r="J29" s="199"/>
      <c r="L29" s="28"/>
      <c r="M29" s="204"/>
      <c r="N29" s="204"/>
      <c r="O29" s="27"/>
      <c r="P29" s="204"/>
      <c r="Q29" s="204"/>
      <c r="R29" s="211"/>
      <c r="S29" s="204"/>
      <c r="T29" s="204"/>
      <c r="U29" s="192"/>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5" s="14" customFormat="1" ht="18" customHeight="1">
      <c r="A33" s="96"/>
      <c r="B33" s="47" t="s">
        <v>605</v>
      </c>
      <c r="C33" s="5"/>
      <c r="D33" s="5"/>
      <c r="E33" s="5"/>
      <c r="M33" s="120" t="s">
        <v>606</v>
      </c>
      <c r="N33" s="103" t="s">
        <v>607</v>
      </c>
      <c r="O33" s="1154">
        <v>33</v>
      </c>
      <c r="P33" s="831"/>
      <c r="Q33" s="14" t="s">
        <v>163</v>
      </c>
      <c r="S33" s="214"/>
      <c r="T33" s="18"/>
      <c r="U33" s="18"/>
      <c r="V33" s="97"/>
    </row>
    <row r="34" spans="1:25" s="14" customFormat="1" ht="18" customHeight="1">
      <c r="A34" s="216"/>
      <c r="B34" s="212"/>
      <c r="C34" s="212"/>
      <c r="D34" s="212"/>
      <c r="E34" s="212"/>
      <c r="T34" s="18"/>
      <c r="U34" s="18"/>
      <c r="V34" s="97"/>
    </row>
    <row r="35" spans="1:25"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5"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33</v>
      </c>
      <c r="R36" s="47" t="s">
        <v>350</v>
      </c>
      <c r="T36" s="18"/>
      <c r="U36" s="18"/>
      <c r="V36" s="97"/>
    </row>
    <row r="37" spans="1:25" s="14" customFormat="1" ht="18" customHeight="1">
      <c r="A37" s="216"/>
      <c r="B37" s="212"/>
      <c r="C37" s="212"/>
      <c r="D37" s="212"/>
      <c r="E37" s="212"/>
      <c r="F37" s="212"/>
      <c r="G37" s="212"/>
      <c r="I37" s="28" t="s">
        <v>127</v>
      </c>
      <c r="J37" s="692">
        <f>(O31*1000)/(SQRT(3)*O33)</f>
        <v>1749.5462702715934</v>
      </c>
      <c r="K37" s="692"/>
      <c r="L37" s="14" t="s">
        <v>8</v>
      </c>
      <c r="M37" s="120"/>
      <c r="N37" s="120"/>
      <c r="O37" s="120"/>
      <c r="T37" s="18"/>
      <c r="U37" s="18"/>
      <c r="V37" s="97"/>
    </row>
    <row r="38" spans="1:25" s="14" customFormat="1" ht="18" customHeight="1">
      <c r="A38" s="216"/>
      <c r="B38" s="212"/>
      <c r="C38" s="212"/>
      <c r="D38" s="212"/>
      <c r="E38" s="212"/>
      <c r="G38" s="212"/>
      <c r="H38" s="28"/>
      <c r="I38" s="103"/>
      <c r="J38" s="28"/>
      <c r="M38" s="212"/>
      <c r="N38" s="219"/>
      <c r="O38" s="212"/>
      <c r="T38" s="18"/>
      <c r="U38" s="18"/>
      <c r="V38" s="97"/>
    </row>
    <row r="39" spans="1:25" s="14" customFormat="1" ht="18" customHeight="1">
      <c r="A39" s="147" t="s">
        <v>629</v>
      </c>
      <c r="B39" s="5"/>
      <c r="C39" s="5"/>
      <c r="D39" s="5"/>
      <c r="E39" s="5"/>
      <c r="F39" s="212"/>
      <c r="G39" s="212"/>
      <c r="H39" s="5"/>
      <c r="I39" s="5"/>
      <c r="J39" s="5"/>
      <c r="K39" s="5"/>
      <c r="L39" s="103"/>
      <c r="M39" s="103"/>
      <c r="N39" s="103"/>
      <c r="O39" s="103"/>
      <c r="P39" s="212"/>
      <c r="Q39" s="213"/>
      <c r="S39" s="220"/>
      <c r="T39" s="18"/>
      <c r="U39" s="18"/>
      <c r="V39" s="97"/>
    </row>
    <row r="40" spans="1:25" s="14" customFormat="1" ht="18" customHeight="1">
      <c r="A40" s="147"/>
      <c r="B40" s="5"/>
      <c r="C40" s="5"/>
      <c r="D40" s="5"/>
      <c r="E40" s="5"/>
      <c r="F40" s="212"/>
      <c r="G40" s="212"/>
      <c r="H40" s="5"/>
      <c r="I40" s="5"/>
      <c r="J40" s="5"/>
      <c r="K40" s="5"/>
      <c r="L40" s="103"/>
      <c r="M40" s="103"/>
      <c r="N40" s="103"/>
      <c r="O40" s="103"/>
      <c r="P40" s="212"/>
      <c r="Q40" s="213"/>
      <c r="S40" s="214"/>
      <c r="T40" s="18"/>
      <c r="U40" s="18"/>
      <c r="V40" s="97"/>
    </row>
    <row r="41" spans="1:25" ht="18" customHeight="1">
      <c r="A41" s="96" t="s">
        <v>612</v>
      </c>
      <c r="B41" s="14"/>
      <c r="C41" s="14"/>
      <c r="D41" s="14"/>
      <c r="E41" s="14"/>
      <c r="M41" s="120" t="s">
        <v>613</v>
      </c>
      <c r="N41" s="28" t="s">
        <v>127</v>
      </c>
      <c r="O41" s="689" t="s">
        <v>609</v>
      </c>
      <c r="P41" s="716"/>
      <c r="Q41" s="221" t="s">
        <v>630</v>
      </c>
      <c r="R41" s="221">
        <v>16</v>
      </c>
      <c r="S41" s="214"/>
      <c r="V41" s="185"/>
    </row>
    <row r="42" spans="1:25" ht="18" customHeight="1">
      <c r="A42" s="96"/>
      <c r="B42" s="5"/>
      <c r="C42" s="5"/>
      <c r="D42" s="5"/>
      <c r="E42" s="5"/>
      <c r="M42" s="250"/>
      <c r="N42" s="28" t="s">
        <v>127</v>
      </c>
      <c r="O42" s="689">
        <f>+J37</f>
        <v>1749.5462702715934</v>
      </c>
      <c r="P42" s="716"/>
      <c r="Q42" s="221" t="s">
        <v>630</v>
      </c>
      <c r="R42" s="221">
        <v>16</v>
      </c>
      <c r="S42" s="214"/>
      <c r="V42" s="185"/>
    </row>
    <row r="43" spans="1:25" ht="18" customHeight="1">
      <c r="A43" s="96"/>
      <c r="B43" s="5"/>
      <c r="C43" s="5"/>
      <c r="D43" s="5"/>
      <c r="E43" s="5"/>
      <c r="M43" s="120" t="s">
        <v>613</v>
      </c>
      <c r="N43" s="28" t="s">
        <v>127</v>
      </c>
      <c r="O43" s="689">
        <f>O42*R42</f>
        <v>27992.740324345494</v>
      </c>
      <c r="P43" s="716"/>
      <c r="Q43" s="241" t="s">
        <v>8</v>
      </c>
      <c r="R43" s="14"/>
      <c r="S43" s="214"/>
      <c r="V43" s="185"/>
    </row>
    <row r="44" spans="1:25" ht="18" hidden="1" customHeight="1">
      <c r="A44" s="96"/>
      <c r="B44" s="5"/>
      <c r="C44" s="5"/>
      <c r="D44" s="5"/>
      <c r="E44" s="5"/>
      <c r="M44" s="120"/>
      <c r="N44" s="28"/>
      <c r="O44" s="28"/>
      <c r="P44" s="14"/>
      <c r="Q44" s="241"/>
      <c r="R44" s="14"/>
      <c r="S44" s="214"/>
      <c r="V44" s="185"/>
    </row>
    <row r="45" spans="1:25" ht="18" customHeight="1">
      <c r="A45" s="96"/>
      <c r="B45" s="5"/>
      <c r="C45" s="5"/>
      <c r="D45" s="5"/>
      <c r="E45" s="5"/>
      <c r="M45" s="120"/>
      <c r="N45" s="28"/>
      <c r="O45" s="28"/>
      <c r="P45" s="14"/>
      <c r="Q45" s="241"/>
      <c r="R45" s="14"/>
      <c r="S45" s="214"/>
      <c r="V45" s="185"/>
    </row>
    <row r="46" spans="1:25"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5" s="14" customFormat="1" ht="18" customHeight="1">
      <c r="A47" s="135"/>
      <c r="B47" s="273"/>
      <c r="C47" s="273"/>
      <c r="D47" s="273"/>
      <c r="E47" s="273"/>
      <c r="F47" s="273"/>
      <c r="G47" s="273"/>
      <c r="H47" s="273"/>
      <c r="I47" s="273"/>
      <c r="J47" s="273"/>
      <c r="K47" s="273"/>
      <c r="L47" s="273"/>
      <c r="M47" s="273"/>
      <c r="N47" s="273"/>
      <c r="O47" s="273"/>
      <c r="P47" s="273"/>
      <c r="Q47" s="274"/>
      <c r="R47" s="138"/>
      <c r="S47" s="275"/>
      <c r="T47" s="273"/>
      <c r="U47" s="273"/>
      <c r="V47" s="276"/>
    </row>
    <row r="48" spans="1:25" ht="18" customHeight="1">
      <c r="A48" s="96" t="s">
        <v>650</v>
      </c>
      <c r="V48" s="185"/>
      <c r="Y48" s="14" t="s">
        <v>651</v>
      </c>
    </row>
    <row r="49" spans="1:22" ht="18" customHeight="1">
      <c r="A49" s="184"/>
      <c r="V49" s="185"/>
    </row>
    <row r="50" spans="1:22" s="279" customFormat="1" ht="18" customHeight="1">
      <c r="A50" s="277"/>
      <c r="B50" s="689" t="s">
        <v>473</v>
      </c>
      <c r="C50" s="1150" t="s">
        <v>652</v>
      </c>
      <c r="D50" s="689">
        <v>2</v>
      </c>
      <c r="E50" s="689" t="s">
        <v>378</v>
      </c>
      <c r="F50" s="689" t="s">
        <v>617</v>
      </c>
      <c r="G50" s="689"/>
      <c r="H50" s="689" t="s">
        <v>378</v>
      </c>
      <c r="I50" s="689" t="s">
        <v>419</v>
      </c>
      <c r="J50" s="689" t="s">
        <v>420</v>
      </c>
      <c r="K50" s="689" t="s">
        <v>347</v>
      </c>
      <c r="L50" s="689" t="s">
        <v>408</v>
      </c>
      <c r="M50" s="689" t="s">
        <v>347</v>
      </c>
      <c r="N50" s="689" t="s">
        <v>649</v>
      </c>
      <c r="O50" s="689" t="s">
        <v>350</v>
      </c>
      <c r="P50" s="14"/>
      <c r="Q50" s="14"/>
      <c r="R50" s="14"/>
      <c r="S50" s="14"/>
      <c r="T50" s="14"/>
      <c r="U50" s="729" t="s">
        <v>653</v>
      </c>
      <c r="V50" s="185"/>
    </row>
    <row r="51" spans="1:22" s="279" customFormat="1" ht="18" customHeight="1">
      <c r="A51" s="277"/>
      <c r="B51" s="689"/>
      <c r="C51" s="689"/>
      <c r="D51" s="689"/>
      <c r="E51" s="689"/>
      <c r="F51" s="689"/>
      <c r="G51" s="689"/>
      <c r="H51" s="689"/>
      <c r="I51" s="689"/>
      <c r="J51" s="689"/>
      <c r="K51" s="689"/>
      <c r="L51" s="689"/>
      <c r="M51" s="689"/>
      <c r="N51" s="689"/>
      <c r="O51" s="689"/>
      <c r="P51" s="14"/>
      <c r="Q51" s="14"/>
      <c r="R51" s="14"/>
      <c r="S51" s="14"/>
      <c r="T51" s="14"/>
      <c r="U51" s="689"/>
      <c r="V51" s="185"/>
    </row>
    <row r="52" spans="1:22" ht="18" customHeight="1">
      <c r="A52" s="184"/>
      <c r="V52" s="185"/>
    </row>
    <row r="53" spans="1:22" ht="18" customHeight="1">
      <c r="A53" s="184"/>
      <c r="B53" s="47" t="s">
        <v>654</v>
      </c>
      <c r="C53" s="14"/>
      <c r="D53" s="14"/>
      <c r="E53" s="14"/>
      <c r="F53" s="18"/>
      <c r="G53" s="18"/>
      <c r="H53" s="14"/>
      <c r="I53" s="120"/>
      <c r="J53" s="14"/>
      <c r="K53" s="14"/>
      <c r="M53" s="14"/>
      <c r="N53" s="14"/>
      <c r="P53" s="14" t="s">
        <v>423</v>
      </c>
      <c r="R53" s="234" t="s">
        <v>127</v>
      </c>
      <c r="S53" s="684">
        <f>H10</f>
        <v>1600</v>
      </c>
      <c r="T53" s="684"/>
      <c r="U53" s="30" t="s">
        <v>8</v>
      </c>
      <c r="V53" s="185"/>
    </row>
    <row r="54" spans="1:22" ht="18" customHeight="1">
      <c r="A54" s="184"/>
      <c r="B54" s="47" t="s">
        <v>655</v>
      </c>
      <c r="C54" s="14"/>
      <c r="D54" s="14"/>
      <c r="E54" s="14"/>
      <c r="F54" s="18"/>
      <c r="G54" s="18"/>
      <c r="H54" s="14"/>
      <c r="I54" s="120"/>
      <c r="J54" s="14"/>
      <c r="K54" s="14"/>
      <c r="M54" s="14"/>
      <c r="N54" s="14"/>
      <c r="P54" s="14" t="s">
        <v>420</v>
      </c>
      <c r="R54" s="234" t="s">
        <v>127</v>
      </c>
      <c r="S54" s="684">
        <f>H12</f>
        <v>8</v>
      </c>
      <c r="T54" s="684"/>
      <c r="U54" s="192" t="s">
        <v>333</v>
      </c>
      <c r="V54" s="185"/>
    </row>
    <row r="55" spans="1:22" ht="18" customHeight="1">
      <c r="A55" s="184"/>
      <c r="B55" s="47" t="s">
        <v>656</v>
      </c>
      <c r="C55" s="14"/>
      <c r="D55" s="14"/>
      <c r="E55" s="14"/>
      <c r="F55" s="18"/>
      <c r="G55" s="18"/>
      <c r="H55" s="14"/>
      <c r="I55" s="120"/>
      <c r="J55" s="14"/>
      <c r="K55" s="14"/>
      <c r="M55" s="14"/>
      <c r="N55" s="14"/>
      <c r="P55" s="14" t="s">
        <v>408</v>
      </c>
      <c r="R55" s="234" t="s">
        <v>127</v>
      </c>
      <c r="S55" s="795">
        <f>O27</f>
        <v>1.1770224400000002</v>
      </c>
      <c r="T55" s="795"/>
      <c r="U55" s="192" t="s">
        <v>333</v>
      </c>
      <c r="V55" s="185"/>
    </row>
    <row r="56" spans="1:22" ht="18" customHeight="1">
      <c r="A56" s="184"/>
      <c r="B56" s="47" t="s">
        <v>657</v>
      </c>
      <c r="C56" s="14"/>
      <c r="D56" s="14"/>
      <c r="E56" s="14"/>
      <c r="F56" s="14"/>
      <c r="G56" s="14"/>
      <c r="H56" s="14"/>
      <c r="I56" s="120"/>
      <c r="J56" s="14"/>
      <c r="K56" s="14"/>
      <c r="M56" s="14"/>
      <c r="N56" s="14"/>
      <c r="P56" s="14" t="s">
        <v>649</v>
      </c>
      <c r="R56" s="234" t="s">
        <v>127</v>
      </c>
      <c r="S56" s="795">
        <f>D27</f>
        <v>0.1</v>
      </c>
      <c r="T56" s="684"/>
      <c r="U56" s="192" t="s">
        <v>333</v>
      </c>
      <c r="V56" s="185"/>
    </row>
    <row r="57" spans="1:22" ht="18" customHeight="1">
      <c r="A57" s="184"/>
      <c r="B57" s="14" t="s">
        <v>658</v>
      </c>
      <c r="C57" s="14"/>
      <c r="D57" s="14"/>
      <c r="E57" s="14"/>
      <c r="F57" s="14"/>
      <c r="G57" s="14"/>
      <c r="H57" s="14"/>
      <c r="I57" s="120"/>
      <c r="J57" s="14"/>
      <c r="K57" s="14"/>
      <c r="M57" s="14"/>
      <c r="N57" s="14"/>
      <c r="P57" s="47" t="s">
        <v>617</v>
      </c>
      <c r="R57" s="234" t="s">
        <v>127</v>
      </c>
      <c r="S57" s="795">
        <f>O43/S53</f>
        <v>17.495462702715933</v>
      </c>
      <c r="T57" s="795"/>
      <c r="U57" s="30" t="s">
        <v>8</v>
      </c>
      <c r="V57" s="185"/>
    </row>
    <row r="58" spans="1:22" ht="18" customHeight="1">
      <c r="A58" s="184"/>
      <c r="B58" s="47" t="s">
        <v>659</v>
      </c>
      <c r="C58" s="14"/>
      <c r="D58" s="14"/>
      <c r="E58" s="14"/>
      <c r="F58" s="14"/>
      <c r="G58" s="14"/>
      <c r="H58" s="14"/>
      <c r="I58" s="120"/>
      <c r="J58" s="14"/>
      <c r="K58" s="14"/>
      <c r="M58" s="14"/>
      <c r="N58" s="14"/>
      <c r="P58" s="120" t="s">
        <v>660</v>
      </c>
      <c r="R58" s="234" t="s">
        <v>127</v>
      </c>
      <c r="S58" s="684">
        <f>'CT-VT Burdens'!S18</f>
        <v>1</v>
      </c>
      <c r="T58" s="684"/>
      <c r="U58" s="30" t="s">
        <v>8</v>
      </c>
      <c r="V58" s="185"/>
    </row>
    <row r="59" spans="1:22" ht="18" customHeight="1">
      <c r="A59" s="184"/>
      <c r="V59" s="185"/>
    </row>
    <row r="60" spans="1:22" ht="18" customHeight="1">
      <c r="A60" s="96"/>
      <c r="B60" s="14" t="s">
        <v>661</v>
      </c>
      <c r="C60" s="14"/>
      <c r="D60" s="235"/>
      <c r="E60" s="14"/>
      <c r="F60" s="28"/>
      <c r="G60" s="249"/>
      <c r="H60" s="28"/>
      <c r="I60" s="251"/>
      <c r="J60" s="14"/>
      <c r="K60" s="280"/>
      <c r="M60" s="47"/>
      <c r="N60" s="268"/>
      <c r="P60" s="281"/>
      <c r="R60" s="234"/>
      <c r="S60" s="204"/>
      <c r="V60" s="185"/>
    </row>
    <row r="61" spans="1:22" ht="18" customHeight="1">
      <c r="A61" s="272"/>
      <c r="C61" s="14"/>
      <c r="D61" s="14"/>
      <c r="E61" s="14"/>
      <c r="F61" s="14"/>
      <c r="G61" s="14"/>
      <c r="H61" s="28"/>
      <c r="I61" s="47"/>
      <c r="J61" s="14"/>
      <c r="K61" s="14"/>
      <c r="M61" s="14"/>
      <c r="N61" s="14"/>
      <c r="P61" s="120"/>
      <c r="R61" s="234"/>
      <c r="S61" s="282"/>
      <c r="V61" s="185"/>
    </row>
    <row r="62" spans="1:22" ht="18" customHeight="1">
      <c r="A62" s="272"/>
      <c r="B62" s="689" t="s">
        <v>473</v>
      </c>
      <c r="C62" s="1150" t="s">
        <v>652</v>
      </c>
      <c r="D62" s="689">
        <v>2</v>
      </c>
      <c r="E62" s="689" t="s">
        <v>378</v>
      </c>
      <c r="F62" s="689" t="s">
        <v>617</v>
      </c>
      <c r="G62" s="689"/>
      <c r="H62" s="689" t="s">
        <v>378</v>
      </c>
      <c r="I62" s="689" t="s">
        <v>419</v>
      </c>
      <c r="J62" s="689" t="s">
        <v>420</v>
      </c>
      <c r="K62" s="689" t="s">
        <v>347</v>
      </c>
      <c r="L62" s="689" t="s">
        <v>408</v>
      </c>
      <c r="M62" s="689" t="s">
        <v>347</v>
      </c>
      <c r="N62" s="689" t="s">
        <v>649</v>
      </c>
      <c r="O62" s="689" t="s">
        <v>350</v>
      </c>
      <c r="P62" s="14"/>
      <c r="Q62" s="14"/>
      <c r="R62" s="14"/>
      <c r="S62" s="14"/>
      <c r="T62" s="14"/>
      <c r="U62" s="729" t="s">
        <v>653</v>
      </c>
      <c r="V62" s="185"/>
    </row>
    <row r="63" spans="1:22" s="279" customFormat="1" ht="18" customHeight="1">
      <c r="A63" s="277"/>
      <c r="B63" s="689"/>
      <c r="C63" s="689"/>
      <c r="D63" s="689"/>
      <c r="E63" s="689"/>
      <c r="F63" s="689"/>
      <c r="G63" s="689"/>
      <c r="H63" s="689"/>
      <c r="I63" s="689"/>
      <c r="J63" s="689"/>
      <c r="K63" s="689"/>
      <c r="L63" s="689"/>
      <c r="M63" s="689"/>
      <c r="N63" s="689"/>
      <c r="O63" s="689"/>
      <c r="P63" s="14"/>
      <c r="Q63" s="14"/>
      <c r="R63" s="14"/>
      <c r="S63" s="14"/>
      <c r="T63" s="14"/>
      <c r="U63" s="689"/>
      <c r="V63" s="185"/>
    </row>
    <row r="64" spans="1:22" s="279" customFormat="1" ht="18" customHeight="1">
      <c r="A64" s="277"/>
      <c r="B64" s="28"/>
      <c r="C64" s="28"/>
      <c r="D64" s="154"/>
      <c r="E64" s="154"/>
      <c r="F64" s="154"/>
      <c r="G64" s="154"/>
      <c r="H64" s="154"/>
      <c r="I64" s="28"/>
      <c r="J64" s="28"/>
      <c r="K64" s="28"/>
      <c r="L64" s="28"/>
      <c r="M64" s="28"/>
      <c r="N64" s="28"/>
      <c r="O64" s="28"/>
      <c r="P64" s="14"/>
      <c r="Q64" s="14"/>
      <c r="R64" s="14"/>
      <c r="S64" s="14"/>
      <c r="T64" s="14"/>
      <c r="U64" s="28"/>
      <c r="V64" s="185"/>
    </row>
    <row r="65" spans="1:22" s="279" customFormat="1" ht="18" customHeight="1">
      <c r="A65" s="277"/>
      <c r="B65" s="28"/>
      <c r="C65" s="1150" t="s">
        <v>652</v>
      </c>
      <c r="D65" s="805">
        <v>2</v>
      </c>
      <c r="E65" s="805" t="s">
        <v>378</v>
      </c>
      <c r="F65" s="1184">
        <f>S57</f>
        <v>17.495462702715933</v>
      </c>
      <c r="G65" s="1184"/>
      <c r="H65" s="805" t="s">
        <v>378</v>
      </c>
      <c r="I65" s="805" t="s">
        <v>419</v>
      </c>
      <c r="J65" s="805">
        <f>S54</f>
        <v>8</v>
      </c>
      <c r="K65" s="805" t="s">
        <v>347</v>
      </c>
      <c r="L65" s="1184">
        <f>S55</f>
        <v>1.1770224400000002</v>
      </c>
      <c r="M65" s="805" t="s">
        <v>347</v>
      </c>
      <c r="N65" s="1184">
        <f>S56</f>
        <v>0.1</v>
      </c>
      <c r="O65" s="805" t="s">
        <v>350</v>
      </c>
      <c r="P65" s="14"/>
      <c r="Q65" s="14"/>
      <c r="R65" s="14"/>
      <c r="S65" s="14"/>
      <c r="T65" s="14"/>
      <c r="U65" s="28"/>
      <c r="V65" s="185"/>
    </row>
    <row r="66" spans="1:22" s="279" customFormat="1" ht="18" customHeight="1">
      <c r="A66" s="277"/>
      <c r="B66" s="28"/>
      <c r="C66" s="689"/>
      <c r="D66" s="805"/>
      <c r="E66" s="805"/>
      <c r="F66" s="1184"/>
      <c r="G66" s="1184"/>
      <c r="H66" s="805"/>
      <c r="I66" s="805"/>
      <c r="J66" s="805"/>
      <c r="K66" s="805"/>
      <c r="L66" s="805"/>
      <c r="M66" s="805"/>
      <c r="N66" s="805"/>
      <c r="O66" s="805"/>
      <c r="P66" s="14"/>
      <c r="Q66" s="14"/>
      <c r="R66" s="14"/>
      <c r="S66" s="14"/>
      <c r="T66" s="14"/>
      <c r="U66" s="28"/>
      <c r="V66" s="185"/>
    </row>
    <row r="67" spans="1:22" s="279" customFormat="1" ht="18" customHeight="1">
      <c r="A67" s="277"/>
      <c r="B67" s="14"/>
      <c r="C67" s="14"/>
      <c r="G67" s="14"/>
      <c r="H67" s="30"/>
      <c r="I67" s="14"/>
      <c r="J67" s="30"/>
      <c r="K67" s="28"/>
      <c r="L67" s="14"/>
      <c r="M67" s="30"/>
      <c r="N67" s="14"/>
      <c r="O67" s="14"/>
      <c r="P67" s="14"/>
      <c r="Q67" s="14"/>
      <c r="R67" s="14"/>
      <c r="S67" s="14"/>
      <c r="T67" s="14"/>
      <c r="U67" s="14"/>
      <c r="V67" s="185"/>
    </row>
    <row r="68" spans="1:22" ht="18" customHeight="1">
      <c r="A68" s="96"/>
      <c r="B68" s="14"/>
      <c r="C68" s="27" t="s">
        <v>127</v>
      </c>
      <c r="D68" s="812">
        <f>D65*F65*(J65+L65+N65)</f>
        <v>324.61160018255754</v>
      </c>
      <c r="E68" s="813"/>
      <c r="F68" s="30" t="s">
        <v>305</v>
      </c>
      <c r="G68" s="14"/>
      <c r="H68" s="14"/>
      <c r="I68" s="14"/>
      <c r="J68" s="14"/>
      <c r="K68" s="14"/>
      <c r="L68" s="14"/>
      <c r="M68" s="14"/>
      <c r="N68" s="14"/>
      <c r="R68" s="234"/>
      <c r="S68" s="204"/>
      <c r="V68" s="185"/>
    </row>
    <row r="69" spans="1:22" ht="18" customHeight="1">
      <c r="A69" s="96"/>
      <c r="B69" s="14"/>
      <c r="G69" s="14"/>
      <c r="H69" s="14"/>
      <c r="I69" s="14"/>
      <c r="J69" s="14"/>
      <c r="K69" s="14"/>
      <c r="L69" s="14"/>
      <c r="M69" s="14"/>
      <c r="N69" s="14"/>
      <c r="R69" s="234"/>
      <c r="S69" s="204"/>
      <c r="V69" s="185"/>
    </row>
    <row r="70" spans="1:22" ht="18" customHeight="1">
      <c r="A70" s="96"/>
      <c r="B70" s="14"/>
      <c r="D70" s="30" t="s">
        <v>475</v>
      </c>
      <c r="G70" s="28" t="s">
        <v>476</v>
      </c>
      <c r="H70" s="30" t="s">
        <v>477</v>
      </c>
      <c r="M70" s="14"/>
      <c r="N70" s="14"/>
      <c r="R70" s="234"/>
      <c r="S70" s="204"/>
      <c r="V70" s="185"/>
    </row>
    <row r="71" spans="1:22" ht="18" customHeight="1">
      <c r="A71" s="96"/>
      <c r="B71" s="14"/>
      <c r="E71" s="684">
        <f>H13</f>
        <v>1600</v>
      </c>
      <c r="F71" s="684"/>
      <c r="G71" s="28" t="s">
        <v>476</v>
      </c>
      <c r="H71" s="795">
        <f>D68</f>
        <v>324.61160018255754</v>
      </c>
      <c r="I71" s="684"/>
      <c r="M71" s="14"/>
      <c r="N71" s="14"/>
      <c r="R71" s="234"/>
      <c r="S71" s="204"/>
      <c r="V71" s="185"/>
    </row>
    <row r="72" spans="1:22" ht="18" customHeight="1">
      <c r="A72" s="96"/>
      <c r="B72" s="14"/>
      <c r="F72" s="244" t="s">
        <v>478</v>
      </c>
      <c r="H72" s="18" t="str">
        <f>IF(E71&gt;H71,"Suitable Dimensions","Under Dimensioned")</f>
        <v>Suitable Dimensions</v>
      </c>
      <c r="M72" s="14"/>
      <c r="N72" s="14"/>
      <c r="R72" s="234"/>
      <c r="S72" s="204"/>
      <c r="V72" s="185"/>
    </row>
    <row r="73" spans="1:22" ht="18" customHeight="1">
      <c r="A73" s="96"/>
      <c r="B73" s="14"/>
      <c r="G73" s="14"/>
      <c r="H73" s="14"/>
      <c r="I73" s="14"/>
      <c r="J73" s="14"/>
      <c r="K73" s="14"/>
      <c r="L73" s="14"/>
      <c r="M73" s="14"/>
      <c r="N73" s="14"/>
      <c r="R73" s="234"/>
      <c r="S73" s="204"/>
      <c r="V73" s="185"/>
    </row>
    <row r="74" spans="1:22" ht="18" customHeight="1">
      <c r="A74" s="193"/>
      <c r="B74" s="14"/>
      <c r="G74" s="14"/>
      <c r="H74" s="14"/>
      <c r="I74" s="14"/>
      <c r="J74" s="14"/>
      <c r="K74" s="14"/>
      <c r="L74" s="14"/>
      <c r="M74" s="14"/>
      <c r="N74" s="14"/>
      <c r="R74" s="234"/>
      <c r="S74" s="204"/>
      <c r="V74" s="185"/>
    </row>
    <row r="75" spans="1:22" ht="18" customHeight="1">
      <c r="A75" s="96"/>
      <c r="B75" s="14"/>
      <c r="D75" s="14"/>
      <c r="E75" s="14"/>
      <c r="F75" s="279"/>
      <c r="G75" s="14"/>
      <c r="H75" s="14"/>
      <c r="I75" s="279"/>
      <c r="J75" s="14"/>
      <c r="K75" s="14"/>
      <c r="L75" s="14"/>
      <c r="M75" s="14"/>
      <c r="N75" s="14"/>
      <c r="R75" s="234"/>
      <c r="S75" s="204"/>
      <c r="V75" s="185"/>
    </row>
    <row r="76" spans="1:22" ht="18" customHeight="1">
      <c r="A76" s="96"/>
      <c r="B76" s="14"/>
      <c r="D76" s="14"/>
      <c r="E76" s="14"/>
      <c r="F76" s="279"/>
      <c r="G76" s="14"/>
      <c r="H76" s="14"/>
      <c r="I76" s="279"/>
      <c r="J76" s="14"/>
      <c r="K76" s="14"/>
      <c r="L76" s="14"/>
      <c r="M76" s="14"/>
      <c r="N76" s="14"/>
      <c r="R76" s="234"/>
      <c r="S76" s="204"/>
      <c r="V76" s="185"/>
    </row>
    <row r="77" spans="1:22" ht="18" customHeight="1">
      <c r="A77" s="96"/>
      <c r="B77" s="14"/>
      <c r="D77" s="14"/>
      <c r="E77" s="14"/>
      <c r="F77" s="279"/>
      <c r="G77" s="14"/>
      <c r="H77" s="14"/>
      <c r="I77" s="279"/>
      <c r="J77" s="14"/>
      <c r="K77" s="14"/>
      <c r="L77" s="14"/>
      <c r="M77" s="14"/>
      <c r="N77" s="14"/>
      <c r="R77" s="234"/>
      <c r="S77" s="204"/>
      <c r="V77" s="185"/>
    </row>
    <row r="78" spans="1:22" ht="18" customHeight="1">
      <c r="A78" s="96"/>
      <c r="B78" s="14"/>
      <c r="G78" s="14"/>
      <c r="H78" s="14"/>
      <c r="I78" s="14"/>
      <c r="J78" s="14"/>
      <c r="K78" s="14"/>
      <c r="L78" s="14"/>
      <c r="M78" s="14"/>
      <c r="N78" s="14"/>
      <c r="R78" s="234"/>
      <c r="S78" s="204"/>
      <c r="V78" s="185"/>
    </row>
    <row r="79" spans="1:22" ht="18" customHeight="1">
      <c r="A79" s="96"/>
      <c r="B79" s="14"/>
      <c r="F79" s="14"/>
      <c r="G79" s="14"/>
      <c r="H79" s="14"/>
      <c r="I79" s="14"/>
      <c r="J79" s="14"/>
      <c r="K79" s="14"/>
      <c r="L79" s="14"/>
      <c r="M79" s="14"/>
      <c r="N79" s="14"/>
      <c r="O79" s="154"/>
      <c r="P79" s="14"/>
      <c r="R79" s="234"/>
      <c r="S79" s="204"/>
      <c r="V79" s="185"/>
    </row>
    <row r="80" spans="1:22" ht="18" customHeight="1">
      <c r="A80" s="96"/>
      <c r="B80" s="14"/>
      <c r="F80" s="14"/>
      <c r="G80" s="257"/>
      <c r="H80" s="14"/>
      <c r="I80" s="14"/>
      <c r="J80" s="14"/>
      <c r="K80" s="14"/>
      <c r="L80" s="14"/>
      <c r="M80" s="14"/>
      <c r="N80" s="14"/>
      <c r="R80" s="234"/>
      <c r="S80" s="204"/>
      <c r="V80" s="185"/>
    </row>
    <row r="81" spans="1:29" ht="18" customHeight="1">
      <c r="A81" s="96"/>
      <c r="B81" s="14"/>
      <c r="G81" s="14"/>
      <c r="H81" s="14"/>
      <c r="I81" s="14"/>
      <c r="J81" s="14"/>
      <c r="K81" s="14"/>
      <c r="L81" s="14"/>
      <c r="M81" s="14"/>
      <c r="N81" s="14"/>
      <c r="R81" s="234"/>
      <c r="S81" s="204"/>
      <c r="V81" s="185"/>
    </row>
    <row r="82" spans="1:29" ht="18" customHeight="1">
      <c r="A82" s="96"/>
      <c r="B82" s="14"/>
      <c r="F82" s="27"/>
      <c r="G82" s="14"/>
      <c r="H82" s="14"/>
      <c r="I82" s="14"/>
      <c r="J82" s="14"/>
      <c r="K82" s="14"/>
      <c r="L82" s="14"/>
      <c r="M82" s="14"/>
      <c r="N82" s="14"/>
      <c r="R82" s="234"/>
      <c r="S82" s="204"/>
      <c r="V82" s="185"/>
    </row>
    <row r="83" spans="1:29" ht="18" customHeight="1">
      <c r="A83" s="96"/>
      <c r="B83" s="14"/>
      <c r="G83" s="14"/>
      <c r="H83" s="14"/>
      <c r="I83" s="14"/>
      <c r="J83" s="14"/>
      <c r="K83" s="14"/>
      <c r="L83" s="14"/>
      <c r="M83" s="14"/>
      <c r="N83" s="14"/>
      <c r="R83" s="234"/>
      <c r="S83" s="204"/>
      <c r="V83" s="185"/>
    </row>
    <row r="84" spans="1:29" ht="18" customHeight="1">
      <c r="A84" s="96"/>
      <c r="B84" s="14"/>
      <c r="D84" s="283"/>
      <c r="E84" s="284"/>
      <c r="F84" s="14"/>
      <c r="G84" s="14"/>
      <c r="H84" s="14"/>
      <c r="I84" s="284"/>
      <c r="J84" s="28"/>
      <c r="L84" s="279"/>
      <c r="M84" s="120"/>
      <c r="N84" s="47"/>
      <c r="O84" s="279"/>
      <c r="P84" s="236"/>
      <c r="Q84" s="236"/>
      <c r="R84" s="234"/>
      <c r="S84" s="204"/>
      <c r="V84" s="185"/>
    </row>
    <row r="85" spans="1:29" ht="18" customHeight="1">
      <c r="A85" s="96"/>
      <c r="B85" s="14"/>
      <c r="D85" s="218"/>
      <c r="E85" s="284"/>
      <c r="F85" s="285"/>
      <c r="G85" s="286"/>
      <c r="H85" s="285"/>
      <c r="I85" s="284"/>
      <c r="J85" s="28"/>
      <c r="L85" s="279"/>
      <c r="M85" s="120"/>
      <c r="N85" s="213"/>
      <c r="O85" s="279"/>
      <c r="P85" s="236"/>
      <c r="Q85" s="236"/>
      <c r="R85" s="234"/>
      <c r="S85" s="204"/>
      <c r="V85" s="185"/>
    </row>
    <row r="86" spans="1:29" ht="18" customHeight="1">
      <c r="A86" s="96"/>
      <c r="B86" s="14"/>
      <c r="G86" s="14"/>
      <c r="H86" s="14"/>
      <c r="I86" s="14"/>
      <c r="J86" s="14"/>
      <c r="K86" s="14"/>
      <c r="L86" s="14"/>
      <c r="M86" s="14"/>
      <c r="N86" s="14"/>
      <c r="R86" s="234"/>
      <c r="S86" s="204"/>
      <c r="V86" s="185"/>
    </row>
    <row r="87" spans="1:29" s="14" customFormat="1" ht="18"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row r="88" spans="1:29" ht="18"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9" ht="18" customHeight="1">
      <c r="A89" s="184"/>
      <c r="B89" s="835" t="str">
        <f>B7</f>
        <v>T1</v>
      </c>
      <c r="C89" s="836"/>
      <c r="D89" s="1112" t="str">
        <f>D7</f>
        <v>Core1</v>
      </c>
      <c r="E89" s="1113"/>
      <c r="F89" s="186"/>
      <c r="H89" s="684" t="str">
        <f>G7</f>
        <v>(Main-1 Multi Func. Capacitor Protection)</v>
      </c>
      <c r="I89" s="684"/>
      <c r="J89" s="684"/>
      <c r="K89" s="684"/>
      <c r="L89" s="684"/>
      <c r="M89" s="684"/>
      <c r="P89" s="186"/>
      <c r="S89" s="187" t="s">
        <v>387</v>
      </c>
      <c r="T89" s="1310" t="str">
        <f>T7</f>
        <v>SEL487E</v>
      </c>
      <c r="U89" s="1311"/>
      <c r="V89" s="185"/>
    </row>
    <row r="90" spans="1:29" ht="18" customHeight="1">
      <c r="A90" s="184"/>
      <c r="B90" s="1118">
        <f>B8</f>
        <v>0</v>
      </c>
      <c r="C90" s="1118"/>
      <c r="D90" s="1114"/>
      <c r="E90" s="1115"/>
      <c r="F90" s="287"/>
      <c r="T90" s="1312">
        <f>T8</f>
        <v>0</v>
      </c>
      <c r="U90" s="1313"/>
      <c r="V90" s="185"/>
    </row>
    <row r="91" spans="1:29" ht="18" customHeight="1">
      <c r="A91" s="184"/>
      <c r="H91" s="708" t="s">
        <v>390</v>
      </c>
      <c r="I91" s="708"/>
      <c r="J91" s="789" t="s">
        <v>391</v>
      </c>
      <c r="K91" s="789"/>
      <c r="L91" s="708" t="s">
        <v>392</v>
      </c>
      <c r="M91" s="708"/>
      <c r="T91" s="1312">
        <f>T9</f>
        <v>0</v>
      </c>
      <c r="U91" s="1313"/>
      <c r="V91" s="185"/>
    </row>
    <row r="92" spans="1:29" ht="18" customHeight="1">
      <c r="A92" s="184"/>
      <c r="B92" s="47" t="s">
        <v>393</v>
      </c>
      <c r="H92" s="835">
        <f>H10</f>
        <v>1600</v>
      </c>
      <c r="I92" s="836"/>
      <c r="J92" s="843">
        <f>J10</f>
        <v>400</v>
      </c>
      <c r="K92" s="844"/>
      <c r="L92" s="839" t="str">
        <f>L10</f>
        <v>-</v>
      </c>
      <c r="M92" s="840"/>
      <c r="N92" s="102" t="s">
        <v>342</v>
      </c>
      <c r="O92" s="254">
        <f>O10</f>
        <v>1</v>
      </c>
      <c r="P92" s="27" t="s">
        <v>8</v>
      </c>
      <c r="V92" s="185"/>
    </row>
    <row r="93" spans="1:29" ht="18" customHeight="1">
      <c r="A93" s="184"/>
      <c r="B93" s="47" t="s">
        <v>394</v>
      </c>
      <c r="H93" s="14"/>
      <c r="I93" s="14"/>
      <c r="J93" s="835" t="str">
        <f>H11</f>
        <v>PX</v>
      </c>
      <c r="K93" s="1314"/>
      <c r="L93" s="14"/>
      <c r="M93" s="14"/>
      <c r="V93" s="185"/>
    </row>
    <row r="94" spans="1:29" ht="18" customHeight="1">
      <c r="A94" s="184"/>
      <c r="B94" s="47" t="s">
        <v>396</v>
      </c>
      <c r="I94" s="120" t="s">
        <v>497</v>
      </c>
      <c r="J94" s="781">
        <v>2</v>
      </c>
      <c r="K94" s="782"/>
      <c r="L94" s="192" t="s">
        <v>333</v>
      </c>
      <c r="V94" s="185"/>
    </row>
    <row r="95" spans="1:29" ht="18" customHeight="1">
      <c r="A95" s="184"/>
      <c r="B95" s="47" t="s">
        <v>398</v>
      </c>
      <c r="I95" s="120" t="s">
        <v>498</v>
      </c>
      <c r="J95" s="781">
        <v>400</v>
      </c>
      <c r="K95" s="782"/>
      <c r="L95" s="14" t="s">
        <v>305</v>
      </c>
      <c r="V95" s="185"/>
      <c r="W95" s="30" t="s">
        <v>400</v>
      </c>
      <c r="AB95" s="785">
        <f>D150</f>
        <v>458.6641909998653</v>
      </c>
      <c r="AC95" s="786"/>
    </row>
    <row r="96" spans="1:29" ht="18" customHeight="1">
      <c r="A96" s="184"/>
      <c r="B96" s="14" t="s">
        <v>401</v>
      </c>
      <c r="I96" s="120" t="s">
        <v>402</v>
      </c>
      <c r="J96" s="781">
        <v>30</v>
      </c>
      <c r="K96" s="782"/>
      <c r="L96" s="30" t="s">
        <v>403</v>
      </c>
      <c r="V96" s="185"/>
    </row>
    <row r="97" spans="1:22" ht="18" customHeight="1">
      <c r="A97" s="96"/>
      <c r="V97" s="185"/>
    </row>
    <row r="98" spans="1:22" ht="18" customHeight="1">
      <c r="A98" s="193" t="s">
        <v>404</v>
      </c>
      <c r="V98" s="185"/>
    </row>
    <row r="99" spans="1:22" ht="18" customHeight="1">
      <c r="A99" s="184"/>
      <c r="V99" s="185"/>
    </row>
    <row r="100" spans="1:22" ht="18" customHeight="1">
      <c r="A100" s="184"/>
      <c r="B100" s="194" t="s">
        <v>405</v>
      </c>
      <c r="C100" s="195"/>
      <c r="D100" s="195" t="str">
        <f>T89</f>
        <v>SEL487E</v>
      </c>
      <c r="E100" s="196"/>
      <c r="F100" s="196"/>
      <c r="G100" s="196"/>
      <c r="H100" s="182" t="s">
        <v>406</v>
      </c>
      <c r="I100" s="183" t="s">
        <v>127</v>
      </c>
      <c r="J100" s="766">
        <f>J18</f>
        <v>0.1</v>
      </c>
      <c r="K100" s="958"/>
      <c r="L100" s="3" t="s">
        <v>157</v>
      </c>
      <c r="V100" s="185"/>
    </row>
    <row r="101" spans="1:22" ht="18" customHeight="1">
      <c r="A101" s="184"/>
      <c r="B101" s="184" t="s">
        <v>405</v>
      </c>
      <c r="D101" s="30">
        <f>T90</f>
        <v>0</v>
      </c>
      <c r="H101" s="27"/>
      <c r="I101" s="177" t="s">
        <v>127</v>
      </c>
      <c r="J101" s="861">
        <f>J19</f>
        <v>0</v>
      </c>
      <c r="K101" s="989"/>
      <c r="L101" s="198" t="s">
        <v>157</v>
      </c>
      <c r="V101" s="185"/>
    </row>
    <row r="102" spans="1:22" ht="18" customHeight="1">
      <c r="A102" s="184"/>
      <c r="B102" s="184" t="s">
        <v>405</v>
      </c>
      <c r="D102" s="30">
        <f>T91</f>
        <v>0</v>
      </c>
      <c r="E102" s="14"/>
      <c r="G102" s="199"/>
      <c r="H102" s="27"/>
      <c r="I102" s="177" t="s">
        <v>127</v>
      </c>
      <c r="J102" s="696">
        <f>J20</f>
        <v>0</v>
      </c>
      <c r="K102" s="820"/>
      <c r="L102" s="202" t="s">
        <v>157</v>
      </c>
      <c r="V102" s="185"/>
    </row>
    <row r="103" spans="1:22" ht="18" customHeight="1">
      <c r="A103" s="184"/>
      <c r="B103" s="184" t="s">
        <v>412</v>
      </c>
      <c r="H103" s="27" t="s">
        <v>599</v>
      </c>
      <c r="I103" s="177" t="s">
        <v>127</v>
      </c>
      <c r="J103" s="861">
        <f>J21</f>
        <v>1.0770224400000001</v>
      </c>
      <c r="K103" s="989"/>
      <c r="L103" s="203" t="s">
        <v>157</v>
      </c>
      <c r="V103" s="185"/>
    </row>
    <row r="104" spans="1:22" ht="18" customHeight="1">
      <c r="A104" s="184"/>
      <c r="B104" s="205" t="s">
        <v>413</v>
      </c>
      <c r="C104" s="206"/>
      <c r="D104" s="206"/>
      <c r="E104" s="206"/>
      <c r="F104" s="207"/>
      <c r="G104" s="207"/>
      <c r="H104" s="190" t="s">
        <v>409</v>
      </c>
      <c r="I104" s="208" t="s">
        <v>127</v>
      </c>
      <c r="J104" s="766">
        <f>J100+J103</f>
        <v>1.1770224400000002</v>
      </c>
      <c r="K104" s="958"/>
      <c r="L104" s="210" t="s">
        <v>157</v>
      </c>
      <c r="V104" s="185"/>
    </row>
    <row r="105" spans="1:22" ht="18" customHeight="1">
      <c r="A105" s="184"/>
      <c r="B105" s="47"/>
      <c r="C105" s="47"/>
      <c r="D105" s="47"/>
      <c r="E105" s="47"/>
      <c r="H105" s="27"/>
      <c r="I105" s="28"/>
      <c r="J105" s="199"/>
      <c r="L105" s="47"/>
      <c r="O105" s="27"/>
      <c r="P105" s="211"/>
      <c r="Q105" s="211"/>
      <c r="R105" s="192"/>
      <c r="V105" s="185"/>
    </row>
    <row r="106" spans="1:22" ht="18" customHeight="1">
      <c r="A106" s="184"/>
      <c r="B106" s="197" t="s">
        <v>648</v>
      </c>
      <c r="L106" s="47"/>
      <c r="M106" s="197" t="s">
        <v>407</v>
      </c>
      <c r="V106" s="185"/>
    </row>
    <row r="107" spans="1:22" ht="18" customHeight="1">
      <c r="A107" s="184"/>
      <c r="B107" s="27" t="s">
        <v>649</v>
      </c>
      <c r="C107" s="27" t="s">
        <v>127</v>
      </c>
      <c r="D107" s="30" t="s">
        <v>406</v>
      </c>
      <c r="E107" s="271" t="s">
        <v>410</v>
      </c>
      <c r="F107" s="27" t="s">
        <v>146</v>
      </c>
      <c r="G107" s="28" t="s">
        <v>315</v>
      </c>
      <c r="H107" s="218" t="s">
        <v>146</v>
      </c>
      <c r="I107" s="30" t="s">
        <v>350</v>
      </c>
      <c r="J107" s="199"/>
      <c r="L107" s="47"/>
      <c r="M107" s="30" t="s">
        <v>408</v>
      </c>
      <c r="N107" s="27" t="s">
        <v>127</v>
      </c>
      <c r="O107" s="30" t="s">
        <v>409</v>
      </c>
      <c r="P107" s="191" t="s">
        <v>410</v>
      </c>
      <c r="Q107" s="244" t="s">
        <v>411</v>
      </c>
      <c r="R107" s="27" t="s">
        <v>315</v>
      </c>
      <c r="S107" s="30" t="s">
        <v>411</v>
      </c>
      <c r="T107" s="30" t="s">
        <v>350</v>
      </c>
      <c r="V107" s="185"/>
    </row>
    <row r="108" spans="1:22" ht="18" customHeight="1">
      <c r="A108" s="184"/>
      <c r="B108" s="47"/>
      <c r="C108" s="27" t="s">
        <v>127</v>
      </c>
      <c r="D108" s="204">
        <f>J100</f>
        <v>0.1</v>
      </c>
      <c r="E108" s="191" t="s">
        <v>410</v>
      </c>
      <c r="F108" s="27">
        <f>F26</f>
        <v>1</v>
      </c>
      <c r="G108" s="27" t="s">
        <v>315</v>
      </c>
      <c r="H108" s="27">
        <f>H26</f>
        <v>1</v>
      </c>
      <c r="I108" s="30" t="s">
        <v>350</v>
      </c>
      <c r="J108" s="199"/>
      <c r="L108" s="47"/>
      <c r="N108" s="27" t="s">
        <v>127</v>
      </c>
      <c r="O108" s="204">
        <f>J104</f>
        <v>1.1770224400000002</v>
      </c>
      <c r="P108" s="191" t="s">
        <v>410</v>
      </c>
      <c r="Q108" s="27">
        <f>O92</f>
        <v>1</v>
      </c>
      <c r="R108" s="27" t="s">
        <v>315</v>
      </c>
      <c r="S108" s="27">
        <f>O92</f>
        <v>1</v>
      </c>
      <c r="T108" s="30" t="s">
        <v>350</v>
      </c>
      <c r="V108" s="185"/>
    </row>
    <row r="109" spans="1:22" ht="18" customHeight="1">
      <c r="A109" s="184"/>
      <c r="B109" s="47"/>
      <c r="C109" s="27" t="s">
        <v>127</v>
      </c>
      <c r="D109" s="795">
        <f>D108/(F108*H108)</f>
        <v>0.1</v>
      </c>
      <c r="E109" s="795"/>
      <c r="F109" s="192" t="s">
        <v>333</v>
      </c>
      <c r="J109" s="199"/>
      <c r="L109" s="47"/>
      <c r="N109" s="27" t="s">
        <v>127</v>
      </c>
      <c r="O109" s="795">
        <f>O108/(Q108*S108)</f>
        <v>1.1770224400000002</v>
      </c>
      <c r="P109" s="795"/>
      <c r="Q109" s="192" t="s">
        <v>333</v>
      </c>
      <c r="V109" s="185"/>
    </row>
    <row r="110" spans="1:22" ht="18" customHeight="1">
      <c r="A110" s="184"/>
      <c r="B110" s="47"/>
      <c r="C110" s="47"/>
      <c r="D110" s="47"/>
      <c r="E110" s="47"/>
      <c r="H110" s="27"/>
      <c r="I110" s="28"/>
      <c r="J110" s="199"/>
      <c r="L110" s="47"/>
      <c r="O110" s="27"/>
      <c r="P110" s="211"/>
      <c r="Q110" s="211"/>
      <c r="R110" s="192"/>
      <c r="V110" s="185"/>
    </row>
    <row r="111" spans="1:22" ht="18" customHeight="1">
      <c r="A111" s="184"/>
      <c r="B111" s="47"/>
      <c r="C111" s="47"/>
      <c r="D111" s="47"/>
      <c r="E111" s="47"/>
      <c r="H111" s="27"/>
      <c r="I111" s="28"/>
      <c r="J111" s="199"/>
      <c r="L111" s="28"/>
      <c r="M111" s="204"/>
      <c r="N111" s="204"/>
      <c r="O111" s="27"/>
      <c r="P111" s="204"/>
      <c r="Q111" s="204"/>
      <c r="R111" s="211"/>
      <c r="S111" s="204"/>
      <c r="T111" s="204"/>
      <c r="U111" s="192"/>
      <c r="V111" s="185"/>
    </row>
    <row r="112" spans="1:22" s="14" customFormat="1" ht="18" customHeight="1">
      <c r="A112" s="193" t="s">
        <v>600</v>
      </c>
      <c r="B112" s="5"/>
      <c r="C112" s="5"/>
      <c r="D112" s="5"/>
      <c r="E112" s="5"/>
      <c r="F112" s="5"/>
      <c r="G112" s="5"/>
      <c r="H112" s="212"/>
      <c r="I112" s="212"/>
      <c r="J112" s="5"/>
      <c r="K112" s="5"/>
      <c r="L112" s="5"/>
      <c r="M112" s="5"/>
      <c r="N112" s="5"/>
      <c r="O112" s="5"/>
      <c r="P112" s="103"/>
      <c r="Q112" s="212"/>
      <c r="R112" s="213"/>
      <c r="S112" s="214"/>
      <c r="T112" s="18"/>
      <c r="U112" s="18"/>
      <c r="V112" s="97"/>
    </row>
    <row r="113" spans="1:22" s="14" customFormat="1" ht="18" customHeight="1">
      <c r="A113" s="96"/>
      <c r="B113" s="47" t="s">
        <v>601</v>
      </c>
      <c r="C113" s="5"/>
      <c r="D113" s="5"/>
      <c r="E113" s="5"/>
      <c r="I113" s="215"/>
      <c r="M113" s="5"/>
      <c r="N113" s="103" t="s">
        <v>127</v>
      </c>
      <c r="O113" s="1154">
        <f>O31</f>
        <v>100</v>
      </c>
      <c r="P113" s="831"/>
      <c r="Q113" s="14" t="s">
        <v>602</v>
      </c>
      <c r="S113" s="214"/>
      <c r="T113" s="18"/>
      <c r="U113" s="18"/>
      <c r="V113" s="97"/>
    </row>
    <row r="114" spans="1:22" s="14" customFormat="1" ht="18" customHeight="1">
      <c r="A114" s="96"/>
      <c r="B114" s="47" t="s">
        <v>603</v>
      </c>
      <c r="C114" s="5"/>
      <c r="D114" s="5"/>
      <c r="E114" s="5"/>
      <c r="I114" s="215"/>
      <c r="M114" s="5"/>
      <c r="N114" s="103" t="s">
        <v>127</v>
      </c>
      <c r="O114" s="1154">
        <f>O32</f>
        <v>25</v>
      </c>
      <c r="P114" s="831"/>
      <c r="Q114" s="14" t="s">
        <v>604</v>
      </c>
      <c r="S114" s="214"/>
      <c r="T114" s="18"/>
      <c r="U114" s="18"/>
      <c r="V114" s="97"/>
    </row>
    <row r="115" spans="1:22" s="14" customFormat="1" ht="18" customHeight="1">
      <c r="A115" s="96"/>
      <c r="B115" s="47" t="s">
        <v>605</v>
      </c>
      <c r="C115" s="5"/>
      <c r="D115" s="5"/>
      <c r="E115" s="5"/>
      <c r="M115" s="120" t="s">
        <v>606</v>
      </c>
      <c r="N115" s="103" t="s">
        <v>607</v>
      </c>
      <c r="O115" s="1154">
        <f>O33</f>
        <v>33</v>
      </c>
      <c r="P115" s="831"/>
      <c r="Q115" s="14" t="s">
        <v>163</v>
      </c>
      <c r="S115" s="214"/>
      <c r="T115" s="18"/>
      <c r="U115" s="18"/>
      <c r="V115" s="97"/>
    </row>
    <row r="116" spans="1:22" s="14" customFormat="1" ht="18" customHeight="1">
      <c r="A116" s="216"/>
      <c r="B116" s="212"/>
      <c r="C116" s="212"/>
      <c r="D116" s="212"/>
      <c r="E116" s="212"/>
      <c r="T116" s="18"/>
      <c r="U116" s="18"/>
      <c r="V116" s="97"/>
    </row>
    <row r="117" spans="1:22" s="14" customFormat="1" ht="18" customHeight="1">
      <c r="A117" s="272" t="s">
        <v>608</v>
      </c>
      <c r="B117" s="213"/>
      <c r="C117" s="213"/>
      <c r="D117" s="213"/>
      <c r="E117" s="213"/>
      <c r="H117" s="120" t="s">
        <v>609</v>
      </c>
      <c r="I117" s="28" t="s">
        <v>127</v>
      </c>
      <c r="J117" s="689" t="s">
        <v>610</v>
      </c>
      <c r="K117" s="689"/>
      <c r="L117" s="28" t="s">
        <v>315</v>
      </c>
      <c r="M117" s="217">
        <v>1000</v>
      </c>
      <c r="N117" s="102" t="s">
        <v>342</v>
      </c>
      <c r="O117" s="28" t="s">
        <v>611</v>
      </c>
      <c r="P117" s="28" t="s">
        <v>315</v>
      </c>
      <c r="Q117" s="28" t="s">
        <v>606</v>
      </c>
      <c r="R117" s="47" t="s">
        <v>350</v>
      </c>
      <c r="T117" s="18"/>
      <c r="U117" s="18"/>
      <c r="V117" s="97"/>
    </row>
    <row r="118" spans="1:22" s="14" customFormat="1" ht="18" customHeight="1">
      <c r="A118" s="216"/>
      <c r="B118" s="213"/>
      <c r="C118" s="213"/>
      <c r="D118" s="213"/>
      <c r="E118" s="213"/>
      <c r="F118" s="212"/>
      <c r="G118" s="212"/>
      <c r="H118" s="28"/>
      <c r="I118" s="28" t="s">
        <v>127</v>
      </c>
      <c r="J118" s="689">
        <f>O113</f>
        <v>100</v>
      </c>
      <c r="K118" s="689"/>
      <c r="L118" s="28" t="s">
        <v>315</v>
      </c>
      <c r="M118" s="217">
        <v>1000</v>
      </c>
      <c r="N118" s="102" t="s">
        <v>342</v>
      </c>
      <c r="O118" s="28" t="s">
        <v>611</v>
      </c>
      <c r="P118" s="28" t="s">
        <v>315</v>
      </c>
      <c r="Q118" s="28">
        <f>O115</f>
        <v>33</v>
      </c>
      <c r="R118" s="47" t="s">
        <v>350</v>
      </c>
      <c r="T118" s="18"/>
      <c r="U118" s="18"/>
      <c r="V118" s="97"/>
    </row>
    <row r="119" spans="1:22" s="14" customFormat="1" ht="18" customHeight="1">
      <c r="A119" s="216"/>
      <c r="B119" s="212"/>
      <c r="C119" s="212"/>
      <c r="D119" s="212"/>
      <c r="E119" s="212"/>
      <c r="F119" s="212"/>
      <c r="G119" s="212"/>
      <c r="I119" s="28" t="s">
        <v>127</v>
      </c>
      <c r="J119" s="692">
        <f>(O113*1000)/(SQRT(3)*O115)</f>
        <v>1749.5462702715934</v>
      </c>
      <c r="K119" s="692"/>
      <c r="L119" s="14" t="s">
        <v>8</v>
      </c>
      <c r="M119" s="120"/>
      <c r="N119" s="120"/>
      <c r="O119" s="120"/>
      <c r="T119" s="18"/>
      <c r="U119" s="18"/>
      <c r="V119" s="97"/>
    </row>
    <row r="120" spans="1:22" s="14" customFormat="1" ht="18" customHeight="1">
      <c r="A120" s="216"/>
      <c r="B120" s="212"/>
      <c r="C120" s="212"/>
      <c r="D120" s="212"/>
      <c r="E120" s="212"/>
      <c r="G120" s="212"/>
      <c r="H120" s="28"/>
      <c r="I120" s="103"/>
      <c r="J120" s="28"/>
      <c r="M120" s="212"/>
      <c r="N120" s="219"/>
      <c r="O120" s="212"/>
      <c r="T120" s="18"/>
      <c r="U120" s="18"/>
      <c r="V120" s="97"/>
    </row>
    <row r="121" spans="1:22" s="14" customFormat="1" ht="18" customHeight="1">
      <c r="A121" s="147" t="s">
        <v>629</v>
      </c>
      <c r="B121" s="5"/>
      <c r="C121" s="5"/>
      <c r="D121" s="5"/>
      <c r="E121" s="5"/>
      <c r="F121" s="212"/>
      <c r="G121" s="212"/>
      <c r="H121" s="5"/>
      <c r="I121" s="5"/>
      <c r="J121" s="5"/>
      <c r="K121" s="5"/>
      <c r="L121" s="103"/>
      <c r="M121" s="103"/>
      <c r="N121" s="103"/>
      <c r="O121" s="103"/>
      <c r="P121" s="212"/>
      <c r="Q121" s="213"/>
      <c r="S121" s="220"/>
      <c r="T121" s="18"/>
      <c r="U121" s="18"/>
      <c r="V121" s="97"/>
    </row>
    <row r="122" spans="1:22" s="14" customFormat="1" ht="18" customHeight="1">
      <c r="A122" s="147"/>
      <c r="B122" s="5"/>
      <c r="C122" s="5"/>
      <c r="D122" s="5"/>
      <c r="E122" s="5"/>
      <c r="F122" s="212"/>
      <c r="G122" s="212"/>
      <c r="H122" s="5"/>
      <c r="I122" s="5"/>
      <c r="J122" s="5"/>
      <c r="K122" s="5"/>
      <c r="L122" s="103"/>
      <c r="M122" s="103"/>
      <c r="N122" s="103"/>
      <c r="O122" s="103"/>
      <c r="P122" s="212"/>
      <c r="Q122" s="213"/>
      <c r="S122" s="214"/>
      <c r="T122" s="18"/>
      <c r="U122" s="18"/>
      <c r="V122" s="97"/>
    </row>
    <row r="123" spans="1:22" ht="18" customHeight="1">
      <c r="A123" s="96" t="s">
        <v>612</v>
      </c>
      <c r="B123" s="14"/>
      <c r="C123" s="14"/>
      <c r="D123" s="14"/>
      <c r="E123" s="14"/>
      <c r="M123" s="120" t="s">
        <v>613</v>
      </c>
      <c r="N123" s="28" t="s">
        <v>127</v>
      </c>
      <c r="O123" s="689" t="s">
        <v>609</v>
      </c>
      <c r="P123" s="716"/>
      <c r="Q123" s="221" t="s">
        <v>630</v>
      </c>
      <c r="R123" s="221">
        <v>16</v>
      </c>
      <c r="S123" s="186"/>
      <c r="V123" s="185"/>
    </row>
    <row r="124" spans="1:22" ht="18" customHeight="1">
      <c r="A124" s="96"/>
      <c r="B124" s="5"/>
      <c r="C124" s="5"/>
      <c r="D124" s="5"/>
      <c r="E124" s="5"/>
      <c r="M124" s="250"/>
      <c r="N124" s="28" t="s">
        <v>127</v>
      </c>
      <c r="O124" s="689">
        <f>+J119</f>
        <v>1749.5462702715934</v>
      </c>
      <c r="P124" s="716"/>
      <c r="Q124" s="221" t="s">
        <v>630</v>
      </c>
      <c r="R124" s="221">
        <v>16</v>
      </c>
      <c r="S124" s="186"/>
      <c r="V124" s="185"/>
    </row>
    <row r="125" spans="1:22" ht="18" customHeight="1">
      <c r="A125" s="96"/>
      <c r="B125" s="5"/>
      <c r="C125" s="5"/>
      <c r="D125" s="5"/>
      <c r="E125" s="5"/>
      <c r="M125" s="120" t="s">
        <v>613</v>
      </c>
      <c r="N125" s="28" t="s">
        <v>127</v>
      </c>
      <c r="O125" s="689">
        <f>O124*R124</f>
        <v>27992.740324345494</v>
      </c>
      <c r="P125" s="716"/>
      <c r="Q125" s="241" t="s">
        <v>8</v>
      </c>
      <c r="R125" s="14"/>
      <c r="S125" s="186"/>
      <c r="V125" s="185"/>
    </row>
    <row r="126" spans="1:22" ht="18" customHeight="1">
      <c r="A126" s="96"/>
      <c r="B126" s="5"/>
      <c r="C126" s="5"/>
      <c r="D126" s="5"/>
      <c r="E126" s="5"/>
      <c r="M126" s="120"/>
      <c r="N126" s="28"/>
      <c r="O126" s="28"/>
      <c r="P126" s="14"/>
      <c r="Q126" s="241"/>
      <c r="R126" s="14"/>
      <c r="S126" s="186"/>
      <c r="V126" s="185"/>
    </row>
    <row r="127" spans="1:22" ht="18" customHeight="1">
      <c r="A127" s="96"/>
      <c r="B127" s="5"/>
      <c r="C127" s="5"/>
      <c r="D127" s="5"/>
      <c r="E127" s="5"/>
      <c r="M127" s="120"/>
      <c r="N127" s="28"/>
      <c r="O127" s="28"/>
      <c r="P127" s="14"/>
      <c r="Q127" s="241"/>
      <c r="R127" s="14"/>
      <c r="S127" s="186"/>
      <c r="V127" s="185"/>
    </row>
    <row r="128" spans="1:22" s="14" customFormat="1" ht="18" customHeight="1">
      <c r="A128" s="194"/>
      <c r="B128" s="195"/>
      <c r="C128" s="195"/>
      <c r="D128" s="195"/>
      <c r="E128" s="195"/>
      <c r="F128" s="195"/>
      <c r="G128" s="195"/>
      <c r="H128" s="195"/>
      <c r="I128" s="195"/>
      <c r="J128" s="195"/>
      <c r="K128" s="195"/>
      <c r="L128" s="195"/>
      <c r="M128" s="195"/>
      <c r="N128" s="195"/>
      <c r="O128" s="195"/>
      <c r="P128" s="195"/>
      <c r="Q128" s="224"/>
      <c r="R128" s="182"/>
      <c r="S128" s="225"/>
      <c r="T128" s="195"/>
      <c r="U128" s="195"/>
      <c r="V128" s="134"/>
    </row>
    <row r="129" spans="1:24" s="14" customFormat="1" ht="18" customHeight="1">
      <c r="A129" s="135"/>
      <c r="B129" s="273"/>
      <c r="C129" s="273"/>
      <c r="D129" s="273"/>
      <c r="E129" s="273"/>
      <c r="F129" s="273"/>
      <c r="G129" s="273"/>
      <c r="H129" s="273"/>
      <c r="I129" s="273"/>
      <c r="J129" s="273"/>
      <c r="K129" s="273"/>
      <c r="L129" s="273"/>
      <c r="M129" s="273"/>
      <c r="N129" s="273"/>
      <c r="O129" s="273"/>
      <c r="P129" s="273"/>
      <c r="Q129" s="274"/>
      <c r="R129" s="138"/>
      <c r="S129" s="275"/>
      <c r="T129" s="273"/>
      <c r="U129" s="273"/>
      <c r="V129" s="276"/>
    </row>
    <row r="130" spans="1:24" ht="18" customHeight="1">
      <c r="A130" s="96" t="s">
        <v>650</v>
      </c>
      <c r="V130" s="185"/>
      <c r="X130" s="14" t="s">
        <v>651</v>
      </c>
    </row>
    <row r="131" spans="1:24" ht="18" customHeight="1">
      <c r="A131" s="184"/>
      <c r="V131" s="185"/>
    </row>
    <row r="132" spans="1:24" s="279" customFormat="1" ht="18" customHeight="1">
      <c r="A132" s="277"/>
      <c r="B132" s="689" t="s">
        <v>473</v>
      </c>
      <c r="C132" s="1150" t="s">
        <v>652</v>
      </c>
      <c r="D132" s="689">
        <v>2</v>
      </c>
      <c r="E132" s="689" t="s">
        <v>378</v>
      </c>
      <c r="F132" s="689" t="s">
        <v>617</v>
      </c>
      <c r="G132" s="689"/>
      <c r="H132" s="689" t="s">
        <v>378</v>
      </c>
      <c r="I132" s="689" t="s">
        <v>419</v>
      </c>
      <c r="J132" s="689" t="s">
        <v>420</v>
      </c>
      <c r="K132" s="689" t="s">
        <v>347</v>
      </c>
      <c r="L132" s="689" t="s">
        <v>408</v>
      </c>
      <c r="M132" s="689" t="s">
        <v>347</v>
      </c>
      <c r="N132" s="689" t="s">
        <v>649</v>
      </c>
      <c r="O132" s="689" t="s">
        <v>350</v>
      </c>
      <c r="P132" s="14"/>
      <c r="Q132" s="14"/>
      <c r="R132" s="14"/>
      <c r="S132" s="14"/>
      <c r="T132" s="14"/>
      <c r="U132" s="729" t="s">
        <v>653</v>
      </c>
      <c r="V132" s="185"/>
    </row>
    <row r="133" spans="1:24" s="279" customFormat="1" ht="18" customHeight="1">
      <c r="A133" s="277"/>
      <c r="B133" s="689"/>
      <c r="C133" s="689"/>
      <c r="D133" s="689"/>
      <c r="E133" s="689"/>
      <c r="F133" s="689"/>
      <c r="G133" s="689"/>
      <c r="H133" s="689"/>
      <c r="I133" s="689"/>
      <c r="J133" s="689"/>
      <c r="K133" s="689"/>
      <c r="L133" s="689"/>
      <c r="M133" s="689"/>
      <c r="N133" s="689"/>
      <c r="O133" s="689"/>
      <c r="P133" s="14"/>
      <c r="Q133" s="14"/>
      <c r="R133" s="14"/>
      <c r="S133" s="14"/>
      <c r="T133" s="14"/>
      <c r="U133" s="689"/>
      <c r="V133" s="185"/>
    </row>
    <row r="134" spans="1:24" ht="18" customHeight="1">
      <c r="A134" s="184"/>
      <c r="V134" s="185"/>
    </row>
    <row r="135" spans="1:24" ht="18" customHeight="1">
      <c r="A135" s="184"/>
      <c r="B135" s="47" t="s">
        <v>654</v>
      </c>
      <c r="C135" s="14"/>
      <c r="D135" s="14"/>
      <c r="E135" s="14"/>
      <c r="F135" s="18"/>
      <c r="G135" s="18"/>
      <c r="H135" s="14"/>
      <c r="I135" s="120"/>
      <c r="J135" s="14"/>
      <c r="K135" s="14"/>
      <c r="M135" s="14"/>
      <c r="N135" s="14"/>
      <c r="P135" s="14" t="s">
        <v>423</v>
      </c>
      <c r="R135" s="234" t="s">
        <v>127</v>
      </c>
      <c r="S135" s="684">
        <f>J92</f>
        <v>400</v>
      </c>
      <c r="T135" s="684"/>
      <c r="U135" s="30" t="s">
        <v>8</v>
      </c>
      <c r="V135" s="185"/>
    </row>
    <row r="136" spans="1:24" ht="18" customHeight="1">
      <c r="A136" s="184"/>
      <c r="B136" s="47" t="s">
        <v>655</v>
      </c>
      <c r="C136" s="14"/>
      <c r="D136" s="14"/>
      <c r="E136" s="14"/>
      <c r="F136" s="18"/>
      <c r="G136" s="18"/>
      <c r="H136" s="14"/>
      <c r="I136" s="120"/>
      <c r="J136" s="14"/>
      <c r="K136" s="14"/>
      <c r="M136" s="14"/>
      <c r="N136" s="14"/>
      <c r="P136" s="14" t="s">
        <v>420</v>
      </c>
      <c r="R136" s="234" t="s">
        <v>127</v>
      </c>
      <c r="S136" s="684">
        <f>J94</f>
        <v>2</v>
      </c>
      <c r="T136" s="684"/>
      <c r="U136" s="192" t="s">
        <v>333</v>
      </c>
      <c r="V136" s="185"/>
    </row>
    <row r="137" spans="1:24" ht="18" customHeight="1">
      <c r="A137" s="184"/>
      <c r="B137" s="47" t="s">
        <v>656</v>
      </c>
      <c r="C137" s="14"/>
      <c r="D137" s="14"/>
      <c r="E137" s="14"/>
      <c r="F137" s="18"/>
      <c r="G137" s="18"/>
      <c r="H137" s="14"/>
      <c r="I137" s="120"/>
      <c r="J137" s="14"/>
      <c r="K137" s="14"/>
      <c r="M137" s="14"/>
      <c r="N137" s="14"/>
      <c r="P137" s="14" t="s">
        <v>408</v>
      </c>
      <c r="R137" s="234" t="s">
        <v>127</v>
      </c>
      <c r="S137" s="795">
        <f>O109</f>
        <v>1.1770224400000002</v>
      </c>
      <c r="T137" s="795"/>
      <c r="U137" s="192" t="s">
        <v>333</v>
      </c>
      <c r="V137" s="185"/>
    </row>
    <row r="138" spans="1:24" ht="18" customHeight="1">
      <c r="A138" s="184"/>
      <c r="B138" s="47" t="s">
        <v>657</v>
      </c>
      <c r="C138" s="14"/>
      <c r="D138" s="14"/>
      <c r="E138" s="14"/>
      <c r="F138" s="14"/>
      <c r="G138" s="14"/>
      <c r="H138" s="14"/>
      <c r="I138" s="120"/>
      <c r="J138" s="14"/>
      <c r="K138" s="14"/>
      <c r="M138" s="14"/>
      <c r="N138" s="14"/>
      <c r="P138" s="14" t="s">
        <v>649</v>
      </c>
      <c r="R138" s="234" t="s">
        <v>127</v>
      </c>
      <c r="S138" s="795">
        <f>D109</f>
        <v>0.1</v>
      </c>
      <c r="T138" s="684"/>
      <c r="U138" s="192" t="s">
        <v>333</v>
      </c>
      <c r="V138" s="185"/>
    </row>
    <row r="139" spans="1:24" ht="18" customHeight="1">
      <c r="A139" s="184"/>
      <c r="B139" s="14" t="s">
        <v>658</v>
      </c>
      <c r="C139" s="14"/>
      <c r="D139" s="14"/>
      <c r="E139" s="14"/>
      <c r="F139" s="14"/>
      <c r="G139" s="14"/>
      <c r="H139" s="14"/>
      <c r="I139" s="120"/>
      <c r="J139" s="14"/>
      <c r="K139" s="14"/>
      <c r="M139" s="14"/>
      <c r="N139" s="14"/>
      <c r="P139" s="47" t="s">
        <v>617</v>
      </c>
      <c r="R139" s="234" t="s">
        <v>127</v>
      </c>
      <c r="S139" s="795">
        <f>O125/S135</f>
        <v>69.981850810863733</v>
      </c>
      <c r="T139" s="795"/>
      <c r="U139" s="30" t="s">
        <v>8</v>
      </c>
      <c r="V139" s="185"/>
    </row>
    <row r="140" spans="1:24" ht="18" customHeight="1">
      <c r="A140" s="184"/>
      <c r="B140" s="47" t="s">
        <v>659</v>
      </c>
      <c r="C140" s="14"/>
      <c r="D140" s="14"/>
      <c r="E140" s="14"/>
      <c r="F140" s="14"/>
      <c r="G140" s="14"/>
      <c r="H140" s="14"/>
      <c r="I140" s="120"/>
      <c r="J140" s="14"/>
      <c r="K140" s="14"/>
      <c r="M140" s="14"/>
      <c r="N140" s="14"/>
      <c r="P140" s="120" t="s">
        <v>660</v>
      </c>
      <c r="R140" s="234" t="s">
        <v>127</v>
      </c>
      <c r="S140" s="684">
        <f>S58</f>
        <v>1</v>
      </c>
      <c r="T140" s="684"/>
      <c r="U140" s="30" t="s">
        <v>8</v>
      </c>
      <c r="V140" s="185"/>
    </row>
    <row r="141" spans="1:24" ht="18" customHeight="1">
      <c r="A141" s="184"/>
      <c r="V141" s="185"/>
    </row>
    <row r="142" spans="1:24" ht="18" customHeight="1">
      <c r="A142" s="96"/>
      <c r="B142" s="14" t="s">
        <v>661</v>
      </c>
      <c r="C142" s="14"/>
      <c r="D142" s="235"/>
      <c r="E142" s="14"/>
      <c r="F142" s="28"/>
      <c r="G142" s="249"/>
      <c r="H142" s="28"/>
      <c r="I142" s="251"/>
      <c r="J142" s="14"/>
      <c r="K142" s="280"/>
      <c r="M142" s="47"/>
      <c r="N142" s="268"/>
      <c r="P142" s="281"/>
      <c r="R142" s="234"/>
      <c r="S142" s="204"/>
      <c r="V142" s="185"/>
    </row>
    <row r="143" spans="1:24" ht="18" customHeight="1">
      <c r="A143" s="272"/>
      <c r="C143" s="14"/>
      <c r="D143" s="14"/>
      <c r="E143" s="14"/>
      <c r="F143" s="14"/>
      <c r="G143" s="14"/>
      <c r="H143" s="28"/>
      <c r="I143" s="47"/>
      <c r="J143" s="14"/>
      <c r="K143" s="14"/>
      <c r="M143" s="14"/>
      <c r="N143" s="14"/>
      <c r="P143" s="120"/>
      <c r="R143" s="234"/>
      <c r="S143" s="282"/>
      <c r="V143" s="185"/>
    </row>
    <row r="144" spans="1:24" ht="18" customHeight="1">
      <c r="A144" s="272"/>
      <c r="B144" s="689" t="s">
        <v>473</v>
      </c>
      <c r="C144" s="1150" t="s">
        <v>652</v>
      </c>
      <c r="D144" s="689">
        <v>2</v>
      </c>
      <c r="E144" s="689" t="s">
        <v>378</v>
      </c>
      <c r="F144" s="689" t="s">
        <v>617</v>
      </c>
      <c r="G144" s="689"/>
      <c r="H144" s="689" t="s">
        <v>378</v>
      </c>
      <c r="I144" s="689" t="s">
        <v>419</v>
      </c>
      <c r="J144" s="689" t="s">
        <v>420</v>
      </c>
      <c r="K144" s="689" t="s">
        <v>347</v>
      </c>
      <c r="L144" s="689" t="s">
        <v>408</v>
      </c>
      <c r="M144" s="689" t="s">
        <v>347</v>
      </c>
      <c r="N144" s="689" t="s">
        <v>649</v>
      </c>
      <c r="O144" s="689" t="s">
        <v>350</v>
      </c>
      <c r="P144" s="14"/>
      <c r="Q144" s="14"/>
      <c r="R144" s="14"/>
      <c r="S144" s="14"/>
      <c r="T144" s="14"/>
      <c r="U144" s="729" t="s">
        <v>653</v>
      </c>
      <c r="V144" s="185"/>
    </row>
    <row r="145" spans="1:22" s="279" customFormat="1" ht="18" customHeight="1">
      <c r="A145" s="277"/>
      <c r="B145" s="689"/>
      <c r="C145" s="689"/>
      <c r="D145" s="689"/>
      <c r="E145" s="689"/>
      <c r="F145" s="689"/>
      <c r="G145" s="689"/>
      <c r="H145" s="689"/>
      <c r="I145" s="689"/>
      <c r="J145" s="689"/>
      <c r="K145" s="689"/>
      <c r="L145" s="689"/>
      <c r="M145" s="689"/>
      <c r="N145" s="689"/>
      <c r="O145" s="689"/>
      <c r="P145" s="14"/>
      <c r="Q145" s="14"/>
      <c r="R145" s="14"/>
      <c r="S145" s="14"/>
      <c r="T145" s="14"/>
      <c r="U145" s="689"/>
      <c r="V145" s="185"/>
    </row>
    <row r="146" spans="1:22" s="279" customFormat="1" ht="18" customHeight="1">
      <c r="A146" s="277"/>
      <c r="B146" s="28"/>
      <c r="C146" s="28"/>
      <c r="D146" s="154"/>
      <c r="E146" s="154"/>
      <c r="F146" s="154"/>
      <c r="G146" s="154"/>
      <c r="H146" s="154"/>
      <c r="I146" s="28"/>
      <c r="J146" s="28"/>
      <c r="K146" s="28"/>
      <c r="L146" s="28"/>
      <c r="M146" s="28"/>
      <c r="N146" s="28"/>
      <c r="O146" s="28"/>
      <c r="P146" s="14"/>
      <c r="Q146" s="14"/>
      <c r="R146" s="14"/>
      <c r="S146" s="14"/>
      <c r="T146" s="14"/>
      <c r="U146" s="28"/>
      <c r="V146" s="185"/>
    </row>
    <row r="147" spans="1:22" ht="18" customHeight="1">
      <c r="A147" s="277"/>
      <c r="B147" s="28"/>
      <c r="C147" s="1150" t="s">
        <v>652</v>
      </c>
      <c r="D147" s="805">
        <v>2</v>
      </c>
      <c r="E147" s="805" t="s">
        <v>378</v>
      </c>
      <c r="F147" s="1184">
        <f>S139</f>
        <v>69.981850810863733</v>
      </c>
      <c r="G147" s="1184"/>
      <c r="H147" s="805" t="s">
        <v>378</v>
      </c>
      <c r="I147" s="805" t="s">
        <v>419</v>
      </c>
      <c r="J147" s="805">
        <f>S136</f>
        <v>2</v>
      </c>
      <c r="K147" s="805" t="s">
        <v>347</v>
      </c>
      <c r="L147" s="1184">
        <f>S137</f>
        <v>1.1770224400000002</v>
      </c>
      <c r="M147" s="805" t="s">
        <v>347</v>
      </c>
      <c r="N147" s="1184">
        <f>S138</f>
        <v>0.1</v>
      </c>
      <c r="O147" s="805" t="s">
        <v>350</v>
      </c>
      <c r="P147" s="14"/>
      <c r="Q147" s="14"/>
      <c r="R147" s="14"/>
      <c r="S147" s="14"/>
      <c r="T147" s="14"/>
      <c r="U147" s="28"/>
      <c r="V147" s="185"/>
    </row>
    <row r="148" spans="1:22" ht="18" customHeight="1">
      <c r="A148" s="277"/>
      <c r="B148" s="28"/>
      <c r="C148" s="689"/>
      <c r="D148" s="805"/>
      <c r="E148" s="805"/>
      <c r="F148" s="1184"/>
      <c r="G148" s="1184"/>
      <c r="H148" s="805"/>
      <c r="I148" s="805"/>
      <c r="J148" s="805"/>
      <c r="K148" s="805"/>
      <c r="L148" s="805"/>
      <c r="M148" s="805"/>
      <c r="N148" s="805"/>
      <c r="O148" s="805"/>
      <c r="P148" s="14"/>
      <c r="Q148" s="14"/>
      <c r="R148" s="14"/>
      <c r="S148" s="14"/>
      <c r="T148" s="14"/>
      <c r="U148" s="28"/>
      <c r="V148" s="185"/>
    </row>
    <row r="149" spans="1:22" ht="18" customHeight="1">
      <c r="A149" s="277"/>
      <c r="B149" s="14"/>
      <c r="C149" s="14"/>
      <c r="D149" s="279"/>
      <c r="E149" s="279"/>
      <c r="F149" s="279"/>
      <c r="G149" s="14"/>
      <c r="I149" s="14"/>
      <c r="K149" s="28"/>
      <c r="L149" s="14"/>
      <c r="N149" s="14"/>
      <c r="O149" s="14"/>
      <c r="P149" s="14"/>
      <c r="Q149" s="14"/>
      <c r="R149" s="14"/>
      <c r="S149" s="14"/>
      <c r="T149" s="14"/>
      <c r="U149" s="14"/>
      <c r="V149" s="185"/>
    </row>
    <row r="150" spans="1:22" ht="18" customHeight="1">
      <c r="A150" s="96"/>
      <c r="B150" s="14"/>
      <c r="C150" s="27" t="s">
        <v>127</v>
      </c>
      <c r="D150" s="812">
        <f>D147*F147*(J147+L147+N147)</f>
        <v>458.6641909998653</v>
      </c>
      <c r="E150" s="813"/>
      <c r="F150" s="30" t="s">
        <v>305</v>
      </c>
      <c r="G150" s="14"/>
      <c r="H150" s="14"/>
      <c r="I150" s="14"/>
      <c r="J150" s="14"/>
      <c r="K150" s="14"/>
      <c r="L150" s="14"/>
      <c r="M150" s="14"/>
      <c r="N150" s="14"/>
      <c r="R150" s="234"/>
      <c r="S150" s="204"/>
      <c r="V150" s="185"/>
    </row>
    <row r="151" spans="1:22" ht="18" customHeight="1">
      <c r="A151" s="96"/>
      <c r="B151" s="14"/>
      <c r="G151" s="14"/>
      <c r="H151" s="14"/>
      <c r="I151" s="14"/>
      <c r="J151" s="14"/>
      <c r="K151" s="14"/>
      <c r="L151" s="14"/>
      <c r="M151" s="14"/>
      <c r="N151" s="14"/>
      <c r="R151" s="234"/>
      <c r="S151" s="204"/>
      <c r="V151" s="185"/>
    </row>
    <row r="152" spans="1:22" ht="18" customHeight="1">
      <c r="A152" s="96"/>
      <c r="B152" s="14"/>
      <c r="D152" s="30" t="s">
        <v>475</v>
      </c>
      <c r="G152" s="28" t="s">
        <v>476</v>
      </c>
      <c r="H152" s="30" t="s">
        <v>477</v>
      </c>
      <c r="M152" s="14"/>
      <c r="N152" s="14"/>
      <c r="R152" s="234"/>
      <c r="S152" s="204"/>
      <c r="V152" s="185"/>
    </row>
    <row r="153" spans="1:22" ht="18" customHeight="1">
      <c r="A153" s="96"/>
      <c r="B153" s="14"/>
      <c r="E153" s="684">
        <f>J95</f>
        <v>400</v>
      </c>
      <c r="F153" s="684"/>
      <c r="G153" s="28" t="s">
        <v>476</v>
      </c>
      <c r="H153" s="795">
        <f>D150</f>
        <v>458.6641909998653</v>
      </c>
      <c r="I153" s="684"/>
      <c r="M153" s="14"/>
      <c r="N153" s="14"/>
      <c r="R153" s="234"/>
      <c r="S153" s="204"/>
      <c r="V153" s="185"/>
    </row>
    <row r="154" spans="1:22" ht="18" customHeight="1">
      <c r="A154" s="96"/>
      <c r="B154" s="14"/>
      <c r="F154" s="244" t="s">
        <v>478</v>
      </c>
      <c r="H154" s="18" t="str">
        <f>IF(E153&gt;H153,"Suitable Dimensions","Under Dimensioned")</f>
        <v>Under Dimensioned</v>
      </c>
      <c r="M154" s="14"/>
      <c r="N154" s="14"/>
      <c r="R154" s="234"/>
      <c r="S154" s="204"/>
      <c r="V154" s="185"/>
    </row>
    <row r="155" spans="1:22" ht="18" customHeight="1">
      <c r="A155" s="96"/>
      <c r="B155" s="14"/>
      <c r="G155" s="14"/>
      <c r="H155" s="14"/>
      <c r="I155" s="14"/>
      <c r="J155" s="14"/>
      <c r="K155" s="14"/>
      <c r="L155" s="14"/>
      <c r="M155" s="14"/>
      <c r="N155" s="14"/>
      <c r="R155" s="234"/>
      <c r="S155" s="204"/>
      <c r="V155" s="185"/>
    </row>
    <row r="156" spans="1:22" ht="18" customHeight="1">
      <c r="A156" s="193"/>
      <c r="B156" s="14"/>
      <c r="G156" s="14"/>
      <c r="H156" s="14"/>
      <c r="I156" s="14"/>
      <c r="J156" s="14"/>
      <c r="K156" s="14"/>
      <c r="L156" s="14"/>
      <c r="M156" s="14"/>
      <c r="N156" s="14"/>
      <c r="R156" s="234"/>
      <c r="S156" s="204"/>
      <c r="V156" s="185"/>
    </row>
    <row r="157" spans="1:22" ht="18" customHeight="1">
      <c r="A157" s="96"/>
      <c r="B157" s="14"/>
      <c r="D157" s="14"/>
      <c r="E157" s="14"/>
      <c r="F157" s="279"/>
      <c r="G157" s="14"/>
      <c r="H157" s="14"/>
      <c r="I157" s="279"/>
      <c r="J157" s="14"/>
      <c r="K157" s="14"/>
      <c r="L157" s="14"/>
      <c r="M157" s="14"/>
      <c r="N157" s="14"/>
      <c r="R157" s="234"/>
      <c r="S157" s="204"/>
      <c r="V157" s="185"/>
    </row>
    <row r="158" spans="1:22" ht="18" customHeight="1">
      <c r="A158" s="96"/>
      <c r="B158" s="14"/>
      <c r="D158" s="14"/>
      <c r="E158" s="14"/>
      <c r="F158" s="279"/>
      <c r="G158" s="14"/>
      <c r="H158" s="14"/>
      <c r="I158" s="279"/>
      <c r="J158" s="14"/>
      <c r="K158" s="14"/>
      <c r="L158" s="14"/>
      <c r="M158" s="14"/>
      <c r="N158" s="14"/>
      <c r="R158" s="234"/>
      <c r="S158" s="204"/>
      <c r="V158" s="185"/>
    </row>
    <row r="159" spans="1:22" ht="18" customHeight="1">
      <c r="A159" s="96"/>
      <c r="B159" s="14"/>
      <c r="D159" s="14"/>
      <c r="E159" s="14"/>
      <c r="F159" s="279"/>
      <c r="G159" s="14"/>
      <c r="H159" s="14"/>
      <c r="I159" s="279"/>
      <c r="J159" s="14"/>
      <c r="K159" s="14"/>
      <c r="L159" s="14"/>
      <c r="M159" s="14"/>
      <c r="N159" s="14"/>
      <c r="R159" s="234"/>
      <c r="S159" s="204"/>
      <c r="V159" s="185"/>
    </row>
    <row r="160" spans="1:22" ht="18" customHeight="1">
      <c r="A160" s="96"/>
      <c r="B160" s="14"/>
      <c r="G160" s="14"/>
      <c r="H160" s="14"/>
      <c r="I160" s="14"/>
      <c r="J160" s="14"/>
      <c r="K160" s="14"/>
      <c r="L160" s="14"/>
      <c r="M160" s="14"/>
      <c r="N160" s="14"/>
      <c r="R160" s="234"/>
      <c r="S160" s="204"/>
      <c r="V160" s="185"/>
    </row>
    <row r="161" spans="1:22" ht="18" customHeight="1">
      <c r="A161" s="96"/>
      <c r="B161" s="14"/>
      <c r="F161" s="14"/>
      <c r="G161" s="14"/>
      <c r="H161" s="14"/>
      <c r="I161" s="14"/>
      <c r="J161" s="14"/>
      <c r="K161" s="14"/>
      <c r="L161" s="14"/>
      <c r="M161" s="14"/>
      <c r="N161" s="14"/>
      <c r="O161" s="154"/>
      <c r="P161" s="14"/>
      <c r="R161" s="234"/>
      <c r="S161" s="204"/>
      <c r="V161" s="185"/>
    </row>
    <row r="162" spans="1:22" ht="18" customHeight="1">
      <c r="A162" s="96"/>
      <c r="B162" s="14"/>
      <c r="F162" s="14"/>
      <c r="G162" s="257"/>
      <c r="H162" s="14"/>
      <c r="I162" s="14"/>
      <c r="J162" s="14"/>
      <c r="K162" s="14"/>
      <c r="L162" s="14"/>
      <c r="M162" s="14"/>
      <c r="N162" s="14"/>
      <c r="R162" s="234"/>
      <c r="S162" s="204"/>
      <c r="V162" s="185"/>
    </row>
    <row r="163" spans="1:22" ht="18" customHeight="1">
      <c r="A163" s="96"/>
      <c r="B163" s="14"/>
      <c r="G163" s="14"/>
      <c r="H163" s="14"/>
      <c r="I163" s="14"/>
      <c r="J163" s="14"/>
      <c r="K163" s="14"/>
      <c r="L163" s="14"/>
      <c r="M163" s="14"/>
      <c r="N163" s="14"/>
      <c r="R163" s="234"/>
      <c r="S163" s="204"/>
      <c r="V163" s="185"/>
    </row>
    <row r="164" spans="1:22" ht="18" customHeight="1">
      <c r="A164" s="96"/>
      <c r="B164" s="14"/>
      <c r="F164" s="27"/>
      <c r="G164" s="14"/>
      <c r="H164" s="14"/>
      <c r="I164" s="14"/>
      <c r="J164" s="14"/>
      <c r="K164" s="14"/>
      <c r="L164" s="14"/>
      <c r="M164" s="14"/>
      <c r="N164" s="14"/>
      <c r="R164" s="234"/>
      <c r="S164" s="204"/>
      <c r="V164" s="185"/>
    </row>
    <row r="165" spans="1:22" ht="18" customHeight="1">
      <c r="A165" s="96"/>
      <c r="B165" s="14"/>
      <c r="G165" s="14"/>
      <c r="H165" s="14"/>
      <c r="I165" s="14"/>
      <c r="J165" s="14"/>
      <c r="K165" s="14"/>
      <c r="L165" s="14"/>
      <c r="M165" s="14"/>
      <c r="N165" s="14"/>
      <c r="R165" s="234"/>
      <c r="S165" s="204"/>
      <c r="V165" s="185"/>
    </row>
    <row r="166" spans="1:22" ht="18" customHeight="1">
      <c r="A166" s="96"/>
      <c r="B166" s="14"/>
      <c r="D166" s="283"/>
      <c r="E166" s="284"/>
      <c r="F166" s="14"/>
      <c r="G166" s="14"/>
      <c r="H166" s="14"/>
      <c r="I166" s="284"/>
      <c r="J166" s="28"/>
      <c r="L166" s="279"/>
      <c r="M166" s="120"/>
      <c r="N166" s="47"/>
      <c r="O166" s="279"/>
      <c r="P166" s="236"/>
      <c r="Q166" s="236"/>
      <c r="R166" s="234"/>
      <c r="S166" s="204"/>
      <c r="V166" s="185"/>
    </row>
    <row r="167" spans="1:22" ht="18" customHeight="1">
      <c r="A167" s="96"/>
      <c r="B167" s="14"/>
      <c r="D167" s="218"/>
      <c r="E167" s="284"/>
      <c r="F167" s="285"/>
      <c r="G167" s="286"/>
      <c r="H167" s="285"/>
      <c r="I167" s="284"/>
      <c r="J167" s="28"/>
      <c r="L167" s="279"/>
      <c r="M167" s="120"/>
      <c r="N167" s="213"/>
      <c r="O167" s="279"/>
      <c r="P167" s="236"/>
      <c r="Q167" s="236"/>
      <c r="R167" s="234"/>
      <c r="S167" s="204"/>
      <c r="V167" s="185"/>
    </row>
    <row r="168" spans="1:22" ht="18" customHeight="1">
      <c r="A168" s="96"/>
      <c r="B168" s="14"/>
      <c r="G168" s="14"/>
      <c r="H168" s="14"/>
      <c r="I168" s="14"/>
      <c r="J168" s="14"/>
      <c r="K168" s="14"/>
      <c r="L168" s="14"/>
      <c r="M168" s="14"/>
      <c r="N168" s="14"/>
      <c r="R168" s="234"/>
      <c r="S168" s="204"/>
      <c r="V168" s="185"/>
    </row>
    <row r="169" spans="1:22" s="14" customFormat="1" ht="18"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ht="18" hidden="1" customHeight="1">
      <c r="A170" s="226"/>
      <c r="B170" s="227"/>
      <c r="C170" s="227"/>
      <c r="D170" s="227"/>
      <c r="E170" s="227"/>
      <c r="F170" s="227"/>
      <c r="G170" s="227"/>
      <c r="H170" s="227"/>
      <c r="I170" s="227"/>
      <c r="J170" s="227"/>
      <c r="K170" s="227"/>
      <c r="L170" s="227"/>
      <c r="M170" s="227"/>
      <c r="N170" s="227"/>
      <c r="O170" s="227"/>
      <c r="P170" s="227"/>
      <c r="Q170" s="227"/>
      <c r="R170" s="227"/>
      <c r="S170" s="227"/>
      <c r="T170" s="227"/>
      <c r="U170" s="227"/>
      <c r="V170" s="228"/>
    </row>
    <row r="171" spans="1:22" ht="18" hidden="1" customHeight="1">
      <c r="A171" s="184"/>
      <c r="B171" s="854" t="str">
        <f>B89</f>
        <v>T1</v>
      </c>
      <c r="C171" s="831"/>
      <c r="D171" s="855" t="str">
        <f>D89</f>
        <v>Core1</v>
      </c>
      <c r="E171" s="856"/>
      <c r="F171" s="186" t="s">
        <v>631</v>
      </c>
      <c r="H171" s="684" t="str">
        <f>H89</f>
        <v>(Main-1 Multi Func. Capacitor Protection)</v>
      </c>
      <c r="I171" s="684"/>
      <c r="J171" s="684"/>
      <c r="K171" s="684"/>
      <c r="L171" s="684"/>
      <c r="M171" s="684"/>
      <c r="P171" s="186"/>
      <c r="S171" s="187" t="s">
        <v>387</v>
      </c>
      <c r="T171" s="1154" t="str">
        <f>T89</f>
        <v>SEL487E</v>
      </c>
      <c r="U171" s="1155"/>
      <c r="V171" s="185"/>
    </row>
    <row r="172" spans="1:22" ht="18" hidden="1" customHeight="1">
      <c r="A172" s="184"/>
      <c r="B172" s="853">
        <f>B90</f>
        <v>0</v>
      </c>
      <c r="C172" s="853"/>
      <c r="D172" s="857"/>
      <c r="E172" s="858"/>
      <c r="F172" s="287"/>
      <c r="T172" s="1154">
        <f>T90</f>
        <v>0</v>
      </c>
      <c r="U172" s="1155"/>
      <c r="V172" s="185"/>
    </row>
    <row r="173" spans="1:22" ht="18" hidden="1" customHeight="1">
      <c r="A173" s="184"/>
      <c r="H173" s="708" t="s">
        <v>390</v>
      </c>
      <c r="I173" s="708"/>
      <c r="J173" s="708" t="s">
        <v>391</v>
      </c>
      <c r="K173" s="708"/>
      <c r="L173" s="789" t="s">
        <v>392</v>
      </c>
      <c r="M173" s="789"/>
      <c r="T173" s="1154">
        <f>T91</f>
        <v>0</v>
      </c>
      <c r="U173" s="1155"/>
      <c r="V173" s="185"/>
    </row>
    <row r="174" spans="1:22" ht="18" hidden="1" customHeight="1">
      <c r="A174" s="184"/>
      <c r="B174" s="47" t="s">
        <v>393</v>
      </c>
      <c r="H174" s="854">
        <f>H92</f>
        <v>1600</v>
      </c>
      <c r="I174" s="831"/>
      <c r="J174" s="854">
        <f>J92</f>
        <v>400</v>
      </c>
      <c r="K174" s="831"/>
      <c r="L174" s="863" t="str">
        <f>L92</f>
        <v>-</v>
      </c>
      <c r="M174" s="864"/>
      <c r="N174" s="102" t="s">
        <v>342</v>
      </c>
      <c r="O174" s="256">
        <f>O92</f>
        <v>1</v>
      </c>
      <c r="P174" s="27" t="s">
        <v>8</v>
      </c>
      <c r="V174" s="185"/>
    </row>
    <row r="175" spans="1:22" ht="18" hidden="1" customHeight="1">
      <c r="A175" s="184"/>
      <c r="B175" s="47" t="s">
        <v>394</v>
      </c>
      <c r="H175" s="14"/>
      <c r="I175" s="14"/>
      <c r="L175" s="854" t="str">
        <f>J93</f>
        <v>PX</v>
      </c>
      <c r="M175" s="776"/>
      <c r="V175" s="185"/>
    </row>
    <row r="176" spans="1:22" ht="18" hidden="1" customHeight="1">
      <c r="A176" s="184"/>
      <c r="B176" s="47" t="s">
        <v>396</v>
      </c>
      <c r="K176" s="120" t="s">
        <v>497</v>
      </c>
      <c r="L176" s="781">
        <v>3</v>
      </c>
      <c r="M176" s="782"/>
      <c r="N176" s="192" t="s">
        <v>333</v>
      </c>
      <c r="V176" s="185"/>
    </row>
    <row r="177" spans="1:29" ht="18" hidden="1" customHeight="1">
      <c r="A177" s="184"/>
      <c r="B177" s="47" t="s">
        <v>398</v>
      </c>
      <c r="K177" s="120" t="s">
        <v>498</v>
      </c>
      <c r="L177" s="781">
        <v>200</v>
      </c>
      <c r="M177" s="782"/>
      <c r="N177" s="14" t="s">
        <v>305</v>
      </c>
      <c r="V177" s="185"/>
      <c r="W177" s="30" t="s">
        <v>400</v>
      </c>
      <c r="AB177" s="785" t="e">
        <f>D235</f>
        <v>#VALUE!</v>
      </c>
      <c r="AC177" s="786"/>
    </row>
    <row r="178" spans="1:29" ht="18" hidden="1" customHeight="1">
      <c r="A178" s="184"/>
      <c r="B178" s="14" t="s">
        <v>401</v>
      </c>
      <c r="K178" s="120" t="s">
        <v>402</v>
      </c>
      <c r="L178" s="781">
        <v>50</v>
      </c>
      <c r="M178" s="782"/>
      <c r="N178" s="30" t="s">
        <v>403</v>
      </c>
      <c r="V178" s="185"/>
    </row>
    <row r="179" spans="1:29" ht="18" hidden="1" customHeight="1">
      <c r="A179" s="96"/>
      <c r="V179" s="185"/>
    </row>
    <row r="180" spans="1:29" ht="18" hidden="1" customHeight="1">
      <c r="A180" s="193" t="s">
        <v>404</v>
      </c>
      <c r="V180" s="185"/>
    </row>
    <row r="181" spans="1:29" ht="18" hidden="1" customHeight="1">
      <c r="A181" s="184"/>
      <c r="V181" s="185"/>
    </row>
    <row r="182" spans="1:29" ht="18" hidden="1" customHeight="1">
      <c r="A182" s="184"/>
      <c r="B182" s="194" t="s">
        <v>405</v>
      </c>
      <c r="C182" s="195"/>
      <c r="D182" s="195" t="str">
        <f>T171</f>
        <v>SEL487E</v>
      </c>
      <c r="E182" s="196"/>
      <c r="F182" s="196"/>
      <c r="G182" s="196"/>
      <c r="H182" s="182" t="s">
        <v>406</v>
      </c>
      <c r="I182" s="183" t="s">
        <v>127</v>
      </c>
      <c r="J182" s="766">
        <f>J100</f>
        <v>0.1</v>
      </c>
      <c r="K182" s="958"/>
      <c r="L182" s="3" t="s">
        <v>157</v>
      </c>
      <c r="V182" s="185"/>
    </row>
    <row r="183" spans="1:29" ht="18" hidden="1" customHeight="1">
      <c r="A183" s="184"/>
      <c r="B183" s="184" t="s">
        <v>405</v>
      </c>
      <c r="D183" s="30">
        <f>T172</f>
        <v>0</v>
      </c>
      <c r="H183" s="27"/>
      <c r="I183" s="177" t="s">
        <v>127</v>
      </c>
      <c r="J183" s="861">
        <f>J101</f>
        <v>0</v>
      </c>
      <c r="K183" s="989"/>
      <c r="L183" s="198" t="s">
        <v>157</v>
      </c>
      <c r="V183" s="185"/>
    </row>
    <row r="184" spans="1:29" ht="18" hidden="1" customHeight="1">
      <c r="A184" s="184"/>
      <c r="B184" s="184" t="s">
        <v>405</v>
      </c>
      <c r="D184" s="30">
        <f>T173</f>
        <v>0</v>
      </c>
      <c r="E184" s="14"/>
      <c r="G184" s="199"/>
      <c r="H184" s="27"/>
      <c r="I184" s="177" t="s">
        <v>127</v>
      </c>
      <c r="J184" s="696">
        <f>J102</f>
        <v>0</v>
      </c>
      <c r="K184" s="820"/>
      <c r="L184" s="202" t="s">
        <v>157</v>
      </c>
      <c r="V184" s="185"/>
    </row>
    <row r="185" spans="1:29" ht="18" hidden="1" customHeight="1">
      <c r="A185" s="184"/>
      <c r="B185" s="184" t="s">
        <v>412</v>
      </c>
      <c r="H185" s="27" t="s">
        <v>599</v>
      </c>
      <c r="I185" s="177" t="s">
        <v>127</v>
      </c>
      <c r="J185" s="861">
        <f>J103</f>
        <v>1.0770224400000001</v>
      </c>
      <c r="K185" s="989"/>
      <c r="L185" s="203" t="s">
        <v>157</v>
      </c>
      <c r="V185" s="185"/>
    </row>
    <row r="186" spans="1:29" ht="18" hidden="1" customHeight="1">
      <c r="A186" s="184"/>
      <c r="B186" s="205" t="s">
        <v>413</v>
      </c>
      <c r="C186" s="206"/>
      <c r="D186" s="206"/>
      <c r="E186" s="206"/>
      <c r="F186" s="207"/>
      <c r="G186" s="207"/>
      <c r="H186" s="190" t="s">
        <v>409</v>
      </c>
      <c r="I186" s="208" t="s">
        <v>127</v>
      </c>
      <c r="J186" s="766">
        <f>J183+J185</f>
        <v>1.0770224400000001</v>
      </c>
      <c r="K186" s="958"/>
      <c r="L186" s="210" t="s">
        <v>157</v>
      </c>
      <c r="V186" s="185"/>
    </row>
    <row r="187" spans="1:29" ht="18" hidden="1" customHeight="1">
      <c r="A187" s="184"/>
      <c r="B187" s="47"/>
      <c r="C187" s="47"/>
      <c r="D187" s="47"/>
      <c r="E187" s="47"/>
      <c r="H187" s="27"/>
      <c r="I187" s="28"/>
      <c r="J187" s="199"/>
      <c r="L187" s="47"/>
      <c r="O187" s="27"/>
      <c r="P187" s="211"/>
      <c r="Q187" s="211"/>
      <c r="R187" s="192"/>
      <c r="V187" s="185"/>
    </row>
    <row r="188" spans="1:29" ht="18" hidden="1" customHeight="1">
      <c r="A188" s="184"/>
      <c r="B188" s="197" t="s">
        <v>648</v>
      </c>
      <c r="L188" s="47"/>
      <c r="M188" s="197" t="s">
        <v>407</v>
      </c>
      <c r="V188" s="185"/>
    </row>
    <row r="189" spans="1:29" ht="18" hidden="1" customHeight="1">
      <c r="A189" s="184"/>
      <c r="B189" s="27" t="s">
        <v>649</v>
      </c>
      <c r="C189" s="27" t="s">
        <v>127</v>
      </c>
      <c r="D189" s="30" t="s">
        <v>406</v>
      </c>
      <c r="E189" s="271" t="s">
        <v>410</v>
      </c>
      <c r="F189" s="27" t="s">
        <v>146</v>
      </c>
      <c r="G189" s="28" t="s">
        <v>315</v>
      </c>
      <c r="H189" s="218" t="s">
        <v>146</v>
      </c>
      <c r="I189" s="30" t="s">
        <v>350</v>
      </c>
      <c r="J189" s="199"/>
      <c r="L189" s="47"/>
      <c r="M189" s="30" t="s">
        <v>408</v>
      </c>
      <c r="N189" s="27" t="s">
        <v>127</v>
      </c>
      <c r="O189" s="30" t="s">
        <v>409</v>
      </c>
      <c r="P189" s="191" t="s">
        <v>410</v>
      </c>
      <c r="Q189" s="244" t="s">
        <v>411</v>
      </c>
      <c r="R189" s="27" t="s">
        <v>315</v>
      </c>
      <c r="S189" s="30" t="s">
        <v>411</v>
      </c>
      <c r="T189" s="30" t="s">
        <v>350</v>
      </c>
      <c r="V189" s="185"/>
    </row>
    <row r="190" spans="1:29" ht="18" hidden="1" customHeight="1">
      <c r="A190" s="184"/>
      <c r="B190" s="47"/>
      <c r="C190" s="27" t="s">
        <v>127</v>
      </c>
      <c r="D190" s="204">
        <f>J182</f>
        <v>0.1</v>
      </c>
      <c r="E190" s="191" t="s">
        <v>410</v>
      </c>
      <c r="F190" s="27">
        <f>F108</f>
        <v>1</v>
      </c>
      <c r="G190" s="27" t="s">
        <v>315</v>
      </c>
      <c r="H190" s="27">
        <f>H108</f>
        <v>1</v>
      </c>
      <c r="I190" s="30" t="s">
        <v>350</v>
      </c>
      <c r="J190" s="199"/>
      <c r="L190" s="47"/>
      <c r="N190" s="27" t="s">
        <v>127</v>
      </c>
      <c r="O190" s="204">
        <f>J186</f>
        <v>1.0770224400000001</v>
      </c>
      <c r="P190" s="191" t="s">
        <v>410</v>
      </c>
      <c r="Q190" s="27">
        <f>O174</f>
        <v>1</v>
      </c>
      <c r="R190" s="27" t="s">
        <v>315</v>
      </c>
      <c r="S190" s="27">
        <f>O174</f>
        <v>1</v>
      </c>
      <c r="T190" s="30" t="s">
        <v>350</v>
      </c>
      <c r="V190" s="185"/>
    </row>
    <row r="191" spans="1:29" ht="18" hidden="1" customHeight="1">
      <c r="A191" s="184"/>
      <c r="B191" s="47"/>
      <c r="C191" s="27" t="s">
        <v>127</v>
      </c>
      <c r="D191" s="795">
        <f>D190/(F190*H190)</f>
        <v>0.1</v>
      </c>
      <c r="E191" s="795"/>
      <c r="F191" s="192" t="s">
        <v>333</v>
      </c>
      <c r="J191" s="199"/>
      <c r="L191" s="47"/>
      <c r="N191" s="27" t="s">
        <v>127</v>
      </c>
      <c r="O191" s="795">
        <f>O190/(Q190*S190)</f>
        <v>1.0770224400000001</v>
      </c>
      <c r="P191" s="795"/>
      <c r="Q191" s="192" t="s">
        <v>333</v>
      </c>
      <c r="V191" s="185"/>
    </row>
    <row r="192" spans="1:29" ht="18" hidden="1" customHeight="1">
      <c r="A192" s="184"/>
      <c r="B192" s="47"/>
      <c r="C192" s="47"/>
      <c r="D192" s="47"/>
      <c r="E192" s="47"/>
      <c r="H192" s="27"/>
      <c r="I192" s="28"/>
      <c r="J192" s="199"/>
      <c r="L192" s="47"/>
      <c r="O192" s="27"/>
      <c r="P192" s="211"/>
      <c r="Q192" s="211"/>
      <c r="R192" s="192"/>
      <c r="V192" s="185"/>
    </row>
    <row r="193" spans="1:22" ht="18" hidden="1" customHeight="1">
      <c r="A193" s="184"/>
      <c r="B193" s="47"/>
      <c r="C193" s="47"/>
      <c r="D193" s="47"/>
      <c r="E193" s="47"/>
      <c r="H193" s="27"/>
      <c r="I193" s="28"/>
      <c r="J193" s="199"/>
      <c r="L193" s="28"/>
      <c r="M193" s="204"/>
      <c r="N193" s="204"/>
      <c r="O193" s="27"/>
      <c r="P193" s="204"/>
      <c r="Q193" s="204"/>
      <c r="R193" s="211"/>
      <c r="S193" s="204"/>
      <c r="T193" s="204"/>
      <c r="U193" s="192"/>
      <c r="V193" s="185"/>
    </row>
    <row r="194" spans="1:22" s="14" customFormat="1" ht="18" hidden="1" customHeight="1">
      <c r="A194" s="193" t="s">
        <v>600</v>
      </c>
      <c r="B194" s="5"/>
      <c r="C194" s="5"/>
      <c r="D194" s="5"/>
      <c r="E194" s="5"/>
      <c r="F194" s="5"/>
      <c r="G194" s="5"/>
      <c r="H194" s="212"/>
      <c r="I194" s="212"/>
      <c r="J194" s="5"/>
      <c r="K194" s="5"/>
      <c r="L194" s="5"/>
      <c r="M194" s="5"/>
      <c r="N194" s="5"/>
      <c r="O194" s="5"/>
      <c r="P194" s="103"/>
      <c r="Q194" s="212"/>
      <c r="R194" s="213"/>
      <c r="S194" s="214"/>
      <c r="T194" s="18"/>
      <c r="U194" s="18"/>
      <c r="V194" s="97"/>
    </row>
    <row r="195" spans="1:22" s="14" customFormat="1" ht="18" hidden="1" customHeight="1">
      <c r="A195" s="96"/>
      <c r="B195" s="47" t="s">
        <v>601</v>
      </c>
      <c r="C195" s="5"/>
      <c r="D195" s="5"/>
      <c r="E195" s="5"/>
      <c r="I195" s="215"/>
      <c r="M195" s="5"/>
      <c r="N195" s="103" t="s">
        <v>127</v>
      </c>
      <c r="O195" s="1154">
        <f>O113</f>
        <v>100</v>
      </c>
      <c r="P195" s="831"/>
      <c r="Q195" s="14" t="s">
        <v>602</v>
      </c>
      <c r="S195" s="214"/>
      <c r="T195" s="18"/>
      <c r="U195" s="18"/>
      <c r="V195" s="97"/>
    </row>
    <row r="196" spans="1:22" s="14" customFormat="1" ht="18" hidden="1" customHeight="1">
      <c r="A196" s="96"/>
      <c r="B196" s="47" t="s">
        <v>603</v>
      </c>
      <c r="C196" s="5"/>
      <c r="D196" s="5"/>
      <c r="E196" s="5"/>
      <c r="I196" s="215"/>
      <c r="M196" s="5"/>
      <c r="N196" s="103" t="s">
        <v>127</v>
      </c>
      <c r="O196" s="1154">
        <f>O114</f>
        <v>25</v>
      </c>
      <c r="P196" s="831"/>
      <c r="Q196" s="14" t="s">
        <v>604</v>
      </c>
      <c r="S196" s="214"/>
      <c r="T196" s="18"/>
      <c r="U196" s="18"/>
      <c r="V196" s="97"/>
    </row>
    <row r="197" spans="1:22" s="14" customFormat="1" ht="18" hidden="1" customHeight="1">
      <c r="A197" s="96"/>
      <c r="B197" s="47" t="s">
        <v>605</v>
      </c>
      <c r="C197" s="5"/>
      <c r="D197" s="5"/>
      <c r="E197" s="5"/>
      <c r="M197" s="120" t="s">
        <v>606</v>
      </c>
      <c r="N197" s="103" t="s">
        <v>607</v>
      </c>
      <c r="O197" s="1154">
        <f>O115</f>
        <v>33</v>
      </c>
      <c r="P197" s="831"/>
      <c r="Q197" s="14" t="s">
        <v>163</v>
      </c>
      <c r="S197" s="214"/>
      <c r="T197" s="18"/>
      <c r="U197" s="18"/>
      <c r="V197" s="97"/>
    </row>
    <row r="198" spans="1:22" s="14" customFormat="1" ht="18" hidden="1" customHeight="1">
      <c r="A198" s="216"/>
      <c r="B198" s="212"/>
      <c r="C198" s="212"/>
      <c r="D198" s="212"/>
      <c r="E198" s="212"/>
      <c r="T198" s="18"/>
      <c r="U198" s="18"/>
      <c r="V198" s="97"/>
    </row>
    <row r="199" spans="1:22" s="14" customFormat="1" ht="18" hidden="1" customHeight="1">
      <c r="A199" s="272" t="s">
        <v>608</v>
      </c>
      <c r="B199" s="213"/>
      <c r="C199" s="213"/>
      <c r="D199" s="213"/>
      <c r="E199" s="213"/>
      <c r="H199" s="120" t="s">
        <v>609</v>
      </c>
      <c r="I199" s="28" t="s">
        <v>127</v>
      </c>
      <c r="J199" s="689" t="s">
        <v>610</v>
      </c>
      <c r="K199" s="689"/>
      <c r="L199" s="28" t="s">
        <v>315</v>
      </c>
      <c r="M199" s="217">
        <v>1000</v>
      </c>
      <c r="N199" s="102" t="s">
        <v>342</v>
      </c>
      <c r="O199" s="28" t="s">
        <v>611</v>
      </c>
      <c r="P199" s="28" t="s">
        <v>315</v>
      </c>
      <c r="Q199" s="28" t="s">
        <v>606</v>
      </c>
      <c r="R199" s="47" t="s">
        <v>350</v>
      </c>
      <c r="T199" s="18"/>
      <c r="U199" s="18"/>
      <c r="V199" s="97"/>
    </row>
    <row r="200" spans="1:22" s="14" customFormat="1" ht="18" hidden="1" customHeight="1">
      <c r="A200" s="216"/>
      <c r="B200" s="213"/>
      <c r="C200" s="213"/>
      <c r="D200" s="213"/>
      <c r="E200" s="213"/>
      <c r="F200" s="212"/>
      <c r="G200" s="212"/>
      <c r="H200" s="28"/>
      <c r="I200" s="28" t="s">
        <v>127</v>
      </c>
      <c r="J200" s="689">
        <f>O195</f>
        <v>100</v>
      </c>
      <c r="K200" s="689"/>
      <c r="L200" s="28" t="s">
        <v>315</v>
      </c>
      <c r="M200" s="217">
        <v>1000</v>
      </c>
      <c r="N200" s="102" t="s">
        <v>342</v>
      </c>
      <c r="O200" s="28" t="s">
        <v>611</v>
      </c>
      <c r="P200" s="28" t="s">
        <v>315</v>
      </c>
      <c r="Q200" s="28">
        <f>O197</f>
        <v>33</v>
      </c>
      <c r="R200" s="47" t="s">
        <v>350</v>
      </c>
      <c r="T200" s="18"/>
      <c r="U200" s="18"/>
      <c r="V200" s="97"/>
    </row>
    <row r="201" spans="1:22" s="14" customFormat="1" ht="18" hidden="1" customHeight="1">
      <c r="A201" s="216"/>
      <c r="B201" s="212"/>
      <c r="C201" s="212"/>
      <c r="D201" s="212"/>
      <c r="E201" s="212"/>
      <c r="F201" s="212"/>
      <c r="G201" s="212"/>
      <c r="I201" s="28" t="s">
        <v>127</v>
      </c>
      <c r="J201" s="692">
        <f>(O195*1000)/(SQRT(3)*O197)</f>
        <v>1749.5462702715934</v>
      </c>
      <c r="K201" s="692"/>
      <c r="L201" s="14" t="s">
        <v>8</v>
      </c>
      <c r="M201" s="120"/>
      <c r="N201" s="120"/>
      <c r="O201" s="120"/>
      <c r="T201" s="18"/>
      <c r="U201" s="18"/>
      <c r="V201" s="97"/>
    </row>
    <row r="202" spans="1:22" s="14" customFormat="1" ht="18" hidden="1" customHeight="1">
      <c r="A202" s="216"/>
      <c r="B202" s="212"/>
      <c r="C202" s="212"/>
      <c r="D202" s="212"/>
      <c r="E202" s="212"/>
      <c r="G202" s="212"/>
      <c r="H202" s="28"/>
      <c r="I202" s="103"/>
      <c r="J202" s="28"/>
      <c r="M202" s="212"/>
      <c r="N202" s="219"/>
      <c r="O202" s="212"/>
      <c r="T202" s="18"/>
      <c r="U202" s="18"/>
      <c r="V202" s="97"/>
    </row>
    <row r="203" spans="1:22" s="14" customFormat="1" ht="18" hidden="1" customHeight="1">
      <c r="A203" s="147" t="s">
        <v>629</v>
      </c>
      <c r="B203" s="5"/>
      <c r="C203" s="5"/>
      <c r="D203" s="5"/>
      <c r="E203" s="5"/>
      <c r="F203" s="212"/>
      <c r="G203" s="212"/>
      <c r="H203" s="5"/>
      <c r="I203" s="5"/>
      <c r="J203" s="5"/>
      <c r="K203" s="5"/>
      <c r="L203" s="103"/>
      <c r="M203" s="103"/>
      <c r="N203" s="103"/>
      <c r="O203" s="103"/>
      <c r="P203" s="212"/>
      <c r="Q203" s="213"/>
      <c r="S203" s="220"/>
      <c r="T203" s="18"/>
      <c r="U203" s="18"/>
      <c r="V203" s="97"/>
    </row>
    <row r="204" spans="1:22" s="14" customFormat="1" ht="18" hidden="1" customHeight="1">
      <c r="A204" s="147"/>
      <c r="B204" s="5"/>
      <c r="C204" s="5"/>
      <c r="D204" s="5"/>
      <c r="E204" s="5"/>
      <c r="F204" s="212"/>
      <c r="G204" s="212"/>
      <c r="H204" s="5"/>
      <c r="I204" s="5"/>
      <c r="J204" s="5"/>
      <c r="K204" s="5"/>
      <c r="L204" s="103"/>
      <c r="M204" s="103"/>
      <c r="N204" s="103"/>
      <c r="O204" s="103"/>
      <c r="P204" s="212"/>
      <c r="Q204" s="213"/>
      <c r="S204" s="214"/>
      <c r="T204" s="18"/>
      <c r="U204" s="18"/>
      <c r="V204" s="97"/>
    </row>
    <row r="205" spans="1:22" ht="18" hidden="1" customHeight="1">
      <c r="A205" s="96" t="s">
        <v>632</v>
      </c>
      <c r="B205" s="14"/>
      <c r="C205" s="14"/>
      <c r="D205" s="14"/>
      <c r="E205" s="14"/>
      <c r="M205" s="120" t="s">
        <v>613</v>
      </c>
      <c r="N205" s="28" t="s">
        <v>127</v>
      </c>
      <c r="O205" s="689" t="s">
        <v>609</v>
      </c>
      <c r="P205" s="716"/>
      <c r="Q205" s="221" t="s">
        <v>630</v>
      </c>
      <c r="R205" s="221">
        <v>16</v>
      </c>
      <c r="S205" s="214"/>
      <c r="V205" s="185"/>
    </row>
    <row r="206" spans="1:22" ht="18" hidden="1" customHeight="1">
      <c r="A206" s="96"/>
      <c r="B206" s="5"/>
      <c r="C206" s="5"/>
      <c r="D206" s="5"/>
      <c r="E206" s="5"/>
      <c r="M206" s="250"/>
      <c r="N206" s="28" t="s">
        <v>127</v>
      </c>
      <c r="O206" s="689">
        <f>+J201</f>
        <v>1749.5462702715934</v>
      </c>
      <c r="P206" s="716"/>
      <c r="Q206" s="221" t="s">
        <v>630</v>
      </c>
      <c r="R206" s="221">
        <v>16</v>
      </c>
      <c r="S206" s="214"/>
      <c r="V206" s="185"/>
    </row>
    <row r="207" spans="1:22" ht="18" hidden="1" customHeight="1">
      <c r="A207" s="96"/>
      <c r="B207" s="5"/>
      <c r="C207" s="5"/>
      <c r="D207" s="5"/>
      <c r="E207" s="5"/>
      <c r="M207" s="120" t="s">
        <v>613</v>
      </c>
      <c r="N207" s="28" t="s">
        <v>127</v>
      </c>
      <c r="O207" s="689">
        <f>O206*R206</f>
        <v>27992.740324345494</v>
      </c>
      <c r="P207" s="716"/>
      <c r="Q207" s="241" t="s">
        <v>8</v>
      </c>
      <c r="R207" s="14"/>
      <c r="S207" s="214"/>
      <c r="V207" s="185"/>
    </row>
    <row r="208" spans="1:22" ht="18" hidden="1" customHeight="1">
      <c r="A208" s="96"/>
      <c r="B208" s="5"/>
      <c r="C208" s="5"/>
      <c r="D208" s="5"/>
      <c r="E208" s="5"/>
      <c r="M208" s="120"/>
      <c r="N208" s="28"/>
      <c r="O208" s="28"/>
      <c r="P208" s="14"/>
      <c r="Q208" s="241"/>
      <c r="R208" s="14"/>
      <c r="S208" s="214"/>
      <c r="V208" s="185"/>
    </row>
    <row r="209" spans="1:22" ht="18" hidden="1" customHeight="1">
      <c r="A209" s="96"/>
      <c r="B209" s="5"/>
      <c r="C209" s="5"/>
      <c r="D209" s="5"/>
      <c r="E209" s="5"/>
      <c r="M209" s="120"/>
      <c r="N209" s="28"/>
      <c r="O209" s="28"/>
      <c r="P209" s="14"/>
      <c r="Q209" s="241"/>
      <c r="R209" s="14"/>
      <c r="S209" s="214"/>
      <c r="V209" s="185"/>
    </row>
    <row r="210" spans="1:22" ht="18" hidden="1" customHeight="1">
      <c r="A210" s="96"/>
      <c r="B210" s="5"/>
      <c r="C210" s="5"/>
      <c r="D210" s="5"/>
      <c r="E210" s="5"/>
      <c r="M210" s="120"/>
      <c r="N210" s="28"/>
      <c r="O210" s="28"/>
      <c r="P210" s="14"/>
      <c r="Q210" s="241"/>
      <c r="R210" s="14"/>
      <c r="S210" s="214"/>
      <c r="V210" s="185"/>
    </row>
    <row r="211" spans="1:22" ht="18" hidden="1" customHeight="1">
      <c r="A211" s="96"/>
      <c r="B211" s="5"/>
      <c r="C211" s="5"/>
      <c r="D211" s="5"/>
      <c r="E211" s="5"/>
      <c r="M211" s="120"/>
      <c r="N211" s="28"/>
      <c r="O211" s="28"/>
      <c r="P211" s="14"/>
      <c r="Q211" s="241"/>
      <c r="R211" s="14"/>
      <c r="S211" s="214"/>
      <c r="V211" s="185"/>
    </row>
    <row r="212" spans="1:22" ht="18" hidden="1" customHeight="1">
      <c r="A212" s="96"/>
      <c r="B212" s="5"/>
      <c r="C212" s="5"/>
      <c r="D212" s="5"/>
      <c r="E212" s="5"/>
      <c r="M212" s="120"/>
      <c r="N212" s="28"/>
      <c r="O212" s="28"/>
      <c r="P212" s="14"/>
      <c r="Q212" s="241"/>
      <c r="R212" s="14"/>
      <c r="S212" s="214"/>
      <c r="V212" s="185"/>
    </row>
    <row r="213" spans="1:22" s="14" customFormat="1" ht="18" hidden="1" customHeight="1">
      <c r="A213" s="194"/>
      <c r="B213" s="195"/>
      <c r="C213" s="195"/>
      <c r="D213" s="195"/>
      <c r="E213" s="195"/>
      <c r="F213" s="195"/>
      <c r="G213" s="195"/>
      <c r="H213" s="195"/>
      <c r="I213" s="195"/>
      <c r="J213" s="195"/>
      <c r="K213" s="195"/>
      <c r="L213" s="195"/>
      <c r="M213" s="195"/>
      <c r="N213" s="195"/>
      <c r="O213" s="195"/>
      <c r="P213" s="195"/>
      <c r="Q213" s="224"/>
      <c r="R213" s="182"/>
      <c r="S213" s="225"/>
      <c r="T213" s="195"/>
      <c r="U213" s="195"/>
      <c r="V213" s="134" t="s">
        <v>552</v>
      </c>
    </row>
    <row r="214" spans="1:22" s="14" customFormat="1" ht="18" hidden="1" customHeight="1">
      <c r="A214" s="135"/>
      <c r="B214" s="273"/>
      <c r="C214" s="273"/>
      <c r="D214" s="273"/>
      <c r="E214" s="273"/>
      <c r="F214" s="273"/>
      <c r="G214" s="273"/>
      <c r="H214" s="273"/>
      <c r="I214" s="273"/>
      <c r="J214" s="273"/>
      <c r="K214" s="273"/>
      <c r="L214" s="273"/>
      <c r="M214" s="273"/>
      <c r="N214" s="273"/>
      <c r="O214" s="273"/>
      <c r="P214" s="273"/>
      <c r="Q214" s="274"/>
      <c r="R214" s="138"/>
      <c r="S214" s="275"/>
      <c r="T214" s="273"/>
      <c r="U214" s="273"/>
      <c r="V214" s="276"/>
    </row>
    <row r="215" spans="1:22" ht="18" hidden="1" customHeight="1">
      <c r="A215" s="96" t="s">
        <v>662</v>
      </c>
      <c r="V215" s="185"/>
    </row>
    <row r="216" spans="1:22" ht="18" hidden="1" customHeight="1">
      <c r="A216" s="184"/>
      <c r="V216" s="185"/>
    </row>
    <row r="217" spans="1:22" s="279" customFormat="1" ht="18" hidden="1" customHeight="1">
      <c r="A217" s="277"/>
      <c r="B217" s="689" t="s">
        <v>473</v>
      </c>
      <c r="C217" s="1150" t="s">
        <v>652</v>
      </c>
      <c r="D217" s="689">
        <v>2</v>
      </c>
      <c r="E217" s="689" t="s">
        <v>378</v>
      </c>
      <c r="F217" s="689" t="s">
        <v>617</v>
      </c>
      <c r="G217" s="689"/>
      <c r="H217" s="689" t="s">
        <v>378</v>
      </c>
      <c r="I217" s="689" t="s">
        <v>419</v>
      </c>
      <c r="J217" s="689" t="s">
        <v>420</v>
      </c>
      <c r="K217" s="689" t="s">
        <v>347</v>
      </c>
      <c r="L217" s="689" t="s">
        <v>408</v>
      </c>
      <c r="M217" s="689" t="s">
        <v>347</v>
      </c>
      <c r="N217" s="689" t="s">
        <v>649</v>
      </c>
      <c r="O217" s="689" t="s">
        <v>350</v>
      </c>
      <c r="P217" s="14"/>
      <c r="Q217" s="14"/>
      <c r="R217" s="14"/>
      <c r="S217" s="14"/>
      <c r="T217" s="14"/>
      <c r="U217" s="729" t="s">
        <v>653</v>
      </c>
      <c r="V217" s="185"/>
    </row>
    <row r="218" spans="1:22" s="279" customFormat="1" ht="18" hidden="1" customHeight="1">
      <c r="A218" s="277"/>
      <c r="B218" s="689"/>
      <c r="C218" s="689"/>
      <c r="D218" s="689"/>
      <c r="E218" s="689"/>
      <c r="F218" s="689"/>
      <c r="G218" s="689"/>
      <c r="H218" s="689"/>
      <c r="I218" s="689"/>
      <c r="J218" s="689"/>
      <c r="K218" s="689"/>
      <c r="L218" s="689"/>
      <c r="M218" s="689"/>
      <c r="N218" s="689"/>
      <c r="O218" s="689"/>
      <c r="P218" s="14"/>
      <c r="Q218" s="14"/>
      <c r="R218" s="14"/>
      <c r="S218" s="14"/>
      <c r="T218" s="14"/>
      <c r="U218" s="689"/>
      <c r="V218" s="185"/>
    </row>
    <row r="219" spans="1:22" ht="18" hidden="1" customHeight="1">
      <c r="A219" s="184"/>
      <c r="V219" s="185"/>
    </row>
    <row r="220" spans="1:22" ht="18" hidden="1" customHeight="1">
      <c r="A220" s="184"/>
      <c r="B220" s="47" t="s">
        <v>654</v>
      </c>
      <c r="C220" s="14"/>
      <c r="D220" s="14"/>
      <c r="E220" s="14"/>
      <c r="F220" s="18"/>
      <c r="G220" s="18"/>
      <c r="H220" s="14"/>
      <c r="I220" s="120"/>
      <c r="J220" s="14"/>
      <c r="K220" s="14"/>
      <c r="M220" s="14"/>
      <c r="N220" s="14"/>
      <c r="P220" s="14" t="s">
        <v>423</v>
      </c>
      <c r="R220" s="234" t="s">
        <v>127</v>
      </c>
      <c r="S220" s="684" t="str">
        <f>L174</f>
        <v>-</v>
      </c>
      <c r="T220" s="684"/>
      <c r="U220" s="30" t="s">
        <v>8</v>
      </c>
      <c r="V220" s="185"/>
    </row>
    <row r="221" spans="1:22" ht="18" hidden="1" customHeight="1">
      <c r="A221" s="184"/>
      <c r="B221" s="47" t="s">
        <v>655</v>
      </c>
      <c r="C221" s="14"/>
      <c r="D221" s="14"/>
      <c r="E221" s="14"/>
      <c r="F221" s="18"/>
      <c r="G221" s="18"/>
      <c r="H221" s="14"/>
      <c r="I221" s="120"/>
      <c r="J221" s="14"/>
      <c r="K221" s="14"/>
      <c r="M221" s="14"/>
      <c r="N221" s="14"/>
      <c r="P221" s="14" t="s">
        <v>420</v>
      </c>
      <c r="R221" s="234" t="s">
        <v>127</v>
      </c>
      <c r="S221" s="684">
        <f>L176</f>
        <v>3</v>
      </c>
      <c r="T221" s="684"/>
      <c r="U221" s="192" t="s">
        <v>333</v>
      </c>
      <c r="V221" s="185"/>
    </row>
    <row r="222" spans="1:22" ht="18" hidden="1" customHeight="1">
      <c r="A222" s="184"/>
      <c r="B222" s="47" t="s">
        <v>656</v>
      </c>
      <c r="C222" s="14"/>
      <c r="D222" s="14"/>
      <c r="E222" s="14"/>
      <c r="F222" s="18"/>
      <c r="G222" s="18"/>
      <c r="H222" s="14"/>
      <c r="I222" s="120"/>
      <c r="J222" s="14"/>
      <c r="K222" s="14"/>
      <c r="M222" s="14"/>
      <c r="N222" s="14"/>
      <c r="P222" s="14" t="s">
        <v>408</v>
      </c>
      <c r="R222" s="234" t="s">
        <v>127</v>
      </c>
      <c r="S222" s="795">
        <f>O191</f>
        <v>1.0770224400000001</v>
      </c>
      <c r="T222" s="795"/>
      <c r="U222" s="192" t="s">
        <v>333</v>
      </c>
      <c r="V222" s="185"/>
    </row>
    <row r="223" spans="1:22" ht="18" hidden="1" customHeight="1">
      <c r="A223" s="184"/>
      <c r="B223" s="47" t="s">
        <v>657</v>
      </c>
      <c r="C223" s="14"/>
      <c r="D223" s="14"/>
      <c r="E223" s="14"/>
      <c r="F223" s="14"/>
      <c r="G223" s="14"/>
      <c r="H223" s="14"/>
      <c r="I223" s="120"/>
      <c r="J223" s="14"/>
      <c r="K223" s="14"/>
      <c r="M223" s="14"/>
      <c r="N223" s="14"/>
      <c r="P223" s="14" t="s">
        <v>649</v>
      </c>
      <c r="R223" s="234" t="s">
        <v>127</v>
      </c>
      <c r="S223" s="795">
        <f>D191</f>
        <v>0.1</v>
      </c>
      <c r="T223" s="684"/>
      <c r="U223" s="192" t="s">
        <v>333</v>
      </c>
      <c r="V223" s="185"/>
    </row>
    <row r="224" spans="1:22" ht="18" hidden="1" customHeight="1">
      <c r="A224" s="184"/>
      <c r="B224" s="14" t="s">
        <v>658</v>
      </c>
      <c r="C224" s="14"/>
      <c r="D224" s="14"/>
      <c r="E224" s="14"/>
      <c r="F224" s="14"/>
      <c r="G224" s="14"/>
      <c r="H224" s="14"/>
      <c r="I224" s="120"/>
      <c r="J224" s="14"/>
      <c r="K224" s="14"/>
      <c r="M224" s="14"/>
      <c r="N224" s="14"/>
      <c r="P224" s="47" t="s">
        <v>617</v>
      </c>
      <c r="R224" s="234" t="s">
        <v>127</v>
      </c>
      <c r="S224" s="795" t="e">
        <f>O207/S220</f>
        <v>#VALUE!</v>
      </c>
      <c r="T224" s="795"/>
      <c r="U224" s="30" t="s">
        <v>8</v>
      </c>
      <c r="V224" s="185"/>
    </row>
    <row r="225" spans="1:22" ht="18" hidden="1" customHeight="1">
      <c r="A225" s="184"/>
      <c r="B225" s="47" t="s">
        <v>659</v>
      </c>
      <c r="C225" s="14"/>
      <c r="D225" s="14"/>
      <c r="E225" s="14"/>
      <c r="F225" s="14"/>
      <c r="G225" s="14"/>
      <c r="H225" s="14"/>
      <c r="I225" s="120"/>
      <c r="J225" s="14"/>
      <c r="K225" s="14"/>
      <c r="M225" s="14"/>
      <c r="N225" s="14"/>
      <c r="P225" s="120" t="s">
        <v>660</v>
      </c>
      <c r="R225" s="234" t="s">
        <v>127</v>
      </c>
      <c r="S225" s="684">
        <f>S140</f>
        <v>1</v>
      </c>
      <c r="T225" s="684"/>
      <c r="U225" s="30" t="s">
        <v>8</v>
      </c>
      <c r="V225" s="185"/>
    </row>
    <row r="226" spans="1:22" ht="18" hidden="1" customHeight="1">
      <c r="A226" s="184"/>
      <c r="V226" s="185"/>
    </row>
    <row r="227" spans="1:22" ht="18" hidden="1" customHeight="1">
      <c r="A227" s="96"/>
      <c r="B227" s="14" t="s">
        <v>661</v>
      </c>
      <c r="C227" s="14"/>
      <c r="D227" s="235"/>
      <c r="E227" s="14"/>
      <c r="F227" s="28"/>
      <c r="G227" s="249"/>
      <c r="H227" s="28"/>
      <c r="I227" s="251"/>
      <c r="J227" s="14"/>
      <c r="K227" s="280"/>
      <c r="M227" s="47"/>
      <c r="N227" s="268"/>
      <c r="P227" s="281"/>
      <c r="R227" s="234"/>
      <c r="S227" s="204"/>
      <c r="V227" s="185"/>
    </row>
    <row r="228" spans="1:22" ht="18" hidden="1" customHeight="1">
      <c r="A228" s="272"/>
      <c r="C228" s="14"/>
      <c r="D228" s="14"/>
      <c r="E228" s="14"/>
      <c r="F228" s="14"/>
      <c r="G228" s="14"/>
      <c r="H228" s="28"/>
      <c r="I228" s="47"/>
      <c r="J228" s="14"/>
      <c r="K228" s="14"/>
      <c r="M228" s="14"/>
      <c r="N228" s="14"/>
      <c r="P228" s="120"/>
      <c r="R228" s="234"/>
      <c r="S228" s="282"/>
      <c r="V228" s="185"/>
    </row>
    <row r="229" spans="1:22" ht="18" hidden="1" customHeight="1">
      <c r="A229" s="272"/>
      <c r="B229" s="689" t="s">
        <v>473</v>
      </c>
      <c r="C229" s="1150" t="s">
        <v>652</v>
      </c>
      <c r="D229" s="689">
        <v>2</v>
      </c>
      <c r="E229" s="689" t="s">
        <v>378</v>
      </c>
      <c r="F229" s="689" t="s">
        <v>617</v>
      </c>
      <c r="G229" s="689"/>
      <c r="H229" s="689" t="s">
        <v>378</v>
      </c>
      <c r="I229" s="689" t="s">
        <v>419</v>
      </c>
      <c r="J229" s="689" t="s">
        <v>420</v>
      </c>
      <c r="K229" s="689" t="s">
        <v>347</v>
      </c>
      <c r="L229" s="689" t="s">
        <v>408</v>
      </c>
      <c r="M229" s="689" t="s">
        <v>347</v>
      </c>
      <c r="N229" s="689" t="s">
        <v>649</v>
      </c>
      <c r="O229" s="689" t="s">
        <v>350</v>
      </c>
      <c r="P229" s="14"/>
      <c r="Q229" s="14"/>
      <c r="R229" s="14"/>
      <c r="S229" s="14"/>
      <c r="T229" s="14"/>
      <c r="U229" s="729" t="s">
        <v>653</v>
      </c>
      <c r="V229" s="185"/>
    </row>
    <row r="230" spans="1:22" s="279" customFormat="1" ht="18" hidden="1" customHeight="1">
      <c r="A230" s="277"/>
      <c r="B230" s="689"/>
      <c r="C230" s="689"/>
      <c r="D230" s="689"/>
      <c r="E230" s="689"/>
      <c r="F230" s="689"/>
      <c r="G230" s="689"/>
      <c r="H230" s="689"/>
      <c r="I230" s="689"/>
      <c r="J230" s="689"/>
      <c r="K230" s="689"/>
      <c r="L230" s="689"/>
      <c r="M230" s="689"/>
      <c r="N230" s="689"/>
      <c r="O230" s="689"/>
      <c r="P230" s="14"/>
      <c r="Q230" s="14"/>
      <c r="R230" s="14"/>
      <c r="S230" s="14"/>
      <c r="T230" s="14"/>
      <c r="U230" s="689"/>
      <c r="V230" s="185"/>
    </row>
    <row r="231" spans="1:22" s="279" customFormat="1" ht="18" hidden="1" customHeight="1">
      <c r="A231" s="277"/>
      <c r="B231" s="28"/>
      <c r="C231" s="28"/>
      <c r="D231" s="154"/>
      <c r="E231" s="154"/>
      <c r="F231" s="154"/>
      <c r="G231" s="154"/>
      <c r="H231" s="154"/>
      <c r="I231" s="28"/>
      <c r="J231" s="28"/>
      <c r="K231" s="28"/>
      <c r="L231" s="28"/>
      <c r="M231" s="28"/>
      <c r="N231" s="28"/>
      <c r="O231" s="28"/>
      <c r="P231" s="14"/>
      <c r="Q231" s="14"/>
      <c r="R231" s="14"/>
      <c r="S231" s="14"/>
      <c r="T231" s="14"/>
      <c r="U231" s="28"/>
      <c r="V231" s="185"/>
    </row>
    <row r="232" spans="1:22" ht="18" hidden="1" customHeight="1">
      <c r="A232" s="277"/>
      <c r="B232" s="28"/>
      <c r="C232" s="1150" t="s">
        <v>652</v>
      </c>
      <c r="D232" s="805">
        <v>2</v>
      </c>
      <c r="E232" s="805" t="s">
        <v>378</v>
      </c>
      <c r="F232" s="1184" t="e">
        <f>S224</f>
        <v>#VALUE!</v>
      </c>
      <c r="G232" s="1184"/>
      <c r="H232" s="805" t="s">
        <v>378</v>
      </c>
      <c r="I232" s="805" t="s">
        <v>419</v>
      </c>
      <c r="J232" s="805">
        <f>S221</f>
        <v>3</v>
      </c>
      <c r="K232" s="805" t="s">
        <v>347</v>
      </c>
      <c r="L232" s="1184">
        <f>S222</f>
        <v>1.0770224400000001</v>
      </c>
      <c r="M232" s="805" t="s">
        <v>347</v>
      </c>
      <c r="N232" s="1184">
        <f>S223</f>
        <v>0.1</v>
      </c>
      <c r="O232" s="805" t="s">
        <v>350</v>
      </c>
      <c r="P232" s="14"/>
      <c r="Q232" s="14"/>
      <c r="R232" s="14"/>
      <c r="S232" s="14"/>
      <c r="T232" s="14"/>
      <c r="U232" s="28"/>
      <c r="V232" s="185"/>
    </row>
    <row r="233" spans="1:22" ht="18" hidden="1" customHeight="1">
      <c r="A233" s="277"/>
      <c r="B233" s="28"/>
      <c r="C233" s="689"/>
      <c r="D233" s="805"/>
      <c r="E233" s="805"/>
      <c r="F233" s="1184"/>
      <c r="G233" s="1184"/>
      <c r="H233" s="805"/>
      <c r="I233" s="805"/>
      <c r="J233" s="805"/>
      <c r="K233" s="805"/>
      <c r="L233" s="805"/>
      <c r="M233" s="805"/>
      <c r="N233" s="805"/>
      <c r="O233" s="805"/>
      <c r="P233" s="14"/>
      <c r="Q233" s="14"/>
      <c r="R233" s="14"/>
      <c r="S233" s="14"/>
      <c r="T233" s="14"/>
      <c r="U233" s="28"/>
      <c r="V233" s="185"/>
    </row>
    <row r="234" spans="1:22" ht="18" hidden="1" customHeight="1">
      <c r="A234" s="277"/>
      <c r="B234" s="14"/>
      <c r="C234" s="14"/>
      <c r="D234" s="279"/>
      <c r="E234" s="279"/>
      <c r="F234" s="279"/>
      <c r="G234" s="14"/>
      <c r="I234" s="14"/>
      <c r="K234" s="28"/>
      <c r="L234" s="14"/>
      <c r="N234" s="14"/>
      <c r="O234" s="14"/>
      <c r="P234" s="14"/>
      <c r="Q234" s="14"/>
      <c r="R234" s="14"/>
      <c r="S234" s="14"/>
      <c r="T234" s="14"/>
      <c r="U234" s="14"/>
      <c r="V234" s="185"/>
    </row>
    <row r="235" spans="1:22" ht="18" hidden="1" customHeight="1">
      <c r="A235" s="96"/>
      <c r="B235" s="14"/>
      <c r="C235" s="27" t="s">
        <v>127</v>
      </c>
      <c r="D235" s="812" t="e">
        <f>D232*F232*(J232+L232+N232)</f>
        <v>#VALUE!</v>
      </c>
      <c r="E235" s="813"/>
      <c r="F235" s="30" t="s">
        <v>305</v>
      </c>
      <c r="G235" s="14"/>
      <c r="H235" s="14"/>
      <c r="I235" s="14"/>
      <c r="J235" s="14"/>
      <c r="K235" s="14"/>
      <c r="L235" s="14"/>
      <c r="M235" s="14"/>
      <c r="N235" s="14"/>
      <c r="R235" s="234"/>
      <c r="S235" s="204"/>
      <c r="V235" s="185"/>
    </row>
    <row r="236" spans="1:22" ht="18" hidden="1" customHeight="1">
      <c r="A236" s="96"/>
      <c r="B236" s="14"/>
      <c r="G236" s="14"/>
      <c r="H236" s="14"/>
      <c r="I236" s="14"/>
      <c r="J236" s="14"/>
      <c r="K236" s="14"/>
      <c r="L236" s="14"/>
      <c r="M236" s="14"/>
      <c r="N236" s="14"/>
      <c r="R236" s="234"/>
      <c r="S236" s="204"/>
      <c r="V236" s="185"/>
    </row>
    <row r="237" spans="1:22" ht="18" hidden="1" customHeight="1">
      <c r="A237" s="96"/>
      <c r="B237" s="14"/>
      <c r="D237" s="30" t="s">
        <v>475</v>
      </c>
      <c r="G237" s="27" t="e">
        <f>IF(E238&gt;H238,"&gt;","&lt;")</f>
        <v>#VALUE!</v>
      </c>
      <c r="H237" s="30" t="s">
        <v>477</v>
      </c>
      <c r="M237" s="14"/>
      <c r="N237" s="14"/>
      <c r="R237" s="234"/>
      <c r="S237" s="204"/>
      <c r="V237" s="185"/>
    </row>
    <row r="238" spans="1:22" ht="18" hidden="1" customHeight="1">
      <c r="A238" s="96"/>
      <c r="B238" s="14"/>
      <c r="E238" s="684" t="str">
        <f>H182</f>
        <v>Sr'</v>
      </c>
      <c r="F238" s="684"/>
      <c r="G238" s="27" t="e">
        <f>G237</f>
        <v>#VALUE!</v>
      </c>
      <c r="H238" s="795" t="e">
        <f>D235</f>
        <v>#VALUE!</v>
      </c>
      <c r="I238" s="684"/>
      <c r="M238" s="14"/>
      <c r="N238" s="14"/>
      <c r="R238" s="234"/>
      <c r="S238" s="204"/>
      <c r="V238" s="185"/>
    </row>
    <row r="239" spans="1:22" ht="18" hidden="1" customHeight="1">
      <c r="A239" s="96"/>
      <c r="B239" s="14"/>
      <c r="F239" s="244" t="s">
        <v>478</v>
      </c>
      <c r="H239" s="18" t="e">
        <f>IF(G237="&gt;","Suitably Dimentioned","Under Dimentioned")</f>
        <v>#VALUE!</v>
      </c>
      <c r="M239" s="14"/>
      <c r="N239" s="14"/>
      <c r="R239" s="234"/>
      <c r="S239" s="204"/>
      <c r="V239" s="185"/>
    </row>
    <row r="240" spans="1:22" ht="18" hidden="1" customHeight="1">
      <c r="A240" s="96"/>
      <c r="B240" s="14"/>
      <c r="G240" s="14"/>
      <c r="H240" s="14"/>
      <c r="I240" s="14"/>
      <c r="J240" s="14"/>
      <c r="K240" s="14"/>
      <c r="L240" s="14"/>
      <c r="M240" s="14"/>
      <c r="N240" s="14"/>
      <c r="R240" s="234"/>
      <c r="S240" s="204"/>
      <c r="V240" s="185"/>
    </row>
    <row r="241" spans="1:22" ht="18" hidden="1" customHeight="1">
      <c r="A241" s="193"/>
      <c r="B241" s="14"/>
      <c r="G241" s="14"/>
      <c r="H241" s="14"/>
      <c r="I241" s="14"/>
      <c r="J241" s="14"/>
      <c r="K241" s="14"/>
      <c r="L241" s="14"/>
      <c r="M241" s="14"/>
      <c r="N241" s="14"/>
      <c r="R241" s="234"/>
      <c r="S241" s="204"/>
      <c r="V241" s="185"/>
    </row>
    <row r="242" spans="1:22" ht="18" hidden="1" customHeight="1">
      <c r="A242" s="96"/>
      <c r="B242" s="14"/>
      <c r="D242" s="14"/>
      <c r="E242" s="14"/>
      <c r="F242" s="279"/>
      <c r="G242" s="14"/>
      <c r="H242" s="14"/>
      <c r="I242" s="279"/>
      <c r="J242" s="14"/>
      <c r="K242" s="14"/>
      <c r="L242" s="14"/>
      <c r="M242" s="14"/>
      <c r="N242" s="14"/>
      <c r="R242" s="234"/>
      <c r="S242" s="204"/>
      <c r="V242" s="185"/>
    </row>
    <row r="243" spans="1:22" ht="18" hidden="1" customHeight="1">
      <c r="A243" s="96"/>
      <c r="B243" s="14"/>
      <c r="D243" s="14"/>
      <c r="E243" s="14"/>
      <c r="F243" s="279"/>
      <c r="G243" s="14"/>
      <c r="H243" s="14"/>
      <c r="I243" s="279"/>
      <c r="J243" s="14"/>
      <c r="K243" s="14"/>
      <c r="L243" s="14"/>
      <c r="M243" s="14"/>
      <c r="N243" s="14"/>
      <c r="R243" s="234"/>
      <c r="S243" s="204"/>
      <c r="V243" s="185"/>
    </row>
    <row r="244" spans="1:22" ht="18" hidden="1" customHeight="1">
      <c r="A244" s="96"/>
      <c r="B244" s="14"/>
      <c r="D244" s="14"/>
      <c r="E244" s="14"/>
      <c r="F244" s="279"/>
      <c r="G244" s="14"/>
      <c r="H244" s="14"/>
      <c r="I244" s="279"/>
      <c r="J244" s="14"/>
      <c r="K244" s="14"/>
      <c r="L244" s="14"/>
      <c r="M244" s="14"/>
      <c r="N244" s="14"/>
      <c r="R244" s="234"/>
      <c r="S244" s="204"/>
      <c r="V244" s="185"/>
    </row>
    <row r="245" spans="1:22" ht="18" hidden="1" customHeight="1">
      <c r="A245" s="96"/>
      <c r="B245" s="14"/>
      <c r="G245" s="14"/>
      <c r="H245" s="14"/>
      <c r="I245" s="14"/>
      <c r="J245" s="14"/>
      <c r="K245" s="14"/>
      <c r="L245" s="14"/>
      <c r="M245" s="14"/>
      <c r="N245" s="14"/>
      <c r="R245" s="234"/>
      <c r="S245" s="204"/>
      <c r="V245" s="185"/>
    </row>
    <row r="246" spans="1:22" ht="18" hidden="1" customHeight="1">
      <c r="A246" s="96"/>
      <c r="B246" s="14"/>
      <c r="F246" s="14"/>
      <c r="G246" s="14"/>
      <c r="H246" s="14"/>
      <c r="I246" s="14"/>
      <c r="J246" s="14"/>
      <c r="K246" s="14"/>
      <c r="L246" s="14"/>
      <c r="M246" s="14"/>
      <c r="N246" s="14"/>
      <c r="O246" s="154"/>
      <c r="P246" s="14"/>
      <c r="R246" s="234"/>
      <c r="S246" s="204"/>
      <c r="V246" s="185"/>
    </row>
    <row r="247" spans="1:22" ht="18" hidden="1" customHeight="1">
      <c r="A247" s="96"/>
      <c r="B247" s="14"/>
      <c r="F247" s="14"/>
      <c r="G247" s="257"/>
      <c r="H247" s="14"/>
      <c r="I247" s="14"/>
      <c r="J247" s="14"/>
      <c r="K247" s="14"/>
      <c r="L247" s="14"/>
      <c r="M247" s="14"/>
      <c r="N247" s="14"/>
      <c r="R247" s="234"/>
      <c r="S247" s="204"/>
      <c r="V247" s="185"/>
    </row>
    <row r="248" spans="1:22" ht="18" hidden="1" customHeight="1">
      <c r="A248" s="96"/>
      <c r="B248" s="14"/>
      <c r="G248" s="14"/>
      <c r="H248" s="14"/>
      <c r="I248" s="14"/>
      <c r="J248" s="14"/>
      <c r="K248" s="14"/>
      <c r="L248" s="14"/>
      <c r="M248" s="14"/>
      <c r="N248" s="14"/>
      <c r="R248" s="234"/>
      <c r="S248" s="204"/>
      <c r="V248" s="185"/>
    </row>
    <row r="249" spans="1:22" ht="18" hidden="1" customHeight="1">
      <c r="A249" s="96"/>
      <c r="B249" s="14"/>
      <c r="F249" s="27"/>
      <c r="G249" s="14"/>
      <c r="H249" s="14"/>
      <c r="I249" s="14"/>
      <c r="J249" s="14"/>
      <c r="K249" s="14"/>
      <c r="L249" s="14"/>
      <c r="M249" s="14"/>
      <c r="N249" s="14"/>
      <c r="R249" s="234"/>
      <c r="S249" s="204"/>
      <c r="V249" s="185"/>
    </row>
    <row r="250" spans="1:22" ht="18" hidden="1" customHeight="1">
      <c r="A250" s="96"/>
      <c r="B250" s="14"/>
      <c r="G250" s="14"/>
      <c r="H250" s="14"/>
      <c r="I250" s="14"/>
      <c r="J250" s="14"/>
      <c r="K250" s="14"/>
      <c r="L250" s="14"/>
      <c r="M250" s="14"/>
      <c r="N250" s="14"/>
      <c r="R250" s="234"/>
      <c r="S250" s="204"/>
      <c r="V250" s="185"/>
    </row>
    <row r="251" spans="1:22" ht="18" hidden="1" customHeight="1">
      <c r="A251" s="96"/>
      <c r="B251" s="14"/>
      <c r="D251" s="283"/>
      <c r="E251" s="284"/>
      <c r="F251" s="14"/>
      <c r="G251" s="14"/>
      <c r="H251" s="14"/>
      <c r="I251" s="284"/>
      <c r="J251" s="28"/>
      <c r="L251" s="279"/>
      <c r="M251" s="120"/>
      <c r="N251" s="47"/>
      <c r="O251" s="279"/>
      <c r="P251" s="236"/>
      <c r="Q251" s="236"/>
      <c r="R251" s="234"/>
      <c r="S251" s="204"/>
      <c r="V251" s="185"/>
    </row>
    <row r="252" spans="1:22" ht="18" hidden="1" customHeight="1">
      <c r="A252" s="96"/>
      <c r="B252" s="14"/>
      <c r="D252" s="218"/>
      <c r="E252" s="284"/>
      <c r="F252" s="285"/>
      <c r="G252" s="286"/>
      <c r="H252" s="285"/>
      <c r="I252" s="284"/>
      <c r="J252" s="28"/>
      <c r="L252" s="279"/>
      <c r="M252" s="120"/>
      <c r="N252" s="213"/>
      <c r="O252" s="279"/>
      <c r="P252" s="236"/>
      <c r="Q252" s="236"/>
      <c r="R252" s="234"/>
      <c r="S252" s="204"/>
      <c r="V252" s="185"/>
    </row>
    <row r="253" spans="1:22" ht="18" hidden="1" customHeight="1">
      <c r="A253" s="96"/>
      <c r="B253" s="14"/>
      <c r="G253" s="14"/>
      <c r="H253" s="14"/>
      <c r="I253" s="14"/>
      <c r="J253" s="14"/>
      <c r="K253" s="14"/>
      <c r="L253" s="14"/>
      <c r="M253" s="14"/>
      <c r="N253" s="14"/>
      <c r="R253" s="234"/>
      <c r="S253" s="204"/>
      <c r="V253" s="185"/>
    </row>
    <row r="254" spans="1:22" ht="18" hidden="1" customHeight="1">
      <c r="A254" s="96"/>
      <c r="B254" s="14"/>
      <c r="G254" s="14"/>
      <c r="H254" s="18"/>
      <c r="I254" s="14"/>
      <c r="J254" s="14"/>
      <c r="K254" s="14"/>
      <c r="L254" s="14"/>
      <c r="M254" s="14"/>
      <c r="N254" s="14"/>
      <c r="R254" s="234"/>
      <c r="S254" s="204"/>
      <c r="V254" s="185"/>
    </row>
    <row r="255" spans="1:22" ht="18" hidden="1" customHeight="1">
      <c r="A255" s="96"/>
      <c r="B255" s="14"/>
      <c r="G255" s="14"/>
      <c r="H255" s="18"/>
      <c r="I255" s="14"/>
      <c r="J255" s="14"/>
      <c r="K255" s="14"/>
      <c r="L255" s="14"/>
      <c r="M255" s="14"/>
      <c r="N255" s="14"/>
      <c r="R255" s="234"/>
      <c r="S255" s="204"/>
      <c r="V255" s="185"/>
    </row>
    <row r="256" spans="1:22" ht="18" hidden="1" customHeight="1">
      <c r="A256" s="96"/>
      <c r="B256" s="14"/>
      <c r="G256" s="14"/>
      <c r="H256" s="14"/>
      <c r="I256" s="14"/>
      <c r="J256" s="14"/>
      <c r="K256" s="14"/>
      <c r="L256" s="14"/>
      <c r="M256" s="14"/>
      <c r="N256" s="14"/>
      <c r="R256" s="234"/>
      <c r="S256" s="204"/>
      <c r="V256" s="185"/>
    </row>
    <row r="257" spans="1:22" s="14" customFormat="1" ht="18" hidden="1" customHeight="1">
      <c r="A257" s="194"/>
      <c r="B257" s="195"/>
      <c r="C257" s="195"/>
      <c r="D257" s="195"/>
      <c r="E257" s="195"/>
      <c r="F257" s="195"/>
      <c r="G257" s="195"/>
      <c r="H257" s="195"/>
      <c r="I257" s="195"/>
      <c r="J257" s="195"/>
      <c r="K257" s="195"/>
      <c r="L257" s="195"/>
      <c r="M257" s="195"/>
      <c r="N257" s="195"/>
      <c r="O257" s="195"/>
      <c r="P257" s="195"/>
      <c r="Q257" s="224"/>
      <c r="R257" s="182"/>
      <c r="S257" s="225"/>
      <c r="T257" s="195"/>
      <c r="U257" s="195"/>
      <c r="V257" s="134" t="s">
        <v>552</v>
      </c>
    </row>
    <row r="258" spans="1:22" ht="18" hidden="1" customHeight="1">
      <c r="A258" s="226"/>
      <c r="B258" s="227"/>
      <c r="C258" s="227"/>
      <c r="D258" s="227"/>
      <c r="E258" s="227"/>
      <c r="F258" s="227"/>
      <c r="G258" s="227"/>
      <c r="H258" s="227"/>
      <c r="I258" s="227"/>
      <c r="J258" s="227"/>
      <c r="K258" s="227"/>
      <c r="L258" s="227"/>
      <c r="M258" s="227"/>
      <c r="N258" s="227"/>
      <c r="O258" s="227"/>
      <c r="P258" s="227"/>
      <c r="Q258" s="227"/>
      <c r="R258" s="227"/>
      <c r="S258" s="227"/>
      <c r="T258" s="227"/>
      <c r="U258" s="227"/>
      <c r="V258" s="228"/>
    </row>
    <row r="259" spans="1:22" ht="18" customHeight="1">
      <c r="A259" s="184"/>
      <c r="V259" s="185"/>
    </row>
    <row r="260" spans="1:22" ht="18" customHeight="1">
      <c r="A260" s="262" t="s">
        <v>532</v>
      </c>
      <c r="B260" s="14"/>
      <c r="C260" s="14"/>
      <c r="D260" s="120"/>
      <c r="E260" s="120"/>
      <c r="F260" s="18"/>
      <c r="G260" s="18"/>
      <c r="H260" s="14"/>
      <c r="I260" s="14"/>
      <c r="J260" s="14"/>
      <c r="K260" s="14"/>
      <c r="L260" s="14"/>
      <c r="M260" s="14"/>
      <c r="N260" s="14"/>
      <c r="O260" s="14"/>
      <c r="P260" s="28"/>
      <c r="Q260" s="120"/>
      <c r="R260" s="47"/>
      <c r="S260" s="206"/>
      <c r="T260" s="259"/>
      <c r="U260" s="14"/>
      <c r="V260" s="97"/>
    </row>
    <row r="261" spans="1:22" ht="18" customHeight="1">
      <c r="A261" s="955" t="s">
        <v>85</v>
      </c>
      <c r="B261" s="956"/>
      <c r="C261" s="957"/>
      <c r="D261" s="955" t="s">
        <v>86</v>
      </c>
      <c r="E261" s="956"/>
      <c r="F261" s="957"/>
      <c r="G261" s="955" t="s">
        <v>87</v>
      </c>
      <c r="H261" s="957"/>
      <c r="I261" s="955" t="s">
        <v>88</v>
      </c>
      <c r="J261" s="957"/>
      <c r="K261" s="955" t="s">
        <v>502</v>
      </c>
      <c r="L261" s="957"/>
      <c r="M261" s="955" t="s">
        <v>503</v>
      </c>
      <c r="N261" s="957"/>
      <c r="O261" s="955" t="s">
        <v>504</v>
      </c>
      <c r="P261" s="957"/>
      <c r="Q261" s="955" t="s">
        <v>505</v>
      </c>
      <c r="R261" s="957"/>
      <c r="S261" s="955" t="s">
        <v>93</v>
      </c>
      <c r="T261" s="956"/>
      <c r="U261" s="956"/>
      <c r="V261" s="957"/>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125"/>
      <c r="B263" s="983"/>
      <c r="C263" s="1126"/>
      <c r="D263" s="1125"/>
      <c r="E263" s="983"/>
      <c r="F263" s="1126"/>
      <c r="G263" s="1125"/>
      <c r="H263" s="1126"/>
      <c r="I263" s="1125"/>
      <c r="J263" s="1126"/>
      <c r="K263" s="1125"/>
      <c r="L263" s="1126"/>
      <c r="M263" s="1125"/>
      <c r="N263" s="1126"/>
      <c r="O263" s="1125"/>
      <c r="P263" s="1126"/>
      <c r="Q263" s="1125"/>
      <c r="R263" s="1126"/>
      <c r="S263" s="1125"/>
      <c r="T263" s="983"/>
      <c r="U263" s="983"/>
      <c r="V263" s="1126"/>
    </row>
    <row r="264" spans="1:22" ht="18" customHeight="1">
      <c r="A264" s="1047"/>
      <c r="B264" s="1048"/>
      <c r="C264" s="1049"/>
      <c r="D264" s="1047"/>
      <c r="E264" s="1048"/>
      <c r="F264" s="1049"/>
      <c r="G264" s="1047"/>
      <c r="H264" s="1049"/>
      <c r="I264" s="1047"/>
      <c r="J264" s="1049"/>
      <c r="K264" s="1047"/>
      <c r="L264" s="1049"/>
      <c r="M264" s="1047"/>
      <c r="N264" s="1049"/>
      <c r="O264" s="1047"/>
      <c r="P264" s="1049"/>
      <c r="Q264" s="1047"/>
      <c r="R264" s="1049"/>
      <c r="S264" s="1047"/>
      <c r="T264" s="1048"/>
      <c r="U264" s="1048"/>
      <c r="V264" s="1049"/>
    </row>
    <row r="265" spans="1:22" ht="18" customHeight="1">
      <c r="A265" s="765" t="str">
        <f>B7</f>
        <v>T1</v>
      </c>
      <c r="B265" s="765" t="str">
        <f>D7</f>
        <v>Core1</v>
      </c>
      <c r="C265" s="765"/>
      <c r="D265" s="870">
        <f>H10</f>
        <v>1600</v>
      </c>
      <c r="E265" s="870"/>
      <c r="F265" s="871">
        <f>O10</f>
        <v>1</v>
      </c>
      <c r="G265" s="961">
        <f>'CT-VT Burdens'!S21</f>
        <v>120</v>
      </c>
      <c r="H265" s="959">
        <f>'CT-VT Burdens'!S10</f>
        <v>6</v>
      </c>
      <c r="I265" s="874" t="str">
        <f>H11</f>
        <v>PX</v>
      </c>
      <c r="J265" s="874"/>
      <c r="K265" s="869">
        <f>H12</f>
        <v>8</v>
      </c>
      <c r="L265" s="869"/>
      <c r="M265" s="869">
        <f>H13</f>
        <v>1600</v>
      </c>
      <c r="N265" s="869"/>
      <c r="O265" s="870">
        <f>H14</f>
        <v>10</v>
      </c>
      <c r="P265" s="870"/>
      <c r="Q265" s="879" t="str">
        <f>T7</f>
        <v>SEL487E</v>
      </c>
      <c r="R265" s="879"/>
      <c r="S265" s="878" t="str">
        <f>H72</f>
        <v>Suitable Dimensions</v>
      </c>
      <c r="T265" s="878"/>
      <c r="U265" s="878"/>
      <c r="V265" s="878"/>
    </row>
    <row r="266" spans="1:22" ht="18" customHeight="1">
      <c r="A266" s="765"/>
      <c r="B266" s="765"/>
      <c r="C266" s="765"/>
      <c r="D266" s="870">
        <f>J10</f>
        <v>400</v>
      </c>
      <c r="E266" s="870"/>
      <c r="F266" s="872"/>
      <c r="G266" s="961"/>
      <c r="H266" s="959"/>
      <c r="I266" s="874"/>
      <c r="J266" s="874"/>
      <c r="K266" s="869">
        <f>J94</f>
        <v>2</v>
      </c>
      <c r="L266" s="869"/>
      <c r="M266" s="869">
        <f>J95</f>
        <v>400</v>
      </c>
      <c r="N266" s="869"/>
      <c r="O266" s="870">
        <f>J96</f>
        <v>30</v>
      </c>
      <c r="P266" s="870"/>
      <c r="Q266" s="879"/>
      <c r="R266" s="879"/>
      <c r="S266" s="878" t="str">
        <f>H154</f>
        <v>Under Dimensioned</v>
      </c>
      <c r="T266" s="878"/>
      <c r="U266" s="878"/>
      <c r="V266" s="878"/>
    </row>
    <row r="267" spans="1:22" ht="18" customHeight="1">
      <c r="A267" s="765"/>
      <c r="B267" s="765"/>
      <c r="C267" s="765"/>
      <c r="D267" s="870" t="str">
        <f>L10</f>
        <v>-</v>
      </c>
      <c r="E267" s="870"/>
      <c r="F267" s="873"/>
      <c r="G267" s="961"/>
      <c r="H267" s="959"/>
      <c r="I267" s="874"/>
      <c r="J267" s="874"/>
      <c r="K267" s="869" t="s">
        <v>6</v>
      </c>
      <c r="L267" s="869"/>
      <c r="M267" s="869" t="s">
        <v>6</v>
      </c>
      <c r="N267" s="869"/>
      <c r="O267" s="870" t="s">
        <v>6</v>
      </c>
      <c r="P267" s="870"/>
      <c r="Q267" s="879"/>
      <c r="R267" s="879"/>
      <c r="S267" s="878" t="s">
        <v>6</v>
      </c>
      <c r="T267" s="878"/>
      <c r="U267" s="878"/>
      <c r="V267" s="878"/>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hidden="1" customHeight="1">
      <c r="A296" s="184"/>
      <c r="V296" s="185"/>
    </row>
    <row r="297" spans="1:22" ht="18" customHeight="1">
      <c r="A297" s="184"/>
      <c r="V297" s="185"/>
    </row>
    <row r="298" spans="1:22" ht="18" customHeight="1">
      <c r="A298" s="184"/>
      <c r="V298" s="185"/>
    </row>
    <row r="299" spans="1:22" ht="18" hidden="1" customHeight="1">
      <c r="A299" s="184"/>
      <c r="V299" s="185"/>
    </row>
    <row r="300" spans="1:22" ht="18" customHeight="1">
      <c r="A300" s="184"/>
      <c r="V300" s="185"/>
    </row>
    <row r="301" spans="1:22" ht="18" customHeight="1">
      <c r="A301" s="290"/>
      <c r="B301" s="196"/>
      <c r="C301" s="196"/>
      <c r="D301" s="196"/>
      <c r="E301" s="196"/>
      <c r="F301" s="196"/>
      <c r="G301" s="196"/>
      <c r="H301" s="196"/>
      <c r="I301" s="196"/>
      <c r="J301" s="196"/>
      <c r="K301" s="196"/>
      <c r="L301" s="196"/>
      <c r="M301" s="196"/>
      <c r="N301" s="196"/>
      <c r="O301" s="196"/>
      <c r="P301" s="196"/>
      <c r="Q301" s="196"/>
      <c r="R301" s="196"/>
      <c r="S301" s="196"/>
      <c r="T301" s="196"/>
      <c r="U301" s="196"/>
      <c r="V301" s="291"/>
    </row>
    <row r="302" spans="1:22" ht="18" hidden="1" customHeight="1">
      <c r="A302" s="184"/>
      <c r="V302" s="185"/>
    </row>
    <row r="303" spans="1:22" s="14" customFormat="1" ht="18" hidden="1" customHeight="1">
      <c r="A303" s="194"/>
      <c r="B303" s="195"/>
      <c r="C303" s="195"/>
      <c r="D303" s="195"/>
      <c r="E303" s="195"/>
      <c r="F303" s="195"/>
      <c r="G303" s="195"/>
      <c r="H303" s="195"/>
      <c r="I303" s="195"/>
      <c r="J303" s="195"/>
      <c r="K303" s="195"/>
      <c r="L303" s="195"/>
      <c r="M303" s="195"/>
      <c r="N303" s="195"/>
      <c r="O303" s="195"/>
      <c r="P303" s="195"/>
      <c r="Q303" s="224"/>
      <c r="R303" s="182"/>
      <c r="S303" s="225"/>
      <c r="T303" s="195"/>
      <c r="U303" s="195"/>
      <c r="V303" s="134" t="s">
        <v>552</v>
      </c>
    </row>
    <row r="304" spans="1:22" ht="18" hidden="1" customHeight="1">
      <c r="A304" s="1178" t="str">
        <f>A1</f>
        <v>HITACHI</v>
      </c>
      <c r="B304" s="1179"/>
      <c r="C304" s="1179"/>
      <c r="D304" s="1179"/>
      <c r="E304" s="1179"/>
      <c r="F304" s="1179"/>
      <c r="G304" s="1180"/>
      <c r="H304" s="906" t="str">
        <f>H1</f>
        <v>CT / VT</v>
      </c>
      <c r="I304" s="929"/>
      <c r="J304" s="929"/>
      <c r="K304" s="929"/>
      <c r="L304" s="929"/>
      <c r="M304" s="929"/>
      <c r="N304" s="930"/>
      <c r="O304" s="885" t="str">
        <f>O1</f>
        <v>Contract No.</v>
      </c>
      <c r="P304" s="886"/>
      <c r="Q304" s="887"/>
      <c r="R304" s="1166" t="str">
        <f>R1</f>
        <v>N-19957.2-DF4W</v>
      </c>
      <c r="S304" s="1167"/>
      <c r="T304" s="1167"/>
      <c r="U304" s="1167"/>
      <c r="V304" s="1168"/>
    </row>
    <row r="305" spans="1:29" ht="18" hidden="1" customHeight="1">
      <c r="A305" s="1181"/>
      <c r="B305" s="1182"/>
      <c r="C305" s="1182"/>
      <c r="D305" s="1182"/>
      <c r="E305" s="1182"/>
      <c r="F305" s="1182"/>
      <c r="G305" s="1183"/>
      <c r="H305" s="909" t="str">
        <f>H2</f>
        <v>ADEQUACY CHECK</v>
      </c>
      <c r="I305" s="934"/>
      <c r="J305" s="934"/>
      <c r="K305" s="934"/>
      <c r="L305" s="934"/>
      <c r="M305" s="934"/>
      <c r="N305" s="935"/>
      <c r="O305" s="885" t="str">
        <f>O2</f>
        <v>Date</v>
      </c>
      <c r="P305" s="886"/>
      <c r="Q305" s="887"/>
      <c r="R305" s="1166">
        <f>R2</f>
        <v>46134</v>
      </c>
      <c r="S305" s="1167"/>
      <c r="T305" s="1167"/>
      <c r="U305" s="1167"/>
      <c r="V305" s="1168"/>
    </row>
    <row r="306" spans="1:29" ht="18" hidden="1" customHeight="1">
      <c r="A306" s="955">
        <f>A3</f>
        <v>0</v>
      </c>
      <c r="B306" s="956"/>
      <c r="C306" s="956"/>
      <c r="D306" s="956"/>
      <c r="E306" s="956"/>
      <c r="F306" s="956"/>
      <c r="G306" s="957"/>
      <c r="H306" s="1172" t="str">
        <f>H3</f>
        <v xml:space="preserve">132/33kV SUBSTATION DF4W    AT AL DHAFRA AREA </v>
      </c>
      <c r="I306" s="1173"/>
      <c r="J306" s="1173"/>
      <c r="K306" s="1173"/>
      <c r="L306" s="1173"/>
      <c r="M306" s="1173"/>
      <c r="N306" s="1174"/>
      <c r="O306" s="885" t="str">
        <f>O3</f>
        <v>Document No.</v>
      </c>
      <c r="P306" s="886"/>
      <c r="Q306" s="887"/>
      <c r="R306" s="1166" t="str">
        <f>R3</f>
        <v>-</v>
      </c>
      <c r="S306" s="1167"/>
      <c r="T306" s="1167"/>
      <c r="U306" s="1167"/>
      <c r="V306" s="1168"/>
    </row>
    <row r="307" spans="1:29" ht="18" hidden="1" customHeight="1">
      <c r="A307" s="1047"/>
      <c r="B307" s="1048"/>
      <c r="C307" s="1048"/>
      <c r="D307" s="1048"/>
      <c r="E307" s="1048"/>
      <c r="F307" s="1048"/>
      <c r="G307" s="1049"/>
      <c r="H307" s="1175"/>
      <c r="I307" s="1176"/>
      <c r="J307" s="1176"/>
      <c r="K307" s="1176"/>
      <c r="L307" s="1176"/>
      <c r="M307" s="1176"/>
      <c r="N307" s="1177"/>
      <c r="O307" s="885" t="str">
        <f>O4</f>
        <v>Revision No.</v>
      </c>
      <c r="P307" s="886"/>
      <c r="Q307" s="887"/>
      <c r="R307" s="1166" t="str">
        <f>R4</f>
        <v>A</v>
      </c>
      <c r="S307" s="1167"/>
      <c r="T307" s="1167"/>
      <c r="U307" s="1167"/>
      <c r="V307" s="1168"/>
    </row>
    <row r="308" spans="1:29" ht="18" hidden="1" customHeight="1">
      <c r="A308" s="880" t="str">
        <f>A5</f>
        <v>Prep. By</v>
      </c>
      <c r="B308" s="943"/>
      <c r="C308" s="292" t="str">
        <f>C5</f>
        <v>AP</v>
      </c>
      <c r="D308" s="880" t="str">
        <f>D5</f>
        <v>Checked By</v>
      </c>
      <c r="E308" s="881"/>
      <c r="F308" s="943"/>
      <c r="G308" s="292" t="str">
        <f>G5</f>
        <v>RB</v>
      </c>
      <c r="H308" s="1163" t="str">
        <f>H5</f>
        <v xml:space="preserve">132kV CAPACITOR BANK </v>
      </c>
      <c r="I308" s="1164"/>
      <c r="J308" s="1164"/>
      <c r="K308" s="1164"/>
      <c r="L308" s="1164"/>
      <c r="M308" s="1164"/>
      <c r="N308" s="1165"/>
      <c r="O308" s="947" t="str">
        <f>O5</f>
        <v>Contractor</v>
      </c>
      <c r="P308" s="948"/>
      <c r="Q308" s="949"/>
      <c r="R308" s="1166" t="str">
        <f>R5</f>
        <v>HITACHI</v>
      </c>
      <c r="S308" s="1167"/>
      <c r="T308" s="1167"/>
      <c r="U308" s="1167"/>
      <c r="V308" s="1168"/>
    </row>
    <row r="309" spans="1:29" ht="18" hidden="1" customHeight="1">
      <c r="A309" s="226"/>
      <c r="B309" s="227"/>
      <c r="C309" s="227"/>
      <c r="D309" s="227"/>
      <c r="E309" s="227"/>
      <c r="F309" s="227"/>
      <c r="G309" s="227"/>
      <c r="H309" s="227"/>
      <c r="I309" s="227"/>
      <c r="J309" s="227"/>
      <c r="K309" s="227"/>
      <c r="L309" s="227"/>
      <c r="M309" s="227"/>
      <c r="N309" s="227"/>
      <c r="O309" s="227"/>
      <c r="P309" s="227"/>
      <c r="Q309" s="227"/>
      <c r="R309" s="227"/>
      <c r="S309" s="227"/>
      <c r="T309" s="227"/>
      <c r="U309" s="227"/>
      <c r="V309" s="228"/>
    </row>
    <row r="310" spans="1:29" ht="18" hidden="1" customHeight="1">
      <c r="A310" s="184"/>
      <c r="B310" s="781" t="s">
        <v>663</v>
      </c>
      <c r="C310" s="782"/>
      <c r="D310" s="1099" t="s">
        <v>109</v>
      </c>
      <c r="E310" s="1169"/>
      <c r="F310" s="186" t="s">
        <v>636</v>
      </c>
      <c r="H310" s="684" t="str">
        <f>H171</f>
        <v>(Main-1 Multi Func. Capacitor Protection)</v>
      </c>
      <c r="I310" s="684"/>
      <c r="J310" s="684"/>
      <c r="K310" s="684"/>
      <c r="L310" s="684"/>
      <c r="M310" s="684"/>
      <c r="P310" s="186"/>
      <c r="S310" s="187" t="s">
        <v>387</v>
      </c>
      <c r="T310" s="1161" t="str">
        <f>T171</f>
        <v>SEL487E</v>
      </c>
      <c r="U310" s="1162"/>
      <c r="V310" s="185"/>
    </row>
    <row r="311" spans="1:29" ht="18" hidden="1" customHeight="1">
      <c r="A311" s="184"/>
      <c r="B311" s="743" t="s">
        <v>664</v>
      </c>
      <c r="C311" s="743"/>
      <c r="D311" s="1170"/>
      <c r="E311" s="1171"/>
      <c r="F311" s="255"/>
      <c r="T311" s="1161"/>
      <c r="U311" s="1162"/>
      <c r="V311" s="185"/>
    </row>
    <row r="312" spans="1:29" ht="18" hidden="1" customHeight="1">
      <c r="A312" s="184"/>
      <c r="H312" s="789" t="s">
        <v>390</v>
      </c>
      <c r="I312" s="789"/>
      <c r="J312" s="708" t="s">
        <v>391</v>
      </c>
      <c r="K312" s="708"/>
      <c r="L312" s="708" t="s">
        <v>392</v>
      </c>
      <c r="M312" s="708"/>
      <c r="T312" s="1161"/>
      <c r="U312" s="1162"/>
      <c r="V312" s="185"/>
    </row>
    <row r="313" spans="1:29" ht="18" hidden="1" customHeight="1">
      <c r="A313" s="184"/>
      <c r="B313" s="47" t="s">
        <v>393</v>
      </c>
      <c r="H313" s="791">
        <v>5000</v>
      </c>
      <c r="I313" s="792"/>
      <c r="J313" s="781">
        <v>4000</v>
      </c>
      <c r="K313" s="782"/>
      <c r="L313" s="781">
        <v>3000</v>
      </c>
      <c r="M313" s="782"/>
      <c r="N313" s="191" t="s">
        <v>342</v>
      </c>
      <c r="O313" s="125">
        <v>1</v>
      </c>
      <c r="P313" s="27" t="s">
        <v>8</v>
      </c>
      <c r="V313" s="185"/>
    </row>
    <row r="314" spans="1:29" ht="18" hidden="1" customHeight="1">
      <c r="A314" s="184"/>
      <c r="B314" s="47" t="s">
        <v>394</v>
      </c>
      <c r="H314" s="781" t="s">
        <v>395</v>
      </c>
      <c r="I314" s="788"/>
      <c r="V314" s="185"/>
    </row>
    <row r="315" spans="1:29" ht="18" hidden="1" customHeight="1">
      <c r="A315" s="184"/>
      <c r="B315" s="47" t="s">
        <v>396</v>
      </c>
      <c r="G315" s="120" t="s">
        <v>497</v>
      </c>
      <c r="H315" s="781">
        <v>20</v>
      </c>
      <c r="I315" s="782"/>
      <c r="J315" s="192" t="s">
        <v>333</v>
      </c>
      <c r="V315" s="185"/>
    </row>
    <row r="316" spans="1:29" ht="18" hidden="1" customHeight="1">
      <c r="A316" s="184"/>
      <c r="B316" s="47" t="s">
        <v>398</v>
      </c>
      <c r="G316" s="120" t="s">
        <v>498</v>
      </c>
      <c r="H316" s="781">
        <v>1000</v>
      </c>
      <c r="I316" s="782"/>
      <c r="J316" s="14" t="s">
        <v>305</v>
      </c>
      <c r="V316" s="185"/>
      <c r="W316" s="30" t="s">
        <v>400</v>
      </c>
      <c r="AB316" s="785">
        <f>D369</f>
        <v>59.280289000575742</v>
      </c>
      <c r="AC316" s="786"/>
    </row>
    <row r="317" spans="1:29" ht="18" hidden="1" customHeight="1">
      <c r="A317" s="184"/>
      <c r="B317" s="14" t="s">
        <v>401</v>
      </c>
      <c r="G317" s="120" t="s">
        <v>402</v>
      </c>
      <c r="H317" s="781">
        <v>20</v>
      </c>
      <c r="I317" s="782"/>
      <c r="J317" s="30" t="s">
        <v>403</v>
      </c>
      <c r="V317" s="185"/>
    </row>
    <row r="318" spans="1:29" ht="18" hidden="1" customHeight="1">
      <c r="A318" s="96"/>
      <c r="V318" s="185"/>
    </row>
    <row r="319" spans="1:29" ht="18" hidden="1" customHeight="1">
      <c r="A319" s="193" t="s">
        <v>404</v>
      </c>
      <c r="V319" s="185"/>
    </row>
    <row r="320" spans="1:29" ht="18" hidden="1" customHeight="1">
      <c r="A320" s="184"/>
      <c r="V320" s="185"/>
    </row>
    <row r="321" spans="1:22" ht="18" hidden="1" customHeight="1">
      <c r="A321" s="184"/>
      <c r="B321" s="194" t="s">
        <v>405</v>
      </c>
      <c r="C321" s="195"/>
      <c r="D321" s="195" t="str">
        <f>T310</f>
        <v>SEL487E</v>
      </c>
      <c r="E321" s="196"/>
      <c r="F321" s="196"/>
      <c r="G321" s="196"/>
      <c r="H321" s="182" t="s">
        <v>406</v>
      </c>
      <c r="I321" s="183" t="s">
        <v>127</v>
      </c>
      <c r="J321" s="1159">
        <f>J182</f>
        <v>0.1</v>
      </c>
      <c r="K321" s="1160"/>
      <c r="L321" s="3" t="s">
        <v>157</v>
      </c>
      <c r="V321" s="185"/>
    </row>
    <row r="322" spans="1:22" ht="18" hidden="1" customHeight="1">
      <c r="A322" s="184"/>
      <c r="B322" s="184" t="s">
        <v>405</v>
      </c>
      <c r="D322" s="30">
        <f>T311</f>
        <v>0</v>
      </c>
      <c r="H322" s="27"/>
      <c r="I322" s="177" t="s">
        <v>127</v>
      </c>
      <c r="J322" s="793"/>
      <c r="K322" s="1156"/>
      <c r="L322" s="198" t="s">
        <v>157</v>
      </c>
      <c r="V322" s="185"/>
    </row>
    <row r="323" spans="1:22" ht="18" hidden="1" customHeight="1">
      <c r="A323" s="184"/>
      <c r="B323" s="184" t="s">
        <v>405</v>
      </c>
      <c r="D323" s="30">
        <f>T312</f>
        <v>0</v>
      </c>
      <c r="E323" s="14"/>
      <c r="G323" s="199"/>
      <c r="H323" s="27"/>
      <c r="I323" s="177" t="s">
        <v>127</v>
      </c>
      <c r="J323" s="1157"/>
      <c r="K323" s="1158"/>
      <c r="L323" s="202" t="s">
        <v>157</v>
      </c>
      <c r="V323" s="185"/>
    </row>
    <row r="324" spans="1:22" ht="18" hidden="1" customHeight="1">
      <c r="A324" s="184"/>
      <c r="B324" s="184" t="s">
        <v>412</v>
      </c>
      <c r="H324" s="27" t="s">
        <v>599</v>
      </c>
      <c r="I324" s="177" t="s">
        <v>127</v>
      </c>
      <c r="J324" s="861">
        <f>J185</f>
        <v>1.0770224400000001</v>
      </c>
      <c r="K324" s="989"/>
      <c r="L324" s="203" t="s">
        <v>157</v>
      </c>
      <c r="V324" s="185"/>
    </row>
    <row r="325" spans="1:22" ht="18" hidden="1" customHeight="1">
      <c r="A325" s="184"/>
      <c r="B325" s="205" t="s">
        <v>413</v>
      </c>
      <c r="C325" s="206"/>
      <c r="D325" s="206"/>
      <c r="E325" s="206"/>
      <c r="F325" s="207"/>
      <c r="G325" s="207"/>
      <c r="H325" s="190" t="s">
        <v>409</v>
      </c>
      <c r="I325" s="208" t="s">
        <v>127</v>
      </c>
      <c r="J325" s="766">
        <f>J322+J324</f>
        <v>1.0770224400000001</v>
      </c>
      <c r="K325" s="958"/>
      <c r="L325" s="210" t="s">
        <v>157</v>
      </c>
      <c r="V325" s="185"/>
    </row>
    <row r="326" spans="1:22" ht="18" hidden="1" customHeight="1">
      <c r="A326" s="184"/>
      <c r="B326" s="47"/>
      <c r="C326" s="47"/>
      <c r="D326" s="47"/>
      <c r="E326" s="47"/>
      <c r="H326" s="27"/>
      <c r="I326" s="28"/>
      <c r="J326" s="199"/>
      <c r="L326" s="47"/>
      <c r="O326" s="27"/>
      <c r="P326" s="211"/>
      <c r="Q326" s="211"/>
      <c r="R326" s="192"/>
      <c r="V326" s="185"/>
    </row>
    <row r="327" spans="1:22" ht="18" hidden="1" customHeight="1">
      <c r="A327" s="184"/>
      <c r="B327" s="197" t="s">
        <v>648</v>
      </c>
      <c r="L327" s="47"/>
      <c r="M327" s="197" t="s">
        <v>407</v>
      </c>
      <c r="V327" s="185"/>
    </row>
    <row r="328" spans="1:22" s="14" customFormat="1" ht="18" hidden="1" customHeight="1">
      <c r="A328" s="184"/>
      <c r="B328" s="27" t="s">
        <v>649</v>
      </c>
      <c r="C328" s="27" t="s">
        <v>127</v>
      </c>
      <c r="D328" s="30" t="s">
        <v>406</v>
      </c>
      <c r="E328" s="271" t="s">
        <v>410</v>
      </c>
      <c r="F328" s="27" t="s">
        <v>146</v>
      </c>
      <c r="G328" s="28" t="s">
        <v>315</v>
      </c>
      <c r="H328" s="218" t="s">
        <v>146</v>
      </c>
      <c r="I328" s="30" t="s">
        <v>350</v>
      </c>
      <c r="J328" s="199"/>
      <c r="K328" s="30"/>
      <c r="L328" s="47"/>
      <c r="M328" s="30" t="s">
        <v>408</v>
      </c>
      <c r="N328" s="27" t="s">
        <v>127</v>
      </c>
      <c r="O328" s="30" t="s">
        <v>409</v>
      </c>
      <c r="P328" s="191" t="s">
        <v>410</v>
      </c>
      <c r="Q328" s="244" t="s">
        <v>411</v>
      </c>
      <c r="R328" s="27" t="s">
        <v>315</v>
      </c>
      <c r="S328" s="30" t="s">
        <v>411</v>
      </c>
      <c r="T328" s="30" t="s">
        <v>350</v>
      </c>
      <c r="U328" s="30"/>
      <c r="V328" s="185"/>
    </row>
    <row r="329" spans="1:22" s="14" customFormat="1" ht="18" hidden="1" customHeight="1">
      <c r="A329" s="184"/>
      <c r="B329" s="47"/>
      <c r="C329" s="27" t="s">
        <v>127</v>
      </c>
      <c r="D329" s="204">
        <f>J321</f>
        <v>0.1</v>
      </c>
      <c r="E329" s="191" t="s">
        <v>410</v>
      </c>
      <c r="F329" s="27">
        <f>F108</f>
        <v>1</v>
      </c>
      <c r="G329" s="27" t="s">
        <v>315</v>
      </c>
      <c r="H329" s="27">
        <f>H108</f>
        <v>1</v>
      </c>
      <c r="I329" s="30" t="s">
        <v>350</v>
      </c>
      <c r="J329" s="199"/>
      <c r="K329" s="30"/>
      <c r="L329" s="47"/>
      <c r="M329" s="30"/>
      <c r="N329" s="27" t="s">
        <v>127</v>
      </c>
      <c r="O329" s="204">
        <f>J325</f>
        <v>1.0770224400000001</v>
      </c>
      <c r="P329" s="191" t="s">
        <v>410</v>
      </c>
      <c r="Q329" s="27">
        <f>O313</f>
        <v>1</v>
      </c>
      <c r="R329" s="27" t="s">
        <v>315</v>
      </c>
      <c r="S329" s="27">
        <f>O313</f>
        <v>1</v>
      </c>
      <c r="T329" s="30" t="s">
        <v>350</v>
      </c>
      <c r="U329" s="30"/>
      <c r="V329" s="185"/>
    </row>
    <row r="330" spans="1:22" s="14" customFormat="1" ht="18" hidden="1" customHeight="1">
      <c r="A330" s="184"/>
      <c r="B330" s="47"/>
      <c r="C330" s="27" t="s">
        <v>127</v>
      </c>
      <c r="D330" s="795">
        <f>D329/(F329*H329)</f>
        <v>0.1</v>
      </c>
      <c r="E330" s="795"/>
      <c r="F330" s="192" t="s">
        <v>333</v>
      </c>
      <c r="G330" s="30"/>
      <c r="H330" s="30"/>
      <c r="I330" s="30"/>
      <c r="J330" s="199"/>
      <c r="K330" s="30"/>
      <c r="L330" s="47"/>
      <c r="M330" s="30"/>
      <c r="N330" s="27" t="s">
        <v>127</v>
      </c>
      <c r="O330" s="795">
        <f>O329/(Q329*S329)</f>
        <v>1.0770224400000001</v>
      </c>
      <c r="P330" s="795"/>
      <c r="Q330" s="192" t="s">
        <v>333</v>
      </c>
      <c r="R330" s="30"/>
      <c r="S330" s="30"/>
      <c r="T330" s="30"/>
      <c r="U330" s="30"/>
      <c r="V330" s="185"/>
    </row>
    <row r="331" spans="1:22" s="14" customFormat="1" ht="18" hidden="1" customHeight="1">
      <c r="A331" s="184"/>
      <c r="B331" s="47"/>
      <c r="C331" s="47"/>
      <c r="D331" s="47"/>
      <c r="E331" s="47"/>
      <c r="F331" s="30"/>
      <c r="G331" s="30"/>
      <c r="H331" s="27"/>
      <c r="I331" s="28"/>
      <c r="J331" s="199"/>
      <c r="K331" s="30"/>
      <c r="L331" s="47"/>
      <c r="M331" s="30"/>
      <c r="N331" s="30"/>
      <c r="O331" s="27"/>
      <c r="P331" s="211"/>
      <c r="Q331" s="211"/>
      <c r="R331" s="192"/>
      <c r="S331" s="30"/>
      <c r="T331" s="30"/>
      <c r="U331" s="30"/>
      <c r="V331" s="185"/>
    </row>
    <row r="332" spans="1:22" s="14" customFormat="1" ht="18" hidden="1" customHeight="1">
      <c r="A332" s="184"/>
      <c r="B332" s="47"/>
      <c r="C332" s="47"/>
      <c r="D332" s="47"/>
      <c r="E332" s="47"/>
      <c r="F332" s="30"/>
      <c r="G332" s="30"/>
      <c r="H332" s="27"/>
      <c r="I332" s="28"/>
      <c r="J332" s="199"/>
      <c r="K332" s="30"/>
      <c r="L332" s="47"/>
      <c r="M332" s="204"/>
      <c r="N332" s="27"/>
      <c r="O332" s="211"/>
      <c r="P332" s="211"/>
      <c r="Q332" s="211"/>
      <c r="R332" s="192"/>
      <c r="S332" s="30"/>
      <c r="T332" s="30"/>
      <c r="U332" s="30"/>
      <c r="V332" s="185"/>
    </row>
    <row r="333" spans="1:22" s="14" customFormat="1" ht="18" hidden="1" customHeight="1">
      <c r="A333" s="193" t="s">
        <v>600</v>
      </c>
      <c r="B333" s="5"/>
      <c r="C333" s="5"/>
      <c r="D333" s="5"/>
      <c r="E333" s="5"/>
      <c r="F333" s="5"/>
      <c r="G333" s="5"/>
      <c r="H333" s="212"/>
      <c r="I333" s="212"/>
      <c r="J333" s="5"/>
      <c r="K333" s="5"/>
      <c r="L333" s="5"/>
      <c r="M333" s="5"/>
      <c r="N333" s="5"/>
      <c r="O333" s="5"/>
      <c r="P333" s="103"/>
      <c r="Q333" s="212"/>
      <c r="R333" s="213"/>
      <c r="S333" s="214"/>
      <c r="T333" s="18"/>
      <c r="U333" s="18"/>
      <c r="V333" s="97"/>
    </row>
    <row r="334" spans="1:22" s="14" customFormat="1" ht="18" hidden="1" customHeight="1">
      <c r="A334" s="96"/>
      <c r="B334" s="47" t="s">
        <v>601</v>
      </c>
      <c r="C334" s="5"/>
      <c r="D334" s="5"/>
      <c r="E334" s="5"/>
      <c r="I334" s="215"/>
      <c r="M334" s="5"/>
      <c r="N334" s="103" t="s">
        <v>127</v>
      </c>
      <c r="O334" s="1154">
        <f>O113</f>
        <v>100</v>
      </c>
      <c r="P334" s="831"/>
      <c r="Q334" s="14" t="s">
        <v>602</v>
      </c>
      <c r="S334" s="214"/>
      <c r="T334" s="18"/>
      <c r="U334" s="18"/>
      <c r="V334" s="97"/>
    </row>
    <row r="335" spans="1:22" s="14" customFormat="1" ht="18" hidden="1" customHeight="1">
      <c r="A335" s="96"/>
      <c r="B335" s="47" t="s">
        <v>603</v>
      </c>
      <c r="C335" s="5"/>
      <c r="D335" s="5"/>
      <c r="E335" s="5"/>
      <c r="I335" s="215"/>
      <c r="M335" s="5"/>
      <c r="N335" s="103" t="s">
        <v>127</v>
      </c>
      <c r="O335" s="1154">
        <f>O114</f>
        <v>25</v>
      </c>
      <c r="P335" s="831"/>
      <c r="Q335" s="14" t="s">
        <v>604</v>
      </c>
      <c r="S335" s="214"/>
      <c r="T335" s="18"/>
      <c r="U335" s="18"/>
      <c r="V335" s="97"/>
    </row>
    <row r="336" spans="1:22" s="14" customFormat="1" ht="18" hidden="1" customHeight="1">
      <c r="A336" s="96"/>
      <c r="B336" s="47" t="s">
        <v>605</v>
      </c>
      <c r="C336" s="5"/>
      <c r="D336" s="5"/>
      <c r="E336" s="5"/>
      <c r="M336" s="120" t="s">
        <v>606</v>
      </c>
      <c r="N336" s="103" t="s">
        <v>607</v>
      </c>
      <c r="O336" s="1154">
        <f>'[2]Parameters &amp; Fault Cal.'!Q12</f>
        <v>132</v>
      </c>
      <c r="P336" s="831"/>
      <c r="Q336" s="14" t="s">
        <v>163</v>
      </c>
      <c r="S336" s="214"/>
      <c r="T336" s="18"/>
      <c r="U336" s="18"/>
      <c r="V336" s="97"/>
    </row>
    <row r="337" spans="1:22" s="14" customFormat="1" ht="18" hidden="1" customHeight="1">
      <c r="A337" s="216"/>
      <c r="B337" s="212"/>
      <c r="C337" s="212"/>
      <c r="D337" s="212"/>
      <c r="E337" s="212"/>
      <c r="T337" s="18"/>
      <c r="U337" s="18"/>
      <c r="V337" s="97"/>
    </row>
    <row r="338" spans="1:22" s="14" customFormat="1" ht="18" hidden="1" customHeight="1">
      <c r="A338" s="272" t="s">
        <v>608</v>
      </c>
      <c r="B338" s="213"/>
      <c r="C338" s="213"/>
      <c r="D338" s="213"/>
      <c r="E338" s="213"/>
      <c r="H338" s="120" t="s">
        <v>609</v>
      </c>
      <c r="I338" s="28" t="s">
        <v>127</v>
      </c>
      <c r="J338" s="689" t="s">
        <v>610</v>
      </c>
      <c r="K338" s="689"/>
      <c r="L338" s="28" t="s">
        <v>315</v>
      </c>
      <c r="M338" s="217">
        <v>1000</v>
      </c>
      <c r="N338" s="102" t="s">
        <v>342</v>
      </c>
      <c r="O338" s="28" t="s">
        <v>611</v>
      </c>
      <c r="P338" s="28" t="s">
        <v>315</v>
      </c>
      <c r="Q338" s="28" t="s">
        <v>606</v>
      </c>
      <c r="R338" s="47" t="s">
        <v>350</v>
      </c>
      <c r="T338" s="18"/>
      <c r="U338" s="18"/>
      <c r="V338" s="97"/>
    </row>
    <row r="339" spans="1:22" ht="18" hidden="1" customHeight="1">
      <c r="A339" s="216"/>
      <c r="B339" s="213"/>
      <c r="C339" s="213"/>
      <c r="D339" s="213"/>
      <c r="E339" s="213"/>
      <c r="F339" s="212"/>
      <c r="G339" s="212"/>
      <c r="H339" s="28"/>
      <c r="I339" s="28" t="s">
        <v>127</v>
      </c>
      <c r="J339" s="689">
        <f>O334</f>
        <v>100</v>
      </c>
      <c r="K339" s="689"/>
      <c r="L339" s="28" t="s">
        <v>315</v>
      </c>
      <c r="M339" s="217">
        <v>1000</v>
      </c>
      <c r="N339" s="102" t="s">
        <v>342</v>
      </c>
      <c r="O339" s="28" t="s">
        <v>611</v>
      </c>
      <c r="P339" s="28" t="s">
        <v>315</v>
      </c>
      <c r="Q339" s="28">
        <f>O336</f>
        <v>132</v>
      </c>
      <c r="R339" s="47" t="s">
        <v>350</v>
      </c>
      <c r="S339" s="14"/>
      <c r="T339" s="18"/>
      <c r="U339" s="18"/>
      <c r="V339" s="97"/>
    </row>
    <row r="340" spans="1:22" ht="18" hidden="1" customHeight="1">
      <c r="A340" s="216"/>
      <c r="B340" s="212"/>
      <c r="C340" s="212"/>
      <c r="D340" s="212"/>
      <c r="E340" s="212"/>
      <c r="F340" s="212"/>
      <c r="G340" s="212"/>
      <c r="H340" s="14"/>
      <c r="I340" s="28" t="s">
        <v>127</v>
      </c>
      <c r="J340" s="692">
        <f>(O334*1000)/(SQRT(3)*O336)</f>
        <v>437.38656756789834</v>
      </c>
      <c r="K340" s="692"/>
      <c r="L340" s="14" t="s">
        <v>8</v>
      </c>
      <c r="M340" s="120"/>
      <c r="N340" s="120"/>
      <c r="O340" s="120"/>
      <c r="P340" s="14"/>
      <c r="Q340" s="14"/>
      <c r="R340" s="14"/>
      <c r="S340" s="14"/>
      <c r="T340" s="18"/>
      <c r="U340" s="18"/>
      <c r="V340" s="97"/>
    </row>
    <row r="341" spans="1:22" ht="18" hidden="1" customHeight="1">
      <c r="A341" s="216"/>
      <c r="B341" s="212"/>
      <c r="C341" s="212"/>
      <c r="D341" s="212"/>
      <c r="E341" s="212"/>
      <c r="F341" s="14"/>
      <c r="G341" s="212"/>
      <c r="H341" s="28"/>
      <c r="I341" s="103"/>
      <c r="J341" s="28"/>
      <c r="K341" s="14"/>
      <c r="L341" s="14"/>
      <c r="M341" s="212"/>
      <c r="N341" s="219"/>
      <c r="O341" s="212"/>
      <c r="P341" s="14"/>
      <c r="Q341" s="14"/>
      <c r="R341" s="14"/>
      <c r="S341" s="14"/>
      <c r="T341" s="18"/>
      <c r="U341" s="18"/>
      <c r="V341" s="97"/>
    </row>
    <row r="342" spans="1:22" s="14" customFormat="1" ht="18" hidden="1" customHeight="1">
      <c r="A342" s="147" t="s">
        <v>629</v>
      </c>
      <c r="B342" s="5"/>
      <c r="C342" s="5"/>
      <c r="D342" s="5"/>
      <c r="E342" s="5"/>
      <c r="F342" s="212"/>
      <c r="G342" s="212"/>
      <c r="H342" s="5"/>
      <c r="I342" s="5"/>
      <c r="J342" s="5"/>
      <c r="K342" s="5"/>
      <c r="L342" s="103"/>
      <c r="M342" s="103"/>
      <c r="N342" s="103"/>
      <c r="O342" s="103"/>
      <c r="P342" s="212"/>
      <c r="Q342" s="213"/>
      <c r="S342" s="220"/>
      <c r="T342" s="18"/>
      <c r="U342" s="18"/>
      <c r="V342" s="97"/>
    </row>
    <row r="343" spans="1:22" s="14" customFormat="1" ht="18" hidden="1" customHeight="1">
      <c r="A343" s="147"/>
      <c r="B343" s="5"/>
      <c r="C343" s="5"/>
      <c r="D343" s="5"/>
      <c r="E343" s="5"/>
      <c r="F343" s="212"/>
      <c r="G343" s="212"/>
      <c r="H343" s="5"/>
      <c r="I343" s="5"/>
      <c r="J343" s="5"/>
      <c r="K343" s="5"/>
      <c r="L343" s="103"/>
      <c r="M343" s="103"/>
      <c r="N343" s="103"/>
      <c r="O343" s="103"/>
      <c r="P343" s="212"/>
      <c r="Q343" s="213"/>
      <c r="S343" s="214"/>
      <c r="T343" s="18"/>
      <c r="U343" s="18"/>
      <c r="V343" s="97"/>
    </row>
    <row r="344" spans="1:22" ht="18" hidden="1" customHeight="1">
      <c r="A344" s="96" t="s">
        <v>612</v>
      </c>
      <c r="B344" s="14"/>
      <c r="C344" s="14"/>
      <c r="D344" s="14"/>
      <c r="E344" s="14"/>
      <c r="M344" s="120" t="s">
        <v>613</v>
      </c>
      <c r="N344" s="28" t="s">
        <v>127</v>
      </c>
      <c r="O344" s="689" t="s">
        <v>609</v>
      </c>
      <c r="P344" s="716"/>
      <c r="Q344" s="221" t="s">
        <v>630</v>
      </c>
      <c r="R344" s="221">
        <v>16</v>
      </c>
      <c r="S344" s="186"/>
      <c r="V344" s="185"/>
    </row>
    <row r="345" spans="1:22" ht="18" hidden="1" customHeight="1">
      <c r="A345" s="96"/>
      <c r="B345" s="5"/>
      <c r="C345" s="5"/>
      <c r="D345" s="5"/>
      <c r="E345" s="5"/>
      <c r="M345" s="250"/>
      <c r="N345" s="28" t="s">
        <v>127</v>
      </c>
      <c r="O345" s="689">
        <f>+J340</f>
        <v>437.38656756789834</v>
      </c>
      <c r="P345" s="716"/>
      <c r="Q345" s="221" t="s">
        <v>630</v>
      </c>
      <c r="R345" s="221">
        <v>16</v>
      </c>
      <c r="S345" s="186"/>
      <c r="V345" s="185"/>
    </row>
    <row r="346" spans="1:22" s="279" customFormat="1" ht="18" hidden="1" customHeight="1">
      <c r="A346" s="96"/>
      <c r="B346" s="5"/>
      <c r="C346" s="5"/>
      <c r="D346" s="5"/>
      <c r="E346" s="5"/>
      <c r="F346" s="30"/>
      <c r="G346" s="30"/>
      <c r="H346" s="30"/>
      <c r="I346" s="30"/>
      <c r="J346" s="30"/>
      <c r="K346" s="30"/>
      <c r="L346" s="30"/>
      <c r="M346" s="120" t="s">
        <v>613</v>
      </c>
      <c r="N346" s="28" t="s">
        <v>127</v>
      </c>
      <c r="O346" s="689">
        <f>O345*R345</f>
        <v>6998.1850810863734</v>
      </c>
      <c r="P346" s="716"/>
      <c r="Q346" s="241" t="s">
        <v>8</v>
      </c>
      <c r="R346" s="14"/>
      <c r="S346" s="186"/>
      <c r="T346" s="30"/>
      <c r="U346" s="30"/>
      <c r="V346" s="185"/>
    </row>
    <row r="347" spans="1:22" s="279" customFormat="1" ht="18" hidden="1" customHeight="1">
      <c r="A347" s="194"/>
      <c r="B347" s="195"/>
      <c r="C347" s="195"/>
      <c r="D347" s="195"/>
      <c r="E347" s="195"/>
      <c r="F347" s="195"/>
      <c r="G347" s="195"/>
      <c r="H347" s="195"/>
      <c r="I347" s="195"/>
      <c r="J347" s="195"/>
      <c r="K347" s="195"/>
      <c r="L347" s="195"/>
      <c r="M347" s="195"/>
      <c r="N347" s="195"/>
      <c r="O347" s="195"/>
      <c r="P347" s="195"/>
      <c r="Q347" s="224"/>
      <c r="R347" s="182"/>
      <c r="S347" s="225"/>
      <c r="T347" s="195"/>
      <c r="U347" s="195"/>
      <c r="V347" s="134" t="s">
        <v>552</v>
      </c>
    </row>
    <row r="348" spans="1:22" ht="18" hidden="1" customHeight="1">
      <c r="A348" s="135"/>
      <c r="B348" s="273"/>
      <c r="C348" s="273"/>
      <c r="D348" s="273"/>
      <c r="E348" s="273"/>
      <c r="F348" s="273"/>
      <c r="G348" s="273"/>
      <c r="H348" s="273"/>
      <c r="I348" s="273"/>
      <c r="J348" s="273"/>
      <c r="K348" s="273"/>
      <c r="L348" s="273"/>
      <c r="M348" s="273"/>
      <c r="N348" s="273"/>
      <c r="O348" s="273"/>
      <c r="P348" s="273"/>
      <c r="Q348" s="274"/>
      <c r="R348" s="138"/>
      <c r="S348" s="275"/>
      <c r="T348" s="273"/>
      <c r="U348" s="273"/>
      <c r="V348" s="276"/>
    </row>
    <row r="349" spans="1:22" ht="18" hidden="1" customHeight="1">
      <c r="A349" s="96" t="s">
        <v>662</v>
      </c>
      <c r="V349" s="185"/>
    </row>
    <row r="350" spans="1:22" ht="18" hidden="1" customHeight="1">
      <c r="A350" s="184"/>
      <c r="V350" s="185"/>
    </row>
    <row r="351" spans="1:22" ht="18" hidden="1" customHeight="1">
      <c r="A351" s="277"/>
      <c r="B351" s="689" t="s">
        <v>473</v>
      </c>
      <c r="C351" s="1150" t="s">
        <v>652</v>
      </c>
      <c r="D351" s="689">
        <v>2</v>
      </c>
      <c r="E351" s="689" t="s">
        <v>378</v>
      </c>
      <c r="F351" s="689" t="s">
        <v>617</v>
      </c>
      <c r="G351" s="689"/>
      <c r="H351" s="689" t="s">
        <v>378</v>
      </c>
      <c r="I351" s="689" t="s">
        <v>419</v>
      </c>
      <c r="J351" s="689" t="s">
        <v>420</v>
      </c>
      <c r="K351" s="689" t="s">
        <v>347</v>
      </c>
      <c r="L351" s="689" t="s">
        <v>408</v>
      </c>
      <c r="M351" s="689" t="s">
        <v>347</v>
      </c>
      <c r="N351" s="689" t="s">
        <v>649</v>
      </c>
      <c r="O351" s="689" t="s">
        <v>350</v>
      </c>
      <c r="P351" s="14"/>
      <c r="Q351" s="14"/>
      <c r="R351" s="14"/>
      <c r="S351" s="14"/>
      <c r="T351" s="14"/>
      <c r="U351" s="729" t="s">
        <v>653</v>
      </c>
      <c r="V351" s="185"/>
    </row>
    <row r="352" spans="1:22" ht="18" hidden="1" customHeight="1">
      <c r="A352" s="277"/>
      <c r="B352" s="689"/>
      <c r="C352" s="689"/>
      <c r="D352" s="689"/>
      <c r="E352" s="689"/>
      <c r="F352" s="689"/>
      <c r="G352" s="689"/>
      <c r="H352" s="689"/>
      <c r="I352" s="689"/>
      <c r="J352" s="689"/>
      <c r="K352" s="689"/>
      <c r="L352" s="689"/>
      <c r="M352" s="689"/>
      <c r="N352" s="689"/>
      <c r="O352" s="689"/>
      <c r="P352" s="14"/>
      <c r="Q352" s="14"/>
      <c r="R352" s="14"/>
      <c r="S352" s="14"/>
      <c r="T352" s="14"/>
      <c r="U352" s="689"/>
      <c r="V352" s="185"/>
    </row>
    <row r="353" spans="1:22" ht="18" hidden="1" customHeight="1">
      <c r="A353" s="184"/>
      <c r="V353" s="185"/>
    </row>
    <row r="354" spans="1:22" ht="18" hidden="1" customHeight="1">
      <c r="A354" s="184"/>
      <c r="B354" s="47" t="s">
        <v>654</v>
      </c>
      <c r="C354" s="14"/>
      <c r="D354" s="14"/>
      <c r="E354" s="14"/>
      <c r="F354" s="18"/>
      <c r="G354" s="18"/>
      <c r="H354" s="14"/>
      <c r="I354" s="120"/>
      <c r="J354" s="14"/>
      <c r="K354" s="14"/>
      <c r="M354" s="14"/>
      <c r="N354" s="14"/>
      <c r="P354" s="14" t="s">
        <v>423</v>
      </c>
      <c r="R354" s="234" t="s">
        <v>127</v>
      </c>
      <c r="S354" s="684">
        <f>H313</f>
        <v>5000</v>
      </c>
      <c r="T354" s="684"/>
      <c r="U354" s="30" t="s">
        <v>8</v>
      </c>
      <c r="V354" s="185"/>
    </row>
    <row r="355" spans="1:22" ht="18" hidden="1" customHeight="1">
      <c r="A355" s="184"/>
      <c r="B355" s="47" t="s">
        <v>655</v>
      </c>
      <c r="C355" s="14"/>
      <c r="D355" s="14"/>
      <c r="E355" s="14"/>
      <c r="F355" s="18"/>
      <c r="G355" s="18"/>
      <c r="H355" s="14"/>
      <c r="I355" s="120"/>
      <c r="J355" s="14"/>
      <c r="K355" s="14"/>
      <c r="M355" s="14"/>
      <c r="N355" s="14"/>
      <c r="P355" s="14" t="s">
        <v>420</v>
      </c>
      <c r="R355" s="234" t="s">
        <v>127</v>
      </c>
      <c r="S355" s="684">
        <f>H315</f>
        <v>20</v>
      </c>
      <c r="T355" s="684"/>
      <c r="U355" s="192" t="s">
        <v>333</v>
      </c>
      <c r="V355" s="185"/>
    </row>
    <row r="356" spans="1:22" ht="18" hidden="1" customHeight="1">
      <c r="A356" s="184"/>
      <c r="B356" s="47" t="s">
        <v>656</v>
      </c>
      <c r="C356" s="14"/>
      <c r="D356" s="14"/>
      <c r="E356" s="14"/>
      <c r="F356" s="18"/>
      <c r="G356" s="18"/>
      <c r="H356" s="14"/>
      <c r="I356" s="120"/>
      <c r="J356" s="14"/>
      <c r="K356" s="14"/>
      <c r="M356" s="14"/>
      <c r="N356" s="14"/>
      <c r="P356" s="14" t="s">
        <v>408</v>
      </c>
      <c r="R356" s="234" t="s">
        <v>127</v>
      </c>
      <c r="S356" s="795">
        <f>O330</f>
        <v>1.0770224400000001</v>
      </c>
      <c r="T356" s="795"/>
      <c r="U356" s="192" t="s">
        <v>333</v>
      </c>
      <c r="V356" s="185"/>
    </row>
    <row r="357" spans="1:22" ht="18" hidden="1" customHeight="1">
      <c r="A357" s="184"/>
      <c r="B357" s="47" t="s">
        <v>657</v>
      </c>
      <c r="C357" s="14"/>
      <c r="D357" s="14"/>
      <c r="E357" s="14"/>
      <c r="F357" s="14"/>
      <c r="G357" s="14"/>
      <c r="H357" s="14"/>
      <c r="I357" s="120"/>
      <c r="J357" s="14"/>
      <c r="K357" s="14"/>
      <c r="M357" s="14"/>
      <c r="N357" s="14"/>
      <c r="P357" s="14" t="s">
        <v>649</v>
      </c>
      <c r="R357" s="234" t="s">
        <v>127</v>
      </c>
      <c r="S357" s="795">
        <f>D330</f>
        <v>0.1</v>
      </c>
      <c r="T357" s="684"/>
      <c r="U357" s="192" t="s">
        <v>333</v>
      </c>
      <c r="V357" s="185"/>
    </row>
    <row r="358" spans="1:22" ht="18" hidden="1" customHeight="1">
      <c r="A358" s="184"/>
      <c r="B358" s="14" t="s">
        <v>658</v>
      </c>
      <c r="C358" s="14"/>
      <c r="D358" s="14"/>
      <c r="E358" s="14"/>
      <c r="F358" s="14"/>
      <c r="G358" s="14"/>
      <c r="H358" s="14"/>
      <c r="I358" s="120"/>
      <c r="J358" s="14"/>
      <c r="K358" s="14"/>
      <c r="M358" s="14"/>
      <c r="N358" s="14"/>
      <c r="P358" s="47" t="s">
        <v>617</v>
      </c>
      <c r="R358" s="234" t="s">
        <v>127</v>
      </c>
      <c r="S358" s="795">
        <f>O346/S354</f>
        <v>1.3996370162172747</v>
      </c>
      <c r="T358" s="795"/>
      <c r="U358" s="30" t="s">
        <v>8</v>
      </c>
      <c r="V358" s="185"/>
    </row>
    <row r="359" spans="1:22" s="279" customFormat="1" ht="18" hidden="1" customHeight="1">
      <c r="A359" s="184"/>
      <c r="B359" s="47" t="s">
        <v>659</v>
      </c>
      <c r="C359" s="14"/>
      <c r="D359" s="14"/>
      <c r="E359" s="14"/>
      <c r="F359" s="14"/>
      <c r="G359" s="14"/>
      <c r="H359" s="14"/>
      <c r="I359" s="120"/>
      <c r="J359" s="14"/>
      <c r="K359" s="14"/>
      <c r="L359" s="30"/>
      <c r="M359" s="14"/>
      <c r="N359" s="14"/>
      <c r="O359" s="30"/>
      <c r="P359" s="120" t="s">
        <v>660</v>
      </c>
      <c r="Q359" s="30"/>
      <c r="R359" s="234" t="s">
        <v>127</v>
      </c>
      <c r="S359" s="684">
        <f>S58</f>
        <v>1</v>
      </c>
      <c r="T359" s="684"/>
      <c r="U359" s="30" t="s">
        <v>8</v>
      </c>
      <c r="V359" s="185"/>
    </row>
    <row r="360" spans="1:22" s="279" customFormat="1" ht="18" hidden="1" customHeight="1">
      <c r="A360" s="184"/>
      <c r="B360" s="30"/>
      <c r="C360" s="30"/>
      <c r="D360" s="30"/>
      <c r="E360" s="30"/>
      <c r="F360" s="30"/>
      <c r="G360" s="30"/>
      <c r="H360" s="30"/>
      <c r="I360" s="30"/>
      <c r="J360" s="30"/>
      <c r="K360" s="30"/>
      <c r="L360" s="30"/>
      <c r="M360" s="30"/>
      <c r="N360" s="30"/>
      <c r="O360" s="30"/>
      <c r="P360" s="30"/>
      <c r="Q360" s="30"/>
      <c r="R360" s="30"/>
      <c r="S360" s="30"/>
      <c r="T360" s="30"/>
      <c r="U360" s="30"/>
      <c r="V360" s="185"/>
    </row>
    <row r="361" spans="1:22" ht="18" hidden="1" customHeight="1">
      <c r="A361" s="96"/>
      <c r="B361" s="14" t="s">
        <v>661</v>
      </c>
      <c r="C361" s="14"/>
      <c r="D361" s="235"/>
      <c r="E361" s="14"/>
      <c r="F361" s="28"/>
      <c r="G361" s="249"/>
      <c r="H361" s="28"/>
      <c r="I361" s="251"/>
      <c r="J361" s="14"/>
      <c r="K361" s="280"/>
      <c r="M361" s="47"/>
      <c r="N361" s="268"/>
      <c r="P361" s="281"/>
      <c r="R361" s="234"/>
      <c r="S361" s="204"/>
      <c r="V361" s="185"/>
    </row>
    <row r="362" spans="1:22" ht="18" hidden="1" customHeight="1">
      <c r="A362" s="272"/>
      <c r="C362" s="14"/>
      <c r="D362" s="14"/>
      <c r="E362" s="14"/>
      <c r="F362" s="14"/>
      <c r="G362" s="14"/>
      <c r="H362" s="28"/>
      <c r="I362" s="47"/>
      <c r="J362" s="14"/>
      <c r="K362" s="14"/>
      <c r="M362" s="14"/>
      <c r="N362" s="14"/>
      <c r="P362" s="120"/>
      <c r="R362" s="234"/>
      <c r="S362" s="282"/>
      <c r="V362" s="185"/>
    </row>
    <row r="363" spans="1:22" ht="18" hidden="1" customHeight="1">
      <c r="A363" s="272"/>
      <c r="B363" s="689" t="s">
        <v>473</v>
      </c>
      <c r="C363" s="1150" t="s">
        <v>652</v>
      </c>
      <c r="D363" s="689">
        <v>2</v>
      </c>
      <c r="E363" s="689" t="s">
        <v>378</v>
      </c>
      <c r="F363" s="689" t="s">
        <v>617</v>
      </c>
      <c r="G363" s="689"/>
      <c r="H363" s="689" t="s">
        <v>378</v>
      </c>
      <c r="I363" s="689" t="s">
        <v>419</v>
      </c>
      <c r="J363" s="689" t="s">
        <v>420</v>
      </c>
      <c r="K363" s="689" t="s">
        <v>347</v>
      </c>
      <c r="L363" s="689" t="s">
        <v>408</v>
      </c>
      <c r="M363" s="689" t="s">
        <v>347</v>
      </c>
      <c r="N363" s="689" t="s">
        <v>649</v>
      </c>
      <c r="O363" s="689" t="s">
        <v>350</v>
      </c>
      <c r="P363" s="14"/>
      <c r="Q363" s="14"/>
      <c r="R363" s="14"/>
      <c r="S363" s="14"/>
      <c r="T363" s="14"/>
      <c r="U363" s="729" t="s">
        <v>653</v>
      </c>
      <c r="V363" s="185"/>
    </row>
    <row r="364" spans="1:22" ht="18" hidden="1" customHeight="1">
      <c r="A364" s="277"/>
      <c r="B364" s="689"/>
      <c r="C364" s="689"/>
      <c r="D364" s="689"/>
      <c r="E364" s="689"/>
      <c r="F364" s="689"/>
      <c r="G364" s="689"/>
      <c r="H364" s="689"/>
      <c r="I364" s="689"/>
      <c r="J364" s="689"/>
      <c r="K364" s="689"/>
      <c r="L364" s="689"/>
      <c r="M364" s="689"/>
      <c r="N364" s="689"/>
      <c r="O364" s="689"/>
      <c r="P364" s="14"/>
      <c r="Q364" s="14"/>
      <c r="R364" s="14"/>
      <c r="S364" s="14"/>
      <c r="T364" s="14"/>
      <c r="U364" s="689"/>
      <c r="V364" s="185"/>
    </row>
    <row r="365" spans="1:22" ht="18" hidden="1" customHeight="1">
      <c r="A365" s="277"/>
      <c r="B365" s="28"/>
      <c r="C365" s="28"/>
      <c r="D365" s="154"/>
      <c r="E365" s="154"/>
      <c r="F365" s="154"/>
      <c r="G365" s="154"/>
      <c r="H365" s="154"/>
      <c r="I365" s="28"/>
      <c r="J365" s="28"/>
      <c r="K365" s="28"/>
      <c r="L365" s="28"/>
      <c r="M365" s="28"/>
      <c r="N365" s="28"/>
      <c r="O365" s="28"/>
      <c r="P365" s="14"/>
      <c r="Q365" s="14"/>
      <c r="R365" s="14"/>
      <c r="S365" s="14"/>
      <c r="T365" s="14"/>
      <c r="U365" s="28"/>
      <c r="V365" s="185"/>
    </row>
    <row r="366" spans="1:22" ht="18" hidden="1" customHeight="1">
      <c r="A366" s="277"/>
      <c r="B366" s="28"/>
      <c r="C366" s="1150" t="s">
        <v>652</v>
      </c>
      <c r="D366" s="805">
        <v>2</v>
      </c>
      <c r="E366" s="805" t="s">
        <v>378</v>
      </c>
      <c r="F366" s="1184">
        <f>S358</f>
        <v>1.3996370162172747</v>
      </c>
      <c r="G366" s="1184"/>
      <c r="H366" s="805" t="s">
        <v>378</v>
      </c>
      <c r="I366" s="805" t="s">
        <v>419</v>
      </c>
      <c r="J366" s="805">
        <f>S355</f>
        <v>20</v>
      </c>
      <c r="K366" s="805" t="s">
        <v>347</v>
      </c>
      <c r="L366" s="1184">
        <f>S356</f>
        <v>1.0770224400000001</v>
      </c>
      <c r="M366" s="805" t="s">
        <v>347</v>
      </c>
      <c r="N366" s="1184">
        <f>S357</f>
        <v>0.1</v>
      </c>
      <c r="O366" s="805" t="s">
        <v>350</v>
      </c>
      <c r="P366" s="14"/>
      <c r="Q366" s="14"/>
      <c r="R366" s="14"/>
      <c r="S366" s="14"/>
      <c r="T366" s="14"/>
      <c r="U366" s="28"/>
      <c r="V366" s="185"/>
    </row>
    <row r="367" spans="1:22" ht="18" hidden="1" customHeight="1">
      <c r="A367" s="277"/>
      <c r="B367" s="28"/>
      <c r="C367" s="689"/>
      <c r="D367" s="805"/>
      <c r="E367" s="805"/>
      <c r="F367" s="1184"/>
      <c r="G367" s="1184"/>
      <c r="H367" s="805"/>
      <c r="I367" s="805"/>
      <c r="J367" s="805"/>
      <c r="K367" s="805"/>
      <c r="L367" s="805"/>
      <c r="M367" s="805"/>
      <c r="N367" s="805"/>
      <c r="O367" s="805"/>
      <c r="P367" s="14"/>
      <c r="Q367" s="14"/>
      <c r="R367" s="14"/>
      <c r="S367" s="14"/>
      <c r="T367" s="14"/>
      <c r="U367" s="28"/>
      <c r="V367" s="185"/>
    </row>
    <row r="368" spans="1:22" ht="18" hidden="1" customHeight="1">
      <c r="A368" s="277"/>
      <c r="B368" s="14"/>
      <c r="C368" s="14"/>
      <c r="D368" s="279"/>
      <c r="E368" s="279"/>
      <c r="F368" s="279"/>
      <c r="G368" s="14"/>
      <c r="I368" s="14"/>
      <c r="K368" s="28"/>
      <c r="L368" s="14"/>
      <c r="N368" s="14"/>
      <c r="O368" s="14"/>
      <c r="P368" s="14"/>
      <c r="Q368" s="14"/>
      <c r="R368" s="14"/>
      <c r="S368" s="14"/>
      <c r="T368" s="14"/>
      <c r="U368" s="14"/>
      <c r="V368" s="185"/>
    </row>
    <row r="369" spans="1:22" ht="18" hidden="1" customHeight="1">
      <c r="A369" s="96"/>
      <c r="B369" s="14"/>
      <c r="C369" s="27" t="s">
        <v>127</v>
      </c>
      <c r="D369" s="812">
        <f>D366*F366*(J366+L366+N366)</f>
        <v>59.280289000575742</v>
      </c>
      <c r="E369" s="813"/>
      <c r="F369" s="30" t="s">
        <v>305</v>
      </c>
      <c r="G369" s="14"/>
      <c r="H369" s="14"/>
      <c r="I369" s="14"/>
      <c r="J369" s="14"/>
      <c r="K369" s="14"/>
      <c r="L369" s="14"/>
      <c r="M369" s="14"/>
      <c r="N369" s="14"/>
      <c r="R369" s="234"/>
      <c r="S369" s="204"/>
      <c r="V369" s="185"/>
    </row>
    <row r="370" spans="1:22" ht="18" hidden="1" customHeight="1">
      <c r="A370" s="96"/>
      <c r="B370" s="14"/>
      <c r="G370" s="14"/>
      <c r="H370" s="14"/>
      <c r="I370" s="14"/>
      <c r="J370" s="14"/>
      <c r="K370" s="14"/>
      <c r="L370" s="14"/>
      <c r="M370" s="14"/>
      <c r="N370" s="14"/>
      <c r="R370" s="234"/>
      <c r="S370" s="204"/>
      <c r="V370" s="185"/>
    </row>
    <row r="371" spans="1:22" ht="18" hidden="1" customHeight="1">
      <c r="A371" s="96"/>
      <c r="B371" s="14"/>
      <c r="D371" s="30" t="s">
        <v>475</v>
      </c>
      <c r="G371" s="27" t="str">
        <f>IF(E372&gt;H372,"&gt;","&lt;")</f>
        <v>&gt;</v>
      </c>
      <c r="H371" s="30" t="s">
        <v>477</v>
      </c>
      <c r="M371" s="14"/>
      <c r="N371" s="14"/>
      <c r="R371" s="234"/>
      <c r="S371" s="204"/>
      <c r="V371" s="185"/>
    </row>
    <row r="372" spans="1:22" ht="18" hidden="1" customHeight="1">
      <c r="A372" s="96"/>
      <c r="B372" s="14"/>
      <c r="E372" s="684">
        <f>H316</f>
        <v>1000</v>
      </c>
      <c r="F372" s="684"/>
      <c r="G372" s="27" t="str">
        <f>G371</f>
        <v>&gt;</v>
      </c>
      <c r="H372" s="795">
        <f>D369</f>
        <v>59.280289000575742</v>
      </c>
      <c r="I372" s="684"/>
      <c r="M372" s="14"/>
      <c r="N372" s="14"/>
      <c r="R372" s="234"/>
      <c r="S372" s="204"/>
      <c r="V372" s="185"/>
    </row>
    <row r="373" spans="1:22" ht="18" hidden="1" customHeight="1">
      <c r="A373" s="96"/>
      <c r="B373" s="14"/>
      <c r="F373" s="244" t="s">
        <v>478</v>
      </c>
      <c r="H373" s="18" t="str">
        <f>IF(G371="&gt;","Suitably Dimentioned","Under Dimentioned")</f>
        <v>Suitably Dimentioned</v>
      </c>
      <c r="M373" s="14"/>
      <c r="N373" s="14"/>
      <c r="R373" s="234"/>
      <c r="S373" s="204"/>
      <c r="V373" s="185"/>
    </row>
    <row r="374" spans="1:22" ht="18" hidden="1" customHeight="1">
      <c r="A374" s="96"/>
      <c r="B374" s="14"/>
      <c r="G374" s="14"/>
      <c r="H374" s="14"/>
      <c r="I374" s="14"/>
      <c r="J374" s="14"/>
      <c r="K374" s="14"/>
      <c r="L374" s="14"/>
      <c r="M374" s="14"/>
      <c r="N374" s="14"/>
      <c r="R374" s="234"/>
      <c r="S374" s="204"/>
      <c r="V374" s="185"/>
    </row>
    <row r="375" spans="1:22" ht="18" hidden="1" customHeight="1">
      <c r="A375" s="193"/>
      <c r="B375" s="14"/>
      <c r="G375" s="14"/>
      <c r="H375" s="14"/>
      <c r="I375" s="14"/>
      <c r="J375" s="14"/>
      <c r="K375" s="14"/>
      <c r="L375" s="14"/>
      <c r="M375" s="14"/>
      <c r="N375" s="14"/>
      <c r="R375" s="234"/>
      <c r="S375" s="204"/>
      <c r="V375" s="185"/>
    </row>
    <row r="376" spans="1:22" ht="18" hidden="1" customHeight="1">
      <c r="A376" s="96"/>
      <c r="B376" s="14"/>
      <c r="D376" s="14"/>
      <c r="E376" s="14"/>
      <c r="F376" s="279"/>
      <c r="G376" s="14"/>
      <c r="H376" s="14"/>
      <c r="I376" s="279"/>
      <c r="J376" s="14"/>
      <c r="K376" s="14"/>
      <c r="L376" s="14"/>
      <c r="M376" s="14"/>
      <c r="N376" s="14"/>
      <c r="R376" s="234"/>
      <c r="S376" s="204"/>
      <c r="V376" s="185"/>
    </row>
    <row r="377" spans="1:22" ht="18" hidden="1" customHeight="1">
      <c r="A377" s="96"/>
      <c r="B377" s="14"/>
      <c r="D377" s="14"/>
      <c r="E377" s="14"/>
      <c r="F377" s="279"/>
      <c r="G377" s="14"/>
      <c r="H377" s="14"/>
      <c r="I377" s="279"/>
      <c r="J377" s="14"/>
      <c r="K377" s="14"/>
      <c r="L377" s="14"/>
      <c r="M377" s="14"/>
      <c r="N377" s="14"/>
      <c r="R377" s="234"/>
      <c r="S377" s="204"/>
      <c r="V377" s="185"/>
    </row>
    <row r="378" spans="1:22" ht="18" hidden="1" customHeight="1">
      <c r="A378" s="96"/>
      <c r="B378" s="14"/>
      <c r="D378" s="14"/>
      <c r="E378" s="14"/>
      <c r="F378" s="279"/>
      <c r="G378" s="14"/>
      <c r="H378" s="14"/>
      <c r="I378" s="279"/>
      <c r="J378" s="14"/>
      <c r="K378" s="14"/>
      <c r="L378" s="14"/>
      <c r="M378" s="14"/>
      <c r="N378" s="14"/>
      <c r="R378" s="234"/>
      <c r="S378" s="204"/>
      <c r="V378" s="185"/>
    </row>
    <row r="379" spans="1:22" ht="18" hidden="1" customHeight="1">
      <c r="A379" s="96"/>
      <c r="B379" s="14"/>
      <c r="G379" s="14"/>
      <c r="H379" s="14"/>
      <c r="I379" s="14"/>
      <c r="J379" s="14"/>
      <c r="K379" s="14"/>
      <c r="L379" s="14"/>
      <c r="M379" s="14"/>
      <c r="N379" s="14"/>
      <c r="R379" s="234"/>
      <c r="S379" s="204"/>
      <c r="V379" s="185"/>
    </row>
    <row r="380" spans="1:22" ht="18" hidden="1" customHeight="1">
      <c r="A380" s="96"/>
      <c r="B380" s="14"/>
      <c r="F380" s="14"/>
      <c r="G380" s="14"/>
      <c r="H380" s="14"/>
      <c r="I380" s="14"/>
      <c r="J380" s="14"/>
      <c r="K380" s="14"/>
      <c r="L380" s="14"/>
      <c r="M380" s="14"/>
      <c r="N380" s="14"/>
      <c r="O380" s="154"/>
      <c r="P380" s="14"/>
      <c r="R380" s="234"/>
      <c r="S380" s="204"/>
      <c r="V380" s="185"/>
    </row>
    <row r="381" spans="1:22" s="14" customFormat="1" ht="18" hidden="1" customHeight="1">
      <c r="A381" s="96"/>
      <c r="C381" s="30"/>
      <c r="D381" s="30"/>
      <c r="E381" s="30"/>
      <c r="G381" s="257"/>
      <c r="O381" s="30"/>
      <c r="P381" s="30"/>
      <c r="Q381" s="30"/>
      <c r="R381" s="234"/>
      <c r="S381" s="204"/>
      <c r="T381" s="30"/>
      <c r="U381" s="30"/>
      <c r="V381" s="185"/>
    </row>
    <row r="382" spans="1:22" ht="18" hidden="1" customHeight="1">
      <c r="A382" s="96"/>
      <c r="B382" s="14"/>
      <c r="G382" s="14"/>
      <c r="H382" s="14"/>
      <c r="I382" s="14"/>
      <c r="J382" s="14"/>
      <c r="K382" s="14"/>
      <c r="L382" s="14"/>
      <c r="M382" s="14"/>
      <c r="N382" s="14"/>
      <c r="R382" s="234"/>
      <c r="S382" s="204"/>
      <c r="V382" s="185"/>
    </row>
    <row r="383" spans="1:22" ht="18" hidden="1" customHeight="1">
      <c r="A383" s="96"/>
      <c r="B383" s="14"/>
      <c r="F383" s="27"/>
      <c r="G383" s="14"/>
      <c r="H383" s="14"/>
      <c r="I383" s="14"/>
      <c r="J383" s="14"/>
      <c r="K383" s="14"/>
      <c r="L383" s="14"/>
      <c r="M383" s="14"/>
      <c r="N383" s="14"/>
      <c r="R383" s="234"/>
      <c r="S383" s="204"/>
      <c r="V383" s="185"/>
    </row>
    <row r="384" spans="1:22" ht="18" hidden="1" customHeight="1">
      <c r="A384" s="96"/>
      <c r="B384" s="14"/>
      <c r="G384" s="14"/>
      <c r="H384" s="14"/>
      <c r="I384" s="14"/>
      <c r="J384" s="14"/>
      <c r="K384" s="14"/>
      <c r="L384" s="14"/>
      <c r="M384" s="14"/>
      <c r="N384" s="14"/>
      <c r="R384" s="234"/>
      <c r="S384" s="204"/>
      <c r="V384" s="185"/>
    </row>
    <row r="385" spans="1:29" ht="18" hidden="1" customHeight="1">
      <c r="A385" s="96"/>
      <c r="B385" s="14"/>
      <c r="D385" s="283"/>
      <c r="E385" s="284"/>
      <c r="F385" s="14"/>
      <c r="G385" s="14"/>
      <c r="H385" s="14"/>
      <c r="I385" s="284"/>
      <c r="J385" s="28"/>
      <c r="L385" s="279"/>
      <c r="M385" s="120"/>
      <c r="N385" s="47"/>
      <c r="O385" s="279"/>
      <c r="P385" s="236"/>
      <c r="Q385" s="236"/>
      <c r="R385" s="234"/>
      <c r="S385" s="204"/>
      <c r="V385" s="185"/>
    </row>
    <row r="386" spans="1:29" ht="18" hidden="1" customHeight="1">
      <c r="A386" s="96"/>
      <c r="B386" s="14"/>
      <c r="D386" s="218"/>
      <c r="E386" s="284"/>
      <c r="F386" s="285"/>
      <c r="G386" s="286"/>
      <c r="H386" s="285"/>
      <c r="I386" s="284"/>
      <c r="J386" s="28"/>
      <c r="L386" s="279"/>
      <c r="M386" s="120"/>
      <c r="N386" s="213"/>
      <c r="O386" s="279"/>
      <c r="P386" s="236"/>
      <c r="Q386" s="236"/>
      <c r="R386" s="234"/>
      <c r="S386" s="204"/>
      <c r="V386" s="185"/>
    </row>
    <row r="387" spans="1:29" ht="18" hidden="1" customHeight="1">
      <c r="A387" s="96"/>
      <c r="B387" s="14"/>
      <c r="G387" s="14"/>
      <c r="H387" s="14"/>
      <c r="I387" s="14"/>
      <c r="J387" s="14"/>
      <c r="K387" s="14"/>
      <c r="L387" s="14"/>
      <c r="M387" s="14"/>
      <c r="N387" s="14"/>
      <c r="R387" s="234"/>
      <c r="S387" s="204"/>
      <c r="V387" s="185"/>
    </row>
    <row r="388" spans="1:29" ht="18" hidden="1" customHeight="1">
      <c r="A388" s="96"/>
      <c r="B388" s="14"/>
      <c r="G388" s="14"/>
      <c r="H388" s="18"/>
      <c r="I388" s="14"/>
      <c r="J388" s="14"/>
      <c r="K388" s="14"/>
      <c r="L388" s="14"/>
      <c r="M388" s="14"/>
      <c r="N388" s="14"/>
      <c r="R388" s="234"/>
      <c r="S388" s="204"/>
      <c r="V388" s="185"/>
    </row>
    <row r="389" spans="1:29" ht="18" hidden="1" customHeight="1">
      <c r="A389" s="96"/>
      <c r="B389" s="14"/>
      <c r="G389" s="14"/>
      <c r="H389" s="18"/>
      <c r="I389" s="14"/>
      <c r="J389" s="14"/>
      <c r="K389" s="14"/>
      <c r="L389" s="14"/>
      <c r="M389" s="14"/>
      <c r="N389" s="14"/>
      <c r="R389" s="234"/>
      <c r="S389" s="204"/>
      <c r="V389" s="185"/>
    </row>
    <row r="390" spans="1:29" ht="18" hidden="1" customHeight="1">
      <c r="A390" s="96"/>
      <c r="B390" s="14"/>
      <c r="G390" s="14"/>
      <c r="H390" s="14"/>
      <c r="I390" s="14"/>
      <c r="J390" s="14"/>
      <c r="K390" s="14"/>
      <c r="L390" s="14"/>
      <c r="M390" s="14"/>
      <c r="N390" s="14"/>
      <c r="R390" s="234"/>
      <c r="S390" s="204"/>
      <c r="V390" s="185"/>
    </row>
    <row r="391" spans="1:29" ht="18" hidden="1" customHeight="1">
      <c r="A391" s="194"/>
      <c r="B391" s="195"/>
      <c r="C391" s="195"/>
      <c r="D391" s="195"/>
      <c r="E391" s="195"/>
      <c r="F391" s="195"/>
      <c r="G391" s="195"/>
      <c r="H391" s="195"/>
      <c r="I391" s="195"/>
      <c r="J391" s="195"/>
      <c r="K391" s="195"/>
      <c r="L391" s="195"/>
      <c r="M391" s="195"/>
      <c r="N391" s="195"/>
      <c r="O391" s="195"/>
      <c r="P391" s="195"/>
      <c r="Q391" s="224"/>
      <c r="R391" s="182"/>
      <c r="S391" s="225"/>
      <c r="T391" s="195"/>
      <c r="U391" s="195"/>
      <c r="V391" s="134" t="s">
        <v>552</v>
      </c>
    </row>
    <row r="392" spans="1:29" ht="18" hidden="1" customHeight="1">
      <c r="A392" s="226"/>
      <c r="B392" s="227"/>
      <c r="C392" s="227"/>
      <c r="D392" s="227"/>
      <c r="E392" s="227"/>
      <c r="F392" s="227"/>
      <c r="G392" s="227"/>
      <c r="H392" s="227"/>
      <c r="I392" s="227"/>
      <c r="J392" s="227"/>
      <c r="K392" s="227"/>
      <c r="L392" s="227"/>
      <c r="M392" s="227"/>
      <c r="N392" s="227"/>
      <c r="O392" s="227"/>
      <c r="P392" s="227"/>
      <c r="Q392" s="227"/>
      <c r="R392" s="227"/>
      <c r="S392" s="227"/>
      <c r="T392" s="227"/>
      <c r="U392" s="227"/>
      <c r="V392" s="228"/>
    </row>
    <row r="393" spans="1:29" ht="18" hidden="1" customHeight="1">
      <c r="A393" s="184"/>
      <c r="B393" s="854" t="str">
        <f>B310</f>
        <v>CT1L1</v>
      </c>
      <c r="C393" s="831"/>
      <c r="D393" s="855" t="str">
        <f>D310</f>
        <v>Core3</v>
      </c>
      <c r="E393" s="856"/>
      <c r="F393" s="186" t="s">
        <v>636</v>
      </c>
      <c r="H393" s="684" t="str">
        <f>H310</f>
        <v>(Main-1 Multi Func. Capacitor Protection)</v>
      </c>
      <c r="I393" s="684"/>
      <c r="J393" s="684"/>
      <c r="K393" s="684"/>
      <c r="L393" s="684"/>
      <c r="M393" s="684"/>
      <c r="P393" s="186"/>
      <c r="S393" s="187" t="s">
        <v>387</v>
      </c>
      <c r="T393" s="1154" t="str">
        <f>T310</f>
        <v>SEL487E</v>
      </c>
      <c r="U393" s="1155"/>
      <c r="V393" s="185"/>
    </row>
    <row r="394" spans="1:29" ht="18" hidden="1" customHeight="1">
      <c r="A394" s="184"/>
      <c r="B394" s="853" t="str">
        <f>B311</f>
        <v>CT1L2</v>
      </c>
      <c r="C394" s="853"/>
      <c r="D394" s="857"/>
      <c r="E394" s="858"/>
      <c r="F394" s="255"/>
      <c r="T394" s="1154">
        <f>T311</f>
        <v>0</v>
      </c>
      <c r="U394" s="1155"/>
      <c r="V394" s="185"/>
    </row>
    <row r="395" spans="1:29" ht="18" hidden="1" customHeight="1">
      <c r="A395" s="184"/>
      <c r="H395" s="708" t="s">
        <v>390</v>
      </c>
      <c r="I395" s="708"/>
      <c r="J395" s="789" t="s">
        <v>391</v>
      </c>
      <c r="K395" s="789"/>
      <c r="L395" s="708" t="s">
        <v>392</v>
      </c>
      <c r="M395" s="708"/>
      <c r="T395" s="1154">
        <f>T312</f>
        <v>0</v>
      </c>
      <c r="U395" s="1155"/>
      <c r="V395" s="185"/>
    </row>
    <row r="396" spans="1:29" ht="18" hidden="1" customHeight="1">
      <c r="A396" s="184"/>
      <c r="B396" s="47" t="s">
        <v>393</v>
      </c>
      <c r="H396" s="854">
        <f>H313</f>
        <v>5000</v>
      </c>
      <c r="I396" s="831"/>
      <c r="J396" s="863">
        <f>J313</f>
        <v>4000</v>
      </c>
      <c r="K396" s="864"/>
      <c r="L396" s="854">
        <f>L313</f>
        <v>3000</v>
      </c>
      <c r="M396" s="831"/>
      <c r="N396" s="102" t="s">
        <v>342</v>
      </c>
      <c r="O396" s="256">
        <f>O313</f>
        <v>1</v>
      </c>
      <c r="P396" s="27" t="s">
        <v>8</v>
      </c>
      <c r="V396" s="185"/>
    </row>
    <row r="397" spans="1:29" ht="18" hidden="1" customHeight="1">
      <c r="A397" s="184"/>
      <c r="B397" s="47" t="s">
        <v>394</v>
      </c>
      <c r="H397" s="14"/>
      <c r="I397" s="14"/>
      <c r="J397" s="854" t="str">
        <f>H314</f>
        <v>PX</v>
      </c>
      <c r="K397" s="776"/>
      <c r="L397" s="14"/>
      <c r="M397" s="14"/>
      <c r="V397" s="185"/>
    </row>
    <row r="398" spans="1:29" ht="18" hidden="1" customHeight="1">
      <c r="A398" s="184"/>
      <c r="B398" s="47" t="s">
        <v>396</v>
      </c>
      <c r="I398" s="120" t="s">
        <v>497</v>
      </c>
      <c r="J398" s="781">
        <v>15</v>
      </c>
      <c r="K398" s="782"/>
      <c r="L398" s="192" t="s">
        <v>333</v>
      </c>
      <c r="V398" s="185"/>
    </row>
    <row r="399" spans="1:29" ht="18" hidden="1" customHeight="1">
      <c r="A399" s="184"/>
      <c r="B399" s="47" t="s">
        <v>398</v>
      </c>
      <c r="I399" s="120" t="s">
        <v>498</v>
      </c>
      <c r="J399" s="781">
        <v>800</v>
      </c>
      <c r="K399" s="782"/>
      <c r="L399" s="14" t="s">
        <v>305</v>
      </c>
      <c r="V399" s="185"/>
      <c r="W399" s="30" t="s">
        <v>400</v>
      </c>
      <c r="AB399" s="785">
        <f>D457</f>
        <v>56.604898548003746</v>
      </c>
      <c r="AC399" s="786"/>
    </row>
    <row r="400" spans="1:29" ht="18" hidden="1" customHeight="1">
      <c r="A400" s="184"/>
      <c r="B400" s="14" t="s">
        <v>401</v>
      </c>
      <c r="I400" s="120" t="s">
        <v>402</v>
      </c>
      <c r="J400" s="781">
        <v>40</v>
      </c>
      <c r="K400" s="782"/>
      <c r="L400" s="30" t="s">
        <v>403</v>
      </c>
      <c r="V400" s="185"/>
    </row>
    <row r="401" spans="1:22" ht="18" hidden="1" customHeight="1">
      <c r="A401" s="96"/>
      <c r="V401" s="185"/>
    </row>
    <row r="402" spans="1:22" ht="18" hidden="1" customHeight="1">
      <c r="A402" s="193" t="s">
        <v>404</v>
      </c>
      <c r="V402" s="185"/>
    </row>
    <row r="403" spans="1:22" ht="18" hidden="1" customHeight="1">
      <c r="A403" s="184"/>
      <c r="V403" s="185"/>
    </row>
    <row r="404" spans="1:22" ht="18" hidden="1" customHeight="1">
      <c r="A404" s="184"/>
      <c r="B404" s="194" t="s">
        <v>405</v>
      </c>
      <c r="C404" s="195"/>
      <c r="D404" s="195" t="str">
        <f>T393</f>
        <v>SEL487E</v>
      </c>
      <c r="E404" s="196"/>
      <c r="F404" s="196"/>
      <c r="G404" s="196"/>
      <c r="H404" s="182" t="s">
        <v>406</v>
      </c>
      <c r="I404" s="183" t="s">
        <v>127</v>
      </c>
      <c r="J404" s="766">
        <f>J321</f>
        <v>0.1</v>
      </c>
      <c r="K404" s="958"/>
      <c r="L404" s="3" t="s">
        <v>157</v>
      </c>
      <c r="V404" s="185"/>
    </row>
    <row r="405" spans="1:22" ht="18" hidden="1" customHeight="1">
      <c r="A405" s="184"/>
      <c r="B405" s="184" t="s">
        <v>405</v>
      </c>
      <c r="D405" s="30">
        <f>T394</f>
        <v>0</v>
      </c>
      <c r="H405" s="27"/>
      <c r="I405" s="177" t="s">
        <v>127</v>
      </c>
      <c r="J405" s="766">
        <f>J322</f>
        <v>0</v>
      </c>
      <c r="K405" s="958"/>
      <c r="L405" s="198" t="s">
        <v>157</v>
      </c>
      <c r="V405" s="185"/>
    </row>
    <row r="406" spans="1:22" ht="18" hidden="1" customHeight="1">
      <c r="A406" s="184"/>
      <c r="B406" s="184" t="s">
        <v>405</v>
      </c>
      <c r="D406" s="30">
        <f>T395</f>
        <v>0</v>
      </c>
      <c r="E406" s="14"/>
      <c r="G406" s="199"/>
      <c r="H406" s="27"/>
      <c r="I406" s="177" t="s">
        <v>127</v>
      </c>
      <c r="J406" s="766">
        <f>J323</f>
        <v>0</v>
      </c>
      <c r="K406" s="958"/>
      <c r="L406" s="202" t="s">
        <v>157</v>
      </c>
      <c r="V406" s="185"/>
    </row>
    <row r="407" spans="1:22" ht="18" hidden="1" customHeight="1">
      <c r="A407" s="184"/>
      <c r="B407" s="184" t="s">
        <v>412</v>
      </c>
      <c r="H407" s="27" t="s">
        <v>599</v>
      </c>
      <c r="I407" s="177" t="s">
        <v>127</v>
      </c>
      <c r="J407" s="766">
        <f>J324</f>
        <v>1.0770224400000001</v>
      </c>
      <c r="K407" s="958"/>
      <c r="L407" s="203" t="s">
        <v>157</v>
      </c>
      <c r="V407" s="185"/>
    </row>
    <row r="408" spans="1:22" ht="18" hidden="1" customHeight="1">
      <c r="A408" s="184"/>
      <c r="B408" s="205" t="s">
        <v>413</v>
      </c>
      <c r="C408" s="206"/>
      <c r="D408" s="206"/>
      <c r="E408" s="206"/>
      <c r="F408" s="207"/>
      <c r="G408" s="207"/>
      <c r="H408" s="190" t="s">
        <v>409</v>
      </c>
      <c r="I408" s="208" t="s">
        <v>127</v>
      </c>
      <c r="J408" s="766">
        <f>J405+J407</f>
        <v>1.0770224400000001</v>
      </c>
      <c r="K408" s="958"/>
      <c r="L408" s="210" t="s">
        <v>157</v>
      </c>
      <c r="V408" s="185"/>
    </row>
    <row r="409" spans="1:22" ht="18" hidden="1" customHeight="1">
      <c r="A409" s="184"/>
      <c r="B409" s="47"/>
      <c r="C409" s="47"/>
      <c r="D409" s="47"/>
      <c r="E409" s="47"/>
      <c r="H409" s="27"/>
      <c r="I409" s="28"/>
      <c r="J409" s="199"/>
      <c r="L409" s="47"/>
      <c r="O409" s="27"/>
      <c r="P409" s="211"/>
      <c r="Q409" s="211"/>
      <c r="R409" s="192"/>
      <c r="V409" s="185"/>
    </row>
    <row r="410" spans="1:22" ht="18" hidden="1" customHeight="1">
      <c r="A410" s="184"/>
      <c r="B410" s="197" t="s">
        <v>648</v>
      </c>
      <c r="L410" s="47"/>
      <c r="M410" s="197" t="s">
        <v>407</v>
      </c>
      <c r="V410" s="185"/>
    </row>
    <row r="411" spans="1:22" s="14" customFormat="1" ht="18" hidden="1" customHeight="1">
      <c r="A411" s="184"/>
      <c r="B411" s="27" t="s">
        <v>649</v>
      </c>
      <c r="C411" s="27" t="s">
        <v>127</v>
      </c>
      <c r="D411" s="30" t="s">
        <v>406</v>
      </c>
      <c r="E411" s="271" t="s">
        <v>410</v>
      </c>
      <c r="F411" s="27" t="s">
        <v>146</v>
      </c>
      <c r="G411" s="28" t="s">
        <v>315</v>
      </c>
      <c r="H411" s="218" t="s">
        <v>146</v>
      </c>
      <c r="I411" s="30" t="s">
        <v>350</v>
      </c>
      <c r="J411" s="199"/>
      <c r="K411" s="30"/>
      <c r="L411" s="47"/>
      <c r="M411" s="30" t="s">
        <v>408</v>
      </c>
      <c r="N411" s="27" t="s">
        <v>127</v>
      </c>
      <c r="O411" s="30" t="s">
        <v>409</v>
      </c>
      <c r="P411" s="191" t="s">
        <v>410</v>
      </c>
      <c r="Q411" s="244" t="s">
        <v>411</v>
      </c>
      <c r="R411" s="27" t="s">
        <v>315</v>
      </c>
      <c r="S411" s="30" t="s">
        <v>411</v>
      </c>
      <c r="T411" s="30" t="s">
        <v>350</v>
      </c>
      <c r="U411" s="30"/>
      <c r="V411" s="185"/>
    </row>
    <row r="412" spans="1:22" s="14" customFormat="1" ht="18" hidden="1" customHeight="1">
      <c r="A412" s="184"/>
      <c r="B412" s="47"/>
      <c r="C412" s="27" t="s">
        <v>127</v>
      </c>
      <c r="D412" s="204">
        <f>J404</f>
        <v>0.1</v>
      </c>
      <c r="E412" s="191" t="s">
        <v>410</v>
      </c>
      <c r="F412" s="27">
        <f>F329</f>
        <v>1</v>
      </c>
      <c r="G412" s="27" t="s">
        <v>315</v>
      </c>
      <c r="H412" s="27">
        <f>H329</f>
        <v>1</v>
      </c>
      <c r="I412" s="30" t="s">
        <v>350</v>
      </c>
      <c r="J412" s="199"/>
      <c r="K412" s="30"/>
      <c r="L412" s="47"/>
      <c r="M412" s="30"/>
      <c r="N412" s="27" t="s">
        <v>127</v>
      </c>
      <c r="O412" s="204">
        <f>J408</f>
        <v>1.0770224400000001</v>
      </c>
      <c r="P412" s="191" t="s">
        <v>410</v>
      </c>
      <c r="Q412" s="27">
        <f>O396</f>
        <v>1</v>
      </c>
      <c r="R412" s="27" t="s">
        <v>315</v>
      </c>
      <c r="S412" s="27">
        <f>O396</f>
        <v>1</v>
      </c>
      <c r="T412" s="30" t="s">
        <v>350</v>
      </c>
      <c r="U412" s="30"/>
      <c r="V412" s="185"/>
    </row>
    <row r="413" spans="1:22" s="14" customFormat="1" ht="18" hidden="1" customHeight="1">
      <c r="A413" s="184"/>
      <c r="B413" s="47"/>
      <c r="C413" s="27" t="s">
        <v>127</v>
      </c>
      <c r="D413" s="795">
        <f>D412/(F412*H412)</f>
        <v>0.1</v>
      </c>
      <c r="E413" s="795"/>
      <c r="F413" s="192" t="s">
        <v>333</v>
      </c>
      <c r="G413" s="30"/>
      <c r="H413" s="30"/>
      <c r="I413" s="30"/>
      <c r="J413" s="199"/>
      <c r="K413" s="30"/>
      <c r="L413" s="47"/>
      <c r="M413" s="30"/>
      <c r="N413" s="27" t="s">
        <v>127</v>
      </c>
      <c r="O413" s="795">
        <f>O412/(Q412*S412)</f>
        <v>1.0770224400000001</v>
      </c>
      <c r="P413" s="795"/>
      <c r="Q413" s="192" t="s">
        <v>333</v>
      </c>
      <c r="R413" s="30"/>
      <c r="S413" s="30"/>
      <c r="T413" s="30"/>
      <c r="U413" s="30"/>
      <c r="V413" s="185"/>
    </row>
    <row r="414" spans="1:22" s="14" customFormat="1" ht="18" hidden="1" customHeight="1">
      <c r="A414" s="184"/>
      <c r="B414" s="47"/>
      <c r="C414" s="47"/>
      <c r="D414" s="47"/>
      <c r="E414" s="47"/>
      <c r="F414" s="30"/>
      <c r="G414" s="30"/>
      <c r="H414" s="27"/>
      <c r="I414" s="28"/>
      <c r="J414" s="199"/>
      <c r="K414" s="30"/>
      <c r="L414" s="47"/>
      <c r="M414" s="30"/>
      <c r="N414" s="30"/>
      <c r="O414" s="27"/>
      <c r="P414" s="211"/>
      <c r="Q414" s="211"/>
      <c r="R414" s="192"/>
      <c r="S414" s="30"/>
      <c r="T414" s="30"/>
      <c r="U414" s="30"/>
      <c r="V414" s="185"/>
    </row>
    <row r="415" spans="1:22" s="14" customFormat="1" ht="18" hidden="1" customHeight="1">
      <c r="A415" s="184"/>
      <c r="B415" s="47"/>
      <c r="C415" s="47"/>
      <c r="D415" s="47"/>
      <c r="E415" s="47"/>
      <c r="F415" s="30"/>
      <c r="G415" s="30"/>
      <c r="H415" s="27"/>
      <c r="I415" s="28"/>
      <c r="J415" s="199"/>
      <c r="K415" s="30"/>
      <c r="L415" s="47"/>
      <c r="M415" s="204"/>
      <c r="N415" s="27"/>
      <c r="O415" s="211"/>
      <c r="P415" s="211"/>
      <c r="Q415" s="211"/>
      <c r="R415" s="192"/>
      <c r="S415" s="30"/>
      <c r="T415" s="30"/>
      <c r="U415" s="30"/>
      <c r="V415" s="185"/>
    </row>
    <row r="416" spans="1:22" s="14" customFormat="1" ht="18" hidden="1" customHeight="1">
      <c r="A416" s="193" t="s">
        <v>600</v>
      </c>
      <c r="B416" s="5"/>
      <c r="C416" s="5"/>
      <c r="D416" s="5"/>
      <c r="E416" s="5"/>
      <c r="F416" s="5"/>
      <c r="G416" s="5"/>
      <c r="H416" s="212"/>
      <c r="I416" s="212"/>
      <c r="J416" s="5"/>
      <c r="K416" s="5"/>
      <c r="L416" s="5"/>
      <c r="M416" s="5"/>
      <c r="N416" s="5"/>
      <c r="O416" s="5"/>
      <c r="P416" s="103"/>
      <c r="Q416" s="212"/>
      <c r="R416" s="213"/>
      <c r="S416" s="214"/>
      <c r="T416" s="18"/>
      <c r="U416" s="18"/>
      <c r="V416" s="97"/>
    </row>
    <row r="417" spans="1:22" s="14" customFormat="1" ht="18" hidden="1" customHeight="1">
      <c r="A417" s="96"/>
      <c r="B417" s="47" t="s">
        <v>601</v>
      </c>
      <c r="C417" s="5"/>
      <c r="D417" s="5"/>
      <c r="E417" s="5"/>
      <c r="I417" s="215"/>
      <c r="M417" s="5"/>
      <c r="N417" s="103" t="s">
        <v>127</v>
      </c>
      <c r="O417" s="1154">
        <f>O334</f>
        <v>100</v>
      </c>
      <c r="P417" s="831"/>
      <c r="Q417" s="14" t="s">
        <v>602</v>
      </c>
      <c r="S417" s="214"/>
      <c r="T417" s="18"/>
      <c r="U417" s="18"/>
      <c r="V417" s="97"/>
    </row>
    <row r="418" spans="1:22" s="14" customFormat="1" ht="18" hidden="1" customHeight="1">
      <c r="A418" s="96"/>
      <c r="B418" s="47" t="s">
        <v>603</v>
      </c>
      <c r="C418" s="5"/>
      <c r="D418" s="5"/>
      <c r="E418" s="5"/>
      <c r="I418" s="215"/>
      <c r="M418" s="5"/>
      <c r="N418" s="103" t="s">
        <v>127</v>
      </c>
      <c r="O418" s="1154">
        <f>O335</f>
        <v>25</v>
      </c>
      <c r="P418" s="831"/>
      <c r="Q418" s="14" t="s">
        <v>604</v>
      </c>
      <c r="S418" s="214"/>
      <c r="T418" s="18"/>
      <c r="U418" s="18"/>
      <c r="V418" s="97"/>
    </row>
    <row r="419" spans="1:22" s="14" customFormat="1" ht="18" hidden="1" customHeight="1">
      <c r="A419" s="96"/>
      <c r="B419" s="47" t="s">
        <v>605</v>
      </c>
      <c r="C419" s="5"/>
      <c r="D419" s="5"/>
      <c r="E419" s="5"/>
      <c r="M419" s="120" t="s">
        <v>606</v>
      </c>
      <c r="N419" s="103" t="s">
        <v>607</v>
      </c>
      <c r="O419" s="1154">
        <f>O336</f>
        <v>132</v>
      </c>
      <c r="P419" s="831"/>
      <c r="Q419" s="14" t="s">
        <v>163</v>
      </c>
      <c r="S419" s="214"/>
      <c r="T419" s="18"/>
      <c r="U419" s="18"/>
      <c r="V419" s="97"/>
    </row>
    <row r="420" spans="1:22" s="14" customFormat="1" ht="18" hidden="1" customHeight="1">
      <c r="A420" s="216"/>
      <c r="B420" s="212"/>
      <c r="C420" s="212"/>
      <c r="D420" s="212"/>
      <c r="E420" s="212"/>
      <c r="T420" s="18"/>
      <c r="U420" s="18"/>
      <c r="V420" s="97"/>
    </row>
    <row r="421" spans="1:22" s="14" customFormat="1" ht="18" hidden="1" customHeight="1">
      <c r="A421" s="272" t="s">
        <v>608</v>
      </c>
      <c r="B421" s="213"/>
      <c r="C421" s="213"/>
      <c r="D421" s="213"/>
      <c r="E421" s="213"/>
      <c r="H421" s="120" t="s">
        <v>609</v>
      </c>
      <c r="I421" s="28" t="s">
        <v>127</v>
      </c>
      <c r="J421" s="689" t="s">
        <v>610</v>
      </c>
      <c r="K421" s="689"/>
      <c r="L421" s="28" t="s">
        <v>315</v>
      </c>
      <c r="M421" s="217">
        <v>1000</v>
      </c>
      <c r="N421" s="102" t="s">
        <v>342</v>
      </c>
      <c r="O421" s="28" t="s">
        <v>611</v>
      </c>
      <c r="P421" s="28" t="s">
        <v>315</v>
      </c>
      <c r="Q421" s="28" t="s">
        <v>606</v>
      </c>
      <c r="R421" s="47" t="s">
        <v>350</v>
      </c>
      <c r="T421" s="18"/>
      <c r="U421" s="18"/>
      <c r="V421" s="97"/>
    </row>
    <row r="422" spans="1:22" ht="18" hidden="1" customHeight="1">
      <c r="A422" s="216"/>
      <c r="B422" s="213"/>
      <c r="C422" s="213"/>
      <c r="D422" s="213"/>
      <c r="E422" s="213"/>
      <c r="F422" s="212"/>
      <c r="G422" s="212"/>
      <c r="H422" s="28"/>
      <c r="I422" s="28" t="s">
        <v>127</v>
      </c>
      <c r="J422" s="689">
        <f>O417</f>
        <v>100</v>
      </c>
      <c r="K422" s="689"/>
      <c r="L422" s="28" t="s">
        <v>315</v>
      </c>
      <c r="M422" s="217">
        <v>1000</v>
      </c>
      <c r="N422" s="102" t="s">
        <v>342</v>
      </c>
      <c r="O422" s="28" t="s">
        <v>611</v>
      </c>
      <c r="P422" s="28" t="s">
        <v>315</v>
      </c>
      <c r="Q422" s="28">
        <f>O419</f>
        <v>132</v>
      </c>
      <c r="R422" s="47" t="s">
        <v>350</v>
      </c>
      <c r="S422" s="14"/>
      <c r="T422" s="18"/>
      <c r="U422" s="18"/>
      <c r="V422" s="97"/>
    </row>
    <row r="423" spans="1:22" ht="18" hidden="1" customHeight="1">
      <c r="A423" s="216"/>
      <c r="B423" s="212"/>
      <c r="C423" s="212"/>
      <c r="D423" s="212"/>
      <c r="E423" s="212"/>
      <c r="F423" s="212"/>
      <c r="G423" s="212"/>
      <c r="H423" s="14"/>
      <c r="I423" s="28" t="s">
        <v>127</v>
      </c>
      <c r="J423" s="692">
        <f>(O417*1000)/(SQRT(3)*O419)</f>
        <v>437.38656756789834</v>
      </c>
      <c r="K423" s="692"/>
      <c r="L423" s="14" t="s">
        <v>8</v>
      </c>
      <c r="M423" s="120"/>
      <c r="N423" s="120"/>
      <c r="O423" s="120"/>
      <c r="P423" s="14"/>
      <c r="Q423" s="14"/>
      <c r="R423" s="14"/>
      <c r="S423" s="14"/>
      <c r="T423" s="18"/>
      <c r="U423" s="18"/>
      <c r="V423" s="97"/>
    </row>
    <row r="424" spans="1:22" ht="18" hidden="1" customHeight="1">
      <c r="A424" s="216"/>
      <c r="B424" s="212"/>
      <c r="C424" s="212"/>
      <c r="D424" s="212"/>
      <c r="E424" s="212"/>
      <c r="F424" s="14"/>
      <c r="G424" s="212"/>
      <c r="H424" s="28"/>
      <c r="I424" s="103"/>
      <c r="J424" s="28"/>
      <c r="K424" s="14"/>
      <c r="L424" s="14"/>
      <c r="M424" s="212"/>
      <c r="N424" s="219"/>
      <c r="O424" s="212"/>
      <c r="P424" s="14"/>
      <c r="Q424" s="14"/>
      <c r="R424" s="14"/>
      <c r="S424" s="14"/>
      <c r="T424" s="18"/>
      <c r="U424" s="18"/>
      <c r="V424" s="97"/>
    </row>
    <row r="425" spans="1:22" s="14" customFormat="1" ht="18" hidden="1" customHeight="1">
      <c r="A425" s="147" t="s">
        <v>629</v>
      </c>
      <c r="B425" s="5"/>
      <c r="C425" s="5"/>
      <c r="D425" s="5"/>
      <c r="E425" s="5"/>
      <c r="F425" s="212"/>
      <c r="G425" s="212"/>
      <c r="H425" s="5"/>
      <c r="I425" s="5"/>
      <c r="J425" s="5"/>
      <c r="K425" s="5"/>
      <c r="L425" s="103"/>
      <c r="M425" s="103"/>
      <c r="N425" s="103"/>
      <c r="O425" s="103"/>
      <c r="P425" s="212"/>
      <c r="Q425" s="213"/>
      <c r="S425" s="220"/>
      <c r="T425" s="18"/>
      <c r="U425" s="18"/>
      <c r="V425" s="97"/>
    </row>
    <row r="426" spans="1:22" s="14" customFormat="1" ht="18" hidden="1" customHeight="1">
      <c r="A426" s="147"/>
      <c r="B426" s="5"/>
      <c r="C426" s="5"/>
      <c r="D426" s="5"/>
      <c r="E426" s="5"/>
      <c r="F426" s="212"/>
      <c r="G426" s="212"/>
      <c r="H426" s="5"/>
      <c r="I426" s="5"/>
      <c r="J426" s="5"/>
      <c r="K426" s="5"/>
      <c r="L426" s="103"/>
      <c r="M426" s="103"/>
      <c r="N426" s="103"/>
      <c r="O426" s="103"/>
      <c r="P426" s="212"/>
      <c r="Q426" s="213"/>
      <c r="S426" s="214"/>
      <c r="T426" s="18"/>
      <c r="U426" s="18"/>
      <c r="V426" s="97"/>
    </row>
    <row r="427" spans="1:22" ht="18" hidden="1" customHeight="1">
      <c r="A427" s="96" t="s">
        <v>612</v>
      </c>
      <c r="B427" s="14"/>
      <c r="C427" s="14"/>
      <c r="D427" s="14"/>
      <c r="E427" s="14"/>
      <c r="M427" s="120" t="s">
        <v>613</v>
      </c>
      <c r="N427" s="28" t="s">
        <v>127</v>
      </c>
      <c r="O427" s="689" t="s">
        <v>609</v>
      </c>
      <c r="P427" s="716"/>
      <c r="Q427" s="221" t="s">
        <v>630</v>
      </c>
      <c r="R427" s="221">
        <v>16</v>
      </c>
      <c r="S427" s="214"/>
      <c r="V427" s="185"/>
    </row>
    <row r="428" spans="1:22" ht="18" hidden="1" customHeight="1">
      <c r="A428" s="96"/>
      <c r="B428" s="5"/>
      <c r="C428" s="5"/>
      <c r="D428" s="5"/>
      <c r="E428" s="5"/>
      <c r="M428" s="250"/>
      <c r="N428" s="28" t="s">
        <v>127</v>
      </c>
      <c r="O428" s="689">
        <f>+J423</f>
        <v>437.38656756789834</v>
      </c>
      <c r="P428" s="716"/>
      <c r="Q428" s="221" t="s">
        <v>630</v>
      </c>
      <c r="R428" s="221">
        <v>16</v>
      </c>
      <c r="S428" s="214"/>
      <c r="V428" s="185"/>
    </row>
    <row r="429" spans="1:22" s="279" customFormat="1" ht="18" hidden="1" customHeight="1">
      <c r="A429" s="96"/>
      <c r="B429" s="5"/>
      <c r="C429" s="5"/>
      <c r="D429" s="5"/>
      <c r="E429" s="5"/>
      <c r="F429" s="30"/>
      <c r="G429" s="30"/>
      <c r="H429" s="30"/>
      <c r="I429" s="30"/>
      <c r="J429" s="30"/>
      <c r="K429" s="30"/>
      <c r="L429" s="30"/>
      <c r="M429" s="120" t="s">
        <v>613</v>
      </c>
      <c r="N429" s="28" t="s">
        <v>127</v>
      </c>
      <c r="O429" s="689">
        <f>O428*R428</f>
        <v>6998.1850810863734</v>
      </c>
      <c r="P429" s="716"/>
      <c r="Q429" s="241" t="s">
        <v>8</v>
      </c>
      <c r="R429" s="14"/>
      <c r="S429" s="214"/>
      <c r="T429" s="30"/>
      <c r="U429" s="30"/>
      <c r="V429" s="185"/>
    </row>
    <row r="430" spans="1:22" s="279" customFormat="1" ht="18" hidden="1" customHeight="1">
      <c r="A430" s="96"/>
      <c r="B430" s="5"/>
      <c r="C430" s="5"/>
      <c r="D430" s="5"/>
      <c r="E430" s="5"/>
      <c r="F430" s="30"/>
      <c r="G430" s="30"/>
      <c r="H430" s="30"/>
      <c r="I430" s="30"/>
      <c r="J430" s="30"/>
      <c r="K430" s="30"/>
      <c r="L430" s="30"/>
      <c r="M430" s="120"/>
      <c r="N430" s="28"/>
      <c r="O430" s="28"/>
      <c r="P430" s="14"/>
      <c r="Q430" s="241"/>
      <c r="R430" s="14"/>
      <c r="S430" s="214"/>
      <c r="T430" s="30"/>
      <c r="U430" s="30"/>
      <c r="V430" s="185"/>
    </row>
    <row r="431" spans="1:22" s="279" customFormat="1" ht="18" hidden="1" customHeight="1">
      <c r="A431" s="96"/>
      <c r="B431" s="5"/>
      <c r="C431" s="5"/>
      <c r="D431" s="5"/>
      <c r="E431" s="5"/>
      <c r="F431" s="30"/>
      <c r="G431" s="30"/>
      <c r="H431" s="30"/>
      <c r="I431" s="30"/>
      <c r="J431" s="30"/>
      <c r="K431" s="30"/>
      <c r="L431" s="30"/>
      <c r="M431" s="120"/>
      <c r="N431" s="28"/>
      <c r="O431" s="28"/>
      <c r="P431" s="14"/>
      <c r="Q431" s="241"/>
      <c r="R431" s="14"/>
      <c r="S431" s="214"/>
      <c r="T431" s="30"/>
      <c r="U431" s="30"/>
      <c r="V431" s="185"/>
    </row>
    <row r="432" spans="1:22" s="279" customFormat="1" ht="18" hidden="1" customHeight="1">
      <c r="A432" s="96"/>
      <c r="B432" s="5"/>
      <c r="C432" s="5"/>
      <c r="D432" s="5"/>
      <c r="E432" s="5"/>
      <c r="F432" s="30"/>
      <c r="G432" s="30"/>
      <c r="H432" s="30"/>
      <c r="I432" s="30"/>
      <c r="J432" s="30"/>
      <c r="K432" s="30"/>
      <c r="L432" s="30"/>
      <c r="M432" s="120"/>
      <c r="N432" s="28"/>
      <c r="O432" s="28"/>
      <c r="P432" s="14"/>
      <c r="Q432" s="241"/>
      <c r="R432" s="14"/>
      <c r="S432" s="214"/>
      <c r="T432" s="30"/>
      <c r="U432" s="30"/>
      <c r="V432" s="185"/>
    </row>
    <row r="433" spans="1:22" s="279" customFormat="1" ht="18" hidden="1" customHeight="1">
      <c r="A433" s="96"/>
      <c r="B433" s="5"/>
      <c r="C433" s="5"/>
      <c r="D433" s="5"/>
      <c r="E433" s="5"/>
      <c r="F433" s="30"/>
      <c r="G433" s="30"/>
      <c r="H433" s="30"/>
      <c r="I433" s="30"/>
      <c r="J433" s="30"/>
      <c r="K433" s="30"/>
      <c r="L433" s="30"/>
      <c r="M433" s="120"/>
      <c r="N433" s="28"/>
      <c r="O433" s="28"/>
      <c r="P433" s="14"/>
      <c r="Q433" s="241"/>
      <c r="R433" s="14"/>
      <c r="S433" s="214"/>
      <c r="T433" s="30"/>
      <c r="U433" s="30"/>
      <c r="V433" s="185"/>
    </row>
    <row r="434" spans="1:22" s="279" customFormat="1" ht="18" hidden="1" customHeight="1">
      <c r="A434" s="96"/>
      <c r="B434" s="5"/>
      <c r="C434" s="5"/>
      <c r="D434" s="5"/>
      <c r="E434" s="5"/>
      <c r="F434" s="30"/>
      <c r="G434" s="30"/>
      <c r="H434" s="30"/>
      <c r="I434" s="30"/>
      <c r="J434" s="30"/>
      <c r="K434" s="30"/>
      <c r="L434" s="30"/>
      <c r="M434" s="120"/>
      <c r="N434" s="28"/>
      <c r="O434" s="28"/>
      <c r="P434" s="14"/>
      <c r="Q434" s="241"/>
      <c r="R434" s="14"/>
      <c r="S434" s="214"/>
      <c r="T434" s="30"/>
      <c r="U434" s="30"/>
      <c r="V434" s="185"/>
    </row>
    <row r="435" spans="1:22" s="279" customFormat="1" ht="18" hidden="1" customHeight="1">
      <c r="A435" s="194"/>
      <c r="B435" s="195"/>
      <c r="C435" s="195"/>
      <c r="D435" s="195"/>
      <c r="E435" s="195"/>
      <c r="F435" s="195"/>
      <c r="G435" s="195"/>
      <c r="H435" s="195"/>
      <c r="I435" s="195"/>
      <c r="J435" s="195"/>
      <c r="K435" s="195"/>
      <c r="L435" s="195"/>
      <c r="M435" s="195"/>
      <c r="N435" s="195"/>
      <c r="O435" s="195"/>
      <c r="P435" s="195"/>
      <c r="Q435" s="224"/>
      <c r="R435" s="182"/>
      <c r="S435" s="225"/>
      <c r="T435" s="195"/>
      <c r="U435" s="195"/>
      <c r="V435" s="134" t="s">
        <v>552</v>
      </c>
    </row>
    <row r="436" spans="1:22" ht="18" hidden="1" customHeight="1">
      <c r="A436" s="135"/>
      <c r="B436" s="273"/>
      <c r="C436" s="273"/>
      <c r="D436" s="273"/>
      <c r="E436" s="273"/>
      <c r="F436" s="273"/>
      <c r="G436" s="273"/>
      <c r="H436" s="273"/>
      <c r="I436" s="273"/>
      <c r="J436" s="273"/>
      <c r="K436" s="273"/>
      <c r="L436" s="273"/>
      <c r="M436" s="273"/>
      <c r="N436" s="273"/>
      <c r="O436" s="273"/>
      <c r="P436" s="273"/>
      <c r="Q436" s="274"/>
      <c r="R436" s="138"/>
      <c r="S436" s="275"/>
      <c r="T436" s="273"/>
      <c r="U436" s="273"/>
      <c r="V436" s="276"/>
    </row>
    <row r="437" spans="1:22" ht="18" hidden="1" customHeight="1">
      <c r="A437" s="96" t="s">
        <v>662</v>
      </c>
      <c r="V437" s="185"/>
    </row>
    <row r="438" spans="1:22" ht="18" hidden="1" customHeight="1">
      <c r="A438" s="184"/>
      <c r="V438" s="185"/>
    </row>
    <row r="439" spans="1:22" ht="18" hidden="1" customHeight="1">
      <c r="A439" s="277"/>
      <c r="B439" s="689" t="s">
        <v>473</v>
      </c>
      <c r="C439" s="1150" t="s">
        <v>652</v>
      </c>
      <c r="D439" s="689">
        <v>2</v>
      </c>
      <c r="E439" s="689" t="s">
        <v>378</v>
      </c>
      <c r="F439" s="689" t="s">
        <v>617</v>
      </c>
      <c r="G439" s="689"/>
      <c r="H439" s="689" t="s">
        <v>378</v>
      </c>
      <c r="I439" s="689" t="s">
        <v>419</v>
      </c>
      <c r="J439" s="689" t="s">
        <v>420</v>
      </c>
      <c r="K439" s="689" t="s">
        <v>347</v>
      </c>
      <c r="L439" s="689" t="s">
        <v>408</v>
      </c>
      <c r="M439" s="689" t="s">
        <v>347</v>
      </c>
      <c r="N439" s="689" t="s">
        <v>649</v>
      </c>
      <c r="O439" s="689" t="s">
        <v>350</v>
      </c>
      <c r="P439" s="14"/>
      <c r="Q439" s="14"/>
      <c r="R439" s="14"/>
      <c r="S439" s="14"/>
      <c r="T439" s="14"/>
      <c r="U439" s="729" t="s">
        <v>653</v>
      </c>
      <c r="V439" s="185"/>
    </row>
    <row r="440" spans="1:22" ht="18" hidden="1" customHeight="1">
      <c r="A440" s="277"/>
      <c r="B440" s="689"/>
      <c r="C440" s="689"/>
      <c r="D440" s="689"/>
      <c r="E440" s="689"/>
      <c r="F440" s="689"/>
      <c r="G440" s="689"/>
      <c r="H440" s="689"/>
      <c r="I440" s="689"/>
      <c r="J440" s="689"/>
      <c r="K440" s="689"/>
      <c r="L440" s="689"/>
      <c r="M440" s="689"/>
      <c r="N440" s="689"/>
      <c r="O440" s="689"/>
      <c r="P440" s="14"/>
      <c r="Q440" s="14"/>
      <c r="R440" s="14"/>
      <c r="S440" s="14"/>
      <c r="T440" s="14"/>
      <c r="U440" s="689"/>
      <c r="V440" s="185"/>
    </row>
    <row r="441" spans="1:22" ht="18" hidden="1" customHeight="1">
      <c r="A441" s="184"/>
      <c r="V441" s="185"/>
    </row>
    <row r="442" spans="1:22" ht="18" hidden="1" customHeight="1">
      <c r="A442" s="184"/>
      <c r="B442" s="47" t="s">
        <v>654</v>
      </c>
      <c r="C442" s="14"/>
      <c r="D442" s="14"/>
      <c r="E442" s="14"/>
      <c r="F442" s="18"/>
      <c r="G442" s="18"/>
      <c r="H442" s="14"/>
      <c r="I442" s="120"/>
      <c r="J442" s="14"/>
      <c r="K442" s="14"/>
      <c r="M442" s="14"/>
      <c r="N442" s="14"/>
      <c r="P442" s="14" t="s">
        <v>423</v>
      </c>
      <c r="R442" s="234" t="s">
        <v>127</v>
      </c>
      <c r="S442" s="684">
        <f>J396</f>
        <v>4000</v>
      </c>
      <c r="T442" s="684"/>
      <c r="U442" s="30" t="s">
        <v>8</v>
      </c>
      <c r="V442" s="185"/>
    </row>
    <row r="443" spans="1:22" ht="18" hidden="1" customHeight="1">
      <c r="A443" s="184"/>
      <c r="B443" s="47" t="s">
        <v>655</v>
      </c>
      <c r="C443" s="14"/>
      <c r="D443" s="14"/>
      <c r="E443" s="14"/>
      <c r="F443" s="18"/>
      <c r="G443" s="18"/>
      <c r="H443" s="14"/>
      <c r="I443" s="120"/>
      <c r="J443" s="14"/>
      <c r="K443" s="14"/>
      <c r="M443" s="14"/>
      <c r="N443" s="14"/>
      <c r="P443" s="14" t="s">
        <v>420</v>
      </c>
      <c r="R443" s="234" t="s">
        <v>127</v>
      </c>
      <c r="S443" s="684">
        <f>J398</f>
        <v>15</v>
      </c>
      <c r="T443" s="684"/>
      <c r="U443" s="192" t="s">
        <v>333</v>
      </c>
      <c r="V443" s="185"/>
    </row>
    <row r="444" spans="1:22" ht="18" hidden="1" customHeight="1">
      <c r="A444" s="184"/>
      <c r="B444" s="47" t="s">
        <v>656</v>
      </c>
      <c r="C444" s="14"/>
      <c r="D444" s="14"/>
      <c r="E444" s="14"/>
      <c r="F444" s="18"/>
      <c r="G444" s="18"/>
      <c r="H444" s="14"/>
      <c r="I444" s="120"/>
      <c r="J444" s="14"/>
      <c r="K444" s="14"/>
      <c r="M444" s="14"/>
      <c r="N444" s="14"/>
      <c r="P444" s="14" t="s">
        <v>408</v>
      </c>
      <c r="R444" s="234" t="s">
        <v>127</v>
      </c>
      <c r="S444" s="795">
        <f>O413</f>
        <v>1.0770224400000001</v>
      </c>
      <c r="T444" s="795"/>
      <c r="U444" s="192" t="s">
        <v>333</v>
      </c>
      <c r="V444" s="185"/>
    </row>
    <row r="445" spans="1:22" ht="18" hidden="1" customHeight="1">
      <c r="A445" s="184"/>
      <c r="B445" s="47" t="s">
        <v>657</v>
      </c>
      <c r="C445" s="14"/>
      <c r="D445" s="14"/>
      <c r="E445" s="14"/>
      <c r="F445" s="14"/>
      <c r="G445" s="14"/>
      <c r="H445" s="14"/>
      <c r="I445" s="120"/>
      <c r="J445" s="14"/>
      <c r="K445" s="14"/>
      <c r="M445" s="14"/>
      <c r="N445" s="14"/>
      <c r="P445" s="14" t="s">
        <v>649</v>
      </c>
      <c r="R445" s="234" t="s">
        <v>127</v>
      </c>
      <c r="S445" s="795">
        <f>D413</f>
        <v>0.1</v>
      </c>
      <c r="T445" s="684"/>
      <c r="U445" s="192" t="s">
        <v>333</v>
      </c>
      <c r="V445" s="185"/>
    </row>
    <row r="446" spans="1:22" ht="18" hidden="1" customHeight="1">
      <c r="A446" s="184"/>
      <c r="B446" s="14" t="s">
        <v>658</v>
      </c>
      <c r="C446" s="14"/>
      <c r="D446" s="14"/>
      <c r="E446" s="14"/>
      <c r="F446" s="14"/>
      <c r="G446" s="14"/>
      <c r="H446" s="14"/>
      <c r="I446" s="120"/>
      <c r="J446" s="14"/>
      <c r="K446" s="14"/>
      <c r="M446" s="14"/>
      <c r="N446" s="14"/>
      <c r="P446" s="47" t="s">
        <v>617</v>
      </c>
      <c r="R446" s="234" t="s">
        <v>127</v>
      </c>
      <c r="S446" s="795">
        <f>O429/S442</f>
        <v>1.7495462702715934</v>
      </c>
      <c r="T446" s="795"/>
      <c r="U446" s="30" t="s">
        <v>8</v>
      </c>
      <c r="V446" s="185"/>
    </row>
    <row r="447" spans="1:22" s="279" customFormat="1" ht="18" hidden="1" customHeight="1">
      <c r="A447" s="184"/>
      <c r="B447" s="47" t="s">
        <v>659</v>
      </c>
      <c r="C447" s="14"/>
      <c r="D447" s="14"/>
      <c r="E447" s="14"/>
      <c r="F447" s="14"/>
      <c r="G447" s="14"/>
      <c r="H447" s="14"/>
      <c r="I447" s="120"/>
      <c r="J447" s="14"/>
      <c r="K447" s="14"/>
      <c r="L447" s="30"/>
      <c r="M447" s="14"/>
      <c r="N447" s="14"/>
      <c r="O447" s="30"/>
      <c r="P447" s="120" t="s">
        <v>660</v>
      </c>
      <c r="Q447" s="30"/>
      <c r="R447" s="234" t="s">
        <v>127</v>
      </c>
      <c r="S447" s="684">
        <f>S359</f>
        <v>1</v>
      </c>
      <c r="T447" s="684"/>
      <c r="U447" s="30" t="s">
        <v>8</v>
      </c>
      <c r="V447" s="185"/>
    </row>
    <row r="448" spans="1:22" s="279" customFormat="1" ht="18" hidden="1" customHeight="1">
      <c r="A448" s="184"/>
      <c r="B448" s="30"/>
      <c r="C448" s="30"/>
      <c r="D448" s="30"/>
      <c r="E448" s="30"/>
      <c r="F448" s="30"/>
      <c r="G448" s="30"/>
      <c r="H448" s="30"/>
      <c r="I448" s="30"/>
      <c r="J448" s="30"/>
      <c r="K448" s="30"/>
      <c r="L448" s="30"/>
      <c r="M448" s="30"/>
      <c r="N448" s="30"/>
      <c r="O448" s="30"/>
      <c r="P448" s="30"/>
      <c r="Q448" s="30"/>
      <c r="R448" s="30"/>
      <c r="S448" s="30"/>
      <c r="T448" s="30"/>
      <c r="U448" s="30"/>
      <c r="V448" s="185"/>
    </row>
    <row r="449" spans="1:22" ht="18" hidden="1" customHeight="1">
      <c r="A449" s="96"/>
      <c r="B449" s="14" t="s">
        <v>661</v>
      </c>
      <c r="C449" s="14"/>
      <c r="D449" s="235"/>
      <c r="E449" s="14"/>
      <c r="F449" s="28"/>
      <c r="G449" s="249"/>
      <c r="H449" s="28"/>
      <c r="I449" s="251"/>
      <c r="J449" s="14"/>
      <c r="K449" s="280"/>
      <c r="M449" s="47"/>
      <c r="N449" s="268"/>
      <c r="P449" s="281"/>
      <c r="R449" s="234"/>
      <c r="S449" s="204"/>
      <c r="V449" s="185"/>
    </row>
    <row r="450" spans="1:22" ht="18" hidden="1" customHeight="1">
      <c r="A450" s="272"/>
      <c r="C450" s="14"/>
      <c r="D450" s="14"/>
      <c r="E450" s="14"/>
      <c r="F450" s="14"/>
      <c r="G450" s="14"/>
      <c r="H450" s="28"/>
      <c r="I450" s="47"/>
      <c r="J450" s="14"/>
      <c r="K450" s="14"/>
      <c r="M450" s="14"/>
      <c r="N450" s="14"/>
      <c r="P450" s="120"/>
      <c r="R450" s="234"/>
      <c r="S450" s="282"/>
      <c r="V450" s="185"/>
    </row>
    <row r="451" spans="1:22" ht="18" hidden="1" customHeight="1">
      <c r="A451" s="272"/>
      <c r="B451" s="689" t="s">
        <v>473</v>
      </c>
      <c r="C451" s="1150" t="s">
        <v>652</v>
      </c>
      <c r="D451" s="689">
        <v>2</v>
      </c>
      <c r="E451" s="689" t="s">
        <v>378</v>
      </c>
      <c r="F451" s="689" t="s">
        <v>617</v>
      </c>
      <c r="G451" s="689"/>
      <c r="H451" s="689" t="s">
        <v>378</v>
      </c>
      <c r="I451" s="689" t="s">
        <v>419</v>
      </c>
      <c r="J451" s="689" t="s">
        <v>420</v>
      </c>
      <c r="K451" s="689" t="s">
        <v>347</v>
      </c>
      <c r="L451" s="689" t="s">
        <v>408</v>
      </c>
      <c r="M451" s="689" t="s">
        <v>347</v>
      </c>
      <c r="N451" s="689" t="s">
        <v>649</v>
      </c>
      <c r="O451" s="689" t="s">
        <v>350</v>
      </c>
      <c r="P451" s="14"/>
      <c r="Q451" s="14"/>
      <c r="R451" s="14"/>
      <c r="S451" s="14"/>
      <c r="T451" s="14"/>
      <c r="U451" s="729" t="s">
        <v>653</v>
      </c>
      <c r="V451" s="185"/>
    </row>
    <row r="452" spans="1:22" ht="18" hidden="1" customHeight="1">
      <c r="A452" s="277"/>
      <c r="B452" s="689"/>
      <c r="C452" s="689"/>
      <c r="D452" s="689"/>
      <c r="E452" s="689"/>
      <c r="F452" s="689"/>
      <c r="G452" s="689"/>
      <c r="H452" s="689"/>
      <c r="I452" s="689"/>
      <c r="J452" s="689"/>
      <c r="K452" s="689"/>
      <c r="L452" s="689"/>
      <c r="M452" s="689"/>
      <c r="N452" s="689"/>
      <c r="O452" s="689"/>
      <c r="P452" s="14"/>
      <c r="Q452" s="14"/>
      <c r="R452" s="14"/>
      <c r="S452" s="14"/>
      <c r="T452" s="14"/>
      <c r="U452" s="689"/>
      <c r="V452" s="185"/>
    </row>
    <row r="453" spans="1:22" ht="18" hidden="1" customHeight="1">
      <c r="A453" s="277"/>
      <c r="B453" s="28"/>
      <c r="C453" s="28"/>
      <c r="D453" s="154"/>
      <c r="E453" s="154"/>
      <c r="F453" s="154"/>
      <c r="G453" s="154"/>
      <c r="H453" s="154"/>
      <c r="I453" s="28"/>
      <c r="J453" s="28"/>
      <c r="K453" s="28"/>
      <c r="L453" s="28"/>
      <c r="M453" s="28"/>
      <c r="N453" s="28"/>
      <c r="O453" s="28"/>
      <c r="P453" s="14"/>
      <c r="Q453" s="14"/>
      <c r="R453" s="14"/>
      <c r="S453" s="14"/>
      <c r="T453" s="14"/>
      <c r="U453" s="28"/>
      <c r="V453" s="185"/>
    </row>
    <row r="454" spans="1:22" ht="18" hidden="1" customHeight="1">
      <c r="A454" s="277"/>
      <c r="B454" s="28"/>
      <c r="C454" s="1150" t="s">
        <v>652</v>
      </c>
      <c r="D454" s="805">
        <v>2</v>
      </c>
      <c r="E454" s="805" t="s">
        <v>378</v>
      </c>
      <c r="F454" s="1184">
        <f>S446</f>
        <v>1.7495462702715934</v>
      </c>
      <c r="G454" s="1184"/>
      <c r="H454" s="805" t="s">
        <v>378</v>
      </c>
      <c r="I454" s="805" t="s">
        <v>419</v>
      </c>
      <c r="J454" s="805">
        <f>S443</f>
        <v>15</v>
      </c>
      <c r="K454" s="805" t="s">
        <v>347</v>
      </c>
      <c r="L454" s="1184">
        <f>S444</f>
        <v>1.0770224400000001</v>
      </c>
      <c r="M454" s="805" t="s">
        <v>347</v>
      </c>
      <c r="N454" s="1184">
        <f>S445</f>
        <v>0.1</v>
      </c>
      <c r="O454" s="805" t="s">
        <v>350</v>
      </c>
      <c r="P454" s="14"/>
      <c r="Q454" s="14"/>
      <c r="R454" s="14"/>
      <c r="S454" s="14"/>
      <c r="T454" s="14"/>
      <c r="U454" s="28"/>
      <c r="V454" s="185"/>
    </row>
    <row r="455" spans="1:22" ht="18" hidden="1" customHeight="1">
      <c r="A455" s="277"/>
      <c r="B455" s="28"/>
      <c r="C455" s="689"/>
      <c r="D455" s="805"/>
      <c r="E455" s="805"/>
      <c r="F455" s="1184"/>
      <c r="G455" s="1184"/>
      <c r="H455" s="805"/>
      <c r="I455" s="805"/>
      <c r="J455" s="805"/>
      <c r="K455" s="805"/>
      <c r="L455" s="805"/>
      <c r="M455" s="805"/>
      <c r="N455" s="805"/>
      <c r="O455" s="805"/>
      <c r="P455" s="14"/>
      <c r="Q455" s="14"/>
      <c r="R455" s="14"/>
      <c r="S455" s="14"/>
      <c r="T455" s="14"/>
      <c r="U455" s="28"/>
      <c r="V455" s="185"/>
    </row>
    <row r="456" spans="1:22" ht="18" hidden="1" customHeight="1">
      <c r="A456" s="277"/>
      <c r="B456" s="14"/>
      <c r="C456" s="14"/>
      <c r="D456" s="279"/>
      <c r="E456" s="279"/>
      <c r="F456" s="279"/>
      <c r="G456" s="14"/>
      <c r="I456" s="14"/>
      <c r="K456" s="28"/>
      <c r="L456" s="14"/>
      <c r="N456" s="14"/>
      <c r="O456" s="14"/>
      <c r="P456" s="14"/>
      <c r="Q456" s="14"/>
      <c r="R456" s="14"/>
      <c r="S456" s="14"/>
      <c r="T456" s="14"/>
      <c r="U456" s="14"/>
      <c r="V456" s="185"/>
    </row>
    <row r="457" spans="1:22" ht="18" hidden="1" customHeight="1">
      <c r="A457" s="96"/>
      <c r="B457" s="14"/>
      <c r="C457" s="27" t="s">
        <v>127</v>
      </c>
      <c r="D457" s="812">
        <f>D454*F454*(J454+L454+N454)</f>
        <v>56.604898548003746</v>
      </c>
      <c r="E457" s="813"/>
      <c r="F457" s="30" t="s">
        <v>305</v>
      </c>
      <c r="G457" s="14"/>
      <c r="H457" s="14"/>
      <c r="I457" s="14"/>
      <c r="J457" s="14"/>
      <c r="K457" s="14"/>
      <c r="L457" s="14"/>
      <c r="M457" s="14"/>
      <c r="N457" s="14"/>
      <c r="R457" s="234"/>
      <c r="S457" s="204"/>
      <c r="V457" s="185"/>
    </row>
    <row r="458" spans="1:22" ht="18" hidden="1" customHeight="1">
      <c r="A458" s="96"/>
      <c r="B458" s="14"/>
      <c r="G458" s="14"/>
      <c r="H458" s="14"/>
      <c r="I458" s="14"/>
      <c r="J458" s="14"/>
      <c r="K458" s="14"/>
      <c r="L458" s="14"/>
      <c r="M458" s="14"/>
      <c r="N458" s="14"/>
      <c r="R458" s="234"/>
      <c r="S458" s="204"/>
      <c r="V458" s="185"/>
    </row>
    <row r="459" spans="1:22" ht="18" hidden="1" customHeight="1">
      <c r="A459" s="96"/>
      <c r="B459" s="14"/>
      <c r="D459" s="30" t="s">
        <v>475</v>
      </c>
      <c r="G459" s="27" t="str">
        <f>IF(E460&gt;H460,"&gt;","&lt;")</f>
        <v>&gt;</v>
      </c>
      <c r="H459" s="30" t="s">
        <v>477</v>
      </c>
      <c r="M459" s="14"/>
      <c r="N459" s="14"/>
      <c r="R459" s="234"/>
      <c r="S459" s="204"/>
      <c r="V459" s="185"/>
    </row>
    <row r="460" spans="1:22" ht="18" hidden="1" customHeight="1">
      <c r="A460" s="96"/>
      <c r="B460" s="14"/>
      <c r="E460" s="684">
        <f>J399</f>
        <v>800</v>
      </c>
      <c r="F460" s="684"/>
      <c r="G460" s="27" t="str">
        <f>G459</f>
        <v>&gt;</v>
      </c>
      <c r="H460" s="795">
        <f>D457</f>
        <v>56.604898548003746</v>
      </c>
      <c r="I460" s="684"/>
      <c r="M460" s="14"/>
      <c r="N460" s="14"/>
      <c r="R460" s="234"/>
      <c r="S460" s="204"/>
      <c r="V460" s="185"/>
    </row>
    <row r="461" spans="1:22" ht="18" hidden="1" customHeight="1">
      <c r="A461" s="96"/>
      <c r="B461" s="14"/>
      <c r="F461" s="244" t="s">
        <v>478</v>
      </c>
      <c r="H461" s="18" t="str">
        <f>IF(G459="&gt;","Suitably Dimentioned","Under Dimentioned")</f>
        <v>Suitably Dimentioned</v>
      </c>
      <c r="M461" s="14"/>
      <c r="N461" s="14"/>
      <c r="R461" s="234"/>
      <c r="S461" s="204"/>
      <c r="V461" s="185"/>
    </row>
    <row r="462" spans="1:22" ht="18" hidden="1" customHeight="1">
      <c r="A462" s="96"/>
      <c r="B462" s="14"/>
      <c r="G462" s="14"/>
      <c r="H462" s="14"/>
      <c r="I462" s="14"/>
      <c r="J462" s="14"/>
      <c r="K462" s="14"/>
      <c r="L462" s="14"/>
      <c r="M462" s="14"/>
      <c r="N462" s="14"/>
      <c r="R462" s="234"/>
      <c r="S462" s="204"/>
      <c r="V462" s="185"/>
    </row>
    <row r="463" spans="1:22" ht="18" hidden="1" customHeight="1">
      <c r="A463" s="193"/>
      <c r="B463" s="14"/>
      <c r="G463" s="14"/>
      <c r="H463" s="14"/>
      <c r="I463" s="14"/>
      <c r="J463" s="14"/>
      <c r="K463" s="14"/>
      <c r="L463" s="14"/>
      <c r="M463" s="14"/>
      <c r="N463" s="14"/>
      <c r="R463" s="234"/>
      <c r="S463" s="204"/>
      <c r="V463" s="185"/>
    </row>
    <row r="464" spans="1:22" ht="18" hidden="1" customHeight="1">
      <c r="A464" s="96"/>
      <c r="B464" s="14"/>
      <c r="D464" s="14"/>
      <c r="E464" s="14"/>
      <c r="F464" s="279"/>
      <c r="G464" s="14"/>
      <c r="H464" s="14"/>
      <c r="I464" s="279"/>
      <c r="J464" s="14"/>
      <c r="K464" s="14"/>
      <c r="L464" s="14"/>
      <c r="M464" s="14"/>
      <c r="N464" s="14"/>
      <c r="R464" s="234"/>
      <c r="S464" s="204"/>
      <c r="V464" s="185"/>
    </row>
    <row r="465" spans="1:22" ht="18" hidden="1" customHeight="1">
      <c r="A465" s="96"/>
      <c r="B465" s="14"/>
      <c r="D465" s="14"/>
      <c r="E465" s="14"/>
      <c r="F465" s="279"/>
      <c r="G465" s="14"/>
      <c r="H465" s="14"/>
      <c r="I465" s="279"/>
      <c r="J465" s="14"/>
      <c r="K465" s="14"/>
      <c r="L465" s="14"/>
      <c r="M465" s="14"/>
      <c r="N465" s="14"/>
      <c r="R465" s="234"/>
      <c r="S465" s="204"/>
      <c r="V465" s="185"/>
    </row>
    <row r="466" spans="1:22" ht="18" hidden="1" customHeight="1">
      <c r="A466" s="96"/>
      <c r="B466" s="14"/>
      <c r="D466" s="14"/>
      <c r="E466" s="14"/>
      <c r="F466" s="279"/>
      <c r="G466" s="14"/>
      <c r="H466" s="14"/>
      <c r="I466" s="279"/>
      <c r="J466" s="14"/>
      <c r="K466" s="14"/>
      <c r="L466" s="14"/>
      <c r="M466" s="14"/>
      <c r="N466" s="14"/>
      <c r="R466" s="234"/>
      <c r="S466" s="204"/>
      <c r="V466" s="185"/>
    </row>
    <row r="467" spans="1:22" ht="18" hidden="1" customHeight="1">
      <c r="A467" s="96"/>
      <c r="B467" s="14"/>
      <c r="G467" s="14"/>
      <c r="H467" s="14"/>
      <c r="I467" s="14"/>
      <c r="J467" s="14"/>
      <c r="K467" s="14"/>
      <c r="L467" s="14"/>
      <c r="M467" s="14"/>
      <c r="N467" s="14"/>
      <c r="R467" s="234"/>
      <c r="S467" s="204"/>
      <c r="V467" s="185"/>
    </row>
    <row r="468" spans="1:22" ht="18" hidden="1" customHeight="1">
      <c r="A468" s="96"/>
      <c r="B468" s="14"/>
      <c r="F468" s="14"/>
      <c r="G468" s="14"/>
      <c r="H468" s="14"/>
      <c r="I468" s="14"/>
      <c r="J468" s="14"/>
      <c r="K468" s="14"/>
      <c r="L468" s="14"/>
      <c r="M468" s="14"/>
      <c r="N468" s="14"/>
      <c r="O468" s="154"/>
      <c r="P468" s="14"/>
      <c r="R468" s="234"/>
      <c r="S468" s="204"/>
      <c r="V468" s="185"/>
    </row>
    <row r="469" spans="1:22" s="14" customFormat="1" ht="18" hidden="1" customHeight="1">
      <c r="A469" s="96"/>
      <c r="C469" s="30"/>
      <c r="D469" s="30"/>
      <c r="E469" s="30"/>
      <c r="G469" s="257"/>
      <c r="O469" s="30"/>
      <c r="P469" s="30"/>
      <c r="Q469" s="30"/>
      <c r="R469" s="234"/>
      <c r="S469" s="204"/>
      <c r="T469" s="30"/>
      <c r="U469" s="30"/>
      <c r="V469" s="185"/>
    </row>
    <row r="470" spans="1:22" ht="18" hidden="1" customHeight="1">
      <c r="A470" s="96"/>
      <c r="B470" s="14"/>
      <c r="G470" s="14"/>
      <c r="H470" s="14"/>
      <c r="I470" s="14"/>
      <c r="J470" s="14"/>
      <c r="K470" s="14"/>
      <c r="L470" s="14"/>
      <c r="M470" s="14"/>
      <c r="N470" s="14"/>
      <c r="R470" s="234"/>
      <c r="S470" s="204"/>
      <c r="V470" s="185"/>
    </row>
    <row r="471" spans="1:22" ht="18" hidden="1" customHeight="1">
      <c r="A471" s="96"/>
      <c r="B471" s="14"/>
      <c r="F471" s="27"/>
      <c r="G471" s="14"/>
      <c r="H471" s="14"/>
      <c r="I471" s="14"/>
      <c r="J471" s="14"/>
      <c r="K471" s="14"/>
      <c r="L471" s="14"/>
      <c r="M471" s="14"/>
      <c r="N471" s="14"/>
      <c r="R471" s="234"/>
      <c r="S471" s="204"/>
      <c r="V471" s="185"/>
    </row>
    <row r="472" spans="1:22" ht="18" hidden="1" customHeight="1">
      <c r="A472" s="96"/>
      <c r="B472" s="14"/>
      <c r="G472" s="14"/>
      <c r="H472" s="14"/>
      <c r="I472" s="14"/>
      <c r="J472" s="14"/>
      <c r="K472" s="14"/>
      <c r="L472" s="14"/>
      <c r="M472" s="14"/>
      <c r="N472" s="14"/>
      <c r="R472" s="234"/>
      <c r="S472" s="204"/>
      <c r="V472" s="185"/>
    </row>
    <row r="473" spans="1:22" ht="18" hidden="1" customHeight="1">
      <c r="A473" s="96"/>
      <c r="B473" s="14"/>
      <c r="D473" s="283"/>
      <c r="E473" s="284"/>
      <c r="F473" s="14"/>
      <c r="G473" s="14"/>
      <c r="H473" s="14"/>
      <c r="I473" s="284"/>
      <c r="J473" s="28"/>
      <c r="L473" s="279"/>
      <c r="M473" s="120"/>
      <c r="N473" s="47"/>
      <c r="O473" s="279"/>
      <c r="P473" s="236"/>
      <c r="Q473" s="236"/>
      <c r="R473" s="234"/>
      <c r="S473" s="204"/>
      <c r="V473" s="185"/>
    </row>
    <row r="474" spans="1:22" ht="18" hidden="1" customHeight="1">
      <c r="A474" s="96"/>
      <c r="B474" s="14"/>
      <c r="D474" s="218"/>
      <c r="E474" s="284"/>
      <c r="F474" s="285"/>
      <c r="G474" s="286"/>
      <c r="H474" s="285"/>
      <c r="I474" s="284"/>
      <c r="J474" s="28"/>
      <c r="L474" s="279"/>
      <c r="M474" s="120"/>
      <c r="N474" s="213"/>
      <c r="O474" s="279"/>
      <c r="P474" s="236"/>
      <c r="Q474" s="236"/>
      <c r="R474" s="234"/>
      <c r="S474" s="204"/>
      <c r="V474" s="185"/>
    </row>
    <row r="475" spans="1:22" ht="18" hidden="1" customHeight="1">
      <c r="A475" s="96"/>
      <c r="B475" s="14"/>
      <c r="G475" s="14"/>
      <c r="H475" s="14"/>
      <c r="I475" s="14"/>
      <c r="J475" s="14"/>
      <c r="K475" s="14"/>
      <c r="L475" s="14"/>
      <c r="M475" s="14"/>
      <c r="N475" s="14"/>
      <c r="R475" s="234"/>
      <c r="S475" s="204"/>
      <c r="V475" s="185"/>
    </row>
    <row r="476" spans="1:22" ht="18" hidden="1" customHeight="1">
      <c r="A476" s="96"/>
      <c r="B476" s="14"/>
      <c r="G476" s="14"/>
      <c r="H476" s="18"/>
      <c r="I476" s="14"/>
      <c r="J476" s="14"/>
      <c r="K476" s="14"/>
      <c r="L476" s="14"/>
      <c r="M476" s="14"/>
      <c r="N476" s="14"/>
      <c r="R476" s="234"/>
      <c r="S476" s="204"/>
      <c r="V476" s="185"/>
    </row>
    <row r="477" spans="1:22" ht="18" hidden="1" customHeight="1">
      <c r="A477" s="96"/>
      <c r="B477" s="14"/>
      <c r="G477" s="14"/>
      <c r="H477" s="18"/>
      <c r="I477" s="14"/>
      <c r="J477" s="14"/>
      <c r="K477" s="14"/>
      <c r="L477" s="14"/>
      <c r="M477" s="14"/>
      <c r="N477" s="14"/>
      <c r="R477" s="234"/>
      <c r="S477" s="204"/>
      <c r="V477" s="185"/>
    </row>
    <row r="478" spans="1:22" ht="18" hidden="1" customHeight="1">
      <c r="A478" s="96"/>
      <c r="B478" s="14"/>
      <c r="G478" s="14"/>
      <c r="H478" s="14"/>
      <c r="I478" s="14"/>
      <c r="J478" s="14"/>
      <c r="K478" s="14"/>
      <c r="L478" s="14"/>
      <c r="M478" s="14"/>
      <c r="N478" s="14"/>
      <c r="R478" s="234"/>
      <c r="S478" s="204"/>
      <c r="V478" s="185"/>
    </row>
    <row r="479" spans="1:22" ht="18" hidden="1" customHeight="1">
      <c r="A479" s="194"/>
      <c r="B479" s="195"/>
      <c r="C479" s="195"/>
      <c r="D479" s="195"/>
      <c r="E479" s="195"/>
      <c r="F479" s="195"/>
      <c r="G479" s="195"/>
      <c r="H479" s="195"/>
      <c r="I479" s="195"/>
      <c r="J479" s="195"/>
      <c r="K479" s="195"/>
      <c r="L479" s="195"/>
      <c r="M479" s="195"/>
      <c r="N479" s="195"/>
      <c r="O479" s="195"/>
      <c r="P479" s="195"/>
      <c r="Q479" s="224"/>
      <c r="R479" s="182"/>
      <c r="S479" s="225"/>
      <c r="T479" s="195"/>
      <c r="U479" s="195"/>
      <c r="V479" s="134" t="s">
        <v>552</v>
      </c>
    </row>
    <row r="480" spans="1:22" ht="18" hidden="1" customHeight="1">
      <c r="A480" s="226"/>
      <c r="B480" s="227"/>
      <c r="C480" s="227"/>
      <c r="D480" s="227"/>
      <c r="E480" s="227"/>
      <c r="F480" s="227"/>
      <c r="G480" s="227"/>
      <c r="H480" s="227"/>
      <c r="I480" s="227"/>
      <c r="J480" s="227"/>
      <c r="K480" s="227"/>
      <c r="L480" s="227"/>
      <c r="M480" s="227"/>
      <c r="N480" s="227"/>
      <c r="O480" s="227"/>
      <c r="P480" s="227"/>
      <c r="Q480" s="227"/>
      <c r="R480" s="227"/>
      <c r="S480" s="227"/>
      <c r="T480" s="227"/>
      <c r="U480" s="227"/>
      <c r="V480" s="228"/>
    </row>
    <row r="481" spans="1:29" ht="18" hidden="1" customHeight="1">
      <c r="A481" s="184"/>
      <c r="B481" s="854" t="str">
        <f>B393</f>
        <v>CT1L1</v>
      </c>
      <c r="C481" s="831"/>
      <c r="D481" s="855" t="str">
        <f>D393</f>
        <v>Core3</v>
      </c>
      <c r="E481" s="856"/>
      <c r="F481" s="186" t="s">
        <v>636</v>
      </c>
      <c r="H481" s="684" t="str">
        <f>H393</f>
        <v>(Main-1 Multi Func. Capacitor Protection)</v>
      </c>
      <c r="I481" s="684"/>
      <c r="J481" s="684"/>
      <c r="K481" s="684"/>
      <c r="L481" s="684"/>
      <c r="M481" s="684"/>
      <c r="P481" s="186"/>
      <c r="S481" s="187" t="s">
        <v>387</v>
      </c>
      <c r="T481" s="1154" t="str">
        <f>T393</f>
        <v>SEL487E</v>
      </c>
      <c r="U481" s="1155"/>
      <c r="V481" s="185"/>
    </row>
    <row r="482" spans="1:29" ht="18" hidden="1" customHeight="1">
      <c r="A482" s="184"/>
      <c r="B482" s="853" t="str">
        <f>B394</f>
        <v>CT1L2</v>
      </c>
      <c r="C482" s="853"/>
      <c r="D482" s="857"/>
      <c r="E482" s="858"/>
      <c r="F482" s="255"/>
      <c r="T482" s="1154">
        <f>T394</f>
        <v>0</v>
      </c>
      <c r="U482" s="1155"/>
      <c r="V482" s="185"/>
    </row>
    <row r="483" spans="1:29" ht="18" hidden="1" customHeight="1">
      <c r="A483" s="184"/>
      <c r="H483" s="708" t="s">
        <v>390</v>
      </c>
      <c r="I483" s="708"/>
      <c r="J483" s="708" t="s">
        <v>391</v>
      </c>
      <c r="K483" s="708"/>
      <c r="L483" s="789" t="s">
        <v>392</v>
      </c>
      <c r="M483" s="789"/>
      <c r="T483" s="1154">
        <f>T395</f>
        <v>0</v>
      </c>
      <c r="U483" s="1155"/>
      <c r="V483" s="185"/>
    </row>
    <row r="484" spans="1:29" ht="18" hidden="1" customHeight="1">
      <c r="A484" s="184"/>
      <c r="B484" s="47" t="s">
        <v>393</v>
      </c>
      <c r="H484" s="854">
        <f>H396</f>
        <v>5000</v>
      </c>
      <c r="I484" s="831"/>
      <c r="J484" s="854">
        <f>J396</f>
        <v>4000</v>
      </c>
      <c r="K484" s="831"/>
      <c r="L484" s="863">
        <f>L396</f>
        <v>3000</v>
      </c>
      <c r="M484" s="864"/>
      <c r="N484" s="102" t="s">
        <v>342</v>
      </c>
      <c r="O484" s="256">
        <f>O396</f>
        <v>1</v>
      </c>
      <c r="P484" s="27" t="s">
        <v>8</v>
      </c>
      <c r="V484" s="185"/>
    </row>
    <row r="485" spans="1:29" ht="18" hidden="1" customHeight="1">
      <c r="A485" s="184"/>
      <c r="B485" s="47" t="s">
        <v>394</v>
      </c>
      <c r="H485" s="14"/>
      <c r="I485" s="14"/>
      <c r="L485" s="854" t="str">
        <f>J397</f>
        <v>PX</v>
      </c>
      <c r="M485" s="776"/>
      <c r="V485" s="185"/>
    </row>
    <row r="486" spans="1:29" ht="18" hidden="1" customHeight="1">
      <c r="A486" s="184"/>
      <c r="B486" s="47" t="s">
        <v>396</v>
      </c>
      <c r="K486" s="120" t="s">
        <v>497</v>
      </c>
      <c r="L486" s="781">
        <v>10</v>
      </c>
      <c r="M486" s="782"/>
      <c r="N486" s="192" t="s">
        <v>333</v>
      </c>
      <c r="V486" s="185"/>
    </row>
    <row r="487" spans="1:29" ht="18" hidden="1" customHeight="1">
      <c r="A487" s="184"/>
      <c r="B487" s="47" t="s">
        <v>398</v>
      </c>
      <c r="K487" s="120" t="s">
        <v>498</v>
      </c>
      <c r="L487" s="781">
        <v>800</v>
      </c>
      <c r="M487" s="782"/>
      <c r="N487" s="14" t="s">
        <v>305</v>
      </c>
      <c r="V487" s="185"/>
      <c r="W487" s="30" t="s">
        <v>400</v>
      </c>
      <c r="AB487" s="785">
        <f>D545</f>
        <v>52.145914460383743</v>
      </c>
      <c r="AC487" s="786"/>
    </row>
    <row r="488" spans="1:29" ht="18" hidden="1" customHeight="1">
      <c r="A488" s="184"/>
      <c r="B488" s="14" t="s">
        <v>401</v>
      </c>
      <c r="K488" s="120" t="s">
        <v>402</v>
      </c>
      <c r="L488" s="781">
        <v>50</v>
      </c>
      <c r="M488" s="782"/>
      <c r="N488" s="30" t="s">
        <v>403</v>
      </c>
      <c r="V488" s="185"/>
    </row>
    <row r="489" spans="1:29" ht="18" hidden="1" customHeight="1">
      <c r="A489" s="96"/>
      <c r="V489" s="185"/>
    </row>
    <row r="490" spans="1:29" ht="18" hidden="1" customHeight="1">
      <c r="A490" s="193" t="s">
        <v>404</v>
      </c>
      <c r="V490" s="185"/>
    </row>
    <row r="491" spans="1:29" ht="18" hidden="1" customHeight="1">
      <c r="A491" s="184"/>
      <c r="V491" s="185"/>
    </row>
    <row r="492" spans="1:29" ht="18" hidden="1" customHeight="1">
      <c r="A492" s="184"/>
      <c r="B492" s="194" t="s">
        <v>405</v>
      </c>
      <c r="C492" s="195"/>
      <c r="D492" s="195" t="str">
        <f>T481</f>
        <v>SEL487E</v>
      </c>
      <c r="E492" s="196"/>
      <c r="F492" s="196"/>
      <c r="G492" s="196"/>
      <c r="H492" s="182" t="s">
        <v>406</v>
      </c>
      <c r="I492" s="183" t="s">
        <v>127</v>
      </c>
      <c r="J492" s="766">
        <f>J404</f>
        <v>0.1</v>
      </c>
      <c r="K492" s="958"/>
      <c r="L492" s="3" t="s">
        <v>157</v>
      </c>
      <c r="V492" s="185"/>
    </row>
    <row r="493" spans="1:29" ht="18" hidden="1" customHeight="1">
      <c r="A493" s="184"/>
      <c r="B493" s="184" t="s">
        <v>405</v>
      </c>
      <c r="D493" s="30">
        <f>T482</f>
        <v>0</v>
      </c>
      <c r="H493" s="27"/>
      <c r="I493" s="177" t="s">
        <v>127</v>
      </c>
      <c r="J493" s="766">
        <f>J405</f>
        <v>0</v>
      </c>
      <c r="K493" s="958"/>
      <c r="L493" s="198" t="s">
        <v>157</v>
      </c>
      <c r="V493" s="185"/>
    </row>
    <row r="494" spans="1:29" ht="18" hidden="1" customHeight="1">
      <c r="A494" s="184"/>
      <c r="B494" s="184" t="s">
        <v>405</v>
      </c>
      <c r="D494" s="30">
        <f>T483</f>
        <v>0</v>
      </c>
      <c r="E494" s="14"/>
      <c r="G494" s="199"/>
      <c r="H494" s="27"/>
      <c r="I494" s="177" t="s">
        <v>127</v>
      </c>
      <c r="J494" s="766">
        <f>J406</f>
        <v>0</v>
      </c>
      <c r="K494" s="958"/>
      <c r="L494" s="202" t="s">
        <v>157</v>
      </c>
      <c r="V494" s="185"/>
    </row>
    <row r="495" spans="1:29" ht="18" hidden="1" customHeight="1">
      <c r="A495" s="184"/>
      <c r="B495" s="184" t="s">
        <v>412</v>
      </c>
      <c r="H495" s="27" t="s">
        <v>599</v>
      </c>
      <c r="I495" s="177" t="s">
        <v>127</v>
      </c>
      <c r="J495" s="766">
        <f>J407</f>
        <v>1.0770224400000001</v>
      </c>
      <c r="K495" s="958"/>
      <c r="L495" s="203" t="s">
        <v>157</v>
      </c>
      <c r="V495" s="185"/>
    </row>
    <row r="496" spans="1:29" ht="18" hidden="1" customHeight="1">
      <c r="A496" s="184"/>
      <c r="B496" s="205" t="s">
        <v>413</v>
      </c>
      <c r="C496" s="206"/>
      <c r="D496" s="206"/>
      <c r="E496" s="206"/>
      <c r="F496" s="207"/>
      <c r="G496" s="207"/>
      <c r="H496" s="190" t="s">
        <v>409</v>
      </c>
      <c r="I496" s="208" t="s">
        <v>127</v>
      </c>
      <c r="J496" s="766">
        <f>J493+J495</f>
        <v>1.0770224400000001</v>
      </c>
      <c r="K496" s="958"/>
      <c r="L496" s="210" t="s">
        <v>157</v>
      </c>
      <c r="V496" s="185"/>
    </row>
    <row r="497" spans="1:22" ht="18" hidden="1" customHeight="1">
      <c r="A497" s="184"/>
      <c r="B497" s="47"/>
      <c r="C497" s="47"/>
      <c r="D497" s="47"/>
      <c r="E497" s="47"/>
      <c r="H497" s="27"/>
      <c r="I497" s="28"/>
      <c r="J497" s="199"/>
      <c r="L497" s="47"/>
      <c r="O497" s="27"/>
      <c r="P497" s="211"/>
      <c r="Q497" s="211"/>
      <c r="R497" s="192"/>
      <c r="V497" s="185"/>
    </row>
    <row r="498" spans="1:22" ht="18" hidden="1" customHeight="1">
      <c r="A498" s="184"/>
      <c r="B498" s="197" t="s">
        <v>648</v>
      </c>
      <c r="L498" s="47"/>
      <c r="M498" s="197" t="s">
        <v>407</v>
      </c>
      <c r="V498" s="185"/>
    </row>
    <row r="499" spans="1:22" s="14" customFormat="1" ht="18" hidden="1" customHeight="1">
      <c r="A499" s="184"/>
      <c r="B499" s="27" t="s">
        <v>649</v>
      </c>
      <c r="C499" s="27" t="s">
        <v>127</v>
      </c>
      <c r="D499" s="30" t="s">
        <v>406</v>
      </c>
      <c r="E499" s="271" t="s">
        <v>410</v>
      </c>
      <c r="F499" s="27" t="s">
        <v>146</v>
      </c>
      <c r="G499" s="28" t="s">
        <v>315</v>
      </c>
      <c r="H499" s="218" t="s">
        <v>146</v>
      </c>
      <c r="I499" s="30" t="s">
        <v>350</v>
      </c>
      <c r="J499" s="199"/>
      <c r="K499" s="30"/>
      <c r="L499" s="47"/>
      <c r="M499" s="30" t="s">
        <v>408</v>
      </c>
      <c r="N499" s="27" t="s">
        <v>127</v>
      </c>
      <c r="O499" s="30" t="s">
        <v>409</v>
      </c>
      <c r="P499" s="191" t="s">
        <v>410</v>
      </c>
      <c r="Q499" s="244" t="s">
        <v>411</v>
      </c>
      <c r="R499" s="27" t="s">
        <v>315</v>
      </c>
      <c r="S499" s="30" t="s">
        <v>411</v>
      </c>
      <c r="T499" s="30" t="s">
        <v>350</v>
      </c>
      <c r="U499" s="30"/>
      <c r="V499" s="185"/>
    </row>
    <row r="500" spans="1:22" s="14" customFormat="1" ht="18" hidden="1" customHeight="1">
      <c r="A500" s="184"/>
      <c r="B500" s="47"/>
      <c r="C500" s="27" t="s">
        <v>127</v>
      </c>
      <c r="D500" s="204">
        <f>J492</f>
        <v>0.1</v>
      </c>
      <c r="E500" s="191" t="s">
        <v>410</v>
      </c>
      <c r="F500" s="27">
        <f>F412</f>
        <v>1</v>
      </c>
      <c r="G500" s="27" t="s">
        <v>315</v>
      </c>
      <c r="H500" s="27">
        <f>H412</f>
        <v>1</v>
      </c>
      <c r="I500" s="30" t="s">
        <v>350</v>
      </c>
      <c r="J500" s="199"/>
      <c r="K500" s="30"/>
      <c r="L500" s="47"/>
      <c r="M500" s="30"/>
      <c r="N500" s="27" t="s">
        <v>127</v>
      </c>
      <c r="O500" s="204">
        <f>J496</f>
        <v>1.0770224400000001</v>
      </c>
      <c r="P500" s="191" t="s">
        <v>410</v>
      </c>
      <c r="Q500" s="27">
        <f>O484</f>
        <v>1</v>
      </c>
      <c r="R500" s="27" t="s">
        <v>315</v>
      </c>
      <c r="S500" s="27">
        <f>O484</f>
        <v>1</v>
      </c>
      <c r="T500" s="30" t="s">
        <v>350</v>
      </c>
      <c r="U500" s="30"/>
      <c r="V500" s="185"/>
    </row>
    <row r="501" spans="1:22" s="14" customFormat="1" ht="18" hidden="1" customHeight="1">
      <c r="A501" s="184"/>
      <c r="B501" s="47"/>
      <c r="C501" s="27" t="s">
        <v>127</v>
      </c>
      <c r="D501" s="795">
        <f>D500/(F500*H500)</f>
        <v>0.1</v>
      </c>
      <c r="E501" s="795"/>
      <c r="F501" s="192" t="s">
        <v>333</v>
      </c>
      <c r="G501" s="30"/>
      <c r="H501" s="30"/>
      <c r="I501" s="30"/>
      <c r="J501" s="199"/>
      <c r="K501" s="30"/>
      <c r="L501" s="47"/>
      <c r="M501" s="30"/>
      <c r="N501" s="27" t="s">
        <v>127</v>
      </c>
      <c r="O501" s="795">
        <f>O500/(Q500*S500)</f>
        <v>1.0770224400000001</v>
      </c>
      <c r="P501" s="795"/>
      <c r="Q501" s="192" t="s">
        <v>333</v>
      </c>
      <c r="R501" s="30"/>
      <c r="S501" s="30"/>
      <c r="T501" s="30"/>
      <c r="U501" s="30"/>
      <c r="V501" s="185"/>
    </row>
    <row r="502" spans="1:22" s="14" customFormat="1" ht="18" hidden="1" customHeight="1">
      <c r="A502" s="184"/>
      <c r="B502" s="47"/>
      <c r="C502" s="47"/>
      <c r="D502" s="47"/>
      <c r="E502" s="47"/>
      <c r="F502" s="30"/>
      <c r="G502" s="30"/>
      <c r="H502" s="27"/>
      <c r="I502" s="28"/>
      <c r="J502" s="199"/>
      <c r="K502" s="30"/>
      <c r="L502" s="47"/>
      <c r="M502" s="30"/>
      <c r="N502" s="30"/>
      <c r="O502" s="27"/>
      <c r="P502" s="211"/>
      <c r="Q502" s="211"/>
      <c r="R502" s="192"/>
      <c r="S502" s="30"/>
      <c r="T502" s="30"/>
      <c r="U502" s="30"/>
      <c r="V502" s="185"/>
    </row>
    <row r="503" spans="1:22" s="14" customFormat="1" ht="18" hidden="1" customHeight="1">
      <c r="A503" s="184"/>
      <c r="B503" s="47"/>
      <c r="C503" s="47"/>
      <c r="D503" s="47"/>
      <c r="E503" s="47"/>
      <c r="F503" s="30"/>
      <c r="G503" s="30"/>
      <c r="H503" s="27"/>
      <c r="I503" s="28"/>
      <c r="J503" s="199"/>
      <c r="K503" s="30"/>
      <c r="L503" s="47"/>
      <c r="M503" s="204"/>
      <c r="N503" s="27"/>
      <c r="O503" s="211"/>
      <c r="P503" s="211"/>
      <c r="Q503" s="211"/>
      <c r="R503" s="192"/>
      <c r="S503" s="30"/>
      <c r="T503" s="30"/>
      <c r="U503" s="30"/>
      <c r="V503" s="185"/>
    </row>
    <row r="504" spans="1:22" s="14" customFormat="1" ht="18" hidden="1" customHeight="1">
      <c r="A504" s="193" t="s">
        <v>600</v>
      </c>
      <c r="B504" s="5"/>
      <c r="C504" s="5"/>
      <c r="D504" s="5"/>
      <c r="E504" s="5"/>
      <c r="F504" s="5"/>
      <c r="G504" s="5"/>
      <c r="H504" s="212"/>
      <c r="I504" s="212"/>
      <c r="J504" s="5"/>
      <c r="K504" s="5"/>
      <c r="L504" s="5"/>
      <c r="M504" s="5"/>
      <c r="N504" s="5"/>
      <c r="O504" s="5"/>
      <c r="P504" s="103"/>
      <c r="Q504" s="212"/>
      <c r="R504" s="213"/>
      <c r="S504" s="214"/>
      <c r="T504" s="18"/>
      <c r="U504" s="18"/>
      <c r="V504" s="97"/>
    </row>
    <row r="505" spans="1:22" s="14" customFormat="1" ht="18" hidden="1" customHeight="1">
      <c r="A505" s="96"/>
      <c r="B505" s="47" t="s">
        <v>601</v>
      </c>
      <c r="C505" s="5"/>
      <c r="D505" s="5"/>
      <c r="E505" s="5"/>
      <c r="I505" s="215"/>
      <c r="M505" s="5"/>
      <c r="N505" s="103" t="s">
        <v>127</v>
      </c>
      <c r="O505" s="1154">
        <f>O417</f>
        <v>100</v>
      </c>
      <c r="P505" s="831"/>
      <c r="Q505" s="14" t="s">
        <v>602</v>
      </c>
      <c r="S505" s="214"/>
      <c r="T505" s="18"/>
      <c r="U505" s="18"/>
      <c r="V505" s="97"/>
    </row>
    <row r="506" spans="1:22" s="14" customFormat="1" ht="18" hidden="1" customHeight="1">
      <c r="A506" s="96"/>
      <c r="B506" s="47" t="s">
        <v>603</v>
      </c>
      <c r="C506" s="5"/>
      <c r="D506" s="5"/>
      <c r="E506" s="5"/>
      <c r="I506" s="215"/>
      <c r="M506" s="5"/>
      <c r="N506" s="103" t="s">
        <v>127</v>
      </c>
      <c r="O506" s="1154">
        <f>O418</f>
        <v>25</v>
      </c>
      <c r="P506" s="831"/>
      <c r="Q506" s="14" t="s">
        <v>604</v>
      </c>
      <c r="S506" s="214"/>
      <c r="T506" s="18"/>
      <c r="U506" s="18"/>
      <c r="V506" s="97"/>
    </row>
    <row r="507" spans="1:22" s="14" customFormat="1" ht="18" hidden="1" customHeight="1">
      <c r="A507" s="96"/>
      <c r="B507" s="47" t="s">
        <v>605</v>
      </c>
      <c r="C507" s="5"/>
      <c r="D507" s="5"/>
      <c r="E507" s="5"/>
      <c r="M507" s="120" t="s">
        <v>606</v>
      </c>
      <c r="N507" s="103" t="s">
        <v>607</v>
      </c>
      <c r="O507" s="1154">
        <f>O419</f>
        <v>132</v>
      </c>
      <c r="P507" s="831"/>
      <c r="Q507" s="14" t="s">
        <v>163</v>
      </c>
      <c r="S507" s="214"/>
      <c r="T507" s="18"/>
      <c r="U507" s="18"/>
      <c r="V507" s="97"/>
    </row>
    <row r="508" spans="1:22" s="14" customFormat="1" ht="18" hidden="1" customHeight="1">
      <c r="A508" s="216"/>
      <c r="B508" s="212"/>
      <c r="C508" s="212"/>
      <c r="D508" s="212"/>
      <c r="E508" s="212"/>
      <c r="T508" s="18"/>
      <c r="U508" s="18"/>
      <c r="V508" s="97"/>
    </row>
    <row r="509" spans="1:22" s="14" customFormat="1" ht="18" hidden="1" customHeight="1">
      <c r="A509" s="272" t="s">
        <v>608</v>
      </c>
      <c r="B509" s="213"/>
      <c r="C509" s="213"/>
      <c r="D509" s="213"/>
      <c r="E509" s="213"/>
      <c r="H509" s="120" t="s">
        <v>609</v>
      </c>
      <c r="I509" s="28" t="s">
        <v>127</v>
      </c>
      <c r="J509" s="689" t="s">
        <v>610</v>
      </c>
      <c r="K509" s="689"/>
      <c r="L509" s="28" t="s">
        <v>315</v>
      </c>
      <c r="M509" s="217">
        <v>1000</v>
      </c>
      <c r="N509" s="102" t="s">
        <v>342</v>
      </c>
      <c r="O509" s="28" t="s">
        <v>611</v>
      </c>
      <c r="P509" s="28" t="s">
        <v>315</v>
      </c>
      <c r="Q509" s="28" t="s">
        <v>606</v>
      </c>
      <c r="R509" s="47" t="s">
        <v>350</v>
      </c>
      <c r="T509" s="18"/>
      <c r="U509" s="18"/>
      <c r="V509" s="97"/>
    </row>
    <row r="510" spans="1:22" ht="18" hidden="1" customHeight="1">
      <c r="A510" s="216"/>
      <c r="B510" s="213"/>
      <c r="C510" s="213"/>
      <c r="D510" s="213"/>
      <c r="E510" s="213"/>
      <c r="F510" s="212"/>
      <c r="G510" s="212"/>
      <c r="H510" s="28"/>
      <c r="I510" s="28" t="s">
        <v>127</v>
      </c>
      <c r="J510" s="689">
        <f>O505</f>
        <v>100</v>
      </c>
      <c r="K510" s="689"/>
      <c r="L510" s="28" t="s">
        <v>315</v>
      </c>
      <c r="M510" s="217">
        <v>1000</v>
      </c>
      <c r="N510" s="102" t="s">
        <v>342</v>
      </c>
      <c r="O510" s="28" t="s">
        <v>611</v>
      </c>
      <c r="P510" s="28" t="s">
        <v>315</v>
      </c>
      <c r="Q510" s="28">
        <f>O507</f>
        <v>132</v>
      </c>
      <c r="R510" s="47" t="s">
        <v>350</v>
      </c>
      <c r="S510" s="14"/>
      <c r="T510" s="18"/>
      <c r="U510" s="18"/>
      <c r="V510" s="97"/>
    </row>
    <row r="511" spans="1:22" ht="18" hidden="1" customHeight="1">
      <c r="A511" s="216"/>
      <c r="B511" s="212"/>
      <c r="C511" s="212"/>
      <c r="D511" s="212"/>
      <c r="E511" s="212"/>
      <c r="F511" s="212"/>
      <c r="G511" s="212"/>
      <c r="H511" s="14"/>
      <c r="I511" s="28" t="s">
        <v>127</v>
      </c>
      <c r="J511" s="692">
        <f>(O505*1000)/(SQRT(3)*O507)</f>
        <v>437.38656756789834</v>
      </c>
      <c r="K511" s="692"/>
      <c r="L511" s="14" t="s">
        <v>8</v>
      </c>
      <c r="M511" s="120"/>
      <c r="N511" s="120"/>
      <c r="O511" s="120"/>
      <c r="P511" s="14"/>
      <c r="Q511" s="14"/>
      <c r="R511" s="14"/>
      <c r="S511" s="14"/>
      <c r="T511" s="18"/>
      <c r="U511" s="18"/>
      <c r="V511" s="97"/>
    </row>
    <row r="512" spans="1:22" ht="18" hidden="1" customHeight="1">
      <c r="A512" s="216"/>
      <c r="B512" s="212"/>
      <c r="C512" s="212"/>
      <c r="D512" s="212"/>
      <c r="E512" s="212"/>
      <c r="F512" s="14"/>
      <c r="G512" s="212"/>
      <c r="H512" s="28"/>
      <c r="I512" s="103"/>
      <c r="J512" s="28"/>
      <c r="K512" s="14"/>
      <c r="L512" s="14"/>
      <c r="M512" s="212"/>
      <c r="N512" s="219"/>
      <c r="O512" s="212"/>
      <c r="P512" s="14"/>
      <c r="Q512" s="14"/>
      <c r="R512" s="14"/>
      <c r="S512" s="14"/>
      <c r="T512" s="18"/>
      <c r="U512" s="18"/>
      <c r="V512" s="97"/>
    </row>
    <row r="513" spans="1:22" s="14" customFormat="1" ht="18" hidden="1" customHeight="1">
      <c r="A513" s="147" t="s">
        <v>629</v>
      </c>
      <c r="B513" s="5"/>
      <c r="C513" s="5"/>
      <c r="D513" s="5"/>
      <c r="E513" s="5"/>
      <c r="F513" s="212"/>
      <c r="G513" s="212"/>
      <c r="H513" s="5"/>
      <c r="I513" s="5"/>
      <c r="J513" s="5"/>
      <c r="K513" s="5"/>
      <c r="L513" s="103"/>
      <c r="M513" s="103"/>
      <c r="N513" s="103"/>
      <c r="O513" s="103"/>
      <c r="P513" s="212"/>
      <c r="Q513" s="213"/>
      <c r="S513" s="220"/>
      <c r="T513" s="18"/>
      <c r="U513" s="18"/>
      <c r="V513" s="97"/>
    </row>
    <row r="514" spans="1:22" s="14" customFormat="1" ht="18" hidden="1" customHeight="1">
      <c r="A514" s="147"/>
      <c r="B514" s="5"/>
      <c r="C514" s="5"/>
      <c r="D514" s="5"/>
      <c r="E514" s="5"/>
      <c r="F514" s="212"/>
      <c r="G514" s="212"/>
      <c r="H514" s="5"/>
      <c r="I514" s="5"/>
      <c r="J514" s="5"/>
      <c r="K514" s="5"/>
      <c r="L514" s="103"/>
      <c r="M514" s="103"/>
      <c r="N514" s="103"/>
      <c r="O514" s="103"/>
      <c r="P514" s="212"/>
      <c r="Q514" s="213"/>
      <c r="S514" s="214"/>
      <c r="T514" s="18"/>
      <c r="U514" s="18"/>
      <c r="V514" s="97"/>
    </row>
    <row r="515" spans="1:22" ht="18" hidden="1" customHeight="1">
      <c r="A515" s="96" t="s">
        <v>612</v>
      </c>
      <c r="B515" s="14"/>
      <c r="C515" s="14"/>
      <c r="D515" s="14"/>
      <c r="E515" s="14"/>
      <c r="M515" s="120" t="s">
        <v>613</v>
      </c>
      <c r="N515" s="28" t="s">
        <v>127</v>
      </c>
      <c r="O515" s="689" t="s">
        <v>609</v>
      </c>
      <c r="P515" s="716"/>
      <c r="Q515" s="221" t="s">
        <v>630</v>
      </c>
      <c r="R515" s="221">
        <v>16</v>
      </c>
      <c r="S515" s="186"/>
      <c r="V515" s="185"/>
    </row>
    <row r="516" spans="1:22" ht="18" hidden="1" customHeight="1">
      <c r="A516" s="96"/>
      <c r="B516" s="5"/>
      <c r="C516" s="5"/>
      <c r="D516" s="5"/>
      <c r="E516" s="5"/>
      <c r="M516" s="250"/>
      <c r="N516" s="28" t="s">
        <v>127</v>
      </c>
      <c r="O516" s="689">
        <f>+J511</f>
        <v>437.38656756789834</v>
      </c>
      <c r="P516" s="716"/>
      <c r="Q516" s="221" t="s">
        <v>630</v>
      </c>
      <c r="R516" s="221">
        <v>16</v>
      </c>
      <c r="S516" s="186"/>
      <c r="V516" s="185"/>
    </row>
    <row r="517" spans="1:22" s="279" customFormat="1" ht="18" hidden="1" customHeight="1">
      <c r="A517" s="96"/>
      <c r="B517" s="5"/>
      <c r="C517" s="5"/>
      <c r="D517" s="5"/>
      <c r="E517" s="5"/>
      <c r="F517" s="30"/>
      <c r="G517" s="30"/>
      <c r="H517" s="30"/>
      <c r="I517" s="30"/>
      <c r="J517" s="30"/>
      <c r="K517" s="30"/>
      <c r="L517" s="30"/>
      <c r="M517" s="120" t="s">
        <v>613</v>
      </c>
      <c r="N517" s="28" t="s">
        <v>127</v>
      </c>
      <c r="O517" s="689">
        <f>O516*R516</f>
        <v>6998.1850810863734</v>
      </c>
      <c r="P517" s="716"/>
      <c r="Q517" s="241" t="s">
        <v>8</v>
      </c>
      <c r="R517" s="14"/>
      <c r="S517" s="186"/>
      <c r="T517" s="30"/>
      <c r="U517" s="30"/>
      <c r="V517" s="185"/>
    </row>
    <row r="518" spans="1:22" s="279" customFormat="1" ht="18" hidden="1" customHeight="1">
      <c r="A518" s="96"/>
      <c r="B518" s="5"/>
      <c r="C518" s="5"/>
      <c r="D518" s="5"/>
      <c r="E518" s="5"/>
      <c r="F518" s="30"/>
      <c r="G518" s="30"/>
      <c r="H518" s="30"/>
      <c r="I518" s="30"/>
      <c r="J518" s="30"/>
      <c r="K518" s="30"/>
      <c r="L518" s="30"/>
      <c r="M518" s="120"/>
      <c r="N518" s="28"/>
      <c r="O518" s="28"/>
      <c r="P518" s="14"/>
      <c r="Q518" s="241"/>
      <c r="R518" s="14"/>
      <c r="S518" s="186"/>
      <c r="T518" s="30"/>
      <c r="U518" s="30"/>
      <c r="V518" s="185"/>
    </row>
    <row r="519" spans="1:22" s="279" customFormat="1" ht="18" hidden="1" customHeight="1">
      <c r="A519" s="96"/>
      <c r="B519" s="5"/>
      <c r="C519" s="5"/>
      <c r="D519" s="5"/>
      <c r="E519" s="5"/>
      <c r="F519" s="30"/>
      <c r="G519" s="30"/>
      <c r="H519" s="30"/>
      <c r="I519" s="30"/>
      <c r="J519" s="30"/>
      <c r="K519" s="30"/>
      <c r="L519" s="30"/>
      <c r="M519" s="120"/>
      <c r="N519" s="28"/>
      <c r="O519" s="28"/>
      <c r="P519" s="14"/>
      <c r="Q519" s="241"/>
      <c r="R519" s="14"/>
      <c r="S519" s="186"/>
      <c r="T519" s="30"/>
      <c r="U519" s="30"/>
      <c r="V519" s="185"/>
    </row>
    <row r="520" spans="1:22" s="279" customFormat="1" ht="18" hidden="1" customHeight="1">
      <c r="A520" s="96"/>
      <c r="B520" s="5"/>
      <c r="C520" s="5"/>
      <c r="D520" s="5"/>
      <c r="E520" s="5"/>
      <c r="F520" s="30"/>
      <c r="G520" s="30"/>
      <c r="H520" s="30"/>
      <c r="I520" s="30"/>
      <c r="J520" s="30"/>
      <c r="K520" s="30"/>
      <c r="L520" s="30"/>
      <c r="M520" s="120"/>
      <c r="N520" s="28"/>
      <c r="O520" s="28"/>
      <c r="P520" s="14"/>
      <c r="Q520" s="241"/>
      <c r="R520" s="14"/>
      <c r="S520" s="186"/>
      <c r="T520" s="30"/>
      <c r="U520" s="30"/>
      <c r="V520" s="185"/>
    </row>
    <row r="521" spans="1:22" s="279" customFormat="1" ht="18" hidden="1" customHeight="1">
      <c r="A521" s="96"/>
      <c r="B521" s="5"/>
      <c r="C521" s="5"/>
      <c r="D521" s="5"/>
      <c r="E521" s="5"/>
      <c r="F521" s="30"/>
      <c r="G521" s="30"/>
      <c r="H521" s="30"/>
      <c r="I521" s="30"/>
      <c r="J521" s="30"/>
      <c r="K521" s="30"/>
      <c r="L521" s="30"/>
      <c r="M521" s="120"/>
      <c r="N521" s="28"/>
      <c r="O521" s="28"/>
      <c r="P521" s="14"/>
      <c r="Q521" s="241"/>
      <c r="R521" s="14"/>
      <c r="S521" s="186"/>
      <c r="T521" s="30"/>
      <c r="U521" s="30"/>
      <c r="V521" s="185"/>
    </row>
    <row r="522" spans="1:22" s="279" customFormat="1" ht="18" hidden="1" customHeight="1">
      <c r="A522" s="96"/>
      <c r="B522" s="5"/>
      <c r="C522" s="5"/>
      <c r="D522" s="5"/>
      <c r="E522" s="5"/>
      <c r="F522" s="30"/>
      <c r="G522" s="30"/>
      <c r="H522" s="30"/>
      <c r="I522" s="30"/>
      <c r="J522" s="30"/>
      <c r="K522" s="30"/>
      <c r="L522" s="30"/>
      <c r="M522" s="120"/>
      <c r="N522" s="28"/>
      <c r="O522" s="28"/>
      <c r="P522" s="14"/>
      <c r="Q522" s="241"/>
      <c r="R522" s="14"/>
      <c r="S522" s="186"/>
      <c r="T522" s="30"/>
      <c r="U522" s="30"/>
      <c r="V522" s="185"/>
    </row>
    <row r="523" spans="1:22" s="279" customFormat="1" ht="18" hidden="1" customHeight="1">
      <c r="A523" s="194"/>
      <c r="B523" s="195"/>
      <c r="C523" s="195"/>
      <c r="D523" s="195"/>
      <c r="E523" s="195"/>
      <c r="F523" s="195"/>
      <c r="G523" s="195"/>
      <c r="H523" s="195"/>
      <c r="I523" s="195"/>
      <c r="J523" s="195"/>
      <c r="K523" s="195"/>
      <c r="L523" s="195"/>
      <c r="M523" s="195"/>
      <c r="N523" s="195"/>
      <c r="O523" s="195"/>
      <c r="P523" s="195"/>
      <c r="Q523" s="224"/>
      <c r="R523" s="182"/>
      <c r="S523" s="225"/>
      <c r="T523" s="195"/>
      <c r="U523" s="195"/>
      <c r="V523" s="134" t="s">
        <v>552</v>
      </c>
    </row>
    <row r="524" spans="1:22" ht="18" hidden="1" customHeight="1">
      <c r="A524" s="135"/>
      <c r="B524" s="273"/>
      <c r="C524" s="273"/>
      <c r="D524" s="273"/>
      <c r="E524" s="273"/>
      <c r="F524" s="273"/>
      <c r="G524" s="273"/>
      <c r="H524" s="273"/>
      <c r="I524" s="273"/>
      <c r="J524" s="273"/>
      <c r="K524" s="273"/>
      <c r="L524" s="273"/>
      <c r="M524" s="273"/>
      <c r="N524" s="273"/>
      <c r="O524" s="273"/>
      <c r="P524" s="273"/>
      <c r="Q524" s="274"/>
      <c r="R524" s="138"/>
      <c r="S524" s="275"/>
      <c r="T524" s="273"/>
      <c r="U524" s="273"/>
      <c r="V524" s="276"/>
    </row>
    <row r="525" spans="1:22" ht="18" hidden="1" customHeight="1">
      <c r="A525" s="96" t="s">
        <v>662</v>
      </c>
      <c r="V525" s="185"/>
    </row>
    <row r="526" spans="1:22" ht="18" hidden="1" customHeight="1">
      <c r="A526" s="184"/>
      <c r="V526" s="185"/>
    </row>
    <row r="527" spans="1:22" ht="18" hidden="1" customHeight="1">
      <c r="A527" s="277"/>
      <c r="B527" s="689" t="s">
        <v>473</v>
      </c>
      <c r="C527" s="1150" t="s">
        <v>652</v>
      </c>
      <c r="D527" s="689">
        <v>2</v>
      </c>
      <c r="E527" s="689" t="s">
        <v>378</v>
      </c>
      <c r="F527" s="689" t="s">
        <v>617</v>
      </c>
      <c r="G527" s="689"/>
      <c r="H527" s="689" t="s">
        <v>378</v>
      </c>
      <c r="I527" s="689" t="s">
        <v>419</v>
      </c>
      <c r="J527" s="689" t="s">
        <v>420</v>
      </c>
      <c r="K527" s="689" t="s">
        <v>347</v>
      </c>
      <c r="L527" s="689" t="s">
        <v>408</v>
      </c>
      <c r="M527" s="689" t="s">
        <v>347</v>
      </c>
      <c r="N527" s="689" t="s">
        <v>649</v>
      </c>
      <c r="O527" s="689" t="s">
        <v>350</v>
      </c>
      <c r="P527" s="14"/>
      <c r="Q527" s="14"/>
      <c r="R527" s="14"/>
      <c r="S527" s="14"/>
      <c r="T527" s="14"/>
      <c r="U527" s="729" t="s">
        <v>653</v>
      </c>
      <c r="V527" s="185"/>
    </row>
    <row r="528" spans="1:22" ht="18" hidden="1" customHeight="1">
      <c r="A528" s="277"/>
      <c r="B528" s="689"/>
      <c r="C528" s="689"/>
      <c r="D528" s="689"/>
      <c r="E528" s="689"/>
      <c r="F528" s="689"/>
      <c r="G528" s="689"/>
      <c r="H528" s="689"/>
      <c r="I528" s="689"/>
      <c r="J528" s="689"/>
      <c r="K528" s="689"/>
      <c r="L528" s="689"/>
      <c r="M528" s="689"/>
      <c r="N528" s="689"/>
      <c r="O528" s="689"/>
      <c r="P528" s="14"/>
      <c r="Q528" s="14"/>
      <c r="R528" s="14"/>
      <c r="S528" s="14"/>
      <c r="T528" s="14"/>
      <c r="U528" s="689"/>
      <c r="V528" s="185"/>
    </row>
    <row r="529" spans="1:22" ht="18" hidden="1" customHeight="1">
      <c r="A529" s="184"/>
      <c r="V529" s="185"/>
    </row>
    <row r="530" spans="1:22" ht="18" hidden="1" customHeight="1">
      <c r="A530" s="184"/>
      <c r="B530" s="47" t="s">
        <v>654</v>
      </c>
      <c r="C530" s="14"/>
      <c r="D530" s="14"/>
      <c r="E530" s="14"/>
      <c r="F530" s="18"/>
      <c r="G530" s="18"/>
      <c r="H530" s="14"/>
      <c r="I530" s="120"/>
      <c r="J530" s="14"/>
      <c r="K530" s="14"/>
      <c r="M530" s="14"/>
      <c r="N530" s="14"/>
      <c r="P530" s="14" t="s">
        <v>423</v>
      </c>
      <c r="R530" s="234" t="s">
        <v>127</v>
      </c>
      <c r="S530" s="684">
        <f>L484</f>
        <v>3000</v>
      </c>
      <c r="T530" s="684"/>
      <c r="U530" s="30" t="s">
        <v>8</v>
      </c>
      <c r="V530" s="185"/>
    </row>
    <row r="531" spans="1:22" ht="18" hidden="1" customHeight="1">
      <c r="A531" s="184"/>
      <c r="B531" s="47" t="s">
        <v>655</v>
      </c>
      <c r="C531" s="14"/>
      <c r="D531" s="14"/>
      <c r="E531" s="14"/>
      <c r="F531" s="18"/>
      <c r="G531" s="18"/>
      <c r="H531" s="14"/>
      <c r="I531" s="120"/>
      <c r="J531" s="14"/>
      <c r="K531" s="14"/>
      <c r="M531" s="14"/>
      <c r="N531" s="14"/>
      <c r="P531" s="14" t="s">
        <v>420</v>
      </c>
      <c r="R531" s="234" t="s">
        <v>127</v>
      </c>
      <c r="S531" s="684">
        <f>L486</f>
        <v>10</v>
      </c>
      <c r="T531" s="684"/>
      <c r="U531" s="192" t="s">
        <v>333</v>
      </c>
      <c r="V531" s="185"/>
    </row>
    <row r="532" spans="1:22" ht="18" hidden="1" customHeight="1">
      <c r="A532" s="184"/>
      <c r="B532" s="47" t="s">
        <v>656</v>
      </c>
      <c r="C532" s="14"/>
      <c r="D532" s="14"/>
      <c r="E532" s="14"/>
      <c r="F532" s="18"/>
      <c r="G532" s="18"/>
      <c r="H532" s="14"/>
      <c r="I532" s="120"/>
      <c r="J532" s="14"/>
      <c r="K532" s="14"/>
      <c r="M532" s="14"/>
      <c r="N532" s="14"/>
      <c r="P532" s="14" t="s">
        <v>408</v>
      </c>
      <c r="R532" s="234" t="s">
        <v>127</v>
      </c>
      <c r="S532" s="795">
        <f>O501</f>
        <v>1.0770224400000001</v>
      </c>
      <c r="T532" s="795"/>
      <c r="U532" s="192" t="s">
        <v>333</v>
      </c>
      <c r="V532" s="185"/>
    </row>
    <row r="533" spans="1:22" ht="18" hidden="1" customHeight="1">
      <c r="A533" s="184"/>
      <c r="B533" s="47" t="s">
        <v>657</v>
      </c>
      <c r="C533" s="14"/>
      <c r="D533" s="14"/>
      <c r="E533" s="14"/>
      <c r="F533" s="14"/>
      <c r="G533" s="14"/>
      <c r="H533" s="14"/>
      <c r="I533" s="120"/>
      <c r="J533" s="14"/>
      <c r="K533" s="14"/>
      <c r="M533" s="14"/>
      <c r="N533" s="14"/>
      <c r="P533" s="14" t="s">
        <v>649</v>
      </c>
      <c r="R533" s="234" t="s">
        <v>127</v>
      </c>
      <c r="S533" s="795">
        <f>D501</f>
        <v>0.1</v>
      </c>
      <c r="T533" s="684"/>
      <c r="U533" s="192" t="s">
        <v>333</v>
      </c>
      <c r="V533" s="185"/>
    </row>
    <row r="534" spans="1:22" ht="18" hidden="1" customHeight="1">
      <c r="A534" s="184"/>
      <c r="B534" s="14" t="s">
        <v>658</v>
      </c>
      <c r="C534" s="14"/>
      <c r="D534" s="14"/>
      <c r="E534" s="14"/>
      <c r="F534" s="14"/>
      <c r="G534" s="14"/>
      <c r="H534" s="14"/>
      <c r="I534" s="120"/>
      <c r="J534" s="14"/>
      <c r="K534" s="14"/>
      <c r="M534" s="14"/>
      <c r="N534" s="14"/>
      <c r="P534" s="47" t="s">
        <v>617</v>
      </c>
      <c r="R534" s="234" t="s">
        <v>127</v>
      </c>
      <c r="S534" s="795">
        <f>O517/S530</f>
        <v>2.3327283603621245</v>
      </c>
      <c r="T534" s="795"/>
      <c r="U534" s="30" t="s">
        <v>8</v>
      </c>
      <c r="V534" s="185"/>
    </row>
    <row r="535" spans="1:22" s="279" customFormat="1" ht="18" hidden="1" customHeight="1">
      <c r="A535" s="184"/>
      <c r="B535" s="47" t="s">
        <v>659</v>
      </c>
      <c r="C535" s="14"/>
      <c r="D535" s="14"/>
      <c r="E535" s="14"/>
      <c r="F535" s="14"/>
      <c r="G535" s="14"/>
      <c r="H535" s="14"/>
      <c r="I535" s="120"/>
      <c r="J535" s="14"/>
      <c r="K535" s="14"/>
      <c r="L535" s="30"/>
      <c r="M535" s="14"/>
      <c r="N535" s="14"/>
      <c r="O535" s="30"/>
      <c r="P535" s="120" t="s">
        <v>660</v>
      </c>
      <c r="Q535" s="30"/>
      <c r="R535" s="234" t="s">
        <v>127</v>
      </c>
      <c r="S535" s="684">
        <f>S447</f>
        <v>1</v>
      </c>
      <c r="T535" s="684"/>
      <c r="U535" s="30" t="s">
        <v>8</v>
      </c>
      <c r="V535" s="185"/>
    </row>
    <row r="536" spans="1:22" s="279" customFormat="1" ht="18" hidden="1" customHeight="1">
      <c r="A536" s="184"/>
      <c r="B536" s="30"/>
      <c r="C536" s="30"/>
      <c r="D536" s="30"/>
      <c r="E536" s="30"/>
      <c r="F536" s="30"/>
      <c r="G536" s="30"/>
      <c r="H536" s="30"/>
      <c r="I536" s="30"/>
      <c r="J536" s="30"/>
      <c r="K536" s="30"/>
      <c r="L536" s="30"/>
      <c r="M536" s="30"/>
      <c r="N536" s="30"/>
      <c r="O536" s="30"/>
      <c r="P536" s="30"/>
      <c r="Q536" s="30"/>
      <c r="R536" s="30"/>
      <c r="S536" s="30"/>
      <c r="T536" s="30"/>
      <c r="U536" s="30"/>
      <c r="V536" s="185"/>
    </row>
    <row r="537" spans="1:22" ht="18" hidden="1" customHeight="1">
      <c r="A537" s="96"/>
      <c r="B537" s="14" t="s">
        <v>661</v>
      </c>
      <c r="C537" s="14"/>
      <c r="D537" s="235"/>
      <c r="E537" s="14"/>
      <c r="F537" s="28"/>
      <c r="G537" s="249"/>
      <c r="H537" s="28"/>
      <c r="I537" s="251"/>
      <c r="J537" s="14"/>
      <c r="K537" s="280"/>
      <c r="M537" s="47"/>
      <c r="N537" s="268"/>
      <c r="P537" s="281"/>
      <c r="R537" s="234"/>
      <c r="S537" s="204"/>
      <c r="V537" s="185"/>
    </row>
    <row r="538" spans="1:22" ht="18" hidden="1" customHeight="1">
      <c r="A538" s="272"/>
      <c r="C538" s="14"/>
      <c r="D538" s="14"/>
      <c r="E538" s="14"/>
      <c r="F538" s="14"/>
      <c r="G538" s="14"/>
      <c r="H538" s="28"/>
      <c r="I538" s="47"/>
      <c r="J538" s="14"/>
      <c r="K538" s="14"/>
      <c r="M538" s="14"/>
      <c r="N538" s="14"/>
      <c r="P538" s="120"/>
      <c r="R538" s="234"/>
      <c r="S538" s="282"/>
      <c r="V538" s="185"/>
    </row>
    <row r="539" spans="1:22" ht="18" hidden="1" customHeight="1">
      <c r="A539" s="272"/>
      <c r="B539" s="689" t="s">
        <v>473</v>
      </c>
      <c r="C539" s="1150" t="s">
        <v>652</v>
      </c>
      <c r="D539" s="689">
        <v>2</v>
      </c>
      <c r="E539" s="689" t="s">
        <v>378</v>
      </c>
      <c r="F539" s="689" t="s">
        <v>617</v>
      </c>
      <c r="G539" s="689"/>
      <c r="H539" s="689" t="s">
        <v>378</v>
      </c>
      <c r="I539" s="689" t="s">
        <v>419</v>
      </c>
      <c r="J539" s="689" t="s">
        <v>420</v>
      </c>
      <c r="K539" s="689" t="s">
        <v>347</v>
      </c>
      <c r="L539" s="689" t="s">
        <v>408</v>
      </c>
      <c r="M539" s="689" t="s">
        <v>347</v>
      </c>
      <c r="N539" s="689" t="s">
        <v>649</v>
      </c>
      <c r="O539" s="689" t="s">
        <v>350</v>
      </c>
      <c r="P539" s="14"/>
      <c r="Q539" s="14"/>
      <c r="R539" s="14"/>
      <c r="S539" s="14"/>
      <c r="T539" s="14"/>
      <c r="U539" s="729" t="s">
        <v>653</v>
      </c>
      <c r="V539" s="185"/>
    </row>
    <row r="540" spans="1:22" ht="18" hidden="1" customHeight="1">
      <c r="A540" s="277"/>
      <c r="B540" s="689"/>
      <c r="C540" s="689"/>
      <c r="D540" s="689"/>
      <c r="E540" s="689"/>
      <c r="F540" s="689"/>
      <c r="G540" s="689"/>
      <c r="H540" s="689"/>
      <c r="I540" s="689"/>
      <c r="J540" s="689"/>
      <c r="K540" s="689"/>
      <c r="L540" s="689"/>
      <c r="M540" s="689"/>
      <c r="N540" s="689"/>
      <c r="O540" s="689"/>
      <c r="P540" s="14"/>
      <c r="Q540" s="14"/>
      <c r="R540" s="14"/>
      <c r="S540" s="14"/>
      <c r="T540" s="14"/>
      <c r="U540" s="689"/>
      <c r="V540" s="185"/>
    </row>
    <row r="541" spans="1:22" ht="18" hidden="1" customHeight="1">
      <c r="A541" s="277"/>
      <c r="B541" s="28"/>
      <c r="C541" s="28"/>
      <c r="D541" s="154"/>
      <c r="E541" s="154"/>
      <c r="F541" s="154"/>
      <c r="G541" s="154"/>
      <c r="H541" s="154"/>
      <c r="I541" s="28"/>
      <c r="J541" s="28"/>
      <c r="K541" s="28"/>
      <c r="L541" s="28"/>
      <c r="M541" s="28"/>
      <c r="N541" s="28"/>
      <c r="O541" s="28"/>
      <c r="P541" s="14"/>
      <c r="Q541" s="14"/>
      <c r="R541" s="14"/>
      <c r="S541" s="14"/>
      <c r="T541" s="14"/>
      <c r="U541" s="28"/>
      <c r="V541" s="185"/>
    </row>
    <row r="542" spans="1:22" ht="18" hidden="1" customHeight="1">
      <c r="A542" s="277"/>
      <c r="B542" s="28"/>
      <c r="C542" s="1150" t="s">
        <v>652</v>
      </c>
      <c r="D542" s="805">
        <v>2</v>
      </c>
      <c r="E542" s="805" t="s">
        <v>378</v>
      </c>
      <c r="F542" s="1184">
        <f>S534</f>
        <v>2.3327283603621245</v>
      </c>
      <c r="G542" s="1184"/>
      <c r="H542" s="805" t="s">
        <v>378</v>
      </c>
      <c r="I542" s="805" t="s">
        <v>419</v>
      </c>
      <c r="J542" s="805">
        <f>S531</f>
        <v>10</v>
      </c>
      <c r="K542" s="805" t="s">
        <v>347</v>
      </c>
      <c r="L542" s="1184">
        <f>S532</f>
        <v>1.0770224400000001</v>
      </c>
      <c r="M542" s="805" t="s">
        <v>347</v>
      </c>
      <c r="N542" s="1184">
        <f>S533</f>
        <v>0.1</v>
      </c>
      <c r="O542" s="805" t="s">
        <v>350</v>
      </c>
      <c r="P542" s="14"/>
      <c r="Q542" s="14"/>
      <c r="R542" s="14"/>
      <c r="S542" s="14"/>
      <c r="T542" s="14"/>
      <c r="U542" s="28"/>
      <c r="V542" s="185"/>
    </row>
    <row r="543" spans="1:22" ht="18" hidden="1" customHeight="1">
      <c r="A543" s="277"/>
      <c r="B543" s="28"/>
      <c r="C543" s="689"/>
      <c r="D543" s="805"/>
      <c r="E543" s="805"/>
      <c r="F543" s="1184"/>
      <c r="G543" s="1184"/>
      <c r="H543" s="805"/>
      <c r="I543" s="805"/>
      <c r="J543" s="805"/>
      <c r="K543" s="805"/>
      <c r="L543" s="805"/>
      <c r="M543" s="805"/>
      <c r="N543" s="805"/>
      <c r="O543" s="805"/>
      <c r="P543" s="14"/>
      <c r="Q543" s="14"/>
      <c r="R543" s="14"/>
      <c r="S543" s="14"/>
      <c r="T543" s="14"/>
      <c r="U543" s="28"/>
      <c r="V543" s="185"/>
    </row>
    <row r="544" spans="1:22" ht="18" hidden="1" customHeight="1">
      <c r="A544" s="277"/>
      <c r="B544" s="14"/>
      <c r="C544" s="14"/>
      <c r="D544" s="279"/>
      <c r="E544" s="279"/>
      <c r="F544" s="279"/>
      <c r="G544" s="14"/>
      <c r="I544" s="14"/>
      <c r="K544" s="28"/>
      <c r="L544" s="14"/>
      <c r="N544" s="14"/>
      <c r="O544" s="14"/>
      <c r="P544" s="14"/>
      <c r="Q544" s="14"/>
      <c r="R544" s="14"/>
      <c r="S544" s="14"/>
      <c r="T544" s="14"/>
      <c r="U544" s="14"/>
      <c r="V544" s="185"/>
    </row>
    <row r="545" spans="1:22" ht="18" hidden="1" customHeight="1">
      <c r="A545" s="96"/>
      <c r="B545" s="14"/>
      <c r="C545" s="27" t="s">
        <v>127</v>
      </c>
      <c r="D545" s="812">
        <f>D542*F542*(J542+L542+N542)</f>
        <v>52.145914460383743</v>
      </c>
      <c r="E545" s="813"/>
      <c r="F545" s="30" t="s">
        <v>305</v>
      </c>
      <c r="G545" s="14"/>
      <c r="H545" s="14"/>
      <c r="I545" s="14"/>
      <c r="J545" s="14"/>
      <c r="K545" s="14"/>
      <c r="L545" s="14"/>
      <c r="M545" s="14"/>
      <c r="N545" s="14"/>
      <c r="R545" s="234"/>
      <c r="S545" s="204"/>
      <c r="V545" s="185"/>
    </row>
    <row r="546" spans="1:22" ht="18" hidden="1" customHeight="1">
      <c r="A546" s="96"/>
      <c r="B546" s="14"/>
      <c r="G546" s="14"/>
      <c r="H546" s="14"/>
      <c r="I546" s="14"/>
      <c r="J546" s="14"/>
      <c r="K546" s="14"/>
      <c r="L546" s="14"/>
      <c r="M546" s="14"/>
      <c r="N546" s="14"/>
      <c r="R546" s="234"/>
      <c r="S546" s="204"/>
      <c r="V546" s="185"/>
    </row>
    <row r="547" spans="1:22" ht="18" hidden="1" customHeight="1">
      <c r="A547" s="96"/>
      <c r="B547" s="14"/>
      <c r="D547" s="30" t="s">
        <v>475</v>
      </c>
      <c r="G547" s="27" t="str">
        <f>IF(E548&gt;H548,"&gt;","&lt;")</f>
        <v>&gt;</v>
      </c>
      <c r="H547" s="30" t="s">
        <v>477</v>
      </c>
      <c r="M547" s="14"/>
      <c r="N547" s="14"/>
      <c r="R547" s="234"/>
      <c r="S547" s="204"/>
      <c r="V547" s="185"/>
    </row>
    <row r="548" spans="1:22" ht="18" hidden="1" customHeight="1">
      <c r="A548" s="96"/>
      <c r="B548" s="14"/>
      <c r="E548" s="684" t="str">
        <f>H492</f>
        <v>Sr'</v>
      </c>
      <c r="F548" s="684"/>
      <c r="G548" s="27" t="str">
        <f>G547</f>
        <v>&gt;</v>
      </c>
      <c r="H548" s="795">
        <f>D545</f>
        <v>52.145914460383743</v>
      </c>
      <c r="I548" s="684"/>
      <c r="M548" s="14"/>
      <c r="N548" s="14"/>
      <c r="R548" s="234"/>
      <c r="S548" s="204"/>
      <c r="V548" s="185"/>
    </row>
    <row r="549" spans="1:22" ht="18" hidden="1" customHeight="1">
      <c r="A549" s="96"/>
      <c r="B549" s="14"/>
      <c r="F549" s="244" t="s">
        <v>478</v>
      </c>
      <c r="H549" s="18" t="str">
        <f>IF(G547="&gt;","Suitably Dimentioned","Under Dimentioned")</f>
        <v>Suitably Dimentioned</v>
      </c>
      <c r="M549" s="14"/>
      <c r="N549" s="14"/>
      <c r="R549" s="234"/>
      <c r="S549" s="204"/>
      <c r="V549" s="185"/>
    </row>
    <row r="550" spans="1:22" ht="18" hidden="1" customHeight="1">
      <c r="A550" s="96"/>
      <c r="B550" s="14"/>
      <c r="G550" s="14"/>
      <c r="H550" s="14"/>
      <c r="I550" s="14"/>
      <c r="J550" s="14"/>
      <c r="K550" s="14"/>
      <c r="L550" s="14"/>
      <c r="M550" s="14"/>
      <c r="N550" s="14"/>
      <c r="R550" s="234"/>
      <c r="S550" s="204"/>
      <c r="V550" s="185"/>
    </row>
    <row r="551" spans="1:22" ht="18" hidden="1" customHeight="1">
      <c r="A551" s="193"/>
      <c r="B551" s="14"/>
      <c r="G551" s="14"/>
      <c r="H551" s="14"/>
      <c r="I551" s="14"/>
      <c r="J551" s="14"/>
      <c r="K551" s="14"/>
      <c r="L551" s="14"/>
      <c r="M551" s="14"/>
      <c r="N551" s="14"/>
      <c r="R551" s="234"/>
      <c r="S551" s="204"/>
      <c r="V551" s="185"/>
    </row>
    <row r="552" spans="1:22" ht="18" hidden="1" customHeight="1">
      <c r="A552" s="96"/>
      <c r="B552" s="14"/>
      <c r="D552" s="14"/>
      <c r="E552" s="14"/>
      <c r="F552" s="279"/>
      <c r="G552" s="14"/>
      <c r="H552" s="14"/>
      <c r="I552" s="279"/>
      <c r="J552" s="14"/>
      <c r="K552" s="14"/>
      <c r="L552" s="14"/>
      <c r="M552" s="14"/>
      <c r="N552" s="14"/>
      <c r="R552" s="234"/>
      <c r="S552" s="204"/>
      <c r="V552" s="185"/>
    </row>
    <row r="553" spans="1:22" ht="18" hidden="1" customHeight="1">
      <c r="A553" s="96"/>
      <c r="B553" s="14"/>
      <c r="D553" s="14"/>
      <c r="E553" s="14"/>
      <c r="F553" s="279"/>
      <c r="G553" s="14"/>
      <c r="H553" s="14"/>
      <c r="I553" s="279"/>
      <c r="J553" s="14"/>
      <c r="K553" s="14"/>
      <c r="L553" s="14"/>
      <c r="M553" s="14"/>
      <c r="N553" s="14"/>
      <c r="R553" s="234"/>
      <c r="S553" s="204"/>
      <c r="V553" s="185"/>
    </row>
    <row r="554" spans="1:22" ht="18" hidden="1" customHeight="1">
      <c r="A554" s="96"/>
      <c r="B554" s="14"/>
      <c r="D554" s="14"/>
      <c r="E554" s="14"/>
      <c r="F554" s="279"/>
      <c r="G554" s="14"/>
      <c r="H554" s="14"/>
      <c r="I554" s="279"/>
      <c r="J554" s="14"/>
      <c r="K554" s="14"/>
      <c r="L554" s="14"/>
      <c r="M554" s="14"/>
      <c r="N554" s="14"/>
      <c r="R554" s="234"/>
      <c r="S554" s="204"/>
      <c r="V554" s="185"/>
    </row>
    <row r="555" spans="1:22" ht="18" hidden="1" customHeight="1">
      <c r="A555" s="96"/>
      <c r="B555" s="14"/>
      <c r="G555" s="14"/>
      <c r="H555" s="14"/>
      <c r="I555" s="14"/>
      <c r="J555" s="14"/>
      <c r="K555" s="14"/>
      <c r="L555" s="14"/>
      <c r="M555" s="14"/>
      <c r="N555" s="14"/>
      <c r="R555" s="234"/>
      <c r="S555" s="204"/>
      <c r="V555" s="185"/>
    </row>
    <row r="556" spans="1:22" ht="18" hidden="1" customHeight="1">
      <c r="A556" s="96"/>
      <c r="B556" s="14"/>
      <c r="F556" s="14"/>
      <c r="G556" s="14"/>
      <c r="H556" s="14"/>
      <c r="I556" s="14"/>
      <c r="J556" s="14"/>
      <c r="K556" s="14"/>
      <c r="L556" s="14"/>
      <c r="M556" s="14"/>
      <c r="N556" s="14"/>
      <c r="O556" s="154"/>
      <c r="P556" s="14"/>
      <c r="R556" s="234"/>
      <c r="S556" s="204"/>
      <c r="V556" s="185"/>
    </row>
    <row r="557" spans="1:22" s="14" customFormat="1" ht="18" hidden="1" customHeight="1">
      <c r="A557" s="96"/>
      <c r="C557" s="30"/>
      <c r="D557" s="30"/>
      <c r="E557" s="30"/>
      <c r="G557" s="257"/>
      <c r="O557" s="30"/>
      <c r="P557" s="30"/>
      <c r="Q557" s="30"/>
      <c r="R557" s="234"/>
      <c r="S557" s="204"/>
      <c r="T557" s="30"/>
      <c r="U557" s="30"/>
      <c r="V557" s="185"/>
    </row>
    <row r="558" spans="1:22" ht="18" hidden="1" customHeight="1">
      <c r="A558" s="96"/>
      <c r="B558" s="14"/>
      <c r="G558" s="14"/>
      <c r="H558" s="14"/>
      <c r="I558" s="14"/>
      <c r="J558" s="14"/>
      <c r="K558" s="14"/>
      <c r="L558" s="14"/>
      <c r="M558" s="14"/>
      <c r="N558" s="14"/>
      <c r="R558" s="234"/>
      <c r="S558" s="204"/>
      <c r="V558" s="185"/>
    </row>
    <row r="559" spans="1:22" ht="18" hidden="1" customHeight="1">
      <c r="A559" s="96"/>
      <c r="B559" s="14"/>
      <c r="F559" s="27"/>
      <c r="G559" s="14"/>
      <c r="H559" s="14"/>
      <c r="I559" s="14"/>
      <c r="J559" s="14"/>
      <c r="K559" s="14"/>
      <c r="L559" s="14"/>
      <c r="M559" s="14"/>
      <c r="N559" s="14"/>
      <c r="R559" s="234"/>
      <c r="S559" s="204"/>
      <c r="V559" s="185"/>
    </row>
    <row r="560" spans="1:22" ht="18" hidden="1" customHeight="1">
      <c r="A560" s="96"/>
      <c r="B560" s="14"/>
      <c r="G560" s="14"/>
      <c r="H560" s="14"/>
      <c r="I560" s="14"/>
      <c r="J560" s="14"/>
      <c r="K560" s="14"/>
      <c r="L560" s="14"/>
      <c r="M560" s="14"/>
      <c r="N560" s="14"/>
      <c r="R560" s="234"/>
      <c r="S560" s="204"/>
      <c r="V560" s="185"/>
    </row>
    <row r="561" spans="1:22" ht="18" hidden="1" customHeight="1">
      <c r="A561" s="96"/>
      <c r="B561" s="14"/>
      <c r="D561" s="283"/>
      <c r="E561" s="284"/>
      <c r="F561" s="14"/>
      <c r="G561" s="14"/>
      <c r="H561" s="14"/>
      <c r="I561" s="284"/>
      <c r="J561" s="28"/>
      <c r="L561" s="279"/>
      <c r="M561" s="120"/>
      <c r="N561" s="47"/>
      <c r="O561" s="279"/>
      <c r="P561" s="236"/>
      <c r="Q561" s="236"/>
      <c r="R561" s="234"/>
      <c r="S561" s="204"/>
      <c r="V561" s="185"/>
    </row>
    <row r="562" spans="1:22" ht="18" hidden="1" customHeight="1">
      <c r="A562" s="96"/>
      <c r="B562" s="14"/>
      <c r="D562" s="218"/>
      <c r="E562" s="284"/>
      <c r="F562" s="285"/>
      <c r="G562" s="286"/>
      <c r="H562" s="285"/>
      <c r="I562" s="284"/>
      <c r="J562" s="28"/>
      <c r="L562" s="279"/>
      <c r="M562" s="120"/>
      <c r="N562" s="213"/>
      <c r="O562" s="279"/>
      <c r="P562" s="236"/>
      <c r="Q562" s="236"/>
      <c r="R562" s="234"/>
      <c r="S562" s="204"/>
      <c r="V562" s="185"/>
    </row>
    <row r="563" spans="1:22" ht="18" hidden="1" customHeight="1">
      <c r="A563" s="96"/>
      <c r="B563" s="14"/>
      <c r="G563" s="14"/>
      <c r="H563" s="14"/>
      <c r="I563" s="14"/>
      <c r="J563" s="14"/>
      <c r="K563" s="14"/>
      <c r="L563" s="14"/>
      <c r="M563" s="14"/>
      <c r="N563" s="14"/>
      <c r="R563" s="234"/>
      <c r="S563" s="204"/>
      <c r="V563" s="185"/>
    </row>
    <row r="564" spans="1:22" ht="18" hidden="1" customHeight="1">
      <c r="A564" s="96"/>
      <c r="B564" s="14"/>
      <c r="G564" s="14"/>
      <c r="H564" s="18"/>
      <c r="I564" s="14"/>
      <c r="J564" s="14"/>
      <c r="K564" s="14"/>
      <c r="L564" s="14"/>
      <c r="M564" s="14"/>
      <c r="N564" s="14"/>
      <c r="R564" s="234"/>
      <c r="S564" s="204"/>
      <c r="V564" s="185"/>
    </row>
    <row r="565" spans="1:22" ht="18" hidden="1" customHeight="1">
      <c r="A565" s="96"/>
      <c r="B565" s="14"/>
      <c r="G565" s="14"/>
      <c r="H565" s="18"/>
      <c r="I565" s="14"/>
      <c r="J565" s="14"/>
      <c r="K565" s="14"/>
      <c r="L565" s="14"/>
      <c r="M565" s="14"/>
      <c r="N565" s="14"/>
      <c r="R565" s="234"/>
      <c r="S565" s="204"/>
      <c r="V565" s="185"/>
    </row>
    <row r="566" spans="1:22" ht="18" hidden="1" customHeight="1">
      <c r="A566" s="96"/>
      <c r="B566" s="14"/>
      <c r="G566" s="14"/>
      <c r="H566" s="14"/>
      <c r="I566" s="14"/>
      <c r="J566" s="14"/>
      <c r="K566" s="14"/>
      <c r="L566" s="14"/>
      <c r="M566" s="14"/>
      <c r="N566" s="14"/>
      <c r="R566" s="234"/>
      <c r="S566" s="204"/>
      <c r="V566" s="185"/>
    </row>
    <row r="567" spans="1:22" ht="18" hidden="1" customHeight="1">
      <c r="A567" s="194"/>
      <c r="B567" s="195"/>
      <c r="C567" s="195"/>
      <c r="D567" s="195"/>
      <c r="E567" s="195"/>
      <c r="F567" s="195"/>
      <c r="G567" s="195"/>
      <c r="H567" s="195"/>
      <c r="I567" s="195"/>
      <c r="J567" s="195"/>
      <c r="K567" s="195"/>
      <c r="L567" s="195"/>
      <c r="M567" s="195"/>
      <c r="N567" s="195"/>
      <c r="O567" s="195"/>
      <c r="P567" s="195"/>
      <c r="Q567" s="224"/>
      <c r="R567" s="182"/>
      <c r="S567" s="225"/>
      <c r="T567" s="195"/>
      <c r="U567" s="195"/>
      <c r="V567" s="134" t="s">
        <v>552</v>
      </c>
    </row>
    <row r="568" spans="1:22" ht="18" hidden="1" customHeight="1">
      <c r="A568" s="226"/>
      <c r="B568" s="227"/>
      <c r="C568" s="227"/>
      <c r="D568" s="227"/>
      <c r="E568" s="227"/>
      <c r="F568" s="227"/>
      <c r="G568" s="227"/>
      <c r="H568" s="227"/>
      <c r="I568" s="227"/>
      <c r="J568" s="227"/>
      <c r="K568" s="227"/>
      <c r="L568" s="227"/>
      <c r="M568" s="227"/>
      <c r="N568" s="227"/>
      <c r="O568" s="227"/>
      <c r="P568" s="227"/>
      <c r="Q568" s="227"/>
      <c r="R568" s="227"/>
      <c r="S568" s="227"/>
      <c r="T568" s="227"/>
      <c r="U568" s="227"/>
      <c r="V568" s="228"/>
    </row>
    <row r="569" spans="1:22" ht="18" hidden="1" customHeight="1">
      <c r="A569" s="262" t="s">
        <v>532</v>
      </c>
      <c r="B569" s="14"/>
      <c r="C569" s="14"/>
      <c r="D569" s="120"/>
      <c r="E569" s="120"/>
      <c r="F569" s="18"/>
      <c r="G569" s="18"/>
      <c r="H569" s="14"/>
      <c r="I569" s="14"/>
      <c r="J569" s="14"/>
      <c r="K569" s="14"/>
      <c r="L569" s="14"/>
      <c r="M569" s="14"/>
      <c r="N569" s="14"/>
      <c r="O569" s="14"/>
      <c r="P569" s="28"/>
      <c r="Q569" s="120"/>
      <c r="R569" s="47"/>
      <c r="S569" s="206"/>
      <c r="T569" s="259"/>
      <c r="U569" s="14"/>
      <c r="V569" s="97"/>
    </row>
    <row r="570" spans="1:22" ht="18" hidden="1" customHeight="1">
      <c r="A570" s="955" t="s">
        <v>85</v>
      </c>
      <c r="B570" s="956"/>
      <c r="C570" s="1132"/>
      <c r="D570" s="955" t="s">
        <v>86</v>
      </c>
      <c r="E570" s="1146"/>
      <c r="F570" s="1146"/>
      <c r="G570" s="1132"/>
      <c r="H570" s="955" t="s">
        <v>87</v>
      </c>
      <c r="I570" s="957"/>
      <c r="J570" s="955" t="s">
        <v>88</v>
      </c>
      <c r="K570" s="1132"/>
      <c r="L570" s="955" t="s">
        <v>502</v>
      </c>
      <c r="M570" s="956"/>
      <c r="N570" s="957" t="s">
        <v>556</v>
      </c>
      <c r="O570" s="955" t="s">
        <v>557</v>
      </c>
      <c r="P570" s="956"/>
      <c r="Q570" s="1132"/>
      <c r="R570" s="955" t="s">
        <v>558</v>
      </c>
      <c r="S570" s="1135"/>
      <c r="T570" s="1133"/>
      <c r="U570" s="955" t="s">
        <v>505</v>
      </c>
      <c r="V570" s="1139"/>
    </row>
    <row r="571" spans="1:22" ht="18" hidden="1" customHeight="1">
      <c r="A571" s="1125"/>
      <c r="B571" s="983"/>
      <c r="C571" s="1133"/>
      <c r="D571" s="1136"/>
      <c r="E571" s="1135"/>
      <c r="F571" s="1135"/>
      <c r="G571" s="1133"/>
      <c r="H571" s="1125"/>
      <c r="I571" s="1126"/>
      <c r="J571" s="1136"/>
      <c r="K571" s="1133"/>
      <c r="L571" s="1125"/>
      <c r="M571" s="983"/>
      <c r="N571" s="1126"/>
      <c r="O571" s="1125"/>
      <c r="P571" s="983"/>
      <c r="Q571" s="1133"/>
      <c r="R571" s="1136"/>
      <c r="S571" s="1135"/>
      <c r="T571" s="1133"/>
      <c r="U571" s="1140"/>
      <c r="V571" s="1141"/>
    </row>
    <row r="572" spans="1:22" ht="18" hidden="1" customHeight="1">
      <c r="A572" s="1047"/>
      <c r="B572" s="1048"/>
      <c r="C572" s="1134"/>
      <c r="D572" s="1137"/>
      <c r="E572" s="1138"/>
      <c r="F572" s="1138"/>
      <c r="G572" s="1134"/>
      <c r="H572" s="1047"/>
      <c r="I572" s="1049"/>
      <c r="J572" s="1137"/>
      <c r="K572" s="1134"/>
      <c r="L572" s="1047"/>
      <c r="M572" s="1048"/>
      <c r="N572" s="1049"/>
      <c r="O572" s="1047"/>
      <c r="P572" s="1048"/>
      <c r="Q572" s="1134"/>
      <c r="R572" s="1137"/>
      <c r="S572" s="1138"/>
      <c r="T572" s="1134"/>
      <c r="U572" s="1142"/>
      <c r="V572" s="1143"/>
    </row>
    <row r="573" spans="1:22" ht="18" hidden="1" customHeight="1">
      <c r="A573" s="765" t="str">
        <f>B481</f>
        <v>CT1L1</v>
      </c>
      <c r="B573" s="1144" t="str">
        <f>B482</f>
        <v>CT1L2</v>
      </c>
      <c r="C573" s="871" t="str">
        <f>D481</f>
        <v>Core3</v>
      </c>
      <c r="D573" s="871">
        <f>H396</f>
        <v>5000</v>
      </c>
      <c r="E573" s="871">
        <f>J396</f>
        <v>4000</v>
      </c>
      <c r="F573" s="871">
        <f>L484</f>
        <v>3000</v>
      </c>
      <c r="G573" s="871">
        <f>O396</f>
        <v>1</v>
      </c>
      <c r="H573" s="871">
        <f>'CT-VT Burdens'!S21</f>
        <v>120</v>
      </c>
      <c r="I573" s="1036">
        <f>'CT-VT Burdens'!S10</f>
        <v>6</v>
      </c>
      <c r="J573" s="869" t="str">
        <f>J397</f>
        <v>PX</v>
      </c>
      <c r="K573" s="869"/>
      <c r="L573" s="871">
        <f>H315</f>
        <v>20</v>
      </c>
      <c r="M573" s="871">
        <f>J398</f>
        <v>15</v>
      </c>
      <c r="N573" s="871">
        <f>L486</f>
        <v>10</v>
      </c>
      <c r="O573" s="871">
        <f>H316</f>
        <v>1000</v>
      </c>
      <c r="P573" s="871">
        <f>J399</f>
        <v>800</v>
      </c>
      <c r="Q573" s="871">
        <f>L487</f>
        <v>800</v>
      </c>
      <c r="R573" s="871">
        <f>H317</f>
        <v>20</v>
      </c>
      <c r="S573" s="871">
        <f>J400</f>
        <v>40</v>
      </c>
      <c r="T573" s="871">
        <f>L488</f>
        <v>50</v>
      </c>
      <c r="U573" s="775" t="str">
        <f>D404</f>
        <v>SEL487E</v>
      </c>
      <c r="V573" s="776"/>
    </row>
    <row r="574" spans="1:22" ht="18" hidden="1" customHeight="1">
      <c r="A574" s="765" t="str">
        <f>B482</f>
        <v>CT1L2</v>
      </c>
      <c r="B574" s="1144">
        <f>A483</f>
        <v>0</v>
      </c>
      <c r="C574" s="1130"/>
      <c r="D574" s="1130"/>
      <c r="E574" s="1130"/>
      <c r="F574" s="1130"/>
      <c r="G574" s="1130"/>
      <c r="H574" s="1130"/>
      <c r="I574" s="1130"/>
      <c r="J574" s="1129"/>
      <c r="K574" s="1129"/>
      <c r="L574" s="1130"/>
      <c r="M574" s="1130"/>
      <c r="N574" s="1130"/>
      <c r="O574" s="1130"/>
      <c r="P574" s="1130"/>
      <c r="Q574" s="1130"/>
      <c r="R574" s="1130"/>
      <c r="S574" s="1130"/>
      <c r="T574" s="1130"/>
      <c r="U574" s="775"/>
      <c r="V574" s="776"/>
    </row>
    <row r="575" spans="1:22" ht="18" hidden="1" customHeight="1">
      <c r="A575" s="765">
        <f>A483</f>
        <v>0</v>
      </c>
      <c r="B575" s="1144" t="str">
        <f>B484</f>
        <v>CT Ratio:</v>
      </c>
      <c r="C575" s="1131"/>
      <c r="D575" s="1131"/>
      <c r="E575" s="1131"/>
      <c r="F575" s="1131"/>
      <c r="G575" s="1131"/>
      <c r="H575" s="1131"/>
      <c r="I575" s="1131"/>
      <c r="J575" s="1129"/>
      <c r="K575" s="1129"/>
      <c r="L575" s="1131"/>
      <c r="M575" s="1131"/>
      <c r="N575" s="1131"/>
      <c r="O575" s="1131"/>
      <c r="P575" s="1131"/>
      <c r="Q575" s="1131"/>
      <c r="R575" s="1131"/>
      <c r="S575" s="1131"/>
      <c r="T575" s="1131"/>
      <c r="U575" s="775"/>
      <c r="V575" s="776"/>
    </row>
    <row r="576" spans="1:22" ht="18" hidden="1" customHeight="1">
      <c r="A576" s="184"/>
      <c r="V576" s="185"/>
    </row>
    <row r="577" spans="1:22" ht="18" hidden="1" customHeight="1">
      <c r="A577" s="184"/>
      <c r="V577" s="185"/>
    </row>
    <row r="578" spans="1:22" ht="18" hidden="1" customHeight="1">
      <c r="A578" s="184"/>
      <c r="V578" s="185"/>
    </row>
    <row r="579" spans="1:22" ht="18" hidden="1" customHeight="1">
      <c r="A579" s="184"/>
      <c r="V579" s="185"/>
    </row>
    <row r="580" spans="1:22" ht="18" hidden="1" customHeight="1">
      <c r="A580" s="184"/>
      <c r="V580" s="185"/>
    </row>
    <row r="581" spans="1:22" ht="18" hidden="1" customHeight="1">
      <c r="A581" s="184"/>
      <c r="V581" s="185"/>
    </row>
    <row r="582" spans="1:22" ht="18" hidden="1" customHeight="1">
      <c r="A582" s="184"/>
      <c r="V582" s="185"/>
    </row>
    <row r="583" spans="1:22" ht="18" hidden="1" customHeight="1">
      <c r="A583" s="184"/>
      <c r="V583" s="185"/>
    </row>
    <row r="584" spans="1:22" ht="18" hidden="1" customHeight="1">
      <c r="A584" s="184"/>
      <c r="V584" s="185"/>
    </row>
    <row r="585" spans="1:22" ht="18" hidden="1" customHeight="1">
      <c r="A585" s="184"/>
      <c r="V585" s="185"/>
    </row>
    <row r="586" spans="1:22" ht="18" hidden="1" customHeight="1">
      <c r="A586" s="184"/>
      <c r="V586" s="185"/>
    </row>
    <row r="587" spans="1:22" ht="18" hidden="1" customHeight="1">
      <c r="A587" s="184"/>
      <c r="V587" s="185"/>
    </row>
    <row r="588" spans="1:22" ht="18" hidden="1" customHeight="1">
      <c r="A588" s="184"/>
      <c r="V588" s="185"/>
    </row>
    <row r="589" spans="1:22" ht="18" hidden="1" customHeight="1">
      <c r="A589" s="184"/>
      <c r="V589" s="185"/>
    </row>
    <row r="590" spans="1:22" ht="18" hidden="1" customHeight="1">
      <c r="A590" s="184"/>
      <c r="V590" s="185"/>
    </row>
    <row r="591" spans="1:22" ht="18" hidden="1" customHeight="1">
      <c r="A591" s="184"/>
      <c r="V591" s="185"/>
    </row>
    <row r="592" spans="1:22" ht="18" hidden="1" customHeight="1">
      <c r="A592" s="184"/>
      <c r="V592" s="185"/>
    </row>
    <row r="593" spans="1:22" ht="18" hidden="1" customHeight="1">
      <c r="A593" s="184"/>
      <c r="V593" s="185"/>
    </row>
    <row r="594" spans="1:22" ht="18" hidden="1" customHeight="1">
      <c r="A594" s="184"/>
      <c r="V594" s="185"/>
    </row>
    <row r="595" spans="1:22" ht="18" hidden="1" customHeight="1">
      <c r="A595" s="184"/>
      <c r="V595" s="185"/>
    </row>
    <row r="596" spans="1:22" ht="18" hidden="1" customHeight="1">
      <c r="A596" s="184"/>
      <c r="V596" s="185"/>
    </row>
    <row r="597" spans="1:22" ht="18" hidden="1" customHeight="1">
      <c r="A597" s="184"/>
      <c r="V597" s="185"/>
    </row>
    <row r="598" spans="1:22" ht="18" hidden="1" customHeight="1">
      <c r="A598" s="184"/>
      <c r="V598" s="185"/>
    </row>
    <row r="599" spans="1:22" ht="18" hidden="1" customHeight="1">
      <c r="A599" s="184"/>
      <c r="V599" s="185"/>
    </row>
    <row r="600" spans="1:22" ht="18" hidden="1" customHeight="1">
      <c r="A600" s="184"/>
      <c r="V600" s="185"/>
    </row>
    <row r="601" spans="1:22" ht="18" hidden="1" customHeight="1">
      <c r="A601" s="184"/>
      <c r="V601" s="185"/>
    </row>
    <row r="602" spans="1:22" ht="18" hidden="1" customHeight="1">
      <c r="A602" s="184"/>
      <c r="V602" s="185"/>
    </row>
    <row r="603" spans="1:22" ht="18" hidden="1" customHeight="1">
      <c r="A603" s="184"/>
      <c r="V603" s="185"/>
    </row>
    <row r="604" spans="1:22" ht="18" hidden="1" customHeight="1">
      <c r="A604" s="184"/>
      <c r="V604" s="185"/>
    </row>
    <row r="605" spans="1:22" ht="18" hidden="1" customHeight="1">
      <c r="A605" s="184"/>
      <c r="V605" s="185"/>
    </row>
    <row r="606" spans="1:22" s="14" customFormat="1" ht="18" hidden="1" customHeight="1">
      <c r="A606" s="184"/>
      <c r="B606" s="30"/>
      <c r="C606" s="30"/>
      <c r="D606" s="30"/>
      <c r="E606" s="30"/>
      <c r="F606" s="30"/>
      <c r="G606" s="30"/>
      <c r="H606" s="30"/>
      <c r="I606" s="30"/>
      <c r="J606" s="30"/>
      <c r="K606" s="30"/>
      <c r="L606" s="30"/>
      <c r="M606" s="30"/>
      <c r="N606" s="30"/>
      <c r="O606" s="30"/>
      <c r="P606" s="30"/>
      <c r="Q606" s="30"/>
      <c r="R606" s="30"/>
      <c r="S606" s="30"/>
      <c r="T606" s="30"/>
      <c r="U606" s="30"/>
      <c r="V606" s="185"/>
    </row>
    <row r="607" spans="1:22" ht="18" hidden="1" customHeight="1">
      <c r="A607" s="184"/>
      <c r="V607" s="185"/>
    </row>
    <row r="608" spans="1:22" ht="18" hidden="1" customHeight="1">
      <c r="A608" s="184"/>
      <c r="V608" s="185"/>
    </row>
    <row r="609" spans="1:22" ht="18" hidden="1" customHeight="1">
      <c r="A609" s="184"/>
      <c r="V609" s="185"/>
    </row>
    <row r="610" spans="1:22" ht="18" hidden="1" customHeight="1">
      <c r="A610" s="184"/>
      <c r="V610" s="185"/>
    </row>
    <row r="611" spans="1:22" ht="18" hidden="1" customHeight="1">
      <c r="A611" s="194"/>
      <c r="B611" s="195"/>
      <c r="C611" s="195"/>
      <c r="D611" s="195"/>
      <c r="E611" s="195"/>
      <c r="F611" s="195"/>
      <c r="G611" s="195"/>
      <c r="H611" s="195"/>
      <c r="I611" s="195"/>
      <c r="J611" s="195"/>
      <c r="K611" s="195"/>
      <c r="L611" s="195"/>
      <c r="M611" s="195"/>
      <c r="N611" s="195"/>
      <c r="O611" s="195"/>
      <c r="P611" s="195"/>
      <c r="Q611" s="224"/>
      <c r="R611" s="182"/>
      <c r="S611" s="225"/>
      <c r="T611" s="195"/>
      <c r="U611" s="195"/>
      <c r="V611" s="134" t="s">
        <v>552</v>
      </c>
    </row>
  </sheetData>
  <mergeCells count="597">
    <mergeCell ref="L573:L575"/>
    <mergeCell ref="M573:M575"/>
    <mergeCell ref="O570:Q572"/>
    <mergeCell ref="R570:T572"/>
    <mergeCell ref="U570:V572"/>
    <mergeCell ref="A573:B573"/>
    <mergeCell ref="C573:C575"/>
    <mergeCell ref="D573:D575"/>
    <mergeCell ref="E573:E575"/>
    <mergeCell ref="F573:F575"/>
    <mergeCell ref="T573:T575"/>
    <mergeCell ref="U573:V573"/>
    <mergeCell ref="A574:B574"/>
    <mergeCell ref="U574:V574"/>
    <mergeCell ref="A575:B575"/>
    <mergeCell ref="U575:V575"/>
    <mergeCell ref="N573:N575"/>
    <mergeCell ref="O573:O575"/>
    <mergeCell ref="P573:P575"/>
    <mergeCell ref="Q573:Q575"/>
    <mergeCell ref="R573:R575"/>
    <mergeCell ref="S573:S575"/>
    <mergeCell ref="G573:G575"/>
    <mergeCell ref="H573:H575"/>
    <mergeCell ref="I573:I575"/>
    <mergeCell ref="J573:K575"/>
    <mergeCell ref="D545:E545"/>
    <mergeCell ref="E548:F548"/>
    <mergeCell ref="H548:I548"/>
    <mergeCell ref="A570:C572"/>
    <mergeCell ref="D570:G572"/>
    <mergeCell ref="H570:I572"/>
    <mergeCell ref="J542:J543"/>
    <mergeCell ref="K542:K543"/>
    <mergeCell ref="L542:L543"/>
    <mergeCell ref="J570:K572"/>
    <mergeCell ref="L570:N572"/>
    <mergeCell ref="M542:M543"/>
    <mergeCell ref="N542:N543"/>
    <mergeCell ref="O542:O543"/>
    <mergeCell ref="C542:C543"/>
    <mergeCell ref="D542:D543"/>
    <mergeCell ref="E542:E543"/>
    <mergeCell ref="F542:G543"/>
    <mergeCell ref="H542:H543"/>
    <mergeCell ref="I542:I543"/>
    <mergeCell ref="K539:K540"/>
    <mergeCell ref="L539:L540"/>
    <mergeCell ref="M539:M540"/>
    <mergeCell ref="N539:N540"/>
    <mergeCell ref="O539:O540"/>
    <mergeCell ref="U539:U540"/>
    <mergeCell ref="S534:T534"/>
    <mergeCell ref="S535:T535"/>
    <mergeCell ref="B539:B540"/>
    <mergeCell ref="C539:C540"/>
    <mergeCell ref="D539:D540"/>
    <mergeCell ref="E539:E540"/>
    <mergeCell ref="F539:G540"/>
    <mergeCell ref="H539:H540"/>
    <mergeCell ref="I539:I540"/>
    <mergeCell ref="J539:J540"/>
    <mergeCell ref="O527:O528"/>
    <mergeCell ref="U527:U528"/>
    <mergeCell ref="S530:T530"/>
    <mergeCell ref="S531:T531"/>
    <mergeCell ref="S532:T532"/>
    <mergeCell ref="S533:T533"/>
    <mergeCell ref="I527:I528"/>
    <mergeCell ref="J527:J528"/>
    <mergeCell ref="K527:K528"/>
    <mergeCell ref="L527:L528"/>
    <mergeCell ref="M527:M528"/>
    <mergeCell ref="N527:N528"/>
    <mergeCell ref="B527:B528"/>
    <mergeCell ref="C527:C528"/>
    <mergeCell ref="D527:D528"/>
    <mergeCell ref="E527:E528"/>
    <mergeCell ref="F527:G528"/>
    <mergeCell ref="H527:H528"/>
    <mergeCell ref="J509:K509"/>
    <mergeCell ref="J510:K510"/>
    <mergeCell ref="J511:K511"/>
    <mergeCell ref="O515:P515"/>
    <mergeCell ref="O516:P516"/>
    <mergeCell ref="O517:P517"/>
    <mergeCell ref="J496:K496"/>
    <mergeCell ref="D501:E501"/>
    <mergeCell ref="O501:P501"/>
    <mergeCell ref="O505:P505"/>
    <mergeCell ref="O506:P506"/>
    <mergeCell ref="O507:P507"/>
    <mergeCell ref="AB487:AC487"/>
    <mergeCell ref="L488:M488"/>
    <mergeCell ref="J492:K492"/>
    <mergeCell ref="J493:K493"/>
    <mergeCell ref="J494:K494"/>
    <mergeCell ref="J495:K495"/>
    <mergeCell ref="H484:I484"/>
    <mergeCell ref="J484:K484"/>
    <mergeCell ref="L484:M484"/>
    <mergeCell ref="L485:M485"/>
    <mergeCell ref="L486:M486"/>
    <mergeCell ref="L487:M487"/>
    <mergeCell ref="T481:U481"/>
    <mergeCell ref="B482:C482"/>
    <mergeCell ref="T482:U482"/>
    <mergeCell ref="H483:I483"/>
    <mergeCell ref="J483:K483"/>
    <mergeCell ref="L483:M483"/>
    <mergeCell ref="T483:U483"/>
    <mergeCell ref="D457:E457"/>
    <mergeCell ref="E460:F460"/>
    <mergeCell ref="H460:I460"/>
    <mergeCell ref="B481:C481"/>
    <mergeCell ref="D481:E482"/>
    <mergeCell ref="H481:M481"/>
    <mergeCell ref="J454:J455"/>
    <mergeCell ref="K454:K455"/>
    <mergeCell ref="L454:L455"/>
    <mergeCell ref="M454:M455"/>
    <mergeCell ref="N454:N455"/>
    <mergeCell ref="O454:O455"/>
    <mergeCell ref="C454:C455"/>
    <mergeCell ref="D454:D455"/>
    <mergeCell ref="E454:E455"/>
    <mergeCell ref="F454:G455"/>
    <mergeCell ref="H454:H455"/>
    <mergeCell ref="I454:I455"/>
    <mergeCell ref="K451:K452"/>
    <mergeCell ref="L451:L452"/>
    <mergeCell ref="M451:M452"/>
    <mergeCell ref="N451:N452"/>
    <mergeCell ref="O451:O452"/>
    <mergeCell ref="U451:U452"/>
    <mergeCell ref="S446:T446"/>
    <mergeCell ref="S447:T447"/>
    <mergeCell ref="B451:B452"/>
    <mergeCell ref="C451:C452"/>
    <mergeCell ref="D451:D452"/>
    <mergeCell ref="E451:E452"/>
    <mergeCell ref="F451:G452"/>
    <mergeCell ref="H451:H452"/>
    <mergeCell ref="I451:I452"/>
    <mergeCell ref="J451:J452"/>
    <mergeCell ref="O439:O440"/>
    <mergeCell ref="U439:U440"/>
    <mergeCell ref="S442:T442"/>
    <mergeCell ref="S443:T443"/>
    <mergeCell ref="S444:T444"/>
    <mergeCell ref="S445:T445"/>
    <mergeCell ref="I439:I440"/>
    <mergeCell ref="J439:J440"/>
    <mergeCell ref="K439:K440"/>
    <mergeCell ref="L439:L440"/>
    <mergeCell ref="M439:M440"/>
    <mergeCell ref="N439:N440"/>
    <mergeCell ref="B439:B440"/>
    <mergeCell ref="C439:C440"/>
    <mergeCell ref="D439:D440"/>
    <mergeCell ref="E439:E440"/>
    <mergeCell ref="F439:G440"/>
    <mergeCell ref="H439:H440"/>
    <mergeCell ref="J421:K421"/>
    <mergeCell ref="J422:K422"/>
    <mergeCell ref="J423:K423"/>
    <mergeCell ref="O427:P427"/>
    <mergeCell ref="O428:P428"/>
    <mergeCell ref="O429:P429"/>
    <mergeCell ref="J408:K408"/>
    <mergeCell ref="D413:E413"/>
    <mergeCell ref="O413:P413"/>
    <mergeCell ref="O417:P417"/>
    <mergeCell ref="O418:P418"/>
    <mergeCell ref="O419:P419"/>
    <mergeCell ref="AB399:AC399"/>
    <mergeCell ref="J400:K400"/>
    <mergeCell ref="J404:K404"/>
    <mergeCell ref="J405:K405"/>
    <mergeCell ref="J406:K406"/>
    <mergeCell ref="J407:K407"/>
    <mergeCell ref="H396:I396"/>
    <mergeCell ref="J396:K396"/>
    <mergeCell ref="L396:M396"/>
    <mergeCell ref="J397:K397"/>
    <mergeCell ref="J398:K398"/>
    <mergeCell ref="J399:K399"/>
    <mergeCell ref="H395:I395"/>
    <mergeCell ref="J395:K395"/>
    <mergeCell ref="L395:M395"/>
    <mergeCell ref="T395:U395"/>
    <mergeCell ref="O366:O367"/>
    <mergeCell ref="D369:E369"/>
    <mergeCell ref="E372:F372"/>
    <mergeCell ref="H372:I372"/>
    <mergeCell ref="B393:C393"/>
    <mergeCell ref="D393:E394"/>
    <mergeCell ref="H393:M393"/>
    <mergeCell ref="I366:I367"/>
    <mergeCell ref="J366:J367"/>
    <mergeCell ref="K366:K367"/>
    <mergeCell ref="L366:L367"/>
    <mergeCell ref="M366:M367"/>
    <mergeCell ref="N366:N367"/>
    <mergeCell ref="U363:U364"/>
    <mergeCell ref="C366:C367"/>
    <mergeCell ref="D366:D367"/>
    <mergeCell ref="E366:E367"/>
    <mergeCell ref="F366:G367"/>
    <mergeCell ref="H366:H367"/>
    <mergeCell ref="T393:U393"/>
    <mergeCell ref="B394:C394"/>
    <mergeCell ref="T394:U394"/>
    <mergeCell ref="S359:T359"/>
    <mergeCell ref="B363:B364"/>
    <mergeCell ref="C363:C364"/>
    <mergeCell ref="D363:D364"/>
    <mergeCell ref="E363:E364"/>
    <mergeCell ref="F363:G364"/>
    <mergeCell ref="H363:H364"/>
    <mergeCell ref="I363:I364"/>
    <mergeCell ref="J363:J364"/>
    <mergeCell ref="K363:K364"/>
    <mergeCell ref="L363:L364"/>
    <mergeCell ref="M363:M364"/>
    <mergeCell ref="N363:N364"/>
    <mergeCell ref="O363:O364"/>
    <mergeCell ref="U351:U352"/>
    <mergeCell ref="S354:T354"/>
    <mergeCell ref="S355:T355"/>
    <mergeCell ref="S356:T356"/>
    <mergeCell ref="S357:T357"/>
    <mergeCell ref="S358:T358"/>
    <mergeCell ref="J351:J352"/>
    <mergeCell ref="K351:K352"/>
    <mergeCell ref="L351:L352"/>
    <mergeCell ref="M351:M352"/>
    <mergeCell ref="N351:N352"/>
    <mergeCell ref="O351:O352"/>
    <mergeCell ref="O344:P344"/>
    <mergeCell ref="O345:P345"/>
    <mergeCell ref="O346:P346"/>
    <mergeCell ref="B351:B352"/>
    <mergeCell ref="C351:C352"/>
    <mergeCell ref="D351:D352"/>
    <mergeCell ref="E351:E352"/>
    <mergeCell ref="F351:G352"/>
    <mergeCell ref="H351:H352"/>
    <mergeCell ref="I351:I352"/>
    <mergeCell ref="O334:P334"/>
    <mergeCell ref="O335:P335"/>
    <mergeCell ref="O336:P336"/>
    <mergeCell ref="J338:K338"/>
    <mergeCell ref="J339:K339"/>
    <mergeCell ref="J340:K340"/>
    <mergeCell ref="J322:K322"/>
    <mergeCell ref="J323:K323"/>
    <mergeCell ref="J324:K324"/>
    <mergeCell ref="J325:K325"/>
    <mergeCell ref="D330:E330"/>
    <mergeCell ref="O330:P330"/>
    <mergeCell ref="H314:I314"/>
    <mergeCell ref="H315:I315"/>
    <mergeCell ref="H316:I316"/>
    <mergeCell ref="AB316:AC316"/>
    <mergeCell ref="H317:I317"/>
    <mergeCell ref="J321:K321"/>
    <mergeCell ref="T311:U311"/>
    <mergeCell ref="H312:I312"/>
    <mergeCell ref="J312:K312"/>
    <mergeCell ref="L312:M312"/>
    <mergeCell ref="T312:U312"/>
    <mergeCell ref="H313:I313"/>
    <mergeCell ref="J313:K313"/>
    <mergeCell ref="L313:M313"/>
    <mergeCell ref="A308:B308"/>
    <mergeCell ref="D308:F308"/>
    <mergeCell ref="H308:N308"/>
    <mergeCell ref="O308:Q308"/>
    <mergeCell ref="R308:V308"/>
    <mergeCell ref="B310:C310"/>
    <mergeCell ref="D310:E311"/>
    <mergeCell ref="H310:M310"/>
    <mergeCell ref="T310:U310"/>
    <mergeCell ref="B311:C311"/>
    <mergeCell ref="O305:Q305"/>
    <mergeCell ref="R305:V305"/>
    <mergeCell ref="A306:G307"/>
    <mergeCell ref="H306:N307"/>
    <mergeCell ref="O306:Q306"/>
    <mergeCell ref="R306:V306"/>
    <mergeCell ref="O307:Q307"/>
    <mergeCell ref="R307:V307"/>
    <mergeCell ref="D267:E267"/>
    <mergeCell ref="K267:L267"/>
    <mergeCell ref="M267:N267"/>
    <mergeCell ref="O267:P267"/>
    <mergeCell ref="S267:V267"/>
    <mergeCell ref="A304:G305"/>
    <mergeCell ref="H304:N304"/>
    <mergeCell ref="O304:Q304"/>
    <mergeCell ref="R304:V304"/>
    <mergeCell ref="H305:N305"/>
    <mergeCell ref="M261:N264"/>
    <mergeCell ref="O261:P264"/>
    <mergeCell ref="Q261:R264"/>
    <mergeCell ref="S261:V264"/>
    <mergeCell ref="A265:A267"/>
    <mergeCell ref="B265:C267"/>
    <mergeCell ref="D265:E265"/>
    <mergeCell ref="F265:F267"/>
    <mergeCell ref="G265:G267"/>
    <mergeCell ref="S265:V265"/>
    <mergeCell ref="D266:E266"/>
    <mergeCell ref="K266:L266"/>
    <mergeCell ref="M266:N266"/>
    <mergeCell ref="O266:P266"/>
    <mergeCell ref="S266:V266"/>
    <mergeCell ref="H265:H267"/>
    <mergeCell ref="I265:J267"/>
    <mergeCell ref="K265:L265"/>
    <mergeCell ref="M265:N265"/>
    <mergeCell ref="O265:P265"/>
    <mergeCell ref="Q265:R267"/>
    <mergeCell ref="D235:E235"/>
    <mergeCell ref="E238:F238"/>
    <mergeCell ref="H238:I238"/>
    <mergeCell ref="A261:C264"/>
    <mergeCell ref="D261:F264"/>
    <mergeCell ref="G261:H264"/>
    <mergeCell ref="I261:J264"/>
    <mergeCell ref="J232:J233"/>
    <mergeCell ref="K232:K233"/>
    <mergeCell ref="K261:L264"/>
    <mergeCell ref="L232:L233"/>
    <mergeCell ref="M232:M233"/>
    <mergeCell ref="N232:N233"/>
    <mergeCell ref="O232:O233"/>
    <mergeCell ref="C232:C233"/>
    <mergeCell ref="D232:D233"/>
    <mergeCell ref="E232:E233"/>
    <mergeCell ref="F232:G233"/>
    <mergeCell ref="H232:H233"/>
    <mergeCell ref="I232:I233"/>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O217:O218"/>
    <mergeCell ref="U217:U218"/>
    <mergeCell ref="S220:T220"/>
    <mergeCell ref="S221:T221"/>
    <mergeCell ref="S222:T222"/>
    <mergeCell ref="S223:T223"/>
    <mergeCell ref="I217:I218"/>
    <mergeCell ref="J217:J218"/>
    <mergeCell ref="K217:K218"/>
    <mergeCell ref="L217:L218"/>
    <mergeCell ref="M217:M218"/>
    <mergeCell ref="N217:N218"/>
    <mergeCell ref="B217:B218"/>
    <mergeCell ref="C217:C218"/>
    <mergeCell ref="D217:D218"/>
    <mergeCell ref="E217:E218"/>
    <mergeCell ref="F217:G218"/>
    <mergeCell ref="H217:H218"/>
    <mergeCell ref="J199:K199"/>
    <mergeCell ref="J200:K200"/>
    <mergeCell ref="J201:K201"/>
    <mergeCell ref="O205:P205"/>
    <mergeCell ref="O206:P206"/>
    <mergeCell ref="O207:P207"/>
    <mergeCell ref="J186:K186"/>
    <mergeCell ref="D191:E191"/>
    <mergeCell ref="O191:P191"/>
    <mergeCell ref="O195:P195"/>
    <mergeCell ref="O196:P196"/>
    <mergeCell ref="O197:P197"/>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J147:J148"/>
    <mergeCell ref="K147:K148"/>
    <mergeCell ref="L147:L148"/>
    <mergeCell ref="M147:M148"/>
    <mergeCell ref="N147:N148"/>
    <mergeCell ref="O147:O148"/>
    <mergeCell ref="C147:C148"/>
    <mergeCell ref="D147:D148"/>
    <mergeCell ref="E147:E148"/>
    <mergeCell ref="F147:G148"/>
    <mergeCell ref="H147:H148"/>
    <mergeCell ref="I147:I148"/>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O132:O133"/>
    <mergeCell ref="U132:U133"/>
    <mergeCell ref="S135:T135"/>
    <mergeCell ref="S136:T136"/>
    <mergeCell ref="S137:T137"/>
    <mergeCell ref="S138:T138"/>
    <mergeCell ref="I132:I133"/>
    <mergeCell ref="J132:J133"/>
    <mergeCell ref="K132:K133"/>
    <mergeCell ref="L132:L133"/>
    <mergeCell ref="M132:M133"/>
    <mergeCell ref="N132:N133"/>
    <mergeCell ref="B132:B133"/>
    <mergeCell ref="C132:C133"/>
    <mergeCell ref="D132:D133"/>
    <mergeCell ref="E132:E133"/>
    <mergeCell ref="F132:G133"/>
    <mergeCell ref="H132:H133"/>
    <mergeCell ref="J117:K117"/>
    <mergeCell ref="J118:K118"/>
    <mergeCell ref="J119:K119"/>
    <mergeCell ref="O123:P123"/>
    <mergeCell ref="O124:P124"/>
    <mergeCell ref="O125:P125"/>
    <mergeCell ref="J104:K104"/>
    <mergeCell ref="D109:E109"/>
    <mergeCell ref="O109:P109"/>
    <mergeCell ref="O113:P113"/>
    <mergeCell ref="O114:P114"/>
    <mergeCell ref="O115:P115"/>
    <mergeCell ref="AB95:AC95"/>
    <mergeCell ref="J96:K96"/>
    <mergeCell ref="J100:K100"/>
    <mergeCell ref="J101:K101"/>
    <mergeCell ref="J102:K102"/>
    <mergeCell ref="J103:K103"/>
    <mergeCell ref="H92:I92"/>
    <mergeCell ref="J92:K92"/>
    <mergeCell ref="L92:M92"/>
    <mergeCell ref="J93:K93"/>
    <mergeCell ref="J94:K94"/>
    <mergeCell ref="J95:K95"/>
    <mergeCell ref="T89:U89"/>
    <mergeCell ref="B90:C90"/>
    <mergeCell ref="T90:U90"/>
    <mergeCell ref="H91:I91"/>
    <mergeCell ref="J91:K91"/>
    <mergeCell ref="L91:M91"/>
    <mergeCell ref="T91:U91"/>
    <mergeCell ref="D68:E68"/>
    <mergeCell ref="E71:F71"/>
    <mergeCell ref="H71:I71"/>
    <mergeCell ref="B89:C89"/>
    <mergeCell ref="D89:E90"/>
    <mergeCell ref="H89:M89"/>
    <mergeCell ref="J65:J66"/>
    <mergeCell ref="K65:K66"/>
    <mergeCell ref="L65:L66"/>
    <mergeCell ref="M65:M66"/>
    <mergeCell ref="N65:N66"/>
    <mergeCell ref="O65:O66"/>
    <mergeCell ref="C65:C66"/>
    <mergeCell ref="D65:D66"/>
    <mergeCell ref="E65:E66"/>
    <mergeCell ref="F65:G66"/>
    <mergeCell ref="H65:H66"/>
    <mergeCell ref="I65:I66"/>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O50:O51"/>
    <mergeCell ref="U50:U51"/>
    <mergeCell ref="S53:T53"/>
    <mergeCell ref="S54:T54"/>
    <mergeCell ref="S55:T55"/>
    <mergeCell ref="S56:T56"/>
    <mergeCell ref="I50:I51"/>
    <mergeCell ref="J50:J51"/>
    <mergeCell ref="K50:K51"/>
    <mergeCell ref="L50:L51"/>
    <mergeCell ref="M50:M51"/>
    <mergeCell ref="N50:N51"/>
    <mergeCell ref="B50:B51"/>
    <mergeCell ref="C50:C51"/>
    <mergeCell ref="D50:D51"/>
    <mergeCell ref="E50:E51"/>
    <mergeCell ref="F50:G51"/>
    <mergeCell ref="H50:H51"/>
    <mergeCell ref="J35:K35"/>
    <mergeCell ref="J36:K36"/>
    <mergeCell ref="J37:K37"/>
    <mergeCell ref="O41:P41"/>
    <mergeCell ref="O42:P42"/>
    <mergeCell ref="O43:P43"/>
    <mergeCell ref="J22:K22"/>
    <mergeCell ref="D27:E27"/>
    <mergeCell ref="O27:P27"/>
    <mergeCell ref="O31:P31"/>
    <mergeCell ref="O32:P32"/>
    <mergeCell ref="O33:P33"/>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8"/>
    <mergeCell ref="T7:U7"/>
    <mergeCell ref="B8:C8"/>
    <mergeCell ref="T8:U8"/>
    <mergeCell ref="G7:N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cfRule type="cellIs" dxfId="158" priority="10" stopIfTrue="1" operator="equal">
      <formula>"Under Dimentioned"</formula>
    </cfRule>
  </conditionalFormatting>
  <conditionalFormatting sqref="H154">
    <cfRule type="cellIs" dxfId="157" priority="9" stopIfTrue="1" operator="equal">
      <formula>"Under Dimentioned"</formula>
    </cfRule>
  </conditionalFormatting>
  <conditionalFormatting sqref="H239">
    <cfRule type="cellIs" dxfId="156" priority="7" stopIfTrue="1" operator="equal">
      <formula>"Under Dimentioned"</formula>
    </cfRule>
  </conditionalFormatting>
  <conditionalFormatting sqref="H254:H255">
    <cfRule type="cellIs" dxfId="155" priority="8" stopIfTrue="1" operator="equal">
      <formula>"Not OK"</formula>
    </cfRule>
  </conditionalFormatting>
  <conditionalFormatting sqref="H373">
    <cfRule type="cellIs" dxfId="154" priority="5" stopIfTrue="1" operator="equal">
      <formula>"Under Dimentioned"</formula>
    </cfRule>
  </conditionalFormatting>
  <conditionalFormatting sqref="H388:H389">
    <cfRule type="cellIs" dxfId="153" priority="6" stopIfTrue="1" operator="equal">
      <formula>"Not OK"</formula>
    </cfRule>
  </conditionalFormatting>
  <conditionalFormatting sqref="H461">
    <cfRule type="cellIs" dxfId="152" priority="3" stopIfTrue="1" operator="equal">
      <formula>"Under Dimentioned"</formula>
    </cfRule>
  </conditionalFormatting>
  <conditionalFormatting sqref="H476:H477">
    <cfRule type="cellIs" dxfId="151" priority="4" stopIfTrue="1" operator="equal">
      <formula>"Not OK"</formula>
    </cfRule>
  </conditionalFormatting>
  <conditionalFormatting sqref="H549">
    <cfRule type="cellIs" dxfId="150" priority="1" stopIfTrue="1" operator="equal">
      <formula>"Under Dimentioned"</formula>
    </cfRule>
  </conditionalFormatting>
  <conditionalFormatting sqref="H564:H565">
    <cfRule type="cellIs" dxfId="149" priority="2" stopIfTrue="1" operator="equal">
      <formula>"Not OK"</formula>
    </cfRule>
  </conditionalFormatting>
  <dataValidations count="1">
    <dataValidation type="list" allowBlank="1" showInputMessage="1" showErrorMessage="1" sqref="D481 IZ481 SV481 ACR481 AMN481 AWJ481 BGF481 BQB481 BZX481 CJT481 CTP481 DDL481 DNH481 DXD481 EGZ481 EQV481 FAR481 FKN481 FUJ481 GEF481 GOB481 GXX481 HHT481 HRP481 IBL481 ILH481 IVD481 JEZ481 JOV481 JYR481 KIN481 KSJ481 LCF481 LMB481 LVX481 MFT481 MPP481 MZL481 NJH481 NTD481 OCZ481 OMV481 OWR481 PGN481 PQJ481 QAF481 QKB481 QTX481 RDT481 RNP481 RXL481 SHH481 SRD481 TAZ481 TKV481 TUR481 UEN481 UOJ481 UYF481 VIB481 VRX481 WBT481 WLP481 WVL481 D66017 IZ66017 SV66017 ACR66017 AMN66017 AWJ66017 BGF66017 BQB66017 BZX66017 CJT66017 CTP66017 DDL66017 DNH66017 DXD66017 EGZ66017 EQV66017 FAR66017 FKN66017 FUJ66017 GEF66017 GOB66017 GXX66017 HHT66017 HRP66017 IBL66017 ILH66017 IVD66017 JEZ66017 JOV66017 JYR66017 KIN66017 KSJ66017 LCF66017 LMB66017 LVX66017 MFT66017 MPP66017 MZL66017 NJH66017 NTD66017 OCZ66017 OMV66017 OWR66017 PGN66017 PQJ66017 QAF66017 QKB66017 QTX66017 RDT66017 RNP66017 RXL66017 SHH66017 SRD66017 TAZ66017 TKV66017 TUR66017 UEN66017 UOJ66017 UYF66017 VIB66017 VRX66017 WBT66017 WLP66017 WVL66017 D131553 IZ131553 SV131553 ACR131553 AMN131553 AWJ131553 BGF131553 BQB131553 BZX131553 CJT131553 CTP131553 DDL131553 DNH131553 DXD131553 EGZ131553 EQV131553 FAR131553 FKN131553 FUJ131553 GEF131553 GOB131553 GXX131553 HHT131553 HRP131553 IBL131553 ILH131553 IVD131553 JEZ131553 JOV131553 JYR131553 KIN131553 KSJ131553 LCF131553 LMB131553 LVX131553 MFT131553 MPP131553 MZL131553 NJH131553 NTD131553 OCZ131553 OMV131553 OWR131553 PGN131553 PQJ131553 QAF131553 QKB131553 QTX131553 RDT131553 RNP131553 RXL131553 SHH131553 SRD131553 TAZ131553 TKV131553 TUR131553 UEN131553 UOJ131553 UYF131553 VIB131553 VRX131553 WBT131553 WLP131553 WVL131553 D197089 IZ197089 SV197089 ACR197089 AMN197089 AWJ197089 BGF197089 BQB197089 BZX197089 CJT197089 CTP197089 DDL197089 DNH197089 DXD197089 EGZ197089 EQV197089 FAR197089 FKN197089 FUJ197089 GEF197089 GOB197089 GXX197089 HHT197089 HRP197089 IBL197089 ILH197089 IVD197089 JEZ197089 JOV197089 JYR197089 KIN197089 KSJ197089 LCF197089 LMB197089 LVX197089 MFT197089 MPP197089 MZL197089 NJH197089 NTD197089 OCZ197089 OMV197089 OWR197089 PGN197089 PQJ197089 QAF197089 QKB197089 QTX197089 RDT197089 RNP197089 RXL197089 SHH197089 SRD197089 TAZ197089 TKV197089 TUR197089 UEN197089 UOJ197089 UYF197089 VIB197089 VRX197089 WBT197089 WLP197089 WVL197089 D262625 IZ262625 SV262625 ACR262625 AMN262625 AWJ262625 BGF262625 BQB262625 BZX262625 CJT262625 CTP262625 DDL262625 DNH262625 DXD262625 EGZ262625 EQV262625 FAR262625 FKN262625 FUJ262625 GEF262625 GOB262625 GXX262625 HHT262625 HRP262625 IBL262625 ILH262625 IVD262625 JEZ262625 JOV262625 JYR262625 KIN262625 KSJ262625 LCF262625 LMB262625 LVX262625 MFT262625 MPP262625 MZL262625 NJH262625 NTD262625 OCZ262625 OMV262625 OWR262625 PGN262625 PQJ262625 QAF262625 QKB262625 QTX262625 RDT262625 RNP262625 RXL262625 SHH262625 SRD262625 TAZ262625 TKV262625 TUR262625 UEN262625 UOJ262625 UYF262625 VIB262625 VRX262625 WBT262625 WLP262625 WVL262625 D328161 IZ328161 SV328161 ACR328161 AMN328161 AWJ328161 BGF328161 BQB328161 BZX328161 CJT328161 CTP328161 DDL328161 DNH328161 DXD328161 EGZ328161 EQV328161 FAR328161 FKN328161 FUJ328161 GEF328161 GOB328161 GXX328161 HHT328161 HRP328161 IBL328161 ILH328161 IVD328161 JEZ328161 JOV328161 JYR328161 KIN328161 KSJ328161 LCF328161 LMB328161 LVX328161 MFT328161 MPP328161 MZL328161 NJH328161 NTD328161 OCZ328161 OMV328161 OWR328161 PGN328161 PQJ328161 QAF328161 QKB328161 QTX328161 RDT328161 RNP328161 RXL328161 SHH328161 SRD328161 TAZ328161 TKV328161 TUR328161 UEN328161 UOJ328161 UYF328161 VIB328161 VRX328161 WBT328161 WLP328161 WVL328161 D393697 IZ393697 SV393697 ACR393697 AMN393697 AWJ393697 BGF393697 BQB393697 BZX393697 CJT393697 CTP393697 DDL393697 DNH393697 DXD393697 EGZ393697 EQV393697 FAR393697 FKN393697 FUJ393697 GEF393697 GOB393697 GXX393697 HHT393697 HRP393697 IBL393697 ILH393697 IVD393697 JEZ393697 JOV393697 JYR393697 KIN393697 KSJ393697 LCF393697 LMB393697 LVX393697 MFT393697 MPP393697 MZL393697 NJH393697 NTD393697 OCZ393697 OMV393697 OWR393697 PGN393697 PQJ393697 QAF393697 QKB393697 QTX393697 RDT393697 RNP393697 RXL393697 SHH393697 SRD393697 TAZ393697 TKV393697 TUR393697 UEN393697 UOJ393697 UYF393697 VIB393697 VRX393697 WBT393697 WLP393697 WVL393697 D459233 IZ459233 SV459233 ACR459233 AMN459233 AWJ459233 BGF459233 BQB459233 BZX459233 CJT459233 CTP459233 DDL459233 DNH459233 DXD459233 EGZ459233 EQV459233 FAR459233 FKN459233 FUJ459233 GEF459233 GOB459233 GXX459233 HHT459233 HRP459233 IBL459233 ILH459233 IVD459233 JEZ459233 JOV459233 JYR459233 KIN459233 KSJ459233 LCF459233 LMB459233 LVX459233 MFT459233 MPP459233 MZL459233 NJH459233 NTD459233 OCZ459233 OMV459233 OWR459233 PGN459233 PQJ459233 QAF459233 QKB459233 QTX459233 RDT459233 RNP459233 RXL459233 SHH459233 SRD459233 TAZ459233 TKV459233 TUR459233 UEN459233 UOJ459233 UYF459233 VIB459233 VRX459233 WBT459233 WLP459233 WVL459233 D524769 IZ524769 SV524769 ACR524769 AMN524769 AWJ524769 BGF524769 BQB524769 BZX524769 CJT524769 CTP524769 DDL524769 DNH524769 DXD524769 EGZ524769 EQV524769 FAR524769 FKN524769 FUJ524769 GEF524769 GOB524769 GXX524769 HHT524769 HRP524769 IBL524769 ILH524769 IVD524769 JEZ524769 JOV524769 JYR524769 KIN524769 KSJ524769 LCF524769 LMB524769 LVX524769 MFT524769 MPP524769 MZL524769 NJH524769 NTD524769 OCZ524769 OMV524769 OWR524769 PGN524769 PQJ524769 QAF524769 QKB524769 QTX524769 RDT524769 RNP524769 RXL524769 SHH524769 SRD524769 TAZ524769 TKV524769 TUR524769 UEN524769 UOJ524769 UYF524769 VIB524769 VRX524769 WBT524769 WLP524769 WVL524769 D590305 IZ590305 SV590305 ACR590305 AMN590305 AWJ590305 BGF590305 BQB590305 BZX590305 CJT590305 CTP590305 DDL590305 DNH590305 DXD590305 EGZ590305 EQV590305 FAR590305 FKN590305 FUJ590305 GEF590305 GOB590305 GXX590305 HHT590305 HRP590305 IBL590305 ILH590305 IVD590305 JEZ590305 JOV590305 JYR590305 KIN590305 KSJ590305 LCF590305 LMB590305 LVX590305 MFT590305 MPP590305 MZL590305 NJH590305 NTD590305 OCZ590305 OMV590305 OWR590305 PGN590305 PQJ590305 QAF590305 QKB590305 QTX590305 RDT590305 RNP590305 RXL590305 SHH590305 SRD590305 TAZ590305 TKV590305 TUR590305 UEN590305 UOJ590305 UYF590305 VIB590305 VRX590305 WBT590305 WLP590305 WVL590305 D655841 IZ655841 SV655841 ACR655841 AMN655841 AWJ655841 BGF655841 BQB655841 BZX655841 CJT655841 CTP655841 DDL655841 DNH655841 DXD655841 EGZ655841 EQV655841 FAR655841 FKN655841 FUJ655841 GEF655841 GOB655841 GXX655841 HHT655841 HRP655841 IBL655841 ILH655841 IVD655841 JEZ655841 JOV655841 JYR655841 KIN655841 KSJ655841 LCF655841 LMB655841 LVX655841 MFT655841 MPP655841 MZL655841 NJH655841 NTD655841 OCZ655841 OMV655841 OWR655841 PGN655841 PQJ655841 QAF655841 QKB655841 QTX655841 RDT655841 RNP655841 RXL655841 SHH655841 SRD655841 TAZ655841 TKV655841 TUR655841 UEN655841 UOJ655841 UYF655841 VIB655841 VRX655841 WBT655841 WLP655841 WVL655841 D721377 IZ721377 SV721377 ACR721377 AMN721377 AWJ721377 BGF721377 BQB721377 BZX721377 CJT721377 CTP721377 DDL721377 DNH721377 DXD721377 EGZ721377 EQV721377 FAR721377 FKN721377 FUJ721377 GEF721377 GOB721377 GXX721377 HHT721377 HRP721377 IBL721377 ILH721377 IVD721377 JEZ721377 JOV721377 JYR721377 KIN721377 KSJ721377 LCF721377 LMB721377 LVX721377 MFT721377 MPP721377 MZL721377 NJH721377 NTD721377 OCZ721377 OMV721377 OWR721377 PGN721377 PQJ721377 QAF721377 QKB721377 QTX721377 RDT721377 RNP721377 RXL721377 SHH721377 SRD721377 TAZ721377 TKV721377 TUR721377 UEN721377 UOJ721377 UYF721377 VIB721377 VRX721377 WBT721377 WLP721377 WVL721377 D786913 IZ786913 SV786913 ACR786913 AMN786913 AWJ786913 BGF786913 BQB786913 BZX786913 CJT786913 CTP786913 DDL786913 DNH786913 DXD786913 EGZ786913 EQV786913 FAR786913 FKN786913 FUJ786913 GEF786913 GOB786913 GXX786913 HHT786913 HRP786913 IBL786913 ILH786913 IVD786913 JEZ786913 JOV786913 JYR786913 KIN786913 KSJ786913 LCF786913 LMB786913 LVX786913 MFT786913 MPP786913 MZL786913 NJH786913 NTD786913 OCZ786913 OMV786913 OWR786913 PGN786913 PQJ786913 QAF786913 QKB786913 QTX786913 RDT786913 RNP786913 RXL786913 SHH786913 SRD786913 TAZ786913 TKV786913 TUR786913 UEN786913 UOJ786913 UYF786913 VIB786913 VRX786913 WBT786913 WLP786913 WVL786913 D852449 IZ852449 SV852449 ACR852449 AMN852449 AWJ852449 BGF852449 BQB852449 BZX852449 CJT852449 CTP852449 DDL852449 DNH852449 DXD852449 EGZ852449 EQV852449 FAR852449 FKN852449 FUJ852449 GEF852449 GOB852449 GXX852449 HHT852449 HRP852449 IBL852449 ILH852449 IVD852449 JEZ852449 JOV852449 JYR852449 KIN852449 KSJ852449 LCF852449 LMB852449 LVX852449 MFT852449 MPP852449 MZL852449 NJH852449 NTD852449 OCZ852449 OMV852449 OWR852449 PGN852449 PQJ852449 QAF852449 QKB852449 QTX852449 RDT852449 RNP852449 RXL852449 SHH852449 SRD852449 TAZ852449 TKV852449 TUR852449 UEN852449 UOJ852449 UYF852449 VIB852449 VRX852449 WBT852449 WLP852449 WVL852449 D917985 IZ917985 SV917985 ACR917985 AMN917985 AWJ917985 BGF917985 BQB917985 BZX917985 CJT917985 CTP917985 DDL917985 DNH917985 DXD917985 EGZ917985 EQV917985 FAR917985 FKN917985 FUJ917985 GEF917985 GOB917985 GXX917985 HHT917985 HRP917985 IBL917985 ILH917985 IVD917985 JEZ917985 JOV917985 JYR917985 KIN917985 KSJ917985 LCF917985 LMB917985 LVX917985 MFT917985 MPP917985 MZL917985 NJH917985 NTD917985 OCZ917985 OMV917985 OWR917985 PGN917985 PQJ917985 QAF917985 QKB917985 QTX917985 RDT917985 RNP917985 RXL917985 SHH917985 SRD917985 TAZ917985 TKV917985 TUR917985 UEN917985 UOJ917985 UYF917985 VIB917985 VRX917985 WBT917985 WLP917985 WVL917985 D983521 IZ983521 SV983521 ACR983521 AMN983521 AWJ983521 BGF983521 BQB983521 BZX983521 CJT983521 CTP983521 DDL983521 DNH983521 DXD983521 EGZ983521 EQV983521 FAR983521 FKN983521 FUJ983521 GEF983521 GOB983521 GXX983521 HHT983521 HRP983521 IBL983521 ILH983521 IVD983521 JEZ983521 JOV983521 JYR983521 KIN983521 KSJ983521 LCF983521 LMB983521 LVX983521 MFT983521 MPP983521 MZL983521 NJH983521 NTD983521 OCZ983521 OMV983521 OWR983521 PGN983521 PQJ983521 QAF983521 QKB983521 QTX983521 RDT983521 RNP983521 RXL983521 SHH983521 SRD983521 TAZ983521 TKV983521 TUR983521 UEN983521 UOJ983521 UYF983521 VIB983521 VRX983521 WBT983521 WLP983521 WVL983521 D393 IZ393 SV393 ACR393 AMN393 AWJ393 BGF393 BQB393 BZX393 CJT393 CTP393 DDL393 DNH393 DXD393 EGZ393 EQV393 FAR393 FKN393 FUJ393 GEF393 GOB393 GXX393 HHT393 HRP393 IBL393 ILH393 IVD393 JEZ393 JOV393 JYR393 KIN393 KSJ393 LCF393 LMB393 LVX393 MFT393 MPP393 MZL393 NJH393 NTD393 OCZ393 OMV393 OWR393 PGN393 PQJ393 QAF393 QKB393 QTX393 RDT393 RNP393 RXL393 SHH393 SRD393 TAZ393 TKV393 TUR393 UEN393 UOJ393 UYF393 VIB393 VRX393 WBT393 WLP393 WVL393 D65929 IZ65929 SV65929 ACR65929 AMN65929 AWJ65929 BGF65929 BQB65929 BZX65929 CJT65929 CTP65929 DDL65929 DNH65929 DXD65929 EGZ65929 EQV65929 FAR65929 FKN65929 FUJ65929 GEF65929 GOB65929 GXX65929 HHT65929 HRP65929 IBL65929 ILH65929 IVD65929 JEZ65929 JOV65929 JYR65929 KIN65929 KSJ65929 LCF65929 LMB65929 LVX65929 MFT65929 MPP65929 MZL65929 NJH65929 NTD65929 OCZ65929 OMV65929 OWR65929 PGN65929 PQJ65929 QAF65929 QKB65929 QTX65929 RDT65929 RNP65929 RXL65929 SHH65929 SRD65929 TAZ65929 TKV65929 TUR65929 UEN65929 UOJ65929 UYF65929 VIB65929 VRX65929 WBT65929 WLP65929 WVL65929 D131465 IZ131465 SV131465 ACR131465 AMN131465 AWJ131465 BGF131465 BQB131465 BZX131465 CJT131465 CTP131465 DDL131465 DNH131465 DXD131465 EGZ131465 EQV131465 FAR131465 FKN131465 FUJ131465 GEF131465 GOB131465 GXX131465 HHT131465 HRP131465 IBL131465 ILH131465 IVD131465 JEZ131465 JOV131465 JYR131465 KIN131465 KSJ131465 LCF131465 LMB131465 LVX131465 MFT131465 MPP131465 MZL131465 NJH131465 NTD131465 OCZ131465 OMV131465 OWR131465 PGN131465 PQJ131465 QAF131465 QKB131465 QTX131465 RDT131465 RNP131465 RXL131465 SHH131465 SRD131465 TAZ131465 TKV131465 TUR131465 UEN131465 UOJ131465 UYF131465 VIB131465 VRX131465 WBT131465 WLP131465 WVL131465 D197001 IZ197001 SV197001 ACR197001 AMN197001 AWJ197001 BGF197001 BQB197001 BZX197001 CJT197001 CTP197001 DDL197001 DNH197001 DXD197001 EGZ197001 EQV197001 FAR197001 FKN197001 FUJ197001 GEF197001 GOB197001 GXX197001 HHT197001 HRP197001 IBL197001 ILH197001 IVD197001 JEZ197001 JOV197001 JYR197001 KIN197001 KSJ197001 LCF197001 LMB197001 LVX197001 MFT197001 MPP197001 MZL197001 NJH197001 NTD197001 OCZ197001 OMV197001 OWR197001 PGN197001 PQJ197001 QAF197001 QKB197001 QTX197001 RDT197001 RNP197001 RXL197001 SHH197001 SRD197001 TAZ197001 TKV197001 TUR197001 UEN197001 UOJ197001 UYF197001 VIB197001 VRX197001 WBT197001 WLP197001 WVL197001 D262537 IZ262537 SV262537 ACR262537 AMN262537 AWJ262537 BGF262537 BQB262537 BZX262537 CJT262537 CTP262537 DDL262537 DNH262537 DXD262537 EGZ262537 EQV262537 FAR262537 FKN262537 FUJ262537 GEF262537 GOB262537 GXX262537 HHT262537 HRP262537 IBL262537 ILH262537 IVD262537 JEZ262537 JOV262537 JYR262537 KIN262537 KSJ262537 LCF262537 LMB262537 LVX262537 MFT262537 MPP262537 MZL262537 NJH262537 NTD262537 OCZ262537 OMV262537 OWR262537 PGN262537 PQJ262537 QAF262537 QKB262537 QTX262537 RDT262537 RNP262537 RXL262537 SHH262537 SRD262537 TAZ262537 TKV262537 TUR262537 UEN262537 UOJ262537 UYF262537 VIB262537 VRX262537 WBT262537 WLP262537 WVL262537 D328073 IZ328073 SV328073 ACR328073 AMN328073 AWJ328073 BGF328073 BQB328073 BZX328073 CJT328073 CTP328073 DDL328073 DNH328073 DXD328073 EGZ328073 EQV328073 FAR328073 FKN328073 FUJ328073 GEF328073 GOB328073 GXX328073 HHT328073 HRP328073 IBL328073 ILH328073 IVD328073 JEZ328073 JOV328073 JYR328073 KIN328073 KSJ328073 LCF328073 LMB328073 LVX328073 MFT328073 MPP328073 MZL328073 NJH328073 NTD328073 OCZ328073 OMV328073 OWR328073 PGN328073 PQJ328073 QAF328073 QKB328073 QTX328073 RDT328073 RNP328073 RXL328073 SHH328073 SRD328073 TAZ328073 TKV328073 TUR328073 UEN328073 UOJ328073 UYF328073 VIB328073 VRX328073 WBT328073 WLP328073 WVL328073 D393609 IZ393609 SV393609 ACR393609 AMN393609 AWJ393609 BGF393609 BQB393609 BZX393609 CJT393609 CTP393609 DDL393609 DNH393609 DXD393609 EGZ393609 EQV393609 FAR393609 FKN393609 FUJ393609 GEF393609 GOB393609 GXX393609 HHT393609 HRP393609 IBL393609 ILH393609 IVD393609 JEZ393609 JOV393609 JYR393609 KIN393609 KSJ393609 LCF393609 LMB393609 LVX393609 MFT393609 MPP393609 MZL393609 NJH393609 NTD393609 OCZ393609 OMV393609 OWR393609 PGN393609 PQJ393609 QAF393609 QKB393609 QTX393609 RDT393609 RNP393609 RXL393609 SHH393609 SRD393609 TAZ393609 TKV393609 TUR393609 UEN393609 UOJ393609 UYF393609 VIB393609 VRX393609 WBT393609 WLP393609 WVL393609 D459145 IZ459145 SV459145 ACR459145 AMN459145 AWJ459145 BGF459145 BQB459145 BZX459145 CJT459145 CTP459145 DDL459145 DNH459145 DXD459145 EGZ459145 EQV459145 FAR459145 FKN459145 FUJ459145 GEF459145 GOB459145 GXX459145 HHT459145 HRP459145 IBL459145 ILH459145 IVD459145 JEZ459145 JOV459145 JYR459145 KIN459145 KSJ459145 LCF459145 LMB459145 LVX459145 MFT459145 MPP459145 MZL459145 NJH459145 NTD459145 OCZ459145 OMV459145 OWR459145 PGN459145 PQJ459145 QAF459145 QKB459145 QTX459145 RDT459145 RNP459145 RXL459145 SHH459145 SRD459145 TAZ459145 TKV459145 TUR459145 UEN459145 UOJ459145 UYF459145 VIB459145 VRX459145 WBT459145 WLP459145 WVL459145 D524681 IZ524681 SV524681 ACR524681 AMN524681 AWJ524681 BGF524681 BQB524681 BZX524681 CJT524681 CTP524681 DDL524681 DNH524681 DXD524681 EGZ524681 EQV524681 FAR524681 FKN524681 FUJ524681 GEF524681 GOB524681 GXX524681 HHT524681 HRP524681 IBL524681 ILH524681 IVD524681 JEZ524681 JOV524681 JYR524681 KIN524681 KSJ524681 LCF524681 LMB524681 LVX524681 MFT524681 MPP524681 MZL524681 NJH524681 NTD524681 OCZ524681 OMV524681 OWR524681 PGN524681 PQJ524681 QAF524681 QKB524681 QTX524681 RDT524681 RNP524681 RXL524681 SHH524681 SRD524681 TAZ524681 TKV524681 TUR524681 UEN524681 UOJ524681 UYF524681 VIB524681 VRX524681 WBT524681 WLP524681 WVL524681 D590217 IZ590217 SV590217 ACR590217 AMN590217 AWJ590217 BGF590217 BQB590217 BZX590217 CJT590217 CTP590217 DDL590217 DNH590217 DXD590217 EGZ590217 EQV590217 FAR590217 FKN590217 FUJ590217 GEF590217 GOB590217 GXX590217 HHT590217 HRP590217 IBL590217 ILH590217 IVD590217 JEZ590217 JOV590217 JYR590217 KIN590217 KSJ590217 LCF590217 LMB590217 LVX590217 MFT590217 MPP590217 MZL590217 NJH590217 NTD590217 OCZ590217 OMV590217 OWR590217 PGN590217 PQJ590217 QAF590217 QKB590217 QTX590217 RDT590217 RNP590217 RXL590217 SHH590217 SRD590217 TAZ590217 TKV590217 TUR590217 UEN590217 UOJ590217 UYF590217 VIB590217 VRX590217 WBT590217 WLP590217 WVL590217 D655753 IZ655753 SV655753 ACR655753 AMN655753 AWJ655753 BGF655753 BQB655753 BZX655753 CJT655753 CTP655753 DDL655753 DNH655753 DXD655753 EGZ655753 EQV655753 FAR655753 FKN655753 FUJ655753 GEF655753 GOB655753 GXX655753 HHT655753 HRP655753 IBL655753 ILH655753 IVD655753 JEZ655753 JOV655753 JYR655753 KIN655753 KSJ655753 LCF655753 LMB655753 LVX655753 MFT655753 MPP655753 MZL655753 NJH655753 NTD655753 OCZ655753 OMV655753 OWR655753 PGN655753 PQJ655753 QAF655753 QKB655753 QTX655753 RDT655753 RNP655753 RXL655753 SHH655753 SRD655753 TAZ655753 TKV655753 TUR655753 UEN655753 UOJ655753 UYF655753 VIB655753 VRX655753 WBT655753 WLP655753 WVL655753 D721289 IZ721289 SV721289 ACR721289 AMN721289 AWJ721289 BGF721289 BQB721289 BZX721289 CJT721289 CTP721289 DDL721289 DNH721289 DXD721289 EGZ721289 EQV721289 FAR721289 FKN721289 FUJ721289 GEF721289 GOB721289 GXX721289 HHT721289 HRP721289 IBL721289 ILH721289 IVD721289 JEZ721289 JOV721289 JYR721289 KIN721289 KSJ721289 LCF721289 LMB721289 LVX721289 MFT721289 MPP721289 MZL721289 NJH721289 NTD721289 OCZ721289 OMV721289 OWR721289 PGN721289 PQJ721289 QAF721289 QKB721289 QTX721289 RDT721289 RNP721289 RXL721289 SHH721289 SRD721289 TAZ721289 TKV721289 TUR721289 UEN721289 UOJ721289 UYF721289 VIB721289 VRX721289 WBT721289 WLP721289 WVL721289 D786825 IZ786825 SV786825 ACR786825 AMN786825 AWJ786825 BGF786825 BQB786825 BZX786825 CJT786825 CTP786825 DDL786825 DNH786825 DXD786825 EGZ786825 EQV786825 FAR786825 FKN786825 FUJ786825 GEF786825 GOB786825 GXX786825 HHT786825 HRP786825 IBL786825 ILH786825 IVD786825 JEZ786825 JOV786825 JYR786825 KIN786825 KSJ786825 LCF786825 LMB786825 LVX786825 MFT786825 MPP786825 MZL786825 NJH786825 NTD786825 OCZ786825 OMV786825 OWR786825 PGN786825 PQJ786825 QAF786825 QKB786825 QTX786825 RDT786825 RNP786825 RXL786825 SHH786825 SRD786825 TAZ786825 TKV786825 TUR786825 UEN786825 UOJ786825 UYF786825 VIB786825 VRX786825 WBT786825 WLP786825 WVL786825 D852361 IZ852361 SV852361 ACR852361 AMN852361 AWJ852361 BGF852361 BQB852361 BZX852361 CJT852361 CTP852361 DDL852361 DNH852361 DXD852361 EGZ852361 EQV852361 FAR852361 FKN852361 FUJ852361 GEF852361 GOB852361 GXX852361 HHT852361 HRP852361 IBL852361 ILH852361 IVD852361 JEZ852361 JOV852361 JYR852361 KIN852361 KSJ852361 LCF852361 LMB852361 LVX852361 MFT852361 MPP852361 MZL852361 NJH852361 NTD852361 OCZ852361 OMV852361 OWR852361 PGN852361 PQJ852361 QAF852361 QKB852361 QTX852361 RDT852361 RNP852361 RXL852361 SHH852361 SRD852361 TAZ852361 TKV852361 TUR852361 UEN852361 UOJ852361 UYF852361 VIB852361 VRX852361 WBT852361 WLP852361 WVL852361 D917897 IZ917897 SV917897 ACR917897 AMN917897 AWJ917897 BGF917897 BQB917897 BZX917897 CJT917897 CTP917897 DDL917897 DNH917897 DXD917897 EGZ917897 EQV917897 FAR917897 FKN917897 FUJ917897 GEF917897 GOB917897 GXX917897 HHT917897 HRP917897 IBL917897 ILH917897 IVD917897 JEZ917897 JOV917897 JYR917897 KIN917897 KSJ917897 LCF917897 LMB917897 LVX917897 MFT917897 MPP917897 MZL917897 NJH917897 NTD917897 OCZ917897 OMV917897 OWR917897 PGN917897 PQJ917897 QAF917897 QKB917897 QTX917897 RDT917897 RNP917897 RXL917897 SHH917897 SRD917897 TAZ917897 TKV917897 TUR917897 UEN917897 UOJ917897 UYF917897 VIB917897 VRX917897 WBT917897 WLP917897 WVL917897 D983433 IZ983433 SV983433 ACR983433 AMN983433 AWJ983433 BGF983433 BQB983433 BZX983433 CJT983433 CTP983433 DDL983433 DNH983433 DXD983433 EGZ983433 EQV983433 FAR983433 FKN983433 FUJ983433 GEF983433 GOB983433 GXX983433 HHT983433 HRP983433 IBL983433 ILH983433 IVD983433 JEZ983433 JOV983433 JYR983433 KIN983433 KSJ983433 LCF983433 LMB983433 LVX983433 MFT983433 MPP983433 MZL983433 NJH983433 NTD983433 OCZ983433 OMV983433 OWR983433 PGN983433 PQJ983433 QAF983433 QKB983433 QTX983433 RDT983433 RNP983433 RXL983433 SHH983433 SRD983433 TAZ983433 TKV983433 TUR983433 UEN983433 UOJ983433 UYF983433 VIB983433 VRX983433 WBT983433 WLP983433 WVL983433 D310 IZ310 SV310 ACR310 AMN310 AWJ310 BGF310 BQB310 BZX310 CJT310 CTP310 DDL310 DNH310 DXD310 EGZ310 EQV310 FAR310 FKN310 FUJ310 GEF310 GOB310 GXX310 HHT310 HRP310 IBL310 ILH310 IVD310 JEZ310 JOV310 JYR310 KIN310 KSJ310 LCF310 LMB310 LVX310 MFT310 MPP310 MZL310 NJH310 NTD310 OCZ310 OMV310 OWR310 PGN310 PQJ310 QAF310 QKB310 QTX310 RDT310 RNP310 RXL310 SHH310 SRD310 TAZ310 TKV310 TUR310 UEN310 UOJ310 UYF310 VIB310 VRX310 WBT310 WLP310 WVL310 D65846 IZ65846 SV65846 ACR65846 AMN65846 AWJ65846 BGF65846 BQB65846 BZX65846 CJT65846 CTP65846 DDL65846 DNH65846 DXD65846 EGZ65846 EQV65846 FAR65846 FKN65846 FUJ65846 GEF65846 GOB65846 GXX65846 HHT65846 HRP65846 IBL65846 ILH65846 IVD65846 JEZ65846 JOV65846 JYR65846 KIN65846 KSJ65846 LCF65846 LMB65846 LVX65846 MFT65846 MPP65846 MZL65846 NJH65846 NTD65846 OCZ65846 OMV65846 OWR65846 PGN65846 PQJ65846 QAF65846 QKB65846 QTX65846 RDT65846 RNP65846 RXL65846 SHH65846 SRD65846 TAZ65846 TKV65846 TUR65846 UEN65846 UOJ65846 UYF65846 VIB65846 VRX65846 WBT65846 WLP65846 WVL65846 D131382 IZ131382 SV131382 ACR131382 AMN131382 AWJ131382 BGF131382 BQB131382 BZX131382 CJT131382 CTP131382 DDL131382 DNH131382 DXD131382 EGZ131382 EQV131382 FAR131382 FKN131382 FUJ131382 GEF131382 GOB131382 GXX131382 HHT131382 HRP131382 IBL131382 ILH131382 IVD131382 JEZ131382 JOV131382 JYR131382 KIN131382 KSJ131382 LCF131382 LMB131382 LVX131382 MFT131382 MPP131382 MZL131382 NJH131382 NTD131382 OCZ131382 OMV131382 OWR131382 PGN131382 PQJ131382 QAF131382 QKB131382 QTX131382 RDT131382 RNP131382 RXL131382 SHH131382 SRD131382 TAZ131382 TKV131382 TUR131382 UEN131382 UOJ131382 UYF131382 VIB131382 VRX131382 WBT131382 WLP131382 WVL131382 D196918 IZ196918 SV196918 ACR196918 AMN196918 AWJ196918 BGF196918 BQB196918 BZX196918 CJT196918 CTP196918 DDL196918 DNH196918 DXD196918 EGZ196918 EQV196918 FAR196918 FKN196918 FUJ196918 GEF196918 GOB196918 GXX196918 HHT196918 HRP196918 IBL196918 ILH196918 IVD196918 JEZ196918 JOV196918 JYR196918 KIN196918 KSJ196918 LCF196918 LMB196918 LVX196918 MFT196918 MPP196918 MZL196918 NJH196918 NTD196918 OCZ196918 OMV196918 OWR196918 PGN196918 PQJ196918 QAF196918 QKB196918 QTX196918 RDT196918 RNP196918 RXL196918 SHH196918 SRD196918 TAZ196918 TKV196918 TUR196918 UEN196918 UOJ196918 UYF196918 VIB196918 VRX196918 WBT196918 WLP196918 WVL196918 D262454 IZ262454 SV262454 ACR262454 AMN262454 AWJ262454 BGF262454 BQB262454 BZX262454 CJT262454 CTP262454 DDL262454 DNH262454 DXD262454 EGZ262454 EQV262454 FAR262454 FKN262454 FUJ262454 GEF262454 GOB262454 GXX262454 HHT262454 HRP262454 IBL262454 ILH262454 IVD262454 JEZ262454 JOV262454 JYR262454 KIN262454 KSJ262454 LCF262454 LMB262454 LVX262454 MFT262454 MPP262454 MZL262454 NJH262454 NTD262454 OCZ262454 OMV262454 OWR262454 PGN262454 PQJ262454 QAF262454 QKB262454 QTX262454 RDT262454 RNP262454 RXL262454 SHH262454 SRD262454 TAZ262454 TKV262454 TUR262454 UEN262454 UOJ262454 UYF262454 VIB262454 VRX262454 WBT262454 WLP262454 WVL262454 D327990 IZ327990 SV327990 ACR327990 AMN327990 AWJ327990 BGF327990 BQB327990 BZX327990 CJT327990 CTP327990 DDL327990 DNH327990 DXD327990 EGZ327990 EQV327990 FAR327990 FKN327990 FUJ327990 GEF327990 GOB327990 GXX327990 HHT327990 HRP327990 IBL327990 ILH327990 IVD327990 JEZ327990 JOV327990 JYR327990 KIN327990 KSJ327990 LCF327990 LMB327990 LVX327990 MFT327990 MPP327990 MZL327990 NJH327990 NTD327990 OCZ327990 OMV327990 OWR327990 PGN327990 PQJ327990 QAF327990 QKB327990 QTX327990 RDT327990 RNP327990 RXL327990 SHH327990 SRD327990 TAZ327990 TKV327990 TUR327990 UEN327990 UOJ327990 UYF327990 VIB327990 VRX327990 WBT327990 WLP327990 WVL327990 D393526 IZ393526 SV393526 ACR393526 AMN393526 AWJ393526 BGF393526 BQB393526 BZX393526 CJT393526 CTP393526 DDL393526 DNH393526 DXD393526 EGZ393526 EQV393526 FAR393526 FKN393526 FUJ393526 GEF393526 GOB393526 GXX393526 HHT393526 HRP393526 IBL393526 ILH393526 IVD393526 JEZ393526 JOV393526 JYR393526 KIN393526 KSJ393526 LCF393526 LMB393526 LVX393526 MFT393526 MPP393526 MZL393526 NJH393526 NTD393526 OCZ393526 OMV393526 OWR393526 PGN393526 PQJ393526 QAF393526 QKB393526 QTX393526 RDT393526 RNP393526 RXL393526 SHH393526 SRD393526 TAZ393526 TKV393526 TUR393526 UEN393526 UOJ393526 UYF393526 VIB393526 VRX393526 WBT393526 WLP393526 WVL393526 D459062 IZ459062 SV459062 ACR459062 AMN459062 AWJ459062 BGF459062 BQB459062 BZX459062 CJT459062 CTP459062 DDL459062 DNH459062 DXD459062 EGZ459062 EQV459062 FAR459062 FKN459062 FUJ459062 GEF459062 GOB459062 GXX459062 HHT459062 HRP459062 IBL459062 ILH459062 IVD459062 JEZ459062 JOV459062 JYR459062 KIN459062 KSJ459062 LCF459062 LMB459062 LVX459062 MFT459062 MPP459062 MZL459062 NJH459062 NTD459062 OCZ459062 OMV459062 OWR459062 PGN459062 PQJ459062 QAF459062 QKB459062 QTX459062 RDT459062 RNP459062 RXL459062 SHH459062 SRD459062 TAZ459062 TKV459062 TUR459062 UEN459062 UOJ459062 UYF459062 VIB459062 VRX459062 WBT459062 WLP459062 WVL459062 D524598 IZ524598 SV524598 ACR524598 AMN524598 AWJ524598 BGF524598 BQB524598 BZX524598 CJT524598 CTP524598 DDL524598 DNH524598 DXD524598 EGZ524598 EQV524598 FAR524598 FKN524598 FUJ524598 GEF524598 GOB524598 GXX524598 HHT524598 HRP524598 IBL524598 ILH524598 IVD524598 JEZ524598 JOV524598 JYR524598 KIN524598 KSJ524598 LCF524598 LMB524598 LVX524598 MFT524598 MPP524598 MZL524598 NJH524598 NTD524598 OCZ524598 OMV524598 OWR524598 PGN524598 PQJ524598 QAF524598 QKB524598 QTX524598 RDT524598 RNP524598 RXL524598 SHH524598 SRD524598 TAZ524598 TKV524598 TUR524598 UEN524598 UOJ524598 UYF524598 VIB524598 VRX524598 WBT524598 WLP524598 WVL524598 D590134 IZ590134 SV590134 ACR590134 AMN590134 AWJ590134 BGF590134 BQB590134 BZX590134 CJT590134 CTP590134 DDL590134 DNH590134 DXD590134 EGZ590134 EQV590134 FAR590134 FKN590134 FUJ590134 GEF590134 GOB590134 GXX590134 HHT590134 HRP590134 IBL590134 ILH590134 IVD590134 JEZ590134 JOV590134 JYR590134 KIN590134 KSJ590134 LCF590134 LMB590134 LVX590134 MFT590134 MPP590134 MZL590134 NJH590134 NTD590134 OCZ590134 OMV590134 OWR590134 PGN590134 PQJ590134 QAF590134 QKB590134 QTX590134 RDT590134 RNP590134 RXL590134 SHH590134 SRD590134 TAZ590134 TKV590134 TUR590134 UEN590134 UOJ590134 UYF590134 VIB590134 VRX590134 WBT590134 WLP590134 WVL590134 D655670 IZ655670 SV655670 ACR655670 AMN655670 AWJ655670 BGF655670 BQB655670 BZX655670 CJT655670 CTP655670 DDL655670 DNH655670 DXD655670 EGZ655670 EQV655670 FAR655670 FKN655670 FUJ655670 GEF655670 GOB655670 GXX655670 HHT655670 HRP655670 IBL655670 ILH655670 IVD655670 JEZ655670 JOV655670 JYR655670 KIN655670 KSJ655670 LCF655670 LMB655670 LVX655670 MFT655670 MPP655670 MZL655670 NJH655670 NTD655670 OCZ655670 OMV655670 OWR655670 PGN655670 PQJ655670 QAF655670 QKB655670 QTX655670 RDT655670 RNP655670 RXL655670 SHH655670 SRD655670 TAZ655670 TKV655670 TUR655670 UEN655670 UOJ655670 UYF655670 VIB655670 VRX655670 WBT655670 WLP655670 WVL655670 D721206 IZ721206 SV721206 ACR721206 AMN721206 AWJ721206 BGF721206 BQB721206 BZX721206 CJT721206 CTP721206 DDL721206 DNH721206 DXD721206 EGZ721206 EQV721206 FAR721206 FKN721206 FUJ721206 GEF721206 GOB721206 GXX721206 HHT721206 HRP721206 IBL721206 ILH721206 IVD721206 JEZ721206 JOV721206 JYR721206 KIN721206 KSJ721206 LCF721206 LMB721206 LVX721206 MFT721206 MPP721206 MZL721206 NJH721206 NTD721206 OCZ721206 OMV721206 OWR721206 PGN721206 PQJ721206 QAF721206 QKB721206 QTX721206 RDT721206 RNP721206 RXL721206 SHH721206 SRD721206 TAZ721206 TKV721206 TUR721206 UEN721206 UOJ721206 UYF721206 VIB721206 VRX721206 WBT721206 WLP721206 WVL721206 D786742 IZ786742 SV786742 ACR786742 AMN786742 AWJ786742 BGF786742 BQB786742 BZX786742 CJT786742 CTP786742 DDL786742 DNH786742 DXD786742 EGZ786742 EQV786742 FAR786742 FKN786742 FUJ786742 GEF786742 GOB786742 GXX786742 HHT786742 HRP786742 IBL786742 ILH786742 IVD786742 JEZ786742 JOV786742 JYR786742 KIN786742 KSJ786742 LCF786742 LMB786742 LVX786742 MFT786742 MPP786742 MZL786742 NJH786742 NTD786742 OCZ786742 OMV786742 OWR786742 PGN786742 PQJ786742 QAF786742 QKB786742 QTX786742 RDT786742 RNP786742 RXL786742 SHH786742 SRD786742 TAZ786742 TKV786742 TUR786742 UEN786742 UOJ786742 UYF786742 VIB786742 VRX786742 WBT786742 WLP786742 WVL786742 D852278 IZ852278 SV852278 ACR852278 AMN852278 AWJ852278 BGF852278 BQB852278 BZX852278 CJT852278 CTP852278 DDL852278 DNH852278 DXD852278 EGZ852278 EQV852278 FAR852278 FKN852278 FUJ852278 GEF852278 GOB852278 GXX852278 HHT852278 HRP852278 IBL852278 ILH852278 IVD852278 JEZ852278 JOV852278 JYR852278 KIN852278 KSJ852278 LCF852278 LMB852278 LVX852278 MFT852278 MPP852278 MZL852278 NJH852278 NTD852278 OCZ852278 OMV852278 OWR852278 PGN852278 PQJ852278 QAF852278 QKB852278 QTX852278 RDT852278 RNP852278 RXL852278 SHH852278 SRD852278 TAZ852278 TKV852278 TUR852278 UEN852278 UOJ852278 UYF852278 VIB852278 VRX852278 WBT852278 WLP852278 WVL852278 D917814 IZ917814 SV917814 ACR917814 AMN917814 AWJ917814 BGF917814 BQB917814 BZX917814 CJT917814 CTP917814 DDL917814 DNH917814 DXD917814 EGZ917814 EQV917814 FAR917814 FKN917814 FUJ917814 GEF917814 GOB917814 GXX917814 HHT917814 HRP917814 IBL917814 ILH917814 IVD917814 JEZ917814 JOV917814 JYR917814 KIN917814 KSJ917814 LCF917814 LMB917814 LVX917814 MFT917814 MPP917814 MZL917814 NJH917814 NTD917814 OCZ917814 OMV917814 OWR917814 PGN917814 PQJ917814 QAF917814 QKB917814 QTX917814 RDT917814 RNP917814 RXL917814 SHH917814 SRD917814 TAZ917814 TKV917814 TUR917814 UEN917814 UOJ917814 UYF917814 VIB917814 VRX917814 WBT917814 WLP917814 WVL917814 D983350 IZ983350 SV983350 ACR983350 AMN983350 AWJ983350 BGF983350 BQB983350 BZX983350 CJT983350 CTP983350 DDL983350 DNH983350 DXD983350 EGZ983350 EQV983350 FAR983350 FKN983350 FUJ983350 GEF983350 GOB983350 GXX983350 HHT983350 HRP983350 IBL983350 ILH983350 IVD983350 JEZ983350 JOV983350 JYR983350 KIN983350 KSJ983350 LCF983350 LMB983350 LVX983350 MFT983350 MPP983350 MZL983350 NJH983350 NTD983350 OCZ983350 OMV983350 OWR983350 PGN983350 PQJ983350 QAF983350 QKB983350 QTX983350 RDT983350 RNP983350 RXL983350 SHH983350 SRD983350 TAZ983350 TKV983350 TUR983350 UEN983350 UOJ983350 UYF983350 VIB983350 VRX983350 WBT983350 WLP983350 WVL983350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7 IZ65627 SV65627 ACR65627 AMN65627 AWJ65627 BGF65627 BQB65627 BZX65627 CJT65627 CTP65627 DDL65627 DNH65627 DXD65627 EGZ65627 EQV65627 FAR65627 FKN65627 FUJ65627 GEF65627 GOB65627 GXX65627 HHT65627 HRP65627 IBL65627 ILH65627 IVD65627 JEZ65627 JOV65627 JYR65627 KIN65627 KSJ65627 LCF65627 LMB65627 LVX65627 MFT65627 MPP65627 MZL65627 NJH65627 NTD65627 OCZ65627 OMV65627 OWR65627 PGN65627 PQJ65627 QAF65627 QKB65627 QTX65627 RDT65627 RNP65627 RXL65627 SHH65627 SRD65627 TAZ65627 TKV65627 TUR65627 UEN65627 UOJ65627 UYF65627 VIB65627 VRX65627 WBT65627 WLP65627 WVL65627 D131163 IZ131163 SV131163 ACR131163 AMN131163 AWJ131163 BGF131163 BQB131163 BZX131163 CJT131163 CTP131163 DDL131163 DNH131163 DXD131163 EGZ131163 EQV131163 FAR131163 FKN131163 FUJ131163 GEF131163 GOB131163 GXX131163 HHT131163 HRP131163 IBL131163 ILH131163 IVD131163 JEZ131163 JOV131163 JYR131163 KIN131163 KSJ131163 LCF131163 LMB131163 LVX131163 MFT131163 MPP131163 MZL131163 NJH131163 NTD131163 OCZ131163 OMV131163 OWR131163 PGN131163 PQJ131163 QAF131163 QKB131163 QTX131163 RDT131163 RNP131163 RXL131163 SHH131163 SRD131163 TAZ131163 TKV131163 TUR131163 UEN131163 UOJ131163 UYF131163 VIB131163 VRX131163 WBT131163 WLP131163 WVL131163 D196699 IZ196699 SV196699 ACR196699 AMN196699 AWJ196699 BGF196699 BQB196699 BZX196699 CJT196699 CTP196699 DDL196699 DNH196699 DXD196699 EGZ196699 EQV196699 FAR196699 FKN196699 FUJ196699 GEF196699 GOB196699 GXX196699 HHT196699 HRP196699 IBL196699 ILH196699 IVD196699 JEZ196699 JOV196699 JYR196699 KIN196699 KSJ196699 LCF196699 LMB196699 LVX196699 MFT196699 MPP196699 MZL196699 NJH196699 NTD196699 OCZ196699 OMV196699 OWR196699 PGN196699 PQJ196699 QAF196699 QKB196699 QTX196699 RDT196699 RNP196699 RXL196699 SHH196699 SRD196699 TAZ196699 TKV196699 TUR196699 UEN196699 UOJ196699 UYF196699 VIB196699 VRX196699 WBT196699 WLP196699 WVL196699 D262235 IZ262235 SV262235 ACR262235 AMN262235 AWJ262235 BGF262235 BQB262235 BZX262235 CJT262235 CTP262235 DDL262235 DNH262235 DXD262235 EGZ262235 EQV262235 FAR262235 FKN262235 FUJ262235 GEF262235 GOB262235 GXX262235 HHT262235 HRP262235 IBL262235 ILH262235 IVD262235 JEZ262235 JOV262235 JYR262235 KIN262235 KSJ262235 LCF262235 LMB262235 LVX262235 MFT262235 MPP262235 MZL262235 NJH262235 NTD262235 OCZ262235 OMV262235 OWR262235 PGN262235 PQJ262235 QAF262235 QKB262235 QTX262235 RDT262235 RNP262235 RXL262235 SHH262235 SRD262235 TAZ262235 TKV262235 TUR262235 UEN262235 UOJ262235 UYF262235 VIB262235 VRX262235 WBT262235 WLP262235 WVL262235 D327771 IZ327771 SV327771 ACR327771 AMN327771 AWJ327771 BGF327771 BQB327771 BZX327771 CJT327771 CTP327771 DDL327771 DNH327771 DXD327771 EGZ327771 EQV327771 FAR327771 FKN327771 FUJ327771 GEF327771 GOB327771 GXX327771 HHT327771 HRP327771 IBL327771 ILH327771 IVD327771 JEZ327771 JOV327771 JYR327771 KIN327771 KSJ327771 LCF327771 LMB327771 LVX327771 MFT327771 MPP327771 MZL327771 NJH327771 NTD327771 OCZ327771 OMV327771 OWR327771 PGN327771 PQJ327771 QAF327771 QKB327771 QTX327771 RDT327771 RNP327771 RXL327771 SHH327771 SRD327771 TAZ327771 TKV327771 TUR327771 UEN327771 UOJ327771 UYF327771 VIB327771 VRX327771 WBT327771 WLP327771 WVL327771 D393307 IZ393307 SV393307 ACR393307 AMN393307 AWJ393307 BGF393307 BQB393307 BZX393307 CJT393307 CTP393307 DDL393307 DNH393307 DXD393307 EGZ393307 EQV393307 FAR393307 FKN393307 FUJ393307 GEF393307 GOB393307 GXX393307 HHT393307 HRP393307 IBL393307 ILH393307 IVD393307 JEZ393307 JOV393307 JYR393307 KIN393307 KSJ393307 LCF393307 LMB393307 LVX393307 MFT393307 MPP393307 MZL393307 NJH393307 NTD393307 OCZ393307 OMV393307 OWR393307 PGN393307 PQJ393307 QAF393307 QKB393307 QTX393307 RDT393307 RNP393307 RXL393307 SHH393307 SRD393307 TAZ393307 TKV393307 TUR393307 UEN393307 UOJ393307 UYF393307 VIB393307 VRX393307 WBT393307 WLP393307 WVL393307 D458843 IZ458843 SV458843 ACR458843 AMN458843 AWJ458843 BGF458843 BQB458843 BZX458843 CJT458843 CTP458843 DDL458843 DNH458843 DXD458843 EGZ458843 EQV458843 FAR458843 FKN458843 FUJ458843 GEF458843 GOB458843 GXX458843 HHT458843 HRP458843 IBL458843 ILH458843 IVD458843 JEZ458843 JOV458843 JYR458843 KIN458843 KSJ458843 LCF458843 LMB458843 LVX458843 MFT458843 MPP458843 MZL458843 NJH458843 NTD458843 OCZ458843 OMV458843 OWR458843 PGN458843 PQJ458843 QAF458843 QKB458843 QTX458843 RDT458843 RNP458843 RXL458843 SHH458843 SRD458843 TAZ458843 TKV458843 TUR458843 UEN458843 UOJ458843 UYF458843 VIB458843 VRX458843 WBT458843 WLP458843 WVL458843 D524379 IZ524379 SV524379 ACR524379 AMN524379 AWJ524379 BGF524379 BQB524379 BZX524379 CJT524379 CTP524379 DDL524379 DNH524379 DXD524379 EGZ524379 EQV524379 FAR524379 FKN524379 FUJ524379 GEF524379 GOB524379 GXX524379 HHT524379 HRP524379 IBL524379 ILH524379 IVD524379 JEZ524379 JOV524379 JYR524379 KIN524379 KSJ524379 LCF524379 LMB524379 LVX524379 MFT524379 MPP524379 MZL524379 NJH524379 NTD524379 OCZ524379 OMV524379 OWR524379 PGN524379 PQJ524379 QAF524379 QKB524379 QTX524379 RDT524379 RNP524379 RXL524379 SHH524379 SRD524379 TAZ524379 TKV524379 TUR524379 UEN524379 UOJ524379 UYF524379 VIB524379 VRX524379 WBT524379 WLP524379 WVL524379 D589915 IZ589915 SV589915 ACR589915 AMN589915 AWJ589915 BGF589915 BQB589915 BZX589915 CJT589915 CTP589915 DDL589915 DNH589915 DXD589915 EGZ589915 EQV589915 FAR589915 FKN589915 FUJ589915 GEF589915 GOB589915 GXX589915 HHT589915 HRP589915 IBL589915 ILH589915 IVD589915 JEZ589915 JOV589915 JYR589915 KIN589915 KSJ589915 LCF589915 LMB589915 LVX589915 MFT589915 MPP589915 MZL589915 NJH589915 NTD589915 OCZ589915 OMV589915 OWR589915 PGN589915 PQJ589915 QAF589915 QKB589915 QTX589915 RDT589915 RNP589915 RXL589915 SHH589915 SRD589915 TAZ589915 TKV589915 TUR589915 UEN589915 UOJ589915 UYF589915 VIB589915 VRX589915 WBT589915 WLP589915 WVL589915 D655451 IZ655451 SV655451 ACR655451 AMN655451 AWJ655451 BGF655451 BQB655451 BZX655451 CJT655451 CTP655451 DDL655451 DNH655451 DXD655451 EGZ655451 EQV655451 FAR655451 FKN655451 FUJ655451 GEF655451 GOB655451 GXX655451 HHT655451 HRP655451 IBL655451 ILH655451 IVD655451 JEZ655451 JOV655451 JYR655451 KIN655451 KSJ655451 LCF655451 LMB655451 LVX655451 MFT655451 MPP655451 MZL655451 NJH655451 NTD655451 OCZ655451 OMV655451 OWR655451 PGN655451 PQJ655451 QAF655451 QKB655451 QTX655451 RDT655451 RNP655451 RXL655451 SHH655451 SRD655451 TAZ655451 TKV655451 TUR655451 UEN655451 UOJ655451 UYF655451 VIB655451 VRX655451 WBT655451 WLP655451 WVL655451 D720987 IZ720987 SV720987 ACR720987 AMN720987 AWJ720987 BGF720987 BQB720987 BZX720987 CJT720987 CTP720987 DDL720987 DNH720987 DXD720987 EGZ720987 EQV720987 FAR720987 FKN720987 FUJ720987 GEF720987 GOB720987 GXX720987 HHT720987 HRP720987 IBL720987 ILH720987 IVD720987 JEZ720987 JOV720987 JYR720987 KIN720987 KSJ720987 LCF720987 LMB720987 LVX720987 MFT720987 MPP720987 MZL720987 NJH720987 NTD720987 OCZ720987 OMV720987 OWR720987 PGN720987 PQJ720987 QAF720987 QKB720987 QTX720987 RDT720987 RNP720987 RXL720987 SHH720987 SRD720987 TAZ720987 TKV720987 TUR720987 UEN720987 UOJ720987 UYF720987 VIB720987 VRX720987 WBT720987 WLP720987 WVL720987 D786523 IZ786523 SV786523 ACR786523 AMN786523 AWJ786523 BGF786523 BQB786523 BZX786523 CJT786523 CTP786523 DDL786523 DNH786523 DXD786523 EGZ786523 EQV786523 FAR786523 FKN786523 FUJ786523 GEF786523 GOB786523 GXX786523 HHT786523 HRP786523 IBL786523 ILH786523 IVD786523 JEZ786523 JOV786523 JYR786523 KIN786523 KSJ786523 LCF786523 LMB786523 LVX786523 MFT786523 MPP786523 MZL786523 NJH786523 NTD786523 OCZ786523 OMV786523 OWR786523 PGN786523 PQJ786523 QAF786523 QKB786523 QTX786523 RDT786523 RNP786523 RXL786523 SHH786523 SRD786523 TAZ786523 TKV786523 TUR786523 UEN786523 UOJ786523 UYF786523 VIB786523 VRX786523 WBT786523 WLP786523 WVL786523 D852059 IZ852059 SV852059 ACR852059 AMN852059 AWJ852059 BGF852059 BQB852059 BZX852059 CJT852059 CTP852059 DDL852059 DNH852059 DXD852059 EGZ852059 EQV852059 FAR852059 FKN852059 FUJ852059 GEF852059 GOB852059 GXX852059 HHT852059 HRP852059 IBL852059 ILH852059 IVD852059 JEZ852059 JOV852059 JYR852059 KIN852059 KSJ852059 LCF852059 LMB852059 LVX852059 MFT852059 MPP852059 MZL852059 NJH852059 NTD852059 OCZ852059 OMV852059 OWR852059 PGN852059 PQJ852059 QAF852059 QKB852059 QTX852059 RDT852059 RNP852059 RXL852059 SHH852059 SRD852059 TAZ852059 TKV852059 TUR852059 UEN852059 UOJ852059 UYF852059 VIB852059 VRX852059 WBT852059 WLP852059 WVL852059 D917595 IZ917595 SV917595 ACR917595 AMN917595 AWJ917595 BGF917595 BQB917595 BZX917595 CJT917595 CTP917595 DDL917595 DNH917595 DXD917595 EGZ917595 EQV917595 FAR917595 FKN917595 FUJ917595 GEF917595 GOB917595 GXX917595 HHT917595 HRP917595 IBL917595 ILH917595 IVD917595 JEZ917595 JOV917595 JYR917595 KIN917595 KSJ917595 LCF917595 LMB917595 LVX917595 MFT917595 MPP917595 MZL917595 NJH917595 NTD917595 OCZ917595 OMV917595 OWR917595 PGN917595 PQJ917595 QAF917595 QKB917595 QTX917595 RDT917595 RNP917595 RXL917595 SHH917595 SRD917595 TAZ917595 TKV917595 TUR917595 UEN917595 UOJ917595 UYF917595 VIB917595 VRX917595 WBT917595 WLP917595 WVL917595 D983131 IZ983131 SV983131 ACR983131 AMN983131 AWJ983131 BGF983131 BQB983131 BZX983131 CJT983131 CTP983131 DDL983131 DNH983131 DXD983131 EGZ983131 EQV983131 FAR983131 FKN983131 FUJ983131 GEF983131 GOB983131 GXX983131 HHT983131 HRP983131 IBL983131 ILH983131 IVD983131 JEZ983131 JOV983131 JYR983131 KIN983131 KSJ983131 LCF983131 LMB983131 LVX983131 MFT983131 MPP983131 MZL983131 NJH983131 NTD983131 OCZ983131 OMV983131 OWR983131 PGN983131 PQJ983131 QAF983131 QKB983131 QTX983131 RDT983131 RNP983131 RXL983131 SHH983131 SRD983131 TAZ983131 TKV983131 TUR983131 UEN983131 UOJ983131 UYF983131 VIB983131 VRX983131 WBT983131 WLP983131 WVL983131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5 IZ65545 SV65545 ACR65545 AMN65545 AWJ65545 BGF65545 BQB65545 BZX65545 CJT65545 CTP65545 DDL65545 DNH65545 DXD65545 EGZ65545 EQV65545 FAR65545 FKN65545 FUJ65545 GEF65545 GOB65545 GXX65545 HHT65545 HRP65545 IBL65545 ILH65545 IVD65545 JEZ65545 JOV65545 JYR65545 KIN65545 KSJ65545 LCF65545 LMB65545 LVX65545 MFT65545 MPP65545 MZL65545 NJH65545 NTD65545 OCZ65545 OMV65545 OWR65545 PGN65545 PQJ65545 QAF65545 QKB65545 QTX65545 RDT65545 RNP65545 RXL65545 SHH65545 SRD65545 TAZ65545 TKV65545 TUR65545 UEN65545 UOJ65545 UYF65545 VIB65545 VRX65545 WBT65545 WLP65545 WVL65545 D131081 IZ131081 SV131081 ACR131081 AMN131081 AWJ131081 BGF131081 BQB131081 BZX131081 CJT131081 CTP131081 DDL131081 DNH131081 DXD131081 EGZ131081 EQV131081 FAR131081 FKN131081 FUJ131081 GEF131081 GOB131081 GXX131081 HHT131081 HRP131081 IBL131081 ILH131081 IVD131081 JEZ131081 JOV131081 JYR131081 KIN131081 KSJ131081 LCF131081 LMB131081 LVX131081 MFT131081 MPP131081 MZL131081 NJH131081 NTD131081 OCZ131081 OMV131081 OWR131081 PGN131081 PQJ131081 QAF131081 QKB131081 QTX131081 RDT131081 RNP131081 RXL131081 SHH131081 SRD131081 TAZ131081 TKV131081 TUR131081 UEN131081 UOJ131081 UYF131081 VIB131081 VRX131081 WBT131081 WLP131081 WVL131081 D196617 IZ196617 SV196617 ACR196617 AMN196617 AWJ196617 BGF196617 BQB196617 BZX196617 CJT196617 CTP196617 DDL196617 DNH196617 DXD196617 EGZ196617 EQV196617 FAR196617 FKN196617 FUJ196617 GEF196617 GOB196617 GXX196617 HHT196617 HRP196617 IBL196617 ILH196617 IVD196617 JEZ196617 JOV196617 JYR196617 KIN196617 KSJ196617 LCF196617 LMB196617 LVX196617 MFT196617 MPP196617 MZL196617 NJH196617 NTD196617 OCZ196617 OMV196617 OWR196617 PGN196617 PQJ196617 QAF196617 QKB196617 QTX196617 RDT196617 RNP196617 RXL196617 SHH196617 SRD196617 TAZ196617 TKV196617 TUR196617 UEN196617 UOJ196617 UYF196617 VIB196617 VRX196617 WBT196617 WLP196617 WVL196617 D262153 IZ262153 SV262153 ACR262153 AMN262153 AWJ262153 BGF262153 BQB262153 BZX262153 CJT262153 CTP262153 DDL262153 DNH262153 DXD262153 EGZ262153 EQV262153 FAR262153 FKN262153 FUJ262153 GEF262153 GOB262153 GXX262153 HHT262153 HRP262153 IBL262153 ILH262153 IVD262153 JEZ262153 JOV262153 JYR262153 KIN262153 KSJ262153 LCF262153 LMB262153 LVX262153 MFT262153 MPP262153 MZL262153 NJH262153 NTD262153 OCZ262153 OMV262153 OWR262153 PGN262153 PQJ262153 QAF262153 QKB262153 QTX262153 RDT262153 RNP262153 RXL262153 SHH262153 SRD262153 TAZ262153 TKV262153 TUR262153 UEN262153 UOJ262153 UYF262153 VIB262153 VRX262153 WBT262153 WLP262153 WVL262153 D327689 IZ327689 SV327689 ACR327689 AMN327689 AWJ327689 BGF327689 BQB327689 BZX327689 CJT327689 CTP327689 DDL327689 DNH327689 DXD327689 EGZ327689 EQV327689 FAR327689 FKN327689 FUJ327689 GEF327689 GOB327689 GXX327689 HHT327689 HRP327689 IBL327689 ILH327689 IVD327689 JEZ327689 JOV327689 JYR327689 KIN327689 KSJ327689 LCF327689 LMB327689 LVX327689 MFT327689 MPP327689 MZL327689 NJH327689 NTD327689 OCZ327689 OMV327689 OWR327689 PGN327689 PQJ327689 QAF327689 QKB327689 QTX327689 RDT327689 RNP327689 RXL327689 SHH327689 SRD327689 TAZ327689 TKV327689 TUR327689 UEN327689 UOJ327689 UYF327689 VIB327689 VRX327689 WBT327689 WLP327689 WVL327689 D393225 IZ393225 SV393225 ACR393225 AMN393225 AWJ393225 BGF393225 BQB393225 BZX393225 CJT393225 CTP393225 DDL393225 DNH393225 DXD393225 EGZ393225 EQV393225 FAR393225 FKN393225 FUJ393225 GEF393225 GOB393225 GXX393225 HHT393225 HRP393225 IBL393225 ILH393225 IVD393225 JEZ393225 JOV393225 JYR393225 KIN393225 KSJ393225 LCF393225 LMB393225 LVX393225 MFT393225 MPP393225 MZL393225 NJH393225 NTD393225 OCZ393225 OMV393225 OWR393225 PGN393225 PQJ393225 QAF393225 QKB393225 QTX393225 RDT393225 RNP393225 RXL393225 SHH393225 SRD393225 TAZ393225 TKV393225 TUR393225 UEN393225 UOJ393225 UYF393225 VIB393225 VRX393225 WBT393225 WLP393225 WVL393225 D458761 IZ458761 SV458761 ACR458761 AMN458761 AWJ458761 BGF458761 BQB458761 BZX458761 CJT458761 CTP458761 DDL458761 DNH458761 DXD458761 EGZ458761 EQV458761 FAR458761 FKN458761 FUJ458761 GEF458761 GOB458761 GXX458761 HHT458761 HRP458761 IBL458761 ILH458761 IVD458761 JEZ458761 JOV458761 JYR458761 KIN458761 KSJ458761 LCF458761 LMB458761 LVX458761 MFT458761 MPP458761 MZL458761 NJH458761 NTD458761 OCZ458761 OMV458761 OWR458761 PGN458761 PQJ458761 QAF458761 QKB458761 QTX458761 RDT458761 RNP458761 RXL458761 SHH458761 SRD458761 TAZ458761 TKV458761 TUR458761 UEN458761 UOJ458761 UYF458761 VIB458761 VRX458761 WBT458761 WLP458761 WVL458761 D524297 IZ524297 SV524297 ACR524297 AMN524297 AWJ524297 BGF524297 BQB524297 BZX524297 CJT524297 CTP524297 DDL524297 DNH524297 DXD524297 EGZ524297 EQV524297 FAR524297 FKN524297 FUJ524297 GEF524297 GOB524297 GXX524297 HHT524297 HRP524297 IBL524297 ILH524297 IVD524297 JEZ524297 JOV524297 JYR524297 KIN524297 KSJ524297 LCF524297 LMB524297 LVX524297 MFT524297 MPP524297 MZL524297 NJH524297 NTD524297 OCZ524297 OMV524297 OWR524297 PGN524297 PQJ524297 QAF524297 QKB524297 QTX524297 RDT524297 RNP524297 RXL524297 SHH524297 SRD524297 TAZ524297 TKV524297 TUR524297 UEN524297 UOJ524297 UYF524297 VIB524297 VRX524297 WBT524297 WLP524297 WVL524297 D589833 IZ589833 SV589833 ACR589833 AMN589833 AWJ589833 BGF589833 BQB589833 BZX589833 CJT589833 CTP589833 DDL589833 DNH589833 DXD589833 EGZ589833 EQV589833 FAR589833 FKN589833 FUJ589833 GEF589833 GOB589833 GXX589833 HHT589833 HRP589833 IBL589833 ILH589833 IVD589833 JEZ589833 JOV589833 JYR589833 KIN589833 KSJ589833 LCF589833 LMB589833 LVX589833 MFT589833 MPP589833 MZL589833 NJH589833 NTD589833 OCZ589833 OMV589833 OWR589833 PGN589833 PQJ589833 QAF589833 QKB589833 QTX589833 RDT589833 RNP589833 RXL589833 SHH589833 SRD589833 TAZ589833 TKV589833 TUR589833 UEN589833 UOJ589833 UYF589833 VIB589833 VRX589833 WBT589833 WLP589833 WVL589833 D655369 IZ655369 SV655369 ACR655369 AMN655369 AWJ655369 BGF655369 BQB655369 BZX655369 CJT655369 CTP655369 DDL655369 DNH655369 DXD655369 EGZ655369 EQV655369 FAR655369 FKN655369 FUJ655369 GEF655369 GOB655369 GXX655369 HHT655369 HRP655369 IBL655369 ILH655369 IVD655369 JEZ655369 JOV655369 JYR655369 KIN655369 KSJ655369 LCF655369 LMB655369 LVX655369 MFT655369 MPP655369 MZL655369 NJH655369 NTD655369 OCZ655369 OMV655369 OWR655369 PGN655369 PQJ655369 QAF655369 QKB655369 QTX655369 RDT655369 RNP655369 RXL655369 SHH655369 SRD655369 TAZ655369 TKV655369 TUR655369 UEN655369 UOJ655369 UYF655369 VIB655369 VRX655369 WBT655369 WLP655369 WVL655369 D720905 IZ720905 SV720905 ACR720905 AMN720905 AWJ720905 BGF720905 BQB720905 BZX720905 CJT720905 CTP720905 DDL720905 DNH720905 DXD720905 EGZ720905 EQV720905 FAR720905 FKN720905 FUJ720905 GEF720905 GOB720905 GXX720905 HHT720905 HRP720905 IBL720905 ILH720905 IVD720905 JEZ720905 JOV720905 JYR720905 KIN720905 KSJ720905 LCF720905 LMB720905 LVX720905 MFT720905 MPP720905 MZL720905 NJH720905 NTD720905 OCZ720905 OMV720905 OWR720905 PGN720905 PQJ720905 QAF720905 QKB720905 QTX720905 RDT720905 RNP720905 RXL720905 SHH720905 SRD720905 TAZ720905 TKV720905 TUR720905 UEN720905 UOJ720905 UYF720905 VIB720905 VRX720905 WBT720905 WLP720905 WVL720905 D786441 IZ786441 SV786441 ACR786441 AMN786441 AWJ786441 BGF786441 BQB786441 BZX786441 CJT786441 CTP786441 DDL786441 DNH786441 DXD786441 EGZ786441 EQV786441 FAR786441 FKN786441 FUJ786441 GEF786441 GOB786441 GXX786441 HHT786441 HRP786441 IBL786441 ILH786441 IVD786441 JEZ786441 JOV786441 JYR786441 KIN786441 KSJ786441 LCF786441 LMB786441 LVX786441 MFT786441 MPP786441 MZL786441 NJH786441 NTD786441 OCZ786441 OMV786441 OWR786441 PGN786441 PQJ786441 QAF786441 QKB786441 QTX786441 RDT786441 RNP786441 RXL786441 SHH786441 SRD786441 TAZ786441 TKV786441 TUR786441 UEN786441 UOJ786441 UYF786441 VIB786441 VRX786441 WBT786441 WLP786441 WVL786441 D851977 IZ851977 SV851977 ACR851977 AMN851977 AWJ851977 BGF851977 BQB851977 BZX851977 CJT851977 CTP851977 DDL851977 DNH851977 DXD851977 EGZ851977 EQV851977 FAR851977 FKN851977 FUJ851977 GEF851977 GOB851977 GXX851977 HHT851977 HRP851977 IBL851977 ILH851977 IVD851977 JEZ851977 JOV851977 JYR851977 KIN851977 KSJ851977 LCF851977 LMB851977 LVX851977 MFT851977 MPP851977 MZL851977 NJH851977 NTD851977 OCZ851977 OMV851977 OWR851977 PGN851977 PQJ851977 QAF851977 QKB851977 QTX851977 RDT851977 RNP851977 RXL851977 SHH851977 SRD851977 TAZ851977 TKV851977 TUR851977 UEN851977 UOJ851977 UYF851977 VIB851977 VRX851977 WBT851977 WLP851977 WVL851977 D917513 IZ917513 SV917513 ACR917513 AMN917513 AWJ917513 BGF917513 BQB917513 BZX917513 CJT917513 CTP917513 DDL917513 DNH917513 DXD917513 EGZ917513 EQV917513 FAR917513 FKN917513 FUJ917513 GEF917513 GOB917513 GXX917513 HHT917513 HRP917513 IBL917513 ILH917513 IVD917513 JEZ917513 JOV917513 JYR917513 KIN917513 KSJ917513 LCF917513 LMB917513 LVX917513 MFT917513 MPP917513 MZL917513 NJH917513 NTD917513 OCZ917513 OMV917513 OWR917513 PGN917513 PQJ917513 QAF917513 QKB917513 QTX917513 RDT917513 RNP917513 RXL917513 SHH917513 SRD917513 TAZ917513 TKV917513 TUR917513 UEN917513 UOJ917513 UYF917513 VIB917513 VRX917513 WBT917513 WLP917513 WVL917513 D983049 IZ983049 SV983049 ACR983049 AMN983049 AWJ983049 BGF983049 BQB983049 BZX983049 CJT983049 CTP983049 DDL983049 DNH983049 DXD983049 EGZ983049 EQV983049 FAR983049 FKN983049 FUJ983049 GEF983049 GOB983049 GXX983049 HHT983049 HRP983049 IBL983049 ILH983049 IVD983049 JEZ983049 JOV983049 JYR983049 KIN983049 KSJ983049 LCF983049 LMB983049 LVX983049 MFT983049 MPP983049 MZL983049 NJH983049 NTD983049 OCZ983049 OMV983049 OWR983049 PGN983049 PQJ983049 QAF983049 QKB983049 QTX983049 RDT983049 RNP983049 RXL983049 SHH983049 SRD983049 TAZ983049 TKV983049 TUR983049 UEN983049 UOJ983049 UYF983049 VIB983049 VRX983049 WBT983049 WLP983049 WVL983049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7:D65547 IY65547:IZ65547 SU65547:SV65547 ACQ65547:ACR65547 AMM65547:AMN65547 AWI65547:AWJ65547 BGE65547:BGF65547 BQA65547:BQB65547 BZW65547:BZX65547 CJS65547:CJT65547 CTO65547:CTP65547 DDK65547:DDL65547 DNG65547:DNH65547 DXC65547:DXD65547 EGY65547:EGZ65547 EQU65547:EQV65547 FAQ65547:FAR65547 FKM65547:FKN65547 FUI65547:FUJ65547 GEE65547:GEF65547 GOA65547:GOB65547 GXW65547:GXX65547 HHS65547:HHT65547 HRO65547:HRP65547 IBK65547:IBL65547 ILG65547:ILH65547 IVC65547:IVD65547 JEY65547:JEZ65547 JOU65547:JOV65547 JYQ65547:JYR65547 KIM65547:KIN65547 KSI65547:KSJ65547 LCE65547:LCF65547 LMA65547:LMB65547 LVW65547:LVX65547 MFS65547:MFT65547 MPO65547:MPP65547 MZK65547:MZL65547 NJG65547:NJH65547 NTC65547:NTD65547 OCY65547:OCZ65547 OMU65547:OMV65547 OWQ65547:OWR65547 PGM65547:PGN65547 PQI65547:PQJ65547 QAE65547:QAF65547 QKA65547:QKB65547 QTW65547:QTX65547 RDS65547:RDT65547 RNO65547:RNP65547 RXK65547:RXL65547 SHG65547:SHH65547 SRC65547:SRD65547 TAY65547:TAZ65547 TKU65547:TKV65547 TUQ65547:TUR65547 UEM65547:UEN65547 UOI65547:UOJ65547 UYE65547:UYF65547 VIA65547:VIB65547 VRW65547:VRX65547 WBS65547:WBT65547 WLO65547:WLP65547 WVK65547:WVL65547 C131083:D131083 IY131083:IZ131083 SU131083:SV131083 ACQ131083:ACR131083 AMM131083:AMN131083 AWI131083:AWJ131083 BGE131083:BGF131083 BQA131083:BQB131083 BZW131083:BZX131083 CJS131083:CJT131083 CTO131083:CTP131083 DDK131083:DDL131083 DNG131083:DNH131083 DXC131083:DXD131083 EGY131083:EGZ131083 EQU131083:EQV131083 FAQ131083:FAR131083 FKM131083:FKN131083 FUI131083:FUJ131083 GEE131083:GEF131083 GOA131083:GOB131083 GXW131083:GXX131083 HHS131083:HHT131083 HRO131083:HRP131083 IBK131083:IBL131083 ILG131083:ILH131083 IVC131083:IVD131083 JEY131083:JEZ131083 JOU131083:JOV131083 JYQ131083:JYR131083 KIM131083:KIN131083 KSI131083:KSJ131083 LCE131083:LCF131083 LMA131083:LMB131083 LVW131083:LVX131083 MFS131083:MFT131083 MPO131083:MPP131083 MZK131083:MZL131083 NJG131083:NJH131083 NTC131083:NTD131083 OCY131083:OCZ131083 OMU131083:OMV131083 OWQ131083:OWR131083 PGM131083:PGN131083 PQI131083:PQJ131083 QAE131083:QAF131083 QKA131083:QKB131083 QTW131083:QTX131083 RDS131083:RDT131083 RNO131083:RNP131083 RXK131083:RXL131083 SHG131083:SHH131083 SRC131083:SRD131083 TAY131083:TAZ131083 TKU131083:TKV131083 TUQ131083:TUR131083 UEM131083:UEN131083 UOI131083:UOJ131083 UYE131083:UYF131083 VIA131083:VIB131083 VRW131083:VRX131083 WBS131083:WBT131083 WLO131083:WLP131083 WVK131083:WVL131083 C196619:D196619 IY196619:IZ196619 SU196619:SV196619 ACQ196619:ACR196619 AMM196619:AMN196619 AWI196619:AWJ196619 BGE196619:BGF196619 BQA196619:BQB196619 BZW196619:BZX196619 CJS196619:CJT196619 CTO196619:CTP196619 DDK196619:DDL196619 DNG196619:DNH196619 DXC196619:DXD196619 EGY196619:EGZ196619 EQU196619:EQV196619 FAQ196619:FAR196619 FKM196619:FKN196619 FUI196619:FUJ196619 GEE196619:GEF196619 GOA196619:GOB196619 GXW196619:GXX196619 HHS196619:HHT196619 HRO196619:HRP196619 IBK196619:IBL196619 ILG196619:ILH196619 IVC196619:IVD196619 JEY196619:JEZ196619 JOU196619:JOV196619 JYQ196619:JYR196619 KIM196619:KIN196619 KSI196619:KSJ196619 LCE196619:LCF196619 LMA196619:LMB196619 LVW196619:LVX196619 MFS196619:MFT196619 MPO196619:MPP196619 MZK196619:MZL196619 NJG196619:NJH196619 NTC196619:NTD196619 OCY196619:OCZ196619 OMU196619:OMV196619 OWQ196619:OWR196619 PGM196619:PGN196619 PQI196619:PQJ196619 QAE196619:QAF196619 QKA196619:QKB196619 QTW196619:QTX196619 RDS196619:RDT196619 RNO196619:RNP196619 RXK196619:RXL196619 SHG196619:SHH196619 SRC196619:SRD196619 TAY196619:TAZ196619 TKU196619:TKV196619 TUQ196619:TUR196619 UEM196619:UEN196619 UOI196619:UOJ196619 UYE196619:UYF196619 VIA196619:VIB196619 VRW196619:VRX196619 WBS196619:WBT196619 WLO196619:WLP196619 WVK196619:WVL196619 C262155:D262155 IY262155:IZ262155 SU262155:SV262155 ACQ262155:ACR262155 AMM262155:AMN262155 AWI262155:AWJ262155 BGE262155:BGF262155 BQA262155:BQB262155 BZW262155:BZX262155 CJS262155:CJT262155 CTO262155:CTP262155 DDK262155:DDL262155 DNG262155:DNH262155 DXC262155:DXD262155 EGY262155:EGZ262155 EQU262155:EQV262155 FAQ262155:FAR262155 FKM262155:FKN262155 FUI262155:FUJ262155 GEE262155:GEF262155 GOA262155:GOB262155 GXW262155:GXX262155 HHS262155:HHT262155 HRO262155:HRP262155 IBK262155:IBL262155 ILG262155:ILH262155 IVC262155:IVD262155 JEY262155:JEZ262155 JOU262155:JOV262155 JYQ262155:JYR262155 KIM262155:KIN262155 KSI262155:KSJ262155 LCE262155:LCF262155 LMA262155:LMB262155 LVW262155:LVX262155 MFS262155:MFT262155 MPO262155:MPP262155 MZK262155:MZL262155 NJG262155:NJH262155 NTC262155:NTD262155 OCY262155:OCZ262155 OMU262155:OMV262155 OWQ262155:OWR262155 PGM262155:PGN262155 PQI262155:PQJ262155 QAE262155:QAF262155 QKA262155:QKB262155 QTW262155:QTX262155 RDS262155:RDT262155 RNO262155:RNP262155 RXK262155:RXL262155 SHG262155:SHH262155 SRC262155:SRD262155 TAY262155:TAZ262155 TKU262155:TKV262155 TUQ262155:TUR262155 UEM262155:UEN262155 UOI262155:UOJ262155 UYE262155:UYF262155 VIA262155:VIB262155 VRW262155:VRX262155 WBS262155:WBT262155 WLO262155:WLP262155 WVK262155:WVL262155 C327691:D327691 IY327691:IZ327691 SU327691:SV327691 ACQ327691:ACR327691 AMM327691:AMN327691 AWI327691:AWJ327691 BGE327691:BGF327691 BQA327691:BQB327691 BZW327691:BZX327691 CJS327691:CJT327691 CTO327691:CTP327691 DDK327691:DDL327691 DNG327691:DNH327691 DXC327691:DXD327691 EGY327691:EGZ327691 EQU327691:EQV327691 FAQ327691:FAR327691 FKM327691:FKN327691 FUI327691:FUJ327691 GEE327691:GEF327691 GOA327691:GOB327691 GXW327691:GXX327691 HHS327691:HHT327691 HRO327691:HRP327691 IBK327691:IBL327691 ILG327691:ILH327691 IVC327691:IVD327691 JEY327691:JEZ327691 JOU327691:JOV327691 JYQ327691:JYR327691 KIM327691:KIN327691 KSI327691:KSJ327691 LCE327691:LCF327691 LMA327691:LMB327691 LVW327691:LVX327691 MFS327691:MFT327691 MPO327691:MPP327691 MZK327691:MZL327691 NJG327691:NJH327691 NTC327691:NTD327691 OCY327691:OCZ327691 OMU327691:OMV327691 OWQ327691:OWR327691 PGM327691:PGN327691 PQI327691:PQJ327691 QAE327691:QAF327691 QKA327691:QKB327691 QTW327691:QTX327691 RDS327691:RDT327691 RNO327691:RNP327691 RXK327691:RXL327691 SHG327691:SHH327691 SRC327691:SRD327691 TAY327691:TAZ327691 TKU327691:TKV327691 TUQ327691:TUR327691 UEM327691:UEN327691 UOI327691:UOJ327691 UYE327691:UYF327691 VIA327691:VIB327691 VRW327691:VRX327691 WBS327691:WBT327691 WLO327691:WLP327691 WVK327691:WVL327691 C393227:D393227 IY393227:IZ393227 SU393227:SV393227 ACQ393227:ACR393227 AMM393227:AMN393227 AWI393227:AWJ393227 BGE393227:BGF393227 BQA393227:BQB393227 BZW393227:BZX393227 CJS393227:CJT393227 CTO393227:CTP393227 DDK393227:DDL393227 DNG393227:DNH393227 DXC393227:DXD393227 EGY393227:EGZ393227 EQU393227:EQV393227 FAQ393227:FAR393227 FKM393227:FKN393227 FUI393227:FUJ393227 GEE393227:GEF393227 GOA393227:GOB393227 GXW393227:GXX393227 HHS393227:HHT393227 HRO393227:HRP393227 IBK393227:IBL393227 ILG393227:ILH393227 IVC393227:IVD393227 JEY393227:JEZ393227 JOU393227:JOV393227 JYQ393227:JYR393227 KIM393227:KIN393227 KSI393227:KSJ393227 LCE393227:LCF393227 LMA393227:LMB393227 LVW393227:LVX393227 MFS393227:MFT393227 MPO393227:MPP393227 MZK393227:MZL393227 NJG393227:NJH393227 NTC393227:NTD393227 OCY393227:OCZ393227 OMU393227:OMV393227 OWQ393227:OWR393227 PGM393227:PGN393227 PQI393227:PQJ393227 QAE393227:QAF393227 QKA393227:QKB393227 QTW393227:QTX393227 RDS393227:RDT393227 RNO393227:RNP393227 RXK393227:RXL393227 SHG393227:SHH393227 SRC393227:SRD393227 TAY393227:TAZ393227 TKU393227:TKV393227 TUQ393227:TUR393227 UEM393227:UEN393227 UOI393227:UOJ393227 UYE393227:UYF393227 VIA393227:VIB393227 VRW393227:VRX393227 WBS393227:WBT393227 WLO393227:WLP393227 WVK393227:WVL393227 C458763:D458763 IY458763:IZ458763 SU458763:SV458763 ACQ458763:ACR458763 AMM458763:AMN458763 AWI458763:AWJ458763 BGE458763:BGF458763 BQA458763:BQB458763 BZW458763:BZX458763 CJS458763:CJT458763 CTO458763:CTP458763 DDK458763:DDL458763 DNG458763:DNH458763 DXC458763:DXD458763 EGY458763:EGZ458763 EQU458763:EQV458763 FAQ458763:FAR458763 FKM458763:FKN458763 FUI458763:FUJ458763 GEE458763:GEF458763 GOA458763:GOB458763 GXW458763:GXX458763 HHS458763:HHT458763 HRO458763:HRP458763 IBK458763:IBL458763 ILG458763:ILH458763 IVC458763:IVD458763 JEY458763:JEZ458763 JOU458763:JOV458763 JYQ458763:JYR458763 KIM458763:KIN458763 KSI458763:KSJ458763 LCE458763:LCF458763 LMA458763:LMB458763 LVW458763:LVX458763 MFS458763:MFT458763 MPO458763:MPP458763 MZK458763:MZL458763 NJG458763:NJH458763 NTC458763:NTD458763 OCY458763:OCZ458763 OMU458763:OMV458763 OWQ458763:OWR458763 PGM458763:PGN458763 PQI458763:PQJ458763 QAE458763:QAF458763 QKA458763:QKB458763 QTW458763:QTX458763 RDS458763:RDT458763 RNO458763:RNP458763 RXK458763:RXL458763 SHG458763:SHH458763 SRC458763:SRD458763 TAY458763:TAZ458763 TKU458763:TKV458763 TUQ458763:TUR458763 UEM458763:UEN458763 UOI458763:UOJ458763 UYE458763:UYF458763 VIA458763:VIB458763 VRW458763:VRX458763 WBS458763:WBT458763 WLO458763:WLP458763 WVK458763:WVL458763 C524299:D524299 IY524299:IZ524299 SU524299:SV524299 ACQ524299:ACR524299 AMM524299:AMN524299 AWI524299:AWJ524299 BGE524299:BGF524299 BQA524299:BQB524299 BZW524299:BZX524299 CJS524299:CJT524299 CTO524299:CTP524299 DDK524299:DDL524299 DNG524299:DNH524299 DXC524299:DXD524299 EGY524299:EGZ524299 EQU524299:EQV524299 FAQ524299:FAR524299 FKM524299:FKN524299 FUI524299:FUJ524299 GEE524299:GEF524299 GOA524299:GOB524299 GXW524299:GXX524299 HHS524299:HHT524299 HRO524299:HRP524299 IBK524299:IBL524299 ILG524299:ILH524299 IVC524299:IVD524299 JEY524299:JEZ524299 JOU524299:JOV524299 JYQ524299:JYR524299 KIM524299:KIN524299 KSI524299:KSJ524299 LCE524299:LCF524299 LMA524299:LMB524299 LVW524299:LVX524299 MFS524299:MFT524299 MPO524299:MPP524299 MZK524299:MZL524299 NJG524299:NJH524299 NTC524299:NTD524299 OCY524299:OCZ524299 OMU524299:OMV524299 OWQ524299:OWR524299 PGM524299:PGN524299 PQI524299:PQJ524299 QAE524299:QAF524299 QKA524299:QKB524299 QTW524299:QTX524299 RDS524299:RDT524299 RNO524299:RNP524299 RXK524299:RXL524299 SHG524299:SHH524299 SRC524299:SRD524299 TAY524299:TAZ524299 TKU524299:TKV524299 TUQ524299:TUR524299 UEM524299:UEN524299 UOI524299:UOJ524299 UYE524299:UYF524299 VIA524299:VIB524299 VRW524299:VRX524299 WBS524299:WBT524299 WLO524299:WLP524299 WVK524299:WVL524299 C589835:D589835 IY589835:IZ589835 SU589835:SV589835 ACQ589835:ACR589835 AMM589835:AMN589835 AWI589835:AWJ589835 BGE589835:BGF589835 BQA589835:BQB589835 BZW589835:BZX589835 CJS589835:CJT589835 CTO589835:CTP589835 DDK589835:DDL589835 DNG589835:DNH589835 DXC589835:DXD589835 EGY589835:EGZ589835 EQU589835:EQV589835 FAQ589835:FAR589835 FKM589835:FKN589835 FUI589835:FUJ589835 GEE589835:GEF589835 GOA589835:GOB589835 GXW589835:GXX589835 HHS589835:HHT589835 HRO589835:HRP589835 IBK589835:IBL589835 ILG589835:ILH589835 IVC589835:IVD589835 JEY589835:JEZ589835 JOU589835:JOV589835 JYQ589835:JYR589835 KIM589835:KIN589835 KSI589835:KSJ589835 LCE589835:LCF589835 LMA589835:LMB589835 LVW589835:LVX589835 MFS589835:MFT589835 MPO589835:MPP589835 MZK589835:MZL589835 NJG589835:NJH589835 NTC589835:NTD589835 OCY589835:OCZ589835 OMU589835:OMV589835 OWQ589835:OWR589835 PGM589835:PGN589835 PQI589835:PQJ589835 QAE589835:QAF589835 QKA589835:QKB589835 QTW589835:QTX589835 RDS589835:RDT589835 RNO589835:RNP589835 RXK589835:RXL589835 SHG589835:SHH589835 SRC589835:SRD589835 TAY589835:TAZ589835 TKU589835:TKV589835 TUQ589835:TUR589835 UEM589835:UEN589835 UOI589835:UOJ589835 UYE589835:UYF589835 VIA589835:VIB589835 VRW589835:VRX589835 WBS589835:WBT589835 WLO589835:WLP589835 WVK589835:WVL589835 C655371:D655371 IY655371:IZ655371 SU655371:SV655371 ACQ655371:ACR655371 AMM655371:AMN655371 AWI655371:AWJ655371 BGE655371:BGF655371 BQA655371:BQB655371 BZW655371:BZX655371 CJS655371:CJT655371 CTO655371:CTP655371 DDK655371:DDL655371 DNG655371:DNH655371 DXC655371:DXD655371 EGY655371:EGZ655371 EQU655371:EQV655371 FAQ655371:FAR655371 FKM655371:FKN655371 FUI655371:FUJ655371 GEE655371:GEF655371 GOA655371:GOB655371 GXW655371:GXX655371 HHS655371:HHT655371 HRO655371:HRP655371 IBK655371:IBL655371 ILG655371:ILH655371 IVC655371:IVD655371 JEY655371:JEZ655371 JOU655371:JOV655371 JYQ655371:JYR655371 KIM655371:KIN655371 KSI655371:KSJ655371 LCE655371:LCF655371 LMA655371:LMB655371 LVW655371:LVX655371 MFS655371:MFT655371 MPO655371:MPP655371 MZK655371:MZL655371 NJG655371:NJH655371 NTC655371:NTD655371 OCY655371:OCZ655371 OMU655371:OMV655371 OWQ655371:OWR655371 PGM655371:PGN655371 PQI655371:PQJ655371 QAE655371:QAF655371 QKA655371:QKB655371 QTW655371:QTX655371 RDS655371:RDT655371 RNO655371:RNP655371 RXK655371:RXL655371 SHG655371:SHH655371 SRC655371:SRD655371 TAY655371:TAZ655371 TKU655371:TKV655371 TUQ655371:TUR655371 UEM655371:UEN655371 UOI655371:UOJ655371 UYE655371:UYF655371 VIA655371:VIB655371 VRW655371:VRX655371 WBS655371:WBT655371 WLO655371:WLP655371 WVK655371:WVL655371 C720907:D720907 IY720907:IZ720907 SU720907:SV720907 ACQ720907:ACR720907 AMM720907:AMN720907 AWI720907:AWJ720907 BGE720907:BGF720907 BQA720907:BQB720907 BZW720907:BZX720907 CJS720907:CJT720907 CTO720907:CTP720907 DDK720907:DDL720907 DNG720907:DNH720907 DXC720907:DXD720907 EGY720907:EGZ720907 EQU720907:EQV720907 FAQ720907:FAR720907 FKM720907:FKN720907 FUI720907:FUJ720907 GEE720907:GEF720907 GOA720907:GOB720907 GXW720907:GXX720907 HHS720907:HHT720907 HRO720907:HRP720907 IBK720907:IBL720907 ILG720907:ILH720907 IVC720907:IVD720907 JEY720907:JEZ720907 JOU720907:JOV720907 JYQ720907:JYR720907 KIM720907:KIN720907 KSI720907:KSJ720907 LCE720907:LCF720907 LMA720907:LMB720907 LVW720907:LVX720907 MFS720907:MFT720907 MPO720907:MPP720907 MZK720907:MZL720907 NJG720907:NJH720907 NTC720907:NTD720907 OCY720907:OCZ720907 OMU720907:OMV720907 OWQ720907:OWR720907 PGM720907:PGN720907 PQI720907:PQJ720907 QAE720907:QAF720907 QKA720907:QKB720907 QTW720907:QTX720907 RDS720907:RDT720907 RNO720907:RNP720907 RXK720907:RXL720907 SHG720907:SHH720907 SRC720907:SRD720907 TAY720907:TAZ720907 TKU720907:TKV720907 TUQ720907:TUR720907 UEM720907:UEN720907 UOI720907:UOJ720907 UYE720907:UYF720907 VIA720907:VIB720907 VRW720907:VRX720907 WBS720907:WBT720907 WLO720907:WLP720907 WVK720907:WVL720907 C786443:D786443 IY786443:IZ786443 SU786443:SV786443 ACQ786443:ACR786443 AMM786443:AMN786443 AWI786443:AWJ786443 BGE786443:BGF786443 BQA786443:BQB786443 BZW786443:BZX786443 CJS786443:CJT786443 CTO786443:CTP786443 DDK786443:DDL786443 DNG786443:DNH786443 DXC786443:DXD786443 EGY786443:EGZ786443 EQU786443:EQV786443 FAQ786443:FAR786443 FKM786443:FKN786443 FUI786443:FUJ786443 GEE786443:GEF786443 GOA786443:GOB786443 GXW786443:GXX786443 HHS786443:HHT786443 HRO786443:HRP786443 IBK786443:IBL786443 ILG786443:ILH786443 IVC786443:IVD786443 JEY786443:JEZ786443 JOU786443:JOV786443 JYQ786443:JYR786443 KIM786443:KIN786443 KSI786443:KSJ786443 LCE786443:LCF786443 LMA786443:LMB786443 LVW786443:LVX786443 MFS786443:MFT786443 MPO786443:MPP786443 MZK786443:MZL786443 NJG786443:NJH786443 NTC786443:NTD786443 OCY786443:OCZ786443 OMU786443:OMV786443 OWQ786443:OWR786443 PGM786443:PGN786443 PQI786443:PQJ786443 QAE786443:QAF786443 QKA786443:QKB786443 QTW786443:QTX786443 RDS786443:RDT786443 RNO786443:RNP786443 RXK786443:RXL786443 SHG786443:SHH786443 SRC786443:SRD786443 TAY786443:TAZ786443 TKU786443:TKV786443 TUQ786443:TUR786443 UEM786443:UEN786443 UOI786443:UOJ786443 UYE786443:UYF786443 VIA786443:VIB786443 VRW786443:VRX786443 WBS786443:WBT786443 WLO786443:WLP786443 WVK786443:WVL786443 C851979:D851979 IY851979:IZ851979 SU851979:SV851979 ACQ851979:ACR851979 AMM851979:AMN851979 AWI851979:AWJ851979 BGE851979:BGF851979 BQA851979:BQB851979 BZW851979:BZX851979 CJS851979:CJT851979 CTO851979:CTP851979 DDK851979:DDL851979 DNG851979:DNH851979 DXC851979:DXD851979 EGY851979:EGZ851979 EQU851979:EQV851979 FAQ851979:FAR851979 FKM851979:FKN851979 FUI851979:FUJ851979 GEE851979:GEF851979 GOA851979:GOB851979 GXW851979:GXX851979 HHS851979:HHT851979 HRO851979:HRP851979 IBK851979:IBL851979 ILG851979:ILH851979 IVC851979:IVD851979 JEY851979:JEZ851979 JOU851979:JOV851979 JYQ851979:JYR851979 KIM851979:KIN851979 KSI851979:KSJ851979 LCE851979:LCF851979 LMA851979:LMB851979 LVW851979:LVX851979 MFS851979:MFT851979 MPO851979:MPP851979 MZK851979:MZL851979 NJG851979:NJH851979 NTC851979:NTD851979 OCY851979:OCZ851979 OMU851979:OMV851979 OWQ851979:OWR851979 PGM851979:PGN851979 PQI851979:PQJ851979 QAE851979:QAF851979 QKA851979:QKB851979 QTW851979:QTX851979 RDS851979:RDT851979 RNO851979:RNP851979 RXK851979:RXL851979 SHG851979:SHH851979 SRC851979:SRD851979 TAY851979:TAZ851979 TKU851979:TKV851979 TUQ851979:TUR851979 UEM851979:UEN851979 UOI851979:UOJ851979 UYE851979:UYF851979 VIA851979:VIB851979 VRW851979:VRX851979 WBS851979:WBT851979 WLO851979:WLP851979 WVK851979:WVL851979 C917515:D917515 IY917515:IZ917515 SU917515:SV917515 ACQ917515:ACR917515 AMM917515:AMN917515 AWI917515:AWJ917515 BGE917515:BGF917515 BQA917515:BQB917515 BZW917515:BZX917515 CJS917515:CJT917515 CTO917515:CTP917515 DDK917515:DDL917515 DNG917515:DNH917515 DXC917515:DXD917515 EGY917515:EGZ917515 EQU917515:EQV917515 FAQ917515:FAR917515 FKM917515:FKN917515 FUI917515:FUJ917515 GEE917515:GEF917515 GOA917515:GOB917515 GXW917515:GXX917515 HHS917515:HHT917515 HRO917515:HRP917515 IBK917515:IBL917515 ILG917515:ILH917515 IVC917515:IVD917515 JEY917515:JEZ917515 JOU917515:JOV917515 JYQ917515:JYR917515 KIM917515:KIN917515 KSI917515:KSJ917515 LCE917515:LCF917515 LMA917515:LMB917515 LVW917515:LVX917515 MFS917515:MFT917515 MPO917515:MPP917515 MZK917515:MZL917515 NJG917515:NJH917515 NTC917515:NTD917515 OCY917515:OCZ917515 OMU917515:OMV917515 OWQ917515:OWR917515 PGM917515:PGN917515 PQI917515:PQJ917515 QAE917515:QAF917515 QKA917515:QKB917515 QTW917515:QTX917515 RDS917515:RDT917515 RNO917515:RNP917515 RXK917515:RXL917515 SHG917515:SHH917515 SRC917515:SRD917515 TAY917515:TAZ917515 TKU917515:TKV917515 TUQ917515:TUR917515 UEM917515:UEN917515 UOI917515:UOJ917515 UYE917515:UYF917515 VIA917515:VIB917515 VRW917515:VRX917515 WBS917515:WBT917515 WLO917515:WLP917515 WVK917515:WVL917515 C983051:D983051 IY983051:IZ983051 SU983051:SV983051 ACQ983051:ACR983051 AMM983051:AMN983051 AWI983051:AWJ983051 BGE983051:BGF983051 BQA983051:BQB983051 BZW983051:BZX983051 CJS983051:CJT983051 CTO983051:CTP983051 DDK983051:DDL983051 DNG983051:DNH983051 DXC983051:DXD983051 EGY983051:EGZ983051 EQU983051:EQV983051 FAQ983051:FAR983051 FKM983051:FKN983051 FUI983051:FUJ983051 GEE983051:GEF983051 GOA983051:GOB983051 GXW983051:GXX983051 HHS983051:HHT983051 HRO983051:HRP983051 IBK983051:IBL983051 ILG983051:ILH983051 IVC983051:IVD983051 JEY983051:JEZ983051 JOU983051:JOV983051 JYQ983051:JYR983051 KIM983051:KIN983051 KSI983051:KSJ983051 LCE983051:LCF983051 LMA983051:LMB983051 LVW983051:LVX983051 MFS983051:MFT983051 MPO983051:MPP983051 MZK983051:MZL983051 NJG983051:NJH983051 NTC983051:NTD983051 OCY983051:OCZ983051 OMU983051:OMV983051 OWQ983051:OWR983051 PGM983051:PGN983051 PQI983051:PQJ983051 QAE983051:QAF983051 QKA983051:QKB983051 QTW983051:QTX983051 RDS983051:RDT983051 RNO983051:RNP983051 RXK983051:RXL983051 SHG983051:SHH983051 SRC983051:SRD983051 TAY983051:TAZ983051 TKU983051:TKV983051 TUQ983051:TUR983051 UEM983051:UEN983051 UOI983051:UOJ983051 UYE983051:UYF983051 VIA983051:VIB983051 VRW983051:VRX983051 WBS983051:WBT983051 WLO983051:WLP983051 WVK983051:WVL983051" xr:uid="{79A33FDF-8DFA-4F8E-BE85-CF739146CF79}">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7" max="21" man="1"/>
    <brk id="128" max="21" man="1"/>
    <brk id="169" max="21"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647</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99" t="s">
        <v>108</v>
      </c>
      <c r="C7" s="1100"/>
      <c r="D7" s="1099" t="s">
        <v>113</v>
      </c>
      <c r="E7" s="1101"/>
      <c r="F7" s="255"/>
      <c r="H7" s="689" t="s">
        <v>666</v>
      </c>
      <c r="I7" s="684"/>
      <c r="J7" s="684"/>
      <c r="K7" s="684"/>
      <c r="L7" s="684"/>
      <c r="M7" s="684"/>
      <c r="P7" s="186"/>
      <c r="R7" s="255"/>
      <c r="S7" s="187" t="s">
        <v>387</v>
      </c>
      <c r="T7" s="1216" t="s">
        <v>244</v>
      </c>
      <c r="U7" s="1247"/>
      <c r="V7" s="185"/>
    </row>
    <row r="8" spans="1:24" ht="18" customHeight="1">
      <c r="A8" s="184"/>
      <c r="B8" s="1097"/>
      <c r="C8" s="1098"/>
      <c r="D8" s="1102"/>
      <c r="E8" s="1103"/>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3150</v>
      </c>
      <c r="I10" s="792"/>
      <c r="J10" s="781">
        <v>2000</v>
      </c>
      <c r="K10" s="782"/>
      <c r="L10" s="781" t="s">
        <v>6</v>
      </c>
      <c r="M10" s="782"/>
      <c r="N10" s="191" t="s">
        <v>342</v>
      </c>
      <c r="O10" s="125">
        <v>1</v>
      </c>
      <c r="P10" s="27" t="s">
        <v>8</v>
      </c>
      <c r="T10" s="1216"/>
      <c r="U10" s="1247"/>
      <c r="V10" s="185"/>
    </row>
    <row r="11" spans="1:24" ht="18" customHeight="1">
      <c r="A11" s="184"/>
      <c r="B11" s="47" t="s">
        <v>394</v>
      </c>
      <c r="H11" s="781" t="s">
        <v>667</v>
      </c>
      <c r="I11" s="782"/>
      <c r="T11" s="1248"/>
      <c r="U11" s="1248"/>
      <c r="V11" s="185"/>
    </row>
    <row r="12" spans="1:24" ht="18" customHeight="1">
      <c r="A12" s="184"/>
      <c r="B12" s="47" t="s">
        <v>396</v>
      </c>
      <c r="G12" s="120" t="s">
        <v>497</v>
      </c>
      <c r="H12" s="781">
        <v>9</v>
      </c>
      <c r="I12" s="782"/>
      <c r="J12" s="192" t="s">
        <v>333</v>
      </c>
      <c r="T12" s="295"/>
      <c r="U12" s="18"/>
      <c r="V12" s="185"/>
    </row>
    <row r="13" spans="1:24" ht="18" customHeight="1">
      <c r="A13" s="184"/>
      <c r="B13" s="30" t="s">
        <v>568</v>
      </c>
      <c r="G13" s="120" t="s">
        <v>569</v>
      </c>
      <c r="H13" s="781">
        <v>5</v>
      </c>
      <c r="I13" s="782"/>
      <c r="T13" s="295"/>
      <c r="U13" s="18"/>
      <c r="V13" s="185"/>
      <c r="W13" s="30" t="str">
        <f>J47</f>
        <v>Suitable Dimensions</v>
      </c>
    </row>
    <row r="14" spans="1:24" ht="18" customHeight="1">
      <c r="A14" s="184"/>
      <c r="B14" s="47" t="s">
        <v>562</v>
      </c>
      <c r="G14" s="120" t="s">
        <v>493</v>
      </c>
      <c r="H14" s="781">
        <v>10</v>
      </c>
      <c r="I14" s="782"/>
      <c r="J14" s="14"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9</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9</v>
      </c>
      <c r="Q22" s="684"/>
      <c r="R22" s="27" t="s">
        <v>157</v>
      </c>
      <c r="S22" s="27"/>
      <c r="T22" s="27"/>
      <c r="V22" s="185"/>
    </row>
    <row r="23" spans="1:31" ht="18" customHeight="1">
      <c r="A23" s="184"/>
      <c r="B23" s="1" t="s">
        <v>413</v>
      </c>
      <c r="C23" s="2"/>
      <c r="D23" s="2"/>
      <c r="E23" s="2"/>
      <c r="F23" s="196"/>
      <c r="G23" s="196"/>
      <c r="H23" s="224" t="s">
        <v>512</v>
      </c>
      <c r="I23" s="183" t="s">
        <v>127</v>
      </c>
      <c r="J23" s="722">
        <f>SUM(J18:K22)</f>
        <v>1.0850224400000001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3150</v>
      </c>
      <c r="Q25" s="1251"/>
      <c r="R25" s="192" t="s">
        <v>8</v>
      </c>
      <c r="V25" s="185"/>
    </row>
    <row r="26" spans="1:31" ht="18" customHeight="1">
      <c r="A26" s="184"/>
      <c r="B26" s="47" t="s">
        <v>547</v>
      </c>
      <c r="C26" s="47"/>
      <c r="D26" s="47"/>
      <c r="E26" s="47"/>
      <c r="H26" s="27"/>
      <c r="I26" s="28"/>
      <c r="J26" s="199"/>
      <c r="L26" s="47"/>
      <c r="N26" s="120" t="s">
        <v>572</v>
      </c>
      <c r="O26" s="28" t="s">
        <v>127</v>
      </c>
      <c r="P26" s="1251">
        <f>H12</f>
        <v>9</v>
      </c>
      <c r="Q26" s="1251"/>
      <c r="R26" s="304" t="s">
        <v>157</v>
      </c>
      <c r="V26" s="185"/>
    </row>
    <row r="27" spans="1:31" ht="18" customHeight="1">
      <c r="A27" s="184"/>
      <c r="B27" s="47" t="s">
        <v>548</v>
      </c>
      <c r="C27" s="47"/>
      <c r="D27" s="47"/>
      <c r="E27" s="47"/>
      <c r="H27" s="27"/>
      <c r="I27" s="28"/>
      <c r="J27" s="199"/>
      <c r="L27" s="47"/>
      <c r="N27" s="120" t="s">
        <v>573</v>
      </c>
      <c r="O27" s="28" t="s">
        <v>127</v>
      </c>
      <c r="P27" s="1072">
        <f>J23</f>
        <v>1.0850224400000001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47" t="s">
        <v>577</v>
      </c>
      <c r="C30" s="47"/>
      <c r="D30" s="47"/>
      <c r="E30" s="47"/>
      <c r="H30" s="27"/>
      <c r="I30" s="28"/>
      <c r="J30" s="199"/>
      <c r="L30" s="47"/>
      <c r="O30" s="28" t="s">
        <v>127</v>
      </c>
      <c r="P30" s="1072">
        <v>20</v>
      </c>
      <c r="Q30" s="1072"/>
      <c r="R30" s="192" t="s">
        <v>129</v>
      </c>
      <c r="S30" s="14" t="s">
        <v>170</v>
      </c>
      <c r="V30" s="185"/>
    </row>
    <row r="31" spans="1:31" ht="18" customHeight="1">
      <c r="A31" s="184"/>
      <c r="B31" s="47"/>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1.0850224400000001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301">
        <f>P22</f>
        <v>9</v>
      </c>
      <c r="M38" s="245" t="s">
        <v>347</v>
      </c>
      <c r="N38" s="242">
        <f>H14</f>
        <v>10</v>
      </c>
      <c r="O38" s="245" t="s">
        <v>539</v>
      </c>
      <c r="P38" s="301">
        <f>P22</f>
        <v>9</v>
      </c>
      <c r="Q38" s="245" t="s">
        <v>347</v>
      </c>
      <c r="R38" s="301">
        <f>J23</f>
        <v>1.0850224400000001</v>
      </c>
      <c r="S38" s="296" t="s">
        <v>350</v>
      </c>
      <c r="V38" s="185"/>
    </row>
    <row r="39" spans="1:22" ht="18" customHeight="1">
      <c r="A39" s="184"/>
      <c r="I39" s="27" t="s">
        <v>127</v>
      </c>
      <c r="J39" s="1111">
        <f>J38*((L38+N38)/(P38+R38))</f>
        <v>9.419909629868906</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296" t="s">
        <v>104</v>
      </c>
      <c r="S42" s="14" t="s">
        <v>585</v>
      </c>
      <c r="V42" s="185"/>
    </row>
    <row r="43" spans="1:22" ht="18" customHeight="1">
      <c r="A43" s="184"/>
      <c r="G43" s="684">
        <f>H14</f>
        <v>10</v>
      </c>
      <c r="H43" s="684"/>
      <c r="I43" s="27" t="str">
        <f>IF(G43&gt;J43,"&gt;","&lt;")</f>
        <v>&gt;</v>
      </c>
      <c r="J43" s="795">
        <f>J35</f>
        <v>1.0850224400000001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30" t="s">
        <v>105</v>
      </c>
      <c r="K45" s="14"/>
      <c r="S45" s="14" t="s">
        <v>587</v>
      </c>
      <c r="V45" s="185"/>
    </row>
    <row r="46" spans="1:22" ht="18" customHeight="1">
      <c r="A46" s="184"/>
      <c r="D46" s="14"/>
      <c r="G46" s="795">
        <f>P30</f>
        <v>20</v>
      </c>
      <c r="H46" s="795"/>
      <c r="I46" s="27" t="str">
        <f>IF(G46&gt;J46,"&gt;","&lt;")</f>
        <v>&gt;</v>
      </c>
      <c r="J46" s="795">
        <f>J39</f>
        <v>9.419909629868906</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customHeight="1">
      <c r="A50" s="184"/>
      <c r="B50" s="835" t="str">
        <f>B7</f>
        <v>T1</v>
      </c>
      <c r="C50" s="836"/>
      <c r="D50" s="1112" t="str">
        <f>D7</f>
        <v>Core4</v>
      </c>
      <c r="E50" s="1113"/>
      <c r="F50" s="255"/>
      <c r="H50" s="684" t="str">
        <f>H7</f>
        <v>(Tariff Meter- Main)</v>
      </c>
      <c r="I50" s="684"/>
      <c r="J50" s="684"/>
      <c r="K50" s="684"/>
      <c r="L50" s="684"/>
      <c r="M50" s="684"/>
      <c r="P50" s="186"/>
      <c r="R50" s="255"/>
      <c r="S50" s="187" t="s">
        <v>387</v>
      </c>
      <c r="T50" s="1216" t="str">
        <f>T7</f>
        <v>XC-RACK</v>
      </c>
      <c r="U50" s="1247"/>
      <c r="V50" s="185"/>
    </row>
    <row r="51" spans="1:23" ht="18" customHeight="1">
      <c r="A51" s="184"/>
      <c r="B51" s="1118">
        <f>B8</f>
        <v>0</v>
      </c>
      <c r="C51" s="1118"/>
      <c r="D51" s="1114"/>
      <c r="E51" s="1115"/>
      <c r="F51" s="255"/>
      <c r="T51" s="1216"/>
      <c r="U51" s="1247"/>
      <c r="V51" s="185"/>
    </row>
    <row r="52" spans="1:23" ht="18" customHeight="1">
      <c r="A52" s="184"/>
      <c r="H52" s="708" t="s">
        <v>390</v>
      </c>
      <c r="I52" s="708"/>
      <c r="J52" s="789" t="s">
        <v>391</v>
      </c>
      <c r="K52" s="789"/>
      <c r="L52" s="790" t="s">
        <v>392</v>
      </c>
      <c r="M52" s="790"/>
      <c r="T52" s="1216"/>
      <c r="U52" s="1247"/>
      <c r="V52" s="185"/>
    </row>
    <row r="53" spans="1:23" ht="18" customHeight="1">
      <c r="A53" s="184"/>
      <c r="B53" s="47" t="s">
        <v>393</v>
      </c>
      <c r="H53" s="835">
        <f>H10</f>
        <v>3150</v>
      </c>
      <c r="I53" s="836"/>
      <c r="J53" s="843">
        <f>J10</f>
        <v>2000</v>
      </c>
      <c r="K53" s="844"/>
      <c r="L53" s="835" t="str">
        <f>L10</f>
        <v>-</v>
      </c>
      <c r="M53" s="836"/>
      <c r="N53" s="191" t="s">
        <v>342</v>
      </c>
      <c r="O53" s="488">
        <f>O10</f>
        <v>1</v>
      </c>
      <c r="P53" s="27" t="s">
        <v>8</v>
      </c>
      <c r="T53" s="1216"/>
      <c r="U53" s="1247"/>
      <c r="V53" s="185"/>
    </row>
    <row r="54" spans="1:23" ht="18" customHeight="1">
      <c r="A54" s="184"/>
      <c r="B54" s="47" t="s">
        <v>394</v>
      </c>
      <c r="H54" s="14"/>
      <c r="I54" s="14"/>
      <c r="J54" s="835" t="str">
        <f>H11</f>
        <v>0.2sFS5</v>
      </c>
      <c r="K54" s="836"/>
      <c r="L54" s="14"/>
      <c r="M54" s="14"/>
      <c r="V54" s="185"/>
    </row>
    <row r="55" spans="1:23" ht="18" customHeight="1">
      <c r="A55" s="184"/>
      <c r="B55" s="47" t="s">
        <v>396</v>
      </c>
      <c r="I55" s="120" t="s">
        <v>497</v>
      </c>
      <c r="J55" s="781">
        <v>5</v>
      </c>
      <c r="K55" s="782"/>
      <c r="L55" s="192" t="s">
        <v>333</v>
      </c>
      <c r="T55" s="295"/>
      <c r="U55" s="18"/>
      <c r="V55" s="185"/>
    </row>
    <row r="56" spans="1:23" ht="18" customHeight="1">
      <c r="A56" s="184"/>
      <c r="B56" s="30" t="s">
        <v>568</v>
      </c>
      <c r="I56" s="120" t="s">
        <v>569</v>
      </c>
      <c r="J56" s="781">
        <v>5</v>
      </c>
      <c r="K56" s="782"/>
      <c r="T56" s="295"/>
      <c r="U56" s="18"/>
      <c r="V56" s="185"/>
      <c r="W56" s="30" t="str">
        <f>J90</f>
        <v>Suitable Dimensions</v>
      </c>
    </row>
    <row r="57" spans="1:23" ht="18" customHeight="1">
      <c r="A57" s="184"/>
      <c r="B57" s="47" t="s">
        <v>562</v>
      </c>
      <c r="I57" s="120" t="s">
        <v>493</v>
      </c>
      <c r="J57" s="781">
        <v>7.5</v>
      </c>
      <c r="K57" s="782"/>
      <c r="L57" s="14" t="s">
        <v>157</v>
      </c>
      <c r="T57" s="295"/>
      <c r="U57" s="18"/>
      <c r="V57" s="185"/>
    </row>
    <row r="58" spans="1:23" ht="18" customHeight="1">
      <c r="A58" s="184"/>
      <c r="V58" s="185"/>
    </row>
    <row r="59" spans="1:23" ht="18" customHeight="1">
      <c r="A59" s="193" t="s">
        <v>404</v>
      </c>
      <c r="V59" s="185"/>
    </row>
    <row r="60" spans="1:23" ht="18" customHeight="1">
      <c r="A60" s="184"/>
      <c r="V60" s="185"/>
    </row>
    <row r="61" spans="1:23" ht="18"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customHeight="1">
      <c r="A62" s="184"/>
      <c r="B62" s="96" t="s">
        <v>405</v>
      </c>
      <c r="D62" s="296">
        <f>D19</f>
        <v>0</v>
      </c>
      <c r="I62" s="177" t="s">
        <v>127</v>
      </c>
      <c r="J62" s="1119">
        <f t="shared" si="0"/>
        <v>0</v>
      </c>
      <c r="K62" s="989"/>
      <c r="L62" s="198" t="s">
        <v>157</v>
      </c>
      <c r="P62" s="244"/>
      <c r="V62" s="185"/>
    </row>
    <row r="63" spans="1:23" ht="18"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customHeight="1">
      <c r="A66" s="184"/>
      <c r="B66" s="1" t="s">
        <v>413</v>
      </c>
      <c r="C66" s="2"/>
      <c r="D66" s="2"/>
      <c r="E66" s="2"/>
      <c r="F66" s="196"/>
      <c r="G66" s="196"/>
      <c r="H66" s="224" t="s">
        <v>512</v>
      </c>
      <c r="I66" s="183" t="s">
        <v>127</v>
      </c>
      <c r="J66" s="722">
        <f t="shared" si="0"/>
        <v>1.0850224400000001</v>
      </c>
      <c r="K66" s="958"/>
      <c r="L66" s="3" t="s">
        <v>157</v>
      </c>
      <c r="O66" s="27"/>
      <c r="P66" s="211"/>
      <c r="Q66" s="211"/>
      <c r="R66" s="192"/>
      <c r="V66" s="185"/>
    </row>
    <row r="67" spans="1:22" ht="18" customHeight="1">
      <c r="A67" s="184"/>
      <c r="B67" s="47"/>
      <c r="C67" s="47"/>
      <c r="D67" s="47"/>
      <c r="E67" s="47"/>
      <c r="H67" s="27"/>
      <c r="I67" s="28"/>
      <c r="J67" s="218"/>
      <c r="K67" s="27"/>
      <c r="L67" s="47"/>
      <c r="O67" s="27"/>
      <c r="P67" s="211"/>
      <c r="Q67" s="211"/>
      <c r="R67" s="192"/>
      <c r="V67" s="185"/>
    </row>
    <row r="68" spans="1:22" ht="18" customHeight="1">
      <c r="A68" s="184"/>
      <c r="B68" s="47" t="s">
        <v>545</v>
      </c>
      <c r="C68" s="47"/>
      <c r="D68" s="47"/>
      <c r="E68" s="47"/>
      <c r="H68" s="27"/>
      <c r="I68" s="28"/>
      <c r="J68" s="199"/>
      <c r="L68" s="47"/>
      <c r="N68" s="120" t="s">
        <v>423</v>
      </c>
      <c r="O68" s="28" t="s">
        <v>127</v>
      </c>
      <c r="P68" s="1251">
        <f>J53</f>
        <v>2000</v>
      </c>
      <c r="Q68" s="1251"/>
      <c r="R68" s="192" t="s">
        <v>8</v>
      </c>
      <c r="V68" s="185"/>
    </row>
    <row r="69" spans="1:22" ht="18" customHeight="1">
      <c r="A69" s="184"/>
      <c r="B69" s="47" t="s">
        <v>547</v>
      </c>
      <c r="C69" s="47"/>
      <c r="D69" s="47"/>
      <c r="E69" s="47"/>
      <c r="H69" s="27"/>
      <c r="I69" s="28"/>
      <c r="J69" s="199"/>
      <c r="L69" s="47"/>
      <c r="N69" s="120" t="s">
        <v>572</v>
      </c>
      <c r="O69" s="28" t="s">
        <v>127</v>
      </c>
      <c r="P69" s="1251">
        <f>J55</f>
        <v>5</v>
      </c>
      <c r="Q69" s="1251"/>
      <c r="R69" s="304" t="s">
        <v>157</v>
      </c>
      <c r="V69" s="185"/>
    </row>
    <row r="70" spans="1:22" ht="18" customHeight="1">
      <c r="A70" s="184"/>
      <c r="B70" s="47" t="s">
        <v>548</v>
      </c>
      <c r="C70" s="47"/>
      <c r="D70" s="47"/>
      <c r="E70" s="47"/>
      <c r="H70" s="27"/>
      <c r="I70" s="28"/>
      <c r="J70" s="199"/>
      <c r="L70" s="47"/>
      <c r="N70" s="120" t="s">
        <v>573</v>
      </c>
      <c r="O70" s="28" t="s">
        <v>127</v>
      </c>
      <c r="P70" s="1072">
        <f>J66</f>
        <v>1.0850224400000001</v>
      </c>
      <c r="Q70" s="1251"/>
      <c r="R70" s="304" t="s">
        <v>157</v>
      </c>
      <c r="V70" s="185"/>
    </row>
    <row r="71" spans="1:22" ht="18" customHeight="1">
      <c r="A71" s="184"/>
      <c r="B71" s="47" t="s">
        <v>549</v>
      </c>
      <c r="C71" s="47"/>
      <c r="D71" s="47"/>
      <c r="E71" s="47"/>
      <c r="H71" s="27"/>
      <c r="I71" s="28"/>
      <c r="J71" s="199"/>
      <c r="L71" s="47"/>
      <c r="N71" s="120" t="s">
        <v>511</v>
      </c>
      <c r="O71" s="28" t="s">
        <v>127</v>
      </c>
      <c r="P71" s="1251">
        <f>O53</f>
        <v>1</v>
      </c>
      <c r="Q71" s="1251"/>
      <c r="R71" s="192" t="s">
        <v>8</v>
      </c>
      <c r="V71" s="185"/>
    </row>
    <row r="72" spans="1:22" ht="18" customHeight="1">
      <c r="A72" s="184"/>
      <c r="B72" s="47" t="s">
        <v>574</v>
      </c>
      <c r="C72" s="47"/>
      <c r="D72" s="47"/>
      <c r="E72" s="47"/>
      <c r="H72" s="27"/>
      <c r="I72" s="28"/>
      <c r="J72" s="199"/>
      <c r="L72" s="47"/>
      <c r="N72" s="120" t="s">
        <v>495</v>
      </c>
      <c r="O72" s="28" t="s">
        <v>127</v>
      </c>
      <c r="P72" s="1251">
        <v>10</v>
      </c>
      <c r="Q72" s="1251"/>
      <c r="R72" s="192"/>
      <c r="V72" s="185"/>
    </row>
    <row r="73" spans="1:22" ht="18" customHeight="1">
      <c r="A73" s="184"/>
      <c r="B73" s="47" t="s">
        <v>577</v>
      </c>
      <c r="C73" s="47"/>
      <c r="D73" s="47"/>
      <c r="E73" s="47"/>
      <c r="H73" s="27"/>
      <c r="I73" s="28"/>
      <c r="J73" s="199"/>
      <c r="L73" s="47"/>
      <c r="O73" s="28" t="s">
        <v>127</v>
      </c>
      <c r="P73" s="1072">
        <v>20</v>
      </c>
      <c r="Q73" s="1072"/>
      <c r="R73" s="192" t="s">
        <v>129</v>
      </c>
      <c r="S73" s="14" t="s">
        <v>170</v>
      </c>
      <c r="V73" s="185"/>
    </row>
    <row r="74" spans="1:22" ht="18"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customHeight="1">
      <c r="A77" s="184"/>
      <c r="B77" s="47"/>
      <c r="C77" s="47" t="s">
        <v>581</v>
      </c>
      <c r="D77" s="47"/>
      <c r="E77" s="47"/>
      <c r="H77" s="27"/>
      <c r="I77" s="28" t="s">
        <v>127</v>
      </c>
      <c r="J77" s="281" t="s">
        <v>582</v>
      </c>
      <c r="L77" s="47"/>
      <c r="O77" s="27"/>
      <c r="P77" s="28" t="s">
        <v>347</v>
      </c>
      <c r="Q77" s="14" t="s">
        <v>583</v>
      </c>
      <c r="R77" s="192"/>
      <c r="V77" s="185"/>
    </row>
    <row r="78" spans="1:22" ht="18" customHeight="1">
      <c r="A78" s="184"/>
      <c r="I78" s="28" t="s">
        <v>127</v>
      </c>
      <c r="J78" s="795">
        <f>J66</f>
        <v>1.0850224400000001</v>
      </c>
      <c r="K78" s="684"/>
      <c r="L78" s="28"/>
      <c r="M78" s="795"/>
      <c r="N78" s="684"/>
      <c r="V78" s="185"/>
    </row>
    <row r="79" spans="1:22" ht="18" customHeight="1">
      <c r="A79" s="184"/>
      <c r="I79" s="28"/>
      <c r="J79" s="204"/>
      <c r="V79" s="185"/>
    </row>
    <row r="80" spans="1:22" ht="18"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customHeight="1">
      <c r="A81" s="184"/>
      <c r="I81" s="27" t="s">
        <v>127</v>
      </c>
      <c r="J81" s="245">
        <f>J56</f>
        <v>5</v>
      </c>
      <c r="K81" s="245" t="s">
        <v>554</v>
      </c>
      <c r="L81" s="301">
        <f>P65</f>
        <v>5</v>
      </c>
      <c r="M81" s="245" t="s">
        <v>347</v>
      </c>
      <c r="N81" s="242">
        <f>J57</f>
        <v>7.5</v>
      </c>
      <c r="O81" s="245" t="s">
        <v>539</v>
      </c>
      <c r="P81" s="301">
        <f>P65</f>
        <v>5</v>
      </c>
      <c r="Q81" s="245" t="s">
        <v>347</v>
      </c>
      <c r="R81" s="301">
        <f>J66</f>
        <v>1.0850224400000001</v>
      </c>
      <c r="S81" s="296" t="s">
        <v>350</v>
      </c>
      <c r="V81" s="185"/>
    </row>
    <row r="82" spans="1:22" ht="18" customHeight="1">
      <c r="A82" s="184"/>
      <c r="I82" s="27" t="s">
        <v>127</v>
      </c>
      <c r="J82" s="1111">
        <f>J81*((L81+N81)/(P81+R81))</f>
        <v>10.271120709293555</v>
      </c>
      <c r="K82" s="1111"/>
      <c r="L82" s="242"/>
      <c r="M82" s="242"/>
      <c r="N82" s="242"/>
      <c r="O82" s="242"/>
      <c r="P82" s="242"/>
      <c r="Q82" s="242"/>
      <c r="R82" s="242"/>
      <c r="V82" s="185"/>
    </row>
    <row r="83" spans="1:22" ht="18" customHeight="1">
      <c r="A83" s="184"/>
      <c r="I83" s="28"/>
      <c r="J83" s="211"/>
      <c r="K83" s="27"/>
      <c r="V83" s="185"/>
    </row>
    <row r="84" spans="1:22" ht="18" customHeight="1">
      <c r="A84" s="96" t="s">
        <v>584</v>
      </c>
      <c r="I84" s="28"/>
      <c r="J84" s="211"/>
      <c r="K84" s="27"/>
      <c r="V84" s="185"/>
    </row>
    <row r="85" spans="1:22" ht="18" customHeight="1">
      <c r="A85" s="184"/>
      <c r="B85" s="28">
        <v>1</v>
      </c>
      <c r="D85" s="14"/>
      <c r="H85" s="120" t="s">
        <v>492</v>
      </c>
      <c r="I85" s="28" t="s">
        <v>476</v>
      </c>
      <c r="J85" s="47" t="s">
        <v>104</v>
      </c>
      <c r="S85" s="14" t="s">
        <v>585</v>
      </c>
      <c r="V85" s="185"/>
    </row>
    <row r="86" spans="1:22" ht="18" customHeight="1">
      <c r="A86" s="184"/>
      <c r="G86" s="684">
        <f>J57</f>
        <v>7.5</v>
      </c>
      <c r="H86" s="684"/>
      <c r="I86" s="27" t="str">
        <f>IF(G86&gt;J86,"&gt;","&lt;")</f>
        <v>&gt;</v>
      </c>
      <c r="J86" s="795">
        <f>J78</f>
        <v>1.0850224400000001</v>
      </c>
      <c r="K86" s="684"/>
      <c r="S86" s="186" t="str">
        <f>IF(G86&gt;J86,"Satisfied","Not satisfied")</f>
        <v>Satisfied</v>
      </c>
      <c r="V86" s="185"/>
    </row>
    <row r="87" spans="1:22" ht="18" customHeight="1">
      <c r="A87" s="184"/>
      <c r="D87" s="14"/>
      <c r="H87" s="120"/>
      <c r="I87" s="27"/>
      <c r="R87" s="14"/>
      <c r="V87" s="185"/>
    </row>
    <row r="88" spans="1:22" ht="18" customHeight="1">
      <c r="A88" s="184"/>
      <c r="B88" s="28">
        <v>2</v>
      </c>
      <c r="D88" s="14"/>
      <c r="H88" s="244" t="s">
        <v>586</v>
      </c>
      <c r="I88" s="28" t="s">
        <v>476</v>
      </c>
      <c r="J88" s="14" t="s">
        <v>105</v>
      </c>
      <c r="K88" s="14"/>
      <c r="S88" s="14" t="s">
        <v>587</v>
      </c>
      <c r="V88" s="185"/>
    </row>
    <row r="89" spans="1:22" ht="18" customHeight="1">
      <c r="A89" s="184"/>
      <c r="D89" s="14"/>
      <c r="G89" s="795">
        <f>P73</f>
        <v>20</v>
      </c>
      <c r="H89" s="795"/>
      <c r="I89" s="27" t="str">
        <f>IF(G89&gt;J89,"&gt;","&lt;")</f>
        <v>&gt;</v>
      </c>
      <c r="J89" s="795">
        <f>J82</f>
        <v>10.271120709293555</v>
      </c>
      <c r="K89" s="795"/>
      <c r="R89" s="14"/>
      <c r="S89" s="186" t="str">
        <f>IF(G89&gt;J89,"Satisfied","Not satisfied")</f>
        <v>Satisfied</v>
      </c>
      <c r="V89" s="185"/>
    </row>
    <row r="90" spans="1:22" ht="18"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Core4</v>
      </c>
      <c r="E95" s="856"/>
      <c r="F95" s="255"/>
      <c r="H95" s="684" t="str">
        <f>H50</f>
        <v>(Tariff Meter- Main)</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3150</v>
      </c>
      <c r="I98" s="831"/>
      <c r="J98" s="854">
        <f>J53</f>
        <v>2000</v>
      </c>
      <c r="K98" s="831"/>
      <c r="L98" s="863" t="str">
        <f>L53</f>
        <v>-</v>
      </c>
      <c r="M98" s="864"/>
      <c r="N98" s="191" t="s">
        <v>342</v>
      </c>
      <c r="O98" s="256">
        <f>O53</f>
        <v>1</v>
      </c>
      <c r="P98" s="27" t="s">
        <v>8</v>
      </c>
      <c r="V98" s="185"/>
    </row>
    <row r="99" spans="1:23" ht="18" hidden="1" customHeight="1">
      <c r="A99" s="184"/>
      <c r="B99" s="47" t="s">
        <v>394</v>
      </c>
      <c r="H99" s="14"/>
      <c r="I99" s="14"/>
      <c r="K99" s="14"/>
      <c r="L99" s="854" t="str">
        <f>J54</f>
        <v>0.2sFS5</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f>D62</f>
        <v>0</v>
      </c>
      <c r="I107" s="177" t="s">
        <v>127</v>
      </c>
      <c r="J107" s="1119">
        <f t="shared" si="1"/>
        <v>0</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1.0850224400000001</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1.0850224400000001</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1.0850224400000001</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532</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Core4</v>
      </c>
      <c r="C144" s="765"/>
      <c r="D144" s="870">
        <f>H98</f>
        <v>3150</v>
      </c>
      <c r="E144" s="870"/>
      <c r="F144" s="871">
        <f>O98</f>
        <v>1</v>
      </c>
      <c r="G144" s="961">
        <f>'CT-VT Burdens'!S21</f>
        <v>120</v>
      </c>
      <c r="H144" s="959">
        <f>'CT-VT Burdens'!S10</f>
        <v>6</v>
      </c>
      <c r="I144" s="874" t="str">
        <f>L99</f>
        <v>0.2sFS5</v>
      </c>
      <c r="J144" s="874"/>
      <c r="K144" s="869">
        <f>H12</f>
        <v>9</v>
      </c>
      <c r="L144" s="869"/>
      <c r="M144" s="869">
        <f>H14</f>
        <v>10</v>
      </c>
      <c r="N144" s="869"/>
      <c r="O144" s="870" t="s">
        <v>6</v>
      </c>
      <c r="P144" s="870"/>
      <c r="Q144" s="879" t="str">
        <f>CONCATENATE(T7," ",T8," ",T9," ",T10)</f>
        <v xml:space="preserve">XC-RACK   </v>
      </c>
      <c r="R144" s="879"/>
      <c r="S144" s="878" t="str">
        <f>J47</f>
        <v>Suitable Dimensions</v>
      </c>
      <c r="T144" s="878"/>
      <c r="U144" s="878"/>
      <c r="V144" s="878"/>
    </row>
    <row r="145" spans="1:22" ht="18" customHeight="1">
      <c r="A145" s="765"/>
      <c r="B145" s="765"/>
      <c r="C145" s="765"/>
      <c r="D145" s="870">
        <f>J98</f>
        <v>2000</v>
      </c>
      <c r="E145" s="870"/>
      <c r="F145" s="872"/>
      <c r="G145" s="961"/>
      <c r="H145" s="959"/>
      <c r="I145" s="874"/>
      <c r="J145" s="874"/>
      <c r="K145" s="869">
        <f>J55</f>
        <v>5</v>
      </c>
      <c r="L145" s="869"/>
      <c r="M145" s="869">
        <f>J57</f>
        <v>7.5</v>
      </c>
      <c r="N145" s="869"/>
      <c r="O145" s="870" t="s">
        <v>6</v>
      </c>
      <c r="P145" s="870"/>
      <c r="Q145" s="879"/>
      <c r="R145" s="879"/>
      <c r="S145" s="878" t="str">
        <f>J90</f>
        <v>Suitable Dimensions</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265"/>
      <c r="B177" s="239"/>
      <c r="C177" s="239"/>
      <c r="D177" s="239"/>
      <c r="E177" s="239"/>
      <c r="F177" s="239"/>
      <c r="G177" s="239"/>
      <c r="H177" s="239"/>
      <c r="I177" s="239"/>
      <c r="J177" s="93"/>
      <c r="K177" s="93"/>
      <c r="L177" s="239"/>
      <c r="M177" s="239"/>
      <c r="N177" s="239"/>
      <c r="O177" s="239"/>
      <c r="P177" s="239"/>
      <c r="Q177" s="239"/>
      <c r="R177" s="239"/>
      <c r="S177" s="239"/>
      <c r="T177" s="239"/>
      <c r="U177" s="103"/>
      <c r="V177" s="310"/>
    </row>
    <row r="178" spans="1:22" ht="18" customHeight="1">
      <c r="A178" s="184"/>
      <c r="V178" s="185"/>
    </row>
    <row r="179" spans="1:22" s="14" customFormat="1" ht="18" customHeight="1">
      <c r="A179" s="194"/>
      <c r="B179" s="195"/>
      <c r="C179" s="195"/>
      <c r="D179" s="195"/>
      <c r="E179" s="195"/>
      <c r="F179" s="195"/>
      <c r="G179" s="195"/>
      <c r="H179" s="195"/>
      <c r="I179" s="195"/>
      <c r="J179" s="195"/>
      <c r="K179" s="195"/>
      <c r="L179" s="195"/>
      <c r="M179" s="195"/>
      <c r="N179" s="195"/>
      <c r="O179" s="195"/>
      <c r="P179" s="195"/>
      <c r="Q179" s="224"/>
      <c r="R179" s="182"/>
      <c r="S179" s="225"/>
      <c r="T179" s="195"/>
      <c r="U179" s="195"/>
      <c r="V179" s="134"/>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148" priority="2" stopIfTrue="1" operator="equal">
      <formula>"Not suitable"</formula>
    </cfRule>
  </conditionalFormatting>
  <conditionalFormatting sqref="S43 S46 S86 S89 S125 S128">
    <cfRule type="cellIs" dxfId="1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647</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99" t="s">
        <v>108</v>
      </c>
      <c r="C7" s="1100"/>
      <c r="D7" s="1099" t="s">
        <v>112</v>
      </c>
      <c r="E7" s="1101"/>
      <c r="F7" s="255"/>
      <c r="H7" s="689" t="s">
        <v>591</v>
      </c>
      <c r="I7" s="684"/>
      <c r="J7" s="684"/>
      <c r="K7" s="684"/>
      <c r="L7" s="684"/>
      <c r="M7" s="684"/>
      <c r="P7" s="186"/>
      <c r="R7" s="255"/>
      <c r="S7" s="187" t="s">
        <v>387</v>
      </c>
      <c r="T7" s="1216" t="s">
        <v>244</v>
      </c>
      <c r="U7" s="1247"/>
      <c r="V7" s="185"/>
    </row>
    <row r="8" spans="1:24" ht="18" customHeight="1">
      <c r="A8" s="184"/>
      <c r="B8" s="1097"/>
      <c r="C8" s="1098"/>
      <c r="D8" s="1102"/>
      <c r="E8" s="1103"/>
      <c r="F8" s="255"/>
      <c r="T8" s="1216" t="s">
        <v>246</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3150</v>
      </c>
      <c r="I10" s="792"/>
      <c r="J10" s="781">
        <v>2000</v>
      </c>
      <c r="K10" s="782"/>
      <c r="L10" s="781" t="s">
        <v>6</v>
      </c>
      <c r="M10" s="782"/>
      <c r="N10" s="191" t="s">
        <v>342</v>
      </c>
      <c r="O10" s="125">
        <v>1</v>
      </c>
      <c r="P10" s="27" t="s">
        <v>8</v>
      </c>
      <c r="T10" s="1216"/>
      <c r="U10" s="1247"/>
      <c r="V10" s="185"/>
    </row>
    <row r="11" spans="1:24" ht="18" customHeight="1">
      <c r="A11" s="184"/>
      <c r="B11" s="47" t="s">
        <v>394</v>
      </c>
      <c r="H11" s="781" t="s">
        <v>667</v>
      </c>
      <c r="I11" s="782"/>
      <c r="T11" s="1248"/>
      <c r="U11" s="1248"/>
      <c r="V11" s="185"/>
    </row>
    <row r="12" spans="1:24" ht="18" customHeight="1">
      <c r="A12" s="184"/>
      <c r="B12" s="47" t="s">
        <v>396</v>
      </c>
      <c r="G12" s="120" t="s">
        <v>497</v>
      </c>
      <c r="H12" s="781">
        <v>9</v>
      </c>
      <c r="I12" s="782"/>
      <c r="J12" s="192" t="s">
        <v>333</v>
      </c>
      <c r="T12" s="295"/>
      <c r="U12" s="18"/>
      <c r="V12" s="185"/>
    </row>
    <row r="13" spans="1:24" ht="18" customHeight="1">
      <c r="A13" s="184"/>
      <c r="B13" s="30" t="s">
        <v>568</v>
      </c>
      <c r="G13" s="120" t="s">
        <v>569</v>
      </c>
      <c r="H13" s="781">
        <v>5</v>
      </c>
      <c r="I13" s="782"/>
      <c r="T13" s="295"/>
      <c r="U13" s="18"/>
      <c r="V13" s="185"/>
      <c r="W13" s="30" t="str">
        <f>J47</f>
        <v>Suitable Dimensions</v>
      </c>
    </row>
    <row r="14" spans="1:24" ht="18" customHeight="1">
      <c r="A14" s="184"/>
      <c r="B14" s="47" t="s">
        <v>562</v>
      </c>
      <c r="G14" s="120" t="s">
        <v>493</v>
      </c>
      <c r="H14" s="781">
        <v>10</v>
      </c>
      <c r="I14" s="782"/>
      <c r="J14" s="14"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49">
        <f>'CT-VT Burdens'!Q142</f>
        <v>8.0000000000000002E-3</v>
      </c>
      <c r="K18" s="1250"/>
      <c r="L18" s="3" t="s">
        <v>157</v>
      </c>
      <c r="N18" s="197" t="s">
        <v>510</v>
      </c>
      <c r="V18" s="185"/>
      <c r="AC18" s="14" t="s">
        <v>570</v>
      </c>
      <c r="AE18" s="14" t="s">
        <v>571</v>
      </c>
    </row>
    <row r="19" spans="1:31" ht="18" customHeight="1">
      <c r="A19" s="184"/>
      <c r="B19" s="96" t="s">
        <v>405</v>
      </c>
      <c r="D19" s="296" t="str">
        <f>T8</f>
        <v>GOSSEN</v>
      </c>
      <c r="I19" s="177" t="s">
        <v>127</v>
      </c>
      <c r="J19" s="1108">
        <f>'CT-VT Burdens'!Q143</f>
        <v>0.25</v>
      </c>
      <c r="K19" s="1104"/>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9</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9</v>
      </c>
      <c r="Q22" s="684"/>
      <c r="R22" s="27" t="s">
        <v>157</v>
      </c>
      <c r="S22" s="27"/>
      <c r="T22" s="27"/>
      <c r="V22" s="185"/>
    </row>
    <row r="23" spans="1:31" ht="18" customHeight="1">
      <c r="A23" s="184"/>
      <c r="B23" s="1" t="s">
        <v>413</v>
      </c>
      <c r="C23" s="2"/>
      <c r="D23" s="2"/>
      <c r="E23" s="2"/>
      <c r="F23" s="196"/>
      <c r="G23" s="196"/>
      <c r="H23" s="224" t="s">
        <v>512</v>
      </c>
      <c r="I23" s="183" t="s">
        <v>127</v>
      </c>
      <c r="J23" s="722">
        <f>SUM(J18:K22)</f>
        <v>1.3350224400000001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3150</v>
      </c>
      <c r="Q25" s="1251"/>
      <c r="R25" s="192" t="s">
        <v>8</v>
      </c>
      <c r="V25" s="185"/>
    </row>
    <row r="26" spans="1:31" ht="18" customHeight="1">
      <c r="A26" s="184"/>
      <c r="B26" s="47" t="s">
        <v>547</v>
      </c>
      <c r="C26" s="47"/>
      <c r="D26" s="47"/>
      <c r="E26" s="47"/>
      <c r="H26" s="27"/>
      <c r="I26" s="28"/>
      <c r="J26" s="199"/>
      <c r="L26" s="47"/>
      <c r="N26" s="120" t="s">
        <v>572</v>
      </c>
      <c r="O26" s="28" t="s">
        <v>127</v>
      </c>
      <c r="P26" s="1251">
        <f>H12</f>
        <v>9</v>
      </c>
      <c r="Q26" s="1251"/>
      <c r="R26" s="304" t="s">
        <v>157</v>
      </c>
      <c r="V26" s="185"/>
    </row>
    <row r="27" spans="1:31" ht="18" customHeight="1">
      <c r="A27" s="184"/>
      <c r="B27" s="47" t="s">
        <v>548</v>
      </c>
      <c r="C27" s="47"/>
      <c r="D27" s="47"/>
      <c r="E27" s="47"/>
      <c r="H27" s="27"/>
      <c r="I27" s="28"/>
      <c r="J27" s="199"/>
      <c r="L27" s="47"/>
      <c r="N27" s="120" t="s">
        <v>573</v>
      </c>
      <c r="O27" s="28" t="s">
        <v>127</v>
      </c>
      <c r="P27" s="1072">
        <f>J23</f>
        <v>1.3350224400000001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47" t="s">
        <v>577</v>
      </c>
      <c r="C30" s="47"/>
      <c r="D30" s="47"/>
      <c r="E30" s="47"/>
      <c r="H30" s="27"/>
      <c r="I30" s="28"/>
      <c r="J30" s="199"/>
      <c r="L30" s="47"/>
      <c r="O30" s="28" t="s">
        <v>127</v>
      </c>
      <c r="P30" s="1072">
        <v>20</v>
      </c>
      <c r="Q30" s="1072"/>
      <c r="R30" s="192" t="s">
        <v>129</v>
      </c>
      <c r="S30" s="14" t="s">
        <v>170</v>
      </c>
      <c r="V30" s="185"/>
    </row>
    <row r="31" spans="1:31" ht="18" customHeight="1">
      <c r="A31" s="184"/>
      <c r="B31" s="47"/>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1.3350224400000001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301">
        <f>P22</f>
        <v>9</v>
      </c>
      <c r="M38" s="245" t="s">
        <v>347</v>
      </c>
      <c r="N38" s="242">
        <f>H14</f>
        <v>10</v>
      </c>
      <c r="O38" s="245" t="s">
        <v>539</v>
      </c>
      <c r="P38" s="301">
        <f>P22</f>
        <v>9</v>
      </c>
      <c r="Q38" s="245" t="s">
        <v>347</v>
      </c>
      <c r="R38" s="301">
        <f>J23</f>
        <v>1.3350224400000001</v>
      </c>
      <c r="S38" s="296" t="s">
        <v>350</v>
      </c>
      <c r="V38" s="185"/>
    </row>
    <row r="39" spans="1:22" ht="18" customHeight="1">
      <c r="A39" s="184"/>
      <c r="I39" s="27" t="s">
        <v>127</v>
      </c>
      <c r="J39" s="1111">
        <f>J38*((L38+N38)/(P38+R38))</f>
        <v>9.1920458374931222</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10</v>
      </c>
      <c r="H43" s="684"/>
      <c r="I43" s="27" t="str">
        <f>IF(G43&gt;J43,"&gt;","&lt;")</f>
        <v>&gt;</v>
      </c>
      <c r="J43" s="795">
        <f>J35</f>
        <v>1.3350224400000001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&gt;</v>
      </c>
      <c r="J46" s="795">
        <f>J39</f>
        <v>9.1920458374931222</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customHeight="1">
      <c r="A50" s="184"/>
      <c r="B50" s="835" t="str">
        <f>B7</f>
        <v>T1</v>
      </c>
      <c r="C50" s="836"/>
      <c r="D50" s="1112" t="str">
        <f>D7</f>
        <v>Core5</v>
      </c>
      <c r="E50" s="1113"/>
      <c r="F50" s="255"/>
      <c r="H50" s="684" t="str">
        <f>H7</f>
        <v>(Tariff Meter- Check)</v>
      </c>
      <c r="I50" s="684"/>
      <c r="J50" s="684"/>
      <c r="K50" s="684"/>
      <c r="L50" s="684"/>
      <c r="M50" s="684"/>
      <c r="P50" s="186"/>
      <c r="R50" s="255"/>
      <c r="S50" s="187" t="s">
        <v>387</v>
      </c>
      <c r="T50" s="1216" t="str">
        <f>T7</f>
        <v>XC-RACK</v>
      </c>
      <c r="U50" s="1247"/>
      <c r="V50" s="185"/>
    </row>
    <row r="51" spans="1:23" ht="18" customHeight="1">
      <c r="A51" s="184"/>
      <c r="B51" s="1118">
        <f>B8</f>
        <v>0</v>
      </c>
      <c r="C51" s="1118"/>
      <c r="D51" s="1114"/>
      <c r="E51" s="1115"/>
      <c r="F51" s="255"/>
      <c r="T51" s="1216" t="str">
        <f>T8</f>
        <v>GOSSEN</v>
      </c>
      <c r="U51" s="1247"/>
      <c r="V51" s="185"/>
    </row>
    <row r="52" spans="1:23" ht="18" customHeight="1">
      <c r="A52" s="184"/>
      <c r="H52" s="708" t="s">
        <v>390</v>
      </c>
      <c r="I52" s="708"/>
      <c r="J52" s="789" t="s">
        <v>391</v>
      </c>
      <c r="K52" s="789"/>
      <c r="L52" s="790" t="s">
        <v>392</v>
      </c>
      <c r="M52" s="790"/>
      <c r="T52" s="1216"/>
      <c r="U52" s="1247"/>
      <c r="V52" s="185"/>
    </row>
    <row r="53" spans="1:23" ht="18" customHeight="1">
      <c r="A53" s="184"/>
      <c r="B53" s="47" t="s">
        <v>393</v>
      </c>
      <c r="H53" s="835">
        <f>H10</f>
        <v>3150</v>
      </c>
      <c r="I53" s="836"/>
      <c r="J53" s="843">
        <f>J10</f>
        <v>2000</v>
      </c>
      <c r="K53" s="844"/>
      <c r="L53" s="835" t="str">
        <f>L10</f>
        <v>-</v>
      </c>
      <c r="M53" s="836"/>
      <c r="N53" s="191" t="s">
        <v>342</v>
      </c>
      <c r="O53" s="488">
        <f>O10</f>
        <v>1</v>
      </c>
      <c r="P53" s="27" t="s">
        <v>8</v>
      </c>
      <c r="T53" s="1216"/>
      <c r="U53" s="1247"/>
      <c r="V53" s="185"/>
    </row>
    <row r="54" spans="1:23" ht="18" customHeight="1">
      <c r="A54" s="184"/>
      <c r="B54" s="47" t="s">
        <v>394</v>
      </c>
      <c r="H54" s="14"/>
      <c r="I54" s="14"/>
      <c r="J54" s="835" t="str">
        <f>H11</f>
        <v>0.2sFS5</v>
      </c>
      <c r="K54" s="836"/>
      <c r="L54" s="14"/>
      <c r="M54" s="14"/>
      <c r="V54" s="185"/>
    </row>
    <row r="55" spans="1:23" ht="18" customHeight="1">
      <c r="A55" s="184"/>
      <c r="B55" s="47" t="s">
        <v>396</v>
      </c>
      <c r="I55" s="120" t="s">
        <v>497</v>
      </c>
      <c r="J55" s="781">
        <v>5</v>
      </c>
      <c r="K55" s="782"/>
      <c r="L55" s="192" t="s">
        <v>333</v>
      </c>
      <c r="T55" s="295"/>
      <c r="U55" s="18"/>
      <c r="V55" s="185"/>
    </row>
    <row r="56" spans="1:23" ht="18" customHeight="1">
      <c r="A56" s="184"/>
      <c r="B56" s="30" t="s">
        <v>568</v>
      </c>
      <c r="I56" s="120" t="s">
        <v>569</v>
      </c>
      <c r="J56" s="781">
        <v>5</v>
      </c>
      <c r="K56" s="782"/>
      <c r="T56" s="295"/>
      <c r="U56" s="18"/>
      <c r="V56" s="185"/>
      <c r="W56" s="30" t="str">
        <f>J90</f>
        <v>Suitable Dimensions</v>
      </c>
    </row>
    <row r="57" spans="1:23" ht="18" customHeight="1">
      <c r="A57" s="184"/>
      <c r="B57" s="47" t="s">
        <v>562</v>
      </c>
      <c r="I57" s="120" t="s">
        <v>493</v>
      </c>
      <c r="J57" s="781">
        <v>7.5</v>
      </c>
      <c r="K57" s="782"/>
      <c r="L57" s="14" t="s">
        <v>157</v>
      </c>
      <c r="T57" s="295"/>
      <c r="U57" s="18"/>
      <c r="V57" s="185"/>
    </row>
    <row r="58" spans="1:23" ht="18" customHeight="1">
      <c r="A58" s="184"/>
      <c r="V58" s="185"/>
    </row>
    <row r="59" spans="1:23" ht="18" customHeight="1">
      <c r="A59" s="193" t="s">
        <v>404</v>
      </c>
      <c r="V59" s="185"/>
    </row>
    <row r="60" spans="1:23" ht="18" customHeight="1">
      <c r="A60" s="184"/>
      <c r="V60" s="185"/>
    </row>
    <row r="61" spans="1:23" ht="18"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customHeight="1">
      <c r="A62" s="184"/>
      <c r="B62" s="96" t="s">
        <v>405</v>
      </c>
      <c r="D62" s="296" t="str">
        <f>D19</f>
        <v>GOSSEN</v>
      </c>
      <c r="I62" s="177" t="s">
        <v>127</v>
      </c>
      <c r="J62" s="1119">
        <f t="shared" si="0"/>
        <v>0.25</v>
      </c>
      <c r="K62" s="989"/>
      <c r="L62" s="198" t="s">
        <v>157</v>
      </c>
      <c r="P62" s="244"/>
      <c r="V62" s="185"/>
    </row>
    <row r="63" spans="1:23" ht="18"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customHeight="1">
      <c r="A66" s="184"/>
      <c r="B66" s="1" t="s">
        <v>413</v>
      </c>
      <c r="C66" s="2"/>
      <c r="D66" s="2"/>
      <c r="E66" s="2"/>
      <c r="F66" s="196"/>
      <c r="G66" s="196"/>
      <c r="H66" s="224" t="s">
        <v>512</v>
      </c>
      <c r="I66" s="183" t="s">
        <v>127</v>
      </c>
      <c r="J66" s="722">
        <f t="shared" si="0"/>
        <v>1.3350224400000001</v>
      </c>
      <c r="K66" s="958"/>
      <c r="L66" s="3" t="s">
        <v>157</v>
      </c>
      <c r="O66" s="27"/>
      <c r="P66" s="211"/>
      <c r="Q66" s="211"/>
      <c r="R66" s="192"/>
      <c r="V66" s="185"/>
    </row>
    <row r="67" spans="1:22" ht="18" customHeight="1">
      <c r="A67" s="184"/>
      <c r="B67" s="47"/>
      <c r="C67" s="47"/>
      <c r="D67" s="47"/>
      <c r="E67" s="47"/>
      <c r="H67" s="27"/>
      <c r="I67" s="28"/>
      <c r="J67" s="218"/>
      <c r="K67" s="27"/>
      <c r="L67" s="47"/>
      <c r="O67" s="27"/>
      <c r="P67" s="211"/>
      <c r="Q67" s="211"/>
      <c r="R67" s="192"/>
      <c r="V67" s="185"/>
    </row>
    <row r="68" spans="1:22" ht="18" customHeight="1">
      <c r="A68" s="184"/>
      <c r="B68" s="47" t="s">
        <v>545</v>
      </c>
      <c r="C68" s="47"/>
      <c r="D68" s="47"/>
      <c r="E68" s="47"/>
      <c r="H68" s="27"/>
      <c r="I68" s="28"/>
      <c r="J68" s="199"/>
      <c r="L68" s="47"/>
      <c r="N68" s="120" t="s">
        <v>423</v>
      </c>
      <c r="O68" s="28" t="s">
        <v>127</v>
      </c>
      <c r="P68" s="1251">
        <f>J53</f>
        <v>2000</v>
      </c>
      <c r="Q68" s="1251"/>
      <c r="R68" s="192" t="s">
        <v>8</v>
      </c>
      <c r="V68" s="185"/>
    </row>
    <row r="69" spans="1:22" ht="18" customHeight="1">
      <c r="A69" s="184"/>
      <c r="B69" s="47" t="s">
        <v>547</v>
      </c>
      <c r="C69" s="47"/>
      <c r="D69" s="47"/>
      <c r="E69" s="47"/>
      <c r="H69" s="27"/>
      <c r="I69" s="28"/>
      <c r="J69" s="199"/>
      <c r="L69" s="47"/>
      <c r="N69" s="120" t="s">
        <v>572</v>
      </c>
      <c r="O69" s="28" t="s">
        <v>127</v>
      </c>
      <c r="P69" s="1251">
        <f>J55</f>
        <v>5</v>
      </c>
      <c r="Q69" s="1251"/>
      <c r="R69" s="304" t="s">
        <v>157</v>
      </c>
      <c r="V69" s="185"/>
    </row>
    <row r="70" spans="1:22" ht="18" customHeight="1">
      <c r="A70" s="184"/>
      <c r="B70" s="47" t="s">
        <v>548</v>
      </c>
      <c r="C70" s="47"/>
      <c r="D70" s="47"/>
      <c r="E70" s="47"/>
      <c r="H70" s="27"/>
      <c r="I70" s="28"/>
      <c r="J70" s="199"/>
      <c r="L70" s="47"/>
      <c r="N70" s="120" t="s">
        <v>573</v>
      </c>
      <c r="O70" s="28" t="s">
        <v>127</v>
      </c>
      <c r="P70" s="1072">
        <f>J66</f>
        <v>1.3350224400000001</v>
      </c>
      <c r="Q70" s="1251"/>
      <c r="R70" s="304" t="s">
        <v>157</v>
      </c>
      <c r="V70" s="185"/>
    </row>
    <row r="71" spans="1:22" ht="18" customHeight="1">
      <c r="A71" s="184"/>
      <c r="B71" s="47" t="s">
        <v>549</v>
      </c>
      <c r="C71" s="47"/>
      <c r="D71" s="47"/>
      <c r="E71" s="47"/>
      <c r="H71" s="27"/>
      <c r="I71" s="28"/>
      <c r="J71" s="199"/>
      <c r="L71" s="47"/>
      <c r="N71" s="120" t="s">
        <v>511</v>
      </c>
      <c r="O71" s="28" t="s">
        <v>127</v>
      </c>
      <c r="P71" s="1251">
        <f>O53</f>
        <v>1</v>
      </c>
      <c r="Q71" s="1251"/>
      <c r="R71" s="192" t="s">
        <v>8</v>
      </c>
      <c r="V71" s="185"/>
    </row>
    <row r="72" spans="1:22" ht="18" customHeight="1">
      <c r="A72" s="184"/>
      <c r="B72" s="47" t="s">
        <v>574</v>
      </c>
      <c r="C72" s="47"/>
      <c r="D72" s="47"/>
      <c r="E72" s="47"/>
      <c r="H72" s="27"/>
      <c r="I72" s="28"/>
      <c r="J72" s="199"/>
      <c r="L72" s="47"/>
      <c r="N72" s="120" t="s">
        <v>495</v>
      </c>
      <c r="O72" s="28" t="s">
        <v>127</v>
      </c>
      <c r="P72" s="1251">
        <v>10</v>
      </c>
      <c r="Q72" s="1251"/>
      <c r="R72" s="192"/>
      <c r="V72" s="185"/>
    </row>
    <row r="73" spans="1:22" ht="18" customHeight="1">
      <c r="A73" s="184"/>
      <c r="B73" s="47" t="s">
        <v>577</v>
      </c>
      <c r="C73" s="47"/>
      <c r="D73" s="47"/>
      <c r="E73" s="47"/>
      <c r="H73" s="27"/>
      <c r="I73" s="28"/>
      <c r="J73" s="199"/>
      <c r="L73" s="47"/>
      <c r="O73" s="28" t="s">
        <v>127</v>
      </c>
      <c r="P73" s="1072">
        <v>20</v>
      </c>
      <c r="Q73" s="1072"/>
      <c r="R73" s="192" t="s">
        <v>129</v>
      </c>
      <c r="S73" s="14" t="s">
        <v>170</v>
      </c>
      <c r="V73" s="185"/>
    </row>
    <row r="74" spans="1:22" ht="18"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customHeight="1">
      <c r="A77" s="184"/>
      <c r="B77" s="47"/>
      <c r="C77" s="47" t="s">
        <v>581</v>
      </c>
      <c r="D77" s="47"/>
      <c r="E77" s="47"/>
      <c r="H77" s="27"/>
      <c r="I77" s="28" t="s">
        <v>127</v>
      </c>
      <c r="J77" s="281" t="s">
        <v>582</v>
      </c>
      <c r="L77" s="47"/>
      <c r="O77" s="27"/>
      <c r="P77" s="28" t="s">
        <v>347</v>
      </c>
      <c r="Q77" s="14" t="s">
        <v>583</v>
      </c>
      <c r="R77" s="192"/>
      <c r="V77" s="185"/>
    </row>
    <row r="78" spans="1:22" ht="18" customHeight="1">
      <c r="A78" s="184"/>
      <c r="I78" s="28" t="s">
        <v>127</v>
      </c>
      <c r="J78" s="795">
        <f>J66</f>
        <v>1.3350224400000001</v>
      </c>
      <c r="K78" s="684"/>
      <c r="L78" s="28"/>
      <c r="M78" s="795"/>
      <c r="N78" s="684"/>
      <c r="V78" s="185"/>
    </row>
    <row r="79" spans="1:22" ht="18" customHeight="1">
      <c r="A79" s="184"/>
      <c r="I79" s="28"/>
      <c r="J79" s="204"/>
      <c r="V79" s="185"/>
    </row>
    <row r="80" spans="1:22" ht="18"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customHeight="1">
      <c r="A81" s="184"/>
      <c r="I81" s="27" t="s">
        <v>127</v>
      </c>
      <c r="J81" s="245">
        <f>J56</f>
        <v>5</v>
      </c>
      <c r="K81" s="245" t="s">
        <v>554</v>
      </c>
      <c r="L81" s="301">
        <f>P65</f>
        <v>5</v>
      </c>
      <c r="M81" s="245" t="s">
        <v>347</v>
      </c>
      <c r="N81" s="242">
        <f>J57</f>
        <v>7.5</v>
      </c>
      <c r="O81" s="245" t="s">
        <v>539</v>
      </c>
      <c r="P81" s="301">
        <f>P65</f>
        <v>5</v>
      </c>
      <c r="Q81" s="245" t="s">
        <v>347</v>
      </c>
      <c r="R81" s="301">
        <f>J66</f>
        <v>1.3350224400000001</v>
      </c>
      <c r="S81" s="296" t="s">
        <v>350</v>
      </c>
      <c r="V81" s="185"/>
    </row>
    <row r="82" spans="1:22" ht="18" customHeight="1">
      <c r="A82" s="184"/>
      <c r="I82" s="27" t="s">
        <v>127</v>
      </c>
      <c r="J82" s="1111">
        <f>J81*((L81+N81)/(P81+R81))</f>
        <v>9.8657898360972496</v>
      </c>
      <c r="K82" s="1111"/>
      <c r="L82" s="242"/>
      <c r="M82" s="242"/>
      <c r="N82" s="242"/>
      <c r="O82" s="242"/>
      <c r="P82" s="242"/>
      <c r="Q82" s="242"/>
      <c r="R82" s="242"/>
      <c r="V82" s="185"/>
    </row>
    <row r="83" spans="1:22" ht="18" customHeight="1">
      <c r="A83" s="184"/>
      <c r="I83" s="28"/>
      <c r="J83" s="211"/>
      <c r="K83" s="27"/>
      <c r="V83" s="185"/>
    </row>
    <row r="84" spans="1:22" ht="18" customHeight="1">
      <c r="A84" s="96" t="s">
        <v>584</v>
      </c>
      <c r="I84" s="28"/>
      <c r="J84" s="211"/>
      <c r="K84" s="27"/>
      <c r="V84" s="185"/>
    </row>
    <row r="85" spans="1:22" ht="18" customHeight="1">
      <c r="A85" s="184"/>
      <c r="B85" s="28">
        <v>1</v>
      </c>
      <c r="D85" s="14"/>
      <c r="H85" s="120" t="s">
        <v>492</v>
      </c>
      <c r="I85" s="28" t="s">
        <v>476</v>
      </c>
      <c r="J85" s="47" t="s">
        <v>104</v>
      </c>
      <c r="S85" s="14" t="s">
        <v>585</v>
      </c>
      <c r="V85" s="185"/>
    </row>
    <row r="86" spans="1:22" ht="18" customHeight="1">
      <c r="A86" s="184"/>
      <c r="G86" s="684">
        <f>J57</f>
        <v>7.5</v>
      </c>
      <c r="H86" s="684"/>
      <c r="I86" s="27" t="str">
        <f>IF(G86&gt;J86,"&gt;","&lt;")</f>
        <v>&gt;</v>
      </c>
      <c r="J86" s="795">
        <f>J78</f>
        <v>1.3350224400000001</v>
      </c>
      <c r="K86" s="684"/>
      <c r="S86" s="186" t="str">
        <f>IF(G86&gt;J86,"Satisfied","Not satisfied")</f>
        <v>Satisfied</v>
      </c>
      <c r="V86" s="185"/>
    </row>
    <row r="87" spans="1:22" ht="18" customHeight="1">
      <c r="A87" s="184"/>
      <c r="D87" s="14"/>
      <c r="H87" s="120"/>
      <c r="I87" s="27"/>
      <c r="R87" s="14"/>
      <c r="V87" s="185"/>
    </row>
    <row r="88" spans="1:22" ht="18" customHeight="1">
      <c r="A88" s="184"/>
      <c r="B88" s="28">
        <v>2</v>
      </c>
      <c r="D88" s="14"/>
      <c r="H88" s="244" t="s">
        <v>586</v>
      </c>
      <c r="I88" s="28" t="s">
        <v>476</v>
      </c>
      <c r="J88" s="14" t="s">
        <v>105</v>
      </c>
      <c r="K88" s="14"/>
      <c r="S88" s="14" t="s">
        <v>587</v>
      </c>
      <c r="V88" s="185"/>
    </row>
    <row r="89" spans="1:22" ht="18" customHeight="1">
      <c r="A89" s="184"/>
      <c r="D89" s="14"/>
      <c r="G89" s="795">
        <f>P73</f>
        <v>20</v>
      </c>
      <c r="H89" s="795"/>
      <c r="I89" s="27" t="str">
        <f>IF(G89&gt;J89,"&gt;","&lt;")</f>
        <v>&gt;</v>
      </c>
      <c r="J89" s="795">
        <f>J82</f>
        <v>9.8657898360972496</v>
      </c>
      <c r="K89" s="795"/>
      <c r="R89" s="14"/>
      <c r="S89" s="186" t="str">
        <f>IF(G89&gt;J89,"Satisfied","Not satisfied")</f>
        <v>Satisfied</v>
      </c>
      <c r="V89" s="185"/>
    </row>
    <row r="90" spans="1:22" ht="18"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Core5</v>
      </c>
      <c r="E95" s="856"/>
      <c r="F95" s="255"/>
      <c r="H95" s="684" t="str">
        <f>H50</f>
        <v>(Tariff Meter- Check)</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3150</v>
      </c>
      <c r="I98" s="831"/>
      <c r="J98" s="854">
        <f>J53</f>
        <v>2000</v>
      </c>
      <c r="K98" s="831"/>
      <c r="L98" s="863" t="str">
        <f>L53</f>
        <v>-</v>
      </c>
      <c r="M98" s="864"/>
      <c r="N98" s="191" t="s">
        <v>342</v>
      </c>
      <c r="O98" s="256">
        <f>O53</f>
        <v>1</v>
      </c>
      <c r="P98" s="27" t="s">
        <v>8</v>
      </c>
      <c r="V98" s="185"/>
    </row>
    <row r="99" spans="1:23" ht="18" hidden="1" customHeight="1">
      <c r="A99" s="184"/>
      <c r="B99" s="47" t="s">
        <v>394</v>
      </c>
      <c r="H99" s="14"/>
      <c r="I99" s="14"/>
      <c r="K99" s="14"/>
      <c r="L99" s="854" t="str">
        <f>J54</f>
        <v>0.2sFS5</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t="str">
        <f>D62</f>
        <v>GOSSEN</v>
      </c>
      <c r="I107" s="177" t="s">
        <v>127</v>
      </c>
      <c r="J107" s="1119">
        <f t="shared" si="1"/>
        <v>0.25</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1.3350224400000001</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1.3350224400000001</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1.3350224400000001</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532</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Core5</v>
      </c>
      <c r="C144" s="765"/>
      <c r="D144" s="870">
        <f>H98</f>
        <v>3150</v>
      </c>
      <c r="E144" s="870"/>
      <c r="F144" s="871">
        <f>O98</f>
        <v>1</v>
      </c>
      <c r="G144" s="961">
        <f>'CT-VT Burdens'!S21</f>
        <v>120</v>
      </c>
      <c r="H144" s="959">
        <f>'CT-VT Burdens'!S10</f>
        <v>6</v>
      </c>
      <c r="I144" s="874" t="str">
        <f>L99</f>
        <v>0.2sFS5</v>
      </c>
      <c r="J144" s="874"/>
      <c r="K144" s="869">
        <f>H12</f>
        <v>9</v>
      </c>
      <c r="L144" s="869"/>
      <c r="M144" s="869">
        <f>H14</f>
        <v>10</v>
      </c>
      <c r="N144" s="869"/>
      <c r="O144" s="870" t="s">
        <v>6</v>
      </c>
      <c r="P144" s="870"/>
      <c r="Q144" s="879" t="str">
        <f>CONCATENATE(T7," ",T8," ",T9," ",T10)</f>
        <v xml:space="preserve">XC-RACK GOSSEN  </v>
      </c>
      <c r="R144" s="879"/>
      <c r="S144" s="878" t="str">
        <f>J47</f>
        <v>Suitable Dimensions</v>
      </c>
      <c r="T144" s="878"/>
      <c r="U144" s="878"/>
      <c r="V144" s="878"/>
    </row>
    <row r="145" spans="1:22" ht="18" customHeight="1">
      <c r="A145" s="765"/>
      <c r="B145" s="765"/>
      <c r="C145" s="765"/>
      <c r="D145" s="870">
        <f>J98</f>
        <v>2000</v>
      </c>
      <c r="E145" s="870"/>
      <c r="F145" s="872"/>
      <c r="G145" s="961"/>
      <c r="H145" s="959"/>
      <c r="I145" s="874"/>
      <c r="J145" s="874"/>
      <c r="K145" s="869">
        <f>J55</f>
        <v>5</v>
      </c>
      <c r="L145" s="869"/>
      <c r="M145" s="869">
        <f>J57</f>
        <v>7.5</v>
      </c>
      <c r="N145" s="869"/>
      <c r="O145" s="870" t="s">
        <v>6</v>
      </c>
      <c r="P145" s="870"/>
      <c r="Q145" s="879"/>
      <c r="R145" s="879"/>
      <c r="S145" s="878" t="str">
        <f>J90</f>
        <v>Suitable Dimensions</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265"/>
      <c r="B177" s="239"/>
      <c r="C177" s="239"/>
      <c r="D177" s="239"/>
      <c r="E177" s="239"/>
      <c r="F177" s="239"/>
      <c r="G177" s="239"/>
      <c r="H177" s="239"/>
      <c r="I177" s="239"/>
      <c r="J177" s="93"/>
      <c r="K177" s="93"/>
      <c r="L177" s="239"/>
      <c r="M177" s="239"/>
      <c r="N177" s="239"/>
      <c r="O177" s="239"/>
      <c r="P177" s="239"/>
      <c r="Q177" s="239"/>
      <c r="R177" s="239"/>
      <c r="S177" s="239"/>
      <c r="T177" s="239"/>
      <c r="U177" s="103"/>
      <c r="V177" s="310"/>
    </row>
    <row r="178" spans="1:22" ht="18" customHeight="1">
      <c r="A178" s="184"/>
      <c r="V178" s="185"/>
    </row>
    <row r="179" spans="1:22" s="14" customFormat="1" ht="18" customHeight="1">
      <c r="A179" s="194"/>
      <c r="B179" s="195"/>
      <c r="C179" s="195"/>
      <c r="D179" s="195"/>
      <c r="E179" s="195"/>
      <c r="F179" s="195"/>
      <c r="G179" s="195"/>
      <c r="H179" s="195"/>
      <c r="I179" s="195"/>
      <c r="J179" s="195"/>
      <c r="K179" s="195"/>
      <c r="L179" s="195"/>
      <c r="M179" s="195"/>
      <c r="N179" s="195"/>
      <c r="O179" s="195"/>
      <c r="P179" s="195"/>
      <c r="Q179" s="224"/>
      <c r="R179" s="182"/>
      <c r="S179" s="225"/>
      <c r="T179" s="195"/>
      <c r="U179" s="195"/>
      <c r="V179" s="134"/>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146" priority="2" stopIfTrue="1" operator="equal">
      <formula>"Not suitable"</formula>
    </cfRule>
  </conditionalFormatting>
  <conditionalFormatting sqref="S43 S46 S86 S89 S125 S128">
    <cfRule type="cellIs" dxfId="145"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codeName="Sheet25">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593</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99" t="s">
        <v>108</v>
      </c>
      <c r="C7" s="1100"/>
      <c r="D7" s="1099" t="s">
        <v>113</v>
      </c>
      <c r="E7" s="1101"/>
      <c r="F7" s="255"/>
      <c r="H7" s="684" t="s">
        <v>704</v>
      </c>
      <c r="I7" s="684"/>
      <c r="J7" s="684"/>
      <c r="K7" s="684"/>
      <c r="L7" s="684"/>
      <c r="M7" s="684"/>
      <c r="P7" s="186"/>
      <c r="R7" s="255"/>
      <c r="S7" s="187" t="s">
        <v>387</v>
      </c>
      <c r="T7" s="1161" t="s">
        <v>705</v>
      </c>
      <c r="U7" s="1162"/>
      <c r="V7" s="185"/>
    </row>
    <row r="8" spans="1:24" ht="18" customHeight="1">
      <c r="A8" s="184"/>
      <c r="B8" s="1097"/>
      <c r="C8" s="1098"/>
      <c r="D8" s="1102"/>
      <c r="E8" s="1103"/>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2500</v>
      </c>
      <c r="I10" s="792"/>
      <c r="J10" s="781" t="s">
        <v>6</v>
      </c>
      <c r="K10" s="782"/>
      <c r="L10" s="781" t="s">
        <v>6</v>
      </c>
      <c r="M10" s="782"/>
      <c r="N10" s="191" t="s">
        <v>342</v>
      </c>
      <c r="O10" s="125">
        <v>1</v>
      </c>
      <c r="P10" s="27" t="s">
        <v>8</v>
      </c>
      <c r="T10" s="1216"/>
      <c r="U10" s="1247"/>
      <c r="V10" s="185"/>
    </row>
    <row r="11" spans="1:24" ht="18" customHeight="1">
      <c r="A11" s="184"/>
      <c r="B11" s="47" t="s">
        <v>394</v>
      </c>
      <c r="H11" s="781" t="s">
        <v>567</v>
      </c>
      <c r="I11" s="782"/>
      <c r="T11" s="1248"/>
      <c r="U11" s="1248"/>
      <c r="V11" s="185"/>
    </row>
    <row r="12" spans="1:24" ht="18" customHeight="1">
      <c r="A12" s="184"/>
      <c r="B12" s="47" t="s">
        <v>396</v>
      </c>
      <c r="G12" s="120" t="s">
        <v>497</v>
      </c>
      <c r="H12" s="781">
        <v>10</v>
      </c>
      <c r="I12" s="782"/>
      <c r="J12" s="192" t="s">
        <v>333</v>
      </c>
      <c r="T12" s="295"/>
      <c r="U12" s="18"/>
      <c r="V12" s="185"/>
    </row>
    <row r="13" spans="1:24" ht="18" customHeight="1">
      <c r="A13" s="184"/>
      <c r="B13" s="30" t="s">
        <v>568</v>
      </c>
      <c r="G13" s="120" t="s">
        <v>569</v>
      </c>
      <c r="H13" s="781">
        <v>5</v>
      </c>
      <c r="I13" s="782"/>
      <c r="T13" s="295"/>
      <c r="U13" s="18"/>
      <c r="V13" s="185"/>
      <c r="W13" s="30" t="str">
        <f>J47</f>
        <v>Suitable Dimensions</v>
      </c>
    </row>
    <row r="14" spans="1:24" ht="18" customHeight="1">
      <c r="A14" s="184"/>
      <c r="B14" s="47" t="s">
        <v>562</v>
      </c>
      <c r="G14" s="120" t="s">
        <v>493</v>
      </c>
      <c r="H14" s="781">
        <v>10</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EMH</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10</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10</v>
      </c>
      <c r="Q22" s="684"/>
      <c r="R22" s="27" t="s">
        <v>157</v>
      </c>
      <c r="S22" s="27"/>
      <c r="T22" s="27"/>
      <c r="V22" s="185"/>
    </row>
    <row r="23" spans="1:31" ht="18" customHeight="1">
      <c r="A23" s="184"/>
      <c r="B23" s="1" t="s">
        <v>413</v>
      </c>
      <c r="C23" s="2"/>
      <c r="D23" s="2"/>
      <c r="E23" s="2"/>
      <c r="F23" s="196"/>
      <c r="G23" s="196"/>
      <c r="H23" s="224" t="s">
        <v>512</v>
      </c>
      <c r="I23" s="183" t="s">
        <v>127</v>
      </c>
      <c r="J23" s="722">
        <f>SUM(J18:K22)</f>
        <v>1.0850224400000001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2500</v>
      </c>
      <c r="Q25" s="1251"/>
      <c r="R25" s="192" t="s">
        <v>8</v>
      </c>
      <c r="V25" s="185"/>
    </row>
    <row r="26" spans="1:31" ht="18" customHeight="1">
      <c r="A26" s="184"/>
      <c r="B26" s="47" t="s">
        <v>547</v>
      </c>
      <c r="C26" s="47"/>
      <c r="D26" s="47"/>
      <c r="E26" s="47"/>
      <c r="H26" s="27"/>
      <c r="I26" s="28"/>
      <c r="J26" s="199"/>
      <c r="L26" s="47"/>
      <c r="N26" s="120" t="s">
        <v>572</v>
      </c>
      <c r="O26" s="28" t="s">
        <v>127</v>
      </c>
      <c r="P26" s="1251">
        <f>H12</f>
        <v>10</v>
      </c>
      <c r="Q26" s="1251"/>
      <c r="R26" s="304" t="s">
        <v>157</v>
      </c>
      <c r="V26" s="185"/>
    </row>
    <row r="27" spans="1:31" ht="18" customHeight="1">
      <c r="A27" s="184"/>
      <c r="B27" s="47" t="s">
        <v>548</v>
      </c>
      <c r="C27" s="47"/>
      <c r="D27" s="47"/>
      <c r="E27" s="47"/>
      <c r="H27" s="27"/>
      <c r="I27" s="28"/>
      <c r="J27" s="199"/>
      <c r="L27" s="47"/>
      <c r="N27" s="120" t="s">
        <v>573</v>
      </c>
      <c r="O27" s="28" t="s">
        <v>127</v>
      </c>
      <c r="P27" s="1072">
        <f>J23</f>
        <v>1.0850224400000001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244" t="s">
        <v>575</v>
      </c>
      <c r="O29" s="28" t="s">
        <v>127</v>
      </c>
      <c r="P29" s="1251">
        <f>H13</f>
        <v>5</v>
      </c>
      <c r="Q29" s="1251"/>
      <c r="R29" s="192"/>
      <c r="V29" s="185"/>
    </row>
    <row r="30" spans="1:31" ht="18" customHeight="1">
      <c r="A30" s="184"/>
      <c r="B30" s="296" t="s">
        <v>576</v>
      </c>
      <c r="C30" s="47"/>
      <c r="D30" s="47"/>
      <c r="E30" s="47"/>
      <c r="H30" s="27"/>
      <c r="I30" s="28"/>
      <c r="J30" s="199"/>
      <c r="L30" s="47"/>
      <c r="O30" s="28" t="s">
        <v>127</v>
      </c>
      <c r="P30" s="1072">
        <v>20</v>
      </c>
      <c r="Q30" s="1072"/>
      <c r="R30" s="192"/>
      <c r="S30" s="14"/>
      <c r="V30" s="185"/>
    </row>
    <row r="31" spans="1:31" ht="18" customHeight="1">
      <c r="A31" s="184"/>
      <c r="B31" s="47" t="s">
        <v>578</v>
      </c>
      <c r="C31" s="47"/>
      <c r="D31" s="47"/>
      <c r="E31" s="47"/>
      <c r="H31" s="27"/>
      <c r="I31" s="28"/>
      <c r="J31" s="199"/>
      <c r="L31" s="47"/>
      <c r="O31" s="27"/>
      <c r="P31" s="211"/>
      <c r="Q31" s="211"/>
      <c r="R31" s="192"/>
      <c r="V31" s="185"/>
      <c r="Y31" s="30" t="s">
        <v>577</v>
      </c>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1.0850224400000001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301">
        <f>P22</f>
        <v>10</v>
      </c>
      <c r="M38" s="245" t="s">
        <v>347</v>
      </c>
      <c r="N38" s="242">
        <f>H14</f>
        <v>10</v>
      </c>
      <c r="O38" s="245" t="s">
        <v>539</v>
      </c>
      <c r="P38" s="301">
        <f>P22</f>
        <v>10</v>
      </c>
      <c r="Q38" s="245" t="s">
        <v>347</v>
      </c>
      <c r="R38" s="301">
        <f>J23</f>
        <v>1.0850224400000001</v>
      </c>
      <c r="S38" s="296" t="s">
        <v>350</v>
      </c>
      <c r="V38" s="185"/>
    </row>
    <row r="39" spans="1:22" ht="18" customHeight="1">
      <c r="A39" s="184"/>
      <c r="I39" s="27" t="s">
        <v>127</v>
      </c>
      <c r="J39" s="1111">
        <f>J38*((L38+N38)/(P38+R38))</f>
        <v>9.0211815574818086</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10</v>
      </c>
      <c r="H43" s="684"/>
      <c r="I43" s="27" t="str">
        <f>IF(G43&gt;J43,"&gt;","&lt;")</f>
        <v>&gt;</v>
      </c>
      <c r="J43" s="795">
        <f>J35</f>
        <v>1.0850224400000001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&gt;</v>
      </c>
      <c r="J46" s="795">
        <f>J39</f>
        <v>9.0211815574818086</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hidden="1"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hidden="1" customHeight="1">
      <c r="A50" s="184"/>
      <c r="B50" s="835" t="str">
        <f>B7</f>
        <v>T1</v>
      </c>
      <c r="C50" s="836"/>
      <c r="D50" s="1112" t="str">
        <f>D7</f>
        <v>Core4</v>
      </c>
      <c r="E50" s="1113"/>
      <c r="F50" s="255"/>
      <c r="H50" s="684" t="str">
        <f>H7</f>
        <v>(Main Tariff Meter)</v>
      </c>
      <c r="I50" s="684"/>
      <c r="J50" s="684"/>
      <c r="K50" s="684"/>
      <c r="L50" s="684"/>
      <c r="M50" s="684"/>
      <c r="P50" s="186"/>
      <c r="R50" s="255"/>
      <c r="S50" s="187" t="s">
        <v>387</v>
      </c>
      <c r="T50" s="1216" t="str">
        <f>T7</f>
        <v>EMH</v>
      </c>
      <c r="U50" s="1247"/>
      <c r="V50" s="185"/>
    </row>
    <row r="51" spans="1:23" ht="18" hidden="1" customHeight="1">
      <c r="A51" s="184"/>
      <c r="B51" s="1118">
        <f>B8</f>
        <v>0</v>
      </c>
      <c r="C51" s="1118"/>
      <c r="D51" s="1114"/>
      <c r="E51" s="1115"/>
      <c r="F51" s="255"/>
      <c r="T51" s="1216"/>
      <c r="U51" s="1247"/>
      <c r="V51" s="185"/>
    </row>
    <row r="52" spans="1:23" ht="18" hidden="1" customHeight="1">
      <c r="A52" s="184"/>
      <c r="H52" s="708" t="s">
        <v>390</v>
      </c>
      <c r="I52" s="708"/>
      <c r="J52" s="789" t="s">
        <v>391</v>
      </c>
      <c r="K52" s="789"/>
      <c r="L52" s="790" t="s">
        <v>392</v>
      </c>
      <c r="M52" s="790"/>
      <c r="T52" s="1216"/>
      <c r="U52" s="1247"/>
      <c r="V52" s="185"/>
    </row>
    <row r="53" spans="1:23" ht="18" hidden="1" customHeight="1">
      <c r="A53" s="184"/>
      <c r="B53" s="47" t="s">
        <v>393</v>
      </c>
      <c r="H53" s="835">
        <f>H10</f>
        <v>2500</v>
      </c>
      <c r="I53" s="836"/>
      <c r="J53" s="843" t="str">
        <f>J10</f>
        <v>-</v>
      </c>
      <c r="K53" s="844"/>
      <c r="L53" s="835" t="str">
        <f>L10</f>
        <v>-</v>
      </c>
      <c r="M53" s="836"/>
      <c r="N53" s="191" t="s">
        <v>342</v>
      </c>
      <c r="O53" s="488">
        <f>O10</f>
        <v>1</v>
      </c>
      <c r="P53" s="27" t="s">
        <v>8</v>
      </c>
      <c r="T53" s="1216"/>
      <c r="U53" s="1247"/>
      <c r="V53" s="185"/>
    </row>
    <row r="54" spans="1:23" ht="18" hidden="1" customHeight="1">
      <c r="A54" s="184"/>
      <c r="B54" s="47" t="s">
        <v>394</v>
      </c>
      <c r="H54" s="14"/>
      <c r="I54" s="14"/>
      <c r="J54" s="835" t="str">
        <f>H11</f>
        <v>0.2FS5</v>
      </c>
      <c r="K54" s="836"/>
      <c r="L54" s="14"/>
      <c r="M54" s="14"/>
      <c r="V54" s="185"/>
    </row>
    <row r="55" spans="1:23" ht="18" hidden="1" customHeight="1">
      <c r="A55" s="184"/>
      <c r="B55" s="47" t="s">
        <v>396</v>
      </c>
      <c r="I55" s="120" t="s">
        <v>497</v>
      </c>
      <c r="J55" s="781">
        <v>5</v>
      </c>
      <c r="K55" s="782"/>
      <c r="L55" s="192" t="s">
        <v>333</v>
      </c>
      <c r="T55" s="295"/>
      <c r="U55" s="18"/>
      <c r="V55" s="185"/>
    </row>
    <row r="56" spans="1:23" ht="18" hidden="1" customHeight="1">
      <c r="A56" s="184"/>
      <c r="B56" s="30" t="s">
        <v>568</v>
      </c>
      <c r="I56" s="120" t="s">
        <v>569</v>
      </c>
      <c r="J56" s="781">
        <v>10</v>
      </c>
      <c r="K56" s="782"/>
      <c r="T56" s="295"/>
      <c r="U56" s="18"/>
      <c r="V56" s="185"/>
      <c r="W56" s="30" t="str">
        <f>J90</f>
        <v>Suitable Dimensions</v>
      </c>
    </row>
    <row r="57" spans="1:23" ht="18" hidden="1" customHeight="1">
      <c r="A57" s="184"/>
      <c r="B57" s="47" t="s">
        <v>562</v>
      </c>
      <c r="I57" s="120" t="s">
        <v>493</v>
      </c>
      <c r="J57" s="781">
        <v>5</v>
      </c>
      <c r="K57" s="782"/>
      <c r="L57" s="14" t="s">
        <v>157</v>
      </c>
      <c r="T57" s="295"/>
      <c r="U57" s="18"/>
      <c r="V57" s="185"/>
    </row>
    <row r="58" spans="1:23" ht="18" hidden="1" customHeight="1">
      <c r="A58" s="184"/>
      <c r="V58" s="185"/>
    </row>
    <row r="59" spans="1:23" ht="18" hidden="1" customHeight="1">
      <c r="A59" s="193" t="s">
        <v>404</v>
      </c>
      <c r="V59" s="185"/>
    </row>
    <row r="60" spans="1:23" ht="18" hidden="1" customHeight="1">
      <c r="A60" s="184"/>
      <c r="V60" s="185"/>
    </row>
    <row r="61" spans="1:23" ht="18" hidden="1" customHeight="1">
      <c r="A61" s="184"/>
      <c r="B61" s="135" t="s">
        <v>405</v>
      </c>
      <c r="C61" s="273"/>
      <c r="D61" s="139" t="str">
        <f>D18</f>
        <v>EMH</v>
      </c>
      <c r="E61" s="227"/>
      <c r="F61" s="227"/>
      <c r="G61" s="227"/>
      <c r="H61" s="138"/>
      <c r="I61" s="260" t="s">
        <v>127</v>
      </c>
      <c r="J61" s="1213">
        <f t="shared" ref="J61:J66" si="0">J18</f>
        <v>8.0000000000000002E-3</v>
      </c>
      <c r="K61" s="1252"/>
      <c r="L61" s="3" t="s">
        <v>157</v>
      </c>
      <c r="N61" s="197" t="s">
        <v>510</v>
      </c>
      <c r="V61" s="185"/>
    </row>
    <row r="62" spans="1:23" ht="18" hidden="1" customHeight="1">
      <c r="A62" s="184"/>
      <c r="B62" s="96" t="s">
        <v>405</v>
      </c>
      <c r="D62" s="296">
        <f>D19</f>
        <v>0</v>
      </c>
      <c r="I62" s="177" t="s">
        <v>127</v>
      </c>
      <c r="J62" s="1119">
        <f t="shared" si="0"/>
        <v>0</v>
      </c>
      <c r="K62" s="989"/>
      <c r="L62" s="198" t="s">
        <v>157</v>
      </c>
      <c r="P62" s="244"/>
      <c r="V62" s="185"/>
    </row>
    <row r="63" spans="1:23" ht="18" hidden="1"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hidden="1"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hidden="1"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hidden="1" customHeight="1">
      <c r="A66" s="184"/>
      <c r="B66" s="1" t="s">
        <v>413</v>
      </c>
      <c r="C66" s="2"/>
      <c r="D66" s="2"/>
      <c r="E66" s="2"/>
      <c r="F66" s="196"/>
      <c r="G66" s="196"/>
      <c r="H66" s="224" t="s">
        <v>512</v>
      </c>
      <c r="I66" s="183" t="s">
        <v>127</v>
      </c>
      <c r="J66" s="722">
        <f t="shared" si="0"/>
        <v>1.0850224400000001</v>
      </c>
      <c r="K66" s="958"/>
      <c r="L66" s="3" t="s">
        <v>157</v>
      </c>
      <c r="O66" s="27"/>
      <c r="P66" s="211"/>
      <c r="Q66" s="211"/>
      <c r="R66" s="192"/>
      <c r="V66" s="185"/>
    </row>
    <row r="67" spans="1:22" ht="18" hidden="1" customHeight="1">
      <c r="A67" s="184"/>
      <c r="B67" s="47"/>
      <c r="C67" s="47"/>
      <c r="D67" s="47"/>
      <c r="E67" s="47"/>
      <c r="H67" s="27"/>
      <c r="I67" s="28"/>
      <c r="J67" s="218"/>
      <c r="K67" s="27"/>
      <c r="L67" s="47"/>
      <c r="O67" s="27"/>
      <c r="P67" s="211"/>
      <c r="Q67" s="211"/>
      <c r="R67" s="192"/>
      <c r="V67" s="185"/>
    </row>
    <row r="68" spans="1:22" ht="18" hidden="1" customHeight="1">
      <c r="A68" s="184"/>
      <c r="B68" s="47" t="s">
        <v>545</v>
      </c>
      <c r="C68" s="47"/>
      <c r="D68" s="47"/>
      <c r="E68" s="47"/>
      <c r="H68" s="27"/>
      <c r="I68" s="28"/>
      <c r="J68" s="199"/>
      <c r="L68" s="47"/>
      <c r="N68" s="120" t="s">
        <v>423</v>
      </c>
      <c r="O68" s="28" t="s">
        <v>127</v>
      </c>
      <c r="P68" s="1251" t="str">
        <f>J53</f>
        <v>-</v>
      </c>
      <c r="Q68" s="1251"/>
      <c r="R68" s="192" t="s">
        <v>8</v>
      </c>
      <c r="V68" s="185"/>
    </row>
    <row r="69" spans="1:22" ht="18" hidden="1" customHeight="1">
      <c r="A69" s="184"/>
      <c r="B69" s="47" t="s">
        <v>547</v>
      </c>
      <c r="C69" s="47"/>
      <c r="D69" s="47"/>
      <c r="E69" s="47"/>
      <c r="H69" s="27"/>
      <c r="I69" s="28"/>
      <c r="J69" s="199"/>
      <c r="L69" s="47"/>
      <c r="N69" s="120" t="s">
        <v>572</v>
      </c>
      <c r="O69" s="28" t="s">
        <v>127</v>
      </c>
      <c r="P69" s="1251">
        <f>J55</f>
        <v>5</v>
      </c>
      <c r="Q69" s="1251"/>
      <c r="R69" s="304" t="s">
        <v>157</v>
      </c>
      <c r="V69" s="185"/>
    </row>
    <row r="70" spans="1:22" ht="18" hidden="1" customHeight="1">
      <c r="A70" s="184"/>
      <c r="B70" s="47" t="s">
        <v>548</v>
      </c>
      <c r="C70" s="47"/>
      <c r="D70" s="47"/>
      <c r="E70" s="47"/>
      <c r="H70" s="27"/>
      <c r="I70" s="28"/>
      <c r="J70" s="199"/>
      <c r="L70" s="47"/>
      <c r="N70" s="120" t="s">
        <v>573</v>
      </c>
      <c r="O70" s="28" t="s">
        <v>127</v>
      </c>
      <c r="P70" s="1072">
        <f>J66</f>
        <v>1.0850224400000001</v>
      </c>
      <c r="Q70" s="1251"/>
      <c r="R70" s="304" t="s">
        <v>157</v>
      </c>
      <c r="V70" s="185"/>
    </row>
    <row r="71" spans="1:22" ht="18" hidden="1" customHeight="1">
      <c r="A71" s="184"/>
      <c r="B71" s="47" t="s">
        <v>549</v>
      </c>
      <c r="C71" s="47"/>
      <c r="D71" s="47"/>
      <c r="E71" s="47"/>
      <c r="H71" s="27"/>
      <c r="I71" s="28"/>
      <c r="J71" s="199"/>
      <c r="L71" s="47"/>
      <c r="N71" s="120" t="s">
        <v>511</v>
      </c>
      <c r="O71" s="28" t="s">
        <v>127</v>
      </c>
      <c r="P71" s="1251">
        <f>O53</f>
        <v>1</v>
      </c>
      <c r="Q71" s="1251"/>
      <c r="R71" s="192" t="s">
        <v>8</v>
      </c>
      <c r="V71" s="185"/>
    </row>
    <row r="72" spans="1:22" ht="18" hidden="1" customHeight="1">
      <c r="A72" s="184"/>
      <c r="B72" s="47" t="s">
        <v>574</v>
      </c>
      <c r="C72" s="47"/>
      <c r="D72" s="47"/>
      <c r="E72" s="47"/>
      <c r="H72" s="27"/>
      <c r="I72" s="28"/>
      <c r="J72" s="199"/>
      <c r="L72" s="47"/>
      <c r="N72" s="120" t="s">
        <v>495</v>
      </c>
      <c r="O72" s="28" t="s">
        <v>127</v>
      </c>
      <c r="P72" s="1251">
        <v>10</v>
      </c>
      <c r="Q72" s="1251"/>
      <c r="R72" s="192"/>
      <c r="V72" s="185"/>
    </row>
    <row r="73" spans="1:22" ht="18" hidden="1" customHeight="1">
      <c r="A73" s="184"/>
      <c r="B73" s="47" t="s">
        <v>577</v>
      </c>
      <c r="C73" s="47"/>
      <c r="D73" s="47"/>
      <c r="E73" s="47"/>
      <c r="H73" s="27"/>
      <c r="I73" s="28"/>
      <c r="J73" s="199"/>
      <c r="L73" s="47"/>
      <c r="O73" s="28" t="s">
        <v>127</v>
      </c>
      <c r="P73" s="1072">
        <v>20</v>
      </c>
      <c r="Q73" s="1072"/>
      <c r="R73" s="192" t="s">
        <v>129</v>
      </c>
      <c r="S73" s="14" t="s">
        <v>170</v>
      </c>
      <c r="V73" s="185"/>
    </row>
    <row r="74" spans="1:22" ht="18" hidden="1"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hidden="1" customHeight="1">
      <c r="A77" s="184"/>
      <c r="B77" s="47"/>
      <c r="C77" s="47" t="s">
        <v>581</v>
      </c>
      <c r="D77" s="47"/>
      <c r="E77" s="47"/>
      <c r="H77" s="27"/>
      <c r="I77" s="28" t="s">
        <v>127</v>
      </c>
      <c r="J77" s="281" t="s">
        <v>582</v>
      </c>
      <c r="L77" s="47"/>
      <c r="O77" s="27"/>
      <c r="P77" s="28" t="s">
        <v>347</v>
      </c>
      <c r="Q77" s="14" t="s">
        <v>583</v>
      </c>
      <c r="R77" s="192"/>
      <c r="V77" s="185"/>
    </row>
    <row r="78" spans="1:22" ht="18" hidden="1" customHeight="1">
      <c r="A78" s="184"/>
      <c r="I78" s="28" t="s">
        <v>127</v>
      </c>
      <c r="J78" s="795">
        <f>J66</f>
        <v>1.0850224400000001</v>
      </c>
      <c r="K78" s="684"/>
      <c r="L78" s="28"/>
      <c r="M78" s="795"/>
      <c r="N78" s="684"/>
      <c r="V78" s="185"/>
    </row>
    <row r="79" spans="1:22" ht="18" hidden="1" customHeight="1">
      <c r="A79" s="184"/>
      <c r="I79" s="28"/>
      <c r="J79" s="204"/>
      <c r="V79" s="185"/>
    </row>
    <row r="80" spans="1:22" ht="18" hidden="1"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hidden="1" customHeight="1">
      <c r="A81" s="184"/>
      <c r="I81" s="27" t="s">
        <v>127</v>
      </c>
      <c r="J81" s="245">
        <f>J56</f>
        <v>10</v>
      </c>
      <c r="K81" s="245" t="s">
        <v>554</v>
      </c>
      <c r="L81" s="301">
        <f>P65</f>
        <v>5</v>
      </c>
      <c r="M81" s="245" t="s">
        <v>347</v>
      </c>
      <c r="N81" s="242">
        <f>J57</f>
        <v>5</v>
      </c>
      <c r="O81" s="245" t="s">
        <v>539</v>
      </c>
      <c r="P81" s="301">
        <f>P65</f>
        <v>5</v>
      </c>
      <c r="Q81" s="245" t="s">
        <v>347</v>
      </c>
      <c r="R81" s="301">
        <f>J66</f>
        <v>1.0850224400000001</v>
      </c>
      <c r="S81" s="296" t="s">
        <v>350</v>
      </c>
      <c r="V81" s="185"/>
    </row>
    <row r="82" spans="1:22" ht="18" hidden="1" customHeight="1">
      <c r="A82" s="184"/>
      <c r="I82" s="27" t="s">
        <v>127</v>
      </c>
      <c r="J82" s="1111">
        <f>J81*((L81+N81)/(P81+R81))</f>
        <v>16.433793134869688</v>
      </c>
      <c r="K82" s="1111"/>
      <c r="L82" s="242"/>
      <c r="M82" s="242"/>
      <c r="N82" s="242"/>
      <c r="O82" s="242"/>
      <c r="P82" s="242"/>
      <c r="Q82" s="242"/>
      <c r="R82" s="242"/>
      <c r="V82" s="185"/>
    </row>
    <row r="83" spans="1:22" ht="18" hidden="1" customHeight="1">
      <c r="A83" s="184"/>
      <c r="I83" s="28"/>
      <c r="J83" s="211"/>
      <c r="K83" s="27"/>
      <c r="V83" s="185"/>
    </row>
    <row r="84" spans="1:22" ht="18" hidden="1" customHeight="1">
      <c r="A84" s="96" t="s">
        <v>584</v>
      </c>
      <c r="I84" s="28"/>
      <c r="J84" s="211"/>
      <c r="K84" s="27"/>
      <c r="V84" s="185"/>
    </row>
    <row r="85" spans="1:22" ht="18" hidden="1" customHeight="1">
      <c r="A85" s="184"/>
      <c r="B85" s="28">
        <v>1</v>
      </c>
      <c r="D85" s="14"/>
      <c r="H85" s="120" t="s">
        <v>492</v>
      </c>
      <c r="I85" s="28" t="s">
        <v>476</v>
      </c>
      <c r="J85" s="47" t="s">
        <v>104</v>
      </c>
      <c r="S85" s="14" t="s">
        <v>585</v>
      </c>
      <c r="V85" s="185"/>
    </row>
    <row r="86" spans="1:22" ht="18" hidden="1" customHeight="1">
      <c r="A86" s="184"/>
      <c r="G86" s="684">
        <f>J57</f>
        <v>5</v>
      </c>
      <c r="H86" s="684"/>
      <c r="I86" s="27" t="str">
        <f>IF(G86&gt;J86,"&gt;","&lt;")</f>
        <v>&gt;</v>
      </c>
      <c r="J86" s="795">
        <f>J78</f>
        <v>1.0850224400000001</v>
      </c>
      <c r="K86" s="684"/>
      <c r="S86" s="186" t="str">
        <f>IF(G86&gt;J86,"Satisfied","Not satisfied")</f>
        <v>Satisfied</v>
      </c>
      <c r="V86" s="185"/>
    </row>
    <row r="87" spans="1:22" ht="18" hidden="1" customHeight="1">
      <c r="A87" s="184"/>
      <c r="D87" s="14"/>
      <c r="H87" s="120"/>
      <c r="I87" s="27"/>
      <c r="R87" s="14"/>
      <c r="V87" s="185"/>
    </row>
    <row r="88" spans="1:22" ht="18" hidden="1" customHeight="1">
      <c r="A88" s="184"/>
      <c r="B88" s="28">
        <v>2</v>
      </c>
      <c r="D88" s="14"/>
      <c r="H88" s="244" t="s">
        <v>586</v>
      </c>
      <c r="I88" s="28" t="s">
        <v>476</v>
      </c>
      <c r="J88" s="14" t="s">
        <v>105</v>
      </c>
      <c r="K88" s="14"/>
      <c r="S88" s="14" t="s">
        <v>587</v>
      </c>
      <c r="V88" s="185"/>
    </row>
    <row r="89" spans="1:22" ht="18" hidden="1" customHeight="1">
      <c r="A89" s="184"/>
      <c r="D89" s="14"/>
      <c r="G89" s="795">
        <f>P73</f>
        <v>20</v>
      </c>
      <c r="H89" s="795"/>
      <c r="I89" s="27" t="str">
        <f>IF(G89&gt;J89,"&gt;","&lt;")</f>
        <v>&gt;</v>
      </c>
      <c r="J89" s="795">
        <f>J82</f>
        <v>16.433793134869688</v>
      </c>
      <c r="K89" s="795"/>
      <c r="R89" s="14"/>
      <c r="S89" s="186" t="str">
        <f>IF(G89&gt;J89,"Satisfied","Not satisfied")</f>
        <v>Satisfied</v>
      </c>
      <c r="V89" s="185"/>
    </row>
    <row r="90" spans="1:22" ht="18" hidden="1"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Core4</v>
      </c>
      <c r="E95" s="856"/>
      <c r="F95" s="255"/>
      <c r="H95" s="684" t="str">
        <f>H50</f>
        <v>(Main Tariff Meter)</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2500</v>
      </c>
      <c r="I98" s="831"/>
      <c r="J98" s="854" t="str">
        <f>J53</f>
        <v>-</v>
      </c>
      <c r="K98" s="831"/>
      <c r="L98" s="863" t="str">
        <f>L53</f>
        <v>-</v>
      </c>
      <c r="M98" s="864"/>
      <c r="N98" s="191" t="s">
        <v>342</v>
      </c>
      <c r="O98" s="256">
        <f>O53</f>
        <v>1</v>
      </c>
      <c r="P98" s="27" t="s">
        <v>8</v>
      </c>
      <c r="V98" s="185"/>
    </row>
    <row r="99" spans="1:23" ht="18" hidden="1" customHeight="1">
      <c r="A99" s="184"/>
      <c r="B99" s="47" t="s">
        <v>394</v>
      </c>
      <c r="H99" s="14"/>
      <c r="I99" s="14"/>
      <c r="K99" s="14"/>
      <c r="L99" s="854" t="str">
        <f>J54</f>
        <v>0.2FS5</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EMH</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f>D62</f>
        <v>0</v>
      </c>
      <c r="I107" s="177" t="s">
        <v>127</v>
      </c>
      <c r="J107" s="1119">
        <f t="shared" si="1"/>
        <v>0</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1.0850224400000001</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1.0850224400000001</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1.0850224400000001</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532</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Core4</v>
      </c>
      <c r="C144" s="765"/>
      <c r="D144" s="870">
        <f>H98</f>
        <v>2500</v>
      </c>
      <c r="E144" s="870"/>
      <c r="F144" s="871">
        <f>O98</f>
        <v>1</v>
      </c>
      <c r="G144" s="961">
        <f>'CT-VT Burdens'!S21</f>
        <v>120</v>
      </c>
      <c r="H144" s="959">
        <f>'CT-VT Burdens'!S10</f>
        <v>6</v>
      </c>
      <c r="I144" s="874" t="str">
        <f>L99</f>
        <v>0.2FS5</v>
      </c>
      <c r="J144" s="874"/>
      <c r="K144" s="869">
        <f>H12</f>
        <v>10</v>
      </c>
      <c r="L144" s="869"/>
      <c r="M144" s="869">
        <f>H14</f>
        <v>10</v>
      </c>
      <c r="N144" s="869"/>
      <c r="O144" s="870" t="s">
        <v>6</v>
      </c>
      <c r="P144" s="870"/>
      <c r="Q144" s="879" t="str">
        <f>CONCATENATE(T7," ",T8," ",T9," ",T10)</f>
        <v xml:space="preserve">EMH   </v>
      </c>
      <c r="R144" s="879"/>
      <c r="S144" s="878" t="str">
        <f>J47</f>
        <v>Suitable Dimensions</v>
      </c>
      <c r="T144" s="878"/>
      <c r="U144" s="878"/>
      <c r="V144" s="878"/>
    </row>
    <row r="145" spans="1:22" ht="18" customHeight="1">
      <c r="A145" s="765"/>
      <c r="B145" s="765"/>
      <c r="C145" s="765"/>
      <c r="D145" s="870" t="str">
        <f>J98</f>
        <v>-</v>
      </c>
      <c r="E145" s="870"/>
      <c r="F145" s="872"/>
      <c r="G145" s="961"/>
      <c r="H145" s="959"/>
      <c r="I145" s="874"/>
      <c r="J145" s="874"/>
      <c r="K145" s="875" t="s">
        <v>6</v>
      </c>
      <c r="L145" s="869"/>
      <c r="M145" s="875" t="s">
        <v>6</v>
      </c>
      <c r="N145" s="869"/>
      <c r="O145" s="870" t="s">
        <v>6</v>
      </c>
      <c r="P145" s="870"/>
      <c r="Q145" s="879"/>
      <c r="R145" s="879"/>
      <c r="S145" s="877" t="s">
        <v>6</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184"/>
      <c r="V177" s="185"/>
    </row>
    <row r="178" spans="1:22" s="14" customFormat="1" ht="18" customHeight="1">
      <c r="A178" s="194"/>
      <c r="B178" s="195"/>
      <c r="C178" s="195"/>
      <c r="D178" s="195"/>
      <c r="E178" s="195"/>
      <c r="F178" s="195"/>
      <c r="G178" s="195"/>
      <c r="H178" s="195"/>
      <c r="I178" s="195"/>
      <c r="J178" s="195"/>
      <c r="K178" s="195"/>
      <c r="L178" s="195"/>
      <c r="M178" s="195"/>
      <c r="N178" s="195"/>
      <c r="O178" s="195"/>
      <c r="P178" s="195"/>
      <c r="Q178" s="224"/>
      <c r="R178" s="182"/>
      <c r="S178" s="225"/>
      <c r="T178" s="195"/>
      <c r="U178" s="195"/>
      <c r="V178" s="134"/>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44" priority="2" stopIfTrue="1" operator="equal">
      <formula>"Not suitable"</formula>
    </cfRule>
  </conditionalFormatting>
  <conditionalFormatting sqref="S43 S46 S86 S89 S125 S128">
    <cfRule type="cellIs" dxfId="1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codeName="Sheet26">
    <tabColor indexed="45"/>
  </sheetPr>
  <dimension ref="A1:AE178"/>
  <sheetViews>
    <sheetView showZeros="0" view="pageBreakPreview" topLeftCell="A31"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593</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99" t="s">
        <v>108</v>
      </c>
      <c r="C7" s="1100"/>
      <c r="D7" s="1099" t="s">
        <v>112</v>
      </c>
      <c r="E7" s="1101"/>
      <c r="F7" s="255"/>
      <c r="H7" s="684" t="s">
        <v>706</v>
      </c>
      <c r="I7" s="684"/>
      <c r="J7" s="684"/>
      <c r="K7" s="684"/>
      <c r="L7" s="684"/>
      <c r="M7" s="684"/>
      <c r="P7" s="186"/>
      <c r="R7" s="255"/>
      <c r="S7" s="187" t="s">
        <v>387</v>
      </c>
      <c r="T7" s="1216" t="s">
        <v>244</v>
      </c>
      <c r="U7" s="1247"/>
      <c r="V7" s="185"/>
    </row>
    <row r="8" spans="1:24" ht="18" customHeight="1">
      <c r="A8" s="184"/>
      <c r="B8" s="1097"/>
      <c r="C8" s="1098"/>
      <c r="D8" s="1102"/>
      <c r="E8" s="1103"/>
      <c r="F8" s="255"/>
      <c r="T8" s="1216" t="s">
        <v>566</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2500</v>
      </c>
      <c r="I10" s="792"/>
      <c r="J10" s="781" t="s">
        <v>6</v>
      </c>
      <c r="K10" s="782"/>
      <c r="L10" s="781" t="s">
        <v>6</v>
      </c>
      <c r="M10" s="782"/>
      <c r="N10" s="191" t="s">
        <v>342</v>
      </c>
      <c r="O10" s="125">
        <v>1</v>
      </c>
      <c r="P10" s="27" t="s">
        <v>8</v>
      </c>
      <c r="T10" s="1216"/>
      <c r="U10" s="1247"/>
      <c r="V10" s="185"/>
    </row>
    <row r="11" spans="1:24" ht="18" customHeight="1">
      <c r="A11" s="184"/>
      <c r="B11" s="47" t="s">
        <v>394</v>
      </c>
      <c r="H11" s="781" t="s">
        <v>567</v>
      </c>
      <c r="I11" s="782"/>
      <c r="T11" s="1248"/>
      <c r="U11" s="1248"/>
      <c r="V11" s="185"/>
    </row>
    <row r="12" spans="1:24" ht="18" customHeight="1">
      <c r="A12" s="184"/>
      <c r="B12" s="47" t="s">
        <v>396</v>
      </c>
      <c r="G12" s="120" t="s">
        <v>497</v>
      </c>
      <c r="H12" s="781">
        <v>10</v>
      </c>
      <c r="I12" s="782"/>
      <c r="J12" s="192" t="s">
        <v>333</v>
      </c>
      <c r="T12" s="295"/>
      <c r="U12" s="18"/>
      <c r="V12" s="185"/>
    </row>
    <row r="13" spans="1:24" ht="18" customHeight="1">
      <c r="A13" s="184"/>
      <c r="B13" s="30" t="s">
        <v>568</v>
      </c>
      <c r="G13" s="120" t="s">
        <v>569</v>
      </c>
      <c r="H13" s="781">
        <v>5</v>
      </c>
      <c r="I13" s="782"/>
      <c r="T13" s="295"/>
      <c r="U13" s="18"/>
      <c r="V13" s="185"/>
      <c r="W13" s="30" t="str">
        <f>J47</f>
        <v>Suitable Dimensions</v>
      </c>
    </row>
    <row r="14" spans="1:24" ht="18" customHeight="1">
      <c r="A14" s="184"/>
      <c r="B14" s="47" t="s">
        <v>562</v>
      </c>
      <c r="G14" s="120" t="s">
        <v>493</v>
      </c>
      <c r="H14" s="781">
        <v>10</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t="str">
        <f>T8</f>
        <v>POINTER</v>
      </c>
      <c r="I19" s="177" t="s">
        <v>127</v>
      </c>
      <c r="J19" s="1106">
        <f>'CT-VT Burdens'!Q158</f>
        <v>1.25</v>
      </c>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10</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10</v>
      </c>
      <c r="Q22" s="684"/>
      <c r="R22" s="27" t="s">
        <v>157</v>
      </c>
      <c r="S22" s="27"/>
      <c r="T22" s="27"/>
      <c r="V22" s="185"/>
    </row>
    <row r="23" spans="1:31" ht="18" customHeight="1">
      <c r="A23" s="184"/>
      <c r="B23" s="1" t="s">
        <v>413</v>
      </c>
      <c r="C23" s="2"/>
      <c r="D23" s="2"/>
      <c r="E23" s="2"/>
      <c r="F23" s="196"/>
      <c r="G23" s="196"/>
      <c r="H23" s="224" t="s">
        <v>512</v>
      </c>
      <c r="I23" s="183" t="s">
        <v>127</v>
      </c>
      <c r="J23" s="722">
        <f>SUM(J18:K22)</f>
        <v>2.3350224400000004</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2500</v>
      </c>
      <c r="Q25" s="1251"/>
      <c r="R25" s="192" t="s">
        <v>8</v>
      </c>
      <c r="V25" s="185"/>
    </row>
    <row r="26" spans="1:31" ht="18" customHeight="1">
      <c r="A26" s="184"/>
      <c r="B26" s="47" t="s">
        <v>547</v>
      </c>
      <c r="C26" s="47"/>
      <c r="D26" s="47"/>
      <c r="E26" s="47"/>
      <c r="H26" s="27"/>
      <c r="I26" s="28"/>
      <c r="J26" s="199"/>
      <c r="L26" s="47"/>
      <c r="N26" s="120" t="s">
        <v>572</v>
      </c>
      <c r="O26" s="28" t="s">
        <v>127</v>
      </c>
      <c r="P26" s="1251">
        <f>H12</f>
        <v>10</v>
      </c>
      <c r="Q26" s="1251"/>
      <c r="R26" s="304" t="s">
        <v>157</v>
      </c>
      <c r="V26" s="185"/>
    </row>
    <row r="27" spans="1:31" ht="18" customHeight="1">
      <c r="A27" s="184"/>
      <c r="B27" s="47" t="s">
        <v>548</v>
      </c>
      <c r="C27" s="47"/>
      <c r="D27" s="47"/>
      <c r="E27" s="47"/>
      <c r="H27" s="27"/>
      <c r="I27" s="28"/>
      <c r="J27" s="199"/>
      <c r="L27" s="47"/>
      <c r="N27" s="120" t="s">
        <v>573</v>
      </c>
      <c r="O27" s="28" t="s">
        <v>127</v>
      </c>
      <c r="P27" s="1072">
        <f>J23</f>
        <v>2.3350224400000004</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f>H13</f>
        <v>5</v>
      </c>
      <c r="Q29" s="1251"/>
      <c r="R29" s="192"/>
      <c r="V29" s="185"/>
    </row>
    <row r="30" spans="1:31" ht="18" customHeight="1">
      <c r="A30" s="184"/>
      <c r="B30" s="296" t="s">
        <v>576</v>
      </c>
      <c r="C30" s="47"/>
      <c r="D30" s="47"/>
      <c r="E30" s="47"/>
      <c r="H30" s="27"/>
      <c r="I30" s="28"/>
      <c r="J30" s="199"/>
      <c r="L30" s="47"/>
      <c r="O30" s="28" t="s">
        <v>127</v>
      </c>
      <c r="P30" s="1072">
        <v>20</v>
      </c>
      <c r="Q30" s="1072"/>
      <c r="R30" s="192"/>
      <c r="S30" s="14"/>
      <c r="V30" s="185"/>
      <c r="Y30" s="30" t="s">
        <v>577</v>
      </c>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2.3350224400000004</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460">
        <f>P22</f>
        <v>10</v>
      </c>
      <c r="M38" s="245" t="s">
        <v>347</v>
      </c>
      <c r="N38" s="460">
        <f>H14</f>
        <v>10</v>
      </c>
      <c r="O38" s="245" t="s">
        <v>539</v>
      </c>
      <c r="P38" s="460">
        <f>P22</f>
        <v>10</v>
      </c>
      <c r="Q38" s="245" t="s">
        <v>347</v>
      </c>
      <c r="R38" s="301">
        <f>J23</f>
        <v>2.3350224400000004</v>
      </c>
      <c r="S38" s="296" t="s">
        <v>350</v>
      </c>
      <c r="V38" s="185"/>
    </row>
    <row r="39" spans="1:22" ht="18" customHeight="1">
      <c r="A39" s="184"/>
      <c r="I39" s="27" t="s">
        <v>127</v>
      </c>
      <c r="J39" s="1111">
        <f>J38*((L38+N38)/(P38+R38))</f>
        <v>8.1069978175086312</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10</v>
      </c>
      <c r="H43" s="684"/>
      <c r="I43" s="27" t="str">
        <f>IF(G43&gt;J43,"&gt;","&lt;")</f>
        <v>&gt;</v>
      </c>
      <c r="J43" s="795">
        <f>J35</f>
        <v>2.3350224400000004</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&gt;</v>
      </c>
      <c r="J46" s="795">
        <f>J39</f>
        <v>8.1069978175086312</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hidden="1"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hidden="1" customHeight="1">
      <c r="A50" s="184"/>
      <c r="B50" s="835" t="str">
        <f>B7</f>
        <v>T1</v>
      </c>
      <c r="C50" s="836"/>
      <c r="D50" s="1112" t="str">
        <f>D7</f>
        <v>Core5</v>
      </c>
      <c r="E50" s="1113"/>
      <c r="F50" s="255"/>
      <c r="H50" s="684" t="str">
        <f>H7</f>
        <v>(Check Tariff Meter + Ammeters)</v>
      </c>
      <c r="I50" s="684"/>
      <c r="J50" s="684"/>
      <c r="K50" s="684"/>
      <c r="L50" s="684"/>
      <c r="M50" s="684"/>
      <c r="P50" s="186"/>
      <c r="R50" s="255"/>
      <c r="S50" s="187" t="s">
        <v>387</v>
      </c>
      <c r="T50" s="1216" t="str">
        <f>T7</f>
        <v>XC-RACK</v>
      </c>
      <c r="U50" s="1247"/>
      <c r="V50" s="185"/>
    </row>
    <row r="51" spans="1:23" ht="18" hidden="1" customHeight="1">
      <c r="A51" s="184"/>
      <c r="B51" s="1118">
        <f>B8</f>
        <v>0</v>
      </c>
      <c r="C51" s="1118"/>
      <c r="D51" s="1114"/>
      <c r="E51" s="1115"/>
      <c r="F51" s="255"/>
      <c r="T51" s="1216"/>
      <c r="U51" s="1247"/>
      <c r="V51" s="185"/>
    </row>
    <row r="52" spans="1:23" ht="18" hidden="1" customHeight="1">
      <c r="A52" s="184"/>
      <c r="H52" s="708" t="s">
        <v>390</v>
      </c>
      <c r="I52" s="708"/>
      <c r="J52" s="789" t="s">
        <v>391</v>
      </c>
      <c r="K52" s="789"/>
      <c r="L52" s="790" t="s">
        <v>392</v>
      </c>
      <c r="M52" s="790"/>
      <c r="T52" s="1216"/>
      <c r="U52" s="1247"/>
      <c r="V52" s="185"/>
    </row>
    <row r="53" spans="1:23" ht="18" hidden="1" customHeight="1">
      <c r="A53" s="184"/>
      <c r="B53" s="47" t="s">
        <v>393</v>
      </c>
      <c r="H53" s="835">
        <f>H10</f>
        <v>2500</v>
      </c>
      <c r="I53" s="836"/>
      <c r="J53" s="843" t="str">
        <f>J10</f>
        <v>-</v>
      </c>
      <c r="K53" s="844"/>
      <c r="L53" s="835" t="str">
        <f>L10</f>
        <v>-</v>
      </c>
      <c r="M53" s="836"/>
      <c r="N53" s="191" t="s">
        <v>342</v>
      </c>
      <c r="O53" s="488">
        <f>O10</f>
        <v>1</v>
      </c>
      <c r="P53" s="27" t="s">
        <v>8</v>
      </c>
      <c r="T53" s="1216"/>
      <c r="U53" s="1247"/>
      <c r="V53" s="185"/>
    </row>
    <row r="54" spans="1:23" ht="18" hidden="1" customHeight="1">
      <c r="A54" s="184"/>
      <c r="B54" s="47" t="s">
        <v>394</v>
      </c>
      <c r="H54" s="14"/>
      <c r="I54" s="14"/>
      <c r="J54" s="835" t="str">
        <f>H11</f>
        <v>0.2FS5</v>
      </c>
      <c r="K54" s="836"/>
      <c r="L54" s="14"/>
      <c r="M54" s="14"/>
      <c r="V54" s="185"/>
    </row>
    <row r="55" spans="1:23" ht="18" hidden="1" customHeight="1">
      <c r="A55" s="184"/>
      <c r="B55" s="47" t="s">
        <v>396</v>
      </c>
      <c r="I55" s="120" t="s">
        <v>497</v>
      </c>
      <c r="J55" s="781">
        <v>5</v>
      </c>
      <c r="K55" s="782"/>
      <c r="L55" s="192" t="s">
        <v>333</v>
      </c>
      <c r="T55" s="295"/>
      <c r="U55" s="18"/>
      <c r="V55" s="185"/>
    </row>
    <row r="56" spans="1:23" ht="18" hidden="1" customHeight="1">
      <c r="A56" s="184"/>
      <c r="B56" s="30" t="s">
        <v>568</v>
      </c>
      <c r="I56" s="120" t="s">
        <v>569</v>
      </c>
      <c r="J56" s="781">
        <v>10</v>
      </c>
      <c r="K56" s="782"/>
      <c r="T56" s="295"/>
      <c r="U56" s="18"/>
      <c r="V56" s="185"/>
      <c r="W56" s="30" t="str">
        <f>J90</f>
        <v>Suitable Dimensions</v>
      </c>
    </row>
    <row r="57" spans="1:23" ht="18" hidden="1" customHeight="1">
      <c r="A57" s="184"/>
      <c r="B57" s="47" t="s">
        <v>562</v>
      </c>
      <c r="I57" s="120" t="s">
        <v>493</v>
      </c>
      <c r="J57" s="781">
        <v>5</v>
      </c>
      <c r="K57" s="782"/>
      <c r="L57" s="14" t="s">
        <v>157</v>
      </c>
      <c r="T57" s="295"/>
      <c r="U57" s="18"/>
      <c r="V57" s="185"/>
    </row>
    <row r="58" spans="1:23" ht="18" hidden="1" customHeight="1">
      <c r="A58" s="184"/>
      <c r="V58" s="185"/>
    </row>
    <row r="59" spans="1:23" ht="18" hidden="1" customHeight="1">
      <c r="A59" s="193" t="s">
        <v>404</v>
      </c>
      <c r="V59" s="185"/>
    </row>
    <row r="60" spans="1:23" ht="18" hidden="1" customHeight="1">
      <c r="A60" s="184"/>
      <c r="V60" s="185"/>
    </row>
    <row r="61" spans="1:23" ht="18" hidden="1"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hidden="1" customHeight="1">
      <c r="A62" s="184"/>
      <c r="B62" s="96" t="s">
        <v>405</v>
      </c>
      <c r="D62" s="296" t="str">
        <f>D19</f>
        <v>POINTER</v>
      </c>
      <c r="I62" s="177" t="s">
        <v>127</v>
      </c>
      <c r="J62" s="1119">
        <f t="shared" si="0"/>
        <v>1.25</v>
      </c>
      <c r="K62" s="989"/>
      <c r="L62" s="198" t="s">
        <v>157</v>
      </c>
      <c r="P62" s="244"/>
      <c r="V62" s="185"/>
    </row>
    <row r="63" spans="1:23" ht="18" hidden="1"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hidden="1"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hidden="1"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hidden="1" customHeight="1">
      <c r="A66" s="184"/>
      <c r="B66" s="1" t="s">
        <v>413</v>
      </c>
      <c r="C66" s="2"/>
      <c r="D66" s="2"/>
      <c r="E66" s="2"/>
      <c r="F66" s="196"/>
      <c r="G66" s="196"/>
      <c r="H66" s="224" t="s">
        <v>512</v>
      </c>
      <c r="I66" s="183" t="s">
        <v>127</v>
      </c>
      <c r="J66" s="722">
        <f t="shared" si="0"/>
        <v>2.3350224400000004</v>
      </c>
      <c r="K66" s="958"/>
      <c r="L66" s="3" t="s">
        <v>157</v>
      </c>
      <c r="O66" s="27"/>
      <c r="P66" s="211"/>
      <c r="Q66" s="211"/>
      <c r="R66" s="192"/>
      <c r="V66" s="185"/>
    </row>
    <row r="67" spans="1:22" ht="18" hidden="1" customHeight="1">
      <c r="A67" s="184"/>
      <c r="B67" s="47"/>
      <c r="C67" s="47"/>
      <c r="D67" s="47"/>
      <c r="E67" s="47"/>
      <c r="H67" s="27"/>
      <c r="I67" s="28"/>
      <c r="J67" s="218"/>
      <c r="K67" s="27"/>
      <c r="L67" s="47"/>
      <c r="O67" s="27"/>
      <c r="P67" s="211"/>
      <c r="Q67" s="211"/>
      <c r="R67" s="192"/>
      <c r="V67" s="185"/>
    </row>
    <row r="68" spans="1:22" ht="18" hidden="1" customHeight="1">
      <c r="A68" s="184"/>
      <c r="B68" s="47" t="s">
        <v>545</v>
      </c>
      <c r="C68" s="47"/>
      <c r="D68" s="47"/>
      <c r="E68" s="47"/>
      <c r="H68" s="27"/>
      <c r="I68" s="28"/>
      <c r="J68" s="199"/>
      <c r="L68" s="47"/>
      <c r="N68" s="120" t="s">
        <v>423</v>
      </c>
      <c r="O68" s="28" t="s">
        <v>127</v>
      </c>
      <c r="P68" s="1251" t="str">
        <f>J53</f>
        <v>-</v>
      </c>
      <c r="Q68" s="1251"/>
      <c r="R68" s="192" t="s">
        <v>8</v>
      </c>
      <c r="V68" s="185"/>
    </row>
    <row r="69" spans="1:22" ht="18" hidden="1" customHeight="1">
      <c r="A69" s="184"/>
      <c r="B69" s="47" t="s">
        <v>547</v>
      </c>
      <c r="C69" s="47"/>
      <c r="D69" s="47"/>
      <c r="E69" s="47"/>
      <c r="H69" s="27"/>
      <c r="I69" s="28"/>
      <c r="J69" s="199"/>
      <c r="L69" s="47"/>
      <c r="N69" s="120" t="s">
        <v>572</v>
      </c>
      <c r="O69" s="28" t="s">
        <v>127</v>
      </c>
      <c r="P69" s="1251">
        <f>J55</f>
        <v>5</v>
      </c>
      <c r="Q69" s="1251"/>
      <c r="R69" s="304" t="s">
        <v>157</v>
      </c>
      <c r="V69" s="185"/>
    </row>
    <row r="70" spans="1:22" ht="18" hidden="1" customHeight="1">
      <c r="A70" s="184"/>
      <c r="B70" s="47" t="s">
        <v>548</v>
      </c>
      <c r="C70" s="47"/>
      <c r="D70" s="47"/>
      <c r="E70" s="47"/>
      <c r="H70" s="27"/>
      <c r="I70" s="28"/>
      <c r="J70" s="199"/>
      <c r="L70" s="47"/>
      <c r="N70" s="120" t="s">
        <v>573</v>
      </c>
      <c r="O70" s="28" t="s">
        <v>127</v>
      </c>
      <c r="P70" s="1072">
        <f>J66</f>
        <v>2.3350224400000004</v>
      </c>
      <c r="Q70" s="1251"/>
      <c r="R70" s="304" t="s">
        <v>157</v>
      </c>
      <c r="V70" s="185"/>
    </row>
    <row r="71" spans="1:22" ht="18" hidden="1" customHeight="1">
      <c r="A71" s="184"/>
      <c r="B71" s="47" t="s">
        <v>549</v>
      </c>
      <c r="C71" s="47"/>
      <c r="D71" s="47"/>
      <c r="E71" s="47"/>
      <c r="H71" s="27"/>
      <c r="I71" s="28"/>
      <c r="J71" s="199"/>
      <c r="L71" s="47"/>
      <c r="N71" s="120" t="s">
        <v>511</v>
      </c>
      <c r="O71" s="28" t="s">
        <v>127</v>
      </c>
      <c r="P71" s="1251">
        <f>O53</f>
        <v>1</v>
      </c>
      <c r="Q71" s="1251"/>
      <c r="R71" s="192" t="s">
        <v>8</v>
      </c>
      <c r="V71" s="185"/>
    </row>
    <row r="72" spans="1:22" ht="18" hidden="1" customHeight="1">
      <c r="A72" s="184"/>
      <c r="B72" s="47" t="s">
        <v>574</v>
      </c>
      <c r="C72" s="47"/>
      <c r="D72" s="47"/>
      <c r="E72" s="47"/>
      <c r="H72" s="27"/>
      <c r="I72" s="28"/>
      <c r="J72" s="199"/>
      <c r="L72" s="47"/>
      <c r="N72" s="120" t="s">
        <v>495</v>
      </c>
      <c r="O72" s="28" t="s">
        <v>127</v>
      </c>
      <c r="P72" s="1251">
        <v>10</v>
      </c>
      <c r="Q72" s="1251"/>
      <c r="R72" s="192"/>
      <c r="V72" s="185"/>
    </row>
    <row r="73" spans="1:22" ht="18" hidden="1" customHeight="1">
      <c r="A73" s="184"/>
      <c r="B73" s="47" t="s">
        <v>577</v>
      </c>
      <c r="C73" s="47"/>
      <c r="D73" s="47"/>
      <c r="E73" s="47"/>
      <c r="H73" s="27"/>
      <c r="I73" s="28"/>
      <c r="J73" s="199"/>
      <c r="L73" s="47"/>
      <c r="O73" s="28" t="s">
        <v>127</v>
      </c>
      <c r="P73" s="1072">
        <v>20</v>
      </c>
      <c r="Q73" s="1072"/>
      <c r="R73" s="192" t="s">
        <v>129</v>
      </c>
      <c r="S73" s="14" t="s">
        <v>170</v>
      </c>
      <c r="V73" s="185"/>
    </row>
    <row r="74" spans="1:22" ht="18" hidden="1"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hidden="1" customHeight="1">
      <c r="A77" s="184"/>
      <c r="B77" s="47"/>
      <c r="C77" s="47" t="s">
        <v>581</v>
      </c>
      <c r="D77" s="47"/>
      <c r="E77" s="47"/>
      <c r="H77" s="27"/>
      <c r="I77" s="28" t="s">
        <v>127</v>
      </c>
      <c r="J77" s="281" t="s">
        <v>582</v>
      </c>
      <c r="L77" s="47"/>
      <c r="O77" s="27"/>
      <c r="P77" s="28" t="s">
        <v>347</v>
      </c>
      <c r="Q77" s="14" t="s">
        <v>583</v>
      </c>
      <c r="R77" s="192"/>
      <c r="V77" s="185"/>
    </row>
    <row r="78" spans="1:22" ht="18" hidden="1" customHeight="1">
      <c r="A78" s="184"/>
      <c r="I78" s="28" t="s">
        <v>127</v>
      </c>
      <c r="J78" s="795">
        <f>J66</f>
        <v>2.3350224400000004</v>
      </c>
      <c r="K78" s="684"/>
      <c r="L78" s="28"/>
      <c r="M78" s="795"/>
      <c r="N78" s="684"/>
      <c r="V78" s="185"/>
    </row>
    <row r="79" spans="1:22" ht="18" hidden="1" customHeight="1">
      <c r="A79" s="184"/>
      <c r="I79" s="28"/>
      <c r="J79" s="204"/>
      <c r="V79" s="185"/>
    </row>
    <row r="80" spans="1:22" ht="18" hidden="1"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hidden="1" customHeight="1">
      <c r="A81" s="184"/>
      <c r="I81" s="27" t="s">
        <v>127</v>
      </c>
      <c r="J81" s="245">
        <f>J56</f>
        <v>10</v>
      </c>
      <c r="K81" s="245" t="s">
        <v>554</v>
      </c>
      <c r="L81" s="301">
        <f>P65</f>
        <v>5</v>
      </c>
      <c r="M81" s="245" t="s">
        <v>347</v>
      </c>
      <c r="N81" s="242">
        <f>J57</f>
        <v>5</v>
      </c>
      <c r="O81" s="245" t="s">
        <v>539</v>
      </c>
      <c r="P81" s="301">
        <f>P65</f>
        <v>5</v>
      </c>
      <c r="Q81" s="245" t="s">
        <v>347</v>
      </c>
      <c r="R81" s="301">
        <f>J66</f>
        <v>2.3350224400000004</v>
      </c>
      <c r="S81" s="296" t="s">
        <v>350</v>
      </c>
      <c r="V81" s="185"/>
    </row>
    <row r="82" spans="1:22" ht="18" hidden="1" customHeight="1">
      <c r="A82" s="184"/>
      <c r="I82" s="27" t="s">
        <v>127</v>
      </c>
      <c r="J82" s="1111">
        <f>J81*((L81+N81)/(P81+R81))</f>
        <v>13.633223458822847</v>
      </c>
      <c r="K82" s="1111"/>
      <c r="L82" s="242"/>
      <c r="M82" s="242"/>
      <c r="N82" s="242"/>
      <c r="O82" s="242"/>
      <c r="P82" s="242"/>
      <c r="Q82" s="242"/>
      <c r="R82" s="242"/>
      <c r="V82" s="185"/>
    </row>
    <row r="83" spans="1:22" ht="18" hidden="1" customHeight="1">
      <c r="A83" s="184"/>
      <c r="I83" s="28"/>
      <c r="J83" s="211"/>
      <c r="K83" s="27"/>
      <c r="V83" s="185"/>
    </row>
    <row r="84" spans="1:22" ht="18" hidden="1" customHeight="1">
      <c r="A84" s="96" t="s">
        <v>584</v>
      </c>
      <c r="I84" s="28"/>
      <c r="J84" s="211"/>
      <c r="K84" s="27"/>
      <c r="V84" s="185"/>
    </row>
    <row r="85" spans="1:22" ht="18" hidden="1" customHeight="1">
      <c r="A85" s="184"/>
      <c r="B85" s="28">
        <v>1</v>
      </c>
      <c r="D85" s="14"/>
      <c r="H85" s="120" t="s">
        <v>492</v>
      </c>
      <c r="I85" s="28" t="s">
        <v>476</v>
      </c>
      <c r="J85" s="47" t="s">
        <v>104</v>
      </c>
      <c r="S85" s="14" t="s">
        <v>585</v>
      </c>
      <c r="V85" s="185"/>
    </row>
    <row r="86" spans="1:22" ht="18" hidden="1" customHeight="1">
      <c r="A86" s="184"/>
      <c r="G86" s="684">
        <f>J57</f>
        <v>5</v>
      </c>
      <c r="H86" s="684"/>
      <c r="I86" s="27" t="str">
        <f>IF(G86&gt;J86,"&gt;","&lt;")</f>
        <v>&gt;</v>
      </c>
      <c r="J86" s="795">
        <f>J78</f>
        <v>2.3350224400000004</v>
      </c>
      <c r="K86" s="684"/>
      <c r="S86" s="186" t="str">
        <f>IF(G86&gt;J86,"Satisfied","Not satisfied")</f>
        <v>Satisfied</v>
      </c>
      <c r="V86" s="185"/>
    </row>
    <row r="87" spans="1:22" ht="18" hidden="1" customHeight="1">
      <c r="A87" s="184"/>
      <c r="D87" s="14"/>
      <c r="H87" s="120"/>
      <c r="I87" s="27"/>
      <c r="R87" s="14"/>
      <c r="V87" s="185"/>
    </row>
    <row r="88" spans="1:22" ht="18" hidden="1" customHeight="1">
      <c r="A88" s="184"/>
      <c r="B88" s="28">
        <v>2</v>
      </c>
      <c r="D88" s="14"/>
      <c r="H88" s="244" t="s">
        <v>586</v>
      </c>
      <c r="I88" s="28" t="s">
        <v>476</v>
      </c>
      <c r="J88" s="14" t="s">
        <v>105</v>
      </c>
      <c r="K88" s="14"/>
      <c r="S88" s="14" t="s">
        <v>587</v>
      </c>
      <c r="V88" s="185"/>
    </row>
    <row r="89" spans="1:22" ht="18" hidden="1" customHeight="1">
      <c r="A89" s="184"/>
      <c r="D89" s="14"/>
      <c r="G89" s="795">
        <f>P73</f>
        <v>20</v>
      </c>
      <c r="H89" s="795"/>
      <c r="I89" s="27" t="str">
        <f>IF(G89&gt;J89,"&gt;","&lt;")</f>
        <v>&gt;</v>
      </c>
      <c r="J89" s="795">
        <f>J82</f>
        <v>13.633223458822847</v>
      </c>
      <c r="K89" s="795"/>
      <c r="R89" s="14"/>
      <c r="S89" s="186" t="str">
        <f>IF(G89&gt;J89,"Satisfied","Not satisfied")</f>
        <v>Satisfied</v>
      </c>
      <c r="V89" s="185"/>
    </row>
    <row r="90" spans="1:22" ht="18" hidden="1"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Core5</v>
      </c>
      <c r="E95" s="856"/>
      <c r="F95" s="255"/>
      <c r="H95" s="684" t="str">
        <f>H50</f>
        <v>(Check Tariff Meter + Ammeters)</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2500</v>
      </c>
      <c r="I98" s="831"/>
      <c r="J98" s="854" t="str">
        <f>J53</f>
        <v>-</v>
      </c>
      <c r="K98" s="831"/>
      <c r="L98" s="863" t="str">
        <f>L53</f>
        <v>-</v>
      </c>
      <c r="M98" s="864"/>
      <c r="N98" s="191" t="s">
        <v>342</v>
      </c>
      <c r="O98" s="256">
        <f>O53</f>
        <v>1</v>
      </c>
      <c r="P98" s="27" t="s">
        <v>8</v>
      </c>
      <c r="V98" s="185"/>
    </row>
    <row r="99" spans="1:23" ht="18" hidden="1" customHeight="1">
      <c r="A99" s="184"/>
      <c r="B99" s="47" t="s">
        <v>394</v>
      </c>
      <c r="H99" s="14"/>
      <c r="I99" s="14"/>
      <c r="K99" s="14"/>
      <c r="L99" s="854" t="str">
        <f>J54</f>
        <v>0.2FS5</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t="str">
        <f>D62</f>
        <v>POINTER</v>
      </c>
      <c r="I107" s="177" t="s">
        <v>127</v>
      </c>
      <c r="J107" s="1119">
        <f t="shared" si="1"/>
        <v>1.25</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2.3350224400000004</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2.3350224400000004</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2.3350224400000004</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532</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Core5</v>
      </c>
      <c r="C144" s="765"/>
      <c r="D144" s="870">
        <f>H98</f>
        <v>2500</v>
      </c>
      <c r="E144" s="870"/>
      <c r="F144" s="871">
        <f>O98</f>
        <v>1</v>
      </c>
      <c r="G144" s="961">
        <f>'CT-VT Burdens'!S21</f>
        <v>120</v>
      </c>
      <c r="H144" s="959">
        <f>'CT-VT Burdens'!S10</f>
        <v>6</v>
      </c>
      <c r="I144" s="874" t="str">
        <f>L99</f>
        <v>0.2FS5</v>
      </c>
      <c r="J144" s="874"/>
      <c r="K144" s="869">
        <f>H12</f>
        <v>10</v>
      </c>
      <c r="L144" s="869"/>
      <c r="M144" s="869">
        <f>H14</f>
        <v>10</v>
      </c>
      <c r="N144" s="869"/>
      <c r="O144" s="870" t="s">
        <v>6</v>
      </c>
      <c r="P144" s="870"/>
      <c r="Q144" s="879" t="str">
        <f>CONCATENATE(T7," ",T8," ",T9," ",T10)</f>
        <v xml:space="preserve">XC-RACK POINTER  </v>
      </c>
      <c r="R144" s="879"/>
      <c r="S144" s="878" t="str">
        <f>J47</f>
        <v>Suitable Dimensions</v>
      </c>
      <c r="T144" s="878"/>
      <c r="U144" s="878"/>
      <c r="V144" s="878"/>
    </row>
    <row r="145" spans="1:22" ht="18" customHeight="1">
      <c r="A145" s="765"/>
      <c r="B145" s="765"/>
      <c r="C145" s="765"/>
      <c r="D145" s="870" t="str">
        <f>J98</f>
        <v>-</v>
      </c>
      <c r="E145" s="870"/>
      <c r="F145" s="872"/>
      <c r="G145" s="961"/>
      <c r="H145" s="959"/>
      <c r="I145" s="874"/>
      <c r="J145" s="874"/>
      <c r="K145" s="875" t="s">
        <v>6</v>
      </c>
      <c r="L145" s="869"/>
      <c r="M145" s="875" t="s">
        <v>6</v>
      </c>
      <c r="N145" s="869"/>
      <c r="O145" s="870" t="s">
        <v>6</v>
      </c>
      <c r="P145" s="870"/>
      <c r="Q145" s="879"/>
      <c r="R145" s="879"/>
      <c r="S145" s="877" t="s">
        <v>6</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184"/>
      <c r="V177" s="185"/>
    </row>
    <row r="178" spans="1:22" s="14" customFormat="1" ht="18" customHeight="1">
      <c r="A178" s="194"/>
      <c r="B178" s="195"/>
      <c r="C178" s="195"/>
      <c r="D178" s="195"/>
      <c r="E178" s="195"/>
      <c r="F178" s="195"/>
      <c r="G178" s="195"/>
      <c r="H178" s="195"/>
      <c r="I178" s="195"/>
      <c r="J178" s="195"/>
      <c r="K178" s="195"/>
      <c r="L178" s="195"/>
      <c r="M178" s="195"/>
      <c r="N178" s="195"/>
      <c r="O178" s="195"/>
      <c r="P178" s="195"/>
      <c r="Q178" s="224"/>
      <c r="R178" s="182"/>
      <c r="S178" s="225"/>
      <c r="T178" s="195"/>
      <c r="U178" s="195"/>
      <c r="V178" s="134"/>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42" priority="2" stopIfTrue="1" operator="equal">
      <formula>"Not suitable"</formula>
    </cfRule>
  </conditionalFormatting>
  <conditionalFormatting sqref="S43 S46 S86 S89 S125 S128">
    <cfRule type="cellIs" dxfId="14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codeName="Sheet27">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315" t="s">
        <v>107</v>
      </c>
      <c r="F22" s="1315"/>
      <c r="G22" s="1315"/>
      <c r="H22" s="1315"/>
      <c r="I22" s="1315"/>
      <c r="J22" s="1315"/>
      <c r="K22" s="1315"/>
      <c r="L22" s="1315"/>
      <c r="M22" s="1315"/>
      <c r="N22" s="1315"/>
      <c r="O22" s="1315"/>
      <c r="P22" s="1315"/>
      <c r="Q22" s="1315"/>
      <c r="R22" s="1315"/>
      <c r="S22" s="27"/>
      <c r="T22" s="27"/>
      <c r="U22" s="27"/>
      <c r="V22" s="177"/>
      <c r="W22" s="27"/>
      <c r="X22" s="27"/>
    </row>
    <row r="23" spans="1:24" ht="18" customHeight="1">
      <c r="A23" s="69"/>
      <c r="B23" s="27"/>
      <c r="C23" s="27"/>
      <c r="D23" s="27"/>
      <c r="E23" s="1315"/>
      <c r="F23" s="1315"/>
      <c r="G23" s="1315"/>
      <c r="H23" s="1315"/>
      <c r="I23" s="1315"/>
      <c r="J23" s="1315"/>
      <c r="K23" s="1315"/>
      <c r="L23" s="1315"/>
      <c r="M23" s="1315"/>
      <c r="N23" s="1315"/>
      <c r="O23" s="1315"/>
      <c r="P23" s="1315"/>
      <c r="Q23" s="1315"/>
      <c r="R23" s="1315"/>
      <c r="S23" s="27"/>
      <c r="T23" s="27"/>
      <c r="U23" s="27"/>
      <c r="V23" s="177"/>
      <c r="W23" s="27"/>
      <c r="X23" s="27"/>
    </row>
    <row r="24" spans="1:24" ht="18" customHeight="1">
      <c r="A24" s="69"/>
      <c r="C24" s="178"/>
      <c r="D24" s="178"/>
      <c r="E24" s="1315"/>
      <c r="F24" s="1315"/>
      <c r="G24" s="1315"/>
      <c r="H24" s="1315"/>
      <c r="I24" s="1315"/>
      <c r="J24" s="1315"/>
      <c r="K24" s="1315"/>
      <c r="L24" s="1315"/>
      <c r="M24" s="1315"/>
      <c r="N24" s="1315"/>
      <c r="O24" s="1315"/>
      <c r="P24" s="1315"/>
      <c r="Q24" s="1315"/>
      <c r="R24" s="1315"/>
      <c r="S24" s="4"/>
      <c r="T24" s="4"/>
      <c r="U24" s="4"/>
      <c r="V24" s="71"/>
      <c r="W24" s="4"/>
      <c r="X24" s="4"/>
    </row>
    <row r="25" spans="1:24" ht="18" customHeight="1">
      <c r="A25" s="69"/>
      <c r="B25" s="26"/>
      <c r="C25" s="4"/>
      <c r="D25" s="73"/>
      <c r="E25" s="1315"/>
      <c r="F25" s="1315"/>
      <c r="G25" s="1315"/>
      <c r="H25" s="1315"/>
      <c r="I25" s="1315"/>
      <c r="J25" s="1315"/>
      <c r="K25" s="1315"/>
      <c r="L25" s="1315"/>
      <c r="M25" s="1315"/>
      <c r="N25" s="1315"/>
      <c r="O25" s="1315"/>
      <c r="P25" s="1315"/>
      <c r="Q25" s="1315"/>
      <c r="R25" s="1315"/>
      <c r="S25" s="4"/>
      <c r="T25" s="4"/>
      <c r="U25" s="4"/>
      <c r="V25" s="71"/>
      <c r="W25" s="4"/>
      <c r="X25" s="4"/>
    </row>
    <row r="26" spans="1:24" ht="18" customHeight="1">
      <c r="A26" s="69"/>
      <c r="E26" s="1315"/>
      <c r="F26" s="1315"/>
      <c r="G26" s="1315"/>
      <c r="H26" s="1315"/>
      <c r="I26" s="1315"/>
      <c r="J26" s="1315"/>
      <c r="K26" s="1315"/>
      <c r="L26" s="1315"/>
      <c r="M26" s="1315"/>
      <c r="N26" s="1315"/>
      <c r="O26" s="1315"/>
      <c r="P26" s="1315"/>
      <c r="Q26" s="1315"/>
      <c r="R26" s="131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codeName="Sheet28">
    <tabColor indexed="50"/>
  </sheetPr>
  <dimension ref="A1:AA322"/>
  <sheetViews>
    <sheetView showZeros="0" view="pageBreakPreview" topLeftCell="A78" zoomScale="130" zoomScaleNormal="100" zoomScaleSheetLayoutView="130" workbookViewId="0">
      <selection activeCell="A90" sqref="A90:XFD279"/>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707</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92" t="s">
        <v>385</v>
      </c>
      <c r="E7" s="1093"/>
      <c r="F7" s="455"/>
      <c r="H7" s="684" t="s">
        <v>507</v>
      </c>
      <c r="I7" s="684"/>
      <c r="J7" s="684"/>
      <c r="K7" s="684"/>
      <c r="L7" s="684"/>
      <c r="M7" s="684"/>
      <c r="P7" s="186"/>
      <c r="S7" s="187" t="s">
        <v>387</v>
      </c>
      <c r="T7" s="1075" t="s">
        <v>508</v>
      </c>
      <c r="U7" s="1076"/>
      <c r="V7" s="185"/>
    </row>
    <row r="8" spans="1:24" ht="18" customHeight="1">
      <c r="A8" s="456"/>
      <c r="F8" s="455"/>
      <c r="T8" s="1075" t="s">
        <v>509</v>
      </c>
      <c r="U8" s="1076"/>
      <c r="V8" s="185"/>
    </row>
    <row r="9" spans="1:24" ht="18" customHeight="1">
      <c r="A9" s="184"/>
      <c r="H9" s="789" t="s">
        <v>390</v>
      </c>
      <c r="I9" s="789"/>
      <c r="J9" s="790" t="s">
        <v>391</v>
      </c>
      <c r="K9" s="790"/>
      <c r="L9" s="790" t="s">
        <v>392</v>
      </c>
      <c r="M9" s="790"/>
      <c r="T9" s="1075" t="s">
        <v>194</v>
      </c>
      <c r="U9" s="1076"/>
      <c r="V9" s="185"/>
    </row>
    <row r="10" spans="1:24" ht="18" customHeight="1">
      <c r="A10" s="184"/>
      <c r="B10" s="47" t="s">
        <v>393</v>
      </c>
      <c r="H10" s="1090">
        <v>100</v>
      </c>
      <c r="I10" s="1091"/>
      <c r="J10" s="1075" t="s">
        <v>6</v>
      </c>
      <c r="K10" s="1076"/>
      <c r="L10" s="1075" t="s">
        <v>6</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0.32</v>
      </c>
      <c r="I12" s="1076"/>
      <c r="J12" s="192" t="s">
        <v>333</v>
      </c>
      <c r="V12" s="185"/>
    </row>
    <row r="13" spans="1:24" ht="18" customHeight="1">
      <c r="A13" s="184"/>
      <c r="B13" s="47" t="s">
        <v>398</v>
      </c>
      <c r="G13" s="120" t="s">
        <v>498</v>
      </c>
      <c r="H13" s="1075">
        <v>145</v>
      </c>
      <c r="I13" s="1076"/>
      <c r="J13" s="14" t="s">
        <v>305</v>
      </c>
      <c r="T13" s="295"/>
      <c r="U13" s="18"/>
      <c r="V13" s="185"/>
      <c r="W13" s="30" t="e">
        <f>#REF!</f>
        <v>#REF!</v>
      </c>
    </row>
    <row r="14" spans="1:24" ht="18" customHeight="1">
      <c r="A14" s="184"/>
      <c r="B14" s="14" t="s">
        <v>401</v>
      </c>
      <c r="G14" s="120" t="s">
        <v>402</v>
      </c>
      <c r="H14" s="1075">
        <v>50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REC670</v>
      </c>
      <c r="E18" s="227"/>
      <c r="F18" s="227"/>
      <c r="G18" s="227"/>
      <c r="H18" s="138"/>
      <c r="I18" s="260" t="s">
        <v>127</v>
      </c>
      <c r="J18" s="1077">
        <f>'CT-VT Burdens'!Q104</f>
        <v>0.02</v>
      </c>
      <c r="K18" s="1078"/>
      <c r="L18" s="3" t="s">
        <v>157</v>
      </c>
      <c r="N18" s="197" t="s">
        <v>510</v>
      </c>
      <c r="V18" s="185"/>
    </row>
    <row r="19" spans="1:25" ht="18" customHeight="1">
      <c r="A19" s="184"/>
      <c r="B19" s="96" t="s">
        <v>405</v>
      </c>
      <c r="C19" s="14"/>
      <c r="D19" s="47" t="str">
        <f>T8</f>
        <v>REF615</v>
      </c>
      <c r="H19" s="28"/>
      <c r="I19" s="101" t="s">
        <v>127</v>
      </c>
      <c r="J19" s="1077">
        <f>'CT-VT Burdens'!Q111</f>
        <v>0.02</v>
      </c>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t="str">
        <f>T9</f>
        <v>FMS</v>
      </c>
      <c r="H20" s="28"/>
      <c r="I20" s="101" t="s">
        <v>127</v>
      </c>
      <c r="J20" s="1077">
        <f>'CT-VT Burdens'!Q149</f>
        <v>5.8000000000000003E-2</v>
      </c>
      <c r="K20" s="1078"/>
      <c r="L20" s="3" t="s">
        <v>157</v>
      </c>
      <c r="N20" s="27"/>
      <c r="O20" s="27" t="s">
        <v>127</v>
      </c>
      <c r="P20" s="27">
        <f>O10</f>
        <v>1</v>
      </c>
      <c r="Q20" s="27" t="s">
        <v>315</v>
      </c>
      <c r="R20" s="27">
        <f>O10</f>
        <v>1</v>
      </c>
      <c r="S20" s="27" t="s">
        <v>315</v>
      </c>
      <c r="T20" s="27">
        <f>H12</f>
        <v>0.32</v>
      </c>
      <c r="V20" s="185"/>
    </row>
    <row r="21" spans="1:25" ht="18" customHeight="1">
      <c r="A21" s="184"/>
      <c r="B21" s="452" t="s">
        <v>412</v>
      </c>
      <c r="C21" s="259"/>
      <c r="D21" s="259"/>
      <c r="E21" s="259"/>
      <c r="F21" s="207"/>
      <c r="G21" s="207"/>
      <c r="H21" s="190"/>
      <c r="I21" s="208" t="s">
        <v>127</v>
      </c>
      <c r="J21" s="1081">
        <f>'CT-VT Burdens'!S24</f>
        <v>1.0770224400000001</v>
      </c>
      <c r="K21" s="1082"/>
      <c r="L21" s="297" t="s">
        <v>157</v>
      </c>
      <c r="O21" s="27" t="s">
        <v>127</v>
      </c>
      <c r="P21" s="795">
        <f>P20*R20*T20</f>
        <v>0.32</v>
      </c>
      <c r="Q21" s="684"/>
      <c r="R21" s="27" t="s">
        <v>157</v>
      </c>
      <c r="V21" s="185"/>
    </row>
    <row r="22" spans="1:25" ht="18" customHeight="1">
      <c r="A22" s="184"/>
      <c r="B22" s="1" t="s">
        <v>413</v>
      </c>
      <c r="C22" s="2"/>
      <c r="D22" s="2"/>
      <c r="E22" s="2"/>
      <c r="F22" s="196"/>
      <c r="G22" s="196"/>
      <c r="H22" s="224" t="s">
        <v>512</v>
      </c>
      <c r="I22" s="183" t="s">
        <v>127</v>
      </c>
      <c r="J22" s="722">
        <f>SUM(J18:J21)</f>
        <v>1.1750224400000002</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R28" s="27" t="s">
        <v>127</v>
      </c>
      <c r="S28" s="684">
        <v>6</v>
      </c>
      <c r="T28" s="684"/>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S28*S30</f>
        <v>600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100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0.32</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1.1750224400000002</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600</v>
      </c>
      <c r="G37" s="689"/>
      <c r="H37" s="684" t="s">
        <v>315</v>
      </c>
      <c r="I37" s="790">
        <f>S31</f>
        <v>1</v>
      </c>
      <c r="J37" s="790"/>
      <c r="K37" s="684" t="s">
        <v>315</v>
      </c>
      <c r="L37" s="684" t="s">
        <v>419</v>
      </c>
      <c r="M37" s="795">
        <f>S33</f>
        <v>0.32</v>
      </c>
      <c r="N37" s="684" t="s">
        <v>347</v>
      </c>
      <c r="O37" s="795">
        <f>S34</f>
        <v>1.1750224400000002</v>
      </c>
      <c r="P37" s="684" t="s">
        <v>347</v>
      </c>
      <c r="Q37" s="1071">
        <f>S35</f>
        <v>0.02</v>
      </c>
      <c r="R37" s="790"/>
      <c r="S37" s="790"/>
      <c r="T37" s="684" t="s">
        <v>350</v>
      </c>
      <c r="V37" s="185"/>
    </row>
    <row r="38" spans="1:25" ht="18" customHeight="1">
      <c r="A38" s="184"/>
      <c r="B38" s="684"/>
      <c r="C38" s="684"/>
      <c r="D38" s="689"/>
      <c r="E38" s="684"/>
      <c r="F38" s="689"/>
      <c r="G38" s="689"/>
      <c r="H38" s="684"/>
      <c r="I38" s="684">
        <f>S30</f>
        <v>100</v>
      </c>
      <c r="J38" s="684"/>
      <c r="K38" s="684"/>
      <c r="L38" s="684"/>
      <c r="M38" s="684"/>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13.64</v>
      </c>
      <c r="E40" s="1072"/>
      <c r="F40" s="286" t="s">
        <v>305</v>
      </c>
      <c r="G40" s="27"/>
      <c r="V40" s="185"/>
    </row>
    <row r="41" spans="1:25" ht="18" customHeight="1">
      <c r="A41" s="184"/>
      <c r="V41" s="185"/>
    </row>
    <row r="42" spans="1:25" ht="18" customHeight="1">
      <c r="A42" s="184"/>
      <c r="V42" s="185"/>
    </row>
    <row r="43" spans="1:25" ht="18" customHeight="1">
      <c r="A43" s="184"/>
      <c r="V43" s="185"/>
    </row>
    <row r="44" spans="1:25" ht="18" customHeight="1">
      <c r="A44" s="184"/>
      <c r="V44" s="185"/>
    </row>
    <row r="45" spans="1:25" ht="18" customHeight="1">
      <c r="A45" s="184"/>
      <c r="V45" s="185"/>
    </row>
    <row r="46" spans="1:25" ht="18" customHeight="1">
      <c r="A46" s="184"/>
      <c r="V46" s="185"/>
    </row>
    <row r="47" spans="1:25" ht="18" customHeight="1">
      <c r="A47" s="452"/>
      <c r="B47" s="207"/>
      <c r="C47" s="207"/>
      <c r="D47" s="207"/>
      <c r="E47" s="207"/>
      <c r="F47" s="207"/>
      <c r="G47" s="207"/>
      <c r="H47" s="207"/>
      <c r="I47" s="207"/>
      <c r="J47" s="207"/>
      <c r="K47" s="207"/>
      <c r="L47" s="207"/>
      <c r="M47" s="207"/>
      <c r="N47" s="207"/>
      <c r="O47" s="207"/>
      <c r="P47" s="207"/>
      <c r="Q47" s="207"/>
      <c r="R47" s="207"/>
      <c r="S47" s="207"/>
      <c r="T47" s="207"/>
      <c r="U47" s="207"/>
      <c r="V47" s="453"/>
    </row>
    <row r="48" spans="1:25" ht="18" customHeight="1">
      <c r="A48" s="290"/>
      <c r="B48" s="196"/>
      <c r="C48" s="196"/>
      <c r="D48" s="196"/>
      <c r="E48" s="196"/>
      <c r="F48" s="196"/>
      <c r="G48" s="196"/>
      <c r="H48" s="196"/>
      <c r="I48" s="196"/>
      <c r="J48" s="196"/>
      <c r="K48" s="196"/>
      <c r="L48" s="196"/>
      <c r="M48" s="196"/>
      <c r="N48" s="196"/>
      <c r="O48" s="196"/>
      <c r="P48" s="196"/>
      <c r="Q48" s="196"/>
      <c r="R48" s="196"/>
      <c r="S48" s="196"/>
      <c r="T48" s="196"/>
      <c r="U48" s="196"/>
      <c r="V48" s="291"/>
    </row>
    <row r="49" spans="1:25" ht="18" customHeight="1">
      <c r="A49" s="226"/>
      <c r="B49" s="519" t="s">
        <v>525</v>
      </c>
      <c r="C49" s="227"/>
      <c r="D49" s="227"/>
      <c r="E49" s="227"/>
      <c r="F49" s="227"/>
      <c r="G49" s="227"/>
      <c r="H49" s="227"/>
      <c r="I49" s="227"/>
      <c r="J49" s="227"/>
      <c r="K49" s="227"/>
      <c r="L49" s="227"/>
      <c r="M49" s="227"/>
      <c r="N49" s="227"/>
      <c r="O49" s="227"/>
      <c r="P49" s="227"/>
      <c r="Q49" s="227"/>
      <c r="R49" s="227"/>
      <c r="S49" s="227"/>
      <c r="T49" s="227"/>
      <c r="U49" s="227"/>
      <c r="V49" s="228"/>
    </row>
    <row r="50" spans="1:25" ht="18" customHeight="1">
      <c r="A50" s="184"/>
      <c r="V50" s="185"/>
    </row>
    <row r="51" spans="1:25" ht="18" customHeight="1">
      <c r="A51" s="184"/>
      <c r="B51" s="1074" t="s">
        <v>417</v>
      </c>
      <c r="C51" s="800"/>
      <c r="D51" s="800"/>
      <c r="E51" s="689">
        <v>20</v>
      </c>
      <c r="F51" s="689" t="s">
        <v>315</v>
      </c>
      <c r="G51" s="790" t="s">
        <v>481</v>
      </c>
      <c r="H51" s="790" t="s">
        <v>482</v>
      </c>
      <c r="I51" s="803"/>
      <c r="J51" s="689" t="s">
        <v>315</v>
      </c>
      <c r="K51" s="689" t="s">
        <v>419</v>
      </c>
      <c r="L51" s="689" t="s">
        <v>440</v>
      </c>
      <c r="M51" s="729" t="s">
        <v>347</v>
      </c>
      <c r="N51" s="689" t="s">
        <v>447</v>
      </c>
      <c r="O51" s="689" t="s">
        <v>347</v>
      </c>
      <c r="P51" s="759" t="s">
        <v>448</v>
      </c>
      <c r="Q51" s="759"/>
      <c r="R51" s="759"/>
      <c r="S51" s="798" t="s">
        <v>350</v>
      </c>
      <c r="T51" s="1073" t="s">
        <v>422</v>
      </c>
      <c r="V51" s="185"/>
    </row>
    <row r="52" spans="1:25" ht="18" customHeight="1">
      <c r="A52" s="184"/>
      <c r="B52" s="800"/>
      <c r="C52" s="800"/>
      <c r="D52" s="800"/>
      <c r="E52" s="689"/>
      <c r="F52" s="689"/>
      <c r="G52" s="689"/>
      <c r="H52" s="684" t="s">
        <v>483</v>
      </c>
      <c r="I52" s="804"/>
      <c r="J52" s="689"/>
      <c r="K52" s="689"/>
      <c r="L52" s="689"/>
      <c r="M52" s="729"/>
      <c r="N52" s="689"/>
      <c r="O52" s="689"/>
      <c r="P52" s="28" t="s">
        <v>438</v>
      </c>
      <c r="Q52" s="28" t="s">
        <v>315</v>
      </c>
      <c r="R52" s="28" t="s">
        <v>438</v>
      </c>
      <c r="S52" s="798"/>
      <c r="T52" s="1073"/>
      <c r="V52" s="112"/>
    </row>
    <row r="53" spans="1:25" ht="18" customHeight="1">
      <c r="A53" s="184"/>
      <c r="C53" s="28"/>
      <c r="D53" s="28"/>
      <c r="E53" s="28"/>
      <c r="F53" s="28"/>
      <c r="G53" s="28"/>
      <c r="H53" s="689"/>
      <c r="I53" s="716"/>
      <c r="J53" s="28"/>
      <c r="K53" s="28"/>
      <c r="L53" s="28"/>
      <c r="M53" s="28"/>
      <c r="N53" s="47"/>
      <c r="O53" s="28"/>
      <c r="V53" s="185"/>
    </row>
    <row r="54" spans="1:25" ht="18" customHeight="1">
      <c r="A54" s="184"/>
      <c r="C54" s="30" t="s">
        <v>526</v>
      </c>
      <c r="R54" s="27" t="s">
        <v>127</v>
      </c>
      <c r="S54" s="684">
        <v>1.2</v>
      </c>
      <c r="T54" s="684"/>
      <c r="V54" s="185"/>
    </row>
    <row r="55" spans="1:25" ht="18" customHeight="1">
      <c r="A55" s="168"/>
      <c r="B55" s="5"/>
      <c r="C55" s="296" t="s">
        <v>515</v>
      </c>
      <c r="D55" s="14"/>
      <c r="E55" s="14"/>
      <c r="F55" s="14"/>
      <c r="G55" s="14"/>
      <c r="H55" s="279"/>
      <c r="I55" s="120"/>
      <c r="J55" s="279"/>
      <c r="K55" s="279"/>
      <c r="L55" s="14"/>
      <c r="M55" s="14"/>
      <c r="N55" s="14"/>
      <c r="O55" s="14"/>
      <c r="P55" s="14"/>
      <c r="Q55" s="244" t="s">
        <v>481</v>
      </c>
      <c r="R55" s="102" t="s">
        <v>127</v>
      </c>
      <c r="S55" s="689">
        <f>S54*S56</f>
        <v>120</v>
      </c>
      <c r="T55" s="689"/>
      <c r="U55" s="47" t="s">
        <v>8</v>
      </c>
      <c r="V55" s="185"/>
    </row>
    <row r="56" spans="1:25" ht="18" customHeight="1">
      <c r="A56" s="168"/>
      <c r="B56" s="5"/>
      <c r="C56" s="47" t="s">
        <v>516</v>
      </c>
      <c r="D56" s="14"/>
      <c r="E56" s="14"/>
      <c r="F56" s="18"/>
      <c r="G56" s="18"/>
      <c r="H56" s="279"/>
      <c r="I56" s="120"/>
      <c r="J56" s="279"/>
      <c r="K56" s="279"/>
      <c r="L56" s="14"/>
      <c r="M56" s="14"/>
      <c r="N56" s="14"/>
      <c r="O56" s="14"/>
      <c r="P56" s="14"/>
      <c r="Q56" s="244" t="s">
        <v>483</v>
      </c>
      <c r="R56" s="102" t="s">
        <v>127</v>
      </c>
      <c r="S56" s="689">
        <f>H10</f>
        <v>100</v>
      </c>
      <c r="T56" s="689"/>
      <c r="U56" s="14" t="s">
        <v>8</v>
      </c>
      <c r="V56" s="185"/>
    </row>
    <row r="57" spans="1:25" ht="18" customHeight="1">
      <c r="A57" s="168"/>
      <c r="B57" s="5"/>
      <c r="C57" s="47" t="s">
        <v>517</v>
      </c>
      <c r="D57" s="14"/>
      <c r="E57" s="14"/>
      <c r="F57" s="18"/>
      <c r="G57" s="18"/>
      <c r="H57" s="279"/>
      <c r="I57" s="120"/>
      <c r="J57" s="279"/>
      <c r="K57" s="279"/>
      <c r="L57" s="14"/>
      <c r="M57" s="14"/>
      <c r="N57" s="14"/>
      <c r="O57" s="14"/>
      <c r="P57" s="14"/>
      <c r="Q57" s="244" t="s">
        <v>482</v>
      </c>
      <c r="R57" s="102" t="s">
        <v>127</v>
      </c>
      <c r="S57" s="689">
        <f>O10</f>
        <v>1</v>
      </c>
      <c r="T57" s="689"/>
      <c r="U57" s="30" t="s">
        <v>8</v>
      </c>
      <c r="V57" s="185"/>
    </row>
    <row r="58" spans="1:25" ht="18" customHeight="1">
      <c r="A58" s="168"/>
      <c r="B58" s="5"/>
      <c r="C58" s="47" t="s">
        <v>518</v>
      </c>
      <c r="D58" s="14"/>
      <c r="E58" s="14"/>
      <c r="F58" s="18"/>
      <c r="G58" s="18"/>
      <c r="H58" s="279"/>
      <c r="I58" s="120"/>
      <c r="J58" s="279"/>
      <c r="K58" s="279"/>
      <c r="L58" s="14"/>
      <c r="M58" s="14"/>
      <c r="N58" s="14"/>
      <c r="O58" s="14"/>
      <c r="P58" s="14"/>
      <c r="Q58" s="244" t="s">
        <v>146</v>
      </c>
      <c r="R58" s="102" t="s">
        <v>127</v>
      </c>
      <c r="S58" s="834">
        <f>S32</f>
        <v>1</v>
      </c>
      <c r="T58" s="834"/>
      <c r="U58" s="30" t="s">
        <v>8</v>
      </c>
      <c r="V58" s="185"/>
      <c r="W58" s="279"/>
      <c r="X58" s="279"/>
      <c r="Y58" s="279"/>
    </row>
    <row r="59" spans="1:25" ht="18" customHeight="1">
      <c r="A59" s="168"/>
      <c r="B59" s="5"/>
      <c r="C59" s="296" t="s">
        <v>519</v>
      </c>
      <c r="D59" s="14"/>
      <c r="E59" s="14"/>
      <c r="F59" s="18"/>
      <c r="G59" s="18"/>
      <c r="H59" s="279"/>
      <c r="I59" s="120"/>
      <c r="J59" s="279"/>
      <c r="K59" s="279"/>
      <c r="L59" s="14"/>
      <c r="M59" s="14"/>
      <c r="N59" s="14"/>
      <c r="O59" s="14"/>
      <c r="P59" s="14"/>
      <c r="Q59" s="244" t="s">
        <v>420</v>
      </c>
      <c r="R59" s="102" t="s">
        <v>127</v>
      </c>
      <c r="S59" s="692">
        <f>H12</f>
        <v>0.32</v>
      </c>
      <c r="T59" s="689"/>
      <c r="U59" s="30" t="s">
        <v>520</v>
      </c>
      <c r="V59" s="185"/>
      <c r="X59" s="279"/>
      <c r="Y59" s="279"/>
    </row>
    <row r="60" spans="1:25" ht="18" customHeight="1">
      <c r="A60" s="168"/>
      <c r="B60" s="5"/>
      <c r="C60" s="296" t="s">
        <v>521</v>
      </c>
      <c r="D60" s="14"/>
      <c r="E60" s="14"/>
      <c r="F60" s="14"/>
      <c r="G60" s="14"/>
      <c r="H60" s="279"/>
      <c r="I60" s="120"/>
      <c r="J60" s="279"/>
      <c r="K60" s="279"/>
      <c r="L60" s="14"/>
      <c r="M60" s="14"/>
      <c r="N60" s="14"/>
      <c r="O60" s="14"/>
      <c r="P60" s="14"/>
      <c r="Q60" s="244" t="s">
        <v>522</v>
      </c>
      <c r="R60" s="102" t="s">
        <v>127</v>
      </c>
      <c r="S60" s="692">
        <f>J22</f>
        <v>1.1750224400000002</v>
      </c>
      <c r="T60" s="689"/>
      <c r="U60" s="30" t="s">
        <v>520</v>
      </c>
      <c r="V60" s="185"/>
      <c r="X60" s="279"/>
      <c r="Y60" s="279"/>
    </row>
    <row r="61" spans="1:25" ht="18" customHeight="1">
      <c r="A61" s="168"/>
      <c r="B61" s="5"/>
      <c r="C61" s="296" t="s">
        <v>523</v>
      </c>
      <c r="D61" s="14"/>
      <c r="E61" s="14"/>
      <c r="F61" s="14"/>
      <c r="G61" s="14"/>
      <c r="H61" s="279"/>
      <c r="I61" s="120"/>
      <c r="J61" s="279"/>
      <c r="K61" s="279"/>
      <c r="L61" s="14"/>
      <c r="M61" s="14"/>
      <c r="N61" s="14"/>
      <c r="O61" s="14"/>
      <c r="P61" s="14"/>
      <c r="Q61" s="244" t="s">
        <v>524</v>
      </c>
      <c r="R61" s="102" t="s">
        <v>127</v>
      </c>
      <c r="S61" s="795">
        <f>J18</f>
        <v>0.02</v>
      </c>
      <c r="T61" s="689"/>
      <c r="U61" s="296" t="s">
        <v>157</v>
      </c>
      <c r="V61" s="185"/>
    </row>
    <row r="62" spans="1:25" ht="18" customHeight="1">
      <c r="A62" s="299"/>
      <c r="B62" s="279"/>
      <c r="C62" s="47"/>
      <c r="D62" s="14"/>
      <c r="E62" s="14"/>
      <c r="F62" s="14"/>
      <c r="G62" s="14"/>
      <c r="H62" s="279"/>
      <c r="I62" s="120"/>
      <c r="J62" s="279"/>
      <c r="K62" s="279"/>
      <c r="L62" s="14"/>
      <c r="M62" s="14"/>
      <c r="N62" s="279"/>
      <c r="O62" s="279"/>
      <c r="P62" s="14"/>
      <c r="Q62" s="120"/>
      <c r="R62" s="14"/>
      <c r="S62" s="279"/>
      <c r="T62" s="279"/>
      <c r="U62" s="279"/>
      <c r="V62" s="300"/>
      <c r="W62" s="279"/>
      <c r="X62" s="279"/>
      <c r="Y62" s="279"/>
    </row>
    <row r="63" spans="1:25" ht="18" customHeight="1">
      <c r="A63" s="184"/>
      <c r="B63" s="684" t="s">
        <v>417</v>
      </c>
      <c r="C63" s="684"/>
      <c r="D63" s="689">
        <f>E51</f>
        <v>20</v>
      </c>
      <c r="E63" s="684" t="s">
        <v>315</v>
      </c>
      <c r="F63" s="689">
        <f>S55</f>
        <v>120</v>
      </c>
      <c r="G63" s="689"/>
      <c r="H63" s="684" t="s">
        <v>315</v>
      </c>
      <c r="I63" s="790">
        <f>S57</f>
        <v>1</v>
      </c>
      <c r="J63" s="790"/>
      <c r="K63" s="684" t="s">
        <v>315</v>
      </c>
      <c r="L63" s="684" t="s">
        <v>419</v>
      </c>
      <c r="M63" s="795">
        <f>S59</f>
        <v>0.32</v>
      </c>
      <c r="N63" s="684" t="s">
        <v>347</v>
      </c>
      <c r="O63" s="795">
        <f>S60</f>
        <v>1.1750224400000002</v>
      </c>
      <c r="P63" s="684" t="s">
        <v>347</v>
      </c>
      <c r="Q63" s="1071">
        <f>S61</f>
        <v>0.02</v>
      </c>
      <c r="R63" s="790"/>
      <c r="S63" s="790"/>
      <c r="T63" s="684" t="s">
        <v>350</v>
      </c>
      <c r="V63" s="185"/>
    </row>
    <row r="64" spans="1:25" ht="18" customHeight="1">
      <c r="A64" s="184"/>
      <c r="B64" s="684"/>
      <c r="C64" s="684"/>
      <c r="D64" s="689"/>
      <c r="E64" s="684"/>
      <c r="F64" s="689"/>
      <c r="G64" s="689"/>
      <c r="H64" s="684"/>
      <c r="I64" s="684">
        <f>S56</f>
        <v>100</v>
      </c>
      <c r="J64" s="684"/>
      <c r="K64" s="684"/>
      <c r="L64" s="684"/>
      <c r="M64" s="684"/>
      <c r="N64" s="684"/>
      <c r="O64" s="684"/>
      <c r="P64" s="684"/>
      <c r="Q64" s="503">
        <f>S58</f>
        <v>1</v>
      </c>
      <c r="R64" s="27" t="s">
        <v>315</v>
      </c>
      <c r="S64" s="503">
        <f>S58</f>
        <v>1</v>
      </c>
      <c r="T64" s="684"/>
      <c r="V64" s="185"/>
    </row>
    <row r="65" spans="1:27" ht="18" customHeight="1">
      <c r="A65" s="184"/>
      <c r="C65" s="120"/>
      <c r="D65" s="28"/>
      <c r="E65" s="28"/>
      <c r="F65" s="28"/>
      <c r="G65" s="28"/>
      <c r="H65" s="14"/>
      <c r="I65" s="14"/>
      <c r="J65" s="28"/>
      <c r="K65" s="28"/>
      <c r="L65" s="28"/>
      <c r="M65" s="28"/>
      <c r="N65" s="47"/>
      <c r="O65" s="502"/>
      <c r="V65" s="185"/>
    </row>
    <row r="66" spans="1:27" ht="18" customHeight="1">
      <c r="A66" s="184"/>
      <c r="C66" s="27" t="s">
        <v>127</v>
      </c>
      <c r="D66" s="1072">
        <f>ROUNDUP(D63*F63*(I63/I64)*(M63+O63+(Q63/(Q64*S64))),2)</f>
        <v>36.369999999999997</v>
      </c>
      <c r="E66" s="1072"/>
      <c r="F66" s="286" t="s">
        <v>305</v>
      </c>
      <c r="G66" s="27"/>
      <c r="V66" s="185"/>
    </row>
    <row r="67" spans="1:27" ht="18" customHeight="1">
      <c r="A67" s="184"/>
      <c r="V67" s="185"/>
    </row>
    <row r="68" spans="1:27" ht="18" customHeight="1">
      <c r="A68" s="184"/>
      <c r="D68" s="30" t="s">
        <v>527</v>
      </c>
      <c r="L68" s="30" t="s">
        <v>528</v>
      </c>
      <c r="M68" s="505" t="s">
        <v>529</v>
      </c>
      <c r="N68" s="30" t="str">
        <f>CONCATENATE(Y68,X68,D40,Z68,D66,AA68)</f>
        <v>max(13.64,36.37)</v>
      </c>
      <c r="V68" s="185"/>
      <c r="X68" s="30" t="s">
        <v>419</v>
      </c>
      <c r="Y68" s="30" t="s">
        <v>530</v>
      </c>
      <c r="Z68" s="30" t="s">
        <v>531</v>
      </c>
      <c r="AA68" s="30" t="s">
        <v>350</v>
      </c>
    </row>
    <row r="69" spans="1:27" ht="18" customHeight="1">
      <c r="A69" s="184"/>
      <c r="D69" s="14"/>
      <c r="E69"/>
      <c r="F69"/>
      <c r="G69" s="27"/>
      <c r="H69" s="14"/>
      <c r="I69"/>
      <c r="J69"/>
      <c r="K69"/>
      <c r="L69" s="30" t="s">
        <v>528</v>
      </c>
      <c r="M69" s="505" t="s">
        <v>529</v>
      </c>
      <c r="N69" s="476">
        <f>MAX(D66,D40)</f>
        <v>36.369999999999997</v>
      </c>
      <c r="V69" s="185"/>
    </row>
    <row r="70" spans="1:27" ht="18" customHeight="1">
      <c r="A70" s="184"/>
      <c r="D70"/>
      <c r="E70" s="1089"/>
      <c r="F70" s="684"/>
      <c r="G70" s="27"/>
      <c r="H70" s="795"/>
      <c r="I70" s="684"/>
      <c r="J70"/>
      <c r="K70"/>
      <c r="L70" s="296">
        <f>H13</f>
        <v>145</v>
      </c>
      <c r="M70" s="505" t="s">
        <v>529</v>
      </c>
      <c r="N70" s="476">
        <f>N69</f>
        <v>36.369999999999997</v>
      </c>
      <c r="V70" s="185"/>
    </row>
    <row r="71" spans="1:27" ht="18" customHeight="1">
      <c r="A71" s="184"/>
      <c r="D71"/>
      <c r="E71" s="504"/>
      <c r="F71" s="27"/>
      <c r="G71" s="27"/>
      <c r="H71" s="211"/>
      <c r="I71" s="27"/>
      <c r="J71"/>
      <c r="K71"/>
      <c r="L71" s="296"/>
      <c r="M71" s="505"/>
      <c r="N71" s="476"/>
      <c r="V71" s="185"/>
    </row>
    <row r="72" spans="1:27" ht="18" customHeight="1">
      <c r="A72" s="184"/>
      <c r="D72"/>
      <c r="E72"/>
      <c r="F72" s="244" t="s">
        <v>478</v>
      </c>
      <c r="G72"/>
      <c r="H72" s="18" t="str">
        <f>IF(L70&gt;N70,"Suitably Dimensioned","Under Dimensioned")</f>
        <v>Suitably Dimensioned</v>
      </c>
      <c r="I72"/>
      <c r="J72"/>
      <c r="K72"/>
      <c r="L72"/>
      <c r="V72" s="185"/>
    </row>
    <row r="73" spans="1:27" ht="18" customHeight="1">
      <c r="A73" s="184"/>
      <c r="V73" s="185"/>
    </row>
    <row r="74" spans="1:27" ht="18" customHeight="1">
      <c r="A74" s="184"/>
      <c r="V74" s="185"/>
    </row>
    <row r="75" spans="1:27" ht="18" customHeight="1">
      <c r="A75" s="184"/>
      <c r="V75" s="185"/>
    </row>
    <row r="76" spans="1:27" ht="18" customHeight="1">
      <c r="A76" s="184"/>
      <c r="V76" s="185"/>
    </row>
    <row r="77" spans="1:27" ht="18" customHeight="1">
      <c r="A77" s="184"/>
      <c r="V77" s="185"/>
    </row>
    <row r="78" spans="1:27" ht="18" customHeight="1">
      <c r="A78" s="184"/>
      <c r="V78" s="185"/>
    </row>
    <row r="79" spans="1:27" ht="18" customHeight="1">
      <c r="A79" s="184"/>
      <c r="V79" s="185"/>
    </row>
    <row r="80" spans="1:27"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184"/>
      <c r="V86" s="185"/>
    </row>
    <row r="87" spans="1:22" ht="18" customHeight="1">
      <c r="A87" s="184"/>
      <c r="V87" s="185"/>
    </row>
    <row r="88" spans="1:22" ht="18" customHeight="1">
      <c r="A88" s="184"/>
      <c r="V88" s="185"/>
    </row>
    <row r="89" spans="1:22" ht="18" customHeight="1">
      <c r="A89" s="184"/>
      <c r="V89" s="185"/>
    </row>
    <row r="90" spans="1:22" ht="18" customHeight="1">
      <c r="A90" s="184"/>
      <c r="V90" s="185"/>
    </row>
    <row r="91" spans="1:22" ht="18" hidden="1" customHeight="1">
      <c r="A91" s="184"/>
      <c r="V91" s="185"/>
    </row>
    <row r="92" spans="1:22" ht="18" hidden="1" customHeight="1">
      <c r="A92" s="184"/>
      <c r="V92" s="185"/>
    </row>
    <row r="93" spans="1:22" ht="18" hidden="1" customHeight="1">
      <c r="A93" s="184"/>
      <c r="V93" s="185"/>
    </row>
    <row r="94" spans="1:22" ht="18" hidden="1" customHeight="1">
      <c r="A94" s="184"/>
      <c r="V94" s="185"/>
    </row>
    <row r="95" spans="1:22" ht="18" hidden="1" customHeight="1">
      <c r="A95" s="184"/>
      <c r="V95" s="185"/>
    </row>
    <row r="96" spans="1:22" ht="18" hidden="1" customHeight="1">
      <c r="A96" s="184"/>
      <c r="V96" s="185"/>
    </row>
    <row r="97" spans="1:23" ht="18" hidden="1" customHeight="1">
      <c r="A97" s="184"/>
      <c r="V97" s="185"/>
    </row>
    <row r="98" spans="1:23" ht="18" hidden="1" customHeight="1">
      <c r="A98" s="184"/>
      <c r="V98" s="185"/>
    </row>
    <row r="99" spans="1:23" ht="18" hidden="1" customHeight="1">
      <c r="A99" s="184"/>
      <c r="V99" s="185"/>
    </row>
    <row r="100" spans="1:23" ht="18" hidden="1" customHeight="1">
      <c r="A100" s="184"/>
      <c r="V100" s="185"/>
    </row>
    <row r="101" spans="1:23" ht="18" hidden="1" customHeight="1">
      <c r="A101" s="184"/>
      <c r="V101" s="185"/>
    </row>
    <row r="102" spans="1:23" ht="18" hidden="1" customHeight="1">
      <c r="A102" s="184"/>
      <c r="V102" s="185"/>
    </row>
    <row r="103" spans="1:23" s="14" customFormat="1" ht="18" hidden="1" customHeight="1">
      <c r="A103" s="194"/>
      <c r="B103" s="195"/>
      <c r="C103" s="195"/>
      <c r="D103" s="195"/>
      <c r="E103" s="195"/>
      <c r="F103" s="195"/>
      <c r="G103" s="195"/>
      <c r="H103" s="195"/>
      <c r="I103" s="195"/>
      <c r="J103" s="195"/>
      <c r="K103" s="195"/>
      <c r="L103" s="195"/>
      <c r="M103" s="195"/>
      <c r="N103" s="195"/>
      <c r="O103" s="195"/>
      <c r="P103" s="195"/>
      <c r="Q103" s="224"/>
      <c r="R103" s="182"/>
      <c r="S103" s="225"/>
      <c r="T103" s="195"/>
      <c r="U103" s="195"/>
      <c r="V103" s="134" t="s">
        <v>552</v>
      </c>
    </row>
    <row r="104" spans="1:23" ht="18" hidden="1" customHeight="1">
      <c r="A104" s="226"/>
      <c r="B104" s="227"/>
      <c r="C104" s="227"/>
      <c r="D104" s="227"/>
      <c r="E104" s="227"/>
      <c r="F104" s="227"/>
      <c r="G104" s="227"/>
      <c r="H104" s="227"/>
      <c r="I104" s="227"/>
      <c r="J104" s="227"/>
      <c r="K104" s="227"/>
      <c r="L104" s="227"/>
      <c r="M104" s="227"/>
      <c r="N104" s="227"/>
      <c r="O104" s="227"/>
      <c r="P104" s="227"/>
      <c r="Q104" s="227"/>
      <c r="R104" s="227"/>
      <c r="S104" s="227"/>
      <c r="T104" s="227"/>
      <c r="U104" s="227"/>
      <c r="V104" s="228"/>
    </row>
    <row r="105" spans="1:23" ht="18" hidden="1" customHeight="1">
      <c r="A105" s="184"/>
      <c r="B105" s="854" t="str">
        <f>B7</f>
        <v>T1</v>
      </c>
      <c r="C105" s="831"/>
      <c r="D105" s="853" t="str">
        <f>D7</f>
        <v>Core1</v>
      </c>
      <c r="E105" s="765"/>
      <c r="F105" s="455"/>
      <c r="H105" s="684" t="str">
        <f>H7</f>
        <v>(OC+BCPU+FMS)</v>
      </c>
      <c r="I105" s="684"/>
      <c r="J105" s="684"/>
      <c r="K105" s="684"/>
      <c r="L105" s="684"/>
      <c r="M105" s="684"/>
      <c r="P105" s="186"/>
      <c r="S105" s="187" t="s">
        <v>387</v>
      </c>
      <c r="T105" s="1123" t="str">
        <f>T7</f>
        <v>REC670</v>
      </c>
      <c r="U105" s="1124"/>
      <c r="V105" s="185"/>
    </row>
    <row r="106" spans="1:23" ht="18" hidden="1" customHeight="1">
      <c r="A106" s="456"/>
      <c r="F106" s="455"/>
      <c r="T106" s="1123" t="str">
        <f>T8</f>
        <v>REF615</v>
      </c>
      <c r="U106" s="1124"/>
      <c r="V106" s="185"/>
    </row>
    <row r="107" spans="1:23" ht="18" hidden="1" customHeight="1">
      <c r="A107" s="184"/>
      <c r="H107" s="708" t="s">
        <v>390</v>
      </c>
      <c r="I107" s="708"/>
      <c r="J107" s="789" t="s">
        <v>391</v>
      </c>
      <c r="K107" s="789"/>
      <c r="L107" s="790" t="s">
        <v>392</v>
      </c>
      <c r="M107" s="790"/>
      <c r="T107" s="1123" t="str">
        <f>T9</f>
        <v>FMS</v>
      </c>
      <c r="U107" s="1124"/>
      <c r="V107" s="185"/>
    </row>
    <row r="108" spans="1:23" ht="18" hidden="1" customHeight="1">
      <c r="A108" s="184"/>
      <c r="B108" s="47" t="s">
        <v>393</v>
      </c>
      <c r="H108" s="854">
        <f>H10</f>
        <v>100</v>
      </c>
      <c r="I108" s="831"/>
      <c r="J108" s="863" t="str">
        <f>J10</f>
        <v>-</v>
      </c>
      <c r="K108" s="864"/>
      <c r="L108" s="854" t="str">
        <f>L10</f>
        <v>-</v>
      </c>
      <c r="M108" s="831"/>
      <c r="N108" s="191" t="s">
        <v>342</v>
      </c>
      <c r="O108" s="256">
        <f>O10</f>
        <v>1</v>
      </c>
      <c r="P108" s="27" t="s">
        <v>8</v>
      </c>
      <c r="R108" s="255"/>
      <c r="S108" s="255"/>
      <c r="V108" s="185"/>
    </row>
    <row r="109" spans="1:23" ht="18" hidden="1" customHeight="1">
      <c r="A109" s="184"/>
      <c r="B109" s="47" t="s">
        <v>394</v>
      </c>
      <c r="J109" s="854" t="str">
        <f>H11</f>
        <v>PX</v>
      </c>
      <c r="K109" s="831"/>
      <c r="V109" s="185"/>
    </row>
    <row r="110" spans="1:23" ht="18" hidden="1" customHeight="1">
      <c r="A110" s="184"/>
      <c r="B110" s="47" t="s">
        <v>396</v>
      </c>
      <c r="I110" s="120" t="s">
        <v>497</v>
      </c>
      <c r="J110" s="1075">
        <v>12</v>
      </c>
      <c r="K110" s="1076"/>
      <c r="L110" s="192" t="s">
        <v>333</v>
      </c>
      <c r="V110" s="185"/>
    </row>
    <row r="111" spans="1:23" ht="18" hidden="1" customHeight="1">
      <c r="A111" s="184"/>
      <c r="B111" s="47" t="s">
        <v>398</v>
      </c>
      <c r="I111" s="120" t="s">
        <v>498</v>
      </c>
      <c r="J111" s="1075">
        <v>1200</v>
      </c>
      <c r="K111" s="1076"/>
      <c r="L111" s="14" t="s">
        <v>305</v>
      </c>
      <c r="T111" s="295"/>
      <c r="U111" s="18"/>
      <c r="V111" s="185"/>
      <c r="W111" s="30" t="e">
        <f>G159</f>
        <v>#VALUE!</v>
      </c>
    </row>
    <row r="112" spans="1:23" ht="18" hidden="1" customHeight="1">
      <c r="A112" s="184"/>
      <c r="B112" s="14" t="s">
        <v>401</v>
      </c>
      <c r="I112" s="120" t="s">
        <v>402</v>
      </c>
      <c r="J112" s="1075">
        <v>50</v>
      </c>
      <c r="K112" s="1076"/>
      <c r="L112" s="14" t="s">
        <v>403</v>
      </c>
      <c r="V112" s="185"/>
    </row>
    <row r="113" spans="1:22" ht="18" hidden="1" customHeight="1">
      <c r="A113" s="184"/>
      <c r="V113" s="185"/>
    </row>
    <row r="114" spans="1:22" ht="18" hidden="1" customHeight="1">
      <c r="A114" s="193" t="s">
        <v>404</v>
      </c>
      <c r="V114" s="185"/>
    </row>
    <row r="115" spans="1:22" ht="18" hidden="1" customHeight="1">
      <c r="A115" s="184"/>
      <c r="V115" s="185"/>
    </row>
    <row r="116" spans="1:22" ht="18" hidden="1" customHeight="1">
      <c r="A116" s="184"/>
      <c r="B116" s="135" t="s">
        <v>405</v>
      </c>
      <c r="C116" s="273"/>
      <c r="D116" s="139" t="str">
        <f>T105</f>
        <v>REC670</v>
      </c>
      <c r="E116" s="227"/>
      <c r="F116" s="227"/>
      <c r="G116" s="227"/>
      <c r="H116" s="138"/>
      <c r="I116" s="260" t="s">
        <v>127</v>
      </c>
      <c r="J116" s="722">
        <f>J18</f>
        <v>0.02</v>
      </c>
      <c r="K116" s="958"/>
      <c r="L116" s="3" t="s">
        <v>157</v>
      </c>
      <c r="N116" s="197" t="s">
        <v>510</v>
      </c>
      <c r="V116" s="185"/>
    </row>
    <row r="117" spans="1:22" ht="18" hidden="1" customHeight="1">
      <c r="A117" s="184"/>
      <c r="B117" s="96" t="s">
        <v>405</v>
      </c>
      <c r="C117" s="14"/>
      <c r="D117" s="47" t="str">
        <f>T106</f>
        <v>REF615</v>
      </c>
      <c r="H117" s="28"/>
      <c r="I117" s="101" t="s">
        <v>127</v>
      </c>
      <c r="J117" s="722">
        <f>J19</f>
        <v>0.02</v>
      </c>
      <c r="K117" s="958"/>
      <c r="L117" s="3" t="s">
        <v>157</v>
      </c>
      <c r="N117" s="120" t="s">
        <v>491</v>
      </c>
      <c r="O117" s="27" t="s">
        <v>127</v>
      </c>
      <c r="P117" s="27" t="s">
        <v>511</v>
      </c>
      <c r="Q117" s="27" t="s">
        <v>315</v>
      </c>
      <c r="R117" s="27" t="s">
        <v>511</v>
      </c>
      <c r="S117" s="27" t="s">
        <v>315</v>
      </c>
      <c r="T117" s="27" t="s">
        <v>420</v>
      </c>
      <c r="V117" s="185"/>
    </row>
    <row r="118" spans="1:22" ht="18" hidden="1" customHeight="1">
      <c r="A118" s="184"/>
      <c r="B118" s="96" t="s">
        <v>405</v>
      </c>
      <c r="C118" s="14"/>
      <c r="D118" s="47" t="str">
        <f>T107</f>
        <v>FMS</v>
      </c>
      <c r="H118" s="28"/>
      <c r="I118" s="101" t="s">
        <v>127</v>
      </c>
      <c r="J118" s="722">
        <f>J20</f>
        <v>5.8000000000000003E-2</v>
      </c>
      <c r="K118" s="958"/>
      <c r="L118" s="3" t="s">
        <v>157</v>
      </c>
      <c r="N118" s="27"/>
      <c r="O118" s="27" t="s">
        <v>127</v>
      </c>
      <c r="P118" s="27">
        <f>O108</f>
        <v>1</v>
      </c>
      <c r="Q118" s="27" t="s">
        <v>315</v>
      </c>
      <c r="R118" s="27">
        <f>O108</f>
        <v>1</v>
      </c>
      <c r="S118" s="27" t="s">
        <v>315</v>
      </c>
      <c r="T118" s="27">
        <f>J110</f>
        <v>12</v>
      </c>
      <c r="V118" s="185"/>
    </row>
    <row r="119" spans="1:22" ht="18" hidden="1" customHeight="1">
      <c r="A119" s="184"/>
      <c r="B119" s="452" t="s">
        <v>412</v>
      </c>
      <c r="C119" s="259"/>
      <c r="D119" s="259"/>
      <c r="E119" s="259"/>
      <c r="F119" s="207"/>
      <c r="G119" s="207"/>
      <c r="H119" s="190"/>
      <c r="I119" s="208" t="s">
        <v>127</v>
      </c>
      <c r="J119" s="1120">
        <f>J21</f>
        <v>1.0770224400000001</v>
      </c>
      <c r="K119" s="987"/>
      <c r="L119" s="297" t="s">
        <v>157</v>
      </c>
      <c r="O119" s="27" t="s">
        <v>127</v>
      </c>
      <c r="P119" s="795">
        <f>P118*R118*T118</f>
        <v>12</v>
      </c>
      <c r="Q119" s="684"/>
      <c r="R119" s="27" t="s">
        <v>157</v>
      </c>
      <c r="V119" s="185"/>
    </row>
    <row r="120" spans="1:22" ht="18" hidden="1" customHeight="1">
      <c r="A120" s="184"/>
      <c r="B120" s="1" t="s">
        <v>413</v>
      </c>
      <c r="C120" s="2"/>
      <c r="D120" s="2"/>
      <c r="E120" s="2"/>
      <c r="F120" s="196"/>
      <c r="G120" s="196"/>
      <c r="H120" s="224" t="s">
        <v>512</v>
      </c>
      <c r="I120" s="183" t="s">
        <v>127</v>
      </c>
      <c r="J120" s="722">
        <f>SUM(J116:J119)</f>
        <v>1.1750224400000002</v>
      </c>
      <c r="K120" s="958"/>
      <c r="L120" s="3" t="s">
        <v>157</v>
      </c>
      <c r="V120" s="185"/>
    </row>
    <row r="121" spans="1:22" ht="18" hidden="1" customHeight="1">
      <c r="A121" s="184"/>
      <c r="B121" s="47"/>
      <c r="C121" s="47"/>
      <c r="D121" s="47"/>
      <c r="E121" s="47"/>
      <c r="H121" s="27"/>
      <c r="I121" s="28"/>
      <c r="J121" s="199"/>
      <c r="L121" s="47"/>
      <c r="S121" s="27"/>
      <c r="V121" s="185"/>
    </row>
    <row r="122" spans="1:22" ht="18" hidden="1" customHeight="1">
      <c r="A122" s="1206" t="s">
        <v>536</v>
      </c>
      <c r="B122" s="1207"/>
      <c r="C122" s="1207"/>
      <c r="D122" s="1207"/>
      <c r="E122" s="1207"/>
      <c r="F122" s="1207"/>
      <c r="G122" s="1207"/>
      <c r="H122" s="1207"/>
      <c r="I122" s="1207"/>
      <c r="J122" s="1207"/>
      <c r="K122" s="1207"/>
      <c r="L122" s="1207"/>
      <c r="M122" s="1207"/>
      <c r="N122" s="1207"/>
      <c r="O122" s="1207"/>
      <c r="P122" s="1207"/>
      <c r="Q122" s="1207"/>
      <c r="R122" s="1207"/>
      <c r="S122" s="1207"/>
      <c r="T122" s="1207"/>
      <c r="U122" s="1207"/>
      <c r="V122" s="1208"/>
    </row>
    <row r="123" spans="1:22" ht="18" hidden="1" customHeight="1">
      <c r="A123" s="1209"/>
      <c r="B123" s="1207"/>
      <c r="C123" s="1207"/>
      <c r="D123" s="1207"/>
      <c r="E123" s="1207"/>
      <c r="F123" s="1207"/>
      <c r="G123" s="1207"/>
      <c r="H123" s="1207"/>
      <c r="I123" s="1207"/>
      <c r="J123" s="1207"/>
      <c r="K123" s="1207"/>
      <c r="L123" s="1207"/>
      <c r="M123" s="1207"/>
      <c r="N123" s="1207"/>
      <c r="O123" s="1207"/>
      <c r="P123" s="1207"/>
      <c r="Q123" s="1207"/>
      <c r="R123" s="1207"/>
      <c r="S123" s="1207"/>
      <c r="T123" s="1207"/>
      <c r="U123" s="1207"/>
      <c r="V123" s="1208"/>
    </row>
    <row r="124" spans="1:22" ht="18" hidden="1" customHeight="1">
      <c r="A124" s="184"/>
      <c r="Q124" s="211"/>
      <c r="R124" s="192"/>
      <c r="V124" s="185"/>
    </row>
    <row r="125" spans="1:22" ht="18" hidden="1" customHeight="1">
      <c r="A125" s="184"/>
      <c r="C125" s="14" t="s">
        <v>473</v>
      </c>
      <c r="D125" s="28" t="s">
        <v>127</v>
      </c>
      <c r="E125" s="28" t="s">
        <v>537</v>
      </c>
      <c r="F125" s="120" t="s">
        <v>493</v>
      </c>
      <c r="G125" s="28" t="s">
        <v>347</v>
      </c>
      <c r="H125" s="120" t="s">
        <v>491</v>
      </c>
      <c r="I125" s="28" t="s">
        <v>538</v>
      </c>
      <c r="J125" s="28" t="s">
        <v>495</v>
      </c>
      <c r="K125" s="28" t="s">
        <v>539</v>
      </c>
      <c r="L125" s="28" t="s">
        <v>511</v>
      </c>
      <c r="M125" s="28" t="s">
        <v>315</v>
      </c>
      <c r="N125" s="28">
        <v>1.3</v>
      </c>
      <c r="O125" s="47" t="s">
        <v>350</v>
      </c>
      <c r="V125" s="185"/>
    </row>
    <row r="126" spans="1:22" ht="18" hidden="1" customHeight="1">
      <c r="A126" s="184" t="s">
        <v>540</v>
      </c>
      <c r="C126" s="14"/>
      <c r="D126" s="28"/>
      <c r="E126" s="14"/>
      <c r="F126" s="14"/>
      <c r="G126" s="14"/>
      <c r="H126" s="14"/>
      <c r="I126" s="14"/>
      <c r="J126" s="14"/>
      <c r="K126" s="14"/>
      <c r="L126" s="14"/>
      <c r="M126" s="14"/>
      <c r="N126" s="14"/>
      <c r="O126" s="14"/>
      <c r="V126" s="185"/>
    </row>
    <row r="127" spans="1:22" ht="18" hidden="1" customHeight="1">
      <c r="A127" s="184"/>
      <c r="C127" s="120" t="s">
        <v>493</v>
      </c>
      <c r="D127" s="28" t="s">
        <v>127</v>
      </c>
      <c r="E127" s="28" t="s">
        <v>537</v>
      </c>
      <c r="F127" s="28">
        <v>1.3</v>
      </c>
      <c r="G127" s="28" t="s">
        <v>315</v>
      </c>
      <c r="H127" s="689" t="s">
        <v>473</v>
      </c>
      <c r="I127" s="716"/>
      <c r="J127" s="28" t="s">
        <v>315</v>
      </c>
      <c r="K127" s="28" t="s">
        <v>511</v>
      </c>
      <c r="L127" s="28" t="s">
        <v>541</v>
      </c>
      <c r="M127" s="28" t="s">
        <v>495</v>
      </c>
      <c r="N127" s="47" t="s">
        <v>542</v>
      </c>
      <c r="O127" s="120" t="s">
        <v>491</v>
      </c>
      <c r="V127" s="185"/>
    </row>
    <row r="128" spans="1:22" ht="18" hidden="1" customHeight="1">
      <c r="A128" s="184"/>
      <c r="V128" s="185"/>
    </row>
    <row r="129" spans="1:25" ht="18" hidden="1" customHeight="1">
      <c r="A129" s="168"/>
      <c r="B129" s="5"/>
      <c r="C129" s="47" t="s">
        <v>543</v>
      </c>
      <c r="D129" s="14"/>
      <c r="E129" s="14"/>
      <c r="F129" s="14"/>
      <c r="G129" s="14"/>
      <c r="H129" s="279"/>
      <c r="I129" s="120"/>
      <c r="J129" s="279"/>
      <c r="K129" s="279"/>
      <c r="L129" s="14"/>
      <c r="M129" s="14"/>
      <c r="N129" s="14"/>
      <c r="O129" s="14"/>
      <c r="P129" s="14"/>
      <c r="Q129" s="120" t="s">
        <v>544</v>
      </c>
      <c r="R129" s="102" t="s">
        <v>127</v>
      </c>
      <c r="S129" s="689">
        <f>S29</f>
        <v>600</v>
      </c>
      <c r="T129" s="689"/>
      <c r="U129" s="47" t="s">
        <v>8</v>
      </c>
      <c r="V129" s="185"/>
    </row>
    <row r="130" spans="1:25" ht="18" hidden="1" customHeight="1">
      <c r="A130" s="168"/>
      <c r="B130" s="5"/>
      <c r="C130" s="47" t="s">
        <v>545</v>
      </c>
      <c r="D130" s="14"/>
      <c r="E130" s="14"/>
      <c r="F130" s="18"/>
      <c r="G130" s="18"/>
      <c r="H130" s="279"/>
      <c r="I130" s="120"/>
      <c r="J130" s="279"/>
      <c r="K130" s="279"/>
      <c r="L130" s="14"/>
      <c r="M130" s="14"/>
      <c r="N130" s="14"/>
      <c r="O130" s="14"/>
      <c r="P130" s="14"/>
      <c r="Q130" s="120" t="s">
        <v>423</v>
      </c>
      <c r="R130" s="102" t="s">
        <v>127</v>
      </c>
      <c r="S130" s="689" t="str">
        <f>J108</f>
        <v>-</v>
      </c>
      <c r="T130" s="689"/>
      <c r="U130" s="14" t="s">
        <v>8</v>
      </c>
      <c r="V130" s="185"/>
    </row>
    <row r="131" spans="1:25" ht="18" hidden="1" customHeight="1">
      <c r="A131" s="168"/>
      <c r="B131" s="5"/>
      <c r="C131" s="47" t="s">
        <v>546</v>
      </c>
      <c r="D131" s="14"/>
      <c r="E131" s="14"/>
      <c r="F131" s="18"/>
      <c r="G131" s="18"/>
      <c r="H131" s="279"/>
      <c r="I131" s="120"/>
      <c r="J131" s="279"/>
      <c r="K131" s="279"/>
      <c r="L131" s="14"/>
      <c r="M131" s="14"/>
      <c r="N131" s="14"/>
      <c r="O131" s="14"/>
      <c r="P131" s="14"/>
      <c r="Q131" s="120" t="s">
        <v>473</v>
      </c>
      <c r="R131" s="102" t="s">
        <v>127</v>
      </c>
      <c r="S131" s="689">
        <f>J111</f>
        <v>1200</v>
      </c>
      <c r="T131" s="689"/>
      <c r="U131" s="14" t="s">
        <v>305</v>
      </c>
      <c r="V131" s="185"/>
    </row>
    <row r="132" spans="1:25" ht="18" hidden="1" customHeight="1">
      <c r="A132" s="168"/>
      <c r="B132" s="5"/>
      <c r="C132" s="47" t="s">
        <v>547</v>
      </c>
      <c r="D132" s="14"/>
      <c r="E132" s="14"/>
      <c r="F132" s="18"/>
      <c r="G132" s="18"/>
      <c r="H132" s="279"/>
      <c r="I132" s="120"/>
      <c r="J132" s="279"/>
      <c r="K132" s="279"/>
      <c r="L132" s="14"/>
      <c r="M132" s="14"/>
      <c r="N132" s="14"/>
      <c r="O132" s="14"/>
      <c r="P132" s="14"/>
      <c r="Q132" s="120" t="s">
        <v>491</v>
      </c>
      <c r="R132" s="102" t="s">
        <v>127</v>
      </c>
      <c r="S132" s="692">
        <f>P119</f>
        <v>12</v>
      </c>
      <c r="T132" s="689"/>
      <c r="U132" s="14" t="s">
        <v>157</v>
      </c>
      <c r="V132" s="185"/>
      <c r="W132" s="279"/>
      <c r="X132" s="279"/>
      <c r="Y132" s="279"/>
    </row>
    <row r="133" spans="1:25" ht="18" hidden="1" customHeight="1">
      <c r="A133" s="168"/>
      <c r="B133" s="5"/>
      <c r="C133" s="47" t="s">
        <v>548</v>
      </c>
      <c r="D133" s="14"/>
      <c r="E133" s="14"/>
      <c r="F133" s="18"/>
      <c r="G133" s="18"/>
      <c r="H133" s="279"/>
      <c r="I133" s="120"/>
      <c r="J133" s="279"/>
      <c r="K133" s="279"/>
      <c r="L133" s="14"/>
      <c r="M133" s="14"/>
      <c r="N133" s="14"/>
      <c r="O133" s="14"/>
      <c r="P133" s="14"/>
      <c r="Q133" s="120" t="s">
        <v>512</v>
      </c>
      <c r="R133" s="102" t="s">
        <v>127</v>
      </c>
      <c r="S133" s="692">
        <f>J120</f>
        <v>1.1750224400000002</v>
      </c>
      <c r="T133" s="689"/>
      <c r="U133" s="14" t="s">
        <v>157</v>
      </c>
      <c r="V133" s="185"/>
      <c r="X133" s="279"/>
      <c r="Y133" s="279"/>
    </row>
    <row r="134" spans="1:25" ht="18" hidden="1" customHeight="1">
      <c r="A134" s="168"/>
      <c r="B134" s="5"/>
      <c r="C134" s="47" t="s">
        <v>549</v>
      </c>
      <c r="D134" s="14"/>
      <c r="E134" s="14"/>
      <c r="F134" s="14"/>
      <c r="G134" s="14"/>
      <c r="H134" s="279"/>
      <c r="I134" s="120"/>
      <c r="J134" s="279"/>
      <c r="K134" s="279"/>
      <c r="L134" s="14"/>
      <c r="M134" s="14"/>
      <c r="N134" s="14"/>
      <c r="O134" s="14"/>
      <c r="P134" s="14"/>
      <c r="Q134" s="120" t="s">
        <v>511</v>
      </c>
      <c r="R134" s="102" t="s">
        <v>127</v>
      </c>
      <c r="S134" s="689">
        <f>O108</f>
        <v>1</v>
      </c>
      <c r="T134" s="689"/>
      <c r="U134" s="14" t="s">
        <v>8</v>
      </c>
      <c r="V134" s="185"/>
      <c r="X134" s="279"/>
      <c r="Y134" s="279"/>
    </row>
    <row r="135" spans="1:25" ht="18" hidden="1" customHeight="1">
      <c r="A135" s="168"/>
      <c r="B135" s="5"/>
      <c r="C135" s="47" t="s">
        <v>550</v>
      </c>
      <c r="D135" s="14"/>
      <c r="E135" s="14"/>
      <c r="F135" s="14"/>
      <c r="G135" s="14"/>
      <c r="H135" s="279"/>
      <c r="I135" s="120"/>
      <c r="J135" s="279"/>
      <c r="K135" s="279"/>
      <c r="L135" s="14"/>
      <c r="M135" s="14"/>
      <c r="N135" s="14"/>
      <c r="O135" s="14"/>
      <c r="P135" s="14"/>
      <c r="Q135" s="120" t="s">
        <v>495</v>
      </c>
      <c r="R135" s="102" t="s">
        <v>127</v>
      </c>
      <c r="S135" s="689">
        <v>20</v>
      </c>
      <c r="T135" s="689"/>
      <c r="U135" s="47"/>
      <c r="V135" s="185"/>
    </row>
    <row r="136" spans="1:25" ht="18" hidden="1" customHeight="1">
      <c r="A136" s="299"/>
      <c r="B136" s="279"/>
      <c r="C136" s="47" t="s">
        <v>551</v>
      </c>
      <c r="D136" s="14"/>
      <c r="E136" s="14"/>
      <c r="F136" s="14"/>
      <c r="G136" s="14"/>
      <c r="H136" s="279"/>
      <c r="I136" s="120"/>
      <c r="J136" s="279"/>
      <c r="K136" s="279"/>
      <c r="L136" s="14"/>
      <c r="M136" s="14"/>
      <c r="N136" s="279"/>
      <c r="O136" s="279"/>
      <c r="P136" s="14"/>
      <c r="Q136" s="120" t="s">
        <v>493</v>
      </c>
      <c r="R136" s="14"/>
      <c r="S136" s="279"/>
      <c r="T136" s="279"/>
      <c r="U136" s="279"/>
      <c r="V136" s="300"/>
      <c r="W136" s="279"/>
      <c r="X136" s="279"/>
      <c r="Y136" s="279"/>
    </row>
    <row r="137" spans="1:25" ht="18" hidden="1" customHeight="1">
      <c r="A137" s="184"/>
      <c r="V137" s="185"/>
    </row>
    <row r="138" spans="1:25" ht="18" hidden="1" customHeight="1">
      <c r="A138" s="184"/>
      <c r="C138" s="120" t="s">
        <v>493</v>
      </c>
      <c r="D138" s="28" t="s">
        <v>127</v>
      </c>
      <c r="E138" s="28" t="s">
        <v>537</v>
      </c>
      <c r="F138" s="28">
        <v>1.3</v>
      </c>
      <c r="G138" s="28" t="s">
        <v>315</v>
      </c>
      <c r="H138" s="689" t="s">
        <v>473</v>
      </c>
      <c r="I138" s="716"/>
      <c r="J138" s="28" t="s">
        <v>315</v>
      </c>
      <c r="K138" s="28" t="s">
        <v>511</v>
      </c>
      <c r="L138" s="28" t="s">
        <v>541</v>
      </c>
      <c r="M138" s="28" t="s">
        <v>495</v>
      </c>
      <c r="N138" s="47" t="s">
        <v>542</v>
      </c>
      <c r="O138" s="120" t="s">
        <v>491</v>
      </c>
      <c r="V138" s="185"/>
    </row>
    <row r="139" spans="1:25" ht="18" hidden="1" customHeight="1">
      <c r="A139" s="184"/>
      <c r="C139" s="120" t="s">
        <v>493</v>
      </c>
      <c r="D139" s="28" t="s">
        <v>127</v>
      </c>
      <c r="E139" s="28" t="s">
        <v>537</v>
      </c>
      <c r="F139" s="28">
        <v>1.3</v>
      </c>
      <c r="G139" s="28" t="s">
        <v>315</v>
      </c>
      <c r="H139" s="689">
        <f>S131</f>
        <v>1200</v>
      </c>
      <c r="I139" s="716"/>
      <c r="J139" s="28" t="s">
        <v>315</v>
      </c>
      <c r="K139" s="28">
        <f>S134</f>
        <v>1</v>
      </c>
      <c r="L139" s="28" t="s">
        <v>541</v>
      </c>
      <c r="M139" s="28">
        <f>S135</f>
        <v>20</v>
      </c>
      <c r="N139" s="47" t="s">
        <v>542</v>
      </c>
      <c r="O139" s="502">
        <f>S132</f>
        <v>12</v>
      </c>
      <c r="V139" s="185"/>
    </row>
    <row r="140" spans="1:25" ht="18" hidden="1" customHeight="1">
      <c r="A140" s="184"/>
      <c r="D140" s="27" t="s">
        <v>127</v>
      </c>
      <c r="E140" s="684">
        <f>((F139*H139*K139)/M139)-O139</f>
        <v>66</v>
      </c>
      <c r="F140" s="684"/>
      <c r="G140" s="27" t="s">
        <v>157</v>
      </c>
      <c r="V140" s="185"/>
    </row>
    <row r="141" spans="1:25" ht="18" hidden="1" customHeight="1">
      <c r="A141" s="184"/>
      <c r="D141" s="27"/>
      <c r="E141" s="27"/>
      <c r="F141" s="27"/>
      <c r="G141" s="27"/>
      <c r="V141" s="185"/>
    </row>
    <row r="142" spans="1:25" ht="18" hidden="1" customHeight="1">
      <c r="A142" s="184"/>
      <c r="D142" s="27"/>
      <c r="E142" s="27"/>
      <c r="F142" s="27"/>
      <c r="G142" s="27"/>
      <c r="V142" s="185"/>
    </row>
    <row r="143" spans="1:25" ht="18" hidden="1" customHeight="1">
      <c r="A143" s="184"/>
      <c r="D143" s="27"/>
      <c r="E143" s="27"/>
      <c r="F143" s="27"/>
      <c r="G143" s="27"/>
      <c r="V143" s="185"/>
    </row>
    <row r="144" spans="1:25" ht="18" hidden="1" customHeight="1">
      <c r="A144" s="184"/>
      <c r="D144" s="27"/>
      <c r="E144" s="27"/>
      <c r="F144" s="27"/>
      <c r="G144" s="27"/>
      <c r="V144" s="185"/>
    </row>
    <row r="145" spans="1:22" ht="18" hidden="1" customHeight="1">
      <c r="A145" s="184"/>
      <c r="D145" s="27"/>
      <c r="E145" s="27"/>
      <c r="F145" s="27"/>
      <c r="G145" s="27"/>
      <c r="V145" s="185"/>
    </row>
    <row r="146" spans="1:22" ht="18" hidden="1" customHeight="1">
      <c r="A146" s="184"/>
      <c r="V146" s="185"/>
    </row>
    <row r="147" spans="1:22" s="14" customFormat="1" ht="18" hidden="1" customHeight="1">
      <c r="A147" s="194"/>
      <c r="B147" s="195"/>
      <c r="C147" s="195"/>
      <c r="D147" s="195"/>
      <c r="E147" s="195"/>
      <c r="F147" s="195"/>
      <c r="G147" s="195"/>
      <c r="H147" s="195"/>
      <c r="I147" s="195"/>
      <c r="J147" s="195"/>
      <c r="K147" s="195"/>
      <c r="L147" s="195"/>
      <c r="M147" s="195"/>
      <c r="N147" s="195"/>
      <c r="O147" s="195"/>
      <c r="P147" s="195"/>
      <c r="Q147" s="224"/>
      <c r="R147" s="182"/>
      <c r="S147" s="225"/>
      <c r="T147" s="195"/>
      <c r="U147" s="195"/>
      <c r="V147" s="134" t="s">
        <v>552</v>
      </c>
    </row>
    <row r="148" spans="1:22" ht="18" hidden="1" customHeight="1">
      <c r="A148" s="226"/>
      <c r="B148" s="227"/>
      <c r="C148" s="227"/>
      <c r="D148" s="227"/>
      <c r="E148" s="227"/>
      <c r="F148" s="227"/>
      <c r="G148" s="227"/>
      <c r="H148" s="227"/>
      <c r="I148" s="227"/>
      <c r="J148" s="227"/>
      <c r="K148" s="227"/>
      <c r="L148" s="227"/>
      <c r="M148" s="227"/>
      <c r="N148" s="227"/>
      <c r="O148" s="227"/>
      <c r="P148" s="227"/>
      <c r="Q148" s="227"/>
      <c r="R148" s="227"/>
      <c r="S148" s="227"/>
      <c r="T148" s="227"/>
      <c r="U148" s="227"/>
      <c r="V148" s="228"/>
    </row>
    <row r="149" spans="1:22" ht="18" hidden="1" customHeight="1">
      <c r="A149" s="184"/>
      <c r="E149" s="244" t="s">
        <v>111</v>
      </c>
      <c r="F149" s="27" t="s">
        <v>127</v>
      </c>
      <c r="G149" s="689" t="s">
        <v>544</v>
      </c>
      <c r="H149" s="689"/>
      <c r="I149" s="191" t="s">
        <v>342</v>
      </c>
      <c r="J149" s="684" t="s">
        <v>423</v>
      </c>
      <c r="K149" s="684"/>
      <c r="V149" s="185"/>
    </row>
    <row r="150" spans="1:22" ht="18" hidden="1" customHeight="1">
      <c r="A150" s="184"/>
      <c r="F150" s="27" t="s">
        <v>127</v>
      </c>
      <c r="G150" s="684">
        <f>S129</f>
        <v>600</v>
      </c>
      <c r="H150" s="684"/>
      <c r="I150" s="191" t="s">
        <v>342</v>
      </c>
      <c r="J150" s="684" t="str">
        <f>S130</f>
        <v>-</v>
      </c>
      <c r="K150" s="684"/>
      <c r="V150" s="185"/>
    </row>
    <row r="151" spans="1:22" ht="18" hidden="1" customHeight="1">
      <c r="A151" s="184"/>
      <c r="F151" s="27" t="s">
        <v>127</v>
      </c>
      <c r="G151" s="795" t="e">
        <f>G150/J150</f>
        <v>#VALUE!</v>
      </c>
      <c r="H151" s="795"/>
      <c r="I151" s="27"/>
      <c r="J151" s="27"/>
      <c r="K151" s="27"/>
      <c r="V151" s="185"/>
    </row>
    <row r="152" spans="1:22" ht="18" hidden="1" customHeight="1">
      <c r="A152" s="184"/>
      <c r="V152" s="185"/>
    </row>
    <row r="153" spans="1:22" ht="18" hidden="1" customHeight="1">
      <c r="A153" s="184"/>
      <c r="E153" s="244" t="s">
        <v>553</v>
      </c>
      <c r="F153" s="27" t="s">
        <v>127</v>
      </c>
      <c r="G153" s="27" t="s">
        <v>495</v>
      </c>
      <c r="H153" s="27" t="s">
        <v>554</v>
      </c>
      <c r="I153" s="120" t="s">
        <v>491</v>
      </c>
      <c r="J153" s="28" t="s">
        <v>347</v>
      </c>
      <c r="K153" s="120" t="s">
        <v>493</v>
      </c>
      <c r="L153" s="28" t="s">
        <v>539</v>
      </c>
      <c r="M153" s="120" t="s">
        <v>491</v>
      </c>
      <c r="N153" s="28" t="s">
        <v>347</v>
      </c>
      <c r="O153" s="120" t="s">
        <v>512</v>
      </c>
      <c r="P153" s="296" t="s">
        <v>350</v>
      </c>
      <c r="V153" s="185"/>
    </row>
    <row r="154" spans="1:22" ht="18" hidden="1" customHeight="1">
      <c r="A154" s="184"/>
      <c r="F154" s="27" t="s">
        <v>127</v>
      </c>
      <c r="G154" s="242">
        <f>S135</f>
        <v>20</v>
      </c>
      <c r="H154" s="245" t="s">
        <v>554</v>
      </c>
      <c r="I154" s="301">
        <f>S132</f>
        <v>12</v>
      </c>
      <c r="J154" s="245" t="s">
        <v>347</v>
      </c>
      <c r="K154" s="301">
        <f>E140</f>
        <v>66</v>
      </c>
      <c r="L154" s="245" t="s">
        <v>539</v>
      </c>
      <c r="M154" s="301">
        <f>S132</f>
        <v>12</v>
      </c>
      <c r="N154" s="245" t="s">
        <v>347</v>
      </c>
      <c r="O154" s="301">
        <f>S133</f>
        <v>1.1750224400000002</v>
      </c>
      <c r="P154" s="461" t="s">
        <v>350</v>
      </c>
      <c r="V154" s="185"/>
    </row>
    <row r="155" spans="1:22" ht="18" hidden="1" customHeight="1">
      <c r="A155" s="184"/>
      <c r="F155" s="27" t="s">
        <v>127</v>
      </c>
      <c r="G155" s="795">
        <f>G154*((I154+K154)/(M154+O154))</f>
        <v>118.40587043432771</v>
      </c>
      <c r="H155" s="795"/>
      <c r="V155" s="185"/>
    </row>
    <row r="156" spans="1:22" ht="18" hidden="1" customHeight="1">
      <c r="A156" s="184"/>
      <c r="V156" s="185"/>
    </row>
    <row r="157" spans="1:22" ht="18" hidden="1" customHeight="1">
      <c r="A157" s="184"/>
      <c r="E157" s="244" t="s">
        <v>555</v>
      </c>
      <c r="F157" s="27" t="e">
        <f>IF(D158&gt;G158,"&gt;","&lt;")</f>
        <v>#VALUE!</v>
      </c>
      <c r="G157" s="296" t="s">
        <v>111</v>
      </c>
      <c r="V157" s="185"/>
    </row>
    <row r="158" spans="1:22" ht="18" hidden="1" customHeight="1">
      <c r="A158" s="184"/>
      <c r="D158" s="795">
        <f>G155</f>
        <v>118.40587043432771</v>
      </c>
      <c r="E158" s="795"/>
      <c r="F158" s="27" t="e">
        <f>F157</f>
        <v>#VALUE!</v>
      </c>
      <c r="G158" s="795" t="e">
        <f>G151</f>
        <v>#VALUE!</v>
      </c>
      <c r="H158" s="795"/>
      <c r="V158" s="185"/>
    </row>
    <row r="159" spans="1:22" ht="18" hidden="1" customHeight="1">
      <c r="A159" s="184"/>
      <c r="E159" s="244" t="s">
        <v>478</v>
      </c>
      <c r="G159" s="18" t="e">
        <f>IF(F157="&gt;","Suitably Dimentioned","Under Dimentioned")</f>
        <v>#VALUE!</v>
      </c>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ht="18" hidden="1" customHeight="1">
      <c r="A173" s="184"/>
      <c r="V173" s="185"/>
    </row>
    <row r="174" spans="1:22" ht="18" hidden="1" customHeight="1">
      <c r="A174" s="184"/>
      <c r="V174" s="185"/>
    </row>
    <row r="175" spans="1:22" ht="18" hidden="1" customHeight="1">
      <c r="A175" s="184"/>
      <c r="V175" s="185"/>
    </row>
    <row r="176" spans="1:22" ht="18" hidden="1" customHeight="1">
      <c r="A176" s="184"/>
      <c r="V176" s="185"/>
    </row>
    <row r="177" spans="1:22" ht="18" hidden="1" customHeight="1">
      <c r="A177" s="184"/>
      <c r="V177" s="185"/>
    </row>
    <row r="178" spans="1:22" ht="18" hidden="1" customHeight="1">
      <c r="A178" s="184"/>
      <c r="V178" s="185"/>
    </row>
    <row r="179" spans="1:22" ht="18" hidden="1" customHeight="1">
      <c r="A179" s="184"/>
      <c r="V179" s="185"/>
    </row>
    <row r="180" spans="1:22" ht="18" hidden="1" customHeight="1">
      <c r="A180" s="184"/>
      <c r="V180" s="185"/>
    </row>
    <row r="181" spans="1:22" ht="18" hidden="1" customHeight="1">
      <c r="A181" s="184"/>
      <c r="V181" s="185"/>
    </row>
    <row r="182" spans="1:22" ht="18" hidden="1" customHeight="1">
      <c r="A182" s="184"/>
      <c r="V182" s="185"/>
    </row>
    <row r="183" spans="1:22" ht="18" hidden="1" customHeight="1">
      <c r="A183" s="184"/>
      <c r="V183" s="185"/>
    </row>
    <row r="184" spans="1:22" ht="18" hidden="1" customHeight="1">
      <c r="A184" s="184"/>
      <c r="V184" s="185"/>
    </row>
    <row r="185" spans="1:22" ht="18" hidden="1" customHeight="1">
      <c r="A185" s="184"/>
      <c r="V185" s="185"/>
    </row>
    <row r="186" spans="1:22" ht="18" hidden="1" customHeight="1">
      <c r="A186" s="184"/>
      <c r="V186" s="185"/>
    </row>
    <row r="187" spans="1:22" ht="18" hidden="1" customHeight="1">
      <c r="A187" s="184"/>
      <c r="V187" s="185"/>
    </row>
    <row r="188" spans="1:22" ht="18" hidden="1" customHeight="1">
      <c r="A188" s="184"/>
      <c r="V188" s="185"/>
    </row>
    <row r="189" spans="1:22" ht="18" hidden="1" customHeight="1">
      <c r="A189" s="184"/>
      <c r="V189" s="185"/>
    </row>
    <row r="190" spans="1:22" ht="18" hidden="1" customHeight="1">
      <c r="A190" s="184"/>
      <c r="V190" s="185"/>
    </row>
    <row r="191" spans="1:22" s="14" customFormat="1" ht="18" hidden="1" customHeight="1">
      <c r="A191" s="194"/>
      <c r="B191" s="195"/>
      <c r="C191" s="195"/>
      <c r="D191" s="195"/>
      <c r="E191" s="195"/>
      <c r="F191" s="195"/>
      <c r="G191" s="195"/>
      <c r="H191" s="195"/>
      <c r="I191" s="195"/>
      <c r="J191" s="195"/>
      <c r="K191" s="195"/>
      <c r="L191" s="195"/>
      <c r="M191" s="195"/>
      <c r="N191" s="195"/>
      <c r="O191" s="195"/>
      <c r="P191" s="195"/>
      <c r="Q191" s="224"/>
      <c r="R191" s="182"/>
      <c r="S191" s="225"/>
      <c r="T191" s="195"/>
      <c r="U191" s="195"/>
      <c r="V191" s="134" t="s">
        <v>552</v>
      </c>
    </row>
    <row r="192" spans="1:22" ht="18" hidden="1" customHeight="1">
      <c r="A192" s="226"/>
      <c r="B192" s="227"/>
      <c r="C192" s="227"/>
      <c r="D192" s="227"/>
      <c r="E192" s="227"/>
      <c r="F192" s="227"/>
      <c r="G192" s="227"/>
      <c r="H192" s="227"/>
      <c r="I192" s="227"/>
      <c r="J192" s="227"/>
      <c r="K192" s="227"/>
      <c r="L192" s="227"/>
      <c r="M192" s="227"/>
      <c r="N192" s="227"/>
      <c r="O192" s="227"/>
      <c r="P192" s="227"/>
      <c r="Q192" s="227"/>
      <c r="R192" s="227"/>
      <c r="S192" s="227"/>
      <c r="T192" s="227"/>
      <c r="U192" s="227"/>
      <c r="V192" s="228"/>
    </row>
    <row r="193" spans="1:23" ht="18" hidden="1" customHeight="1">
      <c r="A193" s="184"/>
      <c r="B193" s="854" t="str">
        <f>B105</f>
        <v>T1</v>
      </c>
      <c r="C193" s="831"/>
      <c r="D193" s="853" t="str">
        <f>D105</f>
        <v>Core1</v>
      </c>
      <c r="E193" s="765"/>
      <c r="F193" s="455"/>
      <c r="H193" s="684" t="str">
        <f>H105</f>
        <v>(OC+BCPU+FMS)</v>
      </c>
      <c r="I193" s="684"/>
      <c r="J193" s="684"/>
      <c r="K193" s="684"/>
      <c r="L193" s="684"/>
      <c r="M193" s="684"/>
      <c r="P193" s="186"/>
      <c r="S193" s="187" t="s">
        <v>387</v>
      </c>
      <c r="T193" s="1123" t="str">
        <f>T105</f>
        <v>REC670</v>
      </c>
      <c r="U193" s="1124"/>
      <c r="V193" s="185"/>
    </row>
    <row r="194" spans="1:23" ht="18" hidden="1" customHeight="1">
      <c r="A194" s="456"/>
      <c r="F194" s="455"/>
      <c r="T194" s="1123" t="str">
        <f>T106</f>
        <v>REF615</v>
      </c>
      <c r="U194" s="1124"/>
      <c r="V194" s="185"/>
    </row>
    <row r="195" spans="1:23" ht="18" hidden="1" customHeight="1">
      <c r="A195" s="184"/>
      <c r="H195" s="708" t="s">
        <v>390</v>
      </c>
      <c r="I195" s="708"/>
      <c r="J195" s="708" t="s">
        <v>391</v>
      </c>
      <c r="K195" s="708"/>
      <c r="L195" s="789" t="s">
        <v>392</v>
      </c>
      <c r="M195" s="789"/>
      <c r="T195" s="1123" t="str">
        <f>T107</f>
        <v>FMS</v>
      </c>
      <c r="U195" s="1124"/>
      <c r="V195" s="185"/>
    </row>
    <row r="196" spans="1:23" ht="18" hidden="1" customHeight="1">
      <c r="A196" s="184"/>
      <c r="B196" s="47" t="s">
        <v>393</v>
      </c>
      <c r="H196" s="854">
        <f>H108</f>
        <v>100</v>
      </c>
      <c r="I196" s="831"/>
      <c r="J196" s="854" t="str">
        <f>J108</f>
        <v>-</v>
      </c>
      <c r="K196" s="831"/>
      <c r="L196" s="863" t="str">
        <f>L108</f>
        <v>-</v>
      </c>
      <c r="M196" s="864"/>
      <c r="N196" s="191" t="s">
        <v>342</v>
      </c>
      <c r="O196" s="256">
        <f>O108</f>
        <v>1</v>
      </c>
      <c r="P196" s="27" t="s">
        <v>8</v>
      </c>
      <c r="R196" s="255"/>
      <c r="S196" s="255"/>
      <c r="V196" s="185"/>
    </row>
    <row r="197" spans="1:23" ht="18" hidden="1" customHeight="1">
      <c r="A197" s="184"/>
      <c r="B197" s="47" t="s">
        <v>394</v>
      </c>
      <c r="L197" s="854" t="str">
        <f>J109</f>
        <v>PX</v>
      </c>
      <c r="M197" s="831"/>
      <c r="V197" s="185"/>
    </row>
    <row r="198" spans="1:23" ht="18" hidden="1" customHeight="1">
      <c r="A198" s="184"/>
      <c r="B198" s="47" t="s">
        <v>396</v>
      </c>
      <c r="K198" s="120" t="s">
        <v>497</v>
      </c>
      <c r="L198" s="1075">
        <v>8</v>
      </c>
      <c r="M198" s="1076"/>
      <c r="N198" s="192" t="s">
        <v>333</v>
      </c>
      <c r="V198" s="185"/>
    </row>
    <row r="199" spans="1:23" ht="18" hidden="1" customHeight="1">
      <c r="A199" s="184"/>
      <c r="B199" s="47" t="s">
        <v>398</v>
      </c>
      <c r="K199" s="120" t="s">
        <v>498</v>
      </c>
      <c r="L199" s="1075">
        <v>800</v>
      </c>
      <c r="M199" s="1076"/>
      <c r="N199" s="14" t="s">
        <v>305</v>
      </c>
      <c r="V199" s="185"/>
      <c r="W199" s="30" t="e">
        <f>G247</f>
        <v>#VALUE!</v>
      </c>
    </row>
    <row r="200" spans="1:23" ht="18" hidden="1" customHeight="1">
      <c r="A200" s="184"/>
      <c r="B200" s="14" t="s">
        <v>401</v>
      </c>
      <c r="K200" s="120" t="s">
        <v>402</v>
      </c>
      <c r="L200" s="1075">
        <v>75</v>
      </c>
      <c r="M200" s="1076"/>
      <c r="N200" s="14" t="s">
        <v>403</v>
      </c>
      <c r="V200" s="185"/>
    </row>
    <row r="201" spans="1:23" ht="18" hidden="1" customHeight="1">
      <c r="A201" s="184"/>
      <c r="V201" s="185"/>
    </row>
    <row r="202" spans="1:23" ht="18" hidden="1" customHeight="1">
      <c r="A202" s="193" t="s">
        <v>404</v>
      </c>
      <c r="V202" s="185"/>
    </row>
    <row r="203" spans="1:23" ht="18" hidden="1" customHeight="1">
      <c r="A203" s="184"/>
      <c r="V203" s="185"/>
    </row>
    <row r="204" spans="1:23" ht="18" hidden="1" customHeight="1">
      <c r="A204" s="184"/>
      <c r="B204" s="135" t="s">
        <v>405</v>
      </c>
      <c r="C204" s="273"/>
      <c r="D204" s="139" t="str">
        <f>T193</f>
        <v>REC670</v>
      </c>
      <c r="E204" s="227"/>
      <c r="F204" s="227"/>
      <c r="G204" s="227"/>
      <c r="H204" s="138"/>
      <c r="I204" s="260" t="s">
        <v>127</v>
      </c>
      <c r="J204" s="722">
        <f>J116</f>
        <v>0.02</v>
      </c>
      <c r="K204" s="958"/>
      <c r="L204" s="3" t="s">
        <v>157</v>
      </c>
      <c r="N204" s="197" t="s">
        <v>510</v>
      </c>
      <c r="V204" s="185"/>
    </row>
    <row r="205" spans="1:23" ht="18" hidden="1" customHeight="1">
      <c r="A205" s="184"/>
      <c r="B205" s="96" t="s">
        <v>405</v>
      </c>
      <c r="C205" s="14"/>
      <c r="D205" s="47" t="str">
        <f>T194</f>
        <v>REF615</v>
      </c>
      <c r="H205" s="28"/>
      <c r="I205" s="101" t="s">
        <v>127</v>
      </c>
      <c r="J205" s="722">
        <f>J117</f>
        <v>0.02</v>
      </c>
      <c r="K205" s="958"/>
      <c r="L205" s="3" t="s">
        <v>157</v>
      </c>
      <c r="N205" s="120" t="s">
        <v>491</v>
      </c>
      <c r="O205" s="27" t="s">
        <v>127</v>
      </c>
      <c r="P205" s="27" t="s">
        <v>511</v>
      </c>
      <c r="Q205" s="27" t="s">
        <v>315</v>
      </c>
      <c r="R205" s="27" t="s">
        <v>511</v>
      </c>
      <c r="S205" s="27" t="s">
        <v>315</v>
      </c>
      <c r="T205" s="27" t="s">
        <v>420</v>
      </c>
      <c r="V205" s="185"/>
    </row>
    <row r="206" spans="1:23" ht="18" hidden="1" customHeight="1">
      <c r="A206" s="184"/>
      <c r="B206" s="96" t="s">
        <v>405</v>
      </c>
      <c r="C206" s="14"/>
      <c r="D206" s="47" t="str">
        <f>T195</f>
        <v>FMS</v>
      </c>
      <c r="H206" s="28"/>
      <c r="I206" s="101" t="s">
        <v>127</v>
      </c>
      <c r="J206" s="722">
        <f>J118</f>
        <v>5.8000000000000003E-2</v>
      </c>
      <c r="K206" s="958"/>
      <c r="L206" s="3" t="s">
        <v>157</v>
      </c>
      <c r="N206" s="27"/>
      <c r="O206" s="27" t="s">
        <v>127</v>
      </c>
      <c r="P206" s="27">
        <f>O196</f>
        <v>1</v>
      </c>
      <c r="Q206" s="27" t="s">
        <v>315</v>
      </c>
      <c r="R206" s="27">
        <f>O196</f>
        <v>1</v>
      </c>
      <c r="S206" s="27" t="s">
        <v>315</v>
      </c>
      <c r="T206" s="27">
        <f>L198</f>
        <v>8</v>
      </c>
      <c r="V206" s="185"/>
    </row>
    <row r="207" spans="1:23" ht="18" hidden="1" customHeight="1">
      <c r="A207" s="184"/>
      <c r="B207" s="452" t="s">
        <v>412</v>
      </c>
      <c r="C207" s="259"/>
      <c r="D207" s="259"/>
      <c r="E207" s="259"/>
      <c r="F207" s="207"/>
      <c r="G207" s="207"/>
      <c r="H207" s="190"/>
      <c r="I207" s="208" t="s">
        <v>127</v>
      </c>
      <c r="J207" s="1120">
        <f>J119</f>
        <v>1.0770224400000001</v>
      </c>
      <c r="K207" s="987"/>
      <c r="L207" s="297" t="s">
        <v>157</v>
      </c>
      <c r="O207" s="27" t="s">
        <v>127</v>
      </c>
      <c r="P207" s="795">
        <f>P206*R206*T206</f>
        <v>8</v>
      </c>
      <c r="Q207" s="684"/>
      <c r="R207" s="27" t="s">
        <v>157</v>
      </c>
      <c r="V207" s="185"/>
    </row>
    <row r="208" spans="1:23" ht="18" hidden="1" customHeight="1">
      <c r="A208" s="184"/>
      <c r="B208" s="1" t="s">
        <v>413</v>
      </c>
      <c r="C208" s="2"/>
      <c r="D208" s="2"/>
      <c r="E208" s="2"/>
      <c r="F208" s="196"/>
      <c r="G208" s="196"/>
      <c r="H208" s="224" t="s">
        <v>512</v>
      </c>
      <c r="I208" s="183" t="s">
        <v>127</v>
      </c>
      <c r="J208" s="722">
        <f>SUM(J204:J207)</f>
        <v>1.1750224400000002</v>
      </c>
      <c r="K208" s="958"/>
      <c r="L208" s="3" t="s">
        <v>157</v>
      </c>
      <c r="V208" s="185"/>
    </row>
    <row r="209" spans="1:25" ht="18" hidden="1" customHeight="1">
      <c r="A209" s="184"/>
      <c r="B209" s="47"/>
      <c r="C209" s="47"/>
      <c r="D209" s="47"/>
      <c r="E209" s="47"/>
      <c r="H209" s="27"/>
      <c r="I209" s="28"/>
      <c r="J209" s="199"/>
      <c r="L209" s="47"/>
      <c r="S209" s="27"/>
      <c r="V209" s="185"/>
    </row>
    <row r="210" spans="1:25" ht="18" hidden="1" customHeight="1">
      <c r="A210" s="1206" t="s">
        <v>536</v>
      </c>
      <c r="B210" s="1207"/>
      <c r="C210" s="1207"/>
      <c r="D210" s="1207"/>
      <c r="E210" s="1207"/>
      <c r="F210" s="1207"/>
      <c r="G210" s="1207"/>
      <c r="H210" s="1207"/>
      <c r="I210" s="1207"/>
      <c r="J210" s="1207"/>
      <c r="K210" s="1207"/>
      <c r="L210" s="1207"/>
      <c r="M210" s="1207"/>
      <c r="N210" s="1207"/>
      <c r="O210" s="1207"/>
      <c r="P210" s="1207"/>
      <c r="Q210" s="1207"/>
      <c r="R210" s="1207"/>
      <c r="S210" s="1207"/>
      <c r="T210" s="1207"/>
      <c r="U210" s="1207"/>
      <c r="V210" s="1208"/>
    </row>
    <row r="211" spans="1:25" ht="18" hidden="1" customHeight="1">
      <c r="A211" s="1209"/>
      <c r="B211" s="1207"/>
      <c r="C211" s="1207"/>
      <c r="D211" s="1207"/>
      <c r="E211" s="1207"/>
      <c r="F211" s="1207"/>
      <c r="G211" s="1207"/>
      <c r="H211" s="1207"/>
      <c r="I211" s="1207"/>
      <c r="J211" s="1207"/>
      <c r="K211" s="1207"/>
      <c r="L211" s="1207"/>
      <c r="M211" s="1207"/>
      <c r="N211" s="1207"/>
      <c r="O211" s="1207"/>
      <c r="P211" s="1207"/>
      <c r="Q211" s="1207"/>
      <c r="R211" s="1207"/>
      <c r="S211" s="1207"/>
      <c r="T211" s="1207"/>
      <c r="U211" s="1207"/>
      <c r="V211" s="1208"/>
    </row>
    <row r="212" spans="1:25" ht="18" hidden="1" customHeight="1">
      <c r="A212" s="184"/>
      <c r="Q212" s="211"/>
      <c r="R212" s="192"/>
      <c r="V212" s="185"/>
    </row>
    <row r="213" spans="1:25" ht="18" hidden="1" customHeight="1">
      <c r="A213" s="184"/>
      <c r="C213" s="14" t="s">
        <v>473</v>
      </c>
      <c r="D213" s="28" t="s">
        <v>127</v>
      </c>
      <c r="E213" s="28" t="s">
        <v>537</v>
      </c>
      <c r="F213" s="120" t="s">
        <v>493</v>
      </c>
      <c r="G213" s="28" t="s">
        <v>347</v>
      </c>
      <c r="H213" s="120" t="s">
        <v>491</v>
      </c>
      <c r="I213" s="28" t="s">
        <v>538</v>
      </c>
      <c r="J213" s="28" t="s">
        <v>495</v>
      </c>
      <c r="K213" s="28" t="s">
        <v>539</v>
      </c>
      <c r="L213" s="28" t="s">
        <v>511</v>
      </c>
      <c r="M213" s="28" t="s">
        <v>315</v>
      </c>
      <c r="N213" s="28">
        <v>1.3</v>
      </c>
      <c r="O213" s="47" t="s">
        <v>350</v>
      </c>
      <c r="V213" s="185"/>
    </row>
    <row r="214" spans="1:25" ht="18" hidden="1" customHeight="1">
      <c r="A214" s="184" t="s">
        <v>540</v>
      </c>
      <c r="C214" s="14"/>
      <c r="D214" s="28"/>
      <c r="E214" s="14"/>
      <c r="F214" s="14"/>
      <c r="G214" s="14"/>
      <c r="H214" s="14"/>
      <c r="I214" s="14"/>
      <c r="J214" s="14"/>
      <c r="K214" s="14"/>
      <c r="L214" s="14"/>
      <c r="M214" s="14"/>
      <c r="N214" s="14"/>
      <c r="O214" s="14"/>
      <c r="V214" s="185"/>
    </row>
    <row r="215" spans="1:25" ht="18" hidden="1" customHeight="1">
      <c r="A215" s="184"/>
      <c r="C215" s="120" t="s">
        <v>493</v>
      </c>
      <c r="D215" s="28" t="s">
        <v>127</v>
      </c>
      <c r="E215" s="28" t="s">
        <v>537</v>
      </c>
      <c r="F215" s="28">
        <v>1.3</v>
      </c>
      <c r="G215" s="28" t="s">
        <v>315</v>
      </c>
      <c r="H215" s="689" t="s">
        <v>473</v>
      </c>
      <c r="I215" s="716"/>
      <c r="J215" s="28" t="s">
        <v>315</v>
      </c>
      <c r="K215" s="28" t="s">
        <v>511</v>
      </c>
      <c r="L215" s="28" t="s">
        <v>541</v>
      </c>
      <c r="M215" s="28" t="s">
        <v>495</v>
      </c>
      <c r="N215" s="47" t="s">
        <v>542</v>
      </c>
      <c r="O215" s="120" t="s">
        <v>491</v>
      </c>
      <c r="V215" s="185"/>
    </row>
    <row r="216" spans="1:25" ht="18" hidden="1" customHeight="1">
      <c r="A216" s="184"/>
      <c r="V216" s="185"/>
    </row>
    <row r="217" spans="1:25" ht="18" hidden="1" customHeight="1">
      <c r="A217" s="168"/>
      <c r="B217" s="5"/>
      <c r="C217" s="47" t="s">
        <v>543</v>
      </c>
      <c r="D217" s="14"/>
      <c r="E217" s="14"/>
      <c r="F217" s="14"/>
      <c r="G217" s="14"/>
      <c r="H217" s="279"/>
      <c r="I217" s="120"/>
      <c r="J217" s="279"/>
      <c r="K217" s="279"/>
      <c r="L217" s="14"/>
      <c r="M217" s="14"/>
      <c r="N217" s="14"/>
      <c r="O217" s="14"/>
      <c r="P217" s="14"/>
      <c r="Q217" s="120" t="s">
        <v>544</v>
      </c>
      <c r="R217" s="102" t="s">
        <v>127</v>
      </c>
      <c r="S217" s="689">
        <f>S129</f>
        <v>600</v>
      </c>
      <c r="T217" s="689"/>
      <c r="U217" s="47" t="s">
        <v>8</v>
      </c>
      <c r="V217" s="185"/>
    </row>
    <row r="218" spans="1:25" ht="18" hidden="1" customHeight="1">
      <c r="A218" s="168"/>
      <c r="B218" s="5"/>
      <c r="C218" s="47" t="s">
        <v>545</v>
      </c>
      <c r="D218" s="14"/>
      <c r="E218" s="14"/>
      <c r="F218" s="18"/>
      <c r="G218" s="18"/>
      <c r="H218" s="279"/>
      <c r="I218" s="120"/>
      <c r="J218" s="279"/>
      <c r="K218" s="279"/>
      <c r="L218" s="14"/>
      <c r="M218" s="14"/>
      <c r="N218" s="14"/>
      <c r="O218" s="14"/>
      <c r="P218" s="14"/>
      <c r="Q218" s="120" t="s">
        <v>423</v>
      </c>
      <c r="R218" s="102" t="s">
        <v>127</v>
      </c>
      <c r="S218" s="689" t="str">
        <f>L196</f>
        <v>-</v>
      </c>
      <c r="T218" s="689"/>
      <c r="U218" s="14" t="s">
        <v>8</v>
      </c>
      <c r="V218" s="185"/>
    </row>
    <row r="219" spans="1:25" ht="18" hidden="1" customHeight="1">
      <c r="A219" s="168"/>
      <c r="B219" s="5"/>
      <c r="C219" s="47" t="s">
        <v>546</v>
      </c>
      <c r="D219" s="14"/>
      <c r="E219" s="14"/>
      <c r="F219" s="18"/>
      <c r="G219" s="18"/>
      <c r="H219" s="279"/>
      <c r="I219" s="120"/>
      <c r="J219" s="279"/>
      <c r="K219" s="279"/>
      <c r="L219" s="14"/>
      <c r="M219" s="14"/>
      <c r="N219" s="14"/>
      <c r="O219" s="14"/>
      <c r="P219" s="14"/>
      <c r="Q219" s="120" t="s">
        <v>473</v>
      </c>
      <c r="R219" s="102" t="s">
        <v>127</v>
      </c>
      <c r="S219" s="689">
        <f>L199</f>
        <v>800</v>
      </c>
      <c r="T219" s="689"/>
      <c r="U219" s="14" t="s">
        <v>305</v>
      </c>
      <c r="V219" s="185"/>
    </row>
    <row r="220" spans="1:25" ht="18" hidden="1" customHeight="1">
      <c r="A220" s="168"/>
      <c r="B220" s="5"/>
      <c r="C220" s="47" t="s">
        <v>547</v>
      </c>
      <c r="D220" s="14"/>
      <c r="E220" s="14"/>
      <c r="F220" s="18"/>
      <c r="G220" s="18"/>
      <c r="H220" s="279"/>
      <c r="I220" s="120"/>
      <c r="J220" s="279"/>
      <c r="K220" s="279"/>
      <c r="L220" s="14"/>
      <c r="M220" s="14"/>
      <c r="N220" s="14"/>
      <c r="O220" s="14"/>
      <c r="P220" s="14"/>
      <c r="Q220" s="120" t="s">
        <v>491</v>
      </c>
      <c r="R220" s="102" t="s">
        <v>127</v>
      </c>
      <c r="S220" s="692">
        <f>P207</f>
        <v>8</v>
      </c>
      <c r="T220" s="689"/>
      <c r="U220" s="14" t="s">
        <v>157</v>
      </c>
      <c r="V220" s="185"/>
      <c r="W220" s="279"/>
      <c r="X220" s="279"/>
      <c r="Y220" s="279"/>
    </row>
    <row r="221" spans="1:25" ht="18" hidden="1" customHeight="1">
      <c r="A221" s="168"/>
      <c r="B221" s="5"/>
      <c r="C221" s="47" t="s">
        <v>548</v>
      </c>
      <c r="D221" s="14"/>
      <c r="E221" s="14"/>
      <c r="F221" s="18"/>
      <c r="G221" s="18"/>
      <c r="H221" s="279"/>
      <c r="I221" s="120"/>
      <c r="J221" s="279"/>
      <c r="K221" s="279"/>
      <c r="L221" s="14"/>
      <c r="M221" s="14"/>
      <c r="N221" s="14"/>
      <c r="O221" s="14"/>
      <c r="P221" s="14"/>
      <c r="Q221" s="120" t="s">
        <v>512</v>
      </c>
      <c r="R221" s="102" t="s">
        <v>127</v>
      </c>
      <c r="S221" s="692">
        <f>J208</f>
        <v>1.1750224400000002</v>
      </c>
      <c r="T221" s="689"/>
      <c r="U221" s="14" t="s">
        <v>157</v>
      </c>
      <c r="V221" s="185"/>
      <c r="X221" s="279"/>
      <c r="Y221" s="279"/>
    </row>
    <row r="222" spans="1:25" ht="18" hidden="1" customHeight="1">
      <c r="A222" s="168"/>
      <c r="B222" s="5"/>
      <c r="C222" s="47" t="s">
        <v>549</v>
      </c>
      <c r="D222" s="14"/>
      <c r="E222" s="14"/>
      <c r="F222" s="14"/>
      <c r="G222" s="14"/>
      <c r="H222" s="279"/>
      <c r="I222" s="120"/>
      <c r="J222" s="279"/>
      <c r="K222" s="279"/>
      <c r="L222" s="14"/>
      <c r="M222" s="14"/>
      <c r="N222" s="14"/>
      <c r="O222" s="14"/>
      <c r="P222" s="14"/>
      <c r="Q222" s="120" t="s">
        <v>511</v>
      </c>
      <c r="R222" s="102" t="s">
        <v>127</v>
      </c>
      <c r="S222" s="689">
        <f>O196</f>
        <v>1</v>
      </c>
      <c r="T222" s="689"/>
      <c r="U222" s="14" t="s">
        <v>8</v>
      </c>
      <c r="V222" s="185"/>
      <c r="X222" s="279"/>
      <c r="Y222" s="279"/>
    </row>
    <row r="223" spans="1:25" ht="18" hidden="1" customHeight="1">
      <c r="A223" s="168"/>
      <c r="B223" s="5"/>
      <c r="C223" s="47" t="s">
        <v>550</v>
      </c>
      <c r="D223" s="14"/>
      <c r="E223" s="14"/>
      <c r="F223" s="14"/>
      <c r="G223" s="14"/>
      <c r="H223" s="279"/>
      <c r="I223" s="120"/>
      <c r="J223" s="279"/>
      <c r="K223" s="279"/>
      <c r="L223" s="14"/>
      <c r="M223" s="14"/>
      <c r="N223" s="14"/>
      <c r="O223" s="14"/>
      <c r="P223" s="14"/>
      <c r="Q223" s="120" t="s">
        <v>495</v>
      </c>
      <c r="R223" s="102" t="s">
        <v>127</v>
      </c>
      <c r="S223" s="689">
        <v>20</v>
      </c>
      <c r="T223" s="689"/>
      <c r="U223" s="47"/>
      <c r="V223" s="185"/>
    </row>
    <row r="224" spans="1:25" ht="18" hidden="1" customHeight="1">
      <c r="A224" s="299"/>
      <c r="B224" s="279"/>
      <c r="C224" s="47" t="s">
        <v>551</v>
      </c>
      <c r="D224" s="14"/>
      <c r="E224" s="14"/>
      <c r="F224" s="14"/>
      <c r="G224" s="14"/>
      <c r="H224" s="279"/>
      <c r="I224" s="120"/>
      <c r="J224" s="279"/>
      <c r="K224" s="279"/>
      <c r="L224" s="14"/>
      <c r="M224" s="14"/>
      <c r="N224" s="279"/>
      <c r="O224" s="279"/>
      <c r="P224" s="14"/>
      <c r="Q224" s="120" t="s">
        <v>493</v>
      </c>
      <c r="R224" s="14"/>
      <c r="S224" s="279"/>
      <c r="T224" s="279"/>
      <c r="U224" s="279"/>
      <c r="V224" s="300"/>
      <c r="W224" s="279"/>
      <c r="X224" s="279"/>
      <c r="Y224" s="279"/>
    </row>
    <row r="225" spans="1:22" ht="18" hidden="1" customHeight="1">
      <c r="A225" s="184"/>
      <c r="V225" s="185"/>
    </row>
    <row r="226" spans="1:22" ht="18" hidden="1" customHeight="1">
      <c r="A226" s="184"/>
      <c r="C226" s="120" t="s">
        <v>493</v>
      </c>
      <c r="D226" s="28" t="s">
        <v>127</v>
      </c>
      <c r="E226" s="28" t="s">
        <v>537</v>
      </c>
      <c r="F226" s="28">
        <v>1.3</v>
      </c>
      <c r="G226" s="28" t="s">
        <v>315</v>
      </c>
      <c r="H226" s="689" t="s">
        <v>473</v>
      </c>
      <c r="I226" s="716"/>
      <c r="J226" s="28" t="s">
        <v>315</v>
      </c>
      <c r="K226" s="28" t="s">
        <v>511</v>
      </c>
      <c r="L226" s="28" t="s">
        <v>541</v>
      </c>
      <c r="M226" s="28" t="s">
        <v>495</v>
      </c>
      <c r="N226" s="47" t="s">
        <v>542</v>
      </c>
      <c r="O226" s="120" t="s">
        <v>491</v>
      </c>
      <c r="V226" s="185"/>
    </row>
    <row r="227" spans="1:22" ht="18" hidden="1" customHeight="1">
      <c r="A227" s="184"/>
      <c r="C227" s="120" t="s">
        <v>493</v>
      </c>
      <c r="D227" s="28" t="s">
        <v>127</v>
      </c>
      <c r="E227" s="28" t="s">
        <v>537</v>
      </c>
      <c r="F227" s="28">
        <v>1.3</v>
      </c>
      <c r="G227" s="28" t="s">
        <v>315</v>
      </c>
      <c r="H227" s="689">
        <f>S219</f>
        <v>800</v>
      </c>
      <c r="I227" s="716"/>
      <c r="J227" s="28" t="s">
        <v>315</v>
      </c>
      <c r="K227" s="28">
        <f>S222</f>
        <v>1</v>
      </c>
      <c r="L227" s="28" t="s">
        <v>541</v>
      </c>
      <c r="M227" s="28">
        <f>S223</f>
        <v>20</v>
      </c>
      <c r="N227" s="47" t="s">
        <v>542</v>
      </c>
      <c r="O227" s="502">
        <f>S220</f>
        <v>8</v>
      </c>
      <c r="V227" s="185"/>
    </row>
    <row r="228" spans="1:22" ht="18" hidden="1" customHeight="1">
      <c r="A228" s="184"/>
      <c r="D228" s="27" t="s">
        <v>127</v>
      </c>
      <c r="E228" s="684">
        <f>((F227*H227*K227)/M227)-O227</f>
        <v>44</v>
      </c>
      <c r="F228" s="684"/>
      <c r="G228" s="27" t="s">
        <v>157</v>
      </c>
      <c r="V228" s="185"/>
    </row>
    <row r="229" spans="1:22" ht="18" hidden="1" customHeight="1">
      <c r="A229" s="184"/>
      <c r="D229" s="27"/>
      <c r="E229" s="27"/>
      <c r="F229" s="27"/>
      <c r="G229" s="27"/>
      <c r="V229" s="185"/>
    </row>
    <row r="230" spans="1:22" ht="18" hidden="1" customHeight="1">
      <c r="A230" s="184"/>
      <c r="D230" s="27"/>
      <c r="E230" s="27"/>
      <c r="F230" s="27"/>
      <c r="G230" s="27"/>
      <c r="V230" s="185"/>
    </row>
    <row r="231" spans="1:22" ht="18" hidden="1" customHeight="1">
      <c r="A231" s="184"/>
      <c r="D231" s="27"/>
      <c r="E231" s="27"/>
      <c r="F231" s="27"/>
      <c r="G231" s="27"/>
      <c r="V231" s="185"/>
    </row>
    <row r="232" spans="1:22" ht="18" hidden="1" customHeight="1">
      <c r="A232" s="184"/>
      <c r="D232" s="27"/>
      <c r="E232" s="27"/>
      <c r="F232" s="27"/>
      <c r="G232" s="27"/>
      <c r="V232" s="185"/>
    </row>
    <row r="233" spans="1:22" ht="18" hidden="1" customHeight="1">
      <c r="A233" s="184"/>
      <c r="D233" s="27"/>
      <c r="E233" s="27"/>
      <c r="F233" s="27"/>
      <c r="G233" s="27"/>
      <c r="V233" s="185"/>
    </row>
    <row r="234" spans="1:22" ht="18" hidden="1" customHeight="1">
      <c r="A234" s="184"/>
      <c r="V234" s="185"/>
    </row>
    <row r="235" spans="1:22" s="14" customFormat="1" ht="18" hidden="1" customHeight="1">
      <c r="A235" s="194"/>
      <c r="B235" s="195"/>
      <c r="C235" s="195"/>
      <c r="D235" s="195"/>
      <c r="E235" s="195"/>
      <c r="F235" s="195"/>
      <c r="G235" s="195"/>
      <c r="H235" s="195"/>
      <c r="I235" s="195"/>
      <c r="J235" s="195"/>
      <c r="K235" s="195"/>
      <c r="L235" s="195"/>
      <c r="M235" s="195"/>
      <c r="N235" s="195"/>
      <c r="O235" s="195"/>
      <c r="P235" s="195"/>
      <c r="Q235" s="224"/>
      <c r="R235" s="182"/>
      <c r="S235" s="225"/>
      <c r="T235" s="195"/>
      <c r="U235" s="195"/>
      <c r="V235" s="134" t="s">
        <v>552</v>
      </c>
    </row>
    <row r="236" spans="1:22" ht="18" hidden="1" customHeight="1">
      <c r="A236" s="226"/>
      <c r="B236" s="227"/>
      <c r="C236" s="227"/>
      <c r="D236" s="227"/>
      <c r="E236" s="227"/>
      <c r="F236" s="227"/>
      <c r="G236" s="227"/>
      <c r="H236" s="227"/>
      <c r="I236" s="227"/>
      <c r="J236" s="227"/>
      <c r="K236" s="227"/>
      <c r="L236" s="227"/>
      <c r="M236" s="227"/>
      <c r="N236" s="227"/>
      <c r="O236" s="227"/>
      <c r="P236" s="227"/>
      <c r="Q236" s="227"/>
      <c r="R236" s="227"/>
      <c r="S236" s="227"/>
      <c r="T236" s="227"/>
      <c r="U236" s="227"/>
      <c r="V236" s="228"/>
    </row>
    <row r="237" spans="1:22" ht="18" hidden="1" customHeight="1">
      <c r="A237" s="184"/>
      <c r="E237" s="244" t="s">
        <v>111</v>
      </c>
      <c r="F237" s="27" t="s">
        <v>127</v>
      </c>
      <c r="G237" s="689" t="s">
        <v>544</v>
      </c>
      <c r="H237" s="689"/>
      <c r="I237" s="191" t="s">
        <v>342</v>
      </c>
      <c r="J237" s="684" t="s">
        <v>423</v>
      </c>
      <c r="K237" s="684"/>
      <c r="V237" s="185"/>
    </row>
    <row r="238" spans="1:22" ht="18" hidden="1" customHeight="1">
      <c r="A238" s="184"/>
      <c r="F238" s="27" t="s">
        <v>127</v>
      </c>
      <c r="G238" s="684">
        <f>S217</f>
        <v>600</v>
      </c>
      <c r="H238" s="684"/>
      <c r="I238" s="191" t="s">
        <v>342</v>
      </c>
      <c r="J238" s="684" t="str">
        <f>S218</f>
        <v>-</v>
      </c>
      <c r="K238" s="684"/>
      <c r="V238" s="185"/>
    </row>
    <row r="239" spans="1:22" ht="18" hidden="1" customHeight="1">
      <c r="A239" s="184"/>
      <c r="F239" s="27" t="s">
        <v>127</v>
      </c>
      <c r="G239" s="795" t="e">
        <f>G238/J238</f>
        <v>#VALUE!</v>
      </c>
      <c r="H239" s="795"/>
      <c r="I239" s="27"/>
      <c r="J239" s="27"/>
      <c r="K239" s="27"/>
      <c r="V239" s="185"/>
    </row>
    <row r="240" spans="1:22" ht="18" hidden="1" customHeight="1">
      <c r="A240" s="184"/>
      <c r="V240" s="185"/>
    </row>
    <row r="241" spans="1:22" ht="18" hidden="1" customHeight="1">
      <c r="A241" s="184"/>
      <c r="E241" s="244" t="s">
        <v>553</v>
      </c>
      <c r="F241" s="27" t="s">
        <v>127</v>
      </c>
      <c r="G241" s="27" t="s">
        <v>495</v>
      </c>
      <c r="H241" s="27" t="s">
        <v>554</v>
      </c>
      <c r="I241" s="120" t="s">
        <v>491</v>
      </c>
      <c r="J241" s="28" t="s">
        <v>347</v>
      </c>
      <c r="K241" s="120" t="s">
        <v>493</v>
      </c>
      <c r="L241" s="28" t="s">
        <v>539</v>
      </c>
      <c r="M241" s="120" t="s">
        <v>491</v>
      </c>
      <c r="N241" s="28" t="s">
        <v>347</v>
      </c>
      <c r="O241" s="120" t="s">
        <v>512</v>
      </c>
      <c r="P241" s="296" t="s">
        <v>350</v>
      </c>
      <c r="V241" s="185"/>
    </row>
    <row r="242" spans="1:22" ht="18" hidden="1" customHeight="1">
      <c r="A242" s="184"/>
      <c r="F242" s="27" t="s">
        <v>127</v>
      </c>
      <c r="G242" s="242">
        <f>S223</f>
        <v>20</v>
      </c>
      <c r="H242" s="245" t="s">
        <v>554</v>
      </c>
      <c r="I242" s="301">
        <f>S220</f>
        <v>8</v>
      </c>
      <c r="J242" s="245" t="s">
        <v>347</v>
      </c>
      <c r="K242" s="301">
        <f>E228</f>
        <v>44</v>
      </c>
      <c r="L242" s="245" t="s">
        <v>539</v>
      </c>
      <c r="M242" s="301">
        <f>S220</f>
        <v>8</v>
      </c>
      <c r="N242" s="245" t="s">
        <v>347</v>
      </c>
      <c r="O242" s="301">
        <f>S221</f>
        <v>1.1750224400000002</v>
      </c>
      <c r="P242" s="461" t="s">
        <v>350</v>
      </c>
      <c r="V242" s="185"/>
    </row>
    <row r="243" spans="1:22" ht="18" hidden="1" customHeight="1">
      <c r="A243" s="184"/>
      <c r="F243" s="27" t="s">
        <v>127</v>
      </c>
      <c r="G243" s="795">
        <f>G242*((I242+K242)/(M242+O242))</f>
        <v>113.35122140584106</v>
      </c>
      <c r="H243" s="795"/>
      <c r="V243" s="185"/>
    </row>
    <row r="244" spans="1:22" ht="18" hidden="1" customHeight="1">
      <c r="A244" s="184"/>
      <c r="V244" s="185"/>
    </row>
    <row r="245" spans="1:22" ht="18" hidden="1" customHeight="1">
      <c r="A245" s="184"/>
      <c r="E245" s="244" t="s">
        <v>555</v>
      </c>
      <c r="F245" s="27" t="e">
        <f>IF(D246&gt;G246,"&gt;","&lt;")</f>
        <v>#VALUE!</v>
      </c>
      <c r="G245" s="296" t="s">
        <v>111</v>
      </c>
      <c r="V245" s="185"/>
    </row>
    <row r="246" spans="1:22" ht="18" hidden="1" customHeight="1">
      <c r="A246" s="184"/>
      <c r="D246" s="795">
        <f>G243</f>
        <v>113.35122140584106</v>
      </c>
      <c r="E246" s="795"/>
      <c r="F246" s="27" t="e">
        <f>F245</f>
        <v>#VALUE!</v>
      </c>
      <c r="G246" s="795" t="e">
        <f>G239</f>
        <v>#VALUE!</v>
      </c>
      <c r="H246" s="795"/>
      <c r="V246" s="185"/>
    </row>
    <row r="247" spans="1:22" ht="18" hidden="1" customHeight="1">
      <c r="A247" s="184"/>
      <c r="E247" s="244" t="s">
        <v>478</v>
      </c>
      <c r="G247" s="18" t="e">
        <f>IF(F245="&gt;","Suitably Dimentioned","Under Dimentioned")</f>
        <v>#VALUE!</v>
      </c>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ht="18" hidden="1" customHeight="1">
      <c r="A266" s="184"/>
      <c r="V266" s="185"/>
    </row>
    <row r="267" spans="1:22" ht="18" hidden="1" customHeight="1">
      <c r="A267" s="184"/>
      <c r="V267" s="185"/>
    </row>
    <row r="268" spans="1:22" ht="18" hidden="1" customHeight="1">
      <c r="A268" s="184"/>
      <c r="V268" s="185"/>
    </row>
    <row r="269" spans="1:22" ht="18" hidden="1" customHeight="1">
      <c r="A269" s="184"/>
      <c r="V269" s="185"/>
    </row>
    <row r="270" spans="1:22" ht="18" hidden="1" customHeight="1">
      <c r="A270" s="184"/>
      <c r="V270" s="185"/>
    </row>
    <row r="271" spans="1:22" ht="18" hidden="1" customHeight="1">
      <c r="A271" s="184"/>
      <c r="V271" s="185"/>
    </row>
    <row r="272" spans="1:22" ht="18" hidden="1" customHeight="1">
      <c r="A272" s="184"/>
      <c r="V272" s="185"/>
    </row>
    <row r="273" spans="1:22" ht="18" hidden="1" customHeight="1">
      <c r="A273" s="184"/>
      <c r="V273" s="185"/>
    </row>
    <row r="274" spans="1:22" ht="18" hidden="1" customHeight="1">
      <c r="A274" s="184"/>
      <c r="V274" s="185"/>
    </row>
    <row r="275" spans="1:22" ht="18" hidden="1" customHeight="1">
      <c r="A275" s="184"/>
      <c r="V275" s="185"/>
    </row>
    <row r="276" spans="1:22" ht="18" hidden="1" customHeight="1">
      <c r="A276" s="184"/>
      <c r="V276" s="185"/>
    </row>
    <row r="277" spans="1:22" ht="18" hidden="1" customHeight="1">
      <c r="A277" s="184"/>
      <c r="V277" s="185"/>
    </row>
    <row r="278" spans="1:22" ht="18" hidden="1" customHeight="1">
      <c r="A278" s="184"/>
      <c r="V278" s="185"/>
    </row>
    <row r="279" spans="1:22" s="14" customFormat="1" ht="18" customHeight="1">
      <c r="A279" s="194"/>
      <c r="B279" s="195"/>
      <c r="C279" s="195"/>
      <c r="D279" s="195"/>
      <c r="E279" s="195"/>
      <c r="F279" s="195"/>
      <c r="G279" s="195"/>
      <c r="H279" s="195"/>
      <c r="I279" s="195"/>
      <c r="J279" s="195"/>
      <c r="K279" s="195"/>
      <c r="L279" s="195"/>
      <c r="M279" s="195"/>
      <c r="N279" s="195"/>
      <c r="O279" s="195"/>
      <c r="P279" s="195"/>
      <c r="Q279" s="224"/>
      <c r="R279" s="182"/>
      <c r="S279" s="225"/>
      <c r="T279" s="195"/>
      <c r="U279" s="195"/>
      <c r="V279" s="134"/>
    </row>
    <row r="280" spans="1:22" ht="18" customHeight="1">
      <c r="A280" s="226"/>
      <c r="B280" s="227"/>
      <c r="C280" s="227"/>
      <c r="D280" s="227"/>
      <c r="E280" s="227"/>
      <c r="F280" s="227"/>
      <c r="G280" s="227"/>
      <c r="H280" s="227"/>
      <c r="I280" s="227"/>
      <c r="J280" s="227"/>
      <c r="K280" s="227"/>
      <c r="L280" s="227"/>
      <c r="M280" s="227"/>
      <c r="N280" s="227"/>
      <c r="O280" s="227"/>
      <c r="P280" s="227"/>
      <c r="Q280" s="227"/>
      <c r="R280" s="227"/>
      <c r="S280" s="227"/>
      <c r="T280" s="227"/>
      <c r="U280" s="227"/>
      <c r="V280" s="228"/>
    </row>
    <row r="281" spans="1:22" ht="18" customHeight="1">
      <c r="A281" s="262" t="s">
        <v>532</v>
      </c>
      <c r="B281" s="14"/>
      <c r="C281" s="14"/>
      <c r="D281" s="120"/>
      <c r="E281" s="120"/>
      <c r="F281" s="18"/>
      <c r="G281" s="18"/>
      <c r="H281" s="14"/>
      <c r="I281" s="14"/>
      <c r="J281" s="14"/>
      <c r="K281" s="14"/>
      <c r="L281" s="14"/>
      <c r="M281" s="14"/>
      <c r="N281" s="14"/>
      <c r="O281" s="14"/>
      <c r="P281" s="28"/>
      <c r="Q281" s="120"/>
      <c r="R281" s="47"/>
      <c r="S281" s="206"/>
      <c r="T281" s="259"/>
      <c r="U281" s="14"/>
      <c r="V281" s="97"/>
    </row>
    <row r="282" spans="1:22" customFormat="1" ht="18" customHeight="1">
      <c r="A282" s="868" t="s">
        <v>85</v>
      </c>
      <c r="B282" s="868"/>
      <c r="C282" s="869"/>
      <c r="D282" s="868" t="s">
        <v>86</v>
      </c>
      <c r="E282" s="868"/>
      <c r="F282" s="868"/>
      <c r="G282" s="868" t="s">
        <v>87</v>
      </c>
      <c r="H282" s="868"/>
      <c r="I282" s="868" t="s">
        <v>88</v>
      </c>
      <c r="J282" s="868"/>
      <c r="K282" s="868" t="s">
        <v>502</v>
      </c>
      <c r="L282" s="868"/>
      <c r="M282" s="868" t="s">
        <v>503</v>
      </c>
      <c r="N282" s="868"/>
      <c r="O282" s="868" t="s">
        <v>504</v>
      </c>
      <c r="P282" s="868"/>
      <c r="Q282" s="868" t="s">
        <v>505</v>
      </c>
      <c r="R282" s="868"/>
      <c r="S282" s="868" t="s">
        <v>93</v>
      </c>
      <c r="T282" s="868"/>
      <c r="U282" s="868"/>
      <c r="V282" s="868"/>
    </row>
    <row r="283" spans="1:22" customFormat="1" ht="18" customHeight="1">
      <c r="A283" s="868"/>
      <c r="B283" s="868"/>
      <c r="C283" s="869"/>
      <c r="D283" s="868"/>
      <c r="E283" s="868"/>
      <c r="F283" s="868"/>
      <c r="G283" s="868"/>
      <c r="H283" s="868"/>
      <c r="I283" s="868"/>
      <c r="J283" s="868"/>
      <c r="K283" s="868"/>
      <c r="L283" s="868"/>
      <c r="M283" s="868"/>
      <c r="N283" s="868"/>
      <c r="O283" s="868"/>
      <c r="P283" s="868"/>
      <c r="Q283" s="868"/>
      <c r="R283" s="868"/>
      <c r="S283" s="868"/>
      <c r="T283" s="868"/>
      <c r="U283" s="868"/>
      <c r="V283" s="868"/>
    </row>
    <row r="284" spans="1:22" customFormat="1" ht="18" customHeight="1">
      <c r="A284" s="868"/>
      <c r="B284" s="868"/>
      <c r="C284" s="869"/>
      <c r="D284" s="868"/>
      <c r="E284" s="868"/>
      <c r="F284" s="868"/>
      <c r="G284" s="868"/>
      <c r="H284" s="868"/>
      <c r="I284" s="868"/>
      <c r="J284" s="868"/>
      <c r="K284" s="868"/>
      <c r="L284" s="868"/>
      <c r="M284" s="868"/>
      <c r="N284" s="868"/>
      <c r="O284" s="868"/>
      <c r="P284" s="868"/>
      <c r="Q284" s="868"/>
      <c r="R284" s="868"/>
      <c r="S284" s="868"/>
      <c r="T284" s="868"/>
      <c r="U284" s="868"/>
      <c r="V284" s="868"/>
    </row>
    <row r="285" spans="1:22" customFormat="1" ht="18" customHeight="1">
      <c r="A285" s="868"/>
      <c r="B285" s="868"/>
      <c r="C285" s="869"/>
      <c r="D285" s="868"/>
      <c r="E285" s="868"/>
      <c r="F285" s="868"/>
      <c r="G285" s="868"/>
      <c r="H285" s="868"/>
      <c r="I285" s="868"/>
      <c r="J285" s="868"/>
      <c r="K285" s="868"/>
      <c r="L285" s="868"/>
      <c r="M285" s="868"/>
      <c r="N285" s="868"/>
      <c r="O285" s="868"/>
      <c r="P285" s="868"/>
      <c r="Q285" s="868"/>
      <c r="R285" s="868"/>
      <c r="S285" s="868"/>
      <c r="T285" s="868"/>
      <c r="U285" s="868"/>
      <c r="V285" s="868"/>
    </row>
    <row r="286" spans="1:22" customFormat="1" ht="18" customHeight="1">
      <c r="A286" s="765" t="str">
        <f>B7</f>
        <v>T1</v>
      </c>
      <c r="B286" s="765" t="str">
        <f>D7</f>
        <v>Core1</v>
      </c>
      <c r="C286" s="765"/>
      <c r="D286" s="870">
        <f>H10</f>
        <v>100</v>
      </c>
      <c r="E286" s="870"/>
      <c r="F286" s="871">
        <f>O10</f>
        <v>1</v>
      </c>
      <c r="G286" s="870">
        <f>'CT-VT Burdens'!S21</f>
        <v>120</v>
      </c>
      <c r="H286" s="874">
        <f>'CT-VT Burdens'!S10</f>
        <v>6</v>
      </c>
      <c r="I286" s="874" t="str">
        <f>H11</f>
        <v>PX</v>
      </c>
      <c r="J286" s="874"/>
      <c r="K286" s="869">
        <f>H12</f>
        <v>0.32</v>
      </c>
      <c r="L286" s="869"/>
      <c r="M286" s="869">
        <f>H13</f>
        <v>145</v>
      </c>
      <c r="N286" s="869"/>
      <c r="O286" s="870">
        <f>H14</f>
        <v>50</v>
      </c>
      <c r="P286" s="870"/>
      <c r="Q286" s="879" t="str">
        <f>CONCATENATE(T7,T8,T9)</f>
        <v>REC670REF615FMS</v>
      </c>
      <c r="R286" s="879"/>
      <c r="S286" s="876" t="s">
        <v>533</v>
      </c>
      <c r="T286" s="870"/>
      <c r="U286" s="870"/>
      <c r="V286" s="870"/>
    </row>
    <row r="287" spans="1:22" customFormat="1" ht="18" customHeight="1">
      <c r="A287" s="765"/>
      <c r="B287" s="765"/>
      <c r="C287" s="765"/>
      <c r="D287" s="876" t="s">
        <v>6</v>
      </c>
      <c r="E287" s="870"/>
      <c r="F287" s="872"/>
      <c r="G287" s="870"/>
      <c r="H287" s="870"/>
      <c r="I287" s="874"/>
      <c r="J287" s="874"/>
      <c r="K287" s="875" t="s">
        <v>6</v>
      </c>
      <c r="L287" s="869"/>
      <c r="M287" s="875" t="s">
        <v>6</v>
      </c>
      <c r="N287" s="869"/>
      <c r="O287" s="876" t="s">
        <v>6</v>
      </c>
      <c r="P287" s="870"/>
      <c r="Q287" s="879"/>
      <c r="R287" s="879"/>
      <c r="S287" s="876" t="s">
        <v>6</v>
      </c>
      <c r="T287" s="870"/>
      <c r="U287" s="870"/>
      <c r="V287" s="870"/>
    </row>
    <row r="288" spans="1:22" customFormat="1" ht="18" customHeight="1">
      <c r="A288" s="765"/>
      <c r="B288" s="765"/>
      <c r="C288" s="765"/>
      <c r="D288" s="876" t="s">
        <v>6</v>
      </c>
      <c r="E288" s="870"/>
      <c r="F288" s="873"/>
      <c r="G288" s="870"/>
      <c r="H288" s="870"/>
      <c r="I288" s="874"/>
      <c r="J288" s="874"/>
      <c r="K288" s="875" t="s">
        <v>6</v>
      </c>
      <c r="L288" s="869"/>
      <c r="M288" s="875" t="s">
        <v>6</v>
      </c>
      <c r="N288" s="869"/>
      <c r="O288" s="876" t="s">
        <v>6</v>
      </c>
      <c r="P288" s="870"/>
      <c r="Q288" s="879"/>
      <c r="R288" s="879"/>
      <c r="S288" s="870" t="s">
        <v>6</v>
      </c>
      <c r="T288" s="870"/>
      <c r="U288" s="870"/>
      <c r="V288" s="870"/>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84"/>
      <c r="V307" s="185"/>
    </row>
    <row r="308" spans="1:22" ht="18" customHeight="1">
      <c r="A308" s="184"/>
      <c r="V308" s="185"/>
    </row>
    <row r="309" spans="1:22" ht="18" customHeight="1">
      <c r="A309" s="184"/>
      <c r="V309" s="185"/>
    </row>
    <row r="310" spans="1:22" ht="18" customHeight="1">
      <c r="A310" s="184"/>
      <c r="V310" s="185"/>
    </row>
    <row r="311" spans="1:22" ht="18" customHeight="1">
      <c r="A311" s="184"/>
      <c r="V311" s="185"/>
    </row>
    <row r="312" spans="1:22" ht="18" customHeight="1">
      <c r="A312" s="184"/>
      <c r="V312" s="185"/>
    </row>
    <row r="313" spans="1:22" ht="18" customHeight="1">
      <c r="A313" s="184"/>
      <c r="V313" s="185"/>
    </row>
    <row r="314" spans="1:22" ht="18" customHeight="1">
      <c r="A314" s="184"/>
      <c r="V314" s="185"/>
    </row>
    <row r="315" spans="1:22" ht="18" customHeight="1">
      <c r="A315" s="184"/>
      <c r="V315" s="185"/>
    </row>
    <row r="316" spans="1:22" ht="18" customHeight="1">
      <c r="A316" s="184"/>
      <c r="V316" s="185"/>
    </row>
    <row r="317" spans="1:22" ht="18" customHeight="1">
      <c r="A317" s="184"/>
      <c r="V317" s="185"/>
    </row>
    <row r="318" spans="1:22" ht="18" customHeight="1">
      <c r="A318" s="184"/>
      <c r="V318" s="185"/>
    </row>
    <row r="319" spans="1:22" ht="18" customHeight="1">
      <c r="A319" s="184"/>
      <c r="V319" s="185"/>
    </row>
    <row r="320" spans="1:22" ht="18" customHeight="1">
      <c r="A320" s="184"/>
      <c r="V320" s="185"/>
    </row>
    <row r="321" spans="1:22" ht="18" customHeight="1">
      <c r="A321" s="184"/>
      <c r="V321" s="185"/>
    </row>
    <row r="322" spans="1:22" s="14" customFormat="1" ht="18" customHeight="1">
      <c r="A322" s="194"/>
      <c r="B322" s="195"/>
      <c r="C322" s="195"/>
      <c r="D322" s="195"/>
      <c r="E322" s="195"/>
      <c r="F322" s="195"/>
      <c r="G322" s="195"/>
      <c r="H322" s="195"/>
      <c r="I322" s="195"/>
      <c r="J322" s="195"/>
      <c r="K322" s="195"/>
      <c r="L322" s="195"/>
      <c r="M322" s="195"/>
      <c r="N322" s="195"/>
      <c r="O322" s="195"/>
      <c r="P322" s="195"/>
      <c r="Q322" s="224"/>
      <c r="R322" s="182"/>
      <c r="S322" s="225"/>
      <c r="T322" s="195"/>
      <c r="U322" s="195"/>
      <c r="V322" s="134"/>
    </row>
  </sheetData>
  <mergeCells count="236">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140" priority="2" stopIfTrue="1" operator="equal">
      <formula>"Under Dimentioned"</formula>
    </cfRule>
  </conditionalFormatting>
  <conditionalFormatting sqref="H72">
    <cfRule type="cellIs" dxfId="13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codeName="Sheet29">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707</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99" t="s">
        <v>108</v>
      </c>
      <c r="C7" s="1100"/>
      <c r="D7" s="1099" t="s">
        <v>506</v>
      </c>
      <c r="E7" s="1101"/>
      <c r="F7" s="255"/>
      <c r="H7" s="684" t="s">
        <v>565</v>
      </c>
      <c r="I7" s="684"/>
      <c r="J7" s="684"/>
      <c r="K7" s="684"/>
      <c r="L7" s="684"/>
      <c r="M7" s="684"/>
      <c r="P7" s="186"/>
      <c r="R7" s="255"/>
      <c r="S7" s="187" t="s">
        <v>387</v>
      </c>
      <c r="T7" s="1216" t="s">
        <v>244</v>
      </c>
      <c r="U7" s="1247"/>
      <c r="V7" s="185"/>
    </row>
    <row r="8" spans="1:24" ht="18" customHeight="1">
      <c r="A8" s="184"/>
      <c r="B8" s="1097"/>
      <c r="C8" s="1098"/>
      <c r="D8" s="1102"/>
      <c r="E8" s="1103"/>
      <c r="F8" s="255"/>
      <c r="T8" s="1216" t="s">
        <v>566</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100</v>
      </c>
      <c r="I10" s="792"/>
      <c r="J10" s="781" t="s">
        <v>6</v>
      </c>
      <c r="K10" s="782"/>
      <c r="L10" s="781" t="s">
        <v>6</v>
      </c>
      <c r="M10" s="782"/>
      <c r="N10" s="191" t="s">
        <v>342</v>
      </c>
      <c r="O10" s="125">
        <v>1</v>
      </c>
      <c r="P10" s="27" t="s">
        <v>8</v>
      </c>
      <c r="T10" s="1216"/>
      <c r="U10" s="1247"/>
      <c r="V10" s="185"/>
    </row>
    <row r="11" spans="1:24" ht="18" customHeight="1">
      <c r="A11" s="184"/>
      <c r="B11" s="47" t="s">
        <v>394</v>
      </c>
      <c r="H11" s="781" t="s">
        <v>708</v>
      </c>
      <c r="I11" s="782"/>
      <c r="T11" s="1248"/>
      <c r="U11" s="1248"/>
      <c r="V11" s="185"/>
    </row>
    <row r="12" spans="1:24" ht="18" customHeight="1">
      <c r="A12" s="184"/>
      <c r="B12" s="47" t="s">
        <v>396</v>
      </c>
      <c r="G12" s="120" t="s">
        <v>497</v>
      </c>
      <c r="H12" s="781">
        <v>1</v>
      </c>
      <c r="I12" s="782"/>
      <c r="J12" s="192" t="s">
        <v>333</v>
      </c>
      <c r="T12" s="295"/>
      <c r="U12" s="18"/>
      <c r="V12" s="185"/>
    </row>
    <row r="13" spans="1:24" ht="18" customHeight="1">
      <c r="A13" s="184"/>
      <c r="B13" s="30" t="s">
        <v>568</v>
      </c>
      <c r="G13" s="120" t="s">
        <v>569</v>
      </c>
      <c r="H13" s="781">
        <v>5</v>
      </c>
      <c r="I13" s="782"/>
      <c r="T13" s="295"/>
      <c r="U13" s="18"/>
      <c r="V13" s="185"/>
      <c r="W13" s="30" t="str">
        <f>J47</f>
        <v>Suitable Dimensions</v>
      </c>
    </row>
    <row r="14" spans="1:24" ht="18" customHeight="1">
      <c r="A14" s="184"/>
      <c r="B14" s="47" t="s">
        <v>562</v>
      </c>
      <c r="G14" s="120" t="s">
        <v>493</v>
      </c>
      <c r="H14" s="781">
        <v>5</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t="str">
        <f>T8</f>
        <v>POINTER</v>
      </c>
      <c r="I19" s="177" t="s">
        <v>127</v>
      </c>
      <c r="J19" s="1106">
        <f>'CT-VT Burdens'!Q158</f>
        <v>1.25</v>
      </c>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1</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1</v>
      </c>
      <c r="Q22" s="684"/>
      <c r="R22" s="27" t="s">
        <v>157</v>
      </c>
      <c r="S22" s="27"/>
      <c r="T22" s="27"/>
      <c r="V22" s="185"/>
    </row>
    <row r="23" spans="1:31" ht="18" customHeight="1">
      <c r="A23" s="184"/>
      <c r="B23" s="1" t="s">
        <v>413</v>
      </c>
      <c r="C23" s="2"/>
      <c r="D23" s="2"/>
      <c r="E23" s="2"/>
      <c r="F23" s="196"/>
      <c r="G23" s="196"/>
      <c r="H23" s="224" t="s">
        <v>512</v>
      </c>
      <c r="I23" s="183" t="s">
        <v>127</v>
      </c>
      <c r="J23" s="722">
        <f>SUM(J18:K22)</f>
        <v>2.3350224400000004</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100</v>
      </c>
      <c r="Q25" s="1251"/>
      <c r="R25" s="192" t="s">
        <v>8</v>
      </c>
      <c r="V25" s="185"/>
    </row>
    <row r="26" spans="1:31" ht="18" customHeight="1">
      <c r="A26" s="184"/>
      <c r="B26" s="47" t="s">
        <v>547</v>
      </c>
      <c r="C26" s="47"/>
      <c r="D26" s="47"/>
      <c r="E26" s="47"/>
      <c r="H26" s="27"/>
      <c r="I26" s="28"/>
      <c r="J26" s="199"/>
      <c r="L26" s="47"/>
      <c r="N26" s="120" t="s">
        <v>572</v>
      </c>
      <c r="O26" s="28" t="s">
        <v>127</v>
      </c>
      <c r="P26" s="1251">
        <f>H12</f>
        <v>1</v>
      </c>
      <c r="Q26" s="1251"/>
      <c r="R26" s="304" t="s">
        <v>157</v>
      </c>
      <c r="V26" s="185"/>
    </row>
    <row r="27" spans="1:31" ht="18" customHeight="1">
      <c r="A27" s="184"/>
      <c r="B27" s="47" t="s">
        <v>548</v>
      </c>
      <c r="C27" s="47"/>
      <c r="D27" s="47"/>
      <c r="E27" s="47"/>
      <c r="H27" s="27"/>
      <c r="I27" s="28"/>
      <c r="J27" s="199"/>
      <c r="L27" s="47"/>
      <c r="N27" s="120" t="s">
        <v>573</v>
      </c>
      <c r="O27" s="28" t="s">
        <v>127</v>
      </c>
      <c r="P27" s="1072">
        <f>J23</f>
        <v>2.3350224400000004</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f>H13</f>
        <v>5</v>
      </c>
      <c r="Q29" s="1251"/>
      <c r="R29" s="192"/>
      <c r="V29" s="185"/>
    </row>
    <row r="30" spans="1:31" ht="18" customHeight="1">
      <c r="A30" s="184"/>
      <c r="B30" s="296" t="s">
        <v>576</v>
      </c>
      <c r="C30" s="47"/>
      <c r="D30" s="47"/>
      <c r="E30" s="47"/>
      <c r="H30" s="27"/>
      <c r="I30" s="28"/>
      <c r="J30" s="199"/>
      <c r="L30" s="47"/>
      <c r="O30" s="28" t="s">
        <v>127</v>
      </c>
      <c r="P30" s="1072">
        <v>20</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2.3350224400000004</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301">
        <f>P22</f>
        <v>1</v>
      </c>
      <c r="M38" s="245" t="s">
        <v>347</v>
      </c>
      <c r="N38" s="242">
        <f>H14</f>
        <v>5</v>
      </c>
      <c r="O38" s="245" t="s">
        <v>539</v>
      </c>
      <c r="P38" s="301">
        <f>P22</f>
        <v>1</v>
      </c>
      <c r="Q38" s="245" t="s">
        <v>347</v>
      </c>
      <c r="R38" s="301">
        <f>J23</f>
        <v>2.3350224400000004</v>
      </c>
      <c r="S38" s="296" t="s">
        <v>350</v>
      </c>
      <c r="V38" s="185"/>
    </row>
    <row r="39" spans="1:22" ht="18" customHeight="1">
      <c r="A39" s="184"/>
      <c r="I39" s="27" t="s">
        <v>127</v>
      </c>
      <c r="J39" s="1111">
        <f>J38*((L38+N38)/(P38+R38))</f>
        <v>8.995441721825415</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5</v>
      </c>
      <c r="H43" s="684"/>
      <c r="I43" s="27" t="str">
        <f>IF(G43&gt;J43,"&gt;","&lt;")</f>
        <v>&gt;</v>
      </c>
      <c r="J43" s="795">
        <f>J35</f>
        <v>2.3350224400000004</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&gt;</v>
      </c>
      <c r="J46" s="795">
        <f>J39</f>
        <v>8.995441721825415</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hidden="1"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hidden="1" customHeight="1">
      <c r="A50" s="184"/>
      <c r="B50" s="835" t="str">
        <f>B7</f>
        <v>T1</v>
      </c>
      <c r="C50" s="836"/>
      <c r="D50" s="1112" t="str">
        <f>D7</f>
        <v>Core2</v>
      </c>
      <c r="E50" s="1113"/>
      <c r="F50" s="255"/>
      <c r="H50" s="684" t="str">
        <f>H7</f>
        <v>(Metering + Ammeter)</v>
      </c>
      <c r="I50" s="684"/>
      <c r="J50" s="684"/>
      <c r="K50" s="684"/>
      <c r="L50" s="684"/>
      <c r="M50" s="684"/>
      <c r="P50" s="186"/>
      <c r="R50" s="255"/>
      <c r="S50" s="187" t="s">
        <v>387</v>
      </c>
      <c r="T50" s="1216" t="str">
        <f>T7</f>
        <v>XC-RACK</v>
      </c>
      <c r="U50" s="1247"/>
      <c r="V50" s="185"/>
    </row>
    <row r="51" spans="1:23" ht="18" hidden="1" customHeight="1">
      <c r="A51" s="184"/>
      <c r="B51" s="1118">
        <f>B8</f>
        <v>0</v>
      </c>
      <c r="C51" s="1118"/>
      <c r="D51" s="1114"/>
      <c r="E51" s="1115"/>
      <c r="F51" s="255"/>
      <c r="T51" s="1216"/>
      <c r="U51" s="1247"/>
      <c r="V51" s="185"/>
    </row>
    <row r="52" spans="1:23" ht="18" hidden="1" customHeight="1">
      <c r="A52" s="184"/>
      <c r="H52" s="708" t="s">
        <v>390</v>
      </c>
      <c r="I52" s="708"/>
      <c r="J52" s="789" t="s">
        <v>391</v>
      </c>
      <c r="K52" s="789"/>
      <c r="L52" s="790" t="s">
        <v>392</v>
      </c>
      <c r="M52" s="790"/>
      <c r="T52" s="1216"/>
      <c r="U52" s="1247"/>
      <c r="V52" s="185"/>
    </row>
    <row r="53" spans="1:23" ht="18" hidden="1" customHeight="1">
      <c r="A53" s="184"/>
      <c r="B53" s="47" t="s">
        <v>393</v>
      </c>
      <c r="H53" s="835">
        <f>H10</f>
        <v>100</v>
      </c>
      <c r="I53" s="836"/>
      <c r="J53" s="843" t="str">
        <f>J10</f>
        <v>-</v>
      </c>
      <c r="K53" s="844"/>
      <c r="L53" s="835" t="str">
        <f>L10</f>
        <v>-</v>
      </c>
      <c r="M53" s="836"/>
      <c r="N53" s="191" t="s">
        <v>342</v>
      </c>
      <c r="O53" s="488">
        <f>O10</f>
        <v>1</v>
      </c>
      <c r="P53" s="27" t="s">
        <v>8</v>
      </c>
      <c r="T53" s="1216"/>
      <c r="U53" s="1247"/>
      <c r="V53" s="185"/>
    </row>
    <row r="54" spans="1:23" ht="18" hidden="1" customHeight="1">
      <c r="A54" s="184"/>
      <c r="B54" s="47" t="s">
        <v>394</v>
      </c>
      <c r="H54" s="14"/>
      <c r="I54" s="14"/>
      <c r="J54" s="835" t="str">
        <f>H11</f>
        <v>0.5FS5</v>
      </c>
      <c r="K54" s="836"/>
      <c r="L54" s="14"/>
      <c r="M54" s="14"/>
      <c r="V54" s="185"/>
    </row>
    <row r="55" spans="1:23" ht="18" hidden="1" customHeight="1">
      <c r="A55" s="184"/>
      <c r="B55" s="47" t="s">
        <v>396</v>
      </c>
      <c r="I55" s="120" t="s">
        <v>497</v>
      </c>
      <c r="J55" s="781">
        <v>5</v>
      </c>
      <c r="K55" s="782"/>
      <c r="L55" s="192" t="s">
        <v>333</v>
      </c>
      <c r="T55" s="295"/>
      <c r="U55" s="18"/>
      <c r="V55" s="185"/>
    </row>
    <row r="56" spans="1:23" ht="18" hidden="1" customHeight="1">
      <c r="A56" s="184"/>
      <c r="B56" s="30" t="s">
        <v>568</v>
      </c>
      <c r="I56" s="120" t="s">
        <v>569</v>
      </c>
      <c r="J56" s="781">
        <v>10</v>
      </c>
      <c r="K56" s="782"/>
      <c r="T56" s="295"/>
      <c r="U56" s="18"/>
      <c r="V56" s="185"/>
      <c r="W56" s="30" t="str">
        <f>J90</f>
        <v>Suitable Dimensions</v>
      </c>
    </row>
    <row r="57" spans="1:23" ht="18" hidden="1" customHeight="1">
      <c r="A57" s="184"/>
      <c r="B57" s="47" t="s">
        <v>562</v>
      </c>
      <c r="I57" s="120" t="s">
        <v>493</v>
      </c>
      <c r="J57" s="781">
        <v>5</v>
      </c>
      <c r="K57" s="782"/>
      <c r="L57" s="14" t="s">
        <v>157</v>
      </c>
      <c r="T57" s="295"/>
      <c r="U57" s="18"/>
      <c r="V57" s="185"/>
    </row>
    <row r="58" spans="1:23" ht="18" hidden="1" customHeight="1">
      <c r="A58" s="184"/>
      <c r="V58" s="185"/>
    </row>
    <row r="59" spans="1:23" ht="18" hidden="1" customHeight="1">
      <c r="A59" s="193" t="s">
        <v>404</v>
      </c>
      <c r="V59" s="185"/>
    </row>
    <row r="60" spans="1:23" ht="18" hidden="1" customHeight="1">
      <c r="A60" s="184"/>
      <c r="V60" s="185"/>
    </row>
    <row r="61" spans="1:23" ht="18" hidden="1"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hidden="1" customHeight="1">
      <c r="A62" s="184"/>
      <c r="B62" s="96" t="s">
        <v>405</v>
      </c>
      <c r="D62" s="296" t="str">
        <f>D19</f>
        <v>POINTER</v>
      </c>
      <c r="I62" s="177" t="s">
        <v>127</v>
      </c>
      <c r="J62" s="1119">
        <f t="shared" si="0"/>
        <v>1.25</v>
      </c>
      <c r="K62" s="989"/>
      <c r="L62" s="198" t="s">
        <v>157</v>
      </c>
      <c r="P62" s="244"/>
      <c r="V62" s="185"/>
    </row>
    <row r="63" spans="1:23" ht="18" hidden="1"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hidden="1"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hidden="1"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hidden="1" customHeight="1">
      <c r="A66" s="184"/>
      <c r="B66" s="1" t="s">
        <v>413</v>
      </c>
      <c r="C66" s="2"/>
      <c r="D66" s="2"/>
      <c r="E66" s="2"/>
      <c r="F66" s="196"/>
      <c r="G66" s="196"/>
      <c r="H66" s="224" t="s">
        <v>512</v>
      </c>
      <c r="I66" s="183" t="s">
        <v>127</v>
      </c>
      <c r="J66" s="722">
        <f t="shared" si="0"/>
        <v>2.3350224400000004</v>
      </c>
      <c r="K66" s="958"/>
      <c r="L66" s="3" t="s">
        <v>157</v>
      </c>
      <c r="O66" s="27"/>
      <c r="P66" s="211"/>
      <c r="Q66" s="211"/>
      <c r="R66" s="192"/>
      <c r="V66" s="185"/>
    </row>
    <row r="67" spans="1:22" ht="18" hidden="1" customHeight="1">
      <c r="A67" s="184"/>
      <c r="B67" s="47"/>
      <c r="C67" s="47"/>
      <c r="D67" s="47"/>
      <c r="E67" s="47"/>
      <c r="H67" s="27"/>
      <c r="I67" s="28"/>
      <c r="J67" s="218"/>
      <c r="K67" s="27"/>
      <c r="L67" s="47"/>
      <c r="O67" s="27"/>
      <c r="P67" s="211"/>
      <c r="Q67" s="211"/>
      <c r="R67" s="192"/>
      <c r="V67" s="185"/>
    </row>
    <row r="68" spans="1:22" ht="18" hidden="1" customHeight="1">
      <c r="A68" s="184"/>
      <c r="B68" s="47" t="s">
        <v>545</v>
      </c>
      <c r="C68" s="47"/>
      <c r="D68" s="47"/>
      <c r="E68" s="47"/>
      <c r="H68" s="27"/>
      <c r="I68" s="28"/>
      <c r="J68" s="199"/>
      <c r="L68" s="47"/>
      <c r="N68" s="120" t="s">
        <v>423</v>
      </c>
      <c r="O68" s="28" t="s">
        <v>127</v>
      </c>
      <c r="P68" s="1251" t="str">
        <f>J53</f>
        <v>-</v>
      </c>
      <c r="Q68" s="1251"/>
      <c r="R68" s="192" t="s">
        <v>8</v>
      </c>
      <c r="V68" s="185"/>
    </row>
    <row r="69" spans="1:22" ht="18" hidden="1" customHeight="1">
      <c r="A69" s="184"/>
      <c r="B69" s="47" t="s">
        <v>547</v>
      </c>
      <c r="C69" s="47"/>
      <c r="D69" s="47"/>
      <c r="E69" s="47"/>
      <c r="H69" s="27"/>
      <c r="I69" s="28"/>
      <c r="J69" s="199"/>
      <c r="L69" s="47"/>
      <c r="N69" s="120" t="s">
        <v>572</v>
      </c>
      <c r="O69" s="28" t="s">
        <v>127</v>
      </c>
      <c r="P69" s="1251">
        <f>J55</f>
        <v>5</v>
      </c>
      <c r="Q69" s="1251"/>
      <c r="R69" s="304" t="s">
        <v>157</v>
      </c>
      <c r="V69" s="185"/>
    </row>
    <row r="70" spans="1:22" ht="18" hidden="1" customHeight="1">
      <c r="A70" s="184"/>
      <c r="B70" s="47" t="s">
        <v>548</v>
      </c>
      <c r="C70" s="47"/>
      <c r="D70" s="47"/>
      <c r="E70" s="47"/>
      <c r="H70" s="27"/>
      <c r="I70" s="28"/>
      <c r="J70" s="199"/>
      <c r="L70" s="47"/>
      <c r="N70" s="120" t="s">
        <v>573</v>
      </c>
      <c r="O70" s="28" t="s">
        <v>127</v>
      </c>
      <c r="P70" s="1072">
        <f>J66</f>
        <v>2.3350224400000004</v>
      </c>
      <c r="Q70" s="1251"/>
      <c r="R70" s="304" t="s">
        <v>157</v>
      </c>
      <c r="V70" s="185"/>
    </row>
    <row r="71" spans="1:22" ht="18" hidden="1" customHeight="1">
      <c r="A71" s="184"/>
      <c r="B71" s="47" t="s">
        <v>549</v>
      </c>
      <c r="C71" s="47"/>
      <c r="D71" s="47"/>
      <c r="E71" s="47"/>
      <c r="H71" s="27"/>
      <c r="I71" s="28"/>
      <c r="J71" s="199"/>
      <c r="L71" s="47"/>
      <c r="N71" s="120" t="s">
        <v>511</v>
      </c>
      <c r="O71" s="28" t="s">
        <v>127</v>
      </c>
      <c r="P71" s="1251">
        <f>O53</f>
        <v>1</v>
      </c>
      <c r="Q71" s="1251"/>
      <c r="R71" s="192" t="s">
        <v>8</v>
      </c>
      <c r="V71" s="185"/>
    </row>
    <row r="72" spans="1:22" ht="18" hidden="1" customHeight="1">
      <c r="A72" s="184"/>
      <c r="B72" s="47" t="s">
        <v>574</v>
      </c>
      <c r="C72" s="47"/>
      <c r="D72" s="47"/>
      <c r="E72" s="47"/>
      <c r="H72" s="27"/>
      <c r="I72" s="28"/>
      <c r="J72" s="199"/>
      <c r="L72" s="47"/>
      <c r="N72" s="120" t="s">
        <v>495</v>
      </c>
      <c r="O72" s="28" t="s">
        <v>127</v>
      </c>
      <c r="P72" s="1251">
        <v>10</v>
      </c>
      <c r="Q72" s="1251"/>
      <c r="R72" s="192"/>
      <c r="V72" s="185"/>
    </row>
    <row r="73" spans="1:22" ht="18" hidden="1" customHeight="1">
      <c r="A73" s="184"/>
      <c r="B73" s="47" t="s">
        <v>577</v>
      </c>
      <c r="C73" s="47"/>
      <c r="D73" s="47"/>
      <c r="E73" s="47"/>
      <c r="H73" s="27"/>
      <c r="I73" s="28"/>
      <c r="J73" s="199"/>
      <c r="L73" s="47"/>
      <c r="O73" s="28" t="s">
        <v>127</v>
      </c>
      <c r="P73" s="1072">
        <v>20</v>
      </c>
      <c r="Q73" s="1072"/>
      <c r="R73" s="192" t="s">
        <v>129</v>
      </c>
      <c r="S73" s="14" t="s">
        <v>170</v>
      </c>
      <c r="V73" s="185"/>
    </row>
    <row r="74" spans="1:22" ht="18" hidden="1"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hidden="1" customHeight="1">
      <c r="A77" s="184"/>
      <c r="B77" s="47"/>
      <c r="C77" s="47" t="s">
        <v>581</v>
      </c>
      <c r="D77" s="47"/>
      <c r="E77" s="47"/>
      <c r="H77" s="27"/>
      <c r="I77" s="28" t="s">
        <v>127</v>
      </c>
      <c r="J77" s="281" t="s">
        <v>582</v>
      </c>
      <c r="L77" s="47"/>
      <c r="O77" s="27"/>
      <c r="P77" s="28" t="s">
        <v>347</v>
      </c>
      <c r="Q77" s="14" t="s">
        <v>583</v>
      </c>
      <c r="R77" s="192"/>
      <c r="V77" s="185"/>
    </row>
    <row r="78" spans="1:22" ht="18" hidden="1" customHeight="1">
      <c r="A78" s="184"/>
      <c r="I78" s="28" t="s">
        <v>127</v>
      </c>
      <c r="J78" s="795">
        <f>J66</f>
        <v>2.3350224400000004</v>
      </c>
      <c r="K78" s="684"/>
      <c r="L78" s="28"/>
      <c r="M78" s="795"/>
      <c r="N78" s="684"/>
      <c r="V78" s="185"/>
    </row>
    <row r="79" spans="1:22" ht="18" hidden="1" customHeight="1">
      <c r="A79" s="184"/>
      <c r="I79" s="28"/>
      <c r="J79" s="204"/>
      <c r="V79" s="185"/>
    </row>
    <row r="80" spans="1:22" ht="18" hidden="1"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hidden="1" customHeight="1">
      <c r="A81" s="184"/>
      <c r="I81" s="27" t="s">
        <v>127</v>
      </c>
      <c r="J81" s="245">
        <f>J56</f>
        <v>10</v>
      </c>
      <c r="K81" s="245" t="s">
        <v>554</v>
      </c>
      <c r="L81" s="301">
        <f>P65</f>
        <v>5</v>
      </c>
      <c r="M81" s="245" t="s">
        <v>347</v>
      </c>
      <c r="N81" s="242">
        <f>J57</f>
        <v>5</v>
      </c>
      <c r="O81" s="245" t="s">
        <v>539</v>
      </c>
      <c r="P81" s="301">
        <f>P65</f>
        <v>5</v>
      </c>
      <c r="Q81" s="245" t="s">
        <v>347</v>
      </c>
      <c r="R81" s="301">
        <f>J66</f>
        <v>2.3350224400000004</v>
      </c>
      <c r="S81" s="296" t="s">
        <v>350</v>
      </c>
      <c r="V81" s="185"/>
    </row>
    <row r="82" spans="1:22" ht="18" hidden="1" customHeight="1">
      <c r="A82" s="184"/>
      <c r="I82" s="27" t="s">
        <v>127</v>
      </c>
      <c r="J82" s="1111">
        <f>J81*((L81+N81)/(P81+R81))</f>
        <v>13.633223458822847</v>
      </c>
      <c r="K82" s="1111"/>
      <c r="L82" s="242"/>
      <c r="M82" s="242"/>
      <c r="N82" s="242"/>
      <c r="O82" s="242"/>
      <c r="P82" s="242"/>
      <c r="Q82" s="242"/>
      <c r="R82" s="242"/>
      <c r="V82" s="185"/>
    </row>
    <row r="83" spans="1:22" ht="18" hidden="1" customHeight="1">
      <c r="A83" s="184"/>
      <c r="I83" s="28"/>
      <c r="J83" s="211"/>
      <c r="K83" s="27"/>
      <c r="V83" s="185"/>
    </row>
    <row r="84" spans="1:22" ht="18" hidden="1" customHeight="1">
      <c r="A84" s="96" t="s">
        <v>584</v>
      </c>
      <c r="I84" s="28"/>
      <c r="J84" s="211"/>
      <c r="K84" s="27"/>
      <c r="V84" s="185"/>
    </row>
    <row r="85" spans="1:22" ht="18" hidden="1" customHeight="1">
      <c r="A85" s="184"/>
      <c r="B85" s="28">
        <v>1</v>
      </c>
      <c r="D85" s="14"/>
      <c r="H85" s="120" t="s">
        <v>492</v>
      </c>
      <c r="I85" s="28" t="s">
        <v>476</v>
      </c>
      <c r="J85" s="47" t="s">
        <v>104</v>
      </c>
      <c r="S85" s="14" t="s">
        <v>585</v>
      </c>
      <c r="V85" s="185"/>
    </row>
    <row r="86" spans="1:22" ht="18" hidden="1" customHeight="1">
      <c r="A86" s="184"/>
      <c r="G86" s="684">
        <f>J57</f>
        <v>5</v>
      </c>
      <c r="H86" s="684"/>
      <c r="I86" s="27" t="str">
        <f>IF(G86&gt;J86,"&gt;","&lt;")</f>
        <v>&gt;</v>
      </c>
      <c r="J86" s="795">
        <f>J78</f>
        <v>2.3350224400000004</v>
      </c>
      <c r="K86" s="684"/>
      <c r="S86" s="186" t="str">
        <f>IF(G86&gt;J86,"Satisfied","Not satisfied")</f>
        <v>Satisfied</v>
      </c>
      <c r="V86" s="185"/>
    </row>
    <row r="87" spans="1:22" ht="18" hidden="1" customHeight="1">
      <c r="A87" s="184"/>
      <c r="D87" s="14"/>
      <c r="H87" s="120"/>
      <c r="I87" s="27"/>
      <c r="R87" s="14"/>
      <c r="V87" s="185"/>
    </row>
    <row r="88" spans="1:22" ht="18" hidden="1" customHeight="1">
      <c r="A88" s="184"/>
      <c r="B88" s="28">
        <v>2</v>
      </c>
      <c r="D88" s="14"/>
      <c r="H88" s="244" t="s">
        <v>586</v>
      </c>
      <c r="I88" s="28" t="s">
        <v>476</v>
      </c>
      <c r="J88" s="14" t="s">
        <v>105</v>
      </c>
      <c r="K88" s="14"/>
      <c r="S88" s="14" t="s">
        <v>587</v>
      </c>
      <c r="V88" s="185"/>
    </row>
    <row r="89" spans="1:22" ht="18" hidden="1" customHeight="1">
      <c r="A89" s="184"/>
      <c r="D89" s="14"/>
      <c r="G89" s="795">
        <f>P73</f>
        <v>20</v>
      </c>
      <c r="H89" s="795"/>
      <c r="I89" s="27" t="str">
        <f>IF(G89&gt;J89,"&gt;","&lt;")</f>
        <v>&gt;</v>
      </c>
      <c r="J89" s="795">
        <f>J82</f>
        <v>13.633223458822847</v>
      </c>
      <c r="K89" s="795"/>
      <c r="R89" s="14"/>
      <c r="S89" s="186" t="str">
        <f>IF(G89&gt;J89,"Satisfied","Not satisfied")</f>
        <v>Satisfied</v>
      </c>
      <c r="V89" s="185"/>
    </row>
    <row r="90" spans="1:22" ht="18" hidden="1"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Core2</v>
      </c>
      <c r="E95" s="856"/>
      <c r="F95" s="255"/>
      <c r="H95" s="684" t="str">
        <f>H50</f>
        <v>(Metering + Ammeter)</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100</v>
      </c>
      <c r="I98" s="831"/>
      <c r="J98" s="854" t="str">
        <f>J53</f>
        <v>-</v>
      </c>
      <c r="K98" s="831"/>
      <c r="L98" s="863" t="str">
        <f>L53</f>
        <v>-</v>
      </c>
      <c r="M98" s="864"/>
      <c r="N98" s="191" t="s">
        <v>342</v>
      </c>
      <c r="O98" s="256">
        <f>O53</f>
        <v>1</v>
      </c>
      <c r="P98" s="27" t="s">
        <v>8</v>
      </c>
      <c r="V98" s="185"/>
    </row>
    <row r="99" spans="1:23" ht="18" hidden="1" customHeight="1">
      <c r="A99" s="184"/>
      <c r="B99" s="47" t="s">
        <v>394</v>
      </c>
      <c r="H99" s="14"/>
      <c r="I99" s="14"/>
      <c r="K99" s="14"/>
      <c r="L99" s="854" t="str">
        <f>J54</f>
        <v>0.5FS5</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t="str">
        <f>D62</f>
        <v>POINTER</v>
      </c>
      <c r="I107" s="177" t="s">
        <v>127</v>
      </c>
      <c r="J107" s="1119">
        <f t="shared" si="1"/>
        <v>1.25</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2.3350224400000004</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2.3350224400000004</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2.3350224400000004</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532</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Core2</v>
      </c>
      <c r="C144" s="765"/>
      <c r="D144" s="870">
        <f>H98</f>
        <v>100</v>
      </c>
      <c r="E144" s="870"/>
      <c r="F144" s="871">
        <f>O98</f>
        <v>1</v>
      </c>
      <c r="G144" s="961">
        <f>'CT-VT Burdens'!S21</f>
        <v>120</v>
      </c>
      <c r="H144" s="959">
        <f>'CT-VT Burdens'!S10</f>
        <v>6</v>
      </c>
      <c r="I144" s="874" t="str">
        <f>L99</f>
        <v>0.5FS5</v>
      </c>
      <c r="J144" s="874"/>
      <c r="K144" s="869">
        <f>H12</f>
        <v>1</v>
      </c>
      <c r="L144" s="869"/>
      <c r="M144" s="869">
        <f>H14</f>
        <v>5</v>
      </c>
      <c r="N144" s="869"/>
      <c r="O144" s="870" t="s">
        <v>6</v>
      </c>
      <c r="P144" s="870"/>
      <c r="Q144" s="879" t="str">
        <f>CONCATENATE(T7," ",T8," ",T9," ",T10)</f>
        <v xml:space="preserve">XC-RACK POINTER  </v>
      </c>
      <c r="R144" s="879"/>
      <c r="S144" s="878" t="str">
        <f>J47</f>
        <v>Suitable Dimensions</v>
      </c>
      <c r="T144" s="878"/>
      <c r="U144" s="878"/>
      <c r="V144" s="878"/>
    </row>
    <row r="145" spans="1:22" ht="18" customHeight="1">
      <c r="A145" s="765"/>
      <c r="B145" s="765"/>
      <c r="C145" s="765"/>
      <c r="D145" s="870" t="str">
        <f>J98</f>
        <v>-</v>
      </c>
      <c r="E145" s="870"/>
      <c r="F145" s="872"/>
      <c r="G145" s="961"/>
      <c r="H145" s="959"/>
      <c r="I145" s="874"/>
      <c r="J145" s="874"/>
      <c r="K145" s="875" t="s">
        <v>6</v>
      </c>
      <c r="L145" s="869"/>
      <c r="M145" s="875" t="s">
        <v>6</v>
      </c>
      <c r="N145" s="869"/>
      <c r="O145" s="870" t="s">
        <v>6</v>
      </c>
      <c r="P145" s="870"/>
      <c r="Q145" s="879"/>
      <c r="R145" s="879"/>
      <c r="S145" s="877" t="s">
        <v>6</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184"/>
      <c r="V177" s="185"/>
    </row>
    <row r="178" spans="1:22" s="14" customFormat="1" ht="18" customHeight="1">
      <c r="A178" s="194"/>
      <c r="B178" s="195"/>
      <c r="C178" s="195"/>
      <c r="D178" s="195"/>
      <c r="E178" s="195"/>
      <c r="F178" s="195"/>
      <c r="G178" s="195"/>
      <c r="H178" s="195"/>
      <c r="I178" s="195"/>
      <c r="J178" s="195"/>
      <c r="K178" s="195"/>
      <c r="L178" s="195"/>
      <c r="M178" s="195"/>
      <c r="N178" s="195"/>
      <c r="O178" s="195"/>
      <c r="P178" s="195"/>
      <c r="Q178" s="224"/>
      <c r="R178" s="182"/>
      <c r="S178" s="225"/>
      <c r="T178" s="195"/>
      <c r="U178" s="195"/>
      <c r="V178" s="134"/>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38" priority="2" stopIfTrue="1" operator="equal">
      <formula>"Not suitable"</formula>
    </cfRule>
  </conditionalFormatting>
  <conditionalFormatting sqref="S43 S46 S86 S89 S125 S128">
    <cfRule type="cellIs" dxfId="13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codeName="Sheet30">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315" t="s">
        <v>110</v>
      </c>
      <c r="F22" s="1315"/>
      <c r="G22" s="1315"/>
      <c r="H22" s="1315"/>
      <c r="I22" s="1315"/>
      <c r="J22" s="1315"/>
      <c r="K22" s="1315"/>
      <c r="L22" s="1315"/>
      <c r="M22" s="1315"/>
      <c r="N22" s="1315"/>
      <c r="O22" s="1315"/>
      <c r="P22" s="1315"/>
      <c r="Q22" s="1315"/>
      <c r="R22" s="1315"/>
      <c r="S22" s="27"/>
      <c r="T22" s="27"/>
      <c r="U22" s="27"/>
      <c r="V22" s="177"/>
      <c r="W22" s="27"/>
      <c r="X22" s="27"/>
    </row>
    <row r="23" spans="1:24" ht="18" customHeight="1">
      <c r="A23" s="69"/>
      <c r="B23" s="27"/>
      <c r="C23" s="27"/>
      <c r="D23" s="27"/>
      <c r="E23" s="1315"/>
      <c r="F23" s="1315"/>
      <c r="G23" s="1315"/>
      <c r="H23" s="1315"/>
      <c r="I23" s="1315"/>
      <c r="J23" s="1315"/>
      <c r="K23" s="1315"/>
      <c r="L23" s="1315"/>
      <c r="M23" s="1315"/>
      <c r="N23" s="1315"/>
      <c r="O23" s="1315"/>
      <c r="P23" s="1315"/>
      <c r="Q23" s="1315"/>
      <c r="R23" s="1315"/>
      <c r="S23" s="27"/>
      <c r="T23" s="27"/>
      <c r="U23" s="27"/>
      <c r="V23" s="177"/>
      <c r="W23" s="27"/>
      <c r="X23" s="27"/>
    </row>
    <row r="24" spans="1:24" ht="18" customHeight="1">
      <c r="A24" s="69"/>
      <c r="C24" s="178"/>
      <c r="D24" s="178"/>
      <c r="E24" s="1315"/>
      <c r="F24" s="1315"/>
      <c r="G24" s="1315"/>
      <c r="H24" s="1315"/>
      <c r="I24" s="1315"/>
      <c r="J24" s="1315"/>
      <c r="K24" s="1315"/>
      <c r="L24" s="1315"/>
      <c r="M24" s="1315"/>
      <c r="N24" s="1315"/>
      <c r="O24" s="1315"/>
      <c r="P24" s="1315"/>
      <c r="Q24" s="1315"/>
      <c r="R24" s="1315"/>
      <c r="S24" s="4"/>
      <c r="T24" s="4"/>
      <c r="U24" s="4"/>
      <c r="V24" s="71"/>
      <c r="W24" s="4"/>
      <c r="X24" s="4"/>
    </row>
    <row r="25" spans="1:24" ht="18" customHeight="1">
      <c r="A25" s="69"/>
      <c r="B25" s="26"/>
      <c r="C25" s="4"/>
      <c r="D25" s="73"/>
      <c r="E25" s="1315"/>
      <c r="F25" s="1315"/>
      <c r="G25" s="1315"/>
      <c r="H25" s="1315"/>
      <c r="I25" s="1315"/>
      <c r="J25" s="1315"/>
      <c r="K25" s="1315"/>
      <c r="L25" s="1315"/>
      <c r="M25" s="1315"/>
      <c r="N25" s="1315"/>
      <c r="O25" s="1315"/>
      <c r="P25" s="1315"/>
      <c r="Q25" s="1315"/>
      <c r="R25" s="1315"/>
      <c r="S25" s="4"/>
      <c r="T25" s="4"/>
      <c r="U25" s="4"/>
      <c r="V25" s="71"/>
      <c r="W25" s="4"/>
      <c r="X25" s="4"/>
    </row>
    <row r="26" spans="1:24" ht="18" customHeight="1">
      <c r="A26" s="69"/>
      <c r="E26" s="1315"/>
      <c r="F26" s="1315"/>
      <c r="G26" s="1315"/>
      <c r="H26" s="1315"/>
      <c r="I26" s="1315"/>
      <c r="J26" s="1315"/>
      <c r="K26" s="1315"/>
      <c r="L26" s="1315"/>
      <c r="M26" s="1315"/>
      <c r="N26" s="1315"/>
      <c r="O26" s="1315"/>
      <c r="P26" s="1315"/>
      <c r="Q26" s="1315"/>
      <c r="R26" s="131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codeName="Sheet31">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709</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92" t="s">
        <v>385</v>
      </c>
      <c r="E7" s="1093"/>
      <c r="F7" s="455"/>
      <c r="H7" s="684" t="s">
        <v>507</v>
      </c>
      <c r="I7" s="684"/>
      <c r="J7" s="684"/>
      <c r="K7" s="684"/>
      <c r="L7" s="684"/>
      <c r="M7" s="684"/>
      <c r="P7" s="186"/>
      <c r="S7" s="187" t="s">
        <v>387</v>
      </c>
      <c r="T7" s="1075" t="s">
        <v>508</v>
      </c>
      <c r="U7" s="1076"/>
      <c r="V7" s="185"/>
    </row>
    <row r="8" spans="1:24" ht="18" customHeight="1">
      <c r="A8" s="456"/>
      <c r="F8" s="455"/>
      <c r="T8" s="1075" t="s">
        <v>509</v>
      </c>
      <c r="U8" s="1076"/>
      <c r="V8" s="185"/>
    </row>
    <row r="9" spans="1:24" ht="18" customHeight="1">
      <c r="A9" s="184"/>
      <c r="H9" s="789" t="s">
        <v>390</v>
      </c>
      <c r="I9" s="789"/>
      <c r="J9" s="790" t="s">
        <v>391</v>
      </c>
      <c r="K9" s="790"/>
      <c r="L9" s="790" t="s">
        <v>392</v>
      </c>
      <c r="M9" s="790"/>
      <c r="T9" s="1075" t="s">
        <v>194</v>
      </c>
      <c r="U9" s="1076"/>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10</v>
      </c>
      <c r="I12" s="1076"/>
      <c r="J12" s="192" t="s">
        <v>333</v>
      </c>
      <c r="V12" s="185"/>
    </row>
    <row r="13" spans="1:24" ht="18" customHeight="1">
      <c r="A13" s="184"/>
      <c r="B13" s="47" t="s">
        <v>398</v>
      </c>
      <c r="G13" s="120" t="s">
        <v>498</v>
      </c>
      <c r="H13" s="1075">
        <v>325</v>
      </c>
      <c r="I13" s="1076"/>
      <c r="J13" s="14" t="s">
        <v>305</v>
      </c>
      <c r="T13" s="295"/>
      <c r="U13" s="18"/>
      <c r="V13" s="185"/>
      <c r="W13" s="30" t="e">
        <f>#REF!</f>
        <v>#REF!</v>
      </c>
    </row>
    <row r="14" spans="1:24" ht="18" customHeight="1">
      <c r="A14" s="184"/>
      <c r="B14" s="14" t="s">
        <v>401</v>
      </c>
      <c r="G14" s="120" t="s">
        <v>402</v>
      </c>
      <c r="H14" s="1075">
        <v>50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REC670</v>
      </c>
      <c r="E18" s="227"/>
      <c r="F18" s="227"/>
      <c r="G18" s="227"/>
      <c r="H18" s="138"/>
      <c r="I18" s="260" t="s">
        <v>127</v>
      </c>
      <c r="J18" s="1077">
        <f>'CT-VT Burdens'!Q104</f>
        <v>0.02</v>
      </c>
      <c r="K18" s="1078"/>
      <c r="L18" s="3" t="s">
        <v>157</v>
      </c>
      <c r="N18" s="197" t="s">
        <v>510</v>
      </c>
      <c r="V18" s="185"/>
    </row>
    <row r="19" spans="1:25" ht="18" customHeight="1">
      <c r="A19" s="184"/>
      <c r="B19" s="96" t="s">
        <v>405</v>
      </c>
      <c r="C19" s="14"/>
      <c r="D19" s="47" t="str">
        <f>T8</f>
        <v>REF615</v>
      </c>
      <c r="H19" s="28"/>
      <c r="I19" s="101" t="s">
        <v>127</v>
      </c>
      <c r="J19" s="1077">
        <f>'CT-VT Burdens'!Q111</f>
        <v>0.02</v>
      </c>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t="str">
        <f>T9</f>
        <v>FMS</v>
      </c>
      <c r="H20" s="28"/>
      <c r="I20" s="101" t="s">
        <v>127</v>
      </c>
      <c r="J20" s="1077">
        <f>'CT-VT Burdens'!Q149</f>
        <v>5.8000000000000003E-2</v>
      </c>
      <c r="K20" s="1078"/>
      <c r="L20" s="3" t="s">
        <v>157</v>
      </c>
      <c r="N20" s="27"/>
      <c r="O20" s="27" t="s">
        <v>127</v>
      </c>
      <c r="P20" s="27">
        <f>O10</f>
        <v>1</v>
      </c>
      <c r="Q20" s="27" t="s">
        <v>315</v>
      </c>
      <c r="R20" s="27">
        <f>O10</f>
        <v>1</v>
      </c>
      <c r="S20" s="27" t="s">
        <v>315</v>
      </c>
      <c r="T20" s="27">
        <f>H12</f>
        <v>10</v>
      </c>
      <c r="V20" s="185"/>
    </row>
    <row r="21" spans="1:25" ht="18" customHeight="1">
      <c r="A21" s="184"/>
      <c r="B21" s="452" t="s">
        <v>412</v>
      </c>
      <c r="C21" s="259"/>
      <c r="D21" s="259"/>
      <c r="E21" s="259"/>
      <c r="F21" s="207"/>
      <c r="G21" s="207"/>
      <c r="H21" s="190"/>
      <c r="I21" s="208" t="s">
        <v>127</v>
      </c>
      <c r="J21" s="1081">
        <f>'CT-VT Burdens'!S24</f>
        <v>1.0770224400000001</v>
      </c>
      <c r="K21" s="1082"/>
      <c r="L21" s="297" t="s">
        <v>157</v>
      </c>
      <c r="O21" s="27" t="s">
        <v>127</v>
      </c>
      <c r="P21" s="795">
        <f>P20*R20*T20</f>
        <v>10</v>
      </c>
      <c r="Q21" s="684"/>
      <c r="R21" s="27" t="s">
        <v>157</v>
      </c>
      <c r="V21" s="185"/>
    </row>
    <row r="22" spans="1:25" ht="18" customHeight="1">
      <c r="A22" s="184"/>
      <c r="B22" s="1" t="s">
        <v>413</v>
      </c>
      <c r="C22" s="2"/>
      <c r="D22" s="2"/>
      <c r="E22" s="2"/>
      <c r="F22" s="196"/>
      <c r="G22" s="196"/>
      <c r="H22" s="224" t="s">
        <v>512</v>
      </c>
      <c r="I22" s="183" t="s">
        <v>127</v>
      </c>
      <c r="J22" s="722">
        <f>SUM(J18:J21)</f>
        <v>1.1750224400000002</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R28" s="27" t="s">
        <v>127</v>
      </c>
      <c r="S28" s="684">
        <v>6</v>
      </c>
      <c r="T28" s="684"/>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S28*S30</f>
        <v>15000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2500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10</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1.1750224400000002</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15000</v>
      </c>
      <c r="G37" s="689"/>
      <c r="H37" s="684" t="s">
        <v>315</v>
      </c>
      <c r="I37" s="790">
        <f>S31</f>
        <v>1</v>
      </c>
      <c r="J37" s="790"/>
      <c r="K37" s="684" t="s">
        <v>315</v>
      </c>
      <c r="L37" s="684" t="s">
        <v>419</v>
      </c>
      <c r="M37" s="1317">
        <f>S33</f>
        <v>10</v>
      </c>
      <c r="N37" s="684" t="s">
        <v>347</v>
      </c>
      <c r="O37" s="795">
        <f>S34</f>
        <v>1.1750224400000002</v>
      </c>
      <c r="P37" s="684" t="s">
        <v>347</v>
      </c>
      <c r="Q37" s="1071">
        <f>S35</f>
        <v>0.02</v>
      </c>
      <c r="R37" s="790"/>
      <c r="S37" s="790"/>
      <c r="T37" s="684" t="s">
        <v>350</v>
      </c>
      <c r="V37" s="185"/>
    </row>
    <row r="38" spans="1:25" ht="18" customHeight="1">
      <c r="A38" s="184"/>
      <c r="B38" s="684"/>
      <c r="C38" s="684"/>
      <c r="D38" s="689"/>
      <c r="E38" s="684"/>
      <c r="F38" s="689"/>
      <c r="G38" s="689"/>
      <c r="H38" s="684"/>
      <c r="I38" s="684">
        <f>S30</f>
        <v>2500</v>
      </c>
      <c r="J38" s="684"/>
      <c r="K38" s="684"/>
      <c r="L38" s="684"/>
      <c r="M38" s="1317"/>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100.76</v>
      </c>
      <c r="E40" s="1072"/>
      <c r="F40" s="286" t="s">
        <v>305</v>
      </c>
      <c r="G40" s="27"/>
      <c r="V40" s="185"/>
    </row>
    <row r="41" spans="1:25" ht="18" customHeight="1">
      <c r="A41" s="184"/>
      <c r="V41" s="185"/>
    </row>
    <row r="42" spans="1:25" ht="18" customHeight="1">
      <c r="A42" s="184"/>
      <c r="V42" s="185"/>
    </row>
    <row r="43" spans="1:25" ht="18" customHeight="1">
      <c r="A43" s="184"/>
      <c r="V43" s="185"/>
    </row>
    <row r="44" spans="1:25" ht="18" customHeight="1">
      <c r="A44" s="184"/>
      <c r="V44" s="185"/>
    </row>
    <row r="45" spans="1:25" ht="18" customHeight="1">
      <c r="A45" s="184"/>
      <c r="V45" s="185"/>
    </row>
    <row r="46" spans="1:25" ht="18" customHeight="1">
      <c r="A46" s="184"/>
      <c r="V46" s="185"/>
    </row>
    <row r="47" spans="1:25" ht="18" customHeight="1">
      <c r="A47" s="452"/>
      <c r="B47" s="207"/>
      <c r="C47" s="207"/>
      <c r="D47" s="207"/>
      <c r="E47" s="207"/>
      <c r="F47" s="207"/>
      <c r="G47" s="207"/>
      <c r="H47" s="207"/>
      <c r="I47" s="207"/>
      <c r="J47" s="207"/>
      <c r="K47" s="207"/>
      <c r="L47" s="207"/>
      <c r="M47" s="207"/>
      <c r="N47" s="207"/>
      <c r="O47" s="207"/>
      <c r="P47" s="207"/>
      <c r="Q47" s="207"/>
      <c r="R47" s="207"/>
      <c r="S47" s="207"/>
      <c r="T47" s="207"/>
      <c r="U47" s="207"/>
      <c r="V47" s="453"/>
    </row>
    <row r="48" spans="1:25" ht="18" customHeight="1">
      <c r="A48" s="290"/>
      <c r="B48" s="196"/>
      <c r="C48" s="196"/>
      <c r="D48" s="196"/>
      <c r="E48" s="196"/>
      <c r="F48" s="196"/>
      <c r="G48" s="196"/>
      <c r="H48" s="196"/>
      <c r="I48" s="196"/>
      <c r="J48" s="196"/>
      <c r="K48" s="196"/>
      <c r="L48" s="196"/>
      <c r="M48" s="196"/>
      <c r="N48" s="196"/>
      <c r="O48" s="196"/>
      <c r="P48" s="196"/>
      <c r="Q48" s="196"/>
      <c r="R48" s="196"/>
      <c r="S48" s="196"/>
      <c r="T48" s="196"/>
      <c r="U48" s="196"/>
      <c r="V48" s="291"/>
    </row>
    <row r="49" spans="1:25" ht="18"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5" ht="18" customHeight="1">
      <c r="A50" s="184"/>
      <c r="B50" s="117" t="s">
        <v>525</v>
      </c>
      <c r="V50" s="185"/>
    </row>
    <row r="51" spans="1:25" ht="18" customHeight="1">
      <c r="A51" s="184"/>
      <c r="V51" s="185"/>
    </row>
    <row r="52" spans="1:25" ht="18" customHeight="1">
      <c r="A52" s="184"/>
      <c r="B52" s="1074" t="s">
        <v>417</v>
      </c>
      <c r="C52" s="800"/>
      <c r="D52" s="800"/>
      <c r="E52" s="689">
        <v>20</v>
      </c>
      <c r="F52" s="689" t="s">
        <v>315</v>
      </c>
      <c r="G52" s="790" t="s">
        <v>481</v>
      </c>
      <c r="H52" s="790" t="s">
        <v>482</v>
      </c>
      <c r="I52" s="803"/>
      <c r="J52" s="689" t="s">
        <v>315</v>
      </c>
      <c r="K52" s="689" t="s">
        <v>419</v>
      </c>
      <c r="L52" s="689" t="s">
        <v>440</v>
      </c>
      <c r="M52" s="729" t="s">
        <v>347</v>
      </c>
      <c r="N52" s="689" t="s">
        <v>447</v>
      </c>
      <c r="O52" s="689" t="s">
        <v>347</v>
      </c>
      <c r="P52" s="759" t="s">
        <v>448</v>
      </c>
      <c r="Q52" s="759"/>
      <c r="R52" s="759"/>
      <c r="S52" s="798" t="s">
        <v>350</v>
      </c>
      <c r="T52" s="1073" t="s">
        <v>422</v>
      </c>
      <c r="V52" s="185"/>
    </row>
    <row r="53" spans="1:25" ht="18" customHeight="1">
      <c r="A53" s="184"/>
      <c r="B53" s="800"/>
      <c r="C53" s="800"/>
      <c r="D53" s="800"/>
      <c r="E53" s="689"/>
      <c r="F53" s="689"/>
      <c r="G53" s="689"/>
      <c r="H53" s="684" t="s">
        <v>483</v>
      </c>
      <c r="I53" s="804"/>
      <c r="J53" s="689"/>
      <c r="K53" s="689"/>
      <c r="L53" s="689"/>
      <c r="M53" s="729"/>
      <c r="N53" s="689"/>
      <c r="O53" s="689"/>
      <c r="P53" s="28" t="s">
        <v>438</v>
      </c>
      <c r="Q53" s="28" t="s">
        <v>315</v>
      </c>
      <c r="R53" s="28" t="s">
        <v>438</v>
      </c>
      <c r="S53" s="798"/>
      <c r="T53" s="1073"/>
      <c r="V53" s="112"/>
    </row>
    <row r="54" spans="1:25" ht="18" customHeight="1">
      <c r="A54" s="184"/>
      <c r="C54" s="28"/>
      <c r="D54" s="28"/>
      <c r="E54" s="28"/>
      <c r="F54" s="28"/>
      <c r="G54" s="28"/>
      <c r="H54" s="689"/>
      <c r="I54" s="716"/>
      <c r="J54" s="28"/>
      <c r="K54" s="28"/>
      <c r="L54" s="28"/>
      <c r="M54" s="28"/>
      <c r="N54" s="47"/>
      <c r="O54" s="28"/>
      <c r="V54" s="185"/>
    </row>
    <row r="55" spans="1:25" ht="18" customHeight="1">
      <c r="A55" s="184"/>
      <c r="C55" s="30" t="s">
        <v>526</v>
      </c>
      <c r="R55" s="27" t="s">
        <v>127</v>
      </c>
      <c r="S55" s="684">
        <v>1.2</v>
      </c>
      <c r="T55" s="684"/>
      <c r="V55" s="185"/>
    </row>
    <row r="56" spans="1:25" ht="18" customHeight="1">
      <c r="A56" s="168"/>
      <c r="B56" s="5"/>
      <c r="C56" s="296" t="s">
        <v>515</v>
      </c>
      <c r="D56" s="14"/>
      <c r="E56" s="14"/>
      <c r="F56" s="14"/>
      <c r="G56" s="14"/>
      <c r="H56" s="279"/>
      <c r="I56" s="120"/>
      <c r="J56" s="279"/>
      <c r="K56" s="279"/>
      <c r="L56" s="14"/>
      <c r="M56" s="14"/>
      <c r="N56" s="14"/>
      <c r="O56" s="14"/>
      <c r="P56" s="14"/>
      <c r="Q56" s="244" t="s">
        <v>481</v>
      </c>
      <c r="R56" s="102" t="s">
        <v>127</v>
      </c>
      <c r="S56" s="689">
        <f>S55*S57</f>
        <v>3000</v>
      </c>
      <c r="T56" s="689"/>
      <c r="U56" s="47" t="s">
        <v>8</v>
      </c>
      <c r="V56" s="185"/>
    </row>
    <row r="57" spans="1:25" ht="18" customHeight="1">
      <c r="A57" s="168"/>
      <c r="B57" s="5"/>
      <c r="C57" s="47" t="s">
        <v>516</v>
      </c>
      <c r="D57" s="14"/>
      <c r="E57" s="14"/>
      <c r="F57" s="18"/>
      <c r="G57" s="18"/>
      <c r="H57" s="279"/>
      <c r="I57" s="120"/>
      <c r="J57" s="279"/>
      <c r="K57" s="279"/>
      <c r="L57" s="14"/>
      <c r="M57" s="14"/>
      <c r="N57" s="14"/>
      <c r="O57" s="14"/>
      <c r="P57" s="14"/>
      <c r="Q57" s="244" t="s">
        <v>483</v>
      </c>
      <c r="R57" s="102" t="s">
        <v>127</v>
      </c>
      <c r="S57" s="689">
        <f>H10</f>
        <v>2500</v>
      </c>
      <c r="T57" s="689"/>
      <c r="U57" s="14" t="s">
        <v>8</v>
      </c>
      <c r="V57" s="185"/>
    </row>
    <row r="58" spans="1:25" ht="18" customHeight="1">
      <c r="A58" s="168"/>
      <c r="B58" s="5"/>
      <c r="C58" s="47" t="s">
        <v>517</v>
      </c>
      <c r="D58" s="14"/>
      <c r="E58" s="14"/>
      <c r="F58" s="18"/>
      <c r="G58" s="18"/>
      <c r="H58" s="279"/>
      <c r="I58" s="120"/>
      <c r="J58" s="279"/>
      <c r="K58" s="279"/>
      <c r="L58" s="14"/>
      <c r="M58" s="14"/>
      <c r="N58" s="14"/>
      <c r="O58" s="14"/>
      <c r="P58" s="14"/>
      <c r="Q58" s="244" t="s">
        <v>482</v>
      </c>
      <c r="R58" s="102" t="s">
        <v>127</v>
      </c>
      <c r="S58" s="689">
        <f>O10</f>
        <v>1</v>
      </c>
      <c r="T58" s="689"/>
      <c r="U58" s="30" t="s">
        <v>8</v>
      </c>
      <c r="V58" s="185"/>
    </row>
    <row r="59" spans="1:25" ht="18" customHeight="1">
      <c r="A59" s="168"/>
      <c r="B59" s="5"/>
      <c r="C59" s="47" t="s">
        <v>518</v>
      </c>
      <c r="D59" s="14"/>
      <c r="E59" s="14"/>
      <c r="F59" s="18"/>
      <c r="G59" s="18"/>
      <c r="H59" s="279"/>
      <c r="I59" s="120"/>
      <c r="J59" s="279"/>
      <c r="K59" s="279"/>
      <c r="L59" s="14"/>
      <c r="M59" s="14"/>
      <c r="N59" s="14"/>
      <c r="O59" s="14"/>
      <c r="P59" s="14"/>
      <c r="Q59" s="244" t="s">
        <v>146</v>
      </c>
      <c r="R59" s="102" t="s">
        <v>127</v>
      </c>
      <c r="S59" s="834">
        <f>S32</f>
        <v>1</v>
      </c>
      <c r="T59" s="834"/>
      <c r="U59" s="30" t="s">
        <v>8</v>
      </c>
      <c r="V59" s="185"/>
      <c r="W59" s="279"/>
      <c r="X59" s="279"/>
      <c r="Y59" s="279"/>
    </row>
    <row r="60" spans="1:25" ht="18" customHeight="1">
      <c r="A60" s="168"/>
      <c r="B60" s="5"/>
      <c r="C60" s="296" t="s">
        <v>519</v>
      </c>
      <c r="D60" s="14"/>
      <c r="E60" s="14"/>
      <c r="F60" s="18"/>
      <c r="G60" s="18"/>
      <c r="H60" s="279"/>
      <c r="I60" s="120"/>
      <c r="J60" s="279"/>
      <c r="K60" s="279"/>
      <c r="L60" s="14"/>
      <c r="M60" s="14"/>
      <c r="N60" s="14"/>
      <c r="O60" s="14"/>
      <c r="P60" s="14"/>
      <c r="Q60" s="244" t="s">
        <v>420</v>
      </c>
      <c r="R60" s="102" t="s">
        <v>127</v>
      </c>
      <c r="S60" s="692">
        <f>H12</f>
        <v>10</v>
      </c>
      <c r="T60" s="689"/>
      <c r="U60" s="30" t="s">
        <v>520</v>
      </c>
      <c r="V60" s="185"/>
      <c r="X60" s="279"/>
      <c r="Y60" s="279"/>
    </row>
    <row r="61" spans="1:25" ht="18" customHeight="1">
      <c r="A61" s="168"/>
      <c r="B61" s="5"/>
      <c r="C61" s="296" t="s">
        <v>521</v>
      </c>
      <c r="D61" s="14"/>
      <c r="E61" s="14"/>
      <c r="F61" s="14"/>
      <c r="G61" s="14"/>
      <c r="H61" s="279"/>
      <c r="I61" s="120"/>
      <c r="J61" s="279"/>
      <c r="K61" s="279"/>
      <c r="L61" s="14"/>
      <c r="M61" s="14"/>
      <c r="N61" s="14"/>
      <c r="O61" s="14"/>
      <c r="P61" s="14"/>
      <c r="Q61" s="244" t="s">
        <v>522</v>
      </c>
      <c r="R61" s="102" t="s">
        <v>127</v>
      </c>
      <c r="S61" s="692">
        <f>J22</f>
        <v>1.1750224400000002</v>
      </c>
      <c r="T61" s="689"/>
      <c r="U61" s="30" t="s">
        <v>520</v>
      </c>
      <c r="V61" s="185"/>
      <c r="X61" s="279"/>
      <c r="Y61" s="279"/>
    </row>
    <row r="62" spans="1:25" ht="18" customHeight="1">
      <c r="A62" s="168"/>
      <c r="B62" s="5"/>
      <c r="C62" s="296" t="s">
        <v>523</v>
      </c>
      <c r="D62" s="14"/>
      <c r="E62" s="14"/>
      <c r="F62" s="14"/>
      <c r="G62" s="14"/>
      <c r="H62" s="279"/>
      <c r="I62" s="120"/>
      <c r="J62" s="279"/>
      <c r="K62" s="279"/>
      <c r="L62" s="14"/>
      <c r="M62" s="14"/>
      <c r="N62" s="14"/>
      <c r="O62" s="14"/>
      <c r="P62" s="14"/>
      <c r="Q62" s="244" t="s">
        <v>524</v>
      </c>
      <c r="R62" s="102" t="s">
        <v>127</v>
      </c>
      <c r="S62" s="795">
        <f>J18</f>
        <v>0.02</v>
      </c>
      <c r="T62" s="689"/>
      <c r="U62" s="296" t="s">
        <v>157</v>
      </c>
      <c r="V62" s="185"/>
    </row>
    <row r="63" spans="1:25" ht="18" customHeight="1">
      <c r="A63" s="299"/>
      <c r="B63" s="279"/>
      <c r="C63" s="47"/>
      <c r="D63" s="14"/>
      <c r="E63" s="14"/>
      <c r="F63" s="14"/>
      <c r="G63" s="14"/>
      <c r="H63" s="279"/>
      <c r="I63" s="120"/>
      <c r="J63" s="279"/>
      <c r="K63" s="279"/>
      <c r="L63" s="14"/>
      <c r="M63" s="14"/>
      <c r="N63" s="279"/>
      <c r="O63" s="279"/>
      <c r="P63" s="14"/>
      <c r="Q63" s="120"/>
      <c r="R63" s="14"/>
      <c r="S63" s="279"/>
      <c r="T63" s="279"/>
      <c r="U63" s="279"/>
      <c r="V63" s="300"/>
      <c r="W63" s="279"/>
      <c r="X63" s="279"/>
      <c r="Y63" s="279"/>
    </row>
    <row r="64" spans="1:25" ht="18" customHeight="1">
      <c r="A64" s="184"/>
      <c r="B64" s="684" t="s">
        <v>417</v>
      </c>
      <c r="C64" s="684"/>
      <c r="D64" s="689">
        <f>E52</f>
        <v>20</v>
      </c>
      <c r="E64" s="684" t="s">
        <v>315</v>
      </c>
      <c r="F64" s="689">
        <f>S56</f>
        <v>3000</v>
      </c>
      <c r="G64" s="689"/>
      <c r="H64" s="684" t="s">
        <v>315</v>
      </c>
      <c r="I64" s="790">
        <f>S58</f>
        <v>1</v>
      </c>
      <c r="J64" s="790"/>
      <c r="K64" s="684" t="s">
        <v>315</v>
      </c>
      <c r="L64" s="684" t="s">
        <v>419</v>
      </c>
      <c r="M64" s="1316">
        <f>S60</f>
        <v>10</v>
      </c>
      <c r="N64" s="684" t="s">
        <v>347</v>
      </c>
      <c r="O64" s="795">
        <f>S61</f>
        <v>1.1750224400000002</v>
      </c>
      <c r="P64" s="684" t="s">
        <v>347</v>
      </c>
      <c r="Q64" s="1071">
        <f>S62</f>
        <v>0.02</v>
      </c>
      <c r="R64" s="790"/>
      <c r="S64" s="790"/>
      <c r="T64" s="684" t="s">
        <v>350</v>
      </c>
      <c r="V64" s="185"/>
    </row>
    <row r="65" spans="1:27" ht="18" customHeight="1">
      <c r="A65" s="184"/>
      <c r="B65" s="684"/>
      <c r="C65" s="684"/>
      <c r="D65" s="689"/>
      <c r="E65" s="684"/>
      <c r="F65" s="689"/>
      <c r="G65" s="689"/>
      <c r="H65" s="684"/>
      <c r="I65" s="684">
        <f>S57</f>
        <v>2500</v>
      </c>
      <c r="J65" s="684"/>
      <c r="K65" s="684"/>
      <c r="L65" s="684"/>
      <c r="M65" s="1316"/>
      <c r="N65" s="684"/>
      <c r="O65" s="684"/>
      <c r="P65" s="684"/>
      <c r="Q65" s="503">
        <f>S59</f>
        <v>1</v>
      </c>
      <c r="R65" s="27" t="s">
        <v>315</v>
      </c>
      <c r="S65" s="503">
        <f>S59</f>
        <v>1</v>
      </c>
      <c r="T65" s="684"/>
      <c r="V65" s="185"/>
    </row>
    <row r="66" spans="1:27" ht="18" customHeight="1">
      <c r="A66" s="184"/>
      <c r="C66" s="120"/>
      <c r="D66" s="28"/>
      <c r="E66" s="28"/>
      <c r="F66" s="28"/>
      <c r="G66" s="28"/>
      <c r="H66" s="14"/>
      <c r="I66" s="14"/>
      <c r="J66" s="28"/>
      <c r="K66" s="28"/>
      <c r="L66" s="28"/>
      <c r="M66" s="28"/>
      <c r="N66" s="47"/>
      <c r="O66" s="502"/>
      <c r="V66" s="185"/>
    </row>
    <row r="67" spans="1:27" ht="18" customHeight="1">
      <c r="A67" s="184"/>
      <c r="C67" s="27" t="s">
        <v>127</v>
      </c>
      <c r="D67" s="1072">
        <f>ROUNDUP(D64*F64*(I64/I65)*(M64+O64+(Q64/(Q65*S65))),2)</f>
        <v>268.69</v>
      </c>
      <c r="E67" s="1072"/>
      <c r="F67" s="286" t="s">
        <v>305</v>
      </c>
      <c r="G67" s="27"/>
      <c r="V67" s="185"/>
    </row>
    <row r="68" spans="1:27" ht="18" customHeight="1">
      <c r="A68" s="184"/>
      <c r="V68" s="185"/>
    </row>
    <row r="69" spans="1:27" ht="18" customHeight="1">
      <c r="A69" s="184"/>
      <c r="D69" s="30" t="s">
        <v>527</v>
      </c>
      <c r="L69" s="30" t="s">
        <v>528</v>
      </c>
      <c r="M69" s="505" t="s">
        <v>529</v>
      </c>
      <c r="N69" s="30" t="str">
        <f>CONCATENATE(Y69,X69,D40,Z69,D67,AA69)</f>
        <v>max(100.76,268.69)</v>
      </c>
      <c r="V69" s="185"/>
      <c r="X69" s="30" t="s">
        <v>419</v>
      </c>
      <c r="Y69" s="30" t="s">
        <v>530</v>
      </c>
      <c r="Z69" s="30" t="s">
        <v>531</v>
      </c>
      <c r="AA69" s="30" t="s">
        <v>350</v>
      </c>
    </row>
    <row r="70" spans="1:27" ht="18" customHeight="1">
      <c r="A70" s="184"/>
      <c r="D70" s="14"/>
      <c r="E70"/>
      <c r="F70"/>
      <c r="G70" s="27"/>
      <c r="H70" s="14"/>
      <c r="I70"/>
      <c r="J70"/>
      <c r="K70"/>
      <c r="L70" s="30" t="s">
        <v>528</v>
      </c>
      <c r="M70" s="505" t="s">
        <v>529</v>
      </c>
      <c r="N70" s="795">
        <f>MAX(D67,D40)</f>
        <v>268.69</v>
      </c>
      <c r="O70" s="795"/>
      <c r="V70" s="185"/>
    </row>
    <row r="71" spans="1:27" ht="18" customHeight="1">
      <c r="A71" s="184"/>
      <c r="D71"/>
      <c r="E71" s="1089"/>
      <c r="F71" s="684"/>
      <c r="G71" s="27"/>
      <c r="H71" s="795"/>
      <c r="I71" s="684"/>
      <c r="J71"/>
      <c r="K71"/>
      <c r="L71" s="296">
        <f>H13</f>
        <v>325</v>
      </c>
      <c r="M71" s="505" t="s">
        <v>529</v>
      </c>
      <c r="N71" s="795">
        <f>N70</f>
        <v>268.69</v>
      </c>
      <c r="O71" s="795"/>
      <c r="V71" s="185"/>
    </row>
    <row r="72" spans="1:27" ht="18" customHeight="1">
      <c r="A72" s="184"/>
      <c r="D72"/>
      <c r="E72" s="504"/>
      <c r="F72" s="27"/>
      <c r="G72" s="27"/>
      <c r="H72" s="211"/>
      <c r="I72" s="27"/>
      <c r="J72"/>
      <c r="K72"/>
      <c r="L72" s="296"/>
      <c r="M72" s="505"/>
      <c r="N72" s="476"/>
      <c r="V72" s="185"/>
    </row>
    <row r="73" spans="1:27" ht="18" customHeight="1">
      <c r="A73" s="184"/>
      <c r="D73"/>
      <c r="E73"/>
      <c r="F73" s="244" t="s">
        <v>478</v>
      </c>
      <c r="G73"/>
      <c r="H73" s="18" t="str">
        <f>IF(L71&gt;N71,"Suitably Dimensioned","Under Dimensioned")</f>
        <v>Suitably Dimensioned</v>
      </c>
      <c r="I73"/>
      <c r="J73"/>
      <c r="K73"/>
      <c r="L73"/>
      <c r="V73" s="185"/>
    </row>
    <row r="74" spans="1:27" ht="18" customHeight="1">
      <c r="A74" s="184"/>
      <c r="V74" s="185"/>
    </row>
    <row r="75" spans="1:27" ht="18" customHeight="1">
      <c r="A75" s="184"/>
      <c r="V75" s="185"/>
    </row>
    <row r="76" spans="1:27" ht="18" customHeight="1">
      <c r="A76" s="184"/>
      <c r="V76" s="185"/>
    </row>
    <row r="77" spans="1:27" ht="18" customHeight="1">
      <c r="A77" s="184"/>
      <c r="V77" s="185"/>
    </row>
    <row r="78" spans="1:27" ht="18" customHeight="1">
      <c r="A78" s="184"/>
      <c r="V78" s="185"/>
    </row>
    <row r="79" spans="1:27" ht="18" customHeight="1">
      <c r="A79" s="184"/>
      <c r="V79" s="185"/>
    </row>
    <row r="80" spans="1:27"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184"/>
      <c r="V86" s="185"/>
    </row>
    <row r="87" spans="1:22" ht="18" customHeight="1">
      <c r="A87" s="184"/>
      <c r="V87" s="185"/>
    </row>
    <row r="88" spans="1:22" ht="18" customHeight="1">
      <c r="A88" s="184"/>
      <c r="V88" s="185"/>
    </row>
    <row r="89" spans="1:22" ht="18" customHeight="1">
      <c r="A89" s="184"/>
      <c r="V89" s="185"/>
    </row>
    <row r="90" spans="1:22" ht="18" customHeight="1">
      <c r="A90" s="452"/>
      <c r="B90" s="207"/>
      <c r="C90" s="207"/>
      <c r="D90" s="207"/>
      <c r="E90" s="207"/>
      <c r="F90" s="207"/>
      <c r="G90" s="207"/>
      <c r="H90" s="207"/>
      <c r="I90" s="207"/>
      <c r="J90" s="207"/>
      <c r="K90" s="207"/>
      <c r="L90" s="207"/>
      <c r="M90" s="207"/>
      <c r="N90" s="207"/>
      <c r="O90" s="207"/>
      <c r="P90" s="207"/>
      <c r="Q90" s="207"/>
      <c r="R90" s="207"/>
      <c r="S90" s="207"/>
      <c r="T90" s="207"/>
      <c r="U90" s="207"/>
      <c r="V90" s="453"/>
    </row>
    <row r="91" spans="1:22" ht="18" hidden="1" customHeight="1">
      <c r="A91" s="184"/>
      <c r="V91" s="185"/>
    </row>
    <row r="92" spans="1:22" ht="18" hidden="1" customHeight="1">
      <c r="A92" s="184"/>
      <c r="V92" s="185"/>
    </row>
    <row r="93" spans="1:22" ht="18" hidden="1" customHeight="1">
      <c r="A93" s="184"/>
      <c r="V93" s="185"/>
    </row>
    <row r="94" spans="1:22" ht="18" hidden="1" customHeight="1">
      <c r="A94" s="184"/>
      <c r="V94" s="185"/>
    </row>
    <row r="95" spans="1:22" ht="18" hidden="1" customHeight="1">
      <c r="A95" s="184"/>
      <c r="V95" s="185"/>
    </row>
    <row r="96" spans="1:22" ht="18" hidden="1" customHeight="1">
      <c r="A96" s="184"/>
      <c r="V96" s="185"/>
    </row>
    <row r="97" spans="1:23" ht="18" hidden="1" customHeight="1">
      <c r="A97" s="184"/>
      <c r="V97" s="185"/>
    </row>
    <row r="98" spans="1:23" ht="18" hidden="1" customHeight="1">
      <c r="A98" s="184"/>
      <c r="V98" s="185"/>
    </row>
    <row r="99" spans="1:23" ht="18" hidden="1" customHeight="1">
      <c r="A99" s="184"/>
      <c r="V99" s="185"/>
    </row>
    <row r="100" spans="1:23" ht="18" hidden="1" customHeight="1">
      <c r="A100" s="184"/>
      <c r="V100" s="185"/>
    </row>
    <row r="101" spans="1:23" ht="18" hidden="1" customHeight="1">
      <c r="A101" s="184"/>
      <c r="V101" s="185"/>
    </row>
    <row r="102" spans="1:23" ht="18" hidden="1" customHeight="1">
      <c r="A102" s="184"/>
      <c r="V102" s="185"/>
    </row>
    <row r="103" spans="1:23" s="14" customFormat="1" ht="18" hidden="1" customHeight="1">
      <c r="A103" s="194"/>
      <c r="B103" s="195"/>
      <c r="C103" s="195"/>
      <c r="D103" s="195"/>
      <c r="E103" s="195"/>
      <c r="F103" s="195"/>
      <c r="G103" s="195"/>
      <c r="H103" s="195"/>
      <c r="I103" s="195"/>
      <c r="J103" s="195"/>
      <c r="K103" s="195"/>
      <c r="L103" s="195"/>
      <c r="M103" s="195"/>
      <c r="N103" s="195"/>
      <c r="O103" s="195"/>
      <c r="P103" s="195"/>
      <c r="Q103" s="224"/>
      <c r="R103" s="182"/>
      <c r="S103" s="225"/>
      <c r="T103" s="195"/>
      <c r="U103" s="195"/>
      <c r="V103" s="134" t="s">
        <v>552</v>
      </c>
    </row>
    <row r="104" spans="1:23" ht="18" hidden="1" customHeight="1">
      <c r="A104" s="226"/>
      <c r="B104" s="227"/>
      <c r="C104" s="227"/>
      <c r="D104" s="227"/>
      <c r="E104" s="227"/>
      <c r="F104" s="227"/>
      <c r="G104" s="227"/>
      <c r="H104" s="227"/>
      <c r="I104" s="227"/>
      <c r="J104" s="227"/>
      <c r="K104" s="227"/>
      <c r="L104" s="227"/>
      <c r="M104" s="227"/>
      <c r="N104" s="227"/>
      <c r="O104" s="227"/>
      <c r="P104" s="227"/>
      <c r="Q104" s="227"/>
      <c r="R104" s="227"/>
      <c r="S104" s="227"/>
      <c r="T104" s="227"/>
      <c r="U104" s="227"/>
      <c r="V104" s="228"/>
    </row>
    <row r="105" spans="1:23" ht="18" hidden="1" customHeight="1">
      <c r="A105" s="184"/>
      <c r="B105" s="854" t="str">
        <f>B7</f>
        <v>T1</v>
      </c>
      <c r="C105" s="831"/>
      <c r="D105" s="853" t="str">
        <f>D7</f>
        <v>Core1</v>
      </c>
      <c r="E105" s="765"/>
      <c r="F105" s="455"/>
      <c r="H105" s="684" t="str">
        <f>H7</f>
        <v>(OC+BCPU+FMS)</v>
      </c>
      <c r="I105" s="684"/>
      <c r="J105" s="684"/>
      <c r="K105" s="684"/>
      <c r="L105" s="684"/>
      <c r="M105" s="684"/>
      <c r="P105" s="186"/>
      <c r="S105" s="187" t="s">
        <v>387</v>
      </c>
      <c r="T105" s="1123" t="str">
        <f>T7</f>
        <v>REC670</v>
      </c>
      <c r="U105" s="1124"/>
      <c r="V105" s="185"/>
    </row>
    <row r="106" spans="1:23" ht="18" hidden="1" customHeight="1">
      <c r="A106" s="456"/>
      <c r="F106" s="455"/>
      <c r="T106" s="1123" t="str">
        <f>T8</f>
        <v>REF615</v>
      </c>
      <c r="U106" s="1124"/>
      <c r="V106" s="185"/>
    </row>
    <row r="107" spans="1:23" ht="18" hidden="1" customHeight="1">
      <c r="A107" s="184"/>
      <c r="H107" s="708" t="s">
        <v>390</v>
      </c>
      <c r="I107" s="708"/>
      <c r="J107" s="789" t="s">
        <v>391</v>
      </c>
      <c r="K107" s="789"/>
      <c r="L107" s="790" t="s">
        <v>392</v>
      </c>
      <c r="M107" s="790"/>
      <c r="T107" s="1123" t="str">
        <f>T9</f>
        <v>FMS</v>
      </c>
      <c r="U107" s="1124"/>
      <c r="V107" s="185"/>
    </row>
    <row r="108" spans="1:23" ht="18" hidden="1" customHeight="1">
      <c r="A108" s="184"/>
      <c r="B108" s="47" t="s">
        <v>393</v>
      </c>
      <c r="H108" s="854">
        <f>H10</f>
        <v>2500</v>
      </c>
      <c r="I108" s="831"/>
      <c r="J108" s="863" t="str">
        <f>J10</f>
        <v>-</v>
      </c>
      <c r="K108" s="864"/>
      <c r="L108" s="854" t="str">
        <f>L10</f>
        <v>-</v>
      </c>
      <c r="M108" s="831"/>
      <c r="N108" s="191" t="s">
        <v>342</v>
      </c>
      <c r="O108" s="256">
        <f>O10</f>
        <v>1</v>
      </c>
      <c r="P108" s="27" t="s">
        <v>8</v>
      </c>
      <c r="R108" s="255"/>
      <c r="S108" s="255"/>
      <c r="V108" s="185"/>
    </row>
    <row r="109" spans="1:23" ht="18" hidden="1" customHeight="1">
      <c r="A109" s="184"/>
      <c r="B109" s="47" t="s">
        <v>394</v>
      </c>
      <c r="J109" s="854" t="str">
        <f>H11</f>
        <v>PX</v>
      </c>
      <c r="K109" s="831"/>
      <c r="V109" s="185"/>
    </row>
    <row r="110" spans="1:23" ht="18" hidden="1" customHeight="1">
      <c r="A110" s="184"/>
      <c r="B110" s="47" t="s">
        <v>396</v>
      </c>
      <c r="I110" s="120" t="s">
        <v>497</v>
      </c>
      <c r="J110" s="1075">
        <v>12</v>
      </c>
      <c r="K110" s="1076"/>
      <c r="L110" s="192" t="s">
        <v>333</v>
      </c>
      <c r="V110" s="185"/>
    </row>
    <row r="111" spans="1:23" ht="18" hidden="1" customHeight="1">
      <c r="A111" s="184"/>
      <c r="B111" s="47" t="s">
        <v>398</v>
      </c>
      <c r="I111" s="120" t="s">
        <v>498</v>
      </c>
      <c r="J111" s="1075">
        <v>1200</v>
      </c>
      <c r="K111" s="1076"/>
      <c r="L111" s="14" t="s">
        <v>305</v>
      </c>
      <c r="T111" s="295"/>
      <c r="U111" s="18"/>
      <c r="V111" s="185"/>
      <c r="W111" s="30" t="e">
        <f>G159</f>
        <v>#VALUE!</v>
      </c>
    </row>
    <row r="112" spans="1:23" ht="18" hidden="1" customHeight="1">
      <c r="A112" s="184"/>
      <c r="B112" s="14" t="s">
        <v>401</v>
      </c>
      <c r="I112" s="120" t="s">
        <v>402</v>
      </c>
      <c r="J112" s="1075">
        <v>50</v>
      </c>
      <c r="K112" s="1076"/>
      <c r="L112" s="14" t="s">
        <v>403</v>
      </c>
      <c r="V112" s="185"/>
    </row>
    <row r="113" spans="1:22" ht="18" hidden="1" customHeight="1">
      <c r="A113" s="184"/>
      <c r="V113" s="185"/>
    </row>
    <row r="114" spans="1:22" ht="18" hidden="1" customHeight="1">
      <c r="A114" s="193" t="s">
        <v>404</v>
      </c>
      <c r="V114" s="185"/>
    </row>
    <row r="115" spans="1:22" ht="18" hidden="1" customHeight="1">
      <c r="A115" s="184"/>
      <c r="V115" s="185"/>
    </row>
    <row r="116" spans="1:22" ht="18" hidden="1" customHeight="1">
      <c r="A116" s="184"/>
      <c r="B116" s="135" t="s">
        <v>405</v>
      </c>
      <c r="C116" s="273"/>
      <c r="D116" s="139" t="str">
        <f>T105</f>
        <v>REC670</v>
      </c>
      <c r="E116" s="227"/>
      <c r="F116" s="227"/>
      <c r="G116" s="227"/>
      <c r="H116" s="138"/>
      <c r="I116" s="260" t="s">
        <v>127</v>
      </c>
      <c r="J116" s="722">
        <f>J18</f>
        <v>0.02</v>
      </c>
      <c r="K116" s="958"/>
      <c r="L116" s="3" t="s">
        <v>157</v>
      </c>
      <c r="N116" s="197" t="s">
        <v>510</v>
      </c>
      <c r="V116" s="185"/>
    </row>
    <row r="117" spans="1:22" ht="18" hidden="1" customHeight="1">
      <c r="A117" s="184"/>
      <c r="B117" s="96" t="s">
        <v>405</v>
      </c>
      <c r="C117" s="14"/>
      <c r="D117" s="47" t="str">
        <f>T106</f>
        <v>REF615</v>
      </c>
      <c r="H117" s="28"/>
      <c r="I117" s="101" t="s">
        <v>127</v>
      </c>
      <c r="J117" s="722">
        <f>J19</f>
        <v>0.02</v>
      </c>
      <c r="K117" s="958"/>
      <c r="L117" s="3" t="s">
        <v>157</v>
      </c>
      <c r="N117" s="120" t="s">
        <v>491</v>
      </c>
      <c r="O117" s="27" t="s">
        <v>127</v>
      </c>
      <c r="P117" s="27" t="s">
        <v>511</v>
      </c>
      <c r="Q117" s="27" t="s">
        <v>315</v>
      </c>
      <c r="R117" s="27" t="s">
        <v>511</v>
      </c>
      <c r="S117" s="27" t="s">
        <v>315</v>
      </c>
      <c r="T117" s="27" t="s">
        <v>420</v>
      </c>
      <c r="V117" s="185"/>
    </row>
    <row r="118" spans="1:22" ht="18" hidden="1" customHeight="1">
      <c r="A118" s="184"/>
      <c r="B118" s="96" t="s">
        <v>405</v>
      </c>
      <c r="C118" s="14"/>
      <c r="D118" s="47" t="str">
        <f>T107</f>
        <v>FMS</v>
      </c>
      <c r="H118" s="28"/>
      <c r="I118" s="101" t="s">
        <v>127</v>
      </c>
      <c r="J118" s="722">
        <f>J20</f>
        <v>5.8000000000000003E-2</v>
      </c>
      <c r="K118" s="958"/>
      <c r="L118" s="3" t="s">
        <v>157</v>
      </c>
      <c r="N118" s="27"/>
      <c r="O118" s="27" t="s">
        <v>127</v>
      </c>
      <c r="P118" s="27">
        <f>O108</f>
        <v>1</v>
      </c>
      <c r="Q118" s="27" t="s">
        <v>315</v>
      </c>
      <c r="R118" s="27">
        <f>O108</f>
        <v>1</v>
      </c>
      <c r="S118" s="27" t="s">
        <v>315</v>
      </c>
      <c r="T118" s="27">
        <f>J110</f>
        <v>12</v>
      </c>
      <c r="V118" s="185"/>
    </row>
    <row r="119" spans="1:22" ht="18" hidden="1" customHeight="1">
      <c r="A119" s="184"/>
      <c r="B119" s="452" t="s">
        <v>412</v>
      </c>
      <c r="C119" s="259"/>
      <c r="D119" s="259"/>
      <c r="E119" s="259"/>
      <c r="F119" s="207"/>
      <c r="G119" s="207"/>
      <c r="H119" s="190"/>
      <c r="I119" s="208" t="s">
        <v>127</v>
      </c>
      <c r="J119" s="1120">
        <f>J21</f>
        <v>1.0770224400000001</v>
      </c>
      <c r="K119" s="987"/>
      <c r="L119" s="297" t="s">
        <v>157</v>
      </c>
      <c r="O119" s="27" t="s">
        <v>127</v>
      </c>
      <c r="P119" s="795">
        <f>P118*R118*T118</f>
        <v>12</v>
      </c>
      <c r="Q119" s="684"/>
      <c r="R119" s="27" t="s">
        <v>157</v>
      </c>
      <c r="V119" s="185"/>
    </row>
    <row r="120" spans="1:22" ht="18" hidden="1" customHeight="1">
      <c r="A120" s="184"/>
      <c r="B120" s="1" t="s">
        <v>413</v>
      </c>
      <c r="C120" s="2"/>
      <c r="D120" s="2"/>
      <c r="E120" s="2"/>
      <c r="F120" s="196"/>
      <c r="G120" s="196"/>
      <c r="H120" s="224" t="s">
        <v>512</v>
      </c>
      <c r="I120" s="183" t="s">
        <v>127</v>
      </c>
      <c r="J120" s="722">
        <f>SUM(J116:J119)</f>
        <v>1.1750224400000002</v>
      </c>
      <c r="K120" s="958"/>
      <c r="L120" s="3" t="s">
        <v>157</v>
      </c>
      <c r="V120" s="185"/>
    </row>
    <row r="121" spans="1:22" ht="18" hidden="1" customHeight="1">
      <c r="A121" s="184"/>
      <c r="B121" s="47"/>
      <c r="C121" s="47"/>
      <c r="D121" s="47"/>
      <c r="E121" s="47"/>
      <c r="H121" s="27"/>
      <c r="I121" s="28"/>
      <c r="J121" s="199"/>
      <c r="L121" s="47"/>
      <c r="S121" s="27"/>
      <c r="V121" s="185"/>
    </row>
    <row r="122" spans="1:22" ht="18" hidden="1" customHeight="1">
      <c r="A122" s="1206" t="s">
        <v>536</v>
      </c>
      <c r="B122" s="1207"/>
      <c r="C122" s="1207"/>
      <c r="D122" s="1207"/>
      <c r="E122" s="1207"/>
      <c r="F122" s="1207"/>
      <c r="G122" s="1207"/>
      <c r="H122" s="1207"/>
      <c r="I122" s="1207"/>
      <c r="J122" s="1207"/>
      <c r="K122" s="1207"/>
      <c r="L122" s="1207"/>
      <c r="M122" s="1207"/>
      <c r="N122" s="1207"/>
      <c r="O122" s="1207"/>
      <c r="P122" s="1207"/>
      <c r="Q122" s="1207"/>
      <c r="R122" s="1207"/>
      <c r="S122" s="1207"/>
      <c r="T122" s="1207"/>
      <c r="U122" s="1207"/>
      <c r="V122" s="1208"/>
    </row>
    <row r="123" spans="1:22" ht="18" hidden="1" customHeight="1">
      <c r="A123" s="1209"/>
      <c r="B123" s="1207"/>
      <c r="C123" s="1207"/>
      <c r="D123" s="1207"/>
      <c r="E123" s="1207"/>
      <c r="F123" s="1207"/>
      <c r="G123" s="1207"/>
      <c r="H123" s="1207"/>
      <c r="I123" s="1207"/>
      <c r="J123" s="1207"/>
      <c r="K123" s="1207"/>
      <c r="L123" s="1207"/>
      <c r="M123" s="1207"/>
      <c r="N123" s="1207"/>
      <c r="O123" s="1207"/>
      <c r="P123" s="1207"/>
      <c r="Q123" s="1207"/>
      <c r="R123" s="1207"/>
      <c r="S123" s="1207"/>
      <c r="T123" s="1207"/>
      <c r="U123" s="1207"/>
      <c r="V123" s="1208"/>
    </row>
    <row r="124" spans="1:22" ht="18" hidden="1" customHeight="1">
      <c r="A124" s="184"/>
      <c r="Q124" s="211"/>
      <c r="R124" s="192"/>
      <c r="V124" s="185"/>
    </row>
    <row r="125" spans="1:22" ht="18" hidden="1" customHeight="1">
      <c r="A125" s="184"/>
      <c r="C125" s="14" t="s">
        <v>473</v>
      </c>
      <c r="D125" s="28" t="s">
        <v>127</v>
      </c>
      <c r="E125" s="28" t="s">
        <v>537</v>
      </c>
      <c r="F125" s="120" t="s">
        <v>493</v>
      </c>
      <c r="G125" s="28" t="s">
        <v>347</v>
      </c>
      <c r="H125" s="120" t="s">
        <v>491</v>
      </c>
      <c r="I125" s="28" t="s">
        <v>538</v>
      </c>
      <c r="J125" s="28" t="s">
        <v>495</v>
      </c>
      <c r="K125" s="28" t="s">
        <v>539</v>
      </c>
      <c r="L125" s="28" t="s">
        <v>511</v>
      </c>
      <c r="M125" s="28" t="s">
        <v>315</v>
      </c>
      <c r="N125" s="28">
        <v>1.3</v>
      </c>
      <c r="O125" s="47" t="s">
        <v>350</v>
      </c>
      <c r="V125" s="185"/>
    </row>
    <row r="126" spans="1:22" ht="18" hidden="1" customHeight="1">
      <c r="A126" s="184" t="s">
        <v>540</v>
      </c>
      <c r="C126" s="14"/>
      <c r="D126" s="28"/>
      <c r="E126" s="14"/>
      <c r="F126" s="14"/>
      <c r="G126" s="14"/>
      <c r="H126" s="14"/>
      <c r="I126" s="14"/>
      <c r="J126" s="14"/>
      <c r="K126" s="14"/>
      <c r="L126" s="14"/>
      <c r="M126" s="14"/>
      <c r="N126" s="14"/>
      <c r="O126" s="14"/>
      <c r="V126" s="185"/>
    </row>
    <row r="127" spans="1:22" ht="18" hidden="1" customHeight="1">
      <c r="A127" s="184"/>
      <c r="C127" s="120" t="s">
        <v>493</v>
      </c>
      <c r="D127" s="28" t="s">
        <v>127</v>
      </c>
      <c r="E127" s="28" t="s">
        <v>537</v>
      </c>
      <c r="F127" s="28">
        <v>1.3</v>
      </c>
      <c r="G127" s="28" t="s">
        <v>315</v>
      </c>
      <c r="H127" s="689" t="s">
        <v>473</v>
      </c>
      <c r="I127" s="716"/>
      <c r="J127" s="28" t="s">
        <v>315</v>
      </c>
      <c r="K127" s="28" t="s">
        <v>511</v>
      </c>
      <c r="L127" s="28" t="s">
        <v>541</v>
      </c>
      <c r="M127" s="28" t="s">
        <v>495</v>
      </c>
      <c r="N127" s="47" t="s">
        <v>542</v>
      </c>
      <c r="O127" s="120" t="s">
        <v>491</v>
      </c>
      <c r="V127" s="185"/>
    </row>
    <row r="128" spans="1:22" ht="18" hidden="1" customHeight="1">
      <c r="A128" s="184"/>
      <c r="V128" s="185"/>
    </row>
    <row r="129" spans="1:25" ht="18" hidden="1" customHeight="1">
      <c r="A129" s="168"/>
      <c r="B129" s="5"/>
      <c r="C129" s="47" t="s">
        <v>543</v>
      </c>
      <c r="D129" s="14"/>
      <c r="E129" s="14"/>
      <c r="F129" s="14"/>
      <c r="G129" s="14"/>
      <c r="H129" s="279"/>
      <c r="I129" s="120"/>
      <c r="J129" s="279"/>
      <c r="K129" s="279"/>
      <c r="L129" s="14"/>
      <c r="M129" s="14"/>
      <c r="N129" s="14"/>
      <c r="O129" s="14"/>
      <c r="P129" s="14"/>
      <c r="Q129" s="120" t="s">
        <v>544</v>
      </c>
      <c r="R129" s="102" t="s">
        <v>127</v>
      </c>
      <c r="S129" s="689">
        <f>S29</f>
        <v>15000</v>
      </c>
      <c r="T129" s="689"/>
      <c r="U129" s="47" t="s">
        <v>8</v>
      </c>
      <c r="V129" s="185"/>
    </row>
    <row r="130" spans="1:25" ht="18" hidden="1" customHeight="1">
      <c r="A130" s="168"/>
      <c r="B130" s="5"/>
      <c r="C130" s="47" t="s">
        <v>545</v>
      </c>
      <c r="D130" s="14"/>
      <c r="E130" s="14"/>
      <c r="F130" s="18"/>
      <c r="G130" s="18"/>
      <c r="H130" s="279"/>
      <c r="I130" s="120"/>
      <c r="J130" s="279"/>
      <c r="K130" s="279"/>
      <c r="L130" s="14"/>
      <c r="M130" s="14"/>
      <c r="N130" s="14"/>
      <c r="O130" s="14"/>
      <c r="P130" s="14"/>
      <c r="Q130" s="120" t="s">
        <v>423</v>
      </c>
      <c r="R130" s="102" t="s">
        <v>127</v>
      </c>
      <c r="S130" s="689" t="str">
        <f>J108</f>
        <v>-</v>
      </c>
      <c r="T130" s="689"/>
      <c r="U130" s="14" t="s">
        <v>8</v>
      </c>
      <c r="V130" s="185"/>
    </row>
    <row r="131" spans="1:25" ht="18" hidden="1" customHeight="1">
      <c r="A131" s="168"/>
      <c r="B131" s="5"/>
      <c r="C131" s="47" t="s">
        <v>546</v>
      </c>
      <c r="D131" s="14"/>
      <c r="E131" s="14"/>
      <c r="F131" s="18"/>
      <c r="G131" s="18"/>
      <c r="H131" s="279"/>
      <c r="I131" s="120"/>
      <c r="J131" s="279"/>
      <c r="K131" s="279"/>
      <c r="L131" s="14"/>
      <c r="M131" s="14"/>
      <c r="N131" s="14"/>
      <c r="O131" s="14"/>
      <c r="P131" s="14"/>
      <c r="Q131" s="120" t="s">
        <v>473</v>
      </c>
      <c r="R131" s="102" t="s">
        <v>127</v>
      </c>
      <c r="S131" s="689">
        <f>J111</f>
        <v>1200</v>
      </c>
      <c r="T131" s="689"/>
      <c r="U131" s="14" t="s">
        <v>305</v>
      </c>
      <c r="V131" s="185"/>
    </row>
    <row r="132" spans="1:25" ht="18" hidden="1" customHeight="1">
      <c r="A132" s="168"/>
      <c r="B132" s="5"/>
      <c r="C132" s="47" t="s">
        <v>547</v>
      </c>
      <c r="D132" s="14"/>
      <c r="E132" s="14"/>
      <c r="F132" s="18"/>
      <c r="G132" s="18"/>
      <c r="H132" s="279"/>
      <c r="I132" s="120"/>
      <c r="J132" s="279"/>
      <c r="K132" s="279"/>
      <c r="L132" s="14"/>
      <c r="M132" s="14"/>
      <c r="N132" s="14"/>
      <c r="O132" s="14"/>
      <c r="P132" s="14"/>
      <c r="Q132" s="120" t="s">
        <v>491</v>
      </c>
      <c r="R132" s="102" t="s">
        <v>127</v>
      </c>
      <c r="S132" s="692">
        <f>P119</f>
        <v>12</v>
      </c>
      <c r="T132" s="689"/>
      <c r="U132" s="14" t="s">
        <v>157</v>
      </c>
      <c r="V132" s="185"/>
      <c r="W132" s="279"/>
      <c r="X132" s="279"/>
      <c r="Y132" s="279"/>
    </row>
    <row r="133" spans="1:25" ht="18" hidden="1" customHeight="1">
      <c r="A133" s="168"/>
      <c r="B133" s="5"/>
      <c r="C133" s="47" t="s">
        <v>548</v>
      </c>
      <c r="D133" s="14"/>
      <c r="E133" s="14"/>
      <c r="F133" s="18"/>
      <c r="G133" s="18"/>
      <c r="H133" s="279"/>
      <c r="I133" s="120"/>
      <c r="J133" s="279"/>
      <c r="K133" s="279"/>
      <c r="L133" s="14"/>
      <c r="M133" s="14"/>
      <c r="N133" s="14"/>
      <c r="O133" s="14"/>
      <c r="P133" s="14"/>
      <c r="Q133" s="120" t="s">
        <v>512</v>
      </c>
      <c r="R133" s="102" t="s">
        <v>127</v>
      </c>
      <c r="S133" s="692">
        <f>J120</f>
        <v>1.1750224400000002</v>
      </c>
      <c r="T133" s="689"/>
      <c r="U133" s="14" t="s">
        <v>157</v>
      </c>
      <c r="V133" s="185"/>
      <c r="X133" s="279"/>
      <c r="Y133" s="279"/>
    </row>
    <row r="134" spans="1:25" ht="18" hidden="1" customHeight="1">
      <c r="A134" s="168"/>
      <c r="B134" s="5"/>
      <c r="C134" s="47" t="s">
        <v>549</v>
      </c>
      <c r="D134" s="14"/>
      <c r="E134" s="14"/>
      <c r="F134" s="14"/>
      <c r="G134" s="14"/>
      <c r="H134" s="279"/>
      <c r="I134" s="120"/>
      <c r="J134" s="279"/>
      <c r="K134" s="279"/>
      <c r="L134" s="14"/>
      <c r="M134" s="14"/>
      <c r="N134" s="14"/>
      <c r="O134" s="14"/>
      <c r="P134" s="14"/>
      <c r="Q134" s="120" t="s">
        <v>511</v>
      </c>
      <c r="R134" s="102" t="s">
        <v>127</v>
      </c>
      <c r="S134" s="689">
        <f>O108</f>
        <v>1</v>
      </c>
      <c r="T134" s="689"/>
      <c r="U134" s="14" t="s">
        <v>8</v>
      </c>
      <c r="V134" s="185"/>
      <c r="X134" s="279"/>
      <c r="Y134" s="279"/>
    </row>
    <row r="135" spans="1:25" ht="18" hidden="1" customHeight="1">
      <c r="A135" s="168"/>
      <c r="B135" s="5"/>
      <c r="C135" s="47" t="s">
        <v>550</v>
      </c>
      <c r="D135" s="14"/>
      <c r="E135" s="14"/>
      <c r="F135" s="14"/>
      <c r="G135" s="14"/>
      <c r="H135" s="279"/>
      <c r="I135" s="120"/>
      <c r="J135" s="279"/>
      <c r="K135" s="279"/>
      <c r="L135" s="14"/>
      <c r="M135" s="14"/>
      <c r="N135" s="14"/>
      <c r="O135" s="14"/>
      <c r="P135" s="14"/>
      <c r="Q135" s="120" t="s">
        <v>495</v>
      </c>
      <c r="R135" s="102" t="s">
        <v>127</v>
      </c>
      <c r="S135" s="689">
        <v>20</v>
      </c>
      <c r="T135" s="689"/>
      <c r="U135" s="47"/>
      <c r="V135" s="185"/>
    </row>
    <row r="136" spans="1:25" ht="18" hidden="1" customHeight="1">
      <c r="A136" s="299"/>
      <c r="B136" s="279"/>
      <c r="C136" s="47" t="s">
        <v>551</v>
      </c>
      <c r="D136" s="14"/>
      <c r="E136" s="14"/>
      <c r="F136" s="14"/>
      <c r="G136" s="14"/>
      <c r="H136" s="279"/>
      <c r="I136" s="120"/>
      <c r="J136" s="279"/>
      <c r="K136" s="279"/>
      <c r="L136" s="14"/>
      <c r="M136" s="14"/>
      <c r="N136" s="279"/>
      <c r="O136" s="279"/>
      <c r="P136" s="14"/>
      <c r="Q136" s="120" t="s">
        <v>493</v>
      </c>
      <c r="R136" s="14"/>
      <c r="S136" s="279"/>
      <c r="T136" s="279"/>
      <c r="U136" s="279"/>
      <c r="V136" s="300"/>
      <c r="W136" s="279"/>
      <c r="X136" s="279"/>
      <c r="Y136" s="279"/>
    </row>
    <row r="137" spans="1:25" ht="18" hidden="1" customHeight="1">
      <c r="A137" s="184"/>
      <c r="V137" s="185"/>
    </row>
    <row r="138" spans="1:25" ht="18" hidden="1" customHeight="1">
      <c r="A138" s="184"/>
      <c r="C138" s="120" t="s">
        <v>493</v>
      </c>
      <c r="D138" s="28" t="s">
        <v>127</v>
      </c>
      <c r="E138" s="28" t="s">
        <v>537</v>
      </c>
      <c r="F138" s="28">
        <v>1.3</v>
      </c>
      <c r="G138" s="28" t="s">
        <v>315</v>
      </c>
      <c r="H138" s="689" t="s">
        <v>473</v>
      </c>
      <c r="I138" s="716"/>
      <c r="J138" s="28" t="s">
        <v>315</v>
      </c>
      <c r="K138" s="28" t="s">
        <v>511</v>
      </c>
      <c r="L138" s="28" t="s">
        <v>541</v>
      </c>
      <c r="M138" s="28" t="s">
        <v>495</v>
      </c>
      <c r="N138" s="47" t="s">
        <v>542</v>
      </c>
      <c r="O138" s="120" t="s">
        <v>491</v>
      </c>
      <c r="V138" s="185"/>
    </row>
    <row r="139" spans="1:25" ht="18" hidden="1" customHeight="1">
      <c r="A139" s="184"/>
      <c r="C139" s="120" t="s">
        <v>493</v>
      </c>
      <c r="D139" s="28" t="s">
        <v>127</v>
      </c>
      <c r="E139" s="28" t="s">
        <v>537</v>
      </c>
      <c r="F139" s="28">
        <v>1.3</v>
      </c>
      <c r="G139" s="28" t="s">
        <v>315</v>
      </c>
      <c r="H139" s="689">
        <f>S131</f>
        <v>1200</v>
      </c>
      <c r="I139" s="716"/>
      <c r="J139" s="28" t="s">
        <v>315</v>
      </c>
      <c r="K139" s="28">
        <f>S134</f>
        <v>1</v>
      </c>
      <c r="L139" s="28" t="s">
        <v>541</v>
      </c>
      <c r="M139" s="28">
        <f>S135</f>
        <v>20</v>
      </c>
      <c r="N139" s="47" t="s">
        <v>542</v>
      </c>
      <c r="O139" s="502">
        <f>S132</f>
        <v>12</v>
      </c>
      <c r="V139" s="185"/>
    </row>
    <row r="140" spans="1:25" ht="18" hidden="1" customHeight="1">
      <c r="A140" s="184"/>
      <c r="D140" s="27" t="s">
        <v>127</v>
      </c>
      <c r="E140" s="684">
        <f>((F139*H139*K139)/M139)-O139</f>
        <v>66</v>
      </c>
      <c r="F140" s="684"/>
      <c r="G140" s="27" t="s">
        <v>157</v>
      </c>
      <c r="V140" s="185"/>
    </row>
    <row r="141" spans="1:25" ht="18" hidden="1" customHeight="1">
      <c r="A141" s="184"/>
      <c r="D141" s="27"/>
      <c r="E141" s="27"/>
      <c r="F141" s="27"/>
      <c r="G141" s="27"/>
      <c r="V141" s="185"/>
    </row>
    <row r="142" spans="1:25" ht="18" hidden="1" customHeight="1">
      <c r="A142" s="184"/>
      <c r="D142" s="27"/>
      <c r="E142" s="27"/>
      <c r="F142" s="27"/>
      <c r="G142" s="27"/>
      <c r="V142" s="185"/>
    </row>
    <row r="143" spans="1:25" ht="18" hidden="1" customHeight="1">
      <c r="A143" s="184"/>
      <c r="D143" s="27"/>
      <c r="E143" s="27"/>
      <c r="F143" s="27"/>
      <c r="G143" s="27"/>
      <c r="V143" s="185"/>
    </row>
    <row r="144" spans="1:25" ht="18" hidden="1" customHeight="1">
      <c r="A144" s="184"/>
      <c r="D144" s="27"/>
      <c r="E144" s="27"/>
      <c r="F144" s="27"/>
      <c r="G144" s="27"/>
      <c r="V144" s="185"/>
    </row>
    <row r="145" spans="1:22" ht="18" hidden="1" customHeight="1">
      <c r="A145" s="184"/>
      <c r="D145" s="27"/>
      <c r="E145" s="27"/>
      <c r="F145" s="27"/>
      <c r="G145" s="27"/>
      <c r="V145" s="185"/>
    </row>
    <row r="146" spans="1:22" ht="18" hidden="1" customHeight="1">
      <c r="A146" s="184"/>
      <c r="V146" s="185"/>
    </row>
    <row r="147" spans="1:22" s="14" customFormat="1" ht="18" hidden="1" customHeight="1">
      <c r="A147" s="194"/>
      <c r="B147" s="195"/>
      <c r="C147" s="195"/>
      <c r="D147" s="195"/>
      <c r="E147" s="195"/>
      <c r="F147" s="195"/>
      <c r="G147" s="195"/>
      <c r="H147" s="195"/>
      <c r="I147" s="195"/>
      <c r="J147" s="195"/>
      <c r="K147" s="195"/>
      <c r="L147" s="195"/>
      <c r="M147" s="195"/>
      <c r="N147" s="195"/>
      <c r="O147" s="195"/>
      <c r="P147" s="195"/>
      <c r="Q147" s="224"/>
      <c r="R147" s="182"/>
      <c r="S147" s="225"/>
      <c r="T147" s="195"/>
      <c r="U147" s="195"/>
      <c r="V147" s="134" t="s">
        <v>552</v>
      </c>
    </row>
    <row r="148" spans="1:22" ht="18" hidden="1" customHeight="1">
      <c r="A148" s="226"/>
      <c r="B148" s="227"/>
      <c r="C148" s="227"/>
      <c r="D148" s="227"/>
      <c r="E148" s="227"/>
      <c r="F148" s="227"/>
      <c r="G148" s="227"/>
      <c r="H148" s="227"/>
      <c r="I148" s="227"/>
      <c r="J148" s="227"/>
      <c r="K148" s="227"/>
      <c r="L148" s="227"/>
      <c r="M148" s="227"/>
      <c r="N148" s="227"/>
      <c r="O148" s="227"/>
      <c r="P148" s="227"/>
      <c r="Q148" s="227"/>
      <c r="R148" s="227"/>
      <c r="S148" s="227"/>
      <c r="T148" s="227"/>
      <c r="U148" s="227"/>
      <c r="V148" s="228"/>
    </row>
    <row r="149" spans="1:22" ht="18" hidden="1" customHeight="1">
      <c r="A149" s="184"/>
      <c r="E149" s="244" t="s">
        <v>111</v>
      </c>
      <c r="F149" s="27" t="s">
        <v>127</v>
      </c>
      <c r="G149" s="689" t="s">
        <v>544</v>
      </c>
      <c r="H149" s="689"/>
      <c r="I149" s="191" t="s">
        <v>342</v>
      </c>
      <c r="J149" s="684" t="s">
        <v>423</v>
      </c>
      <c r="K149" s="684"/>
      <c r="V149" s="185"/>
    </row>
    <row r="150" spans="1:22" ht="18" hidden="1" customHeight="1">
      <c r="A150" s="184"/>
      <c r="F150" s="27" t="s">
        <v>127</v>
      </c>
      <c r="G150" s="684">
        <f>S129</f>
        <v>15000</v>
      </c>
      <c r="H150" s="684"/>
      <c r="I150" s="191" t="s">
        <v>342</v>
      </c>
      <c r="J150" s="684" t="str">
        <f>S130</f>
        <v>-</v>
      </c>
      <c r="K150" s="684"/>
      <c r="V150" s="185"/>
    </row>
    <row r="151" spans="1:22" ht="18" hidden="1" customHeight="1">
      <c r="A151" s="184"/>
      <c r="F151" s="27" t="s">
        <v>127</v>
      </c>
      <c r="G151" s="795" t="e">
        <f>G150/J150</f>
        <v>#VALUE!</v>
      </c>
      <c r="H151" s="795"/>
      <c r="I151" s="27"/>
      <c r="J151" s="27"/>
      <c r="K151" s="27"/>
      <c r="V151" s="185"/>
    </row>
    <row r="152" spans="1:22" ht="18" hidden="1" customHeight="1">
      <c r="A152" s="184"/>
      <c r="V152" s="185"/>
    </row>
    <row r="153" spans="1:22" ht="18" hidden="1" customHeight="1">
      <c r="A153" s="184"/>
      <c r="E153" s="244" t="s">
        <v>553</v>
      </c>
      <c r="F153" s="27" t="s">
        <v>127</v>
      </c>
      <c r="G153" s="27" t="s">
        <v>495</v>
      </c>
      <c r="H153" s="27" t="s">
        <v>554</v>
      </c>
      <c r="I153" s="120" t="s">
        <v>491</v>
      </c>
      <c r="J153" s="28" t="s">
        <v>347</v>
      </c>
      <c r="K153" s="120" t="s">
        <v>493</v>
      </c>
      <c r="L153" s="28" t="s">
        <v>539</v>
      </c>
      <c r="M153" s="120" t="s">
        <v>491</v>
      </c>
      <c r="N153" s="28" t="s">
        <v>347</v>
      </c>
      <c r="O153" s="120" t="s">
        <v>512</v>
      </c>
      <c r="P153" s="296" t="s">
        <v>350</v>
      </c>
      <c r="V153" s="185"/>
    </row>
    <row r="154" spans="1:22" ht="18" hidden="1" customHeight="1">
      <c r="A154" s="184"/>
      <c r="F154" s="27" t="s">
        <v>127</v>
      </c>
      <c r="G154" s="242">
        <f>S135</f>
        <v>20</v>
      </c>
      <c r="H154" s="245" t="s">
        <v>554</v>
      </c>
      <c r="I154" s="301">
        <f>S132</f>
        <v>12</v>
      </c>
      <c r="J154" s="245" t="s">
        <v>347</v>
      </c>
      <c r="K154" s="301">
        <f>E140</f>
        <v>66</v>
      </c>
      <c r="L154" s="245" t="s">
        <v>539</v>
      </c>
      <c r="M154" s="301">
        <f>S132</f>
        <v>12</v>
      </c>
      <c r="N154" s="245" t="s">
        <v>347</v>
      </c>
      <c r="O154" s="301">
        <f>S133</f>
        <v>1.1750224400000002</v>
      </c>
      <c r="P154" s="461" t="s">
        <v>350</v>
      </c>
      <c r="V154" s="185"/>
    </row>
    <row r="155" spans="1:22" ht="18" hidden="1" customHeight="1">
      <c r="A155" s="184"/>
      <c r="F155" s="27" t="s">
        <v>127</v>
      </c>
      <c r="G155" s="795">
        <f>G154*((I154+K154)/(M154+O154))</f>
        <v>118.40587043432771</v>
      </c>
      <c r="H155" s="795"/>
      <c r="V155" s="185"/>
    </row>
    <row r="156" spans="1:22" ht="18" hidden="1" customHeight="1">
      <c r="A156" s="184"/>
      <c r="V156" s="185"/>
    </row>
    <row r="157" spans="1:22" ht="18" hidden="1" customHeight="1">
      <c r="A157" s="184"/>
      <c r="E157" s="244" t="s">
        <v>555</v>
      </c>
      <c r="F157" s="27" t="e">
        <f>IF(D158&gt;G158,"&gt;","&lt;")</f>
        <v>#VALUE!</v>
      </c>
      <c r="G157" s="296" t="s">
        <v>111</v>
      </c>
      <c r="V157" s="185"/>
    </row>
    <row r="158" spans="1:22" ht="18" hidden="1" customHeight="1">
      <c r="A158" s="184"/>
      <c r="D158" s="795">
        <f>G155</f>
        <v>118.40587043432771</v>
      </c>
      <c r="E158" s="795"/>
      <c r="F158" s="27" t="e">
        <f>F157</f>
        <v>#VALUE!</v>
      </c>
      <c r="G158" s="795" t="e">
        <f>G151</f>
        <v>#VALUE!</v>
      </c>
      <c r="H158" s="795"/>
      <c r="V158" s="185"/>
    </row>
    <row r="159" spans="1:22" ht="18" hidden="1" customHeight="1">
      <c r="A159" s="184"/>
      <c r="E159" s="244" t="s">
        <v>478</v>
      </c>
      <c r="G159" s="18" t="e">
        <f>IF(F157="&gt;","Suitably Dimentioned","Under Dimentioned")</f>
        <v>#VALUE!</v>
      </c>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ht="18" hidden="1" customHeight="1">
      <c r="A173" s="184"/>
      <c r="V173" s="185"/>
    </row>
    <row r="174" spans="1:22" ht="18" hidden="1" customHeight="1">
      <c r="A174" s="184"/>
      <c r="V174" s="185"/>
    </row>
    <row r="175" spans="1:22" ht="18" hidden="1" customHeight="1">
      <c r="A175" s="184"/>
      <c r="V175" s="185"/>
    </row>
    <row r="176" spans="1:22" ht="18" hidden="1" customHeight="1">
      <c r="A176" s="184"/>
      <c r="V176" s="185"/>
    </row>
    <row r="177" spans="1:22" ht="18" hidden="1" customHeight="1">
      <c r="A177" s="184"/>
      <c r="V177" s="185"/>
    </row>
    <row r="178" spans="1:22" ht="18" hidden="1" customHeight="1">
      <c r="A178" s="184"/>
      <c r="V178" s="185"/>
    </row>
    <row r="179" spans="1:22" ht="18" hidden="1" customHeight="1">
      <c r="A179" s="184"/>
      <c r="V179" s="185"/>
    </row>
    <row r="180" spans="1:22" ht="18" hidden="1" customHeight="1">
      <c r="A180" s="184"/>
      <c r="V180" s="185"/>
    </row>
    <row r="181" spans="1:22" ht="18" hidden="1" customHeight="1">
      <c r="A181" s="184"/>
      <c r="V181" s="185"/>
    </row>
    <row r="182" spans="1:22" ht="18" hidden="1" customHeight="1">
      <c r="A182" s="184"/>
      <c r="V182" s="185"/>
    </row>
    <row r="183" spans="1:22" ht="18" hidden="1" customHeight="1">
      <c r="A183" s="184"/>
      <c r="V183" s="185"/>
    </row>
    <row r="184" spans="1:22" ht="18" hidden="1" customHeight="1">
      <c r="A184" s="184"/>
      <c r="V184" s="185"/>
    </row>
    <row r="185" spans="1:22" ht="18" hidden="1" customHeight="1">
      <c r="A185" s="184"/>
      <c r="V185" s="185"/>
    </row>
    <row r="186" spans="1:22" ht="18" hidden="1" customHeight="1">
      <c r="A186" s="184"/>
      <c r="V186" s="185"/>
    </row>
    <row r="187" spans="1:22" ht="18" hidden="1" customHeight="1">
      <c r="A187" s="184"/>
      <c r="V187" s="185"/>
    </row>
    <row r="188" spans="1:22" ht="18" hidden="1" customHeight="1">
      <c r="A188" s="184"/>
      <c r="V188" s="185"/>
    </row>
    <row r="189" spans="1:22" ht="18" hidden="1" customHeight="1">
      <c r="A189" s="184"/>
      <c r="V189" s="185"/>
    </row>
    <row r="190" spans="1:22" ht="18" hidden="1" customHeight="1">
      <c r="A190" s="184"/>
      <c r="V190" s="185"/>
    </row>
    <row r="191" spans="1:22" s="14" customFormat="1" ht="18" hidden="1" customHeight="1">
      <c r="A191" s="194"/>
      <c r="B191" s="195"/>
      <c r="C191" s="195"/>
      <c r="D191" s="195"/>
      <c r="E191" s="195"/>
      <c r="F191" s="195"/>
      <c r="G191" s="195"/>
      <c r="H191" s="195"/>
      <c r="I191" s="195"/>
      <c r="J191" s="195"/>
      <c r="K191" s="195"/>
      <c r="L191" s="195"/>
      <c r="M191" s="195"/>
      <c r="N191" s="195"/>
      <c r="O191" s="195"/>
      <c r="P191" s="195"/>
      <c r="Q191" s="224"/>
      <c r="R191" s="182"/>
      <c r="S191" s="225"/>
      <c r="T191" s="195"/>
      <c r="U191" s="195"/>
      <c r="V191" s="134" t="s">
        <v>552</v>
      </c>
    </row>
    <row r="192" spans="1:22" ht="18" hidden="1" customHeight="1">
      <c r="A192" s="226"/>
      <c r="B192" s="227"/>
      <c r="C192" s="227"/>
      <c r="D192" s="227"/>
      <c r="E192" s="227"/>
      <c r="F192" s="227"/>
      <c r="G192" s="227"/>
      <c r="H192" s="227"/>
      <c r="I192" s="227"/>
      <c r="J192" s="227"/>
      <c r="K192" s="227"/>
      <c r="L192" s="227"/>
      <c r="M192" s="227"/>
      <c r="N192" s="227"/>
      <c r="O192" s="227"/>
      <c r="P192" s="227"/>
      <c r="Q192" s="227"/>
      <c r="R192" s="227"/>
      <c r="S192" s="227"/>
      <c r="T192" s="227"/>
      <c r="U192" s="227"/>
      <c r="V192" s="228"/>
    </row>
    <row r="193" spans="1:23" ht="18" hidden="1" customHeight="1">
      <c r="A193" s="184"/>
      <c r="B193" s="854" t="str">
        <f>B105</f>
        <v>T1</v>
      </c>
      <c r="C193" s="831"/>
      <c r="D193" s="853" t="str">
        <f>D105</f>
        <v>Core1</v>
      </c>
      <c r="E193" s="765"/>
      <c r="F193" s="455"/>
      <c r="H193" s="684" t="str">
        <f>H105</f>
        <v>(OC+BCPU+FMS)</v>
      </c>
      <c r="I193" s="684"/>
      <c r="J193" s="684"/>
      <c r="K193" s="684"/>
      <c r="L193" s="684"/>
      <c r="M193" s="684"/>
      <c r="P193" s="186"/>
      <c r="S193" s="187" t="s">
        <v>387</v>
      </c>
      <c r="T193" s="1123" t="str">
        <f>T105</f>
        <v>REC670</v>
      </c>
      <c r="U193" s="1124"/>
      <c r="V193" s="185"/>
    </row>
    <row r="194" spans="1:23" ht="18" hidden="1" customHeight="1">
      <c r="A194" s="456"/>
      <c r="F194" s="455"/>
      <c r="T194" s="1123" t="str">
        <f>T106</f>
        <v>REF615</v>
      </c>
      <c r="U194" s="1124"/>
      <c r="V194" s="185"/>
    </row>
    <row r="195" spans="1:23" ht="18" hidden="1" customHeight="1">
      <c r="A195" s="184"/>
      <c r="H195" s="708" t="s">
        <v>390</v>
      </c>
      <c r="I195" s="708"/>
      <c r="J195" s="708" t="s">
        <v>391</v>
      </c>
      <c r="K195" s="708"/>
      <c r="L195" s="789" t="s">
        <v>392</v>
      </c>
      <c r="M195" s="789"/>
      <c r="T195" s="1123" t="str">
        <f>T107</f>
        <v>FMS</v>
      </c>
      <c r="U195" s="1124"/>
      <c r="V195" s="185"/>
    </row>
    <row r="196" spans="1:23" ht="18" hidden="1" customHeight="1">
      <c r="A196" s="184"/>
      <c r="B196" s="47" t="s">
        <v>393</v>
      </c>
      <c r="H196" s="854">
        <f>H108</f>
        <v>2500</v>
      </c>
      <c r="I196" s="831"/>
      <c r="J196" s="854" t="str">
        <f>J108</f>
        <v>-</v>
      </c>
      <c r="K196" s="831"/>
      <c r="L196" s="863" t="str">
        <f>L108</f>
        <v>-</v>
      </c>
      <c r="M196" s="864"/>
      <c r="N196" s="191" t="s">
        <v>342</v>
      </c>
      <c r="O196" s="256">
        <f>O108</f>
        <v>1</v>
      </c>
      <c r="P196" s="27" t="s">
        <v>8</v>
      </c>
      <c r="R196" s="255"/>
      <c r="S196" s="255"/>
      <c r="V196" s="185"/>
    </row>
    <row r="197" spans="1:23" ht="18" hidden="1" customHeight="1">
      <c r="A197" s="184"/>
      <c r="B197" s="47" t="s">
        <v>394</v>
      </c>
      <c r="L197" s="854" t="str">
        <f>J109</f>
        <v>PX</v>
      </c>
      <c r="M197" s="831"/>
      <c r="V197" s="185"/>
    </row>
    <row r="198" spans="1:23" ht="18" hidden="1" customHeight="1">
      <c r="A198" s="184"/>
      <c r="B198" s="47" t="s">
        <v>396</v>
      </c>
      <c r="K198" s="120" t="s">
        <v>497</v>
      </c>
      <c r="L198" s="1075">
        <v>8</v>
      </c>
      <c r="M198" s="1076"/>
      <c r="N198" s="192" t="s">
        <v>333</v>
      </c>
      <c r="V198" s="185"/>
    </row>
    <row r="199" spans="1:23" ht="18" hidden="1" customHeight="1">
      <c r="A199" s="184"/>
      <c r="B199" s="47" t="s">
        <v>398</v>
      </c>
      <c r="K199" s="120" t="s">
        <v>498</v>
      </c>
      <c r="L199" s="1075">
        <v>800</v>
      </c>
      <c r="M199" s="1076"/>
      <c r="N199" s="14" t="s">
        <v>305</v>
      </c>
      <c r="V199" s="185"/>
      <c r="W199" s="30" t="e">
        <f>G247</f>
        <v>#VALUE!</v>
      </c>
    </row>
    <row r="200" spans="1:23" ht="18" hidden="1" customHeight="1">
      <c r="A200" s="184"/>
      <c r="B200" s="14" t="s">
        <v>401</v>
      </c>
      <c r="K200" s="120" t="s">
        <v>402</v>
      </c>
      <c r="L200" s="1075">
        <v>75</v>
      </c>
      <c r="M200" s="1076"/>
      <c r="N200" s="14" t="s">
        <v>403</v>
      </c>
      <c r="V200" s="185"/>
    </row>
    <row r="201" spans="1:23" ht="18" hidden="1" customHeight="1">
      <c r="A201" s="184"/>
      <c r="V201" s="185"/>
    </row>
    <row r="202" spans="1:23" ht="18" hidden="1" customHeight="1">
      <c r="A202" s="193" t="s">
        <v>404</v>
      </c>
      <c r="V202" s="185"/>
    </row>
    <row r="203" spans="1:23" ht="18" hidden="1" customHeight="1">
      <c r="A203" s="184"/>
      <c r="V203" s="185"/>
    </row>
    <row r="204" spans="1:23" ht="18" hidden="1" customHeight="1">
      <c r="A204" s="184"/>
      <c r="B204" s="135" t="s">
        <v>405</v>
      </c>
      <c r="C204" s="273"/>
      <c r="D204" s="139" t="str">
        <f>T193</f>
        <v>REC670</v>
      </c>
      <c r="E204" s="227"/>
      <c r="F204" s="227"/>
      <c r="G204" s="227"/>
      <c r="H204" s="138"/>
      <c r="I204" s="260" t="s">
        <v>127</v>
      </c>
      <c r="J204" s="722">
        <f>J116</f>
        <v>0.02</v>
      </c>
      <c r="K204" s="958"/>
      <c r="L204" s="3" t="s">
        <v>157</v>
      </c>
      <c r="N204" s="197" t="s">
        <v>510</v>
      </c>
      <c r="V204" s="185"/>
    </row>
    <row r="205" spans="1:23" ht="18" hidden="1" customHeight="1">
      <c r="A205" s="184"/>
      <c r="B205" s="96" t="s">
        <v>405</v>
      </c>
      <c r="C205" s="14"/>
      <c r="D205" s="47" t="str">
        <f>T194</f>
        <v>REF615</v>
      </c>
      <c r="H205" s="28"/>
      <c r="I205" s="101" t="s">
        <v>127</v>
      </c>
      <c r="J205" s="722">
        <f>J117</f>
        <v>0.02</v>
      </c>
      <c r="K205" s="958"/>
      <c r="L205" s="3" t="s">
        <v>157</v>
      </c>
      <c r="N205" s="120" t="s">
        <v>491</v>
      </c>
      <c r="O205" s="27" t="s">
        <v>127</v>
      </c>
      <c r="P205" s="27" t="s">
        <v>511</v>
      </c>
      <c r="Q205" s="27" t="s">
        <v>315</v>
      </c>
      <c r="R205" s="27" t="s">
        <v>511</v>
      </c>
      <c r="S205" s="27" t="s">
        <v>315</v>
      </c>
      <c r="T205" s="27" t="s">
        <v>420</v>
      </c>
      <c r="V205" s="185"/>
    </row>
    <row r="206" spans="1:23" ht="18" hidden="1" customHeight="1">
      <c r="A206" s="184"/>
      <c r="B206" s="96" t="s">
        <v>405</v>
      </c>
      <c r="C206" s="14"/>
      <c r="D206" s="47" t="str">
        <f>T195</f>
        <v>FMS</v>
      </c>
      <c r="H206" s="28"/>
      <c r="I206" s="101" t="s">
        <v>127</v>
      </c>
      <c r="J206" s="722">
        <f>J118</f>
        <v>5.8000000000000003E-2</v>
      </c>
      <c r="K206" s="958"/>
      <c r="L206" s="3" t="s">
        <v>157</v>
      </c>
      <c r="N206" s="27"/>
      <c r="O206" s="27" t="s">
        <v>127</v>
      </c>
      <c r="P206" s="27">
        <f>O196</f>
        <v>1</v>
      </c>
      <c r="Q206" s="27" t="s">
        <v>315</v>
      </c>
      <c r="R206" s="27">
        <f>O196</f>
        <v>1</v>
      </c>
      <c r="S206" s="27" t="s">
        <v>315</v>
      </c>
      <c r="T206" s="27">
        <f>L198</f>
        <v>8</v>
      </c>
      <c r="V206" s="185"/>
    </row>
    <row r="207" spans="1:23" ht="18" hidden="1" customHeight="1">
      <c r="A207" s="184"/>
      <c r="B207" s="452" t="s">
        <v>412</v>
      </c>
      <c r="C207" s="259"/>
      <c r="D207" s="259"/>
      <c r="E207" s="259"/>
      <c r="F207" s="207"/>
      <c r="G207" s="207"/>
      <c r="H207" s="190"/>
      <c r="I207" s="208" t="s">
        <v>127</v>
      </c>
      <c r="J207" s="1120">
        <f>J119</f>
        <v>1.0770224400000001</v>
      </c>
      <c r="K207" s="987"/>
      <c r="L207" s="297" t="s">
        <v>157</v>
      </c>
      <c r="O207" s="27" t="s">
        <v>127</v>
      </c>
      <c r="P207" s="795">
        <f>P206*R206*T206</f>
        <v>8</v>
      </c>
      <c r="Q207" s="684"/>
      <c r="R207" s="27" t="s">
        <v>157</v>
      </c>
      <c r="V207" s="185"/>
    </row>
    <row r="208" spans="1:23" ht="18" hidden="1" customHeight="1">
      <c r="A208" s="184"/>
      <c r="B208" s="1" t="s">
        <v>413</v>
      </c>
      <c r="C208" s="2"/>
      <c r="D208" s="2"/>
      <c r="E208" s="2"/>
      <c r="F208" s="196"/>
      <c r="G208" s="196"/>
      <c r="H208" s="224" t="s">
        <v>512</v>
      </c>
      <c r="I208" s="183" t="s">
        <v>127</v>
      </c>
      <c r="J208" s="722">
        <f>SUM(J204:J207)</f>
        <v>1.1750224400000002</v>
      </c>
      <c r="K208" s="958"/>
      <c r="L208" s="3" t="s">
        <v>157</v>
      </c>
      <c r="V208" s="185"/>
    </row>
    <row r="209" spans="1:25" ht="18" hidden="1" customHeight="1">
      <c r="A209" s="184"/>
      <c r="B209" s="47"/>
      <c r="C209" s="47"/>
      <c r="D209" s="47"/>
      <c r="E209" s="47"/>
      <c r="H209" s="27"/>
      <c r="I209" s="28"/>
      <c r="J209" s="199"/>
      <c r="L209" s="47"/>
      <c r="S209" s="27"/>
      <c r="V209" s="185"/>
    </row>
    <row r="210" spans="1:25" ht="18" hidden="1" customHeight="1">
      <c r="A210" s="1206" t="s">
        <v>536</v>
      </c>
      <c r="B210" s="1207"/>
      <c r="C210" s="1207"/>
      <c r="D210" s="1207"/>
      <c r="E210" s="1207"/>
      <c r="F210" s="1207"/>
      <c r="G210" s="1207"/>
      <c r="H210" s="1207"/>
      <c r="I210" s="1207"/>
      <c r="J210" s="1207"/>
      <c r="K210" s="1207"/>
      <c r="L210" s="1207"/>
      <c r="M210" s="1207"/>
      <c r="N210" s="1207"/>
      <c r="O210" s="1207"/>
      <c r="P210" s="1207"/>
      <c r="Q210" s="1207"/>
      <c r="R210" s="1207"/>
      <c r="S210" s="1207"/>
      <c r="T210" s="1207"/>
      <c r="U210" s="1207"/>
      <c r="V210" s="1208"/>
    </row>
    <row r="211" spans="1:25" ht="18" hidden="1" customHeight="1">
      <c r="A211" s="1209"/>
      <c r="B211" s="1207"/>
      <c r="C211" s="1207"/>
      <c r="D211" s="1207"/>
      <c r="E211" s="1207"/>
      <c r="F211" s="1207"/>
      <c r="G211" s="1207"/>
      <c r="H211" s="1207"/>
      <c r="I211" s="1207"/>
      <c r="J211" s="1207"/>
      <c r="K211" s="1207"/>
      <c r="L211" s="1207"/>
      <c r="M211" s="1207"/>
      <c r="N211" s="1207"/>
      <c r="O211" s="1207"/>
      <c r="P211" s="1207"/>
      <c r="Q211" s="1207"/>
      <c r="R211" s="1207"/>
      <c r="S211" s="1207"/>
      <c r="T211" s="1207"/>
      <c r="U211" s="1207"/>
      <c r="V211" s="1208"/>
    </row>
    <row r="212" spans="1:25" ht="18" hidden="1" customHeight="1">
      <c r="A212" s="184"/>
      <c r="Q212" s="211"/>
      <c r="R212" s="192"/>
      <c r="V212" s="185"/>
    </row>
    <row r="213" spans="1:25" ht="18" hidden="1" customHeight="1">
      <c r="A213" s="184"/>
      <c r="C213" s="14" t="s">
        <v>473</v>
      </c>
      <c r="D213" s="28" t="s">
        <v>127</v>
      </c>
      <c r="E213" s="28" t="s">
        <v>537</v>
      </c>
      <c r="F213" s="120" t="s">
        <v>493</v>
      </c>
      <c r="G213" s="28" t="s">
        <v>347</v>
      </c>
      <c r="H213" s="120" t="s">
        <v>491</v>
      </c>
      <c r="I213" s="28" t="s">
        <v>538</v>
      </c>
      <c r="J213" s="28" t="s">
        <v>495</v>
      </c>
      <c r="K213" s="28" t="s">
        <v>539</v>
      </c>
      <c r="L213" s="28" t="s">
        <v>511</v>
      </c>
      <c r="M213" s="28" t="s">
        <v>315</v>
      </c>
      <c r="N213" s="28">
        <v>1.3</v>
      </c>
      <c r="O213" s="47" t="s">
        <v>350</v>
      </c>
      <c r="V213" s="185"/>
    </row>
    <row r="214" spans="1:25" ht="18" hidden="1" customHeight="1">
      <c r="A214" s="184" t="s">
        <v>540</v>
      </c>
      <c r="C214" s="14"/>
      <c r="D214" s="28"/>
      <c r="E214" s="14"/>
      <c r="F214" s="14"/>
      <c r="G214" s="14"/>
      <c r="H214" s="14"/>
      <c r="I214" s="14"/>
      <c r="J214" s="14"/>
      <c r="K214" s="14"/>
      <c r="L214" s="14"/>
      <c r="M214" s="14"/>
      <c r="N214" s="14"/>
      <c r="O214" s="14"/>
      <c r="V214" s="185"/>
    </row>
    <row r="215" spans="1:25" ht="18" hidden="1" customHeight="1">
      <c r="A215" s="184"/>
      <c r="C215" s="120" t="s">
        <v>493</v>
      </c>
      <c r="D215" s="28" t="s">
        <v>127</v>
      </c>
      <c r="E215" s="28" t="s">
        <v>537</v>
      </c>
      <c r="F215" s="28">
        <v>1.3</v>
      </c>
      <c r="G215" s="28" t="s">
        <v>315</v>
      </c>
      <c r="H215" s="689" t="s">
        <v>473</v>
      </c>
      <c r="I215" s="716"/>
      <c r="J215" s="28" t="s">
        <v>315</v>
      </c>
      <c r="K215" s="28" t="s">
        <v>511</v>
      </c>
      <c r="L215" s="28" t="s">
        <v>541</v>
      </c>
      <c r="M215" s="28" t="s">
        <v>495</v>
      </c>
      <c r="N215" s="47" t="s">
        <v>542</v>
      </c>
      <c r="O215" s="120" t="s">
        <v>491</v>
      </c>
      <c r="V215" s="185"/>
    </row>
    <row r="216" spans="1:25" ht="18" hidden="1" customHeight="1">
      <c r="A216" s="184"/>
      <c r="V216" s="185"/>
    </row>
    <row r="217" spans="1:25" ht="18" hidden="1" customHeight="1">
      <c r="A217" s="168"/>
      <c r="B217" s="5"/>
      <c r="C217" s="47" t="s">
        <v>543</v>
      </c>
      <c r="D217" s="14"/>
      <c r="E217" s="14"/>
      <c r="F217" s="14"/>
      <c r="G217" s="14"/>
      <c r="H217" s="279"/>
      <c r="I217" s="120"/>
      <c r="J217" s="279"/>
      <c r="K217" s="279"/>
      <c r="L217" s="14"/>
      <c r="M217" s="14"/>
      <c r="N217" s="14"/>
      <c r="O217" s="14"/>
      <c r="P217" s="14"/>
      <c r="Q217" s="120" t="s">
        <v>544</v>
      </c>
      <c r="R217" s="102" t="s">
        <v>127</v>
      </c>
      <c r="S217" s="689">
        <f>S129</f>
        <v>15000</v>
      </c>
      <c r="T217" s="689"/>
      <c r="U217" s="47" t="s">
        <v>8</v>
      </c>
      <c r="V217" s="185"/>
    </row>
    <row r="218" spans="1:25" ht="18" hidden="1" customHeight="1">
      <c r="A218" s="168"/>
      <c r="B218" s="5"/>
      <c r="C218" s="47" t="s">
        <v>545</v>
      </c>
      <c r="D218" s="14"/>
      <c r="E218" s="14"/>
      <c r="F218" s="18"/>
      <c r="G218" s="18"/>
      <c r="H218" s="279"/>
      <c r="I218" s="120"/>
      <c r="J218" s="279"/>
      <c r="K218" s="279"/>
      <c r="L218" s="14"/>
      <c r="M218" s="14"/>
      <c r="N218" s="14"/>
      <c r="O218" s="14"/>
      <c r="P218" s="14"/>
      <c r="Q218" s="120" t="s">
        <v>423</v>
      </c>
      <c r="R218" s="102" t="s">
        <v>127</v>
      </c>
      <c r="S218" s="689" t="str">
        <f>L196</f>
        <v>-</v>
      </c>
      <c r="T218" s="689"/>
      <c r="U218" s="14" t="s">
        <v>8</v>
      </c>
      <c r="V218" s="185"/>
    </row>
    <row r="219" spans="1:25" ht="18" hidden="1" customHeight="1">
      <c r="A219" s="168"/>
      <c r="B219" s="5"/>
      <c r="C219" s="47" t="s">
        <v>546</v>
      </c>
      <c r="D219" s="14"/>
      <c r="E219" s="14"/>
      <c r="F219" s="18"/>
      <c r="G219" s="18"/>
      <c r="H219" s="279"/>
      <c r="I219" s="120"/>
      <c r="J219" s="279"/>
      <c r="K219" s="279"/>
      <c r="L219" s="14"/>
      <c r="M219" s="14"/>
      <c r="N219" s="14"/>
      <c r="O219" s="14"/>
      <c r="P219" s="14"/>
      <c r="Q219" s="120" t="s">
        <v>473</v>
      </c>
      <c r="R219" s="102" t="s">
        <v>127</v>
      </c>
      <c r="S219" s="689">
        <f>L199</f>
        <v>800</v>
      </c>
      <c r="T219" s="689"/>
      <c r="U219" s="14" t="s">
        <v>305</v>
      </c>
      <c r="V219" s="185"/>
    </row>
    <row r="220" spans="1:25" ht="18" hidden="1" customHeight="1">
      <c r="A220" s="168"/>
      <c r="B220" s="5"/>
      <c r="C220" s="47" t="s">
        <v>547</v>
      </c>
      <c r="D220" s="14"/>
      <c r="E220" s="14"/>
      <c r="F220" s="18"/>
      <c r="G220" s="18"/>
      <c r="H220" s="279"/>
      <c r="I220" s="120"/>
      <c r="J220" s="279"/>
      <c r="K220" s="279"/>
      <c r="L220" s="14"/>
      <c r="M220" s="14"/>
      <c r="N220" s="14"/>
      <c r="O220" s="14"/>
      <c r="P220" s="14"/>
      <c r="Q220" s="120" t="s">
        <v>491</v>
      </c>
      <c r="R220" s="102" t="s">
        <v>127</v>
      </c>
      <c r="S220" s="692">
        <f>P207</f>
        <v>8</v>
      </c>
      <c r="T220" s="689"/>
      <c r="U220" s="14" t="s">
        <v>157</v>
      </c>
      <c r="V220" s="185"/>
      <c r="W220" s="279"/>
      <c r="X220" s="279"/>
      <c r="Y220" s="279"/>
    </row>
    <row r="221" spans="1:25" ht="18" hidden="1" customHeight="1">
      <c r="A221" s="168"/>
      <c r="B221" s="5"/>
      <c r="C221" s="47" t="s">
        <v>548</v>
      </c>
      <c r="D221" s="14"/>
      <c r="E221" s="14"/>
      <c r="F221" s="18"/>
      <c r="G221" s="18"/>
      <c r="H221" s="279"/>
      <c r="I221" s="120"/>
      <c r="J221" s="279"/>
      <c r="K221" s="279"/>
      <c r="L221" s="14"/>
      <c r="M221" s="14"/>
      <c r="N221" s="14"/>
      <c r="O221" s="14"/>
      <c r="P221" s="14"/>
      <c r="Q221" s="120" t="s">
        <v>512</v>
      </c>
      <c r="R221" s="102" t="s">
        <v>127</v>
      </c>
      <c r="S221" s="692">
        <f>J208</f>
        <v>1.1750224400000002</v>
      </c>
      <c r="T221" s="689"/>
      <c r="U221" s="14" t="s">
        <v>157</v>
      </c>
      <c r="V221" s="185"/>
      <c r="X221" s="279"/>
      <c r="Y221" s="279"/>
    </row>
    <row r="222" spans="1:25" ht="18" hidden="1" customHeight="1">
      <c r="A222" s="168"/>
      <c r="B222" s="5"/>
      <c r="C222" s="47" t="s">
        <v>549</v>
      </c>
      <c r="D222" s="14"/>
      <c r="E222" s="14"/>
      <c r="F222" s="14"/>
      <c r="G222" s="14"/>
      <c r="H222" s="279"/>
      <c r="I222" s="120"/>
      <c r="J222" s="279"/>
      <c r="K222" s="279"/>
      <c r="L222" s="14"/>
      <c r="M222" s="14"/>
      <c r="N222" s="14"/>
      <c r="O222" s="14"/>
      <c r="P222" s="14"/>
      <c r="Q222" s="120" t="s">
        <v>511</v>
      </c>
      <c r="R222" s="102" t="s">
        <v>127</v>
      </c>
      <c r="S222" s="689">
        <f>O196</f>
        <v>1</v>
      </c>
      <c r="T222" s="689"/>
      <c r="U222" s="14" t="s">
        <v>8</v>
      </c>
      <c r="V222" s="185"/>
      <c r="X222" s="279"/>
      <c r="Y222" s="279"/>
    </row>
    <row r="223" spans="1:25" ht="18" hidden="1" customHeight="1">
      <c r="A223" s="168"/>
      <c r="B223" s="5"/>
      <c r="C223" s="47" t="s">
        <v>550</v>
      </c>
      <c r="D223" s="14"/>
      <c r="E223" s="14"/>
      <c r="F223" s="14"/>
      <c r="G223" s="14"/>
      <c r="H223" s="279"/>
      <c r="I223" s="120"/>
      <c r="J223" s="279"/>
      <c r="K223" s="279"/>
      <c r="L223" s="14"/>
      <c r="M223" s="14"/>
      <c r="N223" s="14"/>
      <c r="O223" s="14"/>
      <c r="P223" s="14"/>
      <c r="Q223" s="120" t="s">
        <v>495</v>
      </c>
      <c r="R223" s="102" t="s">
        <v>127</v>
      </c>
      <c r="S223" s="689">
        <v>20</v>
      </c>
      <c r="T223" s="689"/>
      <c r="U223" s="47"/>
      <c r="V223" s="185"/>
    </row>
    <row r="224" spans="1:25" ht="18" hidden="1" customHeight="1">
      <c r="A224" s="299"/>
      <c r="B224" s="279"/>
      <c r="C224" s="47" t="s">
        <v>551</v>
      </c>
      <c r="D224" s="14"/>
      <c r="E224" s="14"/>
      <c r="F224" s="14"/>
      <c r="G224" s="14"/>
      <c r="H224" s="279"/>
      <c r="I224" s="120"/>
      <c r="J224" s="279"/>
      <c r="K224" s="279"/>
      <c r="L224" s="14"/>
      <c r="M224" s="14"/>
      <c r="N224" s="279"/>
      <c r="O224" s="279"/>
      <c r="P224" s="14"/>
      <c r="Q224" s="120" t="s">
        <v>493</v>
      </c>
      <c r="R224" s="14"/>
      <c r="S224" s="279"/>
      <c r="T224" s="279"/>
      <c r="U224" s="279"/>
      <c r="V224" s="300"/>
      <c r="W224" s="279"/>
      <c r="X224" s="279"/>
      <c r="Y224" s="279"/>
    </row>
    <row r="225" spans="1:22" ht="18" hidden="1" customHeight="1">
      <c r="A225" s="184"/>
      <c r="V225" s="185"/>
    </row>
    <row r="226" spans="1:22" ht="18" hidden="1" customHeight="1">
      <c r="A226" s="184"/>
      <c r="C226" s="120" t="s">
        <v>493</v>
      </c>
      <c r="D226" s="28" t="s">
        <v>127</v>
      </c>
      <c r="E226" s="28" t="s">
        <v>537</v>
      </c>
      <c r="F226" s="28">
        <v>1.3</v>
      </c>
      <c r="G226" s="28" t="s">
        <v>315</v>
      </c>
      <c r="H226" s="689" t="s">
        <v>473</v>
      </c>
      <c r="I226" s="716"/>
      <c r="J226" s="28" t="s">
        <v>315</v>
      </c>
      <c r="K226" s="28" t="s">
        <v>511</v>
      </c>
      <c r="L226" s="28" t="s">
        <v>541</v>
      </c>
      <c r="M226" s="28" t="s">
        <v>495</v>
      </c>
      <c r="N226" s="47" t="s">
        <v>542</v>
      </c>
      <c r="O226" s="120" t="s">
        <v>491</v>
      </c>
      <c r="V226" s="185"/>
    </row>
    <row r="227" spans="1:22" ht="18" hidden="1" customHeight="1">
      <c r="A227" s="184"/>
      <c r="C227" s="120" t="s">
        <v>493</v>
      </c>
      <c r="D227" s="28" t="s">
        <v>127</v>
      </c>
      <c r="E227" s="28" t="s">
        <v>537</v>
      </c>
      <c r="F227" s="28">
        <v>1.3</v>
      </c>
      <c r="G227" s="28" t="s">
        <v>315</v>
      </c>
      <c r="H227" s="689">
        <f>S219</f>
        <v>800</v>
      </c>
      <c r="I227" s="716"/>
      <c r="J227" s="28" t="s">
        <v>315</v>
      </c>
      <c r="K227" s="28">
        <f>S222</f>
        <v>1</v>
      </c>
      <c r="L227" s="28" t="s">
        <v>541</v>
      </c>
      <c r="M227" s="28">
        <f>S223</f>
        <v>20</v>
      </c>
      <c r="N227" s="47" t="s">
        <v>542</v>
      </c>
      <c r="O227" s="502">
        <f>S220</f>
        <v>8</v>
      </c>
      <c r="V227" s="185"/>
    </row>
    <row r="228" spans="1:22" ht="18" hidden="1" customHeight="1">
      <c r="A228" s="184"/>
      <c r="D228" s="27" t="s">
        <v>127</v>
      </c>
      <c r="E228" s="684">
        <f>((F227*H227*K227)/M227)-O227</f>
        <v>44</v>
      </c>
      <c r="F228" s="684"/>
      <c r="G228" s="27" t="s">
        <v>157</v>
      </c>
      <c r="V228" s="185"/>
    </row>
    <row r="229" spans="1:22" ht="18" hidden="1" customHeight="1">
      <c r="A229" s="184"/>
      <c r="D229" s="27"/>
      <c r="E229" s="27"/>
      <c r="F229" s="27"/>
      <c r="G229" s="27"/>
      <c r="V229" s="185"/>
    </row>
    <row r="230" spans="1:22" ht="18" hidden="1" customHeight="1">
      <c r="A230" s="184"/>
      <c r="D230" s="27"/>
      <c r="E230" s="27"/>
      <c r="F230" s="27"/>
      <c r="G230" s="27"/>
      <c r="V230" s="185"/>
    </row>
    <row r="231" spans="1:22" ht="18" hidden="1" customHeight="1">
      <c r="A231" s="184"/>
      <c r="D231" s="27"/>
      <c r="E231" s="27"/>
      <c r="F231" s="27"/>
      <c r="G231" s="27"/>
      <c r="V231" s="185"/>
    </row>
    <row r="232" spans="1:22" ht="18" hidden="1" customHeight="1">
      <c r="A232" s="184"/>
      <c r="D232" s="27"/>
      <c r="E232" s="27"/>
      <c r="F232" s="27"/>
      <c r="G232" s="27"/>
      <c r="V232" s="185"/>
    </row>
    <row r="233" spans="1:22" ht="18" hidden="1" customHeight="1">
      <c r="A233" s="184"/>
      <c r="D233" s="27"/>
      <c r="E233" s="27"/>
      <c r="F233" s="27"/>
      <c r="G233" s="27"/>
      <c r="V233" s="185"/>
    </row>
    <row r="234" spans="1:22" ht="18" hidden="1" customHeight="1">
      <c r="A234" s="184"/>
      <c r="V234" s="185"/>
    </row>
    <row r="235" spans="1:22" s="14" customFormat="1" ht="18" hidden="1" customHeight="1">
      <c r="A235" s="194"/>
      <c r="B235" s="195"/>
      <c r="C235" s="195"/>
      <c r="D235" s="195"/>
      <c r="E235" s="195"/>
      <c r="F235" s="195"/>
      <c r="G235" s="195"/>
      <c r="H235" s="195"/>
      <c r="I235" s="195"/>
      <c r="J235" s="195"/>
      <c r="K235" s="195"/>
      <c r="L235" s="195"/>
      <c r="M235" s="195"/>
      <c r="N235" s="195"/>
      <c r="O235" s="195"/>
      <c r="P235" s="195"/>
      <c r="Q235" s="224"/>
      <c r="R235" s="182"/>
      <c r="S235" s="225"/>
      <c r="T235" s="195"/>
      <c r="U235" s="195"/>
      <c r="V235" s="134" t="s">
        <v>552</v>
      </c>
    </row>
    <row r="236" spans="1:22" ht="18" hidden="1" customHeight="1">
      <c r="A236" s="226"/>
      <c r="B236" s="227"/>
      <c r="C236" s="227"/>
      <c r="D236" s="227"/>
      <c r="E236" s="227"/>
      <c r="F236" s="227"/>
      <c r="G236" s="227"/>
      <c r="H236" s="227"/>
      <c r="I236" s="227"/>
      <c r="J236" s="227"/>
      <c r="K236" s="227"/>
      <c r="L236" s="227"/>
      <c r="M236" s="227"/>
      <c r="N236" s="227"/>
      <c r="O236" s="227"/>
      <c r="P236" s="227"/>
      <c r="Q236" s="227"/>
      <c r="R236" s="227"/>
      <c r="S236" s="227"/>
      <c r="T236" s="227"/>
      <c r="U236" s="227"/>
      <c r="V236" s="228"/>
    </row>
    <row r="237" spans="1:22" ht="18" hidden="1" customHeight="1">
      <c r="A237" s="184"/>
      <c r="E237" s="244" t="s">
        <v>111</v>
      </c>
      <c r="F237" s="27" t="s">
        <v>127</v>
      </c>
      <c r="G237" s="689" t="s">
        <v>544</v>
      </c>
      <c r="H237" s="689"/>
      <c r="I237" s="191" t="s">
        <v>342</v>
      </c>
      <c r="J237" s="684" t="s">
        <v>423</v>
      </c>
      <c r="K237" s="684"/>
      <c r="V237" s="185"/>
    </row>
    <row r="238" spans="1:22" ht="18" hidden="1" customHeight="1">
      <c r="A238" s="184"/>
      <c r="F238" s="27" t="s">
        <v>127</v>
      </c>
      <c r="G238" s="684">
        <f>S217</f>
        <v>15000</v>
      </c>
      <c r="H238" s="684"/>
      <c r="I238" s="191" t="s">
        <v>342</v>
      </c>
      <c r="J238" s="684" t="str">
        <f>S218</f>
        <v>-</v>
      </c>
      <c r="K238" s="684"/>
      <c r="V238" s="185"/>
    </row>
    <row r="239" spans="1:22" ht="18" hidden="1" customHeight="1">
      <c r="A239" s="184"/>
      <c r="F239" s="27" t="s">
        <v>127</v>
      </c>
      <c r="G239" s="795" t="e">
        <f>G238/J238</f>
        <v>#VALUE!</v>
      </c>
      <c r="H239" s="795"/>
      <c r="I239" s="27"/>
      <c r="J239" s="27"/>
      <c r="K239" s="27"/>
      <c r="V239" s="185"/>
    </row>
    <row r="240" spans="1:22" ht="18" hidden="1" customHeight="1">
      <c r="A240" s="184"/>
      <c r="V240" s="185"/>
    </row>
    <row r="241" spans="1:22" ht="18" hidden="1" customHeight="1">
      <c r="A241" s="184"/>
      <c r="E241" s="244" t="s">
        <v>553</v>
      </c>
      <c r="F241" s="27" t="s">
        <v>127</v>
      </c>
      <c r="G241" s="27" t="s">
        <v>495</v>
      </c>
      <c r="H241" s="27" t="s">
        <v>554</v>
      </c>
      <c r="I241" s="120" t="s">
        <v>491</v>
      </c>
      <c r="J241" s="28" t="s">
        <v>347</v>
      </c>
      <c r="K241" s="120" t="s">
        <v>493</v>
      </c>
      <c r="L241" s="28" t="s">
        <v>539</v>
      </c>
      <c r="M241" s="120" t="s">
        <v>491</v>
      </c>
      <c r="N241" s="28" t="s">
        <v>347</v>
      </c>
      <c r="O241" s="120" t="s">
        <v>512</v>
      </c>
      <c r="P241" s="296" t="s">
        <v>350</v>
      </c>
      <c r="V241" s="185"/>
    </row>
    <row r="242" spans="1:22" ht="18" hidden="1" customHeight="1">
      <c r="A242" s="184"/>
      <c r="F242" s="27" t="s">
        <v>127</v>
      </c>
      <c r="G242" s="242">
        <f>S223</f>
        <v>20</v>
      </c>
      <c r="H242" s="245" t="s">
        <v>554</v>
      </c>
      <c r="I242" s="301">
        <f>S220</f>
        <v>8</v>
      </c>
      <c r="J242" s="245" t="s">
        <v>347</v>
      </c>
      <c r="K242" s="301">
        <f>E228</f>
        <v>44</v>
      </c>
      <c r="L242" s="245" t="s">
        <v>539</v>
      </c>
      <c r="M242" s="301">
        <f>S220</f>
        <v>8</v>
      </c>
      <c r="N242" s="245" t="s">
        <v>347</v>
      </c>
      <c r="O242" s="301">
        <f>S221</f>
        <v>1.1750224400000002</v>
      </c>
      <c r="P242" s="461" t="s">
        <v>350</v>
      </c>
      <c r="V242" s="185"/>
    </row>
    <row r="243" spans="1:22" ht="18" hidden="1" customHeight="1">
      <c r="A243" s="184"/>
      <c r="F243" s="27" t="s">
        <v>127</v>
      </c>
      <c r="G243" s="795">
        <f>G242*((I242+K242)/(M242+O242))</f>
        <v>113.35122140584106</v>
      </c>
      <c r="H243" s="795"/>
      <c r="V243" s="185"/>
    </row>
    <row r="244" spans="1:22" ht="18" hidden="1" customHeight="1">
      <c r="A244" s="184"/>
      <c r="V244" s="185"/>
    </row>
    <row r="245" spans="1:22" ht="18" hidden="1" customHeight="1">
      <c r="A245" s="184"/>
      <c r="E245" s="244" t="s">
        <v>555</v>
      </c>
      <c r="F245" s="27" t="e">
        <f>IF(D246&gt;G246,"&gt;","&lt;")</f>
        <v>#VALUE!</v>
      </c>
      <c r="G245" s="296" t="s">
        <v>111</v>
      </c>
      <c r="V245" s="185"/>
    </row>
    <row r="246" spans="1:22" ht="18" hidden="1" customHeight="1">
      <c r="A246" s="184"/>
      <c r="D246" s="795">
        <f>G243</f>
        <v>113.35122140584106</v>
      </c>
      <c r="E246" s="795"/>
      <c r="F246" s="27" t="e">
        <f>F245</f>
        <v>#VALUE!</v>
      </c>
      <c r="G246" s="795" t="e">
        <f>G239</f>
        <v>#VALUE!</v>
      </c>
      <c r="H246" s="795"/>
      <c r="V246" s="185"/>
    </row>
    <row r="247" spans="1:22" ht="18" hidden="1" customHeight="1">
      <c r="A247" s="184"/>
      <c r="E247" s="244" t="s">
        <v>478</v>
      </c>
      <c r="G247" s="18" t="e">
        <f>IF(F245="&gt;","Suitably Dimentioned","Under Dimentioned")</f>
        <v>#VALUE!</v>
      </c>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ht="18" hidden="1" customHeight="1">
      <c r="A266" s="184"/>
      <c r="V266" s="185"/>
    </row>
    <row r="267" spans="1:22" ht="18" hidden="1" customHeight="1">
      <c r="A267" s="184"/>
      <c r="V267" s="185"/>
    </row>
    <row r="268" spans="1:22" ht="18" hidden="1" customHeight="1">
      <c r="A268" s="184"/>
      <c r="V268" s="185"/>
    </row>
    <row r="269" spans="1:22" ht="18" hidden="1" customHeight="1">
      <c r="A269" s="184"/>
      <c r="V269" s="185"/>
    </row>
    <row r="270" spans="1:22" ht="18" hidden="1" customHeight="1">
      <c r="A270" s="184"/>
      <c r="V270" s="185"/>
    </row>
    <row r="271" spans="1:22" ht="18" hidden="1" customHeight="1">
      <c r="A271" s="184"/>
      <c r="V271" s="185"/>
    </row>
    <row r="272" spans="1:22" ht="18" hidden="1" customHeight="1">
      <c r="A272" s="184"/>
      <c r="V272" s="185"/>
    </row>
    <row r="273" spans="1:22" ht="18" hidden="1" customHeight="1">
      <c r="A273" s="184"/>
      <c r="V273" s="185"/>
    </row>
    <row r="274" spans="1:22" ht="18" hidden="1" customHeight="1">
      <c r="A274" s="184"/>
      <c r="V274" s="185"/>
    </row>
    <row r="275" spans="1:22" ht="18" hidden="1" customHeight="1">
      <c r="A275" s="184"/>
      <c r="V275" s="185"/>
    </row>
    <row r="276" spans="1:22" ht="18" hidden="1" customHeight="1">
      <c r="A276" s="184"/>
      <c r="V276" s="185"/>
    </row>
    <row r="277" spans="1:22" ht="18" hidden="1" customHeight="1">
      <c r="A277" s="184"/>
      <c r="V277" s="185"/>
    </row>
    <row r="278" spans="1:22" ht="18" hidden="1" customHeight="1">
      <c r="A278" s="184"/>
      <c r="V278" s="185"/>
    </row>
    <row r="279" spans="1:22" s="14" customFormat="1" ht="18" customHeight="1">
      <c r="A279" s="194"/>
      <c r="B279" s="195"/>
      <c r="C279" s="195"/>
      <c r="D279" s="195"/>
      <c r="E279" s="195"/>
      <c r="F279" s="195"/>
      <c r="G279" s="195"/>
      <c r="H279" s="195"/>
      <c r="I279" s="195"/>
      <c r="J279" s="195"/>
      <c r="K279" s="195"/>
      <c r="L279" s="195"/>
      <c r="M279" s="195"/>
      <c r="N279" s="195"/>
      <c r="O279" s="195"/>
      <c r="P279" s="195"/>
      <c r="Q279" s="224"/>
      <c r="R279" s="182"/>
      <c r="S279" s="225"/>
      <c r="T279" s="195"/>
      <c r="U279" s="195"/>
      <c r="V279" s="134"/>
    </row>
    <row r="280" spans="1:22" ht="18" customHeight="1">
      <c r="A280" s="226"/>
      <c r="B280" s="227"/>
      <c r="C280" s="227"/>
      <c r="D280" s="227"/>
      <c r="E280" s="227"/>
      <c r="F280" s="227"/>
      <c r="G280" s="227"/>
      <c r="H280" s="227"/>
      <c r="I280" s="227"/>
      <c r="J280" s="227"/>
      <c r="K280" s="227"/>
      <c r="L280" s="227"/>
      <c r="M280" s="227"/>
      <c r="N280" s="227"/>
      <c r="O280" s="227"/>
      <c r="P280" s="227"/>
      <c r="Q280" s="227"/>
      <c r="R280" s="227"/>
      <c r="S280" s="227"/>
      <c r="T280" s="227"/>
      <c r="U280" s="227"/>
      <c r="V280" s="228"/>
    </row>
    <row r="281" spans="1:22" ht="18" customHeight="1">
      <c r="A281" s="262" t="s">
        <v>532</v>
      </c>
      <c r="B281" s="14"/>
      <c r="C281" s="14"/>
      <c r="D281" s="120"/>
      <c r="E281" s="120"/>
      <c r="F281" s="18"/>
      <c r="G281" s="18"/>
      <c r="H281" s="14"/>
      <c r="I281" s="14"/>
      <c r="J281" s="14"/>
      <c r="K281" s="14"/>
      <c r="L281" s="14"/>
      <c r="M281" s="14"/>
      <c r="N281" s="14"/>
      <c r="O281" s="14"/>
      <c r="P281" s="28"/>
      <c r="Q281" s="120"/>
      <c r="R281" s="47"/>
      <c r="S281" s="206"/>
      <c r="T281" s="259"/>
      <c r="U281" s="14"/>
      <c r="V281" s="97"/>
    </row>
    <row r="282" spans="1:22" customFormat="1" ht="18" customHeight="1">
      <c r="A282" s="868" t="s">
        <v>85</v>
      </c>
      <c r="B282" s="868"/>
      <c r="C282" s="869"/>
      <c r="D282" s="868" t="s">
        <v>86</v>
      </c>
      <c r="E282" s="868"/>
      <c r="F282" s="868"/>
      <c r="G282" s="868" t="s">
        <v>87</v>
      </c>
      <c r="H282" s="868"/>
      <c r="I282" s="868" t="s">
        <v>88</v>
      </c>
      <c r="J282" s="868"/>
      <c r="K282" s="868" t="s">
        <v>502</v>
      </c>
      <c r="L282" s="868"/>
      <c r="M282" s="868" t="s">
        <v>503</v>
      </c>
      <c r="N282" s="868"/>
      <c r="O282" s="868" t="s">
        <v>504</v>
      </c>
      <c r="P282" s="868"/>
      <c r="Q282" s="868" t="s">
        <v>505</v>
      </c>
      <c r="R282" s="868"/>
      <c r="S282" s="868" t="s">
        <v>93</v>
      </c>
      <c r="T282" s="868"/>
      <c r="U282" s="868"/>
      <c r="V282" s="868"/>
    </row>
    <row r="283" spans="1:22" customFormat="1" ht="18" customHeight="1">
      <c r="A283" s="868"/>
      <c r="B283" s="868"/>
      <c r="C283" s="869"/>
      <c r="D283" s="868"/>
      <c r="E283" s="868"/>
      <c r="F283" s="868"/>
      <c r="G283" s="868"/>
      <c r="H283" s="868"/>
      <c r="I283" s="868"/>
      <c r="J283" s="868"/>
      <c r="K283" s="868"/>
      <c r="L283" s="868"/>
      <c r="M283" s="868"/>
      <c r="N283" s="868"/>
      <c r="O283" s="868"/>
      <c r="P283" s="868"/>
      <c r="Q283" s="868"/>
      <c r="R283" s="868"/>
      <c r="S283" s="868"/>
      <c r="T283" s="868"/>
      <c r="U283" s="868"/>
      <c r="V283" s="868"/>
    </row>
    <row r="284" spans="1:22" customFormat="1" ht="18" customHeight="1">
      <c r="A284" s="868"/>
      <c r="B284" s="868"/>
      <c r="C284" s="869"/>
      <c r="D284" s="868"/>
      <c r="E284" s="868"/>
      <c r="F284" s="868"/>
      <c r="G284" s="868"/>
      <c r="H284" s="868"/>
      <c r="I284" s="868"/>
      <c r="J284" s="868"/>
      <c r="K284" s="868"/>
      <c r="L284" s="868"/>
      <c r="M284" s="868"/>
      <c r="N284" s="868"/>
      <c r="O284" s="868"/>
      <c r="P284" s="868"/>
      <c r="Q284" s="868"/>
      <c r="R284" s="868"/>
      <c r="S284" s="868"/>
      <c r="T284" s="868"/>
      <c r="U284" s="868"/>
      <c r="V284" s="868"/>
    </row>
    <row r="285" spans="1:22" customFormat="1" ht="18" customHeight="1">
      <c r="A285" s="868"/>
      <c r="B285" s="868"/>
      <c r="C285" s="869"/>
      <c r="D285" s="868"/>
      <c r="E285" s="868"/>
      <c r="F285" s="868"/>
      <c r="G285" s="868"/>
      <c r="H285" s="868"/>
      <c r="I285" s="868"/>
      <c r="J285" s="868"/>
      <c r="K285" s="868"/>
      <c r="L285" s="868"/>
      <c r="M285" s="868"/>
      <c r="N285" s="868"/>
      <c r="O285" s="868"/>
      <c r="P285" s="868"/>
      <c r="Q285" s="868"/>
      <c r="R285" s="868"/>
      <c r="S285" s="868"/>
      <c r="T285" s="868"/>
      <c r="U285" s="868"/>
      <c r="V285" s="868"/>
    </row>
    <row r="286" spans="1:22" customFormat="1" ht="18" customHeight="1">
      <c r="A286" s="765" t="str">
        <f>B7</f>
        <v>T1</v>
      </c>
      <c r="B286" s="765" t="str">
        <f>D7</f>
        <v>Core1</v>
      </c>
      <c r="C286" s="765"/>
      <c r="D286" s="870">
        <f>H10</f>
        <v>2500</v>
      </c>
      <c r="E286" s="870"/>
      <c r="F286" s="871">
        <f>O10</f>
        <v>1</v>
      </c>
      <c r="G286" s="870">
        <f>'CT-VT Burdens'!S21</f>
        <v>120</v>
      </c>
      <c r="H286" s="874">
        <f>'CT-VT Burdens'!S56</f>
        <v>2.5</v>
      </c>
      <c r="I286" s="874" t="str">
        <f>H11</f>
        <v>PX</v>
      </c>
      <c r="J286" s="874"/>
      <c r="K286" s="869">
        <f>H12</f>
        <v>10</v>
      </c>
      <c r="L286" s="869"/>
      <c r="M286" s="869">
        <f>H13</f>
        <v>325</v>
      </c>
      <c r="N286" s="869"/>
      <c r="O286" s="870">
        <f>H14</f>
        <v>50</v>
      </c>
      <c r="P286" s="870"/>
      <c r="Q286" s="879" t="str">
        <f>CONCATENATE(T7,T8,T9)</f>
        <v>REC670REF615FMS</v>
      </c>
      <c r="R286" s="879"/>
      <c r="S286" s="876" t="s">
        <v>533</v>
      </c>
      <c r="T286" s="870"/>
      <c r="U286" s="870"/>
      <c r="V286" s="870"/>
    </row>
    <row r="287" spans="1:22" customFormat="1" ht="18" customHeight="1">
      <c r="A287" s="765"/>
      <c r="B287" s="765"/>
      <c r="C287" s="765"/>
      <c r="D287" s="876" t="s">
        <v>6</v>
      </c>
      <c r="E287" s="870"/>
      <c r="F287" s="872"/>
      <c r="G287" s="870"/>
      <c r="H287" s="870"/>
      <c r="I287" s="874"/>
      <c r="J287" s="874"/>
      <c r="K287" s="875" t="s">
        <v>6</v>
      </c>
      <c r="L287" s="869"/>
      <c r="M287" s="875" t="s">
        <v>6</v>
      </c>
      <c r="N287" s="869"/>
      <c r="O287" s="876" t="s">
        <v>6</v>
      </c>
      <c r="P287" s="870"/>
      <c r="Q287" s="879"/>
      <c r="R287" s="879"/>
      <c r="S287" s="876" t="s">
        <v>6</v>
      </c>
      <c r="T287" s="870"/>
      <c r="U287" s="870"/>
      <c r="V287" s="870"/>
    </row>
    <row r="288" spans="1:22" customFormat="1" ht="18" customHeight="1">
      <c r="A288" s="765"/>
      <c r="B288" s="765"/>
      <c r="C288" s="765"/>
      <c r="D288" s="876" t="s">
        <v>6</v>
      </c>
      <c r="E288" s="870"/>
      <c r="F288" s="873"/>
      <c r="G288" s="870"/>
      <c r="H288" s="870"/>
      <c r="I288" s="874"/>
      <c r="J288" s="874"/>
      <c r="K288" s="875" t="s">
        <v>6</v>
      </c>
      <c r="L288" s="869"/>
      <c r="M288" s="875" t="s">
        <v>6</v>
      </c>
      <c r="N288" s="869"/>
      <c r="O288" s="876" t="s">
        <v>6</v>
      </c>
      <c r="P288" s="870"/>
      <c r="Q288" s="879"/>
      <c r="R288" s="879"/>
      <c r="S288" s="870" t="s">
        <v>6</v>
      </c>
      <c r="T288" s="870"/>
      <c r="U288" s="870"/>
      <c r="V288" s="870"/>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84"/>
      <c r="V307" s="185"/>
    </row>
    <row r="308" spans="1:22" ht="18" customHeight="1">
      <c r="A308" s="184"/>
      <c r="V308" s="185"/>
    </row>
    <row r="309" spans="1:22" ht="18" customHeight="1">
      <c r="A309" s="184"/>
      <c r="V309" s="185"/>
    </row>
    <row r="310" spans="1:22" ht="18" customHeight="1">
      <c r="A310" s="184"/>
      <c r="V310" s="185"/>
    </row>
    <row r="311" spans="1:22" ht="18" customHeight="1">
      <c r="A311" s="184"/>
      <c r="V311" s="185"/>
    </row>
    <row r="312" spans="1:22" ht="18" customHeight="1">
      <c r="A312" s="184"/>
      <c r="V312" s="185"/>
    </row>
    <row r="313" spans="1:22" ht="18" customHeight="1">
      <c r="A313" s="184"/>
      <c r="V313" s="185"/>
    </row>
    <row r="314" spans="1:22" ht="18" customHeight="1">
      <c r="A314" s="184"/>
      <c r="V314" s="185"/>
    </row>
    <row r="315" spans="1:22" ht="18" customHeight="1">
      <c r="A315" s="184"/>
      <c r="V315" s="185"/>
    </row>
    <row r="316" spans="1:22" ht="18" customHeight="1">
      <c r="A316" s="184"/>
      <c r="V316" s="185"/>
    </row>
    <row r="317" spans="1:22" ht="18" customHeight="1">
      <c r="A317" s="184"/>
      <c r="V317" s="185"/>
    </row>
    <row r="318" spans="1:22" ht="18" customHeight="1">
      <c r="A318" s="184"/>
      <c r="V318" s="185"/>
    </row>
    <row r="319" spans="1:22" ht="18" customHeight="1">
      <c r="A319" s="184"/>
      <c r="V319" s="185"/>
    </row>
    <row r="320" spans="1:22" ht="18" customHeight="1">
      <c r="A320" s="184"/>
      <c r="V320" s="185"/>
    </row>
    <row r="321" spans="1:22" ht="18" customHeight="1">
      <c r="A321" s="184"/>
      <c r="V321" s="185"/>
    </row>
    <row r="322" spans="1:22" s="14" customFormat="1" ht="18" customHeight="1">
      <c r="A322" s="194"/>
      <c r="B322" s="195"/>
      <c r="C322" s="195"/>
      <c r="D322" s="195"/>
      <c r="E322" s="195"/>
      <c r="F322" s="195"/>
      <c r="G322" s="195"/>
      <c r="H322" s="195"/>
      <c r="I322" s="195"/>
      <c r="J322" s="195"/>
      <c r="K322" s="195"/>
      <c r="L322" s="195"/>
      <c r="M322" s="195"/>
      <c r="N322" s="195"/>
      <c r="O322" s="195"/>
      <c r="P322" s="195"/>
      <c r="Q322" s="224"/>
      <c r="R322" s="182"/>
      <c r="S322" s="225"/>
      <c r="T322" s="195"/>
      <c r="U322" s="195"/>
      <c r="V322" s="134"/>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2:D53"/>
    <mergeCell ref="E52:E53"/>
    <mergeCell ref="F52:F53"/>
    <mergeCell ref="G52:G53"/>
    <mergeCell ref="H52:I52"/>
    <mergeCell ref="J52:J53"/>
    <mergeCell ref="K37:K38"/>
    <mergeCell ref="L37:L38"/>
    <mergeCell ref="S52:S53"/>
    <mergeCell ref="T52:T53"/>
    <mergeCell ref="H53:I53"/>
    <mergeCell ref="H54:I54"/>
    <mergeCell ref="S56:T56"/>
    <mergeCell ref="S57:T57"/>
    <mergeCell ref="K52:K53"/>
    <mergeCell ref="L52:L53"/>
    <mergeCell ref="M52:M53"/>
    <mergeCell ref="N52:N53"/>
    <mergeCell ref="O52:O53"/>
    <mergeCell ref="P52:R52"/>
    <mergeCell ref="S55:T55"/>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D67:E67"/>
    <mergeCell ref="E71:F71"/>
    <mergeCell ref="H71:I71"/>
    <mergeCell ref="I64:J64"/>
    <mergeCell ref="K64:K65"/>
    <mergeCell ref="L64:L65"/>
    <mergeCell ref="M64:M65"/>
    <mergeCell ref="N64:N65"/>
    <mergeCell ref="O64:O65"/>
    <mergeCell ref="N70:O70"/>
    <mergeCell ref="N71:O71"/>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136" priority="2" stopIfTrue="1" operator="equal">
      <formula>"Under Dimentioned"</formula>
    </cfRule>
  </conditionalFormatting>
  <conditionalFormatting sqref="H73">
    <cfRule type="cellIs" dxfId="13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A853-0CDB-43E3-9E68-1026D3C19B59}">
  <sheetPr codeName="Sheet163">
    <tabColor rgb="FF00B050"/>
  </sheetPr>
  <dimension ref="A1:AC884"/>
  <sheetViews>
    <sheetView showZeros="0" view="pageBreakPreview" zoomScaleNormal="100" zoomScaleSheetLayoutView="100" workbookViewId="0">
      <selection activeCell="T41" sqref="T4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9" ht="22.2"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Title!A5</f>
        <v>Prep. By</v>
      </c>
      <c r="B5" s="943"/>
      <c r="C5" s="25" t="str">
        <f>Title!C5</f>
        <v>AP</v>
      </c>
      <c r="D5" s="880" t="str">
        <f>Title!D5</f>
        <v>Checked By</v>
      </c>
      <c r="E5" s="881"/>
      <c r="F5" s="943"/>
      <c r="G5" s="25" t="str">
        <f>Title!G5</f>
        <v>RB</v>
      </c>
      <c r="H5" s="944" t="s">
        <v>1023</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108</v>
      </c>
      <c r="C7" s="782"/>
      <c r="D7" s="781" t="s">
        <v>385</v>
      </c>
      <c r="E7" s="782"/>
      <c r="F7" s="186"/>
      <c r="H7" s="684" t="s">
        <v>594</v>
      </c>
      <c r="I7" s="689"/>
      <c r="J7" s="689"/>
      <c r="K7" s="689"/>
      <c r="L7" s="689"/>
      <c r="M7" s="689"/>
      <c r="N7" s="689"/>
      <c r="P7" s="186"/>
      <c r="S7" s="187" t="s">
        <v>387</v>
      </c>
      <c r="T7" s="781" t="s">
        <v>595</v>
      </c>
      <c r="U7" s="782"/>
      <c r="V7" s="185"/>
      <c r="W7" s="30" t="s">
        <v>596</v>
      </c>
    </row>
    <row r="8" spans="1:29" ht="18" customHeight="1">
      <c r="A8" s="184"/>
      <c r="B8" s="1228"/>
      <c r="C8" s="1228"/>
      <c r="D8" s="1228"/>
      <c r="E8" s="1228"/>
      <c r="F8" s="186"/>
      <c r="T8" s="781"/>
      <c r="U8" s="782"/>
      <c r="V8" s="185"/>
      <c r="W8" s="30" t="s">
        <v>597</v>
      </c>
    </row>
    <row r="9" spans="1:29" ht="18" customHeight="1">
      <c r="A9" s="184"/>
      <c r="H9" s="789" t="s">
        <v>390</v>
      </c>
      <c r="I9" s="789"/>
      <c r="J9" s="790" t="s">
        <v>391</v>
      </c>
      <c r="K9" s="790"/>
      <c r="L9" s="790" t="s">
        <v>392</v>
      </c>
      <c r="M9" s="790"/>
      <c r="T9" s="781"/>
      <c r="U9" s="782"/>
      <c r="V9" s="185"/>
      <c r="W9" s="30" t="s">
        <v>598</v>
      </c>
    </row>
    <row r="10" spans="1:29" ht="18" customHeight="1">
      <c r="A10" s="184"/>
      <c r="B10" s="47" t="s">
        <v>393</v>
      </c>
      <c r="H10" s="791">
        <v>2800</v>
      </c>
      <c r="I10" s="792"/>
      <c r="J10" s="781">
        <v>3200</v>
      </c>
      <c r="K10" s="782"/>
      <c r="L10" s="781" t="s">
        <v>6</v>
      </c>
      <c r="M10" s="782"/>
      <c r="N10" s="191" t="s">
        <v>342</v>
      </c>
      <c r="O10" s="125">
        <v>1</v>
      </c>
      <c r="P10" s="27" t="s">
        <v>8</v>
      </c>
      <c r="V10" s="185"/>
    </row>
    <row r="11" spans="1:29" ht="18" customHeight="1">
      <c r="A11" s="184"/>
      <c r="B11" s="47" t="s">
        <v>394</v>
      </c>
      <c r="H11" s="781" t="s">
        <v>395</v>
      </c>
      <c r="I11" s="782"/>
      <c r="V11" s="185"/>
    </row>
    <row r="12" spans="1:29" ht="18" customHeight="1">
      <c r="A12" s="184"/>
      <c r="B12" s="47" t="s">
        <v>396</v>
      </c>
      <c r="G12" s="120" t="s">
        <v>397</v>
      </c>
      <c r="H12" s="781">
        <v>4</v>
      </c>
      <c r="I12" s="782"/>
      <c r="J12" s="192" t="s">
        <v>333</v>
      </c>
      <c r="M12" s="14"/>
      <c r="V12" s="185"/>
    </row>
    <row r="13" spans="1:29" ht="18" customHeight="1">
      <c r="A13" s="184"/>
      <c r="B13" s="47" t="s">
        <v>398</v>
      </c>
      <c r="G13" s="120" t="s">
        <v>498</v>
      </c>
      <c r="H13" s="781">
        <v>500</v>
      </c>
      <c r="I13" s="782"/>
      <c r="J13" s="14" t="s">
        <v>305</v>
      </c>
      <c r="V13" s="185"/>
      <c r="W13" s="30" t="s">
        <v>400</v>
      </c>
      <c r="AB13" s="785">
        <f>Q109</f>
        <v>19.856823479174679</v>
      </c>
      <c r="AC13" s="786"/>
    </row>
    <row r="14" spans="1:29" ht="18" customHeight="1">
      <c r="A14" s="184"/>
      <c r="B14" s="14" t="s">
        <v>401</v>
      </c>
      <c r="G14" s="120" t="s">
        <v>402</v>
      </c>
      <c r="H14" s="781">
        <v>20</v>
      </c>
      <c r="I14" s="782"/>
      <c r="J14" s="14" t="s">
        <v>403</v>
      </c>
      <c r="M14" s="14"/>
      <c r="V14" s="185"/>
    </row>
    <row r="15" spans="1:29" ht="18" customHeight="1">
      <c r="A15" s="184"/>
      <c r="B15" s="14"/>
      <c r="V15" s="185"/>
    </row>
    <row r="16" spans="1:29" ht="18" customHeight="1">
      <c r="A16" s="193" t="s">
        <v>404</v>
      </c>
      <c r="V16" s="185"/>
    </row>
    <row r="17" spans="1:22" ht="18" customHeight="1">
      <c r="A17" s="184"/>
      <c r="V17" s="185"/>
    </row>
    <row r="18" spans="1:22" ht="18" customHeight="1">
      <c r="A18" s="184"/>
      <c r="B18" s="194" t="s">
        <v>405</v>
      </c>
      <c r="C18" s="195"/>
      <c r="D18" s="195" t="str">
        <f>T7</f>
        <v>RET670</v>
      </c>
      <c r="E18" s="196"/>
      <c r="F18" s="196"/>
      <c r="G18" s="196"/>
      <c r="H18" s="182" t="s">
        <v>406</v>
      </c>
      <c r="I18" s="183" t="s">
        <v>127</v>
      </c>
      <c r="J18" s="1193">
        <f>'CT-VT Burdens'!Q104</f>
        <v>0.02</v>
      </c>
      <c r="K18" s="1105"/>
      <c r="L18" s="3" t="s">
        <v>157</v>
      </c>
      <c r="N18" s="197" t="s">
        <v>407</v>
      </c>
      <c r="V18" s="185"/>
    </row>
    <row r="19" spans="1:22" ht="18" customHeight="1">
      <c r="A19" s="184"/>
      <c r="B19" s="96" t="s">
        <v>405</v>
      </c>
      <c r="D19" s="30">
        <f>T8</f>
        <v>0</v>
      </c>
      <c r="H19" s="27"/>
      <c r="I19" s="177" t="s">
        <v>127</v>
      </c>
      <c r="J19" s="1194"/>
      <c r="K19" s="1107"/>
      <c r="L19" s="198" t="s">
        <v>157</v>
      </c>
      <c r="V19" s="185"/>
    </row>
    <row r="20" spans="1:22" ht="18" customHeight="1">
      <c r="A20" s="184"/>
      <c r="B20" s="96" t="s">
        <v>405</v>
      </c>
      <c r="D20" s="30">
        <f>T9</f>
        <v>0</v>
      </c>
      <c r="E20" s="14"/>
      <c r="G20" s="199"/>
      <c r="H20" s="27"/>
      <c r="I20" s="177" t="s">
        <v>127</v>
      </c>
      <c r="J20" s="1108"/>
      <c r="K20" s="788"/>
      <c r="L20" s="202" t="s">
        <v>157</v>
      </c>
      <c r="N20" s="27" t="s">
        <v>408</v>
      </c>
      <c r="O20" s="27" t="s">
        <v>127</v>
      </c>
      <c r="P20" s="27" t="s">
        <v>409</v>
      </c>
      <c r="Q20" s="191" t="s">
        <v>410</v>
      </c>
      <c r="R20" s="27" t="s">
        <v>411</v>
      </c>
      <c r="S20" s="27" t="s">
        <v>315</v>
      </c>
      <c r="T20" s="27" t="s">
        <v>411</v>
      </c>
      <c r="U20" s="30" t="s">
        <v>350</v>
      </c>
      <c r="V20" s="185"/>
    </row>
    <row r="21" spans="1:22" ht="18" customHeight="1">
      <c r="A21" s="184"/>
      <c r="B21" s="184" t="s">
        <v>412</v>
      </c>
      <c r="H21" s="27" t="s">
        <v>599</v>
      </c>
      <c r="I21" s="177" t="s">
        <v>127</v>
      </c>
      <c r="J21" s="793">
        <f>'CT-VT Burdens'!S36</f>
        <v>1.25652618</v>
      </c>
      <c r="K21" s="1156"/>
      <c r="L21" s="203" t="s">
        <v>157</v>
      </c>
      <c r="O21" s="27" t="s">
        <v>127</v>
      </c>
      <c r="P21" s="204">
        <f>J22</f>
        <v>1.2765261800000001</v>
      </c>
      <c r="Q21" s="191" t="s">
        <v>410</v>
      </c>
      <c r="R21" s="27">
        <f>O10</f>
        <v>1</v>
      </c>
      <c r="S21" s="27" t="s">
        <v>315</v>
      </c>
      <c r="T21" s="27">
        <f>O10</f>
        <v>1</v>
      </c>
      <c r="U21" s="30" t="s">
        <v>350</v>
      </c>
      <c r="V21" s="185"/>
    </row>
    <row r="22" spans="1:22" ht="18" customHeight="1">
      <c r="A22" s="184"/>
      <c r="B22" s="205" t="s">
        <v>413</v>
      </c>
      <c r="C22" s="206"/>
      <c r="D22" s="206"/>
      <c r="E22" s="206"/>
      <c r="F22" s="207"/>
      <c r="G22" s="207"/>
      <c r="H22" s="190" t="s">
        <v>409</v>
      </c>
      <c r="I22" s="208" t="s">
        <v>127</v>
      </c>
      <c r="J22" s="766">
        <f>J18+J21</f>
        <v>1.2765261800000001</v>
      </c>
      <c r="K22" s="958"/>
      <c r="L22" s="210" t="s">
        <v>157</v>
      </c>
      <c r="O22" s="27" t="s">
        <v>127</v>
      </c>
      <c r="P22" s="795">
        <f>P21/(R21*T21)</f>
        <v>1.2765261800000001</v>
      </c>
      <c r="Q22" s="795"/>
      <c r="R22" s="192" t="s">
        <v>333</v>
      </c>
      <c r="V22" s="185"/>
    </row>
    <row r="23" spans="1:22" ht="18" customHeight="1">
      <c r="A23" s="184"/>
      <c r="V23" s="185"/>
    </row>
    <row r="24" spans="1:22" s="14" customFormat="1" ht="18" customHeight="1">
      <c r="A24" s="193" t="s">
        <v>600</v>
      </c>
      <c r="B24" s="5"/>
      <c r="C24" s="5"/>
      <c r="D24" s="5"/>
      <c r="E24" s="5"/>
      <c r="F24" s="5"/>
      <c r="G24" s="5"/>
      <c r="H24" s="212"/>
      <c r="I24" s="212"/>
      <c r="J24" s="5"/>
      <c r="K24" s="5"/>
      <c r="L24" s="5"/>
      <c r="M24" s="5"/>
      <c r="N24" s="5"/>
      <c r="O24" s="5"/>
      <c r="P24" s="103"/>
      <c r="Q24" s="212"/>
      <c r="R24" s="213"/>
      <c r="S24" s="214"/>
      <c r="T24" s="18"/>
      <c r="U24" s="18"/>
      <c r="V24" s="97"/>
    </row>
    <row r="25" spans="1:22" s="14" customFormat="1" ht="18" customHeight="1">
      <c r="A25" s="96"/>
      <c r="B25" s="47" t="s">
        <v>601</v>
      </c>
      <c r="C25" s="5"/>
      <c r="D25" s="5"/>
      <c r="E25" s="5"/>
      <c r="I25" s="215"/>
      <c r="M25" s="5"/>
      <c r="O25" s="103" t="s">
        <v>127</v>
      </c>
      <c r="P25" s="743">
        <v>100</v>
      </c>
      <c r="Q25" s="1303"/>
      <c r="R25" s="14" t="s">
        <v>602</v>
      </c>
      <c r="S25" s="214"/>
      <c r="T25" s="18"/>
      <c r="U25" s="18"/>
      <c r="V25" s="97"/>
    </row>
    <row r="26" spans="1:22" s="14" customFormat="1" ht="18" customHeight="1">
      <c r="A26" s="96"/>
      <c r="B26" s="47" t="s">
        <v>603</v>
      </c>
      <c r="C26" s="5"/>
      <c r="D26" s="5"/>
      <c r="E26" s="5"/>
      <c r="I26" s="215"/>
      <c r="M26" s="5"/>
      <c r="O26" s="103" t="s">
        <v>127</v>
      </c>
      <c r="P26" s="743">
        <v>25</v>
      </c>
      <c r="Q26" s="1303"/>
      <c r="R26" s="14" t="s">
        <v>604</v>
      </c>
      <c r="S26" s="214"/>
      <c r="T26" s="18"/>
      <c r="V26" s="97"/>
    </row>
    <row r="27" spans="1:22" s="14" customFormat="1" ht="18" customHeight="1">
      <c r="A27" s="96"/>
      <c r="B27" s="47" t="s">
        <v>605</v>
      </c>
      <c r="C27" s="5"/>
      <c r="D27" s="5"/>
      <c r="E27" s="5"/>
      <c r="N27" s="120" t="s">
        <v>606</v>
      </c>
      <c r="O27" s="103" t="s">
        <v>607</v>
      </c>
      <c r="P27" s="854">
        <v>132</v>
      </c>
      <c r="Q27" s="1270"/>
      <c r="R27" s="14" t="s">
        <v>163</v>
      </c>
      <c r="S27" s="214"/>
      <c r="T27" s="18"/>
      <c r="U27" s="18"/>
      <c r="V27" s="97"/>
    </row>
    <row r="28" spans="1:22" s="14" customFormat="1" ht="18" customHeight="1">
      <c r="A28" s="216"/>
      <c r="B28" s="212"/>
      <c r="C28" s="212"/>
      <c r="D28" s="212"/>
      <c r="E28" s="212"/>
      <c r="T28" s="18"/>
      <c r="U28" s="18"/>
      <c r="V28" s="97"/>
    </row>
    <row r="29" spans="1:22" s="14" customFormat="1" ht="18" customHeight="1">
      <c r="A29" s="96"/>
      <c r="B29" s="14" t="s">
        <v>608</v>
      </c>
      <c r="C29" s="213"/>
      <c r="D29" s="213"/>
      <c r="E29" s="213"/>
      <c r="H29" s="120" t="s">
        <v>609</v>
      </c>
      <c r="I29" s="28" t="s">
        <v>127</v>
      </c>
      <c r="J29" s="689" t="s">
        <v>610</v>
      </c>
      <c r="K29" s="689"/>
      <c r="L29" s="28" t="s">
        <v>315</v>
      </c>
      <c r="M29" s="217">
        <v>1000</v>
      </c>
      <c r="N29" s="102" t="s">
        <v>342</v>
      </c>
      <c r="O29" s="28" t="s">
        <v>611</v>
      </c>
      <c r="P29" s="28" t="s">
        <v>315</v>
      </c>
      <c r="Q29" s="28" t="s">
        <v>606</v>
      </c>
      <c r="R29" s="47"/>
      <c r="T29" s="18"/>
      <c r="U29" s="18"/>
      <c r="V29" s="97"/>
    </row>
    <row r="30" spans="1:22" s="14" customFormat="1" ht="18" customHeight="1">
      <c r="A30" s="216"/>
      <c r="B30" s="213"/>
      <c r="C30" s="213"/>
      <c r="D30" s="213"/>
      <c r="E30" s="213"/>
      <c r="F30" s="212"/>
      <c r="G30" s="212"/>
      <c r="H30" s="28"/>
      <c r="I30" s="28" t="s">
        <v>127</v>
      </c>
      <c r="J30" s="689">
        <f>P25</f>
        <v>100</v>
      </c>
      <c r="K30" s="689"/>
      <c r="L30" s="28" t="s">
        <v>315</v>
      </c>
      <c r="M30" s="217">
        <v>1000</v>
      </c>
      <c r="N30" s="102" t="s">
        <v>342</v>
      </c>
      <c r="O30" s="28" t="s">
        <v>611</v>
      </c>
      <c r="P30" s="28" t="s">
        <v>315</v>
      </c>
      <c r="Q30" s="28">
        <f>P27</f>
        <v>132</v>
      </c>
      <c r="R30" s="47"/>
      <c r="T30" s="18"/>
      <c r="U30" s="18"/>
      <c r="V30" s="97"/>
    </row>
    <row r="31" spans="1:22" s="14" customFormat="1" ht="18" customHeight="1">
      <c r="A31" s="216"/>
      <c r="B31" s="212"/>
      <c r="C31" s="212"/>
      <c r="D31" s="212"/>
      <c r="E31" s="212"/>
      <c r="F31" s="212"/>
      <c r="G31" s="212"/>
      <c r="I31" s="28" t="s">
        <v>127</v>
      </c>
      <c r="J31" s="692">
        <f>(P25*1000)/(SQRT(3)*P27)</f>
        <v>437.38656756789834</v>
      </c>
      <c r="K31" s="692"/>
      <c r="L31" s="14" t="s">
        <v>8</v>
      </c>
      <c r="M31" s="120"/>
      <c r="N31" s="120"/>
      <c r="O31" s="120"/>
      <c r="T31" s="18"/>
      <c r="U31" s="18"/>
      <c r="V31" s="97"/>
    </row>
    <row r="32" spans="1:22" s="14" customFormat="1" ht="18" customHeight="1">
      <c r="A32" s="216"/>
      <c r="B32" s="212"/>
      <c r="C32" s="212"/>
      <c r="D32" s="212"/>
      <c r="E32" s="212"/>
      <c r="G32" s="212"/>
      <c r="H32" s="28"/>
      <c r="I32" s="103"/>
      <c r="J32" s="28"/>
      <c r="M32" s="212"/>
      <c r="N32" s="219"/>
      <c r="O32" s="212"/>
      <c r="T32" s="18"/>
      <c r="U32" s="18"/>
      <c r="V32" s="97"/>
    </row>
    <row r="33" spans="1:25" s="14" customFormat="1" ht="18" customHeight="1">
      <c r="A33" s="147"/>
      <c r="B33" s="5"/>
      <c r="C33" s="5"/>
      <c r="D33" s="5"/>
      <c r="E33" s="5"/>
      <c r="F33" s="212"/>
      <c r="G33" s="212"/>
      <c r="H33" s="5"/>
      <c r="I33" s="5"/>
      <c r="J33" s="5"/>
      <c r="K33" s="5"/>
      <c r="L33" s="103"/>
      <c r="M33" s="103"/>
      <c r="N33" s="103"/>
      <c r="O33" s="103"/>
      <c r="P33" s="212"/>
      <c r="Q33" s="213"/>
      <c r="U33" s="18"/>
      <c r="V33" s="97"/>
    </row>
    <row r="34" spans="1:25" s="14" customFormat="1" ht="18" customHeight="1">
      <c r="A34" s="147"/>
      <c r="B34" s="5"/>
      <c r="C34" s="5"/>
      <c r="D34" s="5"/>
      <c r="E34" s="5"/>
      <c r="F34" s="212"/>
      <c r="G34" s="212"/>
      <c r="H34" s="5"/>
      <c r="I34" s="5"/>
      <c r="J34" s="5"/>
      <c r="K34" s="5"/>
      <c r="L34" s="103"/>
      <c r="M34" s="103"/>
      <c r="N34" s="103"/>
      <c r="O34" s="103"/>
      <c r="P34" s="212"/>
      <c r="Q34" s="213"/>
      <c r="S34" s="214"/>
      <c r="T34" s="18"/>
      <c r="U34" s="18"/>
      <c r="V34" s="97"/>
    </row>
    <row r="35" spans="1:25" ht="18" customHeight="1">
      <c r="A35" s="184"/>
      <c r="B35" s="14" t="s">
        <v>612</v>
      </c>
      <c r="C35" s="14"/>
      <c r="D35" s="14"/>
      <c r="E35" s="14"/>
      <c r="M35" s="28" t="s">
        <v>613</v>
      </c>
      <c r="N35" s="28" t="s">
        <v>127</v>
      </c>
      <c r="O35" s="689" t="s">
        <v>609</v>
      </c>
      <c r="P35" s="689"/>
      <c r="Q35" s="245" t="s">
        <v>342</v>
      </c>
      <c r="R35" s="805" t="str">
        <f>B26</f>
        <v>Percentage Impedance</v>
      </c>
      <c r="S35" s="805"/>
      <c r="T35" s="805"/>
      <c r="U35" s="805"/>
      <c r="V35" s="968"/>
    </row>
    <row r="36" spans="1:25" ht="18" customHeight="1">
      <c r="A36" s="96"/>
      <c r="B36" s="5"/>
      <c r="C36" s="5"/>
      <c r="D36" s="5"/>
      <c r="E36" s="5"/>
      <c r="M36" s="102"/>
      <c r="N36" s="28" t="s">
        <v>127</v>
      </c>
      <c r="O36" s="692">
        <f>+J31</f>
        <v>437.38656756789834</v>
      </c>
      <c r="P36" s="692"/>
      <c r="Q36" s="245" t="s">
        <v>342</v>
      </c>
      <c r="R36" s="221">
        <f>P26%</f>
        <v>0.25</v>
      </c>
      <c r="S36" s="214"/>
      <c r="V36" s="185"/>
    </row>
    <row r="37" spans="1:25" ht="18" customHeight="1">
      <c r="A37" s="96"/>
      <c r="B37" s="5"/>
      <c r="C37" s="5"/>
      <c r="D37" s="5"/>
      <c r="E37" s="5"/>
      <c r="M37" s="28" t="s">
        <v>613</v>
      </c>
      <c r="N37" s="28" t="s">
        <v>127</v>
      </c>
      <c r="O37" s="692">
        <f>O36/R36</f>
        <v>1749.5462702715934</v>
      </c>
      <c r="P37" s="692"/>
      <c r="Q37" s="222" t="s">
        <v>8</v>
      </c>
      <c r="R37" s="28"/>
      <c r="S37" s="214"/>
      <c r="V37" s="185"/>
    </row>
    <row r="38" spans="1:25" ht="18" customHeight="1">
      <c r="A38" s="96"/>
      <c r="B38" s="5"/>
      <c r="C38" s="5"/>
      <c r="D38" s="5"/>
      <c r="E38" s="5"/>
      <c r="M38" s="212"/>
      <c r="N38" s="212"/>
      <c r="O38" s="103"/>
      <c r="Q38" s="223"/>
      <c r="R38" s="14"/>
      <c r="S38" s="214"/>
      <c r="V38" s="185"/>
    </row>
    <row r="39" spans="1:25" ht="18" customHeight="1">
      <c r="A39" s="1206" t="s">
        <v>614</v>
      </c>
      <c r="B39" s="1255"/>
      <c r="C39" s="1255"/>
      <c r="D39" s="1255"/>
      <c r="E39" s="1255"/>
      <c r="F39" s="1255"/>
      <c r="G39" s="1255"/>
      <c r="H39" s="1255"/>
      <c r="I39" s="1255"/>
      <c r="J39" s="1255"/>
      <c r="K39" s="1255"/>
      <c r="L39" s="1255"/>
      <c r="M39" s="1255"/>
      <c r="N39" s="1255"/>
      <c r="O39" s="1255"/>
      <c r="P39" s="1255"/>
      <c r="Q39" s="1255"/>
      <c r="R39" s="1255"/>
      <c r="S39" s="1255"/>
      <c r="T39" s="1255"/>
      <c r="U39" s="1255"/>
      <c r="V39" s="1256"/>
    </row>
    <row r="40" spans="1:25" ht="18" customHeight="1">
      <c r="A40" s="1206"/>
      <c r="B40" s="1255"/>
      <c r="C40" s="1255"/>
      <c r="D40" s="1255"/>
      <c r="E40" s="1255"/>
      <c r="F40" s="1255"/>
      <c r="G40" s="1255"/>
      <c r="H40" s="1255"/>
      <c r="I40" s="1255"/>
      <c r="J40" s="1255"/>
      <c r="K40" s="1255"/>
      <c r="L40" s="1255"/>
      <c r="M40" s="1255"/>
      <c r="N40" s="1255"/>
      <c r="O40" s="1255"/>
      <c r="P40" s="1255"/>
      <c r="Q40" s="1255"/>
      <c r="R40" s="1255"/>
      <c r="S40" s="1255"/>
      <c r="T40" s="1255"/>
      <c r="U40" s="1255"/>
      <c r="V40" s="1256"/>
      <c r="Y40" s="14" t="s">
        <v>615</v>
      </c>
    </row>
    <row r="41" spans="1:25" ht="18" customHeight="1">
      <c r="A41" s="96"/>
      <c r="B41" s="5"/>
      <c r="C41" s="5"/>
      <c r="D41" s="5"/>
      <c r="E41" s="5"/>
      <c r="M41" s="212"/>
      <c r="N41" s="212"/>
      <c r="O41" s="103"/>
      <c r="Q41" s="223"/>
      <c r="R41" s="14"/>
      <c r="S41" s="214"/>
      <c r="V41" s="185"/>
    </row>
    <row r="42" spans="1:25" ht="18" customHeight="1">
      <c r="A42" s="96"/>
      <c r="B42" s="5"/>
      <c r="C42" s="5"/>
      <c r="D42" s="5"/>
      <c r="E42" s="5"/>
      <c r="M42" s="212"/>
      <c r="N42" s="212"/>
      <c r="O42" s="103"/>
      <c r="Q42" s="223"/>
      <c r="R42" s="14"/>
      <c r="S42" s="214"/>
      <c r="V42" s="185"/>
    </row>
    <row r="43" spans="1:25" ht="18" customHeight="1">
      <c r="A43" s="184"/>
      <c r="V43" s="185"/>
    </row>
    <row r="44" spans="1:25" ht="18" customHeight="1">
      <c r="A44" s="184"/>
      <c r="I44" s="14"/>
      <c r="J44" s="14"/>
      <c r="V44" s="185"/>
    </row>
    <row r="45" spans="1:25"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799" t="s">
        <v>417</v>
      </c>
      <c r="B47" s="802"/>
      <c r="C47" s="802"/>
      <c r="D47" s="689">
        <v>30</v>
      </c>
      <c r="E47" s="689" t="s">
        <v>315</v>
      </c>
      <c r="F47" s="689" t="s">
        <v>609</v>
      </c>
      <c r="G47" s="684"/>
      <c r="H47" s="689" t="s">
        <v>315</v>
      </c>
      <c r="I47" s="708" t="s">
        <v>411</v>
      </c>
      <c r="J47" s="828"/>
      <c r="K47" s="689" t="s">
        <v>315</v>
      </c>
      <c r="L47" s="802" t="s">
        <v>419</v>
      </c>
      <c r="M47" s="716" t="s">
        <v>420</v>
      </c>
      <c r="N47" s="729" t="s">
        <v>347</v>
      </c>
      <c r="O47" s="716" t="s">
        <v>408</v>
      </c>
      <c r="P47" s="689" t="s">
        <v>347</v>
      </c>
      <c r="Q47" s="759" t="s">
        <v>421</v>
      </c>
      <c r="R47" s="797"/>
      <c r="S47" s="797"/>
      <c r="T47" s="798" t="s">
        <v>350</v>
      </c>
      <c r="U47" s="230" t="s">
        <v>422</v>
      </c>
      <c r="V47" s="97"/>
    </row>
    <row r="48" spans="1:25" ht="18" customHeight="1">
      <c r="A48" s="827"/>
      <c r="B48" s="802"/>
      <c r="C48" s="802"/>
      <c r="D48" s="689"/>
      <c r="E48" s="689"/>
      <c r="F48" s="684"/>
      <c r="G48" s="684"/>
      <c r="H48" s="689"/>
      <c r="I48" s="689" t="s">
        <v>423</v>
      </c>
      <c r="J48" s="723"/>
      <c r="K48" s="689"/>
      <c r="L48" s="802"/>
      <c r="M48" s="716"/>
      <c r="N48" s="729"/>
      <c r="O48" s="716"/>
      <c r="P48" s="689"/>
      <c r="Q48" s="28" t="s">
        <v>146</v>
      </c>
      <c r="R48" s="28" t="s">
        <v>315</v>
      </c>
      <c r="S48" s="28" t="s">
        <v>146</v>
      </c>
      <c r="T48" s="798"/>
      <c r="U48" s="14"/>
      <c r="V48" s="97"/>
    </row>
    <row r="49" spans="1:22" ht="18" customHeight="1">
      <c r="A49" s="184"/>
      <c r="V49" s="185"/>
    </row>
    <row r="50" spans="1:22" ht="18" customHeight="1">
      <c r="A50" s="799" t="s">
        <v>417</v>
      </c>
      <c r="B50" s="802"/>
      <c r="C50" s="802"/>
      <c r="D50" s="689">
        <v>2</v>
      </c>
      <c r="E50" s="689" t="s">
        <v>315</v>
      </c>
      <c r="F50" s="689" t="s">
        <v>613</v>
      </c>
      <c r="G50" s="684"/>
      <c r="H50" s="689" t="s">
        <v>315</v>
      </c>
      <c r="I50" s="708" t="s">
        <v>411</v>
      </c>
      <c r="J50" s="828"/>
      <c r="K50" s="689" t="s">
        <v>315</v>
      </c>
      <c r="L50" s="802" t="s">
        <v>419</v>
      </c>
      <c r="M50" s="716" t="s">
        <v>420</v>
      </c>
      <c r="N50" s="729" t="s">
        <v>347</v>
      </c>
      <c r="O50" s="716" t="s">
        <v>408</v>
      </c>
      <c r="P50" s="689" t="s">
        <v>347</v>
      </c>
      <c r="Q50" s="759" t="s">
        <v>421</v>
      </c>
      <c r="R50" s="797"/>
      <c r="S50" s="797"/>
      <c r="T50" s="798" t="s">
        <v>350</v>
      </c>
      <c r="U50" s="230" t="s">
        <v>426</v>
      </c>
      <c r="V50" s="97"/>
    </row>
    <row r="51" spans="1:22" ht="18" customHeight="1">
      <c r="A51" s="827"/>
      <c r="B51" s="802"/>
      <c r="C51" s="802"/>
      <c r="D51" s="689"/>
      <c r="E51" s="689"/>
      <c r="F51" s="684"/>
      <c r="G51" s="684"/>
      <c r="H51" s="689"/>
      <c r="I51" s="689" t="s">
        <v>423</v>
      </c>
      <c r="J51" s="723"/>
      <c r="K51" s="689"/>
      <c r="L51" s="802"/>
      <c r="M51" s="716"/>
      <c r="N51" s="729"/>
      <c r="O51" s="716"/>
      <c r="P51" s="689"/>
      <c r="Q51" s="28" t="s">
        <v>146</v>
      </c>
      <c r="R51" s="28" t="s">
        <v>315</v>
      </c>
      <c r="S51" s="28" t="s">
        <v>146</v>
      </c>
      <c r="T51" s="798"/>
      <c r="U51" s="14"/>
      <c r="V51" s="97"/>
    </row>
    <row r="52" spans="1:22" ht="18" customHeight="1">
      <c r="A52" s="184"/>
      <c r="V52" s="185"/>
    </row>
    <row r="53" spans="1:22" ht="18" hidden="1" customHeight="1">
      <c r="A53" s="1206" t="s">
        <v>616</v>
      </c>
      <c r="B53" s="1050"/>
      <c r="C53" s="1050"/>
      <c r="D53" s="1050"/>
      <c r="E53" s="1050"/>
      <c r="F53" s="1050"/>
      <c r="G53" s="1050"/>
      <c r="H53" s="1050"/>
      <c r="I53" s="1050"/>
      <c r="J53" s="1050"/>
      <c r="K53" s="1050"/>
      <c r="L53" s="1050"/>
      <c r="M53" s="1050"/>
      <c r="N53" s="1050"/>
      <c r="O53" s="1050"/>
      <c r="P53" s="1050"/>
      <c r="Q53" s="1050"/>
      <c r="R53" s="1050"/>
      <c r="S53" s="1050"/>
      <c r="T53" s="1050"/>
      <c r="U53" s="1050"/>
      <c r="V53" s="1304"/>
    </row>
    <row r="54" spans="1:22" ht="25.95" hidden="1" customHeight="1">
      <c r="A54" s="1305"/>
      <c r="B54" s="1050"/>
      <c r="C54" s="1050"/>
      <c r="D54" s="1050"/>
      <c r="E54" s="1050"/>
      <c r="F54" s="1050"/>
      <c r="G54" s="1050"/>
      <c r="H54" s="1050"/>
      <c r="I54" s="1050"/>
      <c r="J54" s="1050"/>
      <c r="K54" s="1050"/>
      <c r="L54" s="1050"/>
      <c r="M54" s="1050"/>
      <c r="N54" s="1050"/>
      <c r="O54" s="1050"/>
      <c r="P54" s="1050"/>
      <c r="Q54" s="1050"/>
      <c r="R54" s="1050"/>
      <c r="S54" s="1050"/>
      <c r="T54" s="1050"/>
      <c r="U54" s="1050"/>
      <c r="V54" s="1304"/>
    </row>
    <row r="55" spans="1:22" ht="18" hidden="1" customHeight="1">
      <c r="A55" s="231"/>
      <c r="B55" s="232"/>
      <c r="C55" s="232"/>
      <c r="D55" s="232"/>
      <c r="E55" s="232"/>
      <c r="F55" s="232"/>
      <c r="G55" s="232"/>
      <c r="H55" s="232"/>
      <c r="I55" s="232"/>
      <c r="J55" s="232"/>
      <c r="K55" s="232"/>
      <c r="L55" s="232"/>
      <c r="M55" s="232"/>
      <c r="N55" s="232"/>
      <c r="O55" s="232"/>
      <c r="P55" s="232"/>
      <c r="Q55" s="232"/>
      <c r="R55" s="232"/>
      <c r="S55" s="232"/>
      <c r="T55" s="232"/>
      <c r="U55" s="232"/>
      <c r="V55" s="233"/>
    </row>
    <row r="56" spans="1:22" ht="18" hidden="1" customHeight="1">
      <c r="A56" s="1257" t="s">
        <v>417</v>
      </c>
      <c r="B56" s="716"/>
      <c r="C56" s="716"/>
      <c r="D56" s="689"/>
      <c r="E56" s="689"/>
      <c r="F56" s="689" t="s">
        <v>617</v>
      </c>
      <c r="G56" s="684"/>
      <c r="H56" s="689" t="s">
        <v>315</v>
      </c>
      <c r="I56" s="708" t="s">
        <v>411</v>
      </c>
      <c r="J56" s="828"/>
      <c r="K56" s="689" t="s">
        <v>315</v>
      </c>
      <c r="L56" s="802" t="s">
        <v>419</v>
      </c>
      <c r="M56" s="716" t="s">
        <v>420</v>
      </c>
      <c r="N56" s="729" t="s">
        <v>347</v>
      </c>
      <c r="O56" s="716" t="s">
        <v>408</v>
      </c>
      <c r="P56" s="689" t="s">
        <v>347</v>
      </c>
      <c r="Q56" s="759" t="s">
        <v>421</v>
      </c>
      <c r="R56" s="797"/>
      <c r="S56" s="797"/>
      <c r="T56" s="798" t="s">
        <v>350</v>
      </c>
      <c r="U56" s="230" t="s">
        <v>618</v>
      </c>
      <c r="V56" s="97"/>
    </row>
    <row r="57" spans="1:22" ht="18" hidden="1" customHeight="1">
      <c r="A57" s="1140"/>
      <c r="B57" s="716"/>
      <c r="C57" s="716"/>
      <c r="D57" s="689"/>
      <c r="E57" s="689"/>
      <c r="F57" s="684"/>
      <c r="G57" s="684"/>
      <c r="H57" s="689"/>
      <c r="I57" s="689" t="s">
        <v>423</v>
      </c>
      <c r="J57" s="723"/>
      <c r="K57" s="689"/>
      <c r="L57" s="802"/>
      <c r="M57" s="716"/>
      <c r="N57" s="729"/>
      <c r="O57" s="716"/>
      <c r="P57" s="689"/>
      <c r="Q57" s="28" t="s">
        <v>146</v>
      </c>
      <c r="R57" s="28" t="s">
        <v>315</v>
      </c>
      <c r="S57" s="28" t="s">
        <v>146</v>
      </c>
      <c r="T57" s="798"/>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84"/>
      <c r="H59" s="30" t="s">
        <v>619</v>
      </c>
      <c r="M59" s="781" t="s">
        <v>620</v>
      </c>
      <c r="N59" s="782"/>
      <c r="V59" s="185"/>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84"/>
      <c r="B61" s="14" t="s">
        <v>427</v>
      </c>
      <c r="C61" s="14"/>
      <c r="D61" s="103"/>
      <c r="E61" s="103"/>
      <c r="F61" s="14"/>
      <c r="G61" s="14"/>
      <c r="H61" s="5"/>
      <c r="I61" s="5"/>
      <c r="J61" s="5"/>
      <c r="P61" s="120" t="s">
        <v>428</v>
      </c>
      <c r="V61" s="185"/>
    </row>
    <row r="62" spans="1:22" ht="18" customHeight="1">
      <c r="A62" s="184"/>
      <c r="B62" s="14" t="s">
        <v>429</v>
      </c>
      <c r="C62" s="14"/>
      <c r="D62" s="103"/>
      <c r="E62" s="103"/>
      <c r="F62" s="14"/>
      <c r="G62" s="14"/>
      <c r="H62" s="5"/>
      <c r="I62" s="5"/>
      <c r="J62" s="5"/>
      <c r="P62" s="120" t="s">
        <v>430</v>
      </c>
      <c r="Q62" s="234" t="s">
        <v>127</v>
      </c>
      <c r="R62" s="689">
        <f>H10</f>
        <v>2800</v>
      </c>
      <c r="S62" s="689"/>
      <c r="T62" s="14" t="s">
        <v>8</v>
      </c>
      <c r="V62" s="185"/>
    </row>
    <row r="63" spans="1:22" ht="18" customHeight="1">
      <c r="A63" s="184"/>
      <c r="B63" s="14" t="s">
        <v>621</v>
      </c>
      <c r="C63" s="14"/>
      <c r="D63" s="14"/>
      <c r="E63" s="14"/>
      <c r="F63" s="14"/>
      <c r="G63" s="14"/>
      <c r="H63" s="14"/>
      <c r="I63" s="14"/>
      <c r="J63" s="14"/>
      <c r="P63" s="120" t="s">
        <v>609</v>
      </c>
      <c r="Q63" s="234" t="s">
        <v>127</v>
      </c>
      <c r="R63" s="795">
        <f>J31</f>
        <v>437.38656756789834</v>
      </c>
      <c r="S63" s="684"/>
      <c r="T63" s="14" t="s">
        <v>8</v>
      </c>
      <c r="V63" s="185"/>
    </row>
    <row r="64" spans="1:22" ht="18" customHeight="1">
      <c r="A64" s="184"/>
      <c r="B64" s="14" t="s">
        <v>622</v>
      </c>
      <c r="C64" s="14"/>
      <c r="D64" s="14"/>
      <c r="E64" s="14"/>
      <c r="F64" s="14"/>
      <c r="G64" s="14"/>
      <c r="H64" s="14"/>
      <c r="I64" s="14"/>
      <c r="J64" s="14"/>
      <c r="P64" s="120" t="s">
        <v>613</v>
      </c>
      <c r="Q64" s="234" t="s">
        <v>127</v>
      </c>
      <c r="R64" s="795">
        <f>O37</f>
        <v>1749.5462702715934</v>
      </c>
      <c r="S64" s="684"/>
      <c r="T64" s="14" t="s">
        <v>8</v>
      </c>
      <c r="V64" s="185"/>
    </row>
    <row r="65" spans="1:22" ht="18" hidden="1" customHeight="1">
      <c r="A65" s="184"/>
      <c r="B65" s="235" t="s">
        <v>623</v>
      </c>
      <c r="C65" s="14"/>
      <c r="D65" s="14"/>
      <c r="E65" s="14"/>
      <c r="F65" s="14"/>
      <c r="G65" s="14"/>
      <c r="H65" s="14"/>
      <c r="I65" s="14"/>
      <c r="J65" s="14"/>
      <c r="P65" s="120"/>
      <c r="Q65" s="236"/>
      <c r="R65" s="27"/>
      <c r="S65" s="27"/>
      <c r="T65" s="14"/>
      <c r="V65" s="185"/>
    </row>
    <row r="66" spans="1:22" ht="18" hidden="1" customHeight="1">
      <c r="A66" s="184"/>
      <c r="B66" s="14" t="s">
        <v>622</v>
      </c>
      <c r="C66" s="14"/>
      <c r="D66" s="14"/>
      <c r="E66" s="14"/>
      <c r="F66" s="14"/>
      <c r="G66" s="14"/>
      <c r="H66" s="14"/>
      <c r="I66" s="14"/>
      <c r="J66" s="14"/>
      <c r="P66" s="120" t="s">
        <v>617</v>
      </c>
      <c r="Q66" s="234" t="s">
        <v>127</v>
      </c>
      <c r="R66" s="684" t="str">
        <f>IF(M59="Y",'[2]Parameters &amp; Fault Cal.'!Q31,"-")</f>
        <v>-</v>
      </c>
      <c r="S66" s="684"/>
      <c r="T66" s="14" t="s">
        <v>8</v>
      </c>
      <c r="V66" s="185"/>
    </row>
    <row r="67" spans="1:22" ht="18" hidden="1" customHeight="1">
      <c r="A67" s="184"/>
      <c r="B67" s="235" t="s">
        <v>624</v>
      </c>
      <c r="C67" s="14"/>
      <c r="D67" s="14"/>
      <c r="E67" s="14"/>
      <c r="F67" s="14"/>
      <c r="G67" s="14"/>
      <c r="H67" s="14"/>
      <c r="I67" s="14"/>
      <c r="J67" s="14"/>
      <c r="R67" s="27"/>
      <c r="S67" s="27"/>
      <c r="T67" s="14"/>
      <c r="V67" s="185"/>
    </row>
    <row r="68" spans="1:22" ht="18" customHeight="1">
      <c r="A68" s="184"/>
      <c r="B68" s="14" t="s">
        <v>435</v>
      </c>
      <c r="C68" s="14"/>
      <c r="D68" s="103"/>
      <c r="E68" s="103"/>
      <c r="F68" s="14"/>
      <c r="G68" s="14"/>
      <c r="H68" s="5"/>
      <c r="I68" s="5"/>
      <c r="J68" s="5"/>
      <c r="P68" s="120" t="s">
        <v>436</v>
      </c>
      <c r="Q68" s="234" t="s">
        <v>127</v>
      </c>
      <c r="R68" s="684">
        <f>O10</f>
        <v>1</v>
      </c>
      <c r="S68" s="684"/>
      <c r="T68" s="14" t="s">
        <v>8</v>
      </c>
      <c r="V68" s="185"/>
    </row>
    <row r="69" spans="1:22" ht="18" customHeight="1">
      <c r="A69" s="184"/>
      <c r="B69" s="14" t="s">
        <v>437</v>
      </c>
      <c r="C69" s="14"/>
      <c r="D69" s="103"/>
      <c r="E69" s="103"/>
      <c r="F69" s="14"/>
      <c r="G69" s="14"/>
      <c r="H69" s="5"/>
      <c r="I69" s="5"/>
      <c r="J69" s="5"/>
      <c r="P69" s="120" t="s">
        <v>438</v>
      </c>
      <c r="Q69" s="234" t="s">
        <v>127</v>
      </c>
      <c r="R69" s="684">
        <f>'CT-VT Burdens'!S18</f>
        <v>1</v>
      </c>
      <c r="S69" s="684"/>
      <c r="T69" s="14" t="s">
        <v>8</v>
      </c>
      <c r="V69" s="185"/>
    </row>
    <row r="70" spans="1:22" ht="18" customHeight="1">
      <c r="A70" s="184"/>
      <c r="B70" s="14" t="s">
        <v>439</v>
      </c>
      <c r="C70" s="14"/>
      <c r="D70" s="103"/>
      <c r="E70" s="103"/>
      <c r="F70" s="14"/>
      <c r="G70" s="14"/>
      <c r="H70" s="5"/>
      <c r="I70" s="5"/>
      <c r="J70" s="5"/>
      <c r="P70" s="120" t="s">
        <v>440</v>
      </c>
      <c r="Q70" s="234" t="s">
        <v>127</v>
      </c>
      <c r="R70" s="684">
        <f>H12</f>
        <v>4</v>
      </c>
      <c r="S70" s="684"/>
      <c r="T70" s="192" t="s">
        <v>333</v>
      </c>
      <c r="V70" s="185"/>
    </row>
    <row r="71" spans="1:22" ht="18" customHeight="1">
      <c r="A71" s="184"/>
      <c r="B71" s="14" t="s">
        <v>625</v>
      </c>
      <c r="C71" s="14"/>
      <c r="D71" s="14"/>
      <c r="E71" s="14"/>
      <c r="F71" s="14"/>
      <c r="G71" s="14"/>
      <c r="H71" s="14"/>
      <c r="I71" s="14"/>
      <c r="J71" s="14"/>
      <c r="P71" s="237" t="s">
        <v>441</v>
      </c>
      <c r="Q71" s="234" t="s">
        <v>127</v>
      </c>
      <c r="R71" s="795">
        <f>P22</f>
        <v>1.2765261800000001</v>
      </c>
      <c r="S71" s="684"/>
      <c r="T71" s="192" t="s">
        <v>333</v>
      </c>
      <c r="V71" s="185"/>
    </row>
    <row r="72" spans="1:22" ht="18" customHeight="1">
      <c r="A72" s="184"/>
      <c r="B72" s="40" t="s">
        <v>626</v>
      </c>
      <c r="C72" s="14"/>
      <c r="D72" s="14"/>
      <c r="E72" s="14"/>
      <c r="F72" s="14"/>
      <c r="G72" s="14"/>
      <c r="H72" s="5"/>
      <c r="I72" s="5"/>
      <c r="J72" s="5"/>
      <c r="P72" s="237" t="s">
        <v>443</v>
      </c>
      <c r="Q72" s="234" t="s">
        <v>127</v>
      </c>
      <c r="R72" s="795">
        <f>J18</f>
        <v>0.02</v>
      </c>
      <c r="S72" s="684"/>
      <c r="T72" s="14" t="s">
        <v>157</v>
      </c>
      <c r="V72" s="185"/>
    </row>
    <row r="73" spans="1:22" ht="18" customHeight="1">
      <c r="A73" s="184"/>
      <c r="V73" s="185"/>
    </row>
    <row r="74" spans="1:22" ht="18" customHeight="1">
      <c r="A74" s="799" t="s">
        <v>417</v>
      </c>
      <c r="B74" s="802"/>
      <c r="C74" s="802"/>
      <c r="D74" s="805">
        <v>30</v>
      </c>
      <c r="E74" s="805" t="s">
        <v>315</v>
      </c>
      <c r="F74" s="1184">
        <f>R63</f>
        <v>437.38656756789834</v>
      </c>
      <c r="G74" s="1111"/>
      <c r="H74" s="805" t="s">
        <v>315</v>
      </c>
      <c r="I74" s="822">
        <f>R68</f>
        <v>1</v>
      </c>
      <c r="J74" s="1269"/>
      <c r="K74" s="805" t="s">
        <v>315</v>
      </c>
      <c r="L74" s="815" t="s">
        <v>419</v>
      </c>
      <c r="M74" s="815">
        <f>R70</f>
        <v>4</v>
      </c>
      <c r="N74" s="816" t="s">
        <v>347</v>
      </c>
      <c r="O74" s="817">
        <f>R71</f>
        <v>1.2765261800000001</v>
      </c>
      <c r="P74" s="805" t="s">
        <v>347</v>
      </c>
      <c r="Q74" s="1259">
        <f>R72</f>
        <v>0.02</v>
      </c>
      <c r="R74" s="807"/>
      <c r="S74" s="807"/>
      <c r="T74" s="798" t="s">
        <v>350</v>
      </c>
      <c r="U74" s="230" t="s">
        <v>422</v>
      </c>
      <c r="V74" s="97"/>
    </row>
    <row r="75" spans="1:22" ht="18" customHeight="1">
      <c r="A75" s="827"/>
      <c r="B75" s="802"/>
      <c r="C75" s="802"/>
      <c r="D75" s="805"/>
      <c r="E75" s="805"/>
      <c r="F75" s="1111"/>
      <c r="G75" s="1111"/>
      <c r="H75" s="805"/>
      <c r="I75" s="805">
        <f>R62</f>
        <v>2800</v>
      </c>
      <c r="J75" s="1234"/>
      <c r="K75" s="805"/>
      <c r="L75" s="815"/>
      <c r="M75" s="815"/>
      <c r="N75" s="816"/>
      <c r="O75" s="815"/>
      <c r="P75" s="805"/>
      <c r="Q75" s="221">
        <f>R69</f>
        <v>1</v>
      </c>
      <c r="R75" s="221" t="s">
        <v>315</v>
      </c>
      <c r="S75" s="221">
        <f>R69</f>
        <v>1</v>
      </c>
      <c r="T75" s="798"/>
      <c r="U75" s="14"/>
      <c r="V75" s="97"/>
    </row>
    <row r="76" spans="1:22" ht="18" customHeight="1">
      <c r="A76" s="184"/>
      <c r="V76" s="185"/>
    </row>
    <row r="77" spans="1:22" ht="18" customHeight="1">
      <c r="A77" s="184"/>
      <c r="C77" s="30" t="s">
        <v>127</v>
      </c>
      <c r="D77" s="812">
        <f>D74*F74*(I74/I75)*(M74+O74+(Q74/(Q75*S75)))</f>
        <v>24.821029348968349</v>
      </c>
      <c r="E77" s="813"/>
      <c r="F77" s="30" t="s">
        <v>305</v>
      </c>
      <c r="V77" s="185"/>
    </row>
    <row r="78" spans="1:22" ht="18" customHeight="1">
      <c r="A78" s="184"/>
      <c r="V78" s="185"/>
    </row>
    <row r="79" spans="1:22" ht="18" customHeight="1">
      <c r="A79" s="799" t="s">
        <v>417</v>
      </c>
      <c r="B79" s="802"/>
      <c r="C79" s="802"/>
      <c r="D79" s="805">
        <v>2</v>
      </c>
      <c r="E79" s="805" t="s">
        <v>315</v>
      </c>
      <c r="F79" s="1184">
        <f>R64</f>
        <v>1749.5462702715934</v>
      </c>
      <c r="G79" s="1111"/>
      <c r="H79" s="805" t="s">
        <v>315</v>
      </c>
      <c r="I79" s="822">
        <f>R68</f>
        <v>1</v>
      </c>
      <c r="J79" s="1269"/>
      <c r="K79" s="805" t="s">
        <v>315</v>
      </c>
      <c r="L79" s="808" t="s">
        <v>419</v>
      </c>
      <c r="M79" s="815">
        <f>R70</f>
        <v>4</v>
      </c>
      <c r="N79" s="816" t="s">
        <v>347</v>
      </c>
      <c r="O79" s="817">
        <f>R71</f>
        <v>1.2765261800000001</v>
      </c>
      <c r="P79" s="805" t="s">
        <v>347</v>
      </c>
      <c r="Q79" s="1259">
        <f>R72</f>
        <v>0.02</v>
      </c>
      <c r="R79" s="807"/>
      <c r="S79" s="807"/>
      <c r="T79" s="798" t="s">
        <v>350</v>
      </c>
      <c r="U79" s="230" t="s">
        <v>426</v>
      </c>
      <c r="V79" s="97"/>
    </row>
    <row r="80" spans="1:22" ht="18" customHeight="1">
      <c r="A80" s="827"/>
      <c r="B80" s="802"/>
      <c r="C80" s="802"/>
      <c r="D80" s="805"/>
      <c r="E80" s="805"/>
      <c r="F80" s="1111"/>
      <c r="G80" s="1111"/>
      <c r="H80" s="805"/>
      <c r="I80" s="805">
        <f>R62</f>
        <v>2800</v>
      </c>
      <c r="J80" s="1234"/>
      <c r="K80" s="805"/>
      <c r="L80" s="808"/>
      <c r="M80" s="815"/>
      <c r="N80" s="816"/>
      <c r="O80" s="815"/>
      <c r="P80" s="805"/>
      <c r="Q80" s="221">
        <f>R69</f>
        <v>1</v>
      </c>
      <c r="R80" s="221" t="s">
        <v>315</v>
      </c>
      <c r="S80" s="221">
        <f>R69</f>
        <v>1</v>
      </c>
      <c r="T80" s="798"/>
      <c r="U80" s="14"/>
      <c r="V80" s="97"/>
    </row>
    <row r="81" spans="1:22" ht="18" customHeight="1">
      <c r="A81" s="184"/>
      <c r="L81" s="244"/>
      <c r="V81" s="185"/>
    </row>
    <row r="82" spans="1:22" ht="18" customHeight="1">
      <c r="A82" s="184"/>
      <c r="C82" s="30" t="s">
        <v>127</v>
      </c>
      <c r="D82" s="812">
        <f>D79*F79*(I79/I80)*(M79+O79+(Q79/(Q80*S80)))</f>
        <v>6.6189411597248924</v>
      </c>
      <c r="E82" s="813"/>
      <c r="F82" s="30" t="s">
        <v>305</v>
      </c>
      <c r="L82" s="244"/>
      <c r="V82" s="185"/>
    </row>
    <row r="83" spans="1:22" ht="18" customHeight="1">
      <c r="A83" s="184"/>
      <c r="D83" s="211"/>
      <c r="E83" s="211"/>
      <c r="L83" s="244"/>
      <c r="V83" s="185"/>
    </row>
    <row r="84" spans="1:22" ht="18" customHeight="1">
      <c r="A84" s="184"/>
      <c r="D84" s="211"/>
      <c r="E84" s="211"/>
      <c r="L84" s="244"/>
      <c r="V84" s="185"/>
    </row>
    <row r="85" spans="1:22" ht="18" customHeight="1">
      <c r="A85" s="184"/>
      <c r="D85" s="211"/>
      <c r="E85" s="211"/>
      <c r="L85" s="244"/>
      <c r="V85" s="185"/>
    </row>
    <row r="86" spans="1:22" ht="18" customHeight="1">
      <c r="A86" s="184"/>
      <c r="D86" s="211"/>
      <c r="E86" s="211"/>
      <c r="L86" s="244"/>
      <c r="V86" s="185"/>
    </row>
    <row r="87" spans="1:22" ht="18" customHeight="1">
      <c r="A87" s="184"/>
      <c r="D87" s="211"/>
      <c r="E87" s="211"/>
      <c r="L87" s="244"/>
      <c r="V87" s="185"/>
    </row>
    <row r="88" spans="1:22" ht="18" customHeight="1">
      <c r="A88" s="184"/>
      <c r="D88" s="211"/>
      <c r="E88" s="211"/>
      <c r="L88" s="244"/>
      <c r="V88" s="185"/>
    </row>
    <row r="89" spans="1:22" ht="18" customHeight="1">
      <c r="A89" s="184"/>
      <c r="D89" s="211"/>
      <c r="E89" s="211"/>
      <c r="L89" s="244"/>
      <c r="V89" s="185"/>
    </row>
    <row r="90" spans="1:22" ht="18" customHeight="1">
      <c r="A90" s="184"/>
      <c r="D90" s="211"/>
      <c r="E90" s="211"/>
      <c r="L90" s="244"/>
      <c r="V90" s="185"/>
    </row>
    <row r="91" spans="1:22" ht="18" customHeight="1">
      <c r="A91" s="184"/>
      <c r="D91" s="211"/>
      <c r="E91" s="211"/>
      <c r="L91" s="244"/>
      <c r="V91" s="185"/>
    </row>
    <row r="92" spans="1:22" ht="18" customHeight="1">
      <c r="A92" s="184"/>
      <c r="D92" s="211"/>
      <c r="E92" s="211"/>
      <c r="L92" s="244"/>
      <c r="V92" s="185"/>
    </row>
    <row r="93" spans="1:22" ht="18" customHeight="1">
      <c r="A93" s="184"/>
      <c r="D93" s="211"/>
      <c r="E93" s="211"/>
      <c r="L93" s="244"/>
      <c r="V93" s="185"/>
    </row>
    <row r="94" spans="1:22" ht="18" customHeight="1">
      <c r="A94" s="184"/>
      <c r="D94" s="211"/>
      <c r="E94" s="211"/>
      <c r="L94" s="244"/>
      <c r="V94" s="185"/>
    </row>
    <row r="95" spans="1:22" ht="18" customHeight="1">
      <c r="A95" s="290"/>
      <c r="B95" s="196"/>
      <c r="C95" s="196"/>
      <c r="D95" s="308"/>
      <c r="E95" s="308"/>
      <c r="F95" s="196"/>
      <c r="G95" s="196"/>
      <c r="H95" s="196"/>
      <c r="I95" s="196"/>
      <c r="J95" s="196"/>
      <c r="K95" s="196"/>
      <c r="L95" s="306"/>
      <c r="M95" s="196"/>
      <c r="N95" s="196"/>
      <c r="O95" s="196"/>
      <c r="P95" s="196"/>
      <c r="Q95" s="196"/>
      <c r="R95" s="196"/>
      <c r="S95" s="196"/>
      <c r="T95" s="196"/>
      <c r="U95" s="196"/>
      <c r="V95" s="291"/>
    </row>
    <row r="96" spans="1:22" s="14" customFormat="1" ht="18" hidden="1" customHeight="1">
      <c r="A96" s="194"/>
      <c r="B96" s="195"/>
      <c r="C96" s="195"/>
      <c r="D96" s="195"/>
      <c r="E96" s="195"/>
      <c r="F96" s="195"/>
      <c r="G96" s="195"/>
      <c r="H96" s="195"/>
      <c r="I96" s="195"/>
      <c r="J96" s="195"/>
      <c r="K96" s="195"/>
      <c r="L96" s="195"/>
      <c r="M96" s="195"/>
      <c r="N96" s="195"/>
      <c r="O96" s="195"/>
      <c r="P96" s="195"/>
      <c r="Q96" s="224"/>
      <c r="R96" s="182"/>
      <c r="S96" s="225"/>
      <c r="T96" s="195"/>
      <c r="U96" s="195"/>
      <c r="V96" s="134"/>
    </row>
    <row r="97" spans="1:22" ht="18" hidden="1" customHeight="1">
      <c r="A97" s="799" t="s">
        <v>417</v>
      </c>
      <c r="B97" s="802"/>
      <c r="C97" s="802"/>
      <c r="D97" s="689"/>
      <c r="E97" s="689"/>
      <c r="F97" s="805" t="str">
        <f>R66</f>
        <v>-</v>
      </c>
      <c r="G97" s="993"/>
      <c r="H97" s="805" t="s">
        <v>315</v>
      </c>
      <c r="I97" s="822">
        <f>R68</f>
        <v>1</v>
      </c>
      <c r="J97" s="1269"/>
      <c r="K97" s="805" t="s">
        <v>315</v>
      </c>
      <c r="L97" s="808" t="s">
        <v>419</v>
      </c>
      <c r="M97" s="815">
        <f>R70</f>
        <v>4</v>
      </c>
      <c r="N97" s="816" t="s">
        <v>347</v>
      </c>
      <c r="O97" s="817">
        <f>R71</f>
        <v>1.2765261800000001</v>
      </c>
      <c r="P97" s="805" t="s">
        <v>347</v>
      </c>
      <c r="Q97" s="1259">
        <f>R72</f>
        <v>0.02</v>
      </c>
      <c r="R97" s="807"/>
      <c r="S97" s="807"/>
      <c r="T97" s="798" t="s">
        <v>350</v>
      </c>
      <c r="U97" s="230" t="s">
        <v>618</v>
      </c>
      <c r="V97" s="97"/>
    </row>
    <row r="98" spans="1:22" ht="18" hidden="1" customHeight="1">
      <c r="A98" s="827"/>
      <c r="B98" s="802"/>
      <c r="C98" s="802"/>
      <c r="D98" s="689"/>
      <c r="E98" s="689"/>
      <c r="F98" s="993"/>
      <c r="G98" s="993"/>
      <c r="H98" s="805"/>
      <c r="I98" s="805">
        <f>R62</f>
        <v>2800</v>
      </c>
      <c r="J98" s="1234"/>
      <c r="K98" s="805"/>
      <c r="L98" s="808"/>
      <c r="M98" s="815"/>
      <c r="N98" s="816"/>
      <c r="O98" s="815"/>
      <c r="P98" s="805"/>
      <c r="Q98" s="221">
        <f>R69</f>
        <v>1</v>
      </c>
      <c r="R98" s="221" t="s">
        <v>315</v>
      </c>
      <c r="S98" s="221">
        <f>R69</f>
        <v>1</v>
      </c>
      <c r="T98" s="798"/>
      <c r="U98" s="14"/>
      <c r="V98" s="97"/>
    </row>
    <row r="99" spans="1:22" ht="18" hidden="1" customHeight="1">
      <c r="A99" s="184"/>
      <c r="V99" s="185"/>
    </row>
    <row r="100" spans="1:22" ht="18" hidden="1" customHeight="1">
      <c r="A100" s="184"/>
      <c r="C100" s="30" t="s">
        <v>127</v>
      </c>
      <c r="D100" s="812" t="e">
        <f>F97*(I97/I98)*(M97+O97+(Q97/(Q98*S98)))</f>
        <v>#VALUE!</v>
      </c>
      <c r="E100" s="813"/>
      <c r="F100" s="30" t="s">
        <v>305</v>
      </c>
      <c r="G100" s="187" t="s">
        <v>378</v>
      </c>
      <c r="H100" s="186" t="str">
        <f>IF(M59="y","Applicable","Not applicable")</f>
        <v>Not applicable</v>
      </c>
      <c r="V100" s="185"/>
    </row>
    <row r="101" spans="1:22" ht="18" customHeight="1">
      <c r="A101" s="184"/>
      <c r="V101" s="185"/>
    </row>
    <row r="102" spans="1:22" ht="18" customHeight="1">
      <c r="A102" s="96" t="s">
        <v>627</v>
      </c>
      <c r="M102" s="775">
        <f>R62</f>
        <v>2800</v>
      </c>
      <c r="N102" s="776"/>
      <c r="O102" s="30" t="s">
        <v>470</v>
      </c>
      <c r="Q102" s="812">
        <f>IF(M59="Y",MAX(D77,D100),MAX(D77,D82))</f>
        <v>24.821029348968349</v>
      </c>
      <c r="R102" s="820"/>
      <c r="S102" s="30" t="s">
        <v>305</v>
      </c>
      <c r="V102" s="185"/>
    </row>
    <row r="103" spans="1:22" ht="18" customHeight="1">
      <c r="A103" s="184"/>
      <c r="M103" s="247"/>
      <c r="N103" s="247"/>
      <c r="Q103" s="211"/>
      <c r="R103" s="27"/>
      <c r="V103" s="185"/>
    </row>
    <row r="104" spans="1:22" ht="18" customHeight="1">
      <c r="A104" s="248" t="s">
        <v>471</v>
      </c>
      <c r="B104" s="14"/>
      <c r="C104" s="14"/>
      <c r="D104" s="249"/>
      <c r="E104" s="14"/>
      <c r="F104" s="14"/>
      <c r="G104" s="47"/>
      <c r="H104" s="14"/>
      <c r="J104" s="14"/>
      <c r="K104" s="14"/>
      <c r="L104" s="14"/>
      <c r="M104" s="14"/>
      <c r="N104" s="14"/>
      <c r="O104" s="14"/>
      <c r="P104" s="250"/>
      <c r="Q104" s="251"/>
      <c r="R104" s="47"/>
      <c r="S104" s="14"/>
      <c r="V104" s="185"/>
    </row>
    <row r="105" spans="1:22" ht="18" customHeight="1">
      <c r="A105" s="248"/>
      <c r="B105" s="14"/>
      <c r="C105" s="14"/>
      <c r="D105" s="249"/>
      <c r="E105" s="14"/>
      <c r="F105" s="14"/>
      <c r="G105" s="47"/>
      <c r="H105" s="14"/>
      <c r="J105" s="14"/>
      <c r="K105" s="14"/>
      <c r="L105" s="14"/>
      <c r="M105" s="14"/>
      <c r="N105" s="14"/>
      <c r="O105" s="14"/>
      <c r="P105" s="250"/>
      <c r="Q105" s="251"/>
      <c r="R105" s="47"/>
      <c r="S105" s="14"/>
      <c r="V105" s="185"/>
    </row>
    <row r="106" spans="1:22" ht="18" hidden="1" customHeight="1">
      <c r="A106" s="96" t="s">
        <v>628</v>
      </c>
      <c r="V106" s="185"/>
    </row>
    <row r="107" spans="1:22" ht="18" customHeight="1">
      <c r="A107" s="184"/>
      <c r="N107" s="14"/>
      <c r="O107" s="14" t="s">
        <v>473</v>
      </c>
      <c r="P107" s="102" t="s">
        <v>127</v>
      </c>
      <c r="Q107" s="694" t="s">
        <v>474</v>
      </c>
      <c r="R107" s="694"/>
      <c r="S107" s="28" t="s">
        <v>315</v>
      </c>
      <c r="T107" s="28">
        <v>0.8</v>
      </c>
      <c r="V107" s="185"/>
    </row>
    <row r="108" spans="1:22" ht="18" customHeight="1">
      <c r="A108" s="184"/>
      <c r="N108" s="252"/>
      <c r="O108" s="14"/>
      <c r="P108" s="102" t="s">
        <v>127</v>
      </c>
      <c r="Q108" s="829">
        <f>+Q102</f>
        <v>24.821029348968349</v>
      </c>
      <c r="R108" s="708"/>
      <c r="S108" s="222" t="s">
        <v>315</v>
      </c>
      <c r="T108" s="253">
        <f>+T107</f>
        <v>0.8</v>
      </c>
      <c r="V108" s="185"/>
    </row>
    <row r="109" spans="1:22" ht="18" customHeight="1">
      <c r="A109" s="184"/>
      <c r="O109" s="14"/>
      <c r="P109" s="28" t="s">
        <v>127</v>
      </c>
      <c r="Q109" s="830">
        <f>Q108*T108</f>
        <v>19.856823479174679</v>
      </c>
      <c r="R109" s="776"/>
      <c r="S109" s="28" t="s">
        <v>305</v>
      </c>
      <c r="T109" s="28"/>
      <c r="V109" s="185"/>
    </row>
    <row r="110" spans="1:22" ht="18" customHeight="1">
      <c r="A110" s="184"/>
      <c r="F110" s="28"/>
      <c r="G110" s="28"/>
      <c r="H110" s="14"/>
      <c r="V110" s="185"/>
    </row>
    <row r="111" spans="1:22" ht="18" customHeight="1">
      <c r="A111" s="184"/>
      <c r="D111" s="14" t="s">
        <v>475</v>
      </c>
      <c r="G111" s="28" t="s">
        <v>476</v>
      </c>
      <c r="H111" s="14" t="s">
        <v>477</v>
      </c>
      <c r="V111" s="185"/>
    </row>
    <row r="112" spans="1:22" ht="18" customHeight="1">
      <c r="A112" s="184"/>
      <c r="E112" s="684">
        <f>H13</f>
        <v>500</v>
      </c>
      <c r="F112" s="684"/>
      <c r="G112" s="28" t="s">
        <v>476</v>
      </c>
      <c r="H112" s="795">
        <f>Q109</f>
        <v>19.856823479174679</v>
      </c>
      <c r="I112" s="684"/>
      <c r="V112" s="185"/>
    </row>
    <row r="113" spans="1:22" ht="18" customHeight="1">
      <c r="A113" s="184"/>
      <c r="F113" s="244" t="s">
        <v>478</v>
      </c>
      <c r="H113" s="18" t="str">
        <f>IF(E112&gt;H112,"Suitably Dimensioned","Under Dimensioned")</f>
        <v>Suitably Dimensioned</v>
      </c>
      <c r="V113" s="185"/>
    </row>
    <row r="114" spans="1:22" ht="18" customHeight="1">
      <c r="A114" s="184"/>
      <c r="F114" s="244"/>
      <c r="H114" s="18"/>
      <c r="V114" s="185"/>
    </row>
    <row r="115" spans="1:22" ht="18" customHeight="1">
      <c r="A115" s="184"/>
      <c r="F115" s="244"/>
      <c r="H115" s="18"/>
      <c r="V115" s="185"/>
    </row>
    <row r="116" spans="1:22" ht="18" customHeight="1">
      <c r="A116" s="184"/>
      <c r="F116" s="244"/>
      <c r="H116" s="18"/>
      <c r="V116" s="185"/>
    </row>
    <row r="117" spans="1:22" ht="18" customHeight="1">
      <c r="A117" s="184"/>
      <c r="F117" s="244"/>
      <c r="H117" s="18"/>
      <c r="V117" s="185"/>
    </row>
    <row r="118" spans="1:22" ht="18" customHeight="1">
      <c r="A118" s="184"/>
      <c r="F118" s="244"/>
      <c r="H118" s="18"/>
      <c r="V118" s="185"/>
    </row>
    <row r="119" spans="1:22" ht="18" customHeight="1">
      <c r="A119" s="184"/>
      <c r="F119" s="244"/>
      <c r="H119" s="18"/>
      <c r="V119" s="185"/>
    </row>
    <row r="120" spans="1:22" ht="18" customHeight="1">
      <c r="A120" s="184"/>
      <c r="F120" s="244"/>
      <c r="H120" s="18"/>
      <c r="V120" s="185"/>
    </row>
    <row r="121" spans="1:22" ht="18" customHeight="1">
      <c r="A121" s="184"/>
      <c r="F121" s="244"/>
      <c r="H121" s="18"/>
      <c r="V121" s="185"/>
    </row>
    <row r="122" spans="1:22" ht="18" customHeight="1">
      <c r="A122" s="184"/>
      <c r="F122" s="244"/>
      <c r="H122" s="18"/>
      <c r="V122" s="185"/>
    </row>
    <row r="123" spans="1:22" ht="18" customHeight="1">
      <c r="A123" s="184"/>
      <c r="F123" s="244"/>
      <c r="H123" s="18"/>
      <c r="V123" s="185"/>
    </row>
    <row r="124" spans="1:22" ht="18" customHeight="1">
      <c r="A124" s="184"/>
      <c r="F124" s="244"/>
      <c r="H124" s="18"/>
      <c r="V124" s="185"/>
    </row>
    <row r="125" spans="1:22" ht="18" customHeight="1">
      <c r="A125" s="184"/>
      <c r="F125" s="244"/>
      <c r="H125" s="18"/>
      <c r="V125" s="185"/>
    </row>
    <row r="126" spans="1:22" ht="18" customHeight="1">
      <c r="A126" s="184"/>
      <c r="F126" s="244"/>
      <c r="H126" s="18"/>
      <c r="V126" s="185"/>
    </row>
    <row r="127" spans="1:22" ht="18" customHeight="1">
      <c r="A127" s="184"/>
      <c r="F127" s="244"/>
      <c r="H127" s="18"/>
      <c r="V127" s="185"/>
    </row>
    <row r="128" spans="1:22" ht="18" customHeight="1">
      <c r="A128" s="184"/>
      <c r="F128" s="244"/>
      <c r="H128" s="18"/>
      <c r="V128" s="185"/>
    </row>
    <row r="129" spans="1:22" ht="18" customHeight="1">
      <c r="A129" s="184"/>
      <c r="F129" s="244"/>
      <c r="H129" s="18"/>
      <c r="V129" s="185"/>
    </row>
    <row r="130" spans="1:22" ht="18" customHeight="1">
      <c r="A130" s="184"/>
      <c r="F130" s="244"/>
      <c r="H130" s="18"/>
      <c r="V130" s="185"/>
    </row>
    <row r="131" spans="1:22" ht="18" customHeight="1">
      <c r="A131" s="184"/>
      <c r="F131" s="244"/>
      <c r="H131" s="18"/>
      <c r="V131" s="185"/>
    </row>
    <row r="132" spans="1:22" ht="18" customHeight="1">
      <c r="A132" s="184"/>
      <c r="F132" s="244"/>
      <c r="H132" s="18"/>
      <c r="V132" s="185"/>
    </row>
    <row r="133" spans="1:22" ht="18" customHeight="1">
      <c r="A133" s="184"/>
      <c r="F133" s="244"/>
      <c r="H133" s="18"/>
      <c r="V133" s="185"/>
    </row>
    <row r="134" spans="1:22" ht="18" customHeight="1">
      <c r="A134" s="184"/>
      <c r="F134" s="244"/>
      <c r="H134" s="18"/>
      <c r="V134" s="185"/>
    </row>
    <row r="135" spans="1:22" ht="18" customHeight="1">
      <c r="A135" s="184"/>
      <c r="F135" s="244"/>
      <c r="H135" s="18"/>
      <c r="V135" s="185"/>
    </row>
    <row r="136" spans="1:22" ht="18" customHeight="1">
      <c r="A136" s="184"/>
      <c r="F136" s="244"/>
      <c r="H136" s="18"/>
      <c r="V136" s="185"/>
    </row>
    <row r="137" spans="1:22" ht="18" customHeight="1">
      <c r="A137" s="184"/>
      <c r="F137" s="244"/>
      <c r="H137" s="18"/>
      <c r="V137" s="185"/>
    </row>
    <row r="138" spans="1:22" ht="18" customHeight="1">
      <c r="A138" s="184"/>
      <c r="F138" s="244"/>
      <c r="H138" s="18"/>
      <c r="V138" s="185"/>
    </row>
    <row r="139" spans="1:22" ht="18" customHeight="1">
      <c r="A139" s="184"/>
      <c r="V139" s="185"/>
    </row>
    <row r="140" spans="1:22" ht="18" customHeight="1">
      <c r="A140" s="184"/>
      <c r="V140" s="185"/>
    </row>
    <row r="141" spans="1:22" s="14" customFormat="1" ht="18" customHeight="1">
      <c r="A141" s="194"/>
      <c r="B141" s="195"/>
      <c r="C141" s="195"/>
      <c r="D141" s="195"/>
      <c r="E141" s="195"/>
      <c r="F141" s="195"/>
      <c r="G141" s="195"/>
      <c r="H141" s="195"/>
      <c r="I141" s="195"/>
      <c r="J141" s="195"/>
      <c r="K141" s="195"/>
      <c r="L141" s="195"/>
      <c r="M141" s="195"/>
      <c r="N141" s="195"/>
      <c r="O141" s="195"/>
      <c r="P141" s="195"/>
      <c r="Q141" s="224"/>
      <c r="R141" s="182"/>
      <c r="S141" s="225"/>
      <c r="T141" s="195"/>
      <c r="U141" s="195"/>
      <c r="V141" s="134"/>
    </row>
    <row r="142" spans="1:22" ht="18" customHeight="1">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8"/>
    </row>
    <row r="143" spans="1:22" ht="18" customHeight="1">
      <c r="A143" s="184"/>
      <c r="B143" s="781" t="str">
        <f>B7</f>
        <v>T1</v>
      </c>
      <c r="C143" s="782"/>
      <c r="D143" s="781" t="str">
        <f>D7</f>
        <v>Core1</v>
      </c>
      <c r="E143" s="782"/>
      <c r="F143" s="186"/>
      <c r="H143" s="684" t="str">
        <f>H7</f>
        <v>(Transformer Differential)</v>
      </c>
      <c r="I143" s="684"/>
      <c r="J143" s="684"/>
      <c r="K143" s="684"/>
      <c r="L143" s="684"/>
      <c r="M143" s="684"/>
      <c r="N143" s="684"/>
      <c r="P143" s="186"/>
      <c r="S143" s="187" t="s">
        <v>387</v>
      </c>
      <c r="T143" s="835" t="str">
        <f>T7</f>
        <v>RET670</v>
      </c>
      <c r="U143" s="836"/>
      <c r="V143" s="185"/>
    </row>
    <row r="144" spans="1:22" ht="18" customHeight="1">
      <c r="A144" s="184"/>
      <c r="B144" s="18">
        <f>B8</f>
        <v>0</v>
      </c>
      <c r="C144" s="18"/>
      <c r="D144" s="538"/>
      <c r="E144" s="538"/>
      <c r="F144" s="255"/>
      <c r="T144" s="839">
        <f>T8</f>
        <v>0</v>
      </c>
      <c r="U144" s="840"/>
      <c r="V144" s="185"/>
    </row>
    <row r="145" spans="1:29" ht="18" customHeight="1">
      <c r="A145" s="184"/>
      <c r="H145" s="708" t="s">
        <v>390</v>
      </c>
      <c r="I145" s="708"/>
      <c r="J145" s="789" t="s">
        <v>391</v>
      </c>
      <c r="K145" s="789"/>
      <c r="L145" s="708" t="s">
        <v>392</v>
      </c>
      <c r="M145" s="708"/>
      <c r="T145" s="839">
        <f>T9</f>
        <v>0</v>
      </c>
      <c r="U145" s="840"/>
      <c r="V145" s="185"/>
    </row>
    <row r="146" spans="1:29" ht="18" customHeight="1">
      <c r="A146" s="184"/>
      <c r="B146" s="47" t="s">
        <v>393</v>
      </c>
      <c r="H146" s="781">
        <f>H10</f>
        <v>2800</v>
      </c>
      <c r="I146" s="782"/>
      <c r="J146" s="791">
        <f>J10</f>
        <v>3200</v>
      </c>
      <c r="K146" s="792"/>
      <c r="L146" s="839" t="str">
        <f>L10</f>
        <v>-</v>
      </c>
      <c r="M146" s="840"/>
      <c r="N146" s="102" t="s">
        <v>342</v>
      </c>
      <c r="O146" s="254">
        <f>O10</f>
        <v>1</v>
      </c>
      <c r="P146" s="27" t="s">
        <v>8</v>
      </c>
      <c r="V146" s="185"/>
    </row>
    <row r="147" spans="1:29" ht="18" customHeight="1">
      <c r="A147" s="184"/>
      <c r="B147" s="47" t="s">
        <v>394</v>
      </c>
      <c r="H147" s="14"/>
      <c r="I147" s="14"/>
      <c r="J147" s="781" t="s">
        <v>395</v>
      </c>
      <c r="K147" s="782"/>
      <c r="L147" s="14"/>
      <c r="M147" s="14"/>
      <c r="V147" s="185"/>
    </row>
    <row r="148" spans="1:29" ht="18" customHeight="1">
      <c r="A148" s="184"/>
      <c r="B148" s="47" t="s">
        <v>396</v>
      </c>
      <c r="I148" s="120" t="s">
        <v>497</v>
      </c>
      <c r="J148" s="781">
        <v>5</v>
      </c>
      <c r="K148" s="782"/>
      <c r="L148" s="192" t="s">
        <v>333</v>
      </c>
      <c r="N148" s="14"/>
      <c r="V148" s="185"/>
    </row>
    <row r="149" spans="1:29" ht="18" customHeight="1">
      <c r="A149" s="184"/>
      <c r="B149" s="47" t="s">
        <v>398</v>
      </c>
      <c r="I149" s="120" t="s">
        <v>498</v>
      </c>
      <c r="J149" s="781">
        <v>600</v>
      </c>
      <c r="K149" s="782"/>
      <c r="L149" s="14" t="s">
        <v>305</v>
      </c>
      <c r="N149" s="14"/>
      <c r="V149" s="185"/>
      <c r="W149" s="30" t="s">
        <v>400</v>
      </c>
      <c r="AB149" s="785">
        <f>Q241</f>
        <v>22.032127787772886</v>
      </c>
      <c r="AC149" s="786"/>
    </row>
    <row r="150" spans="1:29" ht="18" customHeight="1">
      <c r="A150" s="184"/>
      <c r="B150" s="14" t="s">
        <v>401</v>
      </c>
      <c r="I150" s="120" t="s">
        <v>402</v>
      </c>
      <c r="J150" s="781">
        <v>10</v>
      </c>
      <c r="K150" s="782"/>
      <c r="L150" s="14" t="s">
        <v>403</v>
      </c>
      <c r="N150" s="14"/>
      <c r="V150" s="185"/>
    </row>
    <row r="151" spans="1:29" ht="18" customHeight="1">
      <c r="A151" s="184"/>
      <c r="V151" s="185"/>
    </row>
    <row r="152" spans="1:29" ht="18" customHeight="1">
      <c r="A152" s="193" t="s">
        <v>404</v>
      </c>
      <c r="V152" s="185"/>
    </row>
    <row r="153" spans="1:29" ht="18" customHeight="1">
      <c r="A153" s="184"/>
      <c r="V153" s="185"/>
    </row>
    <row r="154" spans="1:29" ht="18" customHeight="1">
      <c r="A154" s="184"/>
      <c r="B154" s="194" t="s">
        <v>405</v>
      </c>
      <c r="C154" s="195"/>
      <c r="D154" s="195" t="str">
        <f>T143</f>
        <v>RET670</v>
      </c>
      <c r="E154" s="196"/>
      <c r="F154" s="196"/>
      <c r="G154" s="196"/>
      <c r="H154" s="182" t="s">
        <v>406</v>
      </c>
      <c r="I154" s="183" t="s">
        <v>127</v>
      </c>
      <c r="J154" s="766">
        <f>J18</f>
        <v>0.02</v>
      </c>
      <c r="K154" s="958"/>
      <c r="L154" s="3" t="s">
        <v>157</v>
      </c>
      <c r="N154" s="197" t="s">
        <v>407</v>
      </c>
      <c r="V154" s="185"/>
    </row>
    <row r="155" spans="1:29" ht="18" customHeight="1">
      <c r="A155" s="184"/>
      <c r="B155" s="96" t="s">
        <v>405</v>
      </c>
      <c r="D155" s="30">
        <f>T144</f>
        <v>0</v>
      </c>
      <c r="H155" s="27"/>
      <c r="I155" s="177" t="s">
        <v>127</v>
      </c>
      <c r="J155" s="861">
        <f>J19</f>
        <v>0</v>
      </c>
      <c r="K155" s="989"/>
      <c r="L155" s="198" t="s">
        <v>157</v>
      </c>
      <c r="V155" s="185"/>
    </row>
    <row r="156" spans="1:29" ht="18" customHeight="1">
      <c r="A156" s="184"/>
      <c r="B156" s="96" t="s">
        <v>405</v>
      </c>
      <c r="D156" s="30">
        <f>T145</f>
        <v>0</v>
      </c>
      <c r="E156" s="14"/>
      <c r="G156" s="199"/>
      <c r="H156" s="27"/>
      <c r="I156" s="177" t="s">
        <v>127</v>
      </c>
      <c r="J156" s="696">
        <f>J20</f>
        <v>0</v>
      </c>
      <c r="K156" s="820"/>
      <c r="L156" s="202" t="s">
        <v>157</v>
      </c>
      <c r="N156" s="30" t="s">
        <v>408</v>
      </c>
      <c r="O156" s="27" t="s">
        <v>127</v>
      </c>
      <c r="P156" s="30" t="s">
        <v>409</v>
      </c>
      <c r="Q156" s="191" t="s">
        <v>410</v>
      </c>
      <c r="R156" s="244" t="s">
        <v>411</v>
      </c>
      <c r="S156" s="27" t="s">
        <v>315</v>
      </c>
      <c r="T156" s="30" t="s">
        <v>411</v>
      </c>
      <c r="U156" s="30" t="s">
        <v>350</v>
      </c>
      <c r="V156" s="185"/>
    </row>
    <row r="157" spans="1:29" ht="18" customHeight="1">
      <c r="A157" s="184"/>
      <c r="B157" s="184" t="s">
        <v>412</v>
      </c>
      <c r="H157" s="27" t="s">
        <v>599</v>
      </c>
      <c r="I157" s="177" t="s">
        <v>127</v>
      </c>
      <c r="J157" s="861">
        <f>J21</f>
        <v>1.25652618</v>
      </c>
      <c r="K157" s="989"/>
      <c r="L157" s="203" t="s">
        <v>157</v>
      </c>
      <c r="O157" s="27" t="s">
        <v>127</v>
      </c>
      <c r="P157" s="204">
        <f>J158</f>
        <v>1.2765261800000001</v>
      </c>
      <c r="Q157" s="191" t="s">
        <v>410</v>
      </c>
      <c r="R157" s="27">
        <f>O146</f>
        <v>1</v>
      </c>
      <c r="S157" s="27" t="s">
        <v>315</v>
      </c>
      <c r="T157" s="27">
        <f>O146</f>
        <v>1</v>
      </c>
      <c r="U157" s="30" t="s">
        <v>350</v>
      </c>
      <c r="V157" s="185"/>
    </row>
    <row r="158" spans="1:29" ht="18" customHeight="1">
      <c r="A158" s="184"/>
      <c r="B158" s="205" t="s">
        <v>413</v>
      </c>
      <c r="C158" s="206"/>
      <c r="D158" s="206"/>
      <c r="E158" s="206"/>
      <c r="F158" s="207"/>
      <c r="G158" s="207"/>
      <c r="H158" s="190" t="s">
        <v>409</v>
      </c>
      <c r="I158" s="208" t="s">
        <v>127</v>
      </c>
      <c r="J158" s="766">
        <f>J154+J157</f>
        <v>1.2765261800000001</v>
      </c>
      <c r="K158" s="958"/>
      <c r="L158" s="210" t="s">
        <v>157</v>
      </c>
      <c r="O158" s="27" t="s">
        <v>127</v>
      </c>
      <c r="P158" s="795">
        <f>P157/(R157*T157)</f>
        <v>1.2765261800000001</v>
      </c>
      <c r="Q158" s="795"/>
      <c r="R158" s="192" t="s">
        <v>333</v>
      </c>
      <c r="V158" s="185"/>
    </row>
    <row r="159" spans="1:29" ht="18" customHeight="1">
      <c r="A159" s="184"/>
      <c r="V159" s="185"/>
    </row>
    <row r="160" spans="1:29" s="14" customFormat="1" ht="18" customHeight="1">
      <c r="A160" s="193" t="s">
        <v>600</v>
      </c>
      <c r="B160" s="5"/>
      <c r="C160" s="5"/>
      <c r="D160" s="5"/>
      <c r="E160" s="5"/>
      <c r="F160" s="5"/>
      <c r="G160" s="5"/>
      <c r="H160" s="212"/>
      <c r="I160" s="212"/>
      <c r="J160" s="5"/>
      <c r="K160" s="5"/>
      <c r="L160" s="5"/>
      <c r="M160" s="5"/>
      <c r="N160" s="5"/>
      <c r="O160" s="5"/>
      <c r="P160" s="103"/>
      <c r="Q160" s="212"/>
      <c r="R160" s="213"/>
      <c r="S160" s="214"/>
      <c r="T160" s="18"/>
      <c r="U160" s="18"/>
      <c r="V160" s="97"/>
    </row>
    <row r="161" spans="1:27" s="14" customFormat="1" ht="18" customHeight="1">
      <c r="A161" s="96"/>
      <c r="B161" s="47" t="s">
        <v>601</v>
      </c>
      <c r="C161" s="5"/>
      <c r="D161" s="5"/>
      <c r="E161" s="5"/>
      <c r="I161" s="215"/>
      <c r="M161" s="5"/>
      <c r="O161" s="103" t="s">
        <v>127</v>
      </c>
      <c r="P161" s="853">
        <v>100</v>
      </c>
      <c r="Q161" s="1271"/>
      <c r="R161" s="14" t="s">
        <v>602</v>
      </c>
      <c r="S161" s="214"/>
      <c r="T161" s="18"/>
      <c r="U161" s="18"/>
      <c r="V161" s="97"/>
    </row>
    <row r="162" spans="1:27" s="14" customFormat="1" ht="18" customHeight="1">
      <c r="A162" s="96"/>
      <c r="B162" s="47" t="s">
        <v>603</v>
      </c>
      <c r="C162" s="5"/>
      <c r="D162" s="5"/>
      <c r="E162" s="5"/>
      <c r="I162" s="215"/>
      <c r="M162" s="5"/>
      <c r="O162" s="103" t="s">
        <v>127</v>
      </c>
      <c r="P162" s="853">
        <f>P26</f>
        <v>25</v>
      </c>
      <c r="Q162" s="1271"/>
      <c r="R162" s="14" t="s">
        <v>604</v>
      </c>
      <c r="S162" s="214"/>
      <c r="T162" s="18"/>
      <c r="U162" s="18"/>
      <c r="V162" s="97"/>
    </row>
    <row r="163" spans="1:27" s="14" customFormat="1" ht="18" customHeight="1">
      <c r="A163" s="96"/>
      <c r="B163" s="47" t="s">
        <v>605</v>
      </c>
      <c r="C163" s="5"/>
      <c r="D163" s="5"/>
      <c r="E163" s="5"/>
      <c r="N163" s="120" t="s">
        <v>606</v>
      </c>
      <c r="O163" s="103" t="s">
        <v>607</v>
      </c>
      <c r="P163" s="854">
        <f>P27</f>
        <v>132</v>
      </c>
      <c r="Q163" s="1270"/>
      <c r="R163" s="14" t="s">
        <v>163</v>
      </c>
      <c r="S163" s="214"/>
      <c r="T163" s="18"/>
      <c r="U163" s="18"/>
      <c r="V163" s="97"/>
    </row>
    <row r="164" spans="1:27" s="14" customFormat="1" ht="18" customHeight="1">
      <c r="A164" s="216"/>
      <c r="B164" s="212"/>
      <c r="C164" s="212"/>
      <c r="D164" s="212"/>
      <c r="E164" s="212"/>
      <c r="T164" s="18"/>
      <c r="U164" s="18"/>
      <c r="V164" s="97"/>
    </row>
    <row r="165" spans="1:27" s="14" customFormat="1" ht="18" customHeight="1">
      <c r="A165" s="96"/>
      <c r="B165" s="14" t="s">
        <v>608</v>
      </c>
      <c r="C165" s="213"/>
      <c r="D165" s="213"/>
      <c r="E165" s="213"/>
      <c r="H165" s="120" t="s">
        <v>609</v>
      </c>
      <c r="I165" s="28" t="s">
        <v>127</v>
      </c>
      <c r="J165" s="689" t="s">
        <v>610</v>
      </c>
      <c r="K165" s="689"/>
      <c r="L165" s="28" t="s">
        <v>315</v>
      </c>
      <c r="M165" s="217">
        <v>1000</v>
      </c>
      <c r="N165" s="102" t="s">
        <v>342</v>
      </c>
      <c r="O165" s="14" t="s">
        <v>611</v>
      </c>
      <c r="P165" s="28" t="s">
        <v>315</v>
      </c>
      <c r="Q165" s="28" t="s">
        <v>606</v>
      </c>
      <c r="R165" s="47"/>
      <c r="T165" s="18"/>
      <c r="U165" s="18"/>
      <c r="V165" s="97"/>
    </row>
    <row r="166" spans="1:27" s="14" customFormat="1" ht="18" customHeight="1">
      <c r="A166" s="216"/>
      <c r="B166" s="213"/>
      <c r="C166" s="213"/>
      <c r="D166" s="213"/>
      <c r="E166" s="213"/>
      <c r="F166" s="212"/>
      <c r="G166" s="212"/>
      <c r="H166" s="28"/>
      <c r="I166" s="28" t="s">
        <v>127</v>
      </c>
      <c r="J166" s="689">
        <f>P161</f>
        <v>100</v>
      </c>
      <c r="K166" s="689"/>
      <c r="L166" s="28" t="s">
        <v>315</v>
      </c>
      <c r="M166" s="217">
        <v>1000</v>
      </c>
      <c r="N166" s="102" t="s">
        <v>342</v>
      </c>
      <c r="O166" s="14" t="s">
        <v>611</v>
      </c>
      <c r="P166" s="28" t="s">
        <v>315</v>
      </c>
      <c r="Q166" s="28">
        <f>P163</f>
        <v>132</v>
      </c>
      <c r="R166" s="47"/>
      <c r="T166" s="18"/>
      <c r="U166" s="18"/>
      <c r="V166" s="97"/>
    </row>
    <row r="167" spans="1:27" s="14" customFormat="1" ht="18" customHeight="1">
      <c r="A167" s="216"/>
      <c r="B167" s="212"/>
      <c r="C167" s="212"/>
      <c r="D167" s="212"/>
      <c r="E167" s="212"/>
      <c r="F167" s="212"/>
      <c r="G167" s="212"/>
      <c r="I167" s="28" t="s">
        <v>127</v>
      </c>
      <c r="J167" s="692">
        <f>(P161*1000)/(SQRT(3)*P163)</f>
        <v>437.38656756789834</v>
      </c>
      <c r="K167" s="692"/>
      <c r="L167" s="14" t="s">
        <v>8</v>
      </c>
      <c r="M167" s="120"/>
      <c r="N167" s="120"/>
      <c r="O167" s="120"/>
      <c r="T167" s="18"/>
      <c r="U167" s="18"/>
      <c r="V167" s="97"/>
    </row>
    <row r="168" spans="1:27" s="14" customFormat="1" ht="18" customHeight="1">
      <c r="A168" s="216"/>
      <c r="B168" s="212"/>
      <c r="C168" s="212"/>
      <c r="D168" s="212"/>
      <c r="E168" s="212"/>
      <c r="G168" s="212"/>
      <c r="H168" s="28"/>
      <c r="I168" s="103"/>
      <c r="J168" s="28"/>
      <c r="M168" s="212"/>
      <c r="N168" s="219"/>
      <c r="O168" s="212"/>
      <c r="T168" s="18"/>
      <c r="U168" s="18"/>
      <c r="V168" s="97"/>
    </row>
    <row r="169" spans="1:27" s="14" customFormat="1" ht="18" customHeight="1">
      <c r="A169" s="147" t="s">
        <v>629</v>
      </c>
      <c r="B169" s="5"/>
      <c r="C169" s="5"/>
      <c r="D169" s="5"/>
      <c r="E169" s="5"/>
      <c r="F169" s="212"/>
      <c r="G169" s="212"/>
      <c r="H169" s="5"/>
      <c r="I169" s="5"/>
      <c r="J169" s="5"/>
      <c r="K169" s="5"/>
      <c r="L169" s="103"/>
      <c r="M169" s="103"/>
      <c r="N169" s="103"/>
      <c r="O169" s="103"/>
      <c r="P169" s="212"/>
      <c r="Q169" s="213"/>
      <c r="S169" s="220"/>
      <c r="T169" s="18"/>
      <c r="U169" s="18"/>
      <c r="V169" s="97"/>
    </row>
    <row r="170" spans="1:27" s="14" customFormat="1" ht="18" customHeight="1">
      <c r="A170" s="147"/>
      <c r="B170" s="5"/>
      <c r="C170" s="5"/>
      <c r="D170" s="5"/>
      <c r="E170" s="5"/>
      <c r="F170" s="212"/>
      <c r="G170" s="212"/>
      <c r="H170" s="5"/>
      <c r="I170" s="5"/>
      <c r="J170" s="5"/>
      <c r="K170" s="5"/>
      <c r="L170" s="103"/>
      <c r="M170" s="103"/>
      <c r="N170" s="103"/>
      <c r="O170" s="103"/>
      <c r="P170" s="212"/>
      <c r="Q170" s="213"/>
      <c r="S170" s="214"/>
      <c r="T170" s="18"/>
      <c r="U170" s="18"/>
      <c r="V170" s="97"/>
    </row>
    <row r="171" spans="1:27" ht="18" customHeight="1">
      <c r="A171" s="184"/>
      <c r="B171" s="14" t="s">
        <v>612</v>
      </c>
      <c r="C171" s="14"/>
      <c r="D171" s="14"/>
      <c r="E171" s="14"/>
      <c r="M171" s="120" t="s">
        <v>613</v>
      </c>
      <c r="N171" s="28" t="s">
        <v>127</v>
      </c>
      <c r="O171" s="689" t="s">
        <v>609</v>
      </c>
      <c r="P171" s="716"/>
      <c r="Q171" s="221" t="s">
        <v>630</v>
      </c>
      <c r="R171" s="221">
        <v>16</v>
      </c>
      <c r="S171" s="214"/>
      <c r="V171" s="185"/>
    </row>
    <row r="172" spans="1:27" ht="18" customHeight="1">
      <c r="A172" s="96"/>
      <c r="B172" s="5"/>
      <c r="C172" s="5"/>
      <c r="D172" s="5"/>
      <c r="E172" s="5"/>
      <c r="M172" s="250"/>
      <c r="N172" s="28" t="s">
        <v>127</v>
      </c>
      <c r="O172" s="692">
        <f>+J167</f>
        <v>437.38656756789834</v>
      </c>
      <c r="P172" s="1214"/>
      <c r="Q172" s="221" t="s">
        <v>630</v>
      </c>
      <c r="R172" s="221">
        <v>16</v>
      </c>
      <c r="S172" s="214"/>
      <c r="V172" s="185"/>
    </row>
    <row r="173" spans="1:27" ht="18" customHeight="1">
      <c r="A173" s="96"/>
      <c r="B173" s="5"/>
      <c r="C173" s="5"/>
      <c r="D173" s="5"/>
      <c r="E173" s="5"/>
      <c r="M173" s="120" t="s">
        <v>613</v>
      </c>
      <c r="N173" s="28" t="s">
        <v>127</v>
      </c>
      <c r="O173" s="689">
        <f>O172*R172</f>
        <v>6998.1850810863734</v>
      </c>
      <c r="P173" s="716"/>
      <c r="Q173" s="241" t="s">
        <v>8</v>
      </c>
      <c r="R173" s="14"/>
      <c r="S173" s="214"/>
      <c r="V173" s="185"/>
      <c r="AA173" s="30">
        <f>O173/3000</f>
        <v>2.3327283603621245</v>
      </c>
    </row>
    <row r="174" spans="1:27" ht="18" customHeight="1">
      <c r="A174" s="96"/>
      <c r="B174" s="5"/>
      <c r="C174" s="5"/>
      <c r="D174" s="5"/>
      <c r="E174" s="5"/>
      <c r="M174" s="212"/>
      <c r="N174" s="212"/>
      <c r="O174" s="103"/>
      <c r="Q174" s="223"/>
      <c r="R174" s="14"/>
      <c r="S174" s="214"/>
      <c r="V174" s="185"/>
    </row>
    <row r="175" spans="1:27" ht="18" customHeight="1">
      <c r="A175" s="678" t="s">
        <v>614</v>
      </c>
      <c r="B175" s="1207"/>
      <c r="C175" s="1207"/>
      <c r="D175" s="1207"/>
      <c r="E175" s="1207"/>
      <c r="F175" s="1207"/>
      <c r="G175" s="1207"/>
      <c r="H175" s="1207"/>
      <c r="I175" s="1207"/>
      <c r="J175" s="1207"/>
      <c r="K175" s="1207"/>
      <c r="L175" s="1207"/>
      <c r="M175" s="1207"/>
      <c r="N175" s="1207"/>
      <c r="O175" s="1207"/>
      <c r="P175" s="1207"/>
      <c r="Q175" s="1207"/>
      <c r="R175" s="1207"/>
      <c r="S175" s="1207"/>
      <c r="T175" s="1207"/>
      <c r="U175" s="1207"/>
      <c r="V175" s="1208"/>
      <c r="X175" s="14" t="s">
        <v>615</v>
      </c>
    </row>
    <row r="176" spans="1:27" ht="18" customHeight="1">
      <c r="A176" s="1209"/>
      <c r="B176" s="1207"/>
      <c r="C176" s="1207"/>
      <c r="D176" s="1207"/>
      <c r="E176" s="1207"/>
      <c r="F176" s="1207"/>
      <c r="G176" s="1207"/>
      <c r="H176" s="1207"/>
      <c r="I176" s="1207"/>
      <c r="J176" s="1207"/>
      <c r="K176" s="1207"/>
      <c r="L176" s="1207"/>
      <c r="M176" s="1207"/>
      <c r="N176" s="1207"/>
      <c r="O176" s="1207"/>
      <c r="P176" s="1207"/>
      <c r="Q176" s="1207"/>
      <c r="R176" s="1207"/>
      <c r="S176" s="1207"/>
      <c r="T176" s="1207"/>
      <c r="U176" s="1207"/>
      <c r="V176" s="1208"/>
    </row>
    <row r="177" spans="1:22" ht="18" customHeight="1">
      <c r="A177" s="231"/>
      <c r="B177" s="232"/>
      <c r="C177" s="232"/>
      <c r="D177" s="232"/>
      <c r="E177" s="232"/>
      <c r="F177" s="232"/>
      <c r="G177" s="232"/>
      <c r="H177" s="232"/>
      <c r="I177" s="232"/>
      <c r="J177" s="232"/>
      <c r="K177" s="232"/>
      <c r="L177" s="232"/>
      <c r="M177" s="232"/>
      <c r="N177" s="232"/>
      <c r="O177" s="232"/>
      <c r="P177" s="232"/>
      <c r="Q177" s="232"/>
      <c r="R177" s="232"/>
      <c r="S177" s="232"/>
      <c r="T177" s="232"/>
      <c r="U177" s="232"/>
      <c r="V177" s="233"/>
    </row>
    <row r="178" spans="1:22" ht="18" customHeight="1">
      <c r="A178" s="231"/>
      <c r="B178" s="232"/>
      <c r="C178" s="232"/>
      <c r="D178" s="232"/>
      <c r="E178" s="232"/>
      <c r="F178" s="232"/>
      <c r="G178" s="232"/>
      <c r="H178" s="232"/>
      <c r="I178" s="232"/>
      <c r="J178" s="232"/>
      <c r="K178" s="232"/>
      <c r="L178" s="232"/>
      <c r="M178" s="232"/>
      <c r="N178" s="232"/>
      <c r="O178" s="232"/>
      <c r="P178" s="232"/>
      <c r="Q178" s="232"/>
      <c r="R178" s="232"/>
      <c r="S178" s="232"/>
      <c r="T178" s="232"/>
      <c r="U178" s="232"/>
      <c r="V178" s="233"/>
    </row>
    <row r="179" spans="1:22" ht="18" customHeight="1">
      <c r="A179" s="231"/>
      <c r="B179" s="232"/>
      <c r="C179" s="232"/>
      <c r="D179" s="232"/>
      <c r="E179" s="232"/>
      <c r="F179" s="232"/>
      <c r="G179" s="232"/>
      <c r="H179" s="232"/>
      <c r="I179" s="232"/>
      <c r="J179" s="232"/>
      <c r="K179" s="232"/>
      <c r="L179" s="232"/>
      <c r="M179" s="232"/>
      <c r="N179" s="232"/>
      <c r="O179" s="232"/>
      <c r="P179" s="232"/>
      <c r="Q179" s="232"/>
      <c r="R179" s="232"/>
      <c r="S179" s="232"/>
      <c r="T179" s="232"/>
      <c r="U179" s="232"/>
      <c r="V179" s="233"/>
    </row>
    <row r="180" spans="1:22" ht="18" customHeight="1">
      <c r="A180" s="231"/>
      <c r="B180" s="232"/>
      <c r="C180" s="232"/>
      <c r="D180" s="232"/>
      <c r="E180" s="232"/>
      <c r="F180" s="232"/>
      <c r="G180" s="232"/>
      <c r="H180" s="232"/>
      <c r="I180" s="232"/>
      <c r="J180" s="232"/>
      <c r="K180" s="232"/>
      <c r="L180" s="232"/>
      <c r="M180" s="232"/>
      <c r="N180" s="232"/>
      <c r="O180" s="232"/>
      <c r="P180" s="232"/>
      <c r="Q180" s="232"/>
      <c r="R180" s="232"/>
      <c r="S180" s="232"/>
      <c r="T180" s="232"/>
      <c r="U180" s="232"/>
      <c r="V180" s="233"/>
    </row>
    <row r="181" spans="1:22" s="14" customFormat="1" ht="18" customHeight="1">
      <c r="A181" s="194"/>
      <c r="B181" s="195"/>
      <c r="C181" s="195"/>
      <c r="D181" s="195"/>
      <c r="E181" s="195"/>
      <c r="F181" s="195"/>
      <c r="G181" s="195"/>
      <c r="H181" s="195"/>
      <c r="I181" s="195"/>
      <c r="J181" s="195"/>
      <c r="K181" s="195"/>
      <c r="L181" s="195"/>
      <c r="M181" s="195"/>
      <c r="N181" s="195"/>
      <c r="O181" s="195"/>
      <c r="P181" s="195"/>
      <c r="Q181" s="224"/>
      <c r="R181" s="182"/>
      <c r="S181" s="225"/>
      <c r="T181" s="195"/>
      <c r="U181" s="195"/>
      <c r="V181" s="134"/>
    </row>
    <row r="182" spans="1:22" ht="18" customHeight="1">
      <c r="A182" s="226"/>
      <c r="B182" s="227"/>
      <c r="C182" s="227"/>
      <c r="D182" s="227"/>
      <c r="E182" s="227"/>
      <c r="F182" s="227"/>
      <c r="G182" s="227"/>
      <c r="H182" s="227"/>
      <c r="I182" s="227"/>
      <c r="J182" s="227"/>
      <c r="K182" s="227"/>
      <c r="L182" s="227"/>
      <c r="M182" s="227"/>
      <c r="N182" s="227"/>
      <c r="O182" s="227"/>
      <c r="P182" s="227"/>
      <c r="Q182" s="227"/>
      <c r="R182" s="227"/>
      <c r="S182" s="227"/>
      <c r="T182" s="227"/>
      <c r="U182" s="227"/>
      <c r="V182" s="228"/>
    </row>
    <row r="183" spans="1:22" ht="18" customHeight="1">
      <c r="A183" s="799" t="s">
        <v>417</v>
      </c>
      <c r="B183" s="802"/>
      <c r="C183" s="802"/>
      <c r="D183" s="689">
        <v>30</v>
      </c>
      <c r="E183" s="689" t="s">
        <v>315</v>
      </c>
      <c r="F183" s="689" t="s">
        <v>609</v>
      </c>
      <c r="G183" s="684"/>
      <c r="H183" s="689" t="s">
        <v>315</v>
      </c>
      <c r="I183" s="708" t="s">
        <v>411</v>
      </c>
      <c r="J183" s="828"/>
      <c r="K183" s="689" t="s">
        <v>315</v>
      </c>
      <c r="L183" s="802" t="s">
        <v>419</v>
      </c>
      <c r="M183" s="716" t="s">
        <v>420</v>
      </c>
      <c r="N183" s="729" t="s">
        <v>347</v>
      </c>
      <c r="O183" s="716" t="s">
        <v>408</v>
      </c>
      <c r="P183" s="689" t="s">
        <v>347</v>
      </c>
      <c r="Q183" s="759" t="s">
        <v>421</v>
      </c>
      <c r="R183" s="797"/>
      <c r="S183" s="797"/>
      <c r="T183" s="798" t="s">
        <v>350</v>
      </c>
      <c r="U183" s="230" t="s">
        <v>422</v>
      </c>
      <c r="V183" s="97"/>
    </row>
    <row r="184" spans="1:22" ht="18" customHeight="1">
      <c r="A184" s="827"/>
      <c r="B184" s="802"/>
      <c r="C184" s="802"/>
      <c r="D184" s="689"/>
      <c r="E184" s="689"/>
      <c r="F184" s="684"/>
      <c r="G184" s="684"/>
      <c r="H184" s="689"/>
      <c r="I184" s="689" t="s">
        <v>423</v>
      </c>
      <c r="J184" s="723"/>
      <c r="K184" s="689"/>
      <c r="L184" s="802"/>
      <c r="M184" s="716"/>
      <c r="N184" s="729"/>
      <c r="O184" s="716"/>
      <c r="P184" s="689"/>
      <c r="Q184" s="28" t="s">
        <v>146</v>
      </c>
      <c r="R184" s="28" t="s">
        <v>315</v>
      </c>
      <c r="S184" s="28" t="s">
        <v>146</v>
      </c>
      <c r="T184" s="798"/>
      <c r="U184" s="14"/>
      <c r="V184" s="97"/>
    </row>
    <row r="185" spans="1:22" ht="18" customHeight="1">
      <c r="A185" s="184"/>
      <c r="V185" s="185"/>
    </row>
    <row r="186" spans="1:22" ht="18" customHeight="1">
      <c r="A186" s="799" t="s">
        <v>417</v>
      </c>
      <c r="B186" s="802"/>
      <c r="C186" s="802"/>
      <c r="D186" s="689">
        <v>2</v>
      </c>
      <c r="E186" s="689" t="s">
        <v>315</v>
      </c>
      <c r="F186" s="689" t="s">
        <v>613</v>
      </c>
      <c r="G186" s="684"/>
      <c r="H186" s="689" t="s">
        <v>315</v>
      </c>
      <c r="I186" s="708" t="s">
        <v>411</v>
      </c>
      <c r="J186" s="828"/>
      <c r="K186" s="689" t="s">
        <v>315</v>
      </c>
      <c r="L186" s="802" t="s">
        <v>419</v>
      </c>
      <c r="M186" s="716" t="s">
        <v>420</v>
      </c>
      <c r="N186" s="729" t="s">
        <v>347</v>
      </c>
      <c r="O186" s="716" t="s">
        <v>408</v>
      </c>
      <c r="P186" s="689" t="s">
        <v>347</v>
      </c>
      <c r="Q186" s="759" t="s">
        <v>421</v>
      </c>
      <c r="R186" s="797"/>
      <c r="S186" s="797"/>
      <c r="T186" s="798" t="s">
        <v>350</v>
      </c>
      <c r="U186" s="230" t="s">
        <v>426</v>
      </c>
      <c r="V186" s="97"/>
    </row>
    <row r="187" spans="1:22" ht="18" customHeight="1">
      <c r="A187" s="827"/>
      <c r="B187" s="802"/>
      <c r="C187" s="802"/>
      <c r="D187" s="689"/>
      <c r="E187" s="689"/>
      <c r="F187" s="684"/>
      <c r="G187" s="684"/>
      <c r="H187" s="689"/>
      <c r="I187" s="689" t="s">
        <v>423</v>
      </c>
      <c r="J187" s="723"/>
      <c r="K187" s="689"/>
      <c r="L187" s="802"/>
      <c r="M187" s="716"/>
      <c r="N187" s="729"/>
      <c r="O187" s="716"/>
      <c r="P187" s="689"/>
      <c r="Q187" s="28" t="s">
        <v>146</v>
      </c>
      <c r="R187" s="28" t="s">
        <v>315</v>
      </c>
      <c r="S187" s="28" t="s">
        <v>146</v>
      </c>
      <c r="T187" s="798"/>
      <c r="U187" s="14"/>
      <c r="V187" s="97"/>
    </row>
    <row r="188" spans="1:22" ht="18" customHeight="1">
      <c r="A188" s="184"/>
      <c r="V188" s="185"/>
    </row>
    <row r="189" spans="1:22" ht="18" hidden="1" customHeight="1">
      <c r="A189" s="678" t="s">
        <v>616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2"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2" ht="18" hidden="1" customHeight="1">
      <c r="A191" s="231"/>
      <c r="B191" s="232"/>
      <c r="C191" s="232"/>
      <c r="D191" s="232"/>
      <c r="E191" s="232"/>
      <c r="F191" s="232"/>
      <c r="G191" s="232"/>
      <c r="H191" s="232"/>
      <c r="I191" s="232"/>
      <c r="J191" s="232"/>
      <c r="K191" s="232"/>
      <c r="L191" s="232"/>
      <c r="M191" s="232"/>
      <c r="N191" s="232"/>
      <c r="O191" s="232"/>
      <c r="P191" s="232"/>
      <c r="Q191" s="232"/>
      <c r="R191" s="232"/>
      <c r="S191" s="232"/>
      <c r="T191" s="232"/>
      <c r="U191" s="232"/>
      <c r="V191" s="233"/>
    </row>
    <row r="192" spans="1:22" ht="18" hidden="1" customHeight="1">
      <c r="A192" s="799" t="s">
        <v>417</v>
      </c>
      <c r="B192" s="802"/>
      <c r="C192" s="802"/>
      <c r="D192" s="689"/>
      <c r="E192" s="689"/>
      <c r="F192" s="689" t="s">
        <v>617</v>
      </c>
      <c r="G192" s="684"/>
      <c r="H192" s="689" t="s">
        <v>315</v>
      </c>
      <c r="I192" s="708" t="s">
        <v>411</v>
      </c>
      <c r="J192" s="828"/>
      <c r="K192" s="689" t="s">
        <v>315</v>
      </c>
      <c r="L192" s="802" t="s">
        <v>419</v>
      </c>
      <c r="M192" s="716" t="s">
        <v>420</v>
      </c>
      <c r="N192" s="729" t="s">
        <v>347</v>
      </c>
      <c r="O192" s="716" t="s">
        <v>408</v>
      </c>
      <c r="P192" s="689" t="s">
        <v>347</v>
      </c>
      <c r="Q192" s="759" t="s">
        <v>421</v>
      </c>
      <c r="R192" s="797"/>
      <c r="S192" s="797"/>
      <c r="T192" s="798" t="s">
        <v>350</v>
      </c>
      <c r="U192" s="230" t="s">
        <v>618</v>
      </c>
      <c r="V192" s="97"/>
    </row>
    <row r="193" spans="1:22" ht="18" hidden="1" customHeight="1">
      <c r="A193" s="827"/>
      <c r="B193" s="802"/>
      <c r="C193" s="802"/>
      <c r="D193" s="689"/>
      <c r="E193" s="689"/>
      <c r="F193" s="684"/>
      <c r="G193" s="684"/>
      <c r="H193" s="689"/>
      <c r="I193" s="689" t="s">
        <v>423</v>
      </c>
      <c r="J193" s="723"/>
      <c r="K193" s="689"/>
      <c r="L193" s="802"/>
      <c r="M193" s="716"/>
      <c r="N193" s="729"/>
      <c r="O193" s="716"/>
      <c r="P193" s="689"/>
      <c r="Q193" s="28" t="s">
        <v>146</v>
      </c>
      <c r="R193" s="28" t="s">
        <v>315</v>
      </c>
      <c r="S193" s="28" t="s">
        <v>146</v>
      </c>
      <c r="T193" s="798"/>
      <c r="U193" s="14"/>
      <c r="V193" s="97"/>
    </row>
    <row r="194" spans="1:22" ht="18" hidden="1" customHeight="1">
      <c r="A194" s="96"/>
      <c r="B194" s="14"/>
      <c r="C194" s="14"/>
      <c r="D194" s="28"/>
      <c r="E194" s="28"/>
      <c r="F194" s="27"/>
      <c r="G194" s="27"/>
      <c r="H194" s="28"/>
      <c r="I194" s="28"/>
      <c r="K194" s="28"/>
      <c r="L194" s="120"/>
      <c r="M194" s="14"/>
      <c r="N194" s="102"/>
      <c r="O194" s="14"/>
      <c r="P194" s="28"/>
      <c r="Q194" s="28"/>
      <c r="R194" s="28"/>
      <c r="S194" s="28"/>
      <c r="T194" s="40"/>
      <c r="U194" s="14"/>
      <c r="V194" s="97"/>
    </row>
    <row r="195" spans="1:22" ht="18" hidden="1" customHeight="1">
      <c r="A195" s="184"/>
      <c r="H195" s="30" t="s">
        <v>619</v>
      </c>
      <c r="M195" s="854" t="str">
        <f>M59</f>
        <v>N</v>
      </c>
      <c r="N195" s="831"/>
      <c r="V195" s="185"/>
    </row>
    <row r="196" spans="1:22" ht="18"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customHeight="1">
      <c r="A197" s="184"/>
      <c r="B197" s="14" t="s">
        <v>427</v>
      </c>
      <c r="C197" s="14"/>
      <c r="D197" s="103"/>
      <c r="E197" s="103"/>
      <c r="F197" s="14"/>
      <c r="G197" s="14"/>
      <c r="H197" s="5"/>
      <c r="I197" s="5"/>
      <c r="J197" s="5"/>
      <c r="P197" s="120" t="s">
        <v>428</v>
      </c>
      <c r="V197" s="185"/>
    </row>
    <row r="198" spans="1:22" ht="18" customHeight="1">
      <c r="A198" s="184"/>
      <c r="B198" s="14" t="s">
        <v>429</v>
      </c>
      <c r="C198" s="14"/>
      <c r="D198" s="103"/>
      <c r="E198" s="103"/>
      <c r="F198" s="14"/>
      <c r="G198" s="14"/>
      <c r="H198" s="5"/>
      <c r="I198" s="5"/>
      <c r="J198" s="5"/>
      <c r="P198" s="120" t="s">
        <v>430</v>
      </c>
      <c r="Q198" s="234" t="s">
        <v>127</v>
      </c>
      <c r="R198" s="684">
        <f>J146</f>
        <v>3200</v>
      </c>
      <c r="S198" s="684"/>
      <c r="T198" s="14" t="s">
        <v>8</v>
      </c>
      <c r="V198" s="185"/>
    </row>
    <row r="199" spans="1:22" ht="18" customHeight="1">
      <c r="A199" s="184"/>
      <c r="B199" s="14" t="s">
        <v>621</v>
      </c>
      <c r="C199" s="14"/>
      <c r="D199" s="14"/>
      <c r="E199" s="14"/>
      <c r="F199" s="14"/>
      <c r="G199" s="14"/>
      <c r="H199" s="14"/>
      <c r="I199" s="14"/>
      <c r="J199" s="14"/>
      <c r="P199" s="120" t="s">
        <v>609</v>
      </c>
      <c r="Q199" s="234" t="s">
        <v>127</v>
      </c>
      <c r="R199" s="684">
        <f>J167</f>
        <v>437.38656756789834</v>
      </c>
      <c r="S199" s="684"/>
      <c r="T199" s="14" t="s">
        <v>8</v>
      </c>
      <c r="V199" s="185"/>
    </row>
    <row r="200" spans="1:22" ht="18" customHeight="1">
      <c r="A200" s="184"/>
      <c r="B200" s="14" t="s">
        <v>622</v>
      </c>
      <c r="C200" s="14"/>
      <c r="D200" s="14"/>
      <c r="E200" s="14"/>
      <c r="F200" s="14"/>
      <c r="G200" s="14"/>
      <c r="H200" s="14"/>
      <c r="I200" s="14"/>
      <c r="J200" s="14"/>
      <c r="P200" s="120" t="s">
        <v>613</v>
      </c>
      <c r="Q200" s="234" t="s">
        <v>127</v>
      </c>
      <c r="R200" s="684">
        <f>O173</f>
        <v>6998.1850810863734</v>
      </c>
      <c r="S200" s="684"/>
      <c r="T200" s="14" t="s">
        <v>8</v>
      </c>
      <c r="V200" s="185"/>
    </row>
    <row r="201" spans="1:22" ht="18" customHeight="1">
      <c r="A201" s="184"/>
      <c r="B201" s="235" t="s">
        <v>623</v>
      </c>
      <c r="C201" s="14"/>
      <c r="D201" s="14"/>
      <c r="E201" s="14"/>
      <c r="F201" s="14"/>
      <c r="G201" s="14"/>
      <c r="H201" s="14"/>
      <c r="I201" s="14"/>
      <c r="J201" s="14"/>
      <c r="P201" s="120"/>
      <c r="Q201" s="236"/>
      <c r="R201" s="27"/>
      <c r="S201" s="27"/>
      <c r="T201" s="14"/>
      <c r="V201" s="185"/>
    </row>
    <row r="202" spans="1:22" ht="18" customHeight="1">
      <c r="A202" s="184"/>
      <c r="B202" s="14" t="s">
        <v>622</v>
      </c>
      <c r="C202" s="14"/>
      <c r="D202" s="14"/>
      <c r="E202" s="14"/>
      <c r="F202" s="14"/>
      <c r="G202" s="14"/>
      <c r="H202" s="14"/>
      <c r="I202" s="14"/>
      <c r="J202" s="14"/>
      <c r="P202" s="120" t="s">
        <v>617</v>
      </c>
      <c r="Q202" s="234" t="s">
        <v>127</v>
      </c>
      <c r="R202" s="684" t="str">
        <f>R66</f>
        <v>-</v>
      </c>
      <c r="S202" s="684"/>
      <c r="T202" s="14" t="s">
        <v>8</v>
      </c>
      <c r="V202" s="185"/>
    </row>
    <row r="203" spans="1:22" ht="18" customHeight="1">
      <c r="A203" s="184"/>
      <c r="B203" s="235" t="s">
        <v>624</v>
      </c>
      <c r="C203" s="14"/>
      <c r="D203" s="14"/>
      <c r="E203" s="14"/>
      <c r="F203" s="14"/>
      <c r="G203" s="14"/>
      <c r="H203" s="14"/>
      <c r="I203" s="14"/>
      <c r="J203" s="14"/>
      <c r="R203" s="27"/>
      <c r="S203" s="27"/>
      <c r="T203" s="14"/>
      <c r="V203" s="185"/>
    </row>
    <row r="204" spans="1:22" ht="18" customHeight="1">
      <c r="A204" s="184"/>
      <c r="B204" s="14" t="s">
        <v>435</v>
      </c>
      <c r="C204" s="14"/>
      <c r="D204" s="103"/>
      <c r="E204" s="103"/>
      <c r="F204" s="14"/>
      <c r="G204" s="14"/>
      <c r="H204" s="5"/>
      <c r="I204" s="5"/>
      <c r="J204" s="5"/>
      <c r="P204" s="120" t="s">
        <v>436</v>
      </c>
      <c r="Q204" s="234" t="s">
        <v>127</v>
      </c>
      <c r="R204" s="684">
        <f>O146</f>
        <v>1</v>
      </c>
      <c r="S204" s="684"/>
      <c r="T204" s="14" t="s">
        <v>8</v>
      </c>
      <c r="V204" s="185"/>
    </row>
    <row r="205" spans="1:22" ht="18" customHeight="1">
      <c r="A205" s="184"/>
      <c r="B205" s="14" t="s">
        <v>437</v>
      </c>
      <c r="C205" s="14"/>
      <c r="D205" s="103"/>
      <c r="E205" s="103"/>
      <c r="F205" s="14"/>
      <c r="G205" s="14"/>
      <c r="H205" s="5"/>
      <c r="I205" s="5"/>
      <c r="J205" s="5"/>
      <c r="P205" s="120" t="s">
        <v>438</v>
      </c>
      <c r="Q205" s="234" t="s">
        <v>127</v>
      </c>
      <c r="R205" s="684">
        <f>R69</f>
        <v>1</v>
      </c>
      <c r="S205" s="684"/>
      <c r="T205" s="14" t="s">
        <v>8</v>
      </c>
      <c r="V205" s="185"/>
    </row>
    <row r="206" spans="1:22" ht="18" customHeight="1">
      <c r="A206" s="184"/>
      <c r="B206" s="14" t="s">
        <v>439</v>
      </c>
      <c r="C206" s="14"/>
      <c r="D206" s="103"/>
      <c r="E206" s="103"/>
      <c r="F206" s="14"/>
      <c r="G206" s="14"/>
      <c r="H206" s="5"/>
      <c r="I206" s="5"/>
      <c r="J206" s="5"/>
      <c r="P206" s="120" t="s">
        <v>440</v>
      </c>
      <c r="Q206" s="234" t="s">
        <v>127</v>
      </c>
      <c r="R206" s="684">
        <f>J148</f>
        <v>5</v>
      </c>
      <c r="S206" s="684"/>
      <c r="T206" s="192" t="s">
        <v>333</v>
      </c>
      <c r="V206" s="185"/>
    </row>
    <row r="207" spans="1:22" ht="18" customHeight="1">
      <c r="A207" s="184"/>
      <c r="B207" s="14" t="s">
        <v>625</v>
      </c>
      <c r="C207" s="14"/>
      <c r="D207" s="14"/>
      <c r="E207" s="14"/>
      <c r="F207" s="14"/>
      <c r="G207" s="14"/>
      <c r="H207" s="14"/>
      <c r="I207" s="14"/>
      <c r="J207" s="14"/>
      <c r="P207" s="237" t="s">
        <v>441</v>
      </c>
      <c r="Q207" s="234" t="s">
        <v>127</v>
      </c>
      <c r="R207" s="795">
        <f>P158</f>
        <v>1.2765261800000001</v>
      </c>
      <c r="S207" s="684"/>
      <c r="T207" s="192" t="s">
        <v>333</v>
      </c>
      <c r="V207" s="185"/>
    </row>
    <row r="208" spans="1:22" ht="18" customHeight="1">
      <c r="A208" s="184"/>
      <c r="B208" s="40" t="s">
        <v>626</v>
      </c>
      <c r="C208" s="14"/>
      <c r="D208" s="14"/>
      <c r="E208" s="14"/>
      <c r="F208" s="14"/>
      <c r="G208" s="14"/>
      <c r="H208" s="5"/>
      <c r="I208" s="5"/>
      <c r="J208" s="5"/>
      <c r="P208" s="237" t="s">
        <v>443</v>
      </c>
      <c r="Q208" s="234" t="s">
        <v>127</v>
      </c>
      <c r="R208" s="795">
        <f>J154</f>
        <v>0.02</v>
      </c>
      <c r="S208" s="684"/>
      <c r="T208" s="14" t="s">
        <v>157</v>
      </c>
      <c r="V208" s="185"/>
    </row>
    <row r="209" spans="1:22" ht="18" customHeight="1">
      <c r="A209" s="184"/>
      <c r="V209" s="185"/>
    </row>
    <row r="210" spans="1:22" ht="18" customHeight="1">
      <c r="A210" s="799" t="s">
        <v>417</v>
      </c>
      <c r="B210" s="802"/>
      <c r="C210" s="802"/>
      <c r="D210" s="805">
        <v>30</v>
      </c>
      <c r="E210" s="805" t="s">
        <v>315</v>
      </c>
      <c r="F210" s="1184">
        <f>R199</f>
        <v>437.38656756789834</v>
      </c>
      <c r="G210" s="1111"/>
      <c r="H210" s="805" t="s">
        <v>315</v>
      </c>
      <c r="I210" s="822">
        <f>R204</f>
        <v>1</v>
      </c>
      <c r="J210" s="1269"/>
      <c r="K210" s="805" t="s">
        <v>315</v>
      </c>
      <c r="L210" s="815" t="s">
        <v>419</v>
      </c>
      <c r="M210" s="815">
        <f>R206</f>
        <v>5</v>
      </c>
      <c r="N210" s="816" t="s">
        <v>347</v>
      </c>
      <c r="O210" s="817">
        <f>R207</f>
        <v>1.2765261800000001</v>
      </c>
      <c r="P210" s="805" t="s">
        <v>347</v>
      </c>
      <c r="Q210" s="1259">
        <f>R208</f>
        <v>0.02</v>
      </c>
      <c r="R210" s="807"/>
      <c r="S210" s="807"/>
      <c r="T210" s="798" t="s">
        <v>350</v>
      </c>
      <c r="U210" s="230" t="s">
        <v>422</v>
      </c>
      <c r="V210" s="97"/>
    </row>
    <row r="211" spans="1:22" ht="18" customHeight="1">
      <c r="A211" s="827"/>
      <c r="B211" s="802"/>
      <c r="C211" s="802"/>
      <c r="D211" s="805"/>
      <c r="E211" s="805"/>
      <c r="F211" s="1111"/>
      <c r="G211" s="1111"/>
      <c r="H211" s="805"/>
      <c r="I211" s="805">
        <f>R198</f>
        <v>3200</v>
      </c>
      <c r="J211" s="1234"/>
      <c r="K211" s="805"/>
      <c r="L211" s="815"/>
      <c r="M211" s="815"/>
      <c r="N211" s="816"/>
      <c r="O211" s="815"/>
      <c r="P211" s="805"/>
      <c r="Q211" s="221">
        <f>R205</f>
        <v>1</v>
      </c>
      <c r="R211" s="221" t="s">
        <v>315</v>
      </c>
      <c r="S211" s="221">
        <f>R205</f>
        <v>1</v>
      </c>
      <c r="T211" s="798"/>
      <c r="U211" s="14"/>
      <c r="V211" s="97"/>
    </row>
    <row r="212" spans="1:22" ht="18" customHeight="1">
      <c r="A212" s="184"/>
      <c r="V212" s="185"/>
    </row>
    <row r="213" spans="1:22" ht="18" customHeight="1">
      <c r="A213" s="184"/>
      <c r="C213" s="30" t="s">
        <v>127</v>
      </c>
      <c r="D213" s="812">
        <f>D210*F210*(I210/I211)*(M210+O210+(Q210/(Q211*S211)))</f>
        <v>25.81889975129635</v>
      </c>
      <c r="E213" s="813"/>
      <c r="F213" s="30" t="s">
        <v>305</v>
      </c>
      <c r="V213" s="185"/>
    </row>
    <row r="214" spans="1:22" ht="18" customHeight="1">
      <c r="A214" s="184"/>
      <c r="V214" s="185"/>
    </row>
    <row r="215" spans="1:22" ht="18" customHeight="1">
      <c r="A215" s="799" t="s">
        <v>417</v>
      </c>
      <c r="B215" s="802"/>
      <c r="C215" s="802"/>
      <c r="D215" s="805">
        <v>2</v>
      </c>
      <c r="E215" s="805" t="s">
        <v>315</v>
      </c>
      <c r="F215" s="1184">
        <f>R200</f>
        <v>6998.1850810863734</v>
      </c>
      <c r="G215" s="1111"/>
      <c r="H215" s="805" t="s">
        <v>315</v>
      </c>
      <c r="I215" s="822">
        <f>R204</f>
        <v>1</v>
      </c>
      <c r="J215" s="1269"/>
      <c r="K215" s="805" t="s">
        <v>315</v>
      </c>
      <c r="L215" s="808" t="s">
        <v>419</v>
      </c>
      <c r="M215" s="815">
        <f>R206</f>
        <v>5</v>
      </c>
      <c r="N215" s="816" t="s">
        <v>347</v>
      </c>
      <c r="O215" s="817">
        <f>R207</f>
        <v>1.2765261800000001</v>
      </c>
      <c r="P215" s="805" t="s">
        <v>347</v>
      </c>
      <c r="Q215" s="1259">
        <f>R208</f>
        <v>0.02</v>
      </c>
      <c r="R215" s="807"/>
      <c r="S215" s="807"/>
      <c r="T215" s="798" t="s">
        <v>350</v>
      </c>
      <c r="U215" s="230" t="s">
        <v>426</v>
      </c>
      <c r="V215" s="97"/>
    </row>
    <row r="216" spans="1:22" ht="18" customHeight="1">
      <c r="A216" s="827"/>
      <c r="B216" s="802"/>
      <c r="C216" s="802"/>
      <c r="D216" s="805"/>
      <c r="E216" s="805"/>
      <c r="F216" s="1111"/>
      <c r="G216" s="1111"/>
      <c r="H216" s="805"/>
      <c r="I216" s="805">
        <f>R198</f>
        <v>3200</v>
      </c>
      <c r="J216" s="1234"/>
      <c r="K216" s="805"/>
      <c r="L216" s="808"/>
      <c r="M216" s="815"/>
      <c r="N216" s="816"/>
      <c r="O216" s="815"/>
      <c r="P216" s="805"/>
      <c r="Q216" s="221">
        <f>R205</f>
        <v>1</v>
      </c>
      <c r="R216" s="221" t="s">
        <v>315</v>
      </c>
      <c r="S216" s="221">
        <f>R205</f>
        <v>1</v>
      </c>
      <c r="T216" s="798"/>
      <c r="U216" s="14"/>
      <c r="V216" s="97"/>
    </row>
    <row r="217" spans="1:22" ht="18" customHeight="1">
      <c r="A217" s="184"/>
      <c r="L217" s="244"/>
      <c r="V217" s="185"/>
    </row>
    <row r="218" spans="1:22" ht="18" customHeight="1">
      <c r="A218" s="184"/>
      <c r="C218" s="30" t="s">
        <v>127</v>
      </c>
      <c r="D218" s="812">
        <f>D215*F215*(I215/I216)*(M215+O215+(Q215/(Q216*S216)))</f>
        <v>27.540159734716106</v>
      </c>
      <c r="E218" s="813"/>
      <c r="F218" s="30" t="s">
        <v>305</v>
      </c>
      <c r="L218" s="244"/>
      <c r="V218" s="185"/>
    </row>
    <row r="219" spans="1:22" ht="18" customHeight="1">
      <c r="A219" s="184"/>
      <c r="L219" s="244"/>
      <c r="V219" s="185"/>
    </row>
    <row r="220" spans="1:22" ht="18" hidden="1" customHeight="1">
      <c r="A220" s="799" t="s">
        <v>417</v>
      </c>
      <c r="B220" s="802"/>
      <c r="C220" s="802"/>
      <c r="D220" s="689"/>
      <c r="E220" s="689"/>
      <c r="F220" s="805" t="str">
        <f>R202</f>
        <v>-</v>
      </c>
      <c r="G220" s="993"/>
      <c r="H220" s="805" t="s">
        <v>315</v>
      </c>
      <c r="I220" s="822">
        <f>R204</f>
        <v>1</v>
      </c>
      <c r="J220" s="1269"/>
      <c r="K220" s="805" t="s">
        <v>315</v>
      </c>
      <c r="L220" s="808" t="s">
        <v>419</v>
      </c>
      <c r="M220" s="815">
        <f>R206</f>
        <v>5</v>
      </c>
      <c r="N220" s="816" t="s">
        <v>347</v>
      </c>
      <c r="O220" s="817">
        <f>R207</f>
        <v>1.2765261800000001</v>
      </c>
      <c r="P220" s="805" t="s">
        <v>347</v>
      </c>
      <c r="Q220" s="1259">
        <f>R208</f>
        <v>0.02</v>
      </c>
      <c r="R220" s="807"/>
      <c r="S220" s="807"/>
      <c r="T220" s="798" t="s">
        <v>350</v>
      </c>
      <c r="U220" s="230" t="s">
        <v>618</v>
      </c>
      <c r="V220" s="97"/>
    </row>
    <row r="221" spans="1:22" ht="18" hidden="1" customHeight="1">
      <c r="A221" s="827"/>
      <c r="B221" s="802"/>
      <c r="C221" s="802"/>
      <c r="D221" s="689"/>
      <c r="E221" s="689"/>
      <c r="F221" s="993"/>
      <c r="G221" s="993"/>
      <c r="H221" s="805"/>
      <c r="I221" s="805">
        <f>R198</f>
        <v>3200</v>
      </c>
      <c r="J221" s="1234"/>
      <c r="K221" s="805"/>
      <c r="L221" s="808"/>
      <c r="M221" s="815"/>
      <c r="N221" s="816"/>
      <c r="O221" s="815"/>
      <c r="P221" s="805"/>
      <c r="Q221" s="221">
        <f>R205</f>
        <v>1</v>
      </c>
      <c r="R221" s="221" t="s">
        <v>315</v>
      </c>
      <c r="S221" s="221">
        <f>R205</f>
        <v>1</v>
      </c>
      <c r="T221" s="798"/>
      <c r="U221" s="14"/>
      <c r="V221" s="97"/>
    </row>
    <row r="222" spans="1:22" ht="18" hidden="1" customHeight="1">
      <c r="A222" s="184"/>
      <c r="V222" s="185"/>
    </row>
    <row r="223" spans="1:22" ht="18" hidden="1" customHeight="1">
      <c r="A223" s="184"/>
      <c r="C223" s="30" t="s">
        <v>127</v>
      </c>
      <c r="D223" s="812" t="e">
        <f>F220*(I220/I221)*(M220+O220+(Q220/(Q221*S221)))</f>
        <v>#VALUE!</v>
      </c>
      <c r="E223" s="813"/>
      <c r="F223" s="30" t="s">
        <v>305</v>
      </c>
      <c r="G223" s="187" t="s">
        <v>378</v>
      </c>
      <c r="H223" s="186" t="str">
        <f>IF(M195="y","Applicable","Not applicable")</f>
        <v>Not applicable</v>
      </c>
      <c r="V223" s="185"/>
    </row>
    <row r="224" spans="1:22" ht="18" customHeight="1">
      <c r="A224" s="184"/>
      <c r="D224" s="211"/>
      <c r="E224" s="211"/>
      <c r="G224" s="187"/>
      <c r="H224" s="186"/>
      <c r="V224" s="185"/>
    </row>
    <row r="225" spans="1:22" ht="18" customHeight="1">
      <c r="A225" s="184"/>
      <c r="D225" s="211"/>
      <c r="E225" s="211"/>
      <c r="G225" s="187"/>
      <c r="H225" s="186"/>
      <c r="V225" s="185"/>
    </row>
    <row r="226" spans="1:22" ht="18" customHeight="1">
      <c r="A226" s="184"/>
      <c r="D226" s="211"/>
      <c r="E226" s="211"/>
      <c r="G226" s="187"/>
      <c r="H226" s="186"/>
      <c r="V226" s="185"/>
    </row>
    <row r="227" spans="1:22" ht="18" customHeight="1">
      <c r="A227" s="184"/>
      <c r="D227" s="211"/>
      <c r="E227" s="211"/>
      <c r="G227" s="187"/>
      <c r="H227" s="186"/>
      <c r="V227" s="185"/>
    </row>
    <row r="228" spans="1:22" ht="18" customHeight="1">
      <c r="A228" s="184"/>
      <c r="D228" s="211"/>
      <c r="E228" s="211"/>
      <c r="G228" s="187"/>
      <c r="H228" s="186"/>
      <c r="V228" s="185"/>
    </row>
    <row r="229" spans="1:22" ht="18" customHeight="1">
      <c r="A229" s="184"/>
      <c r="D229" s="211"/>
      <c r="E229" s="211"/>
      <c r="G229" s="187"/>
      <c r="H229" s="186"/>
      <c r="V229" s="185"/>
    </row>
    <row r="230" spans="1:22" ht="18" customHeight="1">
      <c r="A230" s="184"/>
      <c r="D230" s="211"/>
      <c r="E230" s="211"/>
      <c r="G230" s="187"/>
      <c r="H230" s="186"/>
      <c r="V230" s="185"/>
    </row>
    <row r="231" spans="1:22" ht="18" customHeight="1">
      <c r="A231" s="184"/>
      <c r="V231" s="185"/>
    </row>
    <row r="232" spans="1:22" s="14" customFormat="1" ht="18" customHeight="1">
      <c r="A232" s="194"/>
      <c r="B232" s="195"/>
      <c r="C232" s="195"/>
      <c r="D232" s="195"/>
      <c r="E232" s="195"/>
      <c r="F232" s="195"/>
      <c r="G232" s="195"/>
      <c r="H232" s="195"/>
      <c r="I232" s="195"/>
      <c r="J232" s="195"/>
      <c r="K232" s="195"/>
      <c r="L232" s="195"/>
      <c r="M232" s="195"/>
      <c r="N232" s="195"/>
      <c r="O232" s="195"/>
      <c r="P232" s="195"/>
      <c r="Q232" s="224"/>
      <c r="R232" s="182"/>
      <c r="S232" s="225"/>
      <c r="T232" s="195"/>
      <c r="U232" s="195"/>
      <c r="V232" s="134"/>
    </row>
    <row r="233" spans="1:22" ht="18" customHeight="1">
      <c r="A233" s="226"/>
      <c r="B233" s="227"/>
      <c r="C233" s="227"/>
      <c r="D233" s="227"/>
      <c r="E233" s="227"/>
      <c r="F233" s="227"/>
      <c r="G233" s="227"/>
      <c r="H233" s="227"/>
      <c r="I233" s="227"/>
      <c r="J233" s="227"/>
      <c r="K233" s="227"/>
      <c r="L233" s="227"/>
      <c r="M233" s="227"/>
      <c r="N233" s="227"/>
      <c r="O233" s="227"/>
      <c r="P233" s="227"/>
      <c r="Q233" s="227"/>
      <c r="R233" s="227"/>
      <c r="S233" s="227"/>
      <c r="T233" s="227"/>
      <c r="U233" s="227"/>
      <c r="V233" s="228"/>
    </row>
    <row r="234" spans="1:22" ht="18" customHeight="1">
      <c r="A234" s="96" t="s">
        <v>627</v>
      </c>
      <c r="M234" s="825">
        <f>R198</f>
        <v>3200</v>
      </c>
      <c r="N234" s="826"/>
      <c r="O234" s="30" t="s">
        <v>470</v>
      </c>
      <c r="Q234" s="812">
        <f>IF(M195="Y",MAX(D213,D223),MAX(D213,D218))</f>
        <v>27.540159734716106</v>
      </c>
      <c r="R234" s="820"/>
      <c r="S234" s="30" t="s">
        <v>305</v>
      </c>
      <c r="V234" s="185"/>
    </row>
    <row r="235" spans="1:22" ht="18" customHeight="1">
      <c r="A235" s="184"/>
      <c r="M235" s="247"/>
      <c r="N235" s="247"/>
      <c r="Q235" s="211"/>
      <c r="R235" s="27"/>
      <c r="V235" s="185"/>
    </row>
    <row r="236" spans="1:22" ht="18" customHeight="1">
      <c r="A236" s="248" t="s">
        <v>471</v>
      </c>
      <c r="B236" s="14"/>
      <c r="C236" s="14"/>
      <c r="D236" s="249"/>
      <c r="E236" s="14"/>
      <c r="F236" s="14"/>
      <c r="G236" s="47"/>
      <c r="H236" s="14"/>
      <c r="J236" s="14"/>
      <c r="K236" s="14"/>
      <c r="L236" s="14"/>
      <c r="M236" s="14"/>
      <c r="N236" s="14"/>
      <c r="O236" s="14"/>
      <c r="P236" s="250"/>
      <c r="Q236" s="251"/>
      <c r="R236" s="47"/>
      <c r="S236" s="14"/>
      <c r="V236" s="185"/>
    </row>
    <row r="237" spans="1:22" ht="18" customHeight="1">
      <c r="A237" s="248"/>
      <c r="B237" s="14"/>
      <c r="C237" s="14"/>
      <c r="D237" s="249"/>
      <c r="E237" s="14"/>
      <c r="F237" s="14"/>
      <c r="G237" s="47"/>
      <c r="H237" s="14"/>
      <c r="J237" s="14"/>
      <c r="K237" s="14"/>
      <c r="L237" s="14"/>
      <c r="M237" s="14"/>
      <c r="N237" s="14"/>
      <c r="O237" s="14"/>
      <c r="P237" s="250"/>
      <c r="Q237" s="251"/>
      <c r="R237" s="47"/>
      <c r="S237" s="14"/>
      <c r="V237" s="185"/>
    </row>
    <row r="238" spans="1:22" ht="18" customHeight="1">
      <c r="A238" s="96" t="s">
        <v>628</v>
      </c>
      <c r="V238" s="185"/>
    </row>
    <row r="239" spans="1:22" ht="18" customHeight="1">
      <c r="A239" s="184"/>
      <c r="N239" s="14"/>
      <c r="O239" s="14" t="s">
        <v>473</v>
      </c>
      <c r="P239" s="102" t="s">
        <v>127</v>
      </c>
      <c r="Q239" s="694" t="s">
        <v>474</v>
      </c>
      <c r="R239" s="694"/>
      <c r="S239" s="28" t="s">
        <v>315</v>
      </c>
      <c r="T239" s="28">
        <v>0.8</v>
      </c>
      <c r="V239" s="185"/>
    </row>
    <row r="240" spans="1:22" ht="18" customHeight="1">
      <c r="A240" s="184"/>
      <c r="N240" s="252"/>
      <c r="O240" s="14"/>
      <c r="P240" s="102" t="s">
        <v>127</v>
      </c>
      <c r="Q240" s="829">
        <f>+Q234</f>
        <v>27.540159734716106</v>
      </c>
      <c r="R240" s="1147"/>
      <c r="S240" s="222" t="s">
        <v>315</v>
      </c>
      <c r="T240" s="253">
        <f>+T239</f>
        <v>0.8</v>
      </c>
      <c r="V240" s="185"/>
    </row>
    <row r="241" spans="1:22" ht="18" customHeight="1">
      <c r="A241" s="184"/>
      <c r="O241" s="14"/>
      <c r="P241" s="28" t="s">
        <v>127</v>
      </c>
      <c r="Q241" s="830">
        <f>Q240*T240</f>
        <v>22.032127787772886</v>
      </c>
      <c r="R241" s="1270"/>
      <c r="S241" s="47" t="s">
        <v>305</v>
      </c>
      <c r="T241" s="14"/>
      <c r="V241" s="185"/>
    </row>
    <row r="242" spans="1:22" ht="18" customHeight="1">
      <c r="A242" s="184"/>
      <c r="V242" s="185"/>
    </row>
    <row r="243" spans="1:22" ht="18" customHeight="1">
      <c r="A243" s="184"/>
      <c r="D243" s="30" t="s">
        <v>475</v>
      </c>
      <c r="G243" s="28" t="s">
        <v>476</v>
      </c>
      <c r="H243" s="30" t="s">
        <v>477</v>
      </c>
      <c r="V243" s="185"/>
    </row>
    <row r="244" spans="1:22" ht="18" customHeight="1">
      <c r="A244" s="184"/>
      <c r="E244" s="684">
        <f>J149</f>
        <v>600</v>
      </c>
      <c r="F244" s="684"/>
      <c r="G244" s="28" t="s">
        <v>476</v>
      </c>
      <c r="H244" s="795">
        <f>Q241</f>
        <v>22.032127787772886</v>
      </c>
      <c r="I244" s="684"/>
      <c r="V244" s="185"/>
    </row>
    <row r="245" spans="1:22" ht="18" customHeight="1">
      <c r="A245" s="184"/>
      <c r="F245" s="244" t="s">
        <v>478</v>
      </c>
      <c r="H245" s="18" t="str">
        <f>IF(E244&gt;H244,"Suitably Dimensioned","Under Dimensioned")</f>
        <v>Suitably Dimensioned</v>
      </c>
      <c r="V245" s="185"/>
    </row>
    <row r="246" spans="1:22" ht="18" customHeight="1">
      <c r="A246" s="184"/>
      <c r="F246" s="244"/>
      <c r="H246" s="18"/>
      <c r="V246" s="185"/>
    </row>
    <row r="247" spans="1:22" ht="18" customHeight="1">
      <c r="A247" s="184"/>
      <c r="F247" s="244"/>
      <c r="H247" s="18"/>
      <c r="V247" s="185"/>
    </row>
    <row r="248" spans="1:22" ht="18" customHeight="1">
      <c r="A248" s="184"/>
      <c r="F248" s="244"/>
      <c r="H248" s="18"/>
      <c r="V248" s="185"/>
    </row>
    <row r="249" spans="1:22" ht="18" customHeight="1">
      <c r="A249" s="184"/>
      <c r="F249" s="244"/>
      <c r="H249" s="18"/>
      <c r="V249" s="185"/>
    </row>
    <row r="250" spans="1:22" ht="18" customHeight="1">
      <c r="A250" s="184"/>
      <c r="F250" s="244"/>
      <c r="H250" s="18"/>
      <c r="V250" s="185"/>
    </row>
    <row r="251" spans="1:22" ht="18" customHeight="1">
      <c r="A251" s="184"/>
      <c r="F251" s="244"/>
      <c r="H251" s="18"/>
      <c r="V251" s="185"/>
    </row>
    <row r="252" spans="1:22" ht="18" customHeight="1">
      <c r="A252" s="184"/>
      <c r="F252" s="244"/>
      <c r="H252" s="18"/>
      <c r="V252" s="185"/>
    </row>
    <row r="253" spans="1:22" ht="18" customHeight="1">
      <c r="A253" s="184"/>
      <c r="F253" s="244"/>
      <c r="H253" s="18"/>
      <c r="V253" s="185"/>
    </row>
    <row r="254" spans="1:22" ht="18" customHeight="1">
      <c r="A254" s="184"/>
      <c r="F254" s="244"/>
      <c r="H254" s="18"/>
      <c r="V254" s="185"/>
    </row>
    <row r="255" spans="1:22" ht="18" customHeight="1">
      <c r="A255" s="184"/>
      <c r="F255" s="244"/>
      <c r="H255" s="18"/>
      <c r="V255" s="185"/>
    </row>
    <row r="256" spans="1:22" ht="18" customHeight="1">
      <c r="A256" s="184"/>
      <c r="F256" s="244"/>
      <c r="H256" s="18"/>
      <c r="V256" s="185"/>
    </row>
    <row r="257" spans="1:22" ht="18" customHeight="1">
      <c r="A257" s="184"/>
      <c r="F257" s="244"/>
      <c r="H257" s="18"/>
      <c r="V257" s="185"/>
    </row>
    <row r="258" spans="1:22" ht="18" customHeight="1">
      <c r="A258" s="184"/>
      <c r="F258" s="244"/>
      <c r="H258" s="18"/>
      <c r="V258" s="185"/>
    </row>
    <row r="259" spans="1:22" ht="18" customHeight="1">
      <c r="A259" s="184"/>
      <c r="F259" s="244"/>
      <c r="H259" s="18"/>
      <c r="V259" s="185"/>
    </row>
    <row r="260" spans="1:22" ht="18" customHeight="1">
      <c r="A260" s="184"/>
      <c r="F260" s="244"/>
      <c r="H260" s="18"/>
      <c r="V260" s="185"/>
    </row>
    <row r="261" spans="1:22" ht="18" customHeight="1">
      <c r="A261" s="184"/>
      <c r="F261" s="244"/>
      <c r="H261" s="18"/>
      <c r="V261" s="185"/>
    </row>
    <row r="262" spans="1:22" ht="18" customHeight="1">
      <c r="A262" s="184"/>
      <c r="F262" s="244"/>
      <c r="H262" s="18"/>
      <c r="V262" s="185"/>
    </row>
    <row r="263" spans="1:22" ht="18" customHeight="1">
      <c r="A263" s="184"/>
      <c r="F263" s="244"/>
      <c r="H263" s="18"/>
      <c r="V263" s="185"/>
    </row>
    <row r="264" spans="1:22" ht="18" customHeight="1">
      <c r="A264" s="184"/>
      <c r="F264" s="244"/>
      <c r="H264" s="18"/>
      <c r="V264" s="185"/>
    </row>
    <row r="265" spans="1:22" ht="18" customHeight="1">
      <c r="A265" s="184"/>
      <c r="F265" s="244"/>
      <c r="H265" s="18"/>
      <c r="V265" s="185"/>
    </row>
    <row r="266" spans="1:22" ht="18" customHeight="1">
      <c r="A266" s="184"/>
      <c r="F266" s="244"/>
      <c r="H266" s="18"/>
      <c r="V266" s="185"/>
    </row>
    <row r="267" spans="1:22" ht="18" customHeight="1">
      <c r="A267" s="184"/>
      <c r="F267" s="244"/>
      <c r="H267" s="18"/>
      <c r="V267" s="185"/>
    </row>
    <row r="268" spans="1:22" ht="18" customHeight="1">
      <c r="A268" s="184"/>
      <c r="F268" s="244"/>
      <c r="H268" s="18"/>
      <c r="V268" s="185"/>
    </row>
    <row r="269" spans="1:22" ht="18" customHeight="1">
      <c r="A269" s="184"/>
      <c r="F269" s="244"/>
      <c r="H269" s="18"/>
      <c r="V269" s="185"/>
    </row>
    <row r="270" spans="1:22" ht="18" customHeight="1">
      <c r="A270" s="184"/>
      <c r="F270" s="244"/>
      <c r="H270" s="18"/>
      <c r="V270" s="185"/>
    </row>
    <row r="271" spans="1:22" ht="18" customHeight="1">
      <c r="A271" s="184"/>
      <c r="F271" s="244"/>
      <c r="H271" s="18"/>
      <c r="V271" s="185"/>
    </row>
    <row r="272" spans="1:22" s="14" customFormat="1" ht="18" hidden="1" customHeight="1">
      <c r="A272" s="194"/>
      <c r="B272" s="195"/>
      <c r="C272" s="195"/>
      <c r="D272" s="195"/>
      <c r="E272" s="195"/>
      <c r="F272" s="195"/>
      <c r="G272" s="195"/>
      <c r="H272" s="195"/>
      <c r="I272" s="195"/>
      <c r="J272" s="195"/>
      <c r="K272" s="195"/>
      <c r="L272" s="195"/>
      <c r="M272" s="195"/>
      <c r="N272" s="195"/>
      <c r="O272" s="195"/>
      <c r="P272" s="195"/>
      <c r="Q272" s="224"/>
      <c r="R272" s="182"/>
      <c r="S272" s="225"/>
      <c r="T272" s="195"/>
      <c r="U272" s="195"/>
      <c r="V272" s="134"/>
    </row>
    <row r="273" spans="1:29" ht="18" hidden="1" customHeight="1">
      <c r="A273" s="226"/>
      <c r="B273" s="227"/>
      <c r="C273" s="227"/>
      <c r="D273" s="227"/>
      <c r="E273" s="227"/>
      <c r="F273" s="227"/>
      <c r="G273" s="227"/>
      <c r="H273" s="227"/>
      <c r="I273" s="227"/>
      <c r="J273" s="227"/>
      <c r="K273" s="227"/>
      <c r="L273" s="227"/>
      <c r="M273" s="227"/>
      <c r="N273" s="227"/>
      <c r="O273" s="227"/>
      <c r="P273" s="227"/>
      <c r="Q273" s="227"/>
      <c r="R273" s="227"/>
      <c r="S273" s="227"/>
      <c r="T273" s="227"/>
      <c r="U273" s="227"/>
      <c r="V273" s="228"/>
    </row>
    <row r="274" spans="1:29" ht="18" hidden="1" customHeight="1">
      <c r="A274" s="184"/>
      <c r="B274" s="854" t="str">
        <f>B143</f>
        <v>T1</v>
      </c>
      <c r="C274" s="831"/>
      <c r="D274" s="855" t="str">
        <f>D143</f>
        <v>Core1</v>
      </c>
      <c r="E274" s="856"/>
      <c r="F274" s="186" t="s">
        <v>631</v>
      </c>
      <c r="H274" s="684" t="str">
        <f>H143</f>
        <v>(Transformer Differential)</v>
      </c>
      <c r="I274" s="684"/>
      <c r="J274" s="684"/>
      <c r="K274" s="684"/>
      <c r="L274" s="684"/>
      <c r="M274" s="684"/>
      <c r="P274" s="186"/>
      <c r="S274" s="187" t="s">
        <v>387</v>
      </c>
      <c r="T274" s="854" t="str">
        <f>T143</f>
        <v>RET670</v>
      </c>
      <c r="U274" s="831"/>
      <c r="V274" s="185"/>
    </row>
    <row r="275" spans="1:29" ht="18" hidden="1" customHeight="1">
      <c r="A275" s="184"/>
      <c r="B275" s="853">
        <f>B144</f>
        <v>0</v>
      </c>
      <c r="C275" s="853"/>
      <c r="D275" s="857"/>
      <c r="E275" s="858"/>
      <c r="F275" s="255"/>
      <c r="T275" s="854">
        <f>T144</f>
        <v>0</v>
      </c>
      <c r="U275" s="831"/>
      <c r="V275" s="185"/>
    </row>
    <row r="276" spans="1:29" ht="18" hidden="1" customHeight="1">
      <c r="A276" s="184"/>
      <c r="H276" s="708" t="s">
        <v>390</v>
      </c>
      <c r="I276" s="708"/>
      <c r="J276" s="708" t="s">
        <v>391</v>
      </c>
      <c r="K276" s="708"/>
      <c r="L276" s="789" t="s">
        <v>392</v>
      </c>
      <c r="M276" s="789"/>
      <c r="T276" s="854">
        <f>T145</f>
        <v>0</v>
      </c>
      <c r="U276" s="831"/>
      <c r="V276" s="185"/>
    </row>
    <row r="277" spans="1:29" ht="18" hidden="1" customHeight="1">
      <c r="A277" s="184"/>
      <c r="B277" s="47" t="s">
        <v>393</v>
      </c>
      <c r="H277" s="854">
        <f>H146</f>
        <v>2800</v>
      </c>
      <c r="I277" s="831"/>
      <c r="J277" s="854">
        <f>J146</f>
        <v>3200</v>
      </c>
      <c r="K277" s="831"/>
      <c r="L277" s="863" t="str">
        <f>L146</f>
        <v>-</v>
      </c>
      <c r="M277" s="864"/>
      <c r="N277" s="102" t="s">
        <v>342</v>
      </c>
      <c r="O277" s="256">
        <f>O146</f>
        <v>1</v>
      </c>
      <c r="P277" s="27" t="s">
        <v>8</v>
      </c>
      <c r="V277" s="185"/>
    </row>
    <row r="278" spans="1:29" ht="18" hidden="1" customHeight="1">
      <c r="A278" s="184"/>
      <c r="B278" s="47" t="s">
        <v>394</v>
      </c>
      <c r="H278" s="14"/>
      <c r="I278" s="14"/>
      <c r="L278" s="854" t="str">
        <f>J147</f>
        <v>PX</v>
      </c>
      <c r="M278" s="831"/>
      <c r="V278" s="185"/>
    </row>
    <row r="279" spans="1:29" ht="18" hidden="1" customHeight="1">
      <c r="A279" s="184"/>
      <c r="B279" s="47" t="s">
        <v>396</v>
      </c>
      <c r="K279" s="120" t="s">
        <v>497</v>
      </c>
      <c r="L279" s="781" t="s">
        <v>6</v>
      </c>
      <c r="M279" s="782"/>
      <c r="N279" s="192" t="s">
        <v>333</v>
      </c>
      <c r="V279" s="185"/>
    </row>
    <row r="280" spans="1:29" ht="18" hidden="1" customHeight="1">
      <c r="A280" s="184"/>
      <c r="B280" s="47" t="s">
        <v>398</v>
      </c>
      <c r="K280" s="120" t="s">
        <v>498</v>
      </c>
      <c r="L280" s="781" t="s">
        <v>6</v>
      </c>
      <c r="M280" s="782"/>
      <c r="N280" s="14" t="s">
        <v>305</v>
      </c>
      <c r="V280" s="185"/>
      <c r="W280" s="30" t="s">
        <v>400</v>
      </c>
      <c r="AB280" s="785" t="e">
        <f>Q369</f>
        <v>#VALUE!</v>
      </c>
      <c r="AC280" s="786"/>
    </row>
    <row r="281" spans="1:29" ht="18" hidden="1" customHeight="1">
      <c r="A281" s="184"/>
      <c r="B281" s="14" t="s">
        <v>401</v>
      </c>
      <c r="K281" s="120" t="s">
        <v>402</v>
      </c>
      <c r="L281" s="781" t="s">
        <v>6</v>
      </c>
      <c r="M281" s="782"/>
      <c r="N281" s="14" t="s">
        <v>403</v>
      </c>
      <c r="V281" s="185"/>
    </row>
    <row r="282" spans="1:29" ht="18" hidden="1" customHeight="1">
      <c r="A282" s="184"/>
      <c r="V282" s="185"/>
    </row>
    <row r="283" spans="1:29" ht="18" hidden="1" customHeight="1">
      <c r="A283" s="193" t="s">
        <v>404</v>
      </c>
      <c r="V283" s="185"/>
    </row>
    <row r="284" spans="1:29" ht="18" hidden="1" customHeight="1">
      <c r="A284" s="184"/>
      <c r="V284" s="185"/>
    </row>
    <row r="285" spans="1:29" ht="18" hidden="1" customHeight="1">
      <c r="A285" s="184"/>
      <c r="B285" s="194" t="s">
        <v>405</v>
      </c>
      <c r="C285" s="195"/>
      <c r="D285" s="195" t="str">
        <f>T274</f>
        <v>RET670</v>
      </c>
      <c r="E285" s="196"/>
      <c r="F285" s="196"/>
      <c r="G285" s="196"/>
      <c r="H285" s="182" t="s">
        <v>406</v>
      </c>
      <c r="I285" s="183" t="s">
        <v>127</v>
      </c>
      <c r="J285" s="766">
        <f>J154</f>
        <v>0.02</v>
      </c>
      <c r="K285" s="958"/>
      <c r="L285" s="3" t="s">
        <v>157</v>
      </c>
      <c r="N285" s="197" t="s">
        <v>407</v>
      </c>
      <c r="V285" s="185"/>
    </row>
    <row r="286" spans="1:29" ht="18" hidden="1" customHeight="1">
      <c r="A286" s="184"/>
      <c r="B286" s="96" t="s">
        <v>405</v>
      </c>
      <c r="D286" s="30">
        <f>T275</f>
        <v>0</v>
      </c>
      <c r="H286" s="27"/>
      <c r="I286" s="177" t="s">
        <v>127</v>
      </c>
      <c r="J286" s="861">
        <f>J155</f>
        <v>0</v>
      </c>
      <c r="K286" s="989"/>
      <c r="L286" s="198" t="s">
        <v>157</v>
      </c>
      <c r="V286" s="185"/>
    </row>
    <row r="287" spans="1:29" ht="18" hidden="1" customHeight="1">
      <c r="A287" s="184"/>
      <c r="B287" s="96" t="s">
        <v>405</v>
      </c>
      <c r="D287" s="30">
        <f>T276</f>
        <v>0</v>
      </c>
      <c r="E287" s="14"/>
      <c r="G287" s="199"/>
      <c r="H287" s="27"/>
      <c r="I287" s="177" t="s">
        <v>127</v>
      </c>
      <c r="J287" s="696">
        <f>J156</f>
        <v>0</v>
      </c>
      <c r="K287" s="820"/>
      <c r="L287" s="202" t="s">
        <v>157</v>
      </c>
      <c r="N287" s="30" t="s">
        <v>408</v>
      </c>
      <c r="O287" s="27" t="s">
        <v>127</v>
      </c>
      <c r="P287" s="30" t="s">
        <v>409</v>
      </c>
      <c r="Q287" s="191" t="s">
        <v>410</v>
      </c>
      <c r="R287" s="244" t="s">
        <v>411</v>
      </c>
      <c r="S287" s="27" t="s">
        <v>315</v>
      </c>
      <c r="T287" s="30" t="s">
        <v>411</v>
      </c>
      <c r="U287" s="30" t="s">
        <v>350</v>
      </c>
      <c r="V287" s="185"/>
    </row>
    <row r="288" spans="1:29" ht="18" hidden="1" customHeight="1">
      <c r="A288" s="184"/>
      <c r="B288" s="184" t="s">
        <v>412</v>
      </c>
      <c r="H288" s="27" t="s">
        <v>599</v>
      </c>
      <c r="I288" s="177" t="s">
        <v>127</v>
      </c>
      <c r="J288" s="861">
        <f>J157</f>
        <v>1.25652618</v>
      </c>
      <c r="K288" s="989"/>
      <c r="L288" s="203" t="s">
        <v>157</v>
      </c>
      <c r="O288" s="27" t="s">
        <v>127</v>
      </c>
      <c r="P288" s="204">
        <f>J289</f>
        <v>1.25652618</v>
      </c>
      <c r="Q288" s="191" t="s">
        <v>410</v>
      </c>
      <c r="R288" s="27">
        <f>O277</f>
        <v>1</v>
      </c>
      <c r="S288" s="27" t="s">
        <v>315</v>
      </c>
      <c r="T288" s="27">
        <f>O277</f>
        <v>1</v>
      </c>
      <c r="U288" s="30" t="s">
        <v>350</v>
      </c>
      <c r="V288" s="185"/>
    </row>
    <row r="289" spans="1:22" ht="18" hidden="1" customHeight="1">
      <c r="A289" s="184"/>
      <c r="B289" s="205" t="s">
        <v>413</v>
      </c>
      <c r="C289" s="206"/>
      <c r="D289" s="206"/>
      <c r="E289" s="206"/>
      <c r="F289" s="207"/>
      <c r="G289" s="207"/>
      <c r="H289" s="190" t="s">
        <v>409</v>
      </c>
      <c r="I289" s="208" t="s">
        <v>127</v>
      </c>
      <c r="J289" s="766">
        <f>J286+J288</f>
        <v>1.25652618</v>
      </c>
      <c r="K289" s="958"/>
      <c r="L289" s="210" t="s">
        <v>157</v>
      </c>
      <c r="O289" s="27" t="s">
        <v>127</v>
      </c>
      <c r="P289" s="795">
        <f>P288/(R288*T288)</f>
        <v>1.25652618</v>
      </c>
      <c r="Q289" s="795"/>
      <c r="R289" s="192" t="s">
        <v>333</v>
      </c>
      <c r="V289" s="185"/>
    </row>
    <row r="290" spans="1:22" ht="18" hidden="1" customHeight="1">
      <c r="A290" s="184"/>
      <c r="V290" s="185"/>
    </row>
    <row r="291" spans="1:22" s="14" customFormat="1" ht="18" hidden="1" customHeight="1">
      <c r="A291" s="193" t="s">
        <v>600</v>
      </c>
      <c r="B291" s="5"/>
      <c r="C291" s="5"/>
      <c r="D291" s="5"/>
      <c r="E291" s="5"/>
      <c r="F291" s="5"/>
      <c r="G291" s="5"/>
      <c r="H291" s="212"/>
      <c r="I291" s="212"/>
      <c r="J291" s="5"/>
      <c r="K291" s="5"/>
      <c r="L291" s="5"/>
      <c r="M291" s="5"/>
      <c r="N291" s="5"/>
      <c r="O291" s="5"/>
      <c r="P291" s="103"/>
      <c r="Q291" s="212"/>
      <c r="R291" s="213"/>
      <c r="S291" s="214"/>
      <c r="T291" s="18"/>
      <c r="U291" s="18"/>
      <c r="V291" s="97"/>
    </row>
    <row r="292" spans="1:22" s="14" customFormat="1" ht="18" hidden="1" customHeight="1">
      <c r="A292" s="96"/>
      <c r="B292" s="47" t="s">
        <v>601</v>
      </c>
      <c r="C292" s="5"/>
      <c r="D292" s="5"/>
      <c r="E292" s="5"/>
      <c r="I292" s="215"/>
      <c r="M292" s="5"/>
      <c r="O292" s="103" t="s">
        <v>127</v>
      </c>
      <c r="P292" s="853">
        <f>P161</f>
        <v>100</v>
      </c>
      <c r="Q292" s="1271"/>
      <c r="R292" s="14" t="s">
        <v>602</v>
      </c>
      <c r="S292" s="214"/>
      <c r="T292" s="18"/>
      <c r="U292" s="18"/>
      <c r="V292" s="97"/>
    </row>
    <row r="293" spans="1:22" s="14" customFormat="1" ht="18" hidden="1" customHeight="1">
      <c r="A293" s="96"/>
      <c r="B293" s="47" t="s">
        <v>603</v>
      </c>
      <c r="C293" s="5"/>
      <c r="D293" s="5"/>
      <c r="E293" s="5"/>
      <c r="I293" s="215"/>
      <c r="M293" s="5"/>
      <c r="O293" s="103" t="s">
        <v>127</v>
      </c>
      <c r="P293" s="853">
        <f>P162</f>
        <v>25</v>
      </c>
      <c r="Q293" s="1271"/>
      <c r="R293" s="14" t="s">
        <v>604</v>
      </c>
      <c r="S293" s="214"/>
      <c r="T293" s="18"/>
      <c r="U293" s="18"/>
      <c r="V293" s="97"/>
    </row>
    <row r="294" spans="1:22" s="14" customFormat="1" ht="18" hidden="1" customHeight="1">
      <c r="A294" s="96"/>
      <c r="B294" s="47" t="s">
        <v>605</v>
      </c>
      <c r="C294" s="5"/>
      <c r="D294" s="5"/>
      <c r="E294" s="5"/>
      <c r="N294" s="120" t="s">
        <v>606</v>
      </c>
      <c r="O294" s="103" t="s">
        <v>607</v>
      </c>
      <c r="P294" s="854">
        <f>P163</f>
        <v>132</v>
      </c>
      <c r="Q294" s="1270"/>
      <c r="R294" s="14" t="s">
        <v>163</v>
      </c>
      <c r="S294" s="214"/>
      <c r="T294" s="18"/>
      <c r="U294" s="18"/>
      <c r="V294" s="97"/>
    </row>
    <row r="295" spans="1:22" s="14" customFormat="1" ht="18" hidden="1" customHeight="1">
      <c r="A295" s="216"/>
      <c r="B295" s="212"/>
      <c r="C295" s="212"/>
      <c r="D295" s="212"/>
      <c r="E295" s="212"/>
      <c r="T295" s="18"/>
      <c r="U295" s="18"/>
      <c r="V295" s="97"/>
    </row>
    <row r="296" spans="1:22" s="14" customFormat="1" ht="18" hidden="1" customHeight="1">
      <c r="A296" s="96"/>
      <c r="B296" s="14" t="s">
        <v>608</v>
      </c>
      <c r="C296" s="213"/>
      <c r="D296" s="213"/>
      <c r="E296" s="213"/>
      <c r="H296" s="120" t="s">
        <v>609</v>
      </c>
      <c r="I296" s="28" t="s">
        <v>127</v>
      </c>
      <c r="J296" s="689" t="s">
        <v>610</v>
      </c>
      <c r="K296" s="689"/>
      <c r="L296" s="28" t="s">
        <v>315</v>
      </c>
      <c r="M296" s="217">
        <v>1000</v>
      </c>
      <c r="N296" s="102" t="s">
        <v>342</v>
      </c>
      <c r="O296" s="28" t="s">
        <v>611</v>
      </c>
      <c r="P296" s="28" t="s">
        <v>315</v>
      </c>
      <c r="Q296" s="28" t="s">
        <v>606</v>
      </c>
      <c r="R296" s="47"/>
      <c r="T296" s="18"/>
      <c r="U296" s="18"/>
      <c r="V296" s="97"/>
    </row>
    <row r="297" spans="1:22" s="14" customFormat="1" ht="18" hidden="1" customHeight="1">
      <c r="A297" s="216"/>
      <c r="B297" s="213"/>
      <c r="C297" s="213"/>
      <c r="D297" s="213"/>
      <c r="E297" s="213"/>
      <c r="F297" s="212"/>
      <c r="G297" s="212"/>
      <c r="H297" s="28"/>
      <c r="I297" s="28" t="s">
        <v>127</v>
      </c>
      <c r="J297" s="689">
        <f>P292</f>
        <v>100</v>
      </c>
      <c r="K297" s="689"/>
      <c r="L297" s="28" t="s">
        <v>315</v>
      </c>
      <c r="M297" s="217">
        <v>1000</v>
      </c>
      <c r="N297" s="102" t="s">
        <v>342</v>
      </c>
      <c r="O297" s="28" t="s">
        <v>611</v>
      </c>
      <c r="P297" s="28" t="s">
        <v>315</v>
      </c>
      <c r="Q297" s="28">
        <f>P294</f>
        <v>132</v>
      </c>
      <c r="R297" s="47"/>
      <c r="T297" s="18"/>
      <c r="U297" s="18"/>
      <c r="V297" s="97"/>
    </row>
    <row r="298" spans="1:22" s="14" customFormat="1" ht="18" hidden="1" customHeight="1">
      <c r="A298" s="216"/>
      <c r="B298" s="212"/>
      <c r="C298" s="212"/>
      <c r="D298" s="212"/>
      <c r="E298" s="212"/>
      <c r="F298" s="212"/>
      <c r="G298" s="212"/>
      <c r="I298" s="28" t="s">
        <v>127</v>
      </c>
      <c r="J298" s="692">
        <f>(P292*1000)/(SQRT(3)*P294)</f>
        <v>437.38656756789834</v>
      </c>
      <c r="K298" s="692"/>
      <c r="L298" s="14" t="s">
        <v>8</v>
      </c>
      <c r="M298" s="120"/>
      <c r="N298" s="120"/>
      <c r="O298" s="120"/>
      <c r="T298" s="18"/>
      <c r="U298" s="18"/>
      <c r="V298" s="97"/>
    </row>
    <row r="299" spans="1:22" s="14" customFormat="1" ht="18" hidden="1" customHeight="1">
      <c r="A299" s="216"/>
      <c r="B299" s="212"/>
      <c r="C299" s="212"/>
      <c r="D299" s="212"/>
      <c r="E299" s="212"/>
      <c r="G299" s="212"/>
      <c r="H299" s="28"/>
      <c r="I299" s="103"/>
      <c r="J299" s="28"/>
      <c r="M299" s="212"/>
      <c r="N299" s="219"/>
      <c r="O299" s="212"/>
      <c r="T299" s="18"/>
      <c r="U299" s="18"/>
      <c r="V299" s="97"/>
    </row>
    <row r="300" spans="1:22" s="14" customFormat="1" ht="18" hidden="1" customHeight="1">
      <c r="A300" s="147" t="s">
        <v>629</v>
      </c>
      <c r="B300" s="5"/>
      <c r="C300" s="5"/>
      <c r="D300" s="5"/>
      <c r="E300" s="5"/>
      <c r="F300" s="212"/>
      <c r="G300" s="212"/>
      <c r="H300" s="5"/>
      <c r="I300" s="5"/>
      <c r="J300" s="5"/>
      <c r="K300" s="5"/>
      <c r="L300" s="103"/>
      <c r="M300" s="103"/>
      <c r="N300" s="103"/>
      <c r="O300" s="103"/>
      <c r="P300" s="212"/>
      <c r="Q300" s="213"/>
      <c r="S300" s="220"/>
      <c r="T300" s="18"/>
      <c r="U300" s="18"/>
      <c r="V300" s="97"/>
    </row>
    <row r="301" spans="1:22" s="14" customFormat="1" ht="18" hidden="1" customHeight="1">
      <c r="A301" s="147"/>
      <c r="B301" s="5"/>
      <c r="C301" s="5"/>
      <c r="D301" s="5"/>
      <c r="E301" s="5"/>
      <c r="F301" s="212"/>
      <c r="G301" s="212"/>
      <c r="H301" s="5"/>
      <c r="I301" s="5"/>
      <c r="J301" s="5"/>
      <c r="K301" s="5"/>
      <c r="L301" s="103"/>
      <c r="M301" s="103"/>
      <c r="N301" s="103"/>
      <c r="O301" s="103"/>
      <c r="P301" s="212"/>
      <c r="Q301" s="213"/>
      <c r="S301" s="214"/>
      <c r="T301" s="18"/>
      <c r="U301" s="18"/>
      <c r="V301" s="97"/>
    </row>
    <row r="302" spans="1:22" ht="18" hidden="1" customHeight="1">
      <c r="A302" s="184"/>
      <c r="B302" s="14" t="s">
        <v>632</v>
      </c>
      <c r="C302" s="14"/>
      <c r="D302" s="14"/>
      <c r="E302" s="14"/>
      <c r="M302" s="120" t="s">
        <v>613</v>
      </c>
      <c r="N302" s="28" t="s">
        <v>127</v>
      </c>
      <c r="O302" s="689" t="s">
        <v>609</v>
      </c>
      <c r="P302" s="716"/>
      <c r="Q302" s="221" t="s">
        <v>630</v>
      </c>
      <c r="R302" s="221">
        <v>16</v>
      </c>
      <c r="S302" s="186"/>
      <c r="V302" s="185"/>
    </row>
    <row r="303" spans="1:22" ht="18" hidden="1" customHeight="1">
      <c r="A303" s="96"/>
      <c r="B303" s="5"/>
      <c r="C303" s="5"/>
      <c r="D303" s="5"/>
      <c r="E303" s="5"/>
      <c r="M303" s="250"/>
      <c r="N303" s="28" t="s">
        <v>127</v>
      </c>
      <c r="O303" s="692">
        <f>+J298</f>
        <v>437.38656756789834</v>
      </c>
      <c r="P303" s="1214"/>
      <c r="Q303" s="221" t="s">
        <v>630</v>
      </c>
      <c r="R303" s="221">
        <v>16</v>
      </c>
      <c r="S303" s="186"/>
      <c r="V303" s="185"/>
    </row>
    <row r="304" spans="1:22" ht="18" hidden="1" customHeight="1">
      <c r="A304" s="96"/>
      <c r="B304" s="5"/>
      <c r="C304" s="5"/>
      <c r="D304" s="5"/>
      <c r="E304" s="5"/>
      <c r="M304" s="120" t="s">
        <v>613</v>
      </c>
      <c r="N304" s="28" t="s">
        <v>127</v>
      </c>
      <c r="O304" s="689">
        <f>O303*R303</f>
        <v>6998.1850810863734</v>
      </c>
      <c r="P304" s="716"/>
      <c r="Q304" s="241" t="s">
        <v>8</v>
      </c>
      <c r="R304" s="14"/>
      <c r="S304" s="186"/>
      <c r="V304" s="185"/>
    </row>
    <row r="305" spans="1:22" ht="18" hidden="1" customHeight="1">
      <c r="A305" s="96"/>
      <c r="B305" s="5"/>
      <c r="C305" s="5"/>
      <c r="D305" s="5"/>
      <c r="E305" s="5"/>
      <c r="M305" s="212"/>
      <c r="N305" s="212"/>
      <c r="O305" s="103"/>
      <c r="Q305" s="223"/>
      <c r="R305" s="14"/>
      <c r="S305" s="214"/>
      <c r="V305" s="185"/>
    </row>
    <row r="306" spans="1:22" ht="18" hidden="1" customHeight="1">
      <c r="A306" s="678" t="s">
        <v>633</v>
      </c>
      <c r="B306" s="1207"/>
      <c r="C306" s="1207"/>
      <c r="D306" s="1207"/>
      <c r="E306" s="1207"/>
      <c r="F306" s="1207"/>
      <c r="G306" s="1207"/>
      <c r="H306" s="1207"/>
      <c r="I306" s="1207"/>
      <c r="J306" s="1207"/>
      <c r="K306" s="1207"/>
      <c r="L306" s="1207"/>
      <c r="M306" s="1207"/>
      <c r="N306" s="1207"/>
      <c r="O306" s="1207"/>
      <c r="P306" s="1207"/>
      <c r="Q306" s="1207"/>
      <c r="R306" s="1207"/>
      <c r="S306" s="1207"/>
      <c r="T306" s="1207"/>
      <c r="U306" s="1207"/>
      <c r="V306" s="1208"/>
    </row>
    <row r="307" spans="1:22" ht="18" hidden="1" customHeight="1">
      <c r="A307" s="1209"/>
      <c r="B307" s="1207"/>
      <c r="C307" s="1207"/>
      <c r="D307" s="1207"/>
      <c r="E307" s="1207"/>
      <c r="F307" s="1207"/>
      <c r="G307" s="1207"/>
      <c r="H307" s="1207"/>
      <c r="I307" s="1207"/>
      <c r="J307" s="1207"/>
      <c r="K307" s="1207"/>
      <c r="L307" s="1207"/>
      <c r="M307" s="1207"/>
      <c r="N307" s="1207"/>
      <c r="O307" s="1207"/>
      <c r="P307" s="1207"/>
      <c r="Q307" s="1207"/>
      <c r="R307" s="1207"/>
      <c r="S307" s="1207"/>
      <c r="T307" s="1207"/>
      <c r="U307" s="1207"/>
      <c r="V307" s="1208"/>
    </row>
    <row r="308" spans="1:22" ht="18" hidden="1" customHeight="1">
      <c r="A308" s="231"/>
      <c r="B308" s="232"/>
      <c r="C308" s="232"/>
      <c r="D308" s="232"/>
      <c r="E308" s="232"/>
      <c r="F308" s="232"/>
      <c r="G308" s="232"/>
      <c r="H308" s="232"/>
      <c r="I308" s="232"/>
      <c r="J308" s="232"/>
      <c r="K308" s="232"/>
      <c r="L308" s="232"/>
      <c r="M308" s="232"/>
      <c r="N308" s="232"/>
      <c r="O308" s="232"/>
      <c r="P308" s="232"/>
      <c r="Q308" s="232"/>
      <c r="R308" s="232"/>
      <c r="S308" s="232"/>
      <c r="T308" s="232"/>
      <c r="U308" s="232"/>
      <c r="V308" s="233"/>
    </row>
    <row r="309" spans="1:22" ht="18" hidden="1" customHeight="1">
      <c r="A309" s="231"/>
      <c r="B309" s="232"/>
      <c r="C309" s="232"/>
      <c r="D309" s="232"/>
      <c r="E309" s="232"/>
      <c r="F309" s="232"/>
      <c r="G309" s="232"/>
      <c r="H309" s="232"/>
      <c r="I309" s="232"/>
      <c r="J309" s="232"/>
      <c r="K309" s="232"/>
      <c r="L309" s="232"/>
      <c r="M309" s="232"/>
      <c r="N309" s="232"/>
      <c r="O309" s="232"/>
      <c r="P309" s="232"/>
      <c r="Q309" s="232"/>
      <c r="R309" s="232"/>
      <c r="S309" s="232"/>
      <c r="T309" s="232"/>
      <c r="U309" s="232"/>
      <c r="V309" s="233"/>
    </row>
    <row r="310" spans="1:22" ht="18" hidden="1" customHeight="1">
      <c r="A310" s="231"/>
      <c r="B310" s="232"/>
      <c r="C310" s="232"/>
      <c r="D310" s="232"/>
      <c r="E310" s="232"/>
      <c r="F310" s="232"/>
      <c r="G310" s="232"/>
      <c r="H310" s="232"/>
      <c r="I310" s="232"/>
      <c r="J310" s="232"/>
      <c r="K310" s="232"/>
      <c r="L310" s="232"/>
      <c r="M310" s="232"/>
      <c r="N310" s="232"/>
      <c r="O310" s="232"/>
      <c r="P310" s="232"/>
      <c r="Q310" s="232"/>
      <c r="R310" s="232"/>
      <c r="S310" s="232"/>
      <c r="T310" s="232"/>
      <c r="U310" s="232"/>
      <c r="V310" s="233"/>
    </row>
    <row r="311" spans="1:22" ht="18" hidden="1" customHeight="1">
      <c r="A311" s="231"/>
      <c r="B311" s="232"/>
      <c r="C311" s="232"/>
      <c r="D311" s="232"/>
      <c r="E311" s="232"/>
      <c r="F311" s="232"/>
      <c r="G311" s="232"/>
      <c r="H311" s="232"/>
      <c r="I311" s="232"/>
      <c r="J311" s="232"/>
      <c r="K311" s="232"/>
      <c r="L311" s="232"/>
      <c r="M311" s="232"/>
      <c r="N311" s="232"/>
      <c r="O311" s="232"/>
      <c r="P311" s="232"/>
      <c r="Q311" s="232"/>
      <c r="R311" s="232"/>
      <c r="S311" s="232"/>
      <c r="T311" s="232"/>
      <c r="U311" s="232"/>
      <c r="V311" s="233"/>
    </row>
    <row r="312" spans="1:22" ht="18" hidden="1" customHeight="1">
      <c r="A312" s="231"/>
      <c r="B312" s="232"/>
      <c r="C312" s="232"/>
      <c r="D312" s="232"/>
      <c r="E312" s="232"/>
      <c r="F312" s="232"/>
      <c r="G312" s="232"/>
      <c r="H312" s="232"/>
      <c r="I312" s="232"/>
      <c r="J312" s="232"/>
      <c r="K312" s="232"/>
      <c r="L312" s="232"/>
      <c r="M312" s="232"/>
      <c r="N312" s="232"/>
      <c r="O312" s="232"/>
      <c r="P312" s="232"/>
      <c r="Q312" s="232"/>
      <c r="R312" s="232"/>
      <c r="S312" s="232"/>
      <c r="T312" s="232"/>
      <c r="U312" s="232"/>
      <c r="V312" s="233"/>
    </row>
    <row r="313" spans="1:22" ht="18" hidden="1" customHeight="1">
      <c r="A313" s="96"/>
      <c r="B313" s="5"/>
      <c r="C313" s="5"/>
      <c r="D313" s="5"/>
      <c r="E313" s="5"/>
      <c r="M313" s="212"/>
      <c r="N313" s="212"/>
      <c r="O313" s="103"/>
      <c r="Q313" s="223"/>
      <c r="R313" s="14"/>
      <c r="S313" s="214"/>
      <c r="V313" s="185"/>
    </row>
    <row r="314" spans="1:22" ht="18" hidden="1" customHeight="1">
      <c r="A314" s="184"/>
      <c r="V314" s="185"/>
    </row>
    <row r="315" spans="1:22" ht="18" hidden="1" customHeight="1">
      <c r="A315" s="184"/>
      <c r="V315" s="185"/>
    </row>
    <row r="316" spans="1:22" s="14" customFormat="1" ht="18" hidden="1" customHeight="1">
      <c r="A316" s="194"/>
      <c r="B316" s="195"/>
      <c r="C316" s="195"/>
      <c r="D316" s="195"/>
      <c r="E316" s="195"/>
      <c r="F316" s="195"/>
      <c r="G316" s="195"/>
      <c r="H316" s="195"/>
      <c r="I316" s="195"/>
      <c r="J316" s="195"/>
      <c r="K316" s="195"/>
      <c r="L316" s="195"/>
      <c r="M316" s="195"/>
      <c r="N316" s="195"/>
      <c r="O316" s="195"/>
      <c r="P316" s="195"/>
      <c r="Q316" s="224"/>
      <c r="R316" s="182"/>
      <c r="S316" s="225"/>
      <c r="T316" s="195"/>
      <c r="U316" s="195"/>
      <c r="V316" s="134"/>
    </row>
    <row r="317" spans="1:22" ht="18" hidden="1" customHeight="1">
      <c r="A317" s="226"/>
      <c r="B317" s="227"/>
      <c r="C317" s="227"/>
      <c r="D317" s="227"/>
      <c r="E317" s="227"/>
      <c r="F317" s="227"/>
      <c r="G317" s="227"/>
      <c r="H317" s="227"/>
      <c r="I317" s="227"/>
      <c r="J317" s="227"/>
      <c r="K317" s="227"/>
      <c r="L317" s="227"/>
      <c r="M317" s="227"/>
      <c r="N317" s="227"/>
      <c r="O317" s="227"/>
      <c r="P317" s="227"/>
      <c r="Q317" s="227"/>
      <c r="R317" s="227"/>
      <c r="S317" s="227"/>
      <c r="T317" s="227"/>
      <c r="U317" s="227"/>
      <c r="V317" s="228"/>
    </row>
    <row r="318" spans="1:22" ht="18" hidden="1" customHeight="1">
      <c r="A318" s="799" t="s">
        <v>417</v>
      </c>
      <c r="B318" s="802"/>
      <c r="C318" s="802"/>
      <c r="D318" s="689">
        <v>30</v>
      </c>
      <c r="E318" s="689" t="s">
        <v>315</v>
      </c>
      <c r="F318" s="689" t="s">
        <v>609</v>
      </c>
      <c r="G318" s="684"/>
      <c r="H318" s="689" t="s">
        <v>315</v>
      </c>
      <c r="I318" s="708" t="s">
        <v>411</v>
      </c>
      <c r="J318" s="828"/>
      <c r="K318" s="689" t="s">
        <v>315</v>
      </c>
      <c r="L318" s="802" t="s">
        <v>419</v>
      </c>
      <c r="M318" s="716" t="s">
        <v>420</v>
      </c>
      <c r="N318" s="729" t="s">
        <v>347</v>
      </c>
      <c r="O318" s="716" t="s">
        <v>408</v>
      </c>
      <c r="P318" s="689" t="s">
        <v>347</v>
      </c>
      <c r="Q318" s="759" t="s">
        <v>421</v>
      </c>
      <c r="R318" s="797"/>
      <c r="S318" s="797"/>
      <c r="T318" s="798" t="s">
        <v>350</v>
      </c>
      <c r="U318" s="230" t="s">
        <v>422</v>
      </c>
      <c r="V318" s="97"/>
    </row>
    <row r="319" spans="1:22" ht="18" hidden="1" customHeight="1">
      <c r="A319" s="827"/>
      <c r="B319" s="802"/>
      <c r="C319" s="802"/>
      <c r="D319" s="689"/>
      <c r="E319" s="689"/>
      <c r="F319" s="684"/>
      <c r="G319" s="684"/>
      <c r="H319" s="689"/>
      <c r="I319" s="689" t="s">
        <v>423</v>
      </c>
      <c r="J319" s="723"/>
      <c r="K319" s="689"/>
      <c r="L319" s="802"/>
      <c r="M319" s="716"/>
      <c r="N319" s="729"/>
      <c r="O319" s="716"/>
      <c r="P319" s="689"/>
      <c r="Q319" s="28" t="s">
        <v>146</v>
      </c>
      <c r="R319" s="28" t="s">
        <v>315</v>
      </c>
      <c r="S319" s="28" t="s">
        <v>146</v>
      </c>
      <c r="T319" s="798"/>
      <c r="U319" s="14"/>
      <c r="V319" s="97"/>
    </row>
    <row r="320" spans="1:22" ht="18" hidden="1" customHeight="1">
      <c r="A320" s="184"/>
      <c r="V320" s="185"/>
    </row>
    <row r="321" spans="1:22" ht="18" hidden="1" customHeight="1">
      <c r="A321" s="799" t="s">
        <v>417</v>
      </c>
      <c r="B321" s="802"/>
      <c r="C321" s="802"/>
      <c r="D321" s="689">
        <v>2</v>
      </c>
      <c r="E321" s="689" t="s">
        <v>315</v>
      </c>
      <c r="F321" s="689" t="s">
        <v>613</v>
      </c>
      <c r="G321" s="684"/>
      <c r="H321" s="689" t="s">
        <v>315</v>
      </c>
      <c r="I321" s="708" t="s">
        <v>411</v>
      </c>
      <c r="J321" s="828"/>
      <c r="K321" s="689" t="s">
        <v>315</v>
      </c>
      <c r="L321" s="802" t="s">
        <v>419</v>
      </c>
      <c r="M321" s="716" t="s">
        <v>420</v>
      </c>
      <c r="N321" s="729" t="s">
        <v>347</v>
      </c>
      <c r="O321" s="716" t="s">
        <v>408</v>
      </c>
      <c r="P321" s="689" t="s">
        <v>347</v>
      </c>
      <c r="Q321" s="759" t="s">
        <v>421</v>
      </c>
      <c r="R321" s="797"/>
      <c r="S321" s="797"/>
      <c r="T321" s="798" t="s">
        <v>350</v>
      </c>
      <c r="U321" s="230" t="s">
        <v>426</v>
      </c>
      <c r="V321" s="97"/>
    </row>
    <row r="322" spans="1:22" ht="18" hidden="1" customHeight="1">
      <c r="A322" s="827"/>
      <c r="B322" s="802"/>
      <c r="C322" s="802"/>
      <c r="D322" s="689"/>
      <c r="E322" s="689"/>
      <c r="F322" s="684"/>
      <c r="G322" s="684"/>
      <c r="H322" s="689"/>
      <c r="I322" s="689" t="s">
        <v>423</v>
      </c>
      <c r="J322" s="723"/>
      <c r="K322" s="689"/>
      <c r="L322" s="802"/>
      <c r="M322" s="716"/>
      <c r="N322" s="729"/>
      <c r="O322" s="716"/>
      <c r="P322" s="689"/>
      <c r="Q322" s="28" t="s">
        <v>146</v>
      </c>
      <c r="R322" s="28" t="s">
        <v>315</v>
      </c>
      <c r="S322" s="28" t="s">
        <v>146</v>
      </c>
      <c r="T322" s="798"/>
      <c r="U322" s="14"/>
      <c r="V322" s="97"/>
    </row>
    <row r="323" spans="1:22" ht="18" hidden="1" customHeight="1">
      <c r="A323" s="184"/>
      <c r="V323" s="185"/>
    </row>
    <row r="324" spans="1:22" ht="18" hidden="1" customHeight="1">
      <c r="A324" s="678" t="s">
        <v>616</v>
      </c>
      <c r="B324" s="1207"/>
      <c r="C324" s="1207"/>
      <c r="D324" s="1207"/>
      <c r="E324" s="1207"/>
      <c r="F324" s="1207"/>
      <c r="G324" s="1207"/>
      <c r="H324" s="1207"/>
      <c r="I324" s="1207"/>
      <c r="J324" s="1207"/>
      <c r="K324" s="1207"/>
      <c r="L324" s="1207"/>
      <c r="M324" s="1207"/>
      <c r="N324" s="1207"/>
      <c r="O324" s="1207"/>
      <c r="P324" s="1207"/>
      <c r="Q324" s="1207"/>
      <c r="R324" s="1207"/>
      <c r="S324" s="1207"/>
      <c r="T324" s="1207"/>
      <c r="U324" s="1207"/>
      <c r="V324" s="1208"/>
    </row>
    <row r="325" spans="1:22" ht="18" hidden="1" customHeight="1">
      <c r="A325" s="1209"/>
      <c r="B325" s="1207"/>
      <c r="C325" s="1207"/>
      <c r="D325" s="1207"/>
      <c r="E325" s="1207"/>
      <c r="F325" s="1207"/>
      <c r="G325" s="1207"/>
      <c r="H325" s="1207"/>
      <c r="I325" s="1207"/>
      <c r="J325" s="1207"/>
      <c r="K325" s="1207"/>
      <c r="L325" s="1207"/>
      <c r="M325" s="1207"/>
      <c r="N325" s="1207"/>
      <c r="O325" s="1207"/>
      <c r="P325" s="1207"/>
      <c r="Q325" s="1207"/>
      <c r="R325" s="1207"/>
      <c r="S325" s="1207"/>
      <c r="T325" s="1207"/>
      <c r="U325" s="1207"/>
      <c r="V325" s="1208"/>
    </row>
    <row r="326" spans="1:22" ht="18" hidden="1" customHeight="1">
      <c r="A326" s="231"/>
      <c r="B326" s="232"/>
      <c r="C326" s="232"/>
      <c r="D326" s="232"/>
      <c r="E326" s="232"/>
      <c r="F326" s="232"/>
      <c r="G326" s="232"/>
      <c r="H326" s="232"/>
      <c r="I326" s="232"/>
      <c r="J326" s="232"/>
      <c r="K326" s="232"/>
      <c r="L326" s="232"/>
      <c r="M326" s="232"/>
      <c r="N326" s="232"/>
      <c r="O326" s="232"/>
      <c r="P326" s="232"/>
      <c r="Q326" s="232"/>
      <c r="R326" s="232"/>
      <c r="S326" s="232"/>
      <c r="T326" s="232"/>
      <c r="U326" s="232"/>
      <c r="V326" s="233"/>
    </row>
    <row r="327" spans="1:22" ht="18" hidden="1" customHeight="1">
      <c r="A327" s="799" t="s">
        <v>417</v>
      </c>
      <c r="B327" s="802"/>
      <c r="C327" s="802"/>
      <c r="D327" s="689"/>
      <c r="E327" s="689"/>
      <c r="F327" s="689" t="s">
        <v>617</v>
      </c>
      <c r="G327" s="684"/>
      <c r="H327" s="689" t="s">
        <v>315</v>
      </c>
      <c r="I327" s="708" t="s">
        <v>411</v>
      </c>
      <c r="J327" s="828"/>
      <c r="K327" s="689" t="s">
        <v>315</v>
      </c>
      <c r="L327" s="802" t="s">
        <v>419</v>
      </c>
      <c r="M327" s="716" t="s">
        <v>420</v>
      </c>
      <c r="N327" s="729" t="s">
        <v>347</v>
      </c>
      <c r="O327" s="716" t="s">
        <v>408</v>
      </c>
      <c r="P327" s="689" t="s">
        <v>347</v>
      </c>
      <c r="Q327" s="759" t="s">
        <v>421</v>
      </c>
      <c r="R327" s="797"/>
      <c r="S327" s="797"/>
      <c r="T327" s="798" t="s">
        <v>350</v>
      </c>
      <c r="U327" s="230" t="s">
        <v>618</v>
      </c>
      <c r="V327" s="97"/>
    </row>
    <row r="328" spans="1:22" ht="18" hidden="1" customHeight="1">
      <c r="A328" s="827"/>
      <c r="B328" s="802"/>
      <c r="C328" s="802"/>
      <c r="D328" s="689"/>
      <c r="E328" s="689"/>
      <c r="F328" s="684"/>
      <c r="G328" s="684"/>
      <c r="H328" s="689"/>
      <c r="I328" s="689" t="s">
        <v>423</v>
      </c>
      <c r="J328" s="723"/>
      <c r="K328" s="689"/>
      <c r="L328" s="802"/>
      <c r="M328" s="716"/>
      <c r="N328" s="729"/>
      <c r="O328" s="716"/>
      <c r="P328" s="689"/>
      <c r="Q328" s="28" t="s">
        <v>146</v>
      </c>
      <c r="R328" s="28" t="s">
        <v>315</v>
      </c>
      <c r="S328" s="28" t="s">
        <v>146</v>
      </c>
      <c r="T328" s="798"/>
      <c r="U328" s="14"/>
      <c r="V328" s="97"/>
    </row>
    <row r="329" spans="1:22" ht="18" hidden="1" customHeight="1">
      <c r="A329" s="96"/>
      <c r="B329" s="14"/>
      <c r="C329" s="14"/>
      <c r="D329" s="28"/>
      <c r="E329" s="28"/>
      <c r="F329" s="27"/>
      <c r="G329" s="27"/>
      <c r="H329" s="28"/>
      <c r="I329" s="28"/>
      <c r="K329" s="28"/>
      <c r="L329" s="120"/>
      <c r="M329" s="14"/>
      <c r="N329" s="102"/>
      <c r="O329" s="14"/>
      <c r="P329" s="28"/>
      <c r="Q329" s="28"/>
      <c r="R329" s="28"/>
      <c r="S329" s="28"/>
      <c r="T329" s="40"/>
      <c r="U329" s="14"/>
      <c r="V329" s="97"/>
    </row>
    <row r="330" spans="1:22" ht="18" hidden="1" customHeight="1">
      <c r="A330" s="184"/>
      <c r="H330" s="30" t="s">
        <v>619</v>
      </c>
      <c r="M330" s="854" t="str">
        <f>M195</f>
        <v>N</v>
      </c>
      <c r="N330" s="831"/>
      <c r="V330" s="185"/>
    </row>
    <row r="331" spans="1:22" ht="18" hidden="1" customHeight="1">
      <c r="A331" s="96"/>
      <c r="B331" s="14"/>
      <c r="C331" s="14"/>
      <c r="D331" s="28"/>
      <c r="E331" s="28"/>
      <c r="F331" s="27"/>
      <c r="G331" s="27"/>
      <c r="H331" s="28"/>
      <c r="I331" s="28"/>
      <c r="K331" s="28"/>
      <c r="L331" s="120"/>
      <c r="M331" s="14"/>
      <c r="N331" s="102"/>
      <c r="O331" s="14"/>
      <c r="P331" s="28"/>
      <c r="Q331" s="28"/>
      <c r="R331" s="28"/>
      <c r="S331" s="28"/>
      <c r="T331" s="40"/>
      <c r="U331" s="14"/>
      <c r="V331" s="97"/>
    </row>
    <row r="332" spans="1:22" ht="18" hidden="1" customHeight="1">
      <c r="A332" s="184"/>
      <c r="B332" s="14" t="s">
        <v>427</v>
      </c>
      <c r="C332" s="14"/>
      <c r="D332" s="103"/>
      <c r="E332" s="103"/>
      <c r="F332" s="14"/>
      <c r="G332" s="14"/>
      <c r="H332" s="5"/>
      <c r="I332" s="5"/>
      <c r="J332" s="5"/>
      <c r="P332" s="120" t="s">
        <v>428</v>
      </c>
      <c r="V332" s="185"/>
    </row>
    <row r="333" spans="1:22" ht="18" hidden="1" customHeight="1">
      <c r="A333" s="184"/>
      <c r="B333" s="14" t="s">
        <v>429</v>
      </c>
      <c r="C333" s="14"/>
      <c r="D333" s="103"/>
      <c r="E333" s="103"/>
      <c r="F333" s="14"/>
      <c r="G333" s="14"/>
      <c r="H333" s="5"/>
      <c r="I333" s="5"/>
      <c r="J333" s="5"/>
      <c r="P333" s="120" t="s">
        <v>430</v>
      </c>
      <c r="Q333" s="234" t="s">
        <v>127</v>
      </c>
      <c r="R333" s="684" t="str">
        <f>L277</f>
        <v>-</v>
      </c>
      <c r="S333" s="684"/>
      <c r="T333" s="14" t="s">
        <v>8</v>
      </c>
      <c r="V333" s="185"/>
    </row>
    <row r="334" spans="1:22" ht="18" hidden="1" customHeight="1">
      <c r="A334" s="184"/>
      <c r="B334" s="14" t="s">
        <v>621</v>
      </c>
      <c r="C334" s="14"/>
      <c r="D334" s="14"/>
      <c r="E334" s="14"/>
      <c r="F334" s="14"/>
      <c r="G334" s="14"/>
      <c r="H334" s="14"/>
      <c r="I334" s="14"/>
      <c r="J334" s="14"/>
      <c r="P334" s="120" t="s">
        <v>609</v>
      </c>
      <c r="Q334" s="234" t="s">
        <v>127</v>
      </c>
      <c r="R334" s="684">
        <f>J298</f>
        <v>437.38656756789834</v>
      </c>
      <c r="S334" s="684"/>
      <c r="T334" s="14" t="s">
        <v>8</v>
      </c>
      <c r="V334" s="185"/>
    </row>
    <row r="335" spans="1:22" ht="18" hidden="1" customHeight="1">
      <c r="A335" s="184"/>
      <c r="B335" s="14" t="s">
        <v>622</v>
      </c>
      <c r="C335" s="14"/>
      <c r="D335" s="14"/>
      <c r="E335" s="14"/>
      <c r="F335" s="14"/>
      <c r="G335" s="14"/>
      <c r="H335" s="14"/>
      <c r="I335" s="14"/>
      <c r="J335" s="14"/>
      <c r="P335" s="120" t="s">
        <v>613</v>
      </c>
      <c r="Q335" s="234" t="s">
        <v>127</v>
      </c>
      <c r="R335" s="684">
        <f>O304</f>
        <v>6998.1850810863734</v>
      </c>
      <c r="S335" s="684"/>
      <c r="T335" s="14" t="s">
        <v>8</v>
      </c>
      <c r="V335" s="185"/>
    </row>
    <row r="336" spans="1:22" ht="18" hidden="1" customHeight="1">
      <c r="A336" s="184"/>
      <c r="B336" s="235" t="s">
        <v>623</v>
      </c>
      <c r="C336" s="14"/>
      <c r="D336" s="14"/>
      <c r="E336" s="14"/>
      <c r="F336" s="14"/>
      <c r="G336" s="14"/>
      <c r="H336" s="14"/>
      <c r="I336" s="14"/>
      <c r="J336" s="14"/>
      <c r="P336" s="120"/>
      <c r="Q336" s="236"/>
      <c r="R336" s="27"/>
      <c r="S336" s="27"/>
      <c r="T336" s="14"/>
      <c r="V336" s="185"/>
    </row>
    <row r="337" spans="1:22" ht="18" hidden="1" customHeight="1">
      <c r="A337" s="184"/>
      <c r="B337" s="14" t="s">
        <v>622</v>
      </c>
      <c r="C337" s="14"/>
      <c r="D337" s="14"/>
      <c r="E337" s="14"/>
      <c r="F337" s="14"/>
      <c r="G337" s="14"/>
      <c r="H337" s="14"/>
      <c r="I337" s="14"/>
      <c r="J337" s="14"/>
      <c r="P337" s="120" t="s">
        <v>617</v>
      </c>
      <c r="Q337" s="234" t="s">
        <v>127</v>
      </c>
      <c r="R337" s="684" t="str">
        <f>R202</f>
        <v>-</v>
      </c>
      <c r="S337" s="684"/>
      <c r="T337" s="14" t="s">
        <v>8</v>
      </c>
      <c r="V337" s="185"/>
    </row>
    <row r="338" spans="1:22" ht="18" hidden="1" customHeight="1">
      <c r="A338" s="184"/>
      <c r="B338" s="235" t="s">
        <v>624</v>
      </c>
      <c r="C338" s="14"/>
      <c r="D338" s="14"/>
      <c r="E338" s="14"/>
      <c r="F338" s="14"/>
      <c r="G338" s="14"/>
      <c r="H338" s="14"/>
      <c r="I338" s="14"/>
      <c r="J338" s="14"/>
      <c r="R338" s="27"/>
      <c r="S338" s="27"/>
      <c r="T338" s="14"/>
      <c r="V338" s="185"/>
    </row>
    <row r="339" spans="1:22" ht="18" hidden="1" customHeight="1">
      <c r="A339" s="184"/>
      <c r="B339" s="14" t="s">
        <v>435</v>
      </c>
      <c r="C339" s="14"/>
      <c r="D339" s="103"/>
      <c r="E339" s="103"/>
      <c r="F339" s="14"/>
      <c r="G339" s="14"/>
      <c r="H339" s="5"/>
      <c r="I339" s="5"/>
      <c r="J339" s="5"/>
      <c r="P339" s="120" t="s">
        <v>436</v>
      </c>
      <c r="Q339" s="234" t="s">
        <v>127</v>
      </c>
      <c r="R339" s="684">
        <f>O277</f>
        <v>1</v>
      </c>
      <c r="S339" s="684"/>
      <c r="T339" s="14" t="s">
        <v>8</v>
      </c>
      <c r="V339" s="185"/>
    </row>
    <row r="340" spans="1:22" ht="18" hidden="1" customHeight="1">
      <c r="A340" s="184"/>
      <c r="B340" s="14" t="s">
        <v>437</v>
      </c>
      <c r="C340" s="14"/>
      <c r="D340" s="103"/>
      <c r="E340" s="103"/>
      <c r="F340" s="14"/>
      <c r="G340" s="14"/>
      <c r="H340" s="5"/>
      <c r="I340" s="5"/>
      <c r="J340" s="5"/>
      <c r="P340" s="120" t="s">
        <v>438</v>
      </c>
      <c r="Q340" s="234" t="s">
        <v>127</v>
      </c>
      <c r="R340" s="684">
        <f>R205</f>
        <v>1</v>
      </c>
      <c r="S340" s="684"/>
      <c r="T340" s="14" t="s">
        <v>8</v>
      </c>
      <c r="V340" s="185"/>
    </row>
    <row r="341" spans="1:22" ht="18" hidden="1" customHeight="1">
      <c r="A341" s="184"/>
      <c r="B341" s="14" t="s">
        <v>439</v>
      </c>
      <c r="C341" s="14"/>
      <c r="D341" s="103"/>
      <c r="E341" s="103"/>
      <c r="F341" s="14"/>
      <c r="G341" s="14"/>
      <c r="H341" s="5"/>
      <c r="I341" s="5"/>
      <c r="J341" s="5"/>
      <c r="P341" s="120" t="s">
        <v>440</v>
      </c>
      <c r="Q341" s="234" t="s">
        <v>127</v>
      </c>
      <c r="R341" s="684" t="str">
        <f>L279</f>
        <v>-</v>
      </c>
      <c r="S341" s="684"/>
      <c r="T341" s="192" t="s">
        <v>333</v>
      </c>
      <c r="V341" s="185"/>
    </row>
    <row r="342" spans="1:22" ht="18" hidden="1" customHeight="1">
      <c r="A342" s="184"/>
      <c r="B342" s="14" t="s">
        <v>625</v>
      </c>
      <c r="C342" s="14"/>
      <c r="D342" s="14"/>
      <c r="E342" s="14"/>
      <c r="F342" s="14"/>
      <c r="G342" s="14"/>
      <c r="H342" s="14"/>
      <c r="I342" s="14"/>
      <c r="J342" s="14"/>
      <c r="P342" s="237" t="s">
        <v>441</v>
      </c>
      <c r="Q342" s="234" t="s">
        <v>127</v>
      </c>
      <c r="R342" s="795">
        <f>P289</f>
        <v>1.25652618</v>
      </c>
      <c r="S342" s="684"/>
      <c r="T342" s="192" t="s">
        <v>333</v>
      </c>
      <c r="V342" s="185"/>
    </row>
    <row r="343" spans="1:22" ht="18" hidden="1" customHeight="1">
      <c r="A343" s="184"/>
      <c r="B343" s="40" t="s">
        <v>442</v>
      </c>
      <c r="C343" s="14"/>
      <c r="D343" s="14"/>
      <c r="E343" s="14"/>
      <c r="F343" s="14"/>
      <c r="G343" s="14"/>
      <c r="H343" s="5"/>
      <c r="I343" s="5"/>
      <c r="J343" s="5"/>
      <c r="P343" s="237" t="s">
        <v>443</v>
      </c>
      <c r="Q343" s="234" t="s">
        <v>127</v>
      </c>
      <c r="R343" s="795">
        <f>J285</f>
        <v>0.02</v>
      </c>
      <c r="S343" s="684"/>
      <c r="T343" s="14" t="s">
        <v>157</v>
      </c>
      <c r="V343" s="185"/>
    </row>
    <row r="344" spans="1:22" ht="18" hidden="1" customHeight="1">
      <c r="A344" s="184"/>
      <c r="V344" s="185"/>
    </row>
    <row r="345" spans="1:22" ht="18" hidden="1" customHeight="1">
      <c r="A345" s="799" t="s">
        <v>417</v>
      </c>
      <c r="B345" s="802"/>
      <c r="C345" s="802"/>
      <c r="D345" s="805">
        <v>30</v>
      </c>
      <c r="E345" s="805" t="s">
        <v>315</v>
      </c>
      <c r="F345" s="1184">
        <f>R334</f>
        <v>437.38656756789834</v>
      </c>
      <c r="G345" s="1111"/>
      <c r="H345" s="805" t="s">
        <v>315</v>
      </c>
      <c r="I345" s="822">
        <f>R339</f>
        <v>1</v>
      </c>
      <c r="J345" s="1269"/>
      <c r="K345" s="805" t="s">
        <v>315</v>
      </c>
      <c r="L345" s="815" t="s">
        <v>419</v>
      </c>
      <c r="M345" s="815" t="str">
        <f>R341</f>
        <v>-</v>
      </c>
      <c r="N345" s="816" t="s">
        <v>347</v>
      </c>
      <c r="O345" s="817">
        <f>R342</f>
        <v>1.25652618</v>
      </c>
      <c r="P345" s="805" t="s">
        <v>347</v>
      </c>
      <c r="Q345" s="1259">
        <f>R343</f>
        <v>0.02</v>
      </c>
      <c r="R345" s="807"/>
      <c r="S345" s="807"/>
      <c r="T345" s="798" t="s">
        <v>350</v>
      </c>
      <c r="U345" s="230" t="s">
        <v>422</v>
      </c>
      <c r="V345" s="97"/>
    </row>
    <row r="346" spans="1:22" ht="18" hidden="1" customHeight="1">
      <c r="A346" s="827"/>
      <c r="B346" s="802"/>
      <c r="C346" s="802"/>
      <c r="D346" s="805"/>
      <c r="E346" s="805"/>
      <c r="F346" s="1111"/>
      <c r="G346" s="1111"/>
      <c r="H346" s="805"/>
      <c r="I346" s="805" t="str">
        <f>R333</f>
        <v>-</v>
      </c>
      <c r="J346" s="1234"/>
      <c r="K346" s="805"/>
      <c r="L346" s="815"/>
      <c r="M346" s="815"/>
      <c r="N346" s="816"/>
      <c r="O346" s="815"/>
      <c r="P346" s="805"/>
      <c r="Q346" s="221">
        <f>R340</f>
        <v>1</v>
      </c>
      <c r="R346" s="221" t="s">
        <v>315</v>
      </c>
      <c r="S346" s="221">
        <f>R340</f>
        <v>1</v>
      </c>
      <c r="T346" s="798"/>
      <c r="U346" s="14"/>
      <c r="V346" s="97"/>
    </row>
    <row r="347" spans="1:22" ht="18" hidden="1" customHeight="1">
      <c r="A347" s="184"/>
      <c r="V347" s="185"/>
    </row>
    <row r="348" spans="1:22" ht="18" hidden="1" customHeight="1">
      <c r="A348" s="184"/>
      <c r="C348" s="30" t="s">
        <v>127</v>
      </c>
      <c r="D348" s="812" t="e">
        <f>D345*F345*(I345/I346)*(M345+O345+(Q345/(Q346*S346)))</f>
        <v>#VALUE!</v>
      </c>
      <c r="E348" s="813"/>
      <c r="F348" s="30" t="s">
        <v>305</v>
      </c>
      <c r="V348" s="185"/>
    </row>
    <row r="349" spans="1:22" ht="18" hidden="1" customHeight="1">
      <c r="A349" s="184"/>
      <c r="V349" s="185"/>
    </row>
    <row r="350" spans="1:22" ht="18" hidden="1" customHeight="1">
      <c r="A350" s="799" t="s">
        <v>417</v>
      </c>
      <c r="B350" s="802"/>
      <c r="C350" s="802"/>
      <c r="D350" s="805">
        <v>2</v>
      </c>
      <c r="E350" s="805" t="s">
        <v>315</v>
      </c>
      <c r="F350" s="1184">
        <f>R335</f>
        <v>6998.1850810863734</v>
      </c>
      <c r="G350" s="1111"/>
      <c r="H350" s="805" t="s">
        <v>315</v>
      </c>
      <c r="I350" s="822">
        <f>R339</f>
        <v>1</v>
      </c>
      <c r="J350" s="1269"/>
      <c r="K350" s="805" t="s">
        <v>315</v>
      </c>
      <c r="L350" s="808" t="s">
        <v>419</v>
      </c>
      <c r="M350" s="815" t="str">
        <f>R341</f>
        <v>-</v>
      </c>
      <c r="N350" s="816" t="s">
        <v>347</v>
      </c>
      <c r="O350" s="817">
        <f>R342</f>
        <v>1.25652618</v>
      </c>
      <c r="P350" s="805" t="s">
        <v>347</v>
      </c>
      <c r="Q350" s="1259">
        <f>R343</f>
        <v>0.02</v>
      </c>
      <c r="R350" s="807"/>
      <c r="S350" s="807"/>
      <c r="T350" s="798" t="s">
        <v>350</v>
      </c>
      <c r="U350" s="230" t="s">
        <v>426</v>
      </c>
      <c r="V350" s="97"/>
    </row>
    <row r="351" spans="1:22" ht="18" hidden="1" customHeight="1">
      <c r="A351" s="827"/>
      <c r="B351" s="802"/>
      <c r="C351" s="802"/>
      <c r="D351" s="805"/>
      <c r="E351" s="805"/>
      <c r="F351" s="1111"/>
      <c r="G351" s="1111"/>
      <c r="H351" s="805"/>
      <c r="I351" s="805" t="str">
        <f>R333</f>
        <v>-</v>
      </c>
      <c r="J351" s="1234"/>
      <c r="K351" s="805"/>
      <c r="L351" s="808"/>
      <c r="M351" s="815"/>
      <c r="N351" s="816"/>
      <c r="O351" s="815"/>
      <c r="P351" s="805"/>
      <c r="Q351" s="221">
        <f>R340</f>
        <v>1</v>
      </c>
      <c r="R351" s="221" t="s">
        <v>315</v>
      </c>
      <c r="S351" s="221">
        <f>R340</f>
        <v>1</v>
      </c>
      <c r="T351" s="798"/>
      <c r="U351" s="14"/>
      <c r="V351" s="97"/>
    </row>
    <row r="352" spans="1:22" ht="18" hidden="1" customHeight="1">
      <c r="A352" s="184"/>
      <c r="L352" s="244"/>
      <c r="V352" s="185"/>
    </row>
    <row r="353" spans="1:22" ht="18" hidden="1" customHeight="1">
      <c r="A353" s="184"/>
      <c r="C353" s="30" t="s">
        <v>127</v>
      </c>
      <c r="D353" s="812" t="e">
        <f>D350*F350*(I350/I351)*(M350+O350+(Q350/(Q351*S351)))</f>
        <v>#VALUE!</v>
      </c>
      <c r="E353" s="813"/>
      <c r="F353" s="30" t="s">
        <v>305</v>
      </c>
      <c r="L353" s="244"/>
      <c r="V353" s="185"/>
    </row>
    <row r="354" spans="1:22" ht="18" hidden="1" customHeight="1">
      <c r="A354" s="184"/>
      <c r="L354" s="244"/>
      <c r="V354" s="185"/>
    </row>
    <row r="355" spans="1:22" ht="18" hidden="1" customHeight="1">
      <c r="A355" s="799" t="s">
        <v>417</v>
      </c>
      <c r="B355" s="802"/>
      <c r="C355" s="802"/>
      <c r="D355" s="689"/>
      <c r="E355" s="689"/>
      <c r="F355" s="805" t="str">
        <f>R337</f>
        <v>-</v>
      </c>
      <c r="G355" s="993"/>
      <c r="H355" s="805" t="s">
        <v>315</v>
      </c>
      <c r="I355" s="822">
        <f>R339</f>
        <v>1</v>
      </c>
      <c r="J355" s="1269"/>
      <c r="K355" s="805" t="s">
        <v>315</v>
      </c>
      <c r="L355" s="808" t="s">
        <v>419</v>
      </c>
      <c r="M355" s="815" t="str">
        <f>R341</f>
        <v>-</v>
      </c>
      <c r="N355" s="816" t="s">
        <v>347</v>
      </c>
      <c r="O355" s="817">
        <f>R342</f>
        <v>1.25652618</v>
      </c>
      <c r="P355" s="805" t="s">
        <v>347</v>
      </c>
      <c r="Q355" s="1259">
        <f>R343</f>
        <v>0.02</v>
      </c>
      <c r="R355" s="807"/>
      <c r="S355" s="807"/>
      <c r="T355" s="798" t="s">
        <v>350</v>
      </c>
      <c r="U355" s="230" t="s">
        <v>618</v>
      </c>
      <c r="V355" s="97"/>
    </row>
    <row r="356" spans="1:22" ht="18" hidden="1" customHeight="1">
      <c r="A356" s="827"/>
      <c r="B356" s="802"/>
      <c r="C356" s="802"/>
      <c r="D356" s="689"/>
      <c r="E356" s="689"/>
      <c r="F356" s="993"/>
      <c r="G356" s="993"/>
      <c r="H356" s="805"/>
      <c r="I356" s="805" t="str">
        <f>R333</f>
        <v>-</v>
      </c>
      <c r="J356" s="1234"/>
      <c r="K356" s="805"/>
      <c r="L356" s="808"/>
      <c r="M356" s="815"/>
      <c r="N356" s="816"/>
      <c r="O356" s="815"/>
      <c r="P356" s="805"/>
      <c r="Q356" s="221">
        <f>R340</f>
        <v>1</v>
      </c>
      <c r="R356" s="221" t="s">
        <v>315</v>
      </c>
      <c r="S356" s="221">
        <f>R340</f>
        <v>1</v>
      </c>
      <c r="T356" s="798"/>
      <c r="U356" s="14"/>
      <c r="V356" s="97"/>
    </row>
    <row r="357" spans="1:22" ht="18" hidden="1" customHeight="1">
      <c r="A357" s="184"/>
      <c r="V357" s="185"/>
    </row>
    <row r="358" spans="1:22" ht="18" hidden="1" customHeight="1">
      <c r="A358" s="184"/>
      <c r="C358" s="30" t="s">
        <v>127</v>
      </c>
      <c r="D358" s="812" t="e">
        <f>F355*(I355/I356)*(M355+O355+(Q355/(Q356*S356)))</f>
        <v>#VALUE!</v>
      </c>
      <c r="E358" s="813"/>
      <c r="F358" s="30" t="s">
        <v>305</v>
      </c>
      <c r="G358" s="187" t="s">
        <v>378</v>
      </c>
      <c r="H358" s="186" t="str">
        <f>IF(M330="y","Applicable","Not applicable")</f>
        <v>Not applicable</v>
      </c>
      <c r="V358" s="185"/>
    </row>
    <row r="359" spans="1:22" ht="18" hidden="1" customHeight="1">
      <c r="A359" s="184"/>
      <c r="V359" s="185"/>
    </row>
    <row r="360" spans="1:22" s="14" customFormat="1" ht="18" hidden="1" customHeight="1">
      <c r="A360" s="194"/>
      <c r="B360" s="195"/>
      <c r="C360" s="195"/>
      <c r="D360" s="195"/>
      <c r="E360" s="195"/>
      <c r="F360" s="195"/>
      <c r="G360" s="195"/>
      <c r="H360" s="195"/>
      <c r="I360" s="195"/>
      <c r="J360" s="195"/>
      <c r="K360" s="195"/>
      <c r="L360" s="195"/>
      <c r="M360" s="195"/>
      <c r="N360" s="195"/>
      <c r="O360" s="195"/>
      <c r="P360" s="195"/>
      <c r="Q360" s="224"/>
      <c r="R360" s="182"/>
      <c r="S360" s="225"/>
      <c r="T360" s="195"/>
      <c r="U360" s="195"/>
      <c r="V360" s="134"/>
    </row>
    <row r="361" spans="1:22" ht="18" hidden="1" customHeight="1">
      <c r="A361" s="226"/>
      <c r="B361" s="227"/>
      <c r="C361" s="227"/>
      <c r="D361" s="227"/>
      <c r="E361" s="227"/>
      <c r="F361" s="227"/>
      <c r="G361" s="227"/>
      <c r="H361" s="227"/>
      <c r="I361" s="227"/>
      <c r="J361" s="227"/>
      <c r="K361" s="227"/>
      <c r="L361" s="227"/>
      <c r="M361" s="227"/>
      <c r="N361" s="227"/>
      <c r="O361" s="227"/>
      <c r="P361" s="227"/>
      <c r="Q361" s="227"/>
      <c r="R361" s="227"/>
      <c r="S361" s="227"/>
      <c r="T361" s="227"/>
      <c r="U361" s="227"/>
      <c r="V361" s="228"/>
    </row>
    <row r="362" spans="1:22" ht="18" hidden="1" customHeight="1">
      <c r="A362" s="184" t="s">
        <v>634</v>
      </c>
      <c r="M362" s="825" t="str">
        <f>R333</f>
        <v>-</v>
      </c>
      <c r="N362" s="826"/>
      <c r="O362" s="30" t="s">
        <v>470</v>
      </c>
      <c r="Q362" s="812" t="e">
        <f>IF(M330="Y",MAX(D348,D358),MAX(D348,D353))</f>
        <v>#VALUE!</v>
      </c>
      <c r="R362" s="820"/>
      <c r="S362" s="30" t="s">
        <v>305</v>
      </c>
      <c r="V362" s="185"/>
    </row>
    <row r="363" spans="1:22" ht="18" hidden="1" customHeight="1">
      <c r="A363" s="184"/>
      <c r="M363" s="247"/>
      <c r="N363" s="247"/>
      <c r="Q363" s="211"/>
      <c r="R363" s="27"/>
      <c r="V363" s="185"/>
    </row>
    <row r="364" spans="1:22" ht="18" hidden="1" customHeight="1">
      <c r="A364" s="248" t="s">
        <v>471</v>
      </c>
      <c r="B364" s="14"/>
      <c r="C364" s="14"/>
      <c r="D364" s="249"/>
      <c r="E364" s="14"/>
      <c r="F364" s="14"/>
      <c r="G364" s="47"/>
      <c r="H364" s="14"/>
      <c r="J364" s="14"/>
      <c r="K364" s="14"/>
      <c r="L364" s="14"/>
      <c r="M364" s="14"/>
      <c r="N364" s="14"/>
      <c r="O364" s="14"/>
      <c r="P364" s="250"/>
      <c r="Q364" s="251"/>
      <c r="R364" s="47"/>
      <c r="S364" s="14"/>
      <c r="V364" s="185"/>
    </row>
    <row r="365" spans="1:22" ht="18" hidden="1" customHeight="1">
      <c r="A365" s="248"/>
      <c r="B365" s="14"/>
      <c r="C365" s="14"/>
      <c r="D365" s="249"/>
      <c r="E365" s="14"/>
      <c r="F365" s="14"/>
      <c r="G365" s="47"/>
      <c r="H365" s="14"/>
      <c r="J365" s="14"/>
      <c r="K365" s="14"/>
      <c r="L365" s="14"/>
      <c r="M365" s="14"/>
      <c r="N365" s="14"/>
      <c r="O365" s="14"/>
      <c r="P365" s="250"/>
      <c r="Q365" s="251"/>
      <c r="R365" s="47"/>
      <c r="S365" s="14"/>
      <c r="V365" s="185"/>
    </row>
    <row r="366" spans="1:22" ht="18" hidden="1" customHeight="1">
      <c r="A366" s="96" t="s">
        <v>500</v>
      </c>
      <c r="V366" s="185"/>
    </row>
    <row r="367" spans="1:22" ht="18" hidden="1" customHeight="1">
      <c r="A367" s="184"/>
      <c r="N367" s="14"/>
      <c r="O367" s="14" t="s">
        <v>473</v>
      </c>
      <c r="P367" s="102" t="s">
        <v>127</v>
      </c>
      <c r="Q367" s="694" t="s">
        <v>474</v>
      </c>
      <c r="R367" s="694"/>
      <c r="S367" s="28" t="s">
        <v>315</v>
      </c>
      <c r="T367" s="28">
        <v>0.8</v>
      </c>
      <c r="V367" s="185"/>
    </row>
    <row r="368" spans="1:22" ht="18" hidden="1" customHeight="1">
      <c r="A368" s="184"/>
      <c r="N368" s="252"/>
      <c r="O368" s="14"/>
      <c r="P368" s="102" t="s">
        <v>127</v>
      </c>
      <c r="Q368" s="829" t="e">
        <f>+Q362</f>
        <v>#VALUE!</v>
      </c>
      <c r="R368" s="1147"/>
      <c r="S368" s="222" t="s">
        <v>315</v>
      </c>
      <c r="T368" s="253">
        <f>+T367</f>
        <v>0.8</v>
      </c>
      <c r="V368" s="185"/>
    </row>
    <row r="369" spans="1:22" ht="18" hidden="1" customHeight="1">
      <c r="A369" s="184"/>
      <c r="O369" s="14"/>
      <c r="P369" s="28" t="s">
        <v>127</v>
      </c>
      <c r="Q369" s="830" t="e">
        <f>Q368*T368</f>
        <v>#VALUE!</v>
      </c>
      <c r="R369" s="1270"/>
      <c r="S369" s="47" t="s">
        <v>305</v>
      </c>
      <c r="T369" s="14"/>
      <c r="V369" s="185"/>
    </row>
    <row r="370" spans="1:22" ht="18" hidden="1" customHeight="1">
      <c r="A370" s="184"/>
      <c r="V370" s="185"/>
    </row>
    <row r="371" spans="1:22" ht="18" hidden="1" customHeight="1">
      <c r="A371" s="184"/>
      <c r="D371" s="30" t="s">
        <v>475</v>
      </c>
      <c r="G371" s="27" t="e">
        <f>IF(E372&gt;H372,"&gt;","&lt;")</f>
        <v>#VALUE!</v>
      </c>
      <c r="H371" s="30" t="s">
        <v>477</v>
      </c>
      <c r="V371" s="185"/>
    </row>
    <row r="372" spans="1:22" ht="18" hidden="1" customHeight="1">
      <c r="A372" s="184"/>
      <c r="E372" s="684" t="str">
        <f>L280</f>
        <v>-</v>
      </c>
      <c r="F372" s="684"/>
      <c r="G372" s="27" t="e">
        <f>G371</f>
        <v>#VALUE!</v>
      </c>
      <c r="H372" s="795" t="e">
        <f>Q369</f>
        <v>#VALUE!</v>
      </c>
      <c r="I372" s="684"/>
      <c r="V372" s="185"/>
    </row>
    <row r="373" spans="1:22" ht="18" hidden="1" customHeight="1">
      <c r="A373" s="184"/>
      <c r="F373" s="244" t="s">
        <v>478</v>
      </c>
      <c r="H373" s="18" t="e">
        <f>IF(G371="&gt;","Suitably Dimensioned","Under Dimensioned")</f>
        <v>#VALUE!</v>
      </c>
      <c r="V373" s="185"/>
    </row>
    <row r="374" spans="1:22" ht="18" hidden="1" customHeight="1">
      <c r="A374" s="184"/>
      <c r="F374" s="244"/>
      <c r="H374" s="18"/>
      <c r="V374" s="185"/>
    </row>
    <row r="375" spans="1:22" ht="18" hidden="1" customHeight="1">
      <c r="A375" s="184"/>
      <c r="F375" s="244"/>
      <c r="H375" s="18"/>
      <c r="V375" s="185"/>
    </row>
    <row r="376" spans="1:22" ht="18" hidden="1" customHeight="1">
      <c r="A376" s="184"/>
      <c r="F376" s="244"/>
      <c r="H376" s="18"/>
      <c r="V376" s="185"/>
    </row>
    <row r="377" spans="1:22" ht="18" hidden="1" customHeight="1">
      <c r="A377" s="184"/>
      <c r="F377" s="244"/>
      <c r="H377" s="18"/>
      <c r="V377" s="185"/>
    </row>
    <row r="378" spans="1:22" ht="18" hidden="1" customHeight="1">
      <c r="A378" s="184"/>
      <c r="F378" s="244"/>
      <c r="H378" s="18"/>
      <c r="V378" s="185"/>
    </row>
    <row r="379" spans="1:22" ht="18" hidden="1" customHeight="1">
      <c r="A379" s="184"/>
      <c r="F379" s="244"/>
      <c r="H379" s="18"/>
      <c r="V379" s="185"/>
    </row>
    <row r="380" spans="1:22" ht="18" hidden="1" customHeight="1">
      <c r="A380" s="184"/>
      <c r="F380" s="244"/>
      <c r="H380" s="18"/>
      <c r="V380" s="185"/>
    </row>
    <row r="381" spans="1:22" ht="18" hidden="1" customHeight="1">
      <c r="A381" s="184"/>
      <c r="F381" s="244"/>
      <c r="H381" s="18"/>
      <c r="V381" s="185"/>
    </row>
    <row r="382" spans="1:22" ht="18" hidden="1" customHeight="1">
      <c r="A382" s="184"/>
      <c r="F382" s="244"/>
      <c r="H382" s="18"/>
      <c r="V382" s="185"/>
    </row>
    <row r="383" spans="1:22" ht="18" hidden="1" customHeight="1">
      <c r="A383" s="184"/>
      <c r="F383" s="244"/>
      <c r="H383" s="18"/>
      <c r="V383" s="185"/>
    </row>
    <row r="384" spans="1:22" ht="18" hidden="1" customHeight="1">
      <c r="A384" s="184"/>
      <c r="F384" s="244"/>
      <c r="H384" s="18"/>
      <c r="V384" s="185"/>
    </row>
    <row r="385" spans="1:22" ht="18" hidden="1" customHeight="1">
      <c r="A385" s="184"/>
      <c r="F385" s="244"/>
      <c r="H385" s="18"/>
      <c r="V385" s="185"/>
    </row>
    <row r="386" spans="1:22" ht="18" hidden="1" customHeight="1">
      <c r="A386" s="184"/>
      <c r="F386" s="244"/>
      <c r="H386" s="18"/>
      <c r="V386" s="185"/>
    </row>
    <row r="387" spans="1:22" ht="18" hidden="1" customHeight="1">
      <c r="A387" s="184"/>
      <c r="F387" s="244"/>
      <c r="H387" s="18"/>
      <c r="V387" s="185"/>
    </row>
    <row r="388" spans="1:22" ht="18" hidden="1" customHeight="1">
      <c r="A388" s="184"/>
      <c r="F388" s="244"/>
      <c r="H388" s="18"/>
      <c r="V388" s="185"/>
    </row>
    <row r="389" spans="1:22" ht="18" hidden="1" customHeight="1">
      <c r="A389" s="184"/>
      <c r="F389" s="244"/>
      <c r="H389" s="18"/>
      <c r="V389" s="185"/>
    </row>
    <row r="390" spans="1:22" ht="18" hidden="1" customHeight="1">
      <c r="A390" s="184"/>
      <c r="F390" s="244"/>
      <c r="H390" s="18"/>
      <c r="V390" s="185"/>
    </row>
    <row r="391" spans="1:22" ht="18" hidden="1" customHeight="1">
      <c r="A391" s="184"/>
      <c r="F391" s="244"/>
      <c r="H391" s="18"/>
      <c r="V391" s="185"/>
    </row>
    <row r="392" spans="1:22" ht="18" hidden="1" customHeight="1">
      <c r="A392" s="184"/>
      <c r="F392" s="244"/>
      <c r="H392" s="18"/>
      <c r="V392" s="185"/>
    </row>
    <row r="393" spans="1:22" ht="18" hidden="1" customHeight="1">
      <c r="A393" s="184"/>
      <c r="F393" s="244"/>
      <c r="H393" s="18"/>
      <c r="V393" s="185"/>
    </row>
    <row r="394" spans="1:22" ht="18" hidden="1" customHeight="1">
      <c r="A394" s="184"/>
      <c r="F394" s="244"/>
      <c r="H394" s="18"/>
      <c r="V394" s="185"/>
    </row>
    <row r="395" spans="1:22" ht="18" hidden="1" customHeight="1">
      <c r="A395" s="184"/>
      <c r="F395" s="244"/>
      <c r="H395" s="18"/>
      <c r="V395" s="185"/>
    </row>
    <row r="396" spans="1:22" ht="18" hidden="1" customHeight="1">
      <c r="A396" s="184"/>
      <c r="F396" s="244"/>
      <c r="H396" s="18"/>
      <c r="V396" s="185"/>
    </row>
    <row r="397" spans="1:22" ht="18" hidden="1" customHeight="1">
      <c r="A397" s="184"/>
      <c r="F397" s="244"/>
      <c r="H397" s="18"/>
      <c r="V397" s="185"/>
    </row>
    <row r="398" spans="1:22" ht="18" hidden="1" customHeight="1">
      <c r="A398" s="184"/>
      <c r="F398" s="244"/>
      <c r="H398" s="18"/>
      <c r="V398" s="185"/>
    </row>
    <row r="399" spans="1:22" ht="18" hidden="1" customHeight="1">
      <c r="A399" s="184"/>
      <c r="F399" s="244"/>
      <c r="H399" s="18"/>
      <c r="V399" s="185"/>
    </row>
    <row r="400" spans="1:22" ht="18" hidden="1" customHeight="1">
      <c r="A400" s="184"/>
      <c r="F400" s="244"/>
      <c r="H400" s="18"/>
      <c r="V400" s="185"/>
    </row>
    <row r="401" spans="1:22" ht="18" hidden="1" customHeight="1">
      <c r="A401" s="184"/>
      <c r="F401" s="244"/>
      <c r="H401" s="18"/>
      <c r="V401" s="185"/>
    </row>
    <row r="402" spans="1:22" ht="18" hidden="1" customHeight="1">
      <c r="A402" s="184"/>
      <c r="F402" s="244"/>
      <c r="H402" s="18"/>
      <c r="V402" s="185"/>
    </row>
    <row r="403" spans="1:22" ht="18" hidden="1" customHeight="1">
      <c r="A403" s="184"/>
      <c r="F403" s="244"/>
      <c r="H403" s="18"/>
      <c r="V403" s="185"/>
    </row>
    <row r="404" spans="1:22" s="14" customFormat="1" ht="18" customHeight="1">
      <c r="A404" s="194"/>
      <c r="B404" s="195"/>
      <c r="C404" s="195"/>
      <c r="D404" s="195"/>
      <c r="E404" s="195"/>
      <c r="F404" s="195"/>
      <c r="G404" s="195"/>
      <c r="H404" s="195"/>
      <c r="I404" s="195"/>
      <c r="J404" s="195"/>
      <c r="K404" s="195"/>
      <c r="L404" s="195"/>
      <c r="M404" s="195"/>
      <c r="N404" s="195"/>
      <c r="O404" s="195"/>
      <c r="P404" s="195"/>
      <c r="Q404" s="224"/>
      <c r="R404" s="182"/>
      <c r="S404" s="225"/>
      <c r="T404" s="195"/>
      <c r="U404" s="195"/>
      <c r="V404" s="134"/>
    </row>
    <row r="405" spans="1:22" ht="18" customHeight="1">
      <c r="A405" s="226"/>
      <c r="B405" s="227"/>
      <c r="C405" s="227"/>
      <c r="D405" s="227"/>
      <c r="E405" s="227"/>
      <c r="F405" s="227"/>
      <c r="G405" s="227"/>
      <c r="H405" s="227"/>
      <c r="I405" s="227"/>
      <c r="J405" s="227"/>
      <c r="K405" s="227"/>
      <c r="L405" s="227"/>
      <c r="M405" s="227"/>
      <c r="N405" s="227"/>
      <c r="O405" s="227"/>
      <c r="P405" s="227"/>
      <c r="Q405" s="227"/>
      <c r="R405" s="227"/>
      <c r="S405" s="227"/>
      <c r="T405" s="227"/>
      <c r="U405" s="227"/>
      <c r="V405" s="228"/>
    </row>
    <row r="406" spans="1:22" ht="18" customHeight="1">
      <c r="A406" s="262" t="s">
        <v>501</v>
      </c>
      <c r="B406" s="14"/>
      <c r="C406" s="14"/>
      <c r="D406" s="120"/>
      <c r="E406" s="120"/>
      <c r="F406" s="18"/>
      <c r="G406" s="18"/>
      <c r="H406" s="14"/>
      <c r="I406" s="14"/>
      <c r="J406" s="14"/>
      <c r="K406" s="14"/>
      <c r="L406" s="14"/>
      <c r="M406" s="14"/>
      <c r="N406" s="14"/>
      <c r="O406" s="14"/>
      <c r="P406" s="28"/>
      <c r="Q406" s="120"/>
      <c r="R406" s="47"/>
      <c r="S406" s="206"/>
      <c r="T406" s="259"/>
      <c r="U406" s="14"/>
      <c r="V406" s="97"/>
    </row>
    <row r="407" spans="1:22" ht="18" customHeight="1">
      <c r="A407" s="955" t="s">
        <v>85</v>
      </c>
      <c r="B407" s="956"/>
      <c r="C407" s="957"/>
      <c r="D407" s="955" t="s">
        <v>86</v>
      </c>
      <c r="E407" s="956"/>
      <c r="F407" s="957"/>
      <c r="G407" s="955" t="s">
        <v>87</v>
      </c>
      <c r="H407" s="957"/>
      <c r="I407" s="955" t="s">
        <v>88</v>
      </c>
      <c r="J407" s="957"/>
      <c r="K407" s="955" t="s">
        <v>502</v>
      </c>
      <c r="L407" s="957"/>
      <c r="M407" s="955" t="s">
        <v>503</v>
      </c>
      <c r="N407" s="957"/>
      <c r="O407" s="955" t="s">
        <v>504</v>
      </c>
      <c r="P407" s="957"/>
      <c r="Q407" s="955" t="s">
        <v>505</v>
      </c>
      <c r="R407" s="957"/>
      <c r="S407" s="955" t="s">
        <v>93</v>
      </c>
      <c r="T407" s="956"/>
      <c r="U407" s="956"/>
      <c r="V407" s="957"/>
    </row>
    <row r="408" spans="1:22" ht="18" customHeight="1">
      <c r="A408" s="1125"/>
      <c r="B408" s="983"/>
      <c r="C408" s="1126"/>
      <c r="D408" s="1125"/>
      <c r="E408" s="983"/>
      <c r="F408" s="1126"/>
      <c r="G408" s="1125"/>
      <c r="H408" s="1126"/>
      <c r="I408" s="1125"/>
      <c r="J408" s="1126"/>
      <c r="K408" s="1125"/>
      <c r="L408" s="1126"/>
      <c r="M408" s="1125"/>
      <c r="N408" s="1126"/>
      <c r="O408" s="1125"/>
      <c r="P408" s="1126"/>
      <c r="Q408" s="1125"/>
      <c r="R408" s="1126"/>
      <c r="S408" s="1125"/>
      <c r="T408" s="983"/>
      <c r="U408" s="983"/>
      <c r="V408" s="1126"/>
    </row>
    <row r="409" spans="1:22" ht="18" customHeight="1">
      <c r="A409" s="1125"/>
      <c r="B409" s="983"/>
      <c r="C409" s="1126"/>
      <c r="D409" s="1125"/>
      <c r="E409" s="983"/>
      <c r="F409" s="1126"/>
      <c r="G409" s="1125"/>
      <c r="H409" s="1126"/>
      <c r="I409" s="1125"/>
      <c r="J409" s="1126"/>
      <c r="K409" s="1125"/>
      <c r="L409" s="1126"/>
      <c r="M409" s="1125"/>
      <c r="N409" s="1126"/>
      <c r="O409" s="1125"/>
      <c r="P409" s="1126"/>
      <c r="Q409" s="1125"/>
      <c r="R409" s="1126"/>
      <c r="S409" s="1125"/>
      <c r="T409" s="983"/>
      <c r="U409" s="983"/>
      <c r="V409" s="1126"/>
    </row>
    <row r="410" spans="1:22" ht="18" customHeight="1">
      <c r="A410" s="1047"/>
      <c r="B410" s="1048"/>
      <c r="C410" s="1049"/>
      <c r="D410" s="1047"/>
      <c r="E410" s="1048"/>
      <c r="F410" s="1049"/>
      <c r="G410" s="1047"/>
      <c r="H410" s="1049"/>
      <c r="I410" s="1047"/>
      <c r="J410" s="1049"/>
      <c r="K410" s="1047"/>
      <c r="L410" s="1049"/>
      <c r="M410" s="1047"/>
      <c r="N410" s="1049"/>
      <c r="O410" s="1047"/>
      <c r="P410" s="1049"/>
      <c r="Q410" s="1047"/>
      <c r="R410" s="1049"/>
      <c r="S410" s="1047"/>
      <c r="T410" s="1048"/>
      <c r="U410" s="1048"/>
      <c r="V410" s="1049"/>
    </row>
    <row r="411" spans="1:22" ht="18" customHeight="1">
      <c r="A411" s="765" t="str">
        <f>B7</f>
        <v>T1</v>
      </c>
      <c r="B411" s="765" t="str">
        <f>D7</f>
        <v>Core1</v>
      </c>
      <c r="C411" s="765"/>
      <c r="D411" s="870">
        <f>H10</f>
        <v>2800</v>
      </c>
      <c r="E411" s="870"/>
      <c r="F411" s="871">
        <f>O10</f>
        <v>1</v>
      </c>
      <c r="G411" s="870">
        <f>'CT-VT Burdens'!S21</f>
        <v>120</v>
      </c>
      <c r="H411" s="874">
        <f>'CT-VT Burdens'!S10</f>
        <v>6</v>
      </c>
      <c r="I411" s="874" t="str">
        <f>H11</f>
        <v>PX</v>
      </c>
      <c r="J411" s="874"/>
      <c r="K411" s="869">
        <f>H12</f>
        <v>4</v>
      </c>
      <c r="L411" s="869"/>
      <c r="M411" s="869">
        <f>H13</f>
        <v>500</v>
      </c>
      <c r="N411" s="869"/>
      <c r="O411" s="870">
        <f>H14</f>
        <v>20</v>
      </c>
      <c r="P411" s="870"/>
      <c r="Q411" s="879" t="str">
        <f>D154</f>
        <v>RET670</v>
      </c>
      <c r="R411" s="879"/>
      <c r="S411" s="878" t="str">
        <f>H113</f>
        <v>Suitably Dimensioned</v>
      </c>
      <c r="T411" s="878"/>
      <c r="U411" s="878"/>
      <c r="V411" s="878"/>
    </row>
    <row r="412" spans="1:22" ht="18" customHeight="1">
      <c r="A412" s="765"/>
      <c r="B412" s="765"/>
      <c r="C412" s="765"/>
      <c r="D412" s="870">
        <f>J10</f>
        <v>3200</v>
      </c>
      <c r="E412" s="870"/>
      <c r="F412" s="872"/>
      <c r="G412" s="870"/>
      <c r="H412" s="870"/>
      <c r="I412" s="874"/>
      <c r="J412" s="874"/>
      <c r="K412" s="875">
        <f>J148</f>
        <v>5</v>
      </c>
      <c r="L412" s="869"/>
      <c r="M412" s="875">
        <f>J149</f>
        <v>600</v>
      </c>
      <c r="N412" s="869"/>
      <c r="O412" s="876">
        <f>J150</f>
        <v>10</v>
      </c>
      <c r="P412" s="870"/>
      <c r="Q412" s="879"/>
      <c r="R412" s="879"/>
      <c r="S412" s="877" t="str">
        <f>H245</f>
        <v>Suitably Dimensioned</v>
      </c>
      <c r="T412" s="878"/>
      <c r="U412" s="878"/>
      <c r="V412" s="878"/>
    </row>
    <row r="413" spans="1:22" ht="18" customHeight="1">
      <c r="A413" s="765"/>
      <c r="B413" s="765"/>
      <c r="C413" s="765"/>
      <c r="D413" s="870" t="str">
        <f>L10</f>
        <v>-</v>
      </c>
      <c r="E413" s="870"/>
      <c r="F413" s="873"/>
      <c r="G413" s="870"/>
      <c r="H413" s="870"/>
      <c r="I413" s="874"/>
      <c r="J413" s="874"/>
      <c r="K413" s="869" t="str">
        <f>L279</f>
        <v>-</v>
      </c>
      <c r="L413" s="869"/>
      <c r="M413" s="869" t="str">
        <f>L280</f>
        <v>-</v>
      </c>
      <c r="N413" s="869"/>
      <c r="O413" s="870" t="str">
        <f>L281</f>
        <v>-</v>
      </c>
      <c r="P413" s="870"/>
      <c r="Q413" s="879"/>
      <c r="R413" s="879"/>
      <c r="S413" s="878" t="s">
        <v>6</v>
      </c>
      <c r="T413" s="878"/>
      <c r="U413" s="878"/>
      <c r="V413" s="878"/>
    </row>
    <row r="414" spans="1:22" ht="18" customHeight="1">
      <c r="A414" s="265"/>
      <c r="B414" s="239"/>
      <c r="C414" s="239"/>
      <c r="D414" s="239"/>
      <c r="E414" s="239"/>
      <c r="F414" s="239"/>
      <c r="G414" s="239"/>
      <c r="H414" s="239"/>
      <c r="I414" s="239"/>
      <c r="J414" s="93"/>
      <c r="K414" s="93"/>
      <c r="L414" s="239"/>
      <c r="M414" s="239"/>
      <c r="N414" s="239"/>
      <c r="O414" s="239"/>
      <c r="P414" s="239"/>
      <c r="Q414" s="239"/>
      <c r="R414" s="239"/>
      <c r="S414" s="239"/>
      <c r="T414" s="239"/>
      <c r="U414" s="93"/>
      <c r="V414" s="266"/>
    </row>
    <row r="415" spans="1:22" ht="18" customHeight="1">
      <c r="A415" s="265"/>
      <c r="B415" s="239"/>
      <c r="C415" s="239"/>
      <c r="D415" s="239"/>
      <c r="E415" s="239"/>
      <c r="F415" s="239"/>
      <c r="G415" s="239"/>
      <c r="H415" s="239"/>
      <c r="I415" s="239"/>
      <c r="J415" s="93"/>
      <c r="K415" s="93"/>
      <c r="L415" s="239"/>
      <c r="M415" s="239"/>
      <c r="N415" s="239"/>
      <c r="O415" s="239"/>
      <c r="P415" s="239"/>
      <c r="Q415" s="239"/>
      <c r="R415" s="239"/>
      <c r="S415" s="239"/>
      <c r="T415" s="239"/>
      <c r="U415" s="93"/>
      <c r="V415" s="266"/>
    </row>
    <row r="416" spans="1:22" ht="18" customHeight="1">
      <c r="A416" s="265"/>
      <c r="B416" s="239"/>
      <c r="C416" s="239"/>
      <c r="D416" s="239"/>
      <c r="E416" s="239"/>
      <c r="F416" s="239"/>
      <c r="G416" s="239"/>
      <c r="H416" s="239"/>
      <c r="I416" s="239"/>
      <c r="J416" s="93"/>
      <c r="K416" s="93"/>
      <c r="L416" s="239"/>
      <c r="M416" s="239"/>
      <c r="N416" s="239"/>
      <c r="O416" s="239"/>
      <c r="P416" s="239"/>
      <c r="Q416" s="239"/>
      <c r="R416" s="239"/>
      <c r="S416" s="239"/>
      <c r="T416" s="239"/>
      <c r="U416" s="93"/>
      <c r="V416" s="266"/>
    </row>
    <row r="417" spans="1:22" ht="18" customHeight="1">
      <c r="A417" s="265"/>
      <c r="B417" s="239"/>
      <c r="C417" s="239"/>
      <c r="D417" s="239"/>
      <c r="E417" s="239"/>
      <c r="F417" s="239"/>
      <c r="G417" s="239"/>
      <c r="H417" s="239"/>
      <c r="I417" s="239"/>
      <c r="J417" s="93"/>
      <c r="K417" s="93"/>
      <c r="L417" s="239"/>
      <c r="M417" s="239"/>
      <c r="N417" s="239"/>
      <c r="O417" s="239"/>
      <c r="P417" s="239"/>
      <c r="Q417" s="239"/>
      <c r="R417" s="239"/>
      <c r="S417" s="239"/>
      <c r="T417" s="239"/>
      <c r="U417" s="93"/>
      <c r="V417" s="266"/>
    </row>
    <row r="418" spans="1:22" ht="18" customHeight="1">
      <c r="A418" s="265"/>
      <c r="B418" s="239"/>
      <c r="C418" s="239"/>
      <c r="D418" s="239"/>
      <c r="E418" s="239"/>
      <c r="F418" s="239"/>
      <c r="G418" s="239"/>
      <c r="H418" s="239"/>
      <c r="I418" s="239"/>
      <c r="J418" s="93"/>
      <c r="K418" s="93"/>
      <c r="L418" s="239"/>
      <c r="M418" s="239"/>
      <c r="N418" s="239"/>
      <c r="O418" s="239"/>
      <c r="P418" s="239"/>
      <c r="Q418" s="239"/>
      <c r="R418" s="239"/>
      <c r="S418" s="239"/>
      <c r="T418" s="239"/>
      <c r="U418" s="93"/>
      <c r="V418" s="266"/>
    </row>
    <row r="419" spans="1:22" ht="18" customHeight="1">
      <c r="A419" s="265"/>
      <c r="B419" s="239"/>
      <c r="C419" s="239"/>
      <c r="D419" s="239"/>
      <c r="E419" s="239"/>
      <c r="F419" s="239"/>
      <c r="G419" s="239"/>
      <c r="H419" s="239"/>
      <c r="I419" s="239"/>
      <c r="J419" s="93"/>
      <c r="K419" s="93"/>
      <c r="L419" s="239"/>
      <c r="M419" s="239"/>
      <c r="N419" s="239"/>
      <c r="O419" s="239"/>
      <c r="P419" s="239"/>
      <c r="Q419" s="239"/>
      <c r="R419" s="239"/>
      <c r="S419" s="239"/>
      <c r="T419" s="239"/>
      <c r="U419" s="93"/>
      <c r="V419" s="266"/>
    </row>
    <row r="420" spans="1:22" ht="18" customHeight="1">
      <c r="A420" s="265"/>
      <c r="B420" s="239"/>
      <c r="C420" s="239"/>
      <c r="D420" s="239"/>
      <c r="E420" s="239"/>
      <c r="F420" s="239"/>
      <c r="G420" s="239"/>
      <c r="H420" s="239"/>
      <c r="I420" s="239"/>
      <c r="J420" s="93"/>
      <c r="K420" s="93"/>
      <c r="L420" s="239"/>
      <c r="M420" s="239"/>
      <c r="N420" s="239"/>
      <c r="O420" s="239"/>
      <c r="P420" s="239"/>
      <c r="Q420" s="239"/>
      <c r="R420" s="239"/>
      <c r="S420" s="239"/>
      <c r="T420" s="239"/>
      <c r="U420" s="93"/>
      <c r="V420" s="266"/>
    </row>
    <row r="421" spans="1:22" ht="18" customHeight="1">
      <c r="A421" s="265"/>
      <c r="B421" s="239"/>
      <c r="C421" s="239"/>
      <c r="D421" s="239"/>
      <c r="E421" s="239"/>
      <c r="F421" s="239"/>
      <c r="G421" s="239"/>
      <c r="H421" s="239"/>
      <c r="I421" s="239"/>
      <c r="J421" s="93"/>
      <c r="K421" s="93"/>
      <c r="L421" s="239"/>
      <c r="M421" s="239"/>
      <c r="N421" s="239"/>
      <c r="O421" s="239"/>
      <c r="P421" s="239"/>
      <c r="Q421" s="239"/>
      <c r="R421" s="239"/>
      <c r="S421" s="239"/>
      <c r="T421" s="239"/>
      <c r="U421" s="93"/>
      <c r="V421" s="266"/>
    </row>
    <row r="422" spans="1:22" ht="18" customHeight="1">
      <c r="A422" s="265"/>
      <c r="B422" s="239"/>
      <c r="C422" s="239"/>
      <c r="D422" s="239"/>
      <c r="E422" s="239"/>
      <c r="F422" s="239"/>
      <c r="G422" s="239"/>
      <c r="H422" s="239"/>
      <c r="I422" s="239"/>
      <c r="J422" s="93"/>
      <c r="K422" s="93"/>
      <c r="L422" s="239"/>
      <c r="M422" s="239"/>
      <c r="N422" s="239"/>
      <c r="O422" s="239"/>
      <c r="P422" s="239"/>
      <c r="Q422" s="239"/>
      <c r="R422" s="239"/>
      <c r="S422" s="239"/>
      <c r="T422" s="239"/>
      <c r="U422" s="93"/>
      <c r="V422" s="266"/>
    </row>
    <row r="423" spans="1:22" ht="18" customHeight="1">
      <c r="A423" s="265"/>
      <c r="B423" s="239"/>
      <c r="C423" s="239"/>
      <c r="D423" s="239"/>
      <c r="E423" s="239"/>
      <c r="F423" s="239"/>
      <c r="G423" s="239"/>
      <c r="H423" s="239"/>
      <c r="I423" s="239"/>
      <c r="J423" s="93"/>
      <c r="K423" s="93"/>
      <c r="L423" s="239"/>
      <c r="M423" s="239"/>
      <c r="N423" s="239"/>
      <c r="O423" s="239"/>
      <c r="P423" s="239"/>
      <c r="Q423" s="239"/>
      <c r="R423" s="239"/>
      <c r="S423" s="239"/>
      <c r="T423" s="239"/>
      <c r="U423" s="93"/>
      <c r="V423" s="266"/>
    </row>
    <row r="424" spans="1:22" ht="18" customHeight="1">
      <c r="A424" s="265"/>
      <c r="B424" s="239"/>
      <c r="C424" s="239"/>
      <c r="D424" s="239"/>
      <c r="E424" s="239"/>
      <c r="F424" s="239"/>
      <c r="G424" s="239"/>
      <c r="H424" s="239"/>
      <c r="I424" s="239"/>
      <c r="J424" s="93"/>
      <c r="K424" s="93"/>
      <c r="L424" s="239"/>
      <c r="M424" s="239"/>
      <c r="N424" s="239"/>
      <c r="O424" s="239"/>
      <c r="P424" s="239"/>
      <c r="Q424" s="239"/>
      <c r="R424" s="239"/>
      <c r="S424" s="239"/>
      <c r="T424" s="239"/>
      <c r="U424" s="93"/>
      <c r="V424" s="266"/>
    </row>
    <row r="425" spans="1:22" ht="18" customHeight="1">
      <c r="A425" s="265"/>
      <c r="B425" s="239"/>
      <c r="C425" s="239"/>
      <c r="D425" s="239"/>
      <c r="E425" s="239"/>
      <c r="F425" s="239"/>
      <c r="G425" s="239"/>
      <c r="H425" s="239"/>
      <c r="I425" s="239"/>
      <c r="J425" s="93"/>
      <c r="K425" s="93"/>
      <c r="L425" s="239"/>
      <c r="M425" s="239"/>
      <c r="N425" s="239"/>
      <c r="O425" s="239"/>
      <c r="P425" s="239"/>
      <c r="Q425" s="239"/>
      <c r="R425" s="239"/>
      <c r="S425" s="239"/>
      <c r="T425" s="239"/>
      <c r="U425" s="93"/>
      <c r="V425" s="266"/>
    </row>
    <row r="426" spans="1:22" ht="18" customHeight="1">
      <c r="A426" s="265"/>
      <c r="B426" s="239"/>
      <c r="C426" s="239"/>
      <c r="D426" s="239"/>
      <c r="E426" s="239"/>
      <c r="F426" s="239"/>
      <c r="G426" s="239"/>
      <c r="H426" s="239"/>
      <c r="I426" s="239"/>
      <c r="J426" s="93"/>
      <c r="K426" s="93"/>
      <c r="L426" s="239"/>
      <c r="M426" s="239"/>
      <c r="N426" s="239"/>
      <c r="O426" s="239"/>
      <c r="P426" s="239"/>
      <c r="Q426" s="239"/>
      <c r="R426" s="239"/>
      <c r="S426" s="239"/>
      <c r="T426" s="239"/>
      <c r="U426" s="93"/>
      <c r="V426" s="266"/>
    </row>
    <row r="427" spans="1:22" ht="18" customHeight="1">
      <c r="A427" s="265"/>
      <c r="B427" s="239"/>
      <c r="C427" s="239"/>
      <c r="D427" s="239"/>
      <c r="E427" s="239"/>
      <c r="F427" s="239"/>
      <c r="G427" s="239"/>
      <c r="H427" s="239"/>
      <c r="I427" s="239"/>
      <c r="J427" s="93"/>
      <c r="K427" s="93"/>
      <c r="L427" s="239"/>
      <c r="M427" s="239"/>
      <c r="N427" s="239"/>
      <c r="O427" s="239"/>
      <c r="P427" s="239"/>
      <c r="Q427" s="239"/>
      <c r="R427" s="239"/>
      <c r="S427" s="239"/>
      <c r="T427" s="239"/>
      <c r="U427" s="93"/>
      <c r="V427" s="266"/>
    </row>
    <row r="428" spans="1:22" ht="18" customHeight="1">
      <c r="A428" s="265"/>
      <c r="B428" s="239"/>
      <c r="C428" s="239"/>
      <c r="D428" s="239"/>
      <c r="E428" s="239"/>
      <c r="F428" s="239"/>
      <c r="G428" s="239"/>
      <c r="H428" s="239"/>
      <c r="I428" s="239"/>
      <c r="J428" s="93"/>
      <c r="K428" s="93"/>
      <c r="L428" s="239"/>
      <c r="M428" s="239"/>
      <c r="N428" s="239"/>
      <c r="O428" s="239"/>
      <c r="P428" s="239"/>
      <c r="Q428" s="239"/>
      <c r="R428" s="239"/>
      <c r="S428" s="239"/>
      <c r="T428" s="239"/>
      <c r="U428" s="93"/>
      <c r="V428" s="266"/>
    </row>
    <row r="429" spans="1:22" ht="18" customHeight="1">
      <c r="A429" s="265"/>
      <c r="B429" s="239"/>
      <c r="C429" s="239"/>
      <c r="D429" s="239"/>
      <c r="E429" s="239"/>
      <c r="F429" s="239"/>
      <c r="G429" s="239"/>
      <c r="H429" s="239"/>
      <c r="I429" s="239"/>
      <c r="J429" s="93"/>
      <c r="K429" s="93"/>
      <c r="L429" s="239"/>
      <c r="M429" s="239"/>
      <c r="N429" s="239"/>
      <c r="O429" s="239"/>
      <c r="P429" s="239"/>
      <c r="Q429" s="239"/>
      <c r="R429" s="239"/>
      <c r="S429" s="239"/>
      <c r="T429" s="239"/>
      <c r="U429" s="93"/>
      <c r="V429" s="266"/>
    </row>
    <row r="430" spans="1:22" ht="18" customHeight="1">
      <c r="A430" s="265"/>
      <c r="B430" s="239"/>
      <c r="C430" s="239"/>
      <c r="D430" s="239"/>
      <c r="E430" s="239"/>
      <c r="F430" s="239"/>
      <c r="G430" s="239"/>
      <c r="H430" s="239"/>
      <c r="I430" s="239"/>
      <c r="J430" s="93"/>
      <c r="K430" s="93"/>
      <c r="L430" s="239"/>
      <c r="M430" s="239"/>
      <c r="N430" s="239"/>
      <c r="O430" s="239"/>
      <c r="P430" s="239"/>
      <c r="Q430" s="239"/>
      <c r="R430" s="239"/>
      <c r="S430" s="239"/>
      <c r="T430" s="239"/>
      <c r="U430" s="93"/>
      <c r="V430" s="266"/>
    </row>
    <row r="431" spans="1:22" ht="18" customHeight="1">
      <c r="A431" s="265"/>
      <c r="B431" s="239"/>
      <c r="C431" s="239"/>
      <c r="D431" s="239"/>
      <c r="E431" s="239"/>
      <c r="F431" s="239"/>
      <c r="G431" s="239"/>
      <c r="H431" s="239"/>
      <c r="I431" s="239"/>
      <c r="J431" s="93"/>
      <c r="K431" s="93"/>
      <c r="L431" s="239"/>
      <c r="M431" s="239"/>
      <c r="N431" s="239"/>
      <c r="O431" s="239"/>
      <c r="P431" s="239"/>
      <c r="Q431" s="239"/>
      <c r="R431" s="239"/>
      <c r="S431" s="239"/>
      <c r="T431" s="239"/>
      <c r="U431" s="93"/>
      <c r="V431" s="266"/>
    </row>
    <row r="432" spans="1:22" ht="18" customHeight="1">
      <c r="A432" s="265"/>
      <c r="B432" s="239"/>
      <c r="C432" s="239"/>
      <c r="D432" s="239"/>
      <c r="E432" s="239"/>
      <c r="F432" s="239"/>
      <c r="G432" s="239"/>
      <c r="H432" s="239"/>
      <c r="I432" s="239"/>
      <c r="J432" s="93"/>
      <c r="K432" s="93"/>
      <c r="L432" s="239"/>
      <c r="M432" s="239"/>
      <c r="N432" s="239"/>
      <c r="O432" s="239"/>
      <c r="P432" s="239"/>
      <c r="Q432" s="239"/>
      <c r="R432" s="239"/>
      <c r="S432" s="239"/>
      <c r="T432" s="239"/>
      <c r="U432" s="93"/>
      <c r="V432" s="266"/>
    </row>
    <row r="433" spans="1:22" ht="18" customHeight="1">
      <c r="A433" s="265"/>
      <c r="B433" s="239"/>
      <c r="C433" s="239"/>
      <c r="D433" s="239"/>
      <c r="E433" s="239"/>
      <c r="F433" s="239"/>
      <c r="G433" s="239"/>
      <c r="H433" s="239"/>
      <c r="I433" s="239"/>
      <c r="J433" s="93"/>
      <c r="K433" s="93"/>
      <c r="L433" s="239"/>
      <c r="M433" s="239"/>
      <c r="N433" s="239"/>
      <c r="O433" s="239"/>
      <c r="P433" s="239"/>
      <c r="Q433" s="239"/>
      <c r="R433" s="239"/>
      <c r="S433" s="239"/>
      <c r="T433" s="239"/>
      <c r="U433" s="93"/>
      <c r="V433" s="266"/>
    </row>
    <row r="434" spans="1:22" ht="18" customHeight="1">
      <c r="A434" s="265"/>
      <c r="B434" s="239"/>
      <c r="C434" s="239"/>
      <c r="D434" s="239"/>
      <c r="E434" s="239"/>
      <c r="F434" s="239"/>
      <c r="G434" s="239"/>
      <c r="H434" s="239"/>
      <c r="I434" s="239"/>
      <c r="J434" s="93"/>
      <c r="K434" s="93"/>
      <c r="L434" s="239"/>
      <c r="M434" s="239"/>
      <c r="N434" s="239"/>
      <c r="O434" s="239"/>
      <c r="P434" s="239"/>
      <c r="Q434" s="239"/>
      <c r="R434" s="239"/>
      <c r="S434" s="239"/>
      <c r="T434" s="239"/>
      <c r="U434" s="93"/>
      <c r="V434" s="266"/>
    </row>
    <row r="435" spans="1:22" ht="18" customHeight="1">
      <c r="A435" s="265"/>
      <c r="B435" s="239"/>
      <c r="C435" s="239"/>
      <c r="D435" s="239"/>
      <c r="E435" s="239"/>
      <c r="F435" s="239"/>
      <c r="G435" s="239"/>
      <c r="H435" s="239"/>
      <c r="I435" s="239"/>
      <c r="J435" s="93"/>
      <c r="K435" s="93"/>
      <c r="L435" s="239"/>
      <c r="M435" s="239"/>
      <c r="N435" s="239"/>
      <c r="O435" s="239"/>
      <c r="P435" s="239"/>
      <c r="Q435" s="239"/>
      <c r="R435" s="239"/>
      <c r="S435" s="239"/>
      <c r="T435" s="239"/>
      <c r="U435" s="93"/>
      <c r="V435" s="266"/>
    </row>
    <row r="436" spans="1:22" ht="18" customHeight="1">
      <c r="A436" s="265"/>
      <c r="B436" s="239"/>
      <c r="C436" s="239"/>
      <c r="D436" s="239"/>
      <c r="E436" s="239"/>
      <c r="F436" s="239"/>
      <c r="G436" s="239"/>
      <c r="H436" s="239"/>
      <c r="I436" s="239"/>
      <c r="J436" s="93"/>
      <c r="K436" s="93"/>
      <c r="L436" s="239"/>
      <c r="M436" s="239"/>
      <c r="N436" s="239"/>
      <c r="O436" s="239"/>
      <c r="P436" s="239"/>
      <c r="Q436" s="239"/>
      <c r="R436" s="239"/>
      <c r="S436" s="239"/>
      <c r="T436" s="239"/>
      <c r="U436" s="93"/>
      <c r="V436" s="266"/>
    </row>
    <row r="437" spans="1:22" ht="18" customHeight="1">
      <c r="A437" s="265"/>
      <c r="B437" s="239"/>
      <c r="C437" s="239"/>
      <c r="D437" s="239"/>
      <c r="E437" s="239"/>
      <c r="F437" s="239"/>
      <c r="G437" s="239"/>
      <c r="H437" s="239"/>
      <c r="I437" s="239"/>
      <c r="J437" s="93"/>
      <c r="K437" s="93"/>
      <c r="L437" s="239"/>
      <c r="M437" s="239"/>
      <c r="N437" s="239"/>
      <c r="O437" s="239"/>
      <c r="P437" s="239"/>
      <c r="Q437" s="239"/>
      <c r="R437" s="239"/>
      <c r="S437" s="239"/>
      <c r="T437" s="239"/>
      <c r="U437" s="93"/>
      <c r="V437" s="266"/>
    </row>
    <row r="438" spans="1:22" ht="18" customHeight="1">
      <c r="A438" s="184"/>
      <c r="V438" s="185"/>
    </row>
    <row r="439" spans="1:22" ht="18" customHeight="1">
      <c r="A439" s="184"/>
      <c r="V439" s="185"/>
    </row>
    <row r="440" spans="1:22" ht="18" customHeight="1">
      <c r="A440" s="184"/>
      <c r="V440" s="185"/>
    </row>
    <row r="441" spans="1:22" ht="18" customHeight="1">
      <c r="A441" s="184"/>
      <c r="V441" s="185"/>
    </row>
    <row r="442" spans="1:22" ht="18" customHeight="1">
      <c r="A442" s="184"/>
      <c r="V442" s="185"/>
    </row>
    <row r="443" spans="1:22" ht="18" customHeight="1">
      <c r="A443" s="184"/>
      <c r="V443" s="185"/>
    </row>
    <row r="444" spans="1:22" s="14" customFormat="1" ht="18" customHeight="1">
      <c r="A444" s="194"/>
      <c r="B444" s="195"/>
      <c r="C444" s="195"/>
      <c r="D444" s="195"/>
      <c r="E444" s="195"/>
      <c r="F444" s="195"/>
      <c r="G444" s="195"/>
      <c r="H444" s="195"/>
      <c r="I444" s="195"/>
      <c r="J444" s="195"/>
      <c r="K444" s="195"/>
      <c r="L444" s="195"/>
      <c r="M444" s="195"/>
      <c r="N444" s="195"/>
      <c r="O444" s="195"/>
      <c r="P444" s="195"/>
      <c r="Q444" s="224"/>
      <c r="R444" s="182"/>
      <c r="S444" s="225"/>
      <c r="T444" s="195"/>
      <c r="U444" s="195"/>
      <c r="V444" s="134"/>
    </row>
    <row r="445" spans="1:22" ht="18" hidden="1" customHeight="1">
      <c r="A445" s="1178" t="str">
        <f>A1</f>
        <v>HITACHI</v>
      </c>
      <c r="B445" s="1179"/>
      <c r="C445" s="1179"/>
      <c r="D445" s="1179"/>
      <c r="E445" s="1179"/>
      <c r="F445" s="1179"/>
      <c r="G445" s="1180"/>
      <c r="H445" s="906" t="str">
        <f>H1</f>
        <v>CT / VT</v>
      </c>
      <c r="I445" s="929"/>
      <c r="J445" s="929"/>
      <c r="K445" s="929"/>
      <c r="L445" s="929"/>
      <c r="M445" s="929"/>
      <c r="N445" s="930"/>
      <c r="O445" s="885" t="str">
        <f>O1</f>
        <v>Contract No.</v>
      </c>
      <c r="P445" s="886"/>
      <c r="Q445" s="887"/>
      <c r="R445" s="775" t="str">
        <f>R1</f>
        <v>N-19957.2-DF4W</v>
      </c>
      <c r="S445" s="1068"/>
      <c r="T445" s="1068"/>
      <c r="U445" s="1068"/>
      <c r="V445" s="776"/>
    </row>
    <row r="446" spans="1:22" ht="18" hidden="1" customHeight="1">
      <c r="A446" s="1181"/>
      <c r="B446" s="1182"/>
      <c r="C446" s="1182"/>
      <c r="D446" s="1182"/>
      <c r="E446" s="1182"/>
      <c r="F446" s="1182"/>
      <c r="G446" s="1183"/>
      <c r="H446" s="909" t="str">
        <f>H2</f>
        <v>ADEQUACY CHECK</v>
      </c>
      <c r="I446" s="934"/>
      <c r="J446" s="934"/>
      <c r="K446" s="934"/>
      <c r="L446" s="934"/>
      <c r="M446" s="934"/>
      <c r="N446" s="935"/>
      <c r="O446" s="885" t="str">
        <f>O2</f>
        <v>Date</v>
      </c>
      <c r="P446" s="886"/>
      <c r="Q446" s="887"/>
      <c r="R446" s="775">
        <f>R2</f>
        <v>46134</v>
      </c>
      <c r="S446" s="1068"/>
      <c r="T446" s="1068"/>
      <c r="U446" s="1068"/>
      <c r="V446" s="776"/>
    </row>
    <row r="447" spans="1:22" ht="18" hidden="1" customHeight="1">
      <c r="A447" s="955">
        <f>A3</f>
        <v>0</v>
      </c>
      <c r="B447" s="956"/>
      <c r="C447" s="956"/>
      <c r="D447" s="956"/>
      <c r="E447" s="956"/>
      <c r="F447" s="956"/>
      <c r="G447" s="957"/>
      <c r="H447" s="1083" t="str">
        <f>H3</f>
        <v xml:space="preserve">132/33kV SUBSTATION DF4W    AT AL DHAFRA AREA </v>
      </c>
      <c r="I447" s="1084"/>
      <c r="J447" s="1084"/>
      <c r="K447" s="1084"/>
      <c r="L447" s="1084"/>
      <c r="M447" s="1084"/>
      <c r="N447" s="1085"/>
      <c r="O447" s="885" t="str">
        <f>O3</f>
        <v>Document No.</v>
      </c>
      <c r="P447" s="886"/>
      <c r="Q447" s="887"/>
      <c r="R447" s="775" t="str">
        <f>R3</f>
        <v>-</v>
      </c>
      <c r="S447" s="1068"/>
      <c r="T447" s="1068"/>
      <c r="U447" s="1068"/>
      <c r="V447" s="776"/>
    </row>
    <row r="448" spans="1:22" ht="18" hidden="1" customHeight="1">
      <c r="A448" s="1047"/>
      <c r="B448" s="1048"/>
      <c r="C448" s="1048"/>
      <c r="D448" s="1048"/>
      <c r="E448" s="1048"/>
      <c r="F448" s="1048"/>
      <c r="G448" s="1049"/>
      <c r="H448" s="1086"/>
      <c r="I448" s="1087"/>
      <c r="J448" s="1087"/>
      <c r="K448" s="1087"/>
      <c r="L448" s="1087"/>
      <c r="M448" s="1087"/>
      <c r="N448" s="1088"/>
      <c r="O448" s="885" t="str">
        <f>O4</f>
        <v>Revision No.</v>
      </c>
      <c r="P448" s="886"/>
      <c r="Q448" s="887"/>
      <c r="R448" s="775" t="str">
        <f>R4</f>
        <v>A</v>
      </c>
      <c r="S448" s="1068"/>
      <c r="T448" s="1068"/>
      <c r="U448" s="1068"/>
      <c r="V448" s="776"/>
    </row>
    <row r="449" spans="1:29" ht="18" hidden="1" customHeight="1">
      <c r="A449" s="880" t="str">
        <f>A5</f>
        <v>Prep. By</v>
      </c>
      <c r="B449" s="943"/>
      <c r="C449" s="25" t="str">
        <f>C5</f>
        <v>AP</v>
      </c>
      <c r="D449" s="880" t="str">
        <f>D5</f>
        <v>Checked By</v>
      </c>
      <c r="E449" s="881"/>
      <c r="F449" s="943"/>
      <c r="G449" s="25" t="str">
        <f>G5</f>
        <v>RB</v>
      </c>
      <c r="H449" s="1163" t="str">
        <f>H5</f>
        <v>132kV_IBT INCOMER FEEDERS</v>
      </c>
      <c r="I449" s="1164"/>
      <c r="J449" s="1164"/>
      <c r="K449" s="1164"/>
      <c r="L449" s="1164"/>
      <c r="M449" s="1164"/>
      <c r="N449" s="1165"/>
      <c r="O449" s="947" t="str">
        <f>O5</f>
        <v>Contractor</v>
      </c>
      <c r="P449" s="948"/>
      <c r="Q449" s="949"/>
      <c r="R449" s="775" t="str">
        <f>R5</f>
        <v>HITACHI</v>
      </c>
      <c r="S449" s="1068"/>
      <c r="T449" s="1068"/>
      <c r="U449" s="1068"/>
      <c r="V449" s="776"/>
    </row>
    <row r="450" spans="1:29" ht="18" hidden="1" customHeight="1">
      <c r="A450" s="184"/>
      <c r="V450" s="185"/>
    </row>
    <row r="451" spans="1:29" ht="18" hidden="1" customHeight="1">
      <c r="A451" s="184"/>
      <c r="B451" s="1272" t="s">
        <v>635</v>
      </c>
      <c r="C451" s="1273"/>
      <c r="D451" s="1099" t="s">
        <v>506</v>
      </c>
      <c r="E451" s="1101"/>
      <c r="F451" s="186" t="s">
        <v>636</v>
      </c>
      <c r="H451" s="684" t="str">
        <f>H274</f>
        <v>(Transformer Differential)</v>
      </c>
      <c r="I451" s="684"/>
      <c r="J451" s="684"/>
      <c r="K451" s="684"/>
      <c r="L451" s="684"/>
      <c r="M451" s="684"/>
      <c r="P451" s="186"/>
      <c r="S451" s="187" t="s">
        <v>387</v>
      </c>
      <c r="T451" s="781" t="str">
        <f>T143</f>
        <v>RET670</v>
      </c>
      <c r="U451" s="782"/>
      <c r="V451" s="185"/>
    </row>
    <row r="452" spans="1:29" ht="18" hidden="1" customHeight="1">
      <c r="A452" s="184"/>
      <c r="B452" s="743"/>
      <c r="C452" s="743"/>
      <c r="D452" s="1102"/>
      <c r="E452" s="1103"/>
      <c r="F452" s="255"/>
      <c r="T452" s="781"/>
      <c r="U452" s="782"/>
      <c r="V452" s="185"/>
    </row>
    <row r="453" spans="1:29" ht="18" hidden="1" customHeight="1">
      <c r="A453" s="184"/>
      <c r="H453" s="789" t="s">
        <v>390</v>
      </c>
      <c r="I453" s="789"/>
      <c r="J453" s="790" t="s">
        <v>391</v>
      </c>
      <c r="K453" s="790"/>
      <c r="L453" s="790" t="s">
        <v>392</v>
      </c>
      <c r="M453" s="790"/>
      <c r="T453" s="781"/>
      <c r="U453" s="782"/>
      <c r="V453" s="185"/>
    </row>
    <row r="454" spans="1:29" ht="18" hidden="1" customHeight="1">
      <c r="A454" s="184"/>
      <c r="B454" s="47" t="s">
        <v>393</v>
      </c>
      <c r="H454" s="791">
        <v>1200</v>
      </c>
      <c r="I454" s="792"/>
      <c r="J454" s="781" t="s">
        <v>6</v>
      </c>
      <c r="K454" s="782"/>
      <c r="L454" s="781" t="s">
        <v>6</v>
      </c>
      <c r="M454" s="782"/>
      <c r="N454" s="191" t="s">
        <v>342</v>
      </c>
      <c r="O454" s="267">
        <v>1</v>
      </c>
      <c r="P454" s="27" t="s">
        <v>8</v>
      </c>
      <c r="V454" s="185"/>
    </row>
    <row r="455" spans="1:29" ht="18" hidden="1" customHeight="1">
      <c r="A455" s="184"/>
      <c r="B455" s="47" t="s">
        <v>394</v>
      </c>
      <c r="H455" s="781" t="s">
        <v>637</v>
      </c>
      <c r="I455" s="782"/>
      <c r="V455" s="185"/>
    </row>
    <row r="456" spans="1:29" ht="18" hidden="1" customHeight="1">
      <c r="A456" s="184"/>
      <c r="B456" s="47" t="s">
        <v>396</v>
      </c>
      <c r="G456" s="120" t="s">
        <v>397</v>
      </c>
      <c r="H456" s="781">
        <v>5</v>
      </c>
      <c r="I456" s="782"/>
      <c r="J456" s="192" t="s">
        <v>333</v>
      </c>
      <c r="V456" s="185"/>
    </row>
    <row r="457" spans="1:29" ht="18" hidden="1" customHeight="1">
      <c r="A457" s="184"/>
      <c r="B457" s="47" t="s">
        <v>398</v>
      </c>
      <c r="G457" s="120" t="s">
        <v>638</v>
      </c>
      <c r="H457" s="781">
        <v>430</v>
      </c>
      <c r="I457" s="782"/>
      <c r="J457" s="14" t="s">
        <v>305</v>
      </c>
      <c r="V457" s="185"/>
      <c r="W457" s="30" t="s">
        <v>400</v>
      </c>
      <c r="AB457" s="785">
        <f>Q541</f>
        <v>58.565722498565393</v>
      </c>
      <c r="AC457" s="786"/>
    </row>
    <row r="458" spans="1:29" ht="18" hidden="1" customHeight="1">
      <c r="A458" s="184"/>
      <c r="B458" s="14" t="s">
        <v>401</v>
      </c>
      <c r="G458" s="120" t="s">
        <v>402</v>
      </c>
      <c r="H458" s="781">
        <v>20</v>
      </c>
      <c r="I458" s="782"/>
      <c r="J458" s="14" t="s">
        <v>403</v>
      </c>
      <c r="V458" s="185"/>
    </row>
    <row r="459" spans="1:29" ht="18" hidden="1" customHeight="1">
      <c r="A459" s="184"/>
      <c r="V459" s="185"/>
    </row>
    <row r="460" spans="1:29" ht="18" hidden="1" customHeight="1">
      <c r="A460" s="193" t="s">
        <v>404</v>
      </c>
      <c r="V460" s="185"/>
    </row>
    <row r="461" spans="1:29" ht="18" hidden="1" customHeight="1">
      <c r="A461" s="184"/>
      <c r="V461" s="185"/>
    </row>
    <row r="462" spans="1:29" ht="18" hidden="1" customHeight="1">
      <c r="A462" s="184"/>
      <c r="B462" s="194" t="s">
        <v>405</v>
      </c>
      <c r="C462" s="195"/>
      <c r="D462" s="195" t="str">
        <f>T451</f>
        <v>RET670</v>
      </c>
      <c r="E462" s="196"/>
      <c r="F462" s="196"/>
      <c r="G462" s="196"/>
      <c r="H462" s="182" t="s">
        <v>406</v>
      </c>
      <c r="I462" s="183" t="s">
        <v>127</v>
      </c>
      <c r="J462" s="1276">
        <f>J285</f>
        <v>0.02</v>
      </c>
      <c r="K462" s="1144"/>
      <c r="L462" s="3" t="s">
        <v>157</v>
      </c>
      <c r="N462" s="197" t="s">
        <v>407</v>
      </c>
      <c r="V462" s="185"/>
    </row>
    <row r="463" spans="1:29" s="14" customFormat="1" ht="18" hidden="1" customHeight="1">
      <c r="A463" s="184"/>
      <c r="B463" s="96" t="s">
        <v>405</v>
      </c>
      <c r="C463" s="30"/>
      <c r="D463" s="30">
        <f>T452</f>
        <v>0</v>
      </c>
      <c r="E463" s="30"/>
      <c r="F463" s="30"/>
      <c r="G463" s="30"/>
      <c r="H463" s="27"/>
      <c r="I463" s="177" t="s">
        <v>127</v>
      </c>
      <c r="J463" s="1274"/>
      <c r="K463" s="1275"/>
      <c r="L463" s="198" t="s">
        <v>157</v>
      </c>
      <c r="M463" s="30"/>
      <c r="N463" s="30"/>
      <c r="O463" s="30"/>
      <c r="P463" s="30"/>
      <c r="Q463" s="30"/>
      <c r="R463" s="30"/>
      <c r="S463" s="30"/>
      <c r="T463" s="30"/>
      <c r="U463" s="30"/>
      <c r="V463" s="185"/>
    </row>
    <row r="464" spans="1:29" s="14" customFormat="1" ht="18" hidden="1" customHeight="1">
      <c r="A464" s="184"/>
      <c r="B464" s="96" t="s">
        <v>405</v>
      </c>
      <c r="C464" s="30"/>
      <c r="D464" s="30">
        <f>T453</f>
        <v>0</v>
      </c>
      <c r="F464" s="30"/>
      <c r="G464" s="199"/>
      <c r="H464" s="27"/>
      <c r="I464" s="177" t="s">
        <v>127</v>
      </c>
      <c r="J464" s="696"/>
      <c r="K464" s="820"/>
      <c r="L464" s="202" t="s">
        <v>157</v>
      </c>
      <c r="M464" s="30"/>
      <c r="N464" s="30" t="s">
        <v>408</v>
      </c>
      <c r="O464" s="27" t="s">
        <v>127</v>
      </c>
      <c r="P464" s="30" t="s">
        <v>409</v>
      </c>
      <c r="Q464" s="191" t="s">
        <v>410</v>
      </c>
      <c r="R464" s="244" t="s">
        <v>411</v>
      </c>
      <c r="S464" s="27" t="s">
        <v>315</v>
      </c>
      <c r="T464" s="30" t="s">
        <v>411</v>
      </c>
      <c r="U464" s="30" t="s">
        <v>350</v>
      </c>
      <c r="V464" s="185"/>
    </row>
    <row r="465" spans="1:22" s="14" customFormat="1" ht="18" hidden="1" customHeight="1">
      <c r="A465" s="184"/>
      <c r="B465" s="184" t="s">
        <v>412</v>
      </c>
      <c r="C465" s="30"/>
      <c r="D465" s="30"/>
      <c r="E465" s="30"/>
      <c r="F465" s="30"/>
      <c r="G465" s="30"/>
      <c r="H465" s="27" t="s">
        <v>599</v>
      </c>
      <c r="I465" s="177" t="s">
        <v>127</v>
      </c>
      <c r="J465" s="1274">
        <f>J288</f>
        <v>1.25652618</v>
      </c>
      <c r="K465" s="1275"/>
      <c r="L465" s="203" t="s">
        <v>157</v>
      </c>
      <c r="M465" s="30"/>
      <c r="N465" s="30"/>
      <c r="O465" s="27" t="s">
        <v>127</v>
      </c>
      <c r="P465" s="204">
        <f>J466</f>
        <v>1.25652618</v>
      </c>
      <c r="Q465" s="191" t="s">
        <v>410</v>
      </c>
      <c r="R465" s="27">
        <f>O454</f>
        <v>1</v>
      </c>
      <c r="S465" s="27" t="s">
        <v>315</v>
      </c>
      <c r="T465" s="27">
        <f>O454</f>
        <v>1</v>
      </c>
      <c r="U465" s="30" t="s">
        <v>350</v>
      </c>
      <c r="V465" s="185"/>
    </row>
    <row r="466" spans="1:22" s="14" customFormat="1" ht="18" hidden="1" customHeight="1">
      <c r="A466" s="184"/>
      <c r="B466" s="205" t="s">
        <v>413</v>
      </c>
      <c r="C466" s="206"/>
      <c r="D466" s="206"/>
      <c r="E466" s="206"/>
      <c r="F466" s="207"/>
      <c r="G466" s="207"/>
      <c r="H466" s="190" t="s">
        <v>409</v>
      </c>
      <c r="I466" s="208" t="s">
        <v>127</v>
      </c>
      <c r="J466" s="1276">
        <f>J463+J465</f>
        <v>1.25652618</v>
      </c>
      <c r="K466" s="1144"/>
      <c r="L466" s="210" t="s">
        <v>157</v>
      </c>
      <c r="M466" s="30"/>
      <c r="N466" s="30"/>
      <c r="O466" s="27" t="s">
        <v>127</v>
      </c>
      <c r="P466" s="795">
        <f>P465/(R465*T465)</f>
        <v>1.25652618</v>
      </c>
      <c r="Q466" s="795"/>
      <c r="R466" s="192" t="s">
        <v>333</v>
      </c>
      <c r="S466" s="30"/>
      <c r="T466" s="30"/>
      <c r="U466" s="30"/>
      <c r="V466" s="185"/>
    </row>
    <row r="467" spans="1:22" s="14" customFormat="1" ht="18" hidden="1" customHeight="1">
      <c r="A467" s="184"/>
      <c r="B467" s="30"/>
      <c r="C467" s="30"/>
      <c r="D467" s="30"/>
      <c r="E467" s="30"/>
      <c r="F467" s="30"/>
      <c r="G467" s="30"/>
      <c r="H467" s="30"/>
      <c r="I467" s="30"/>
      <c r="J467" s="30"/>
      <c r="K467" s="30"/>
      <c r="L467" s="30"/>
      <c r="M467" s="30"/>
      <c r="N467" s="30"/>
      <c r="O467" s="30"/>
      <c r="P467" s="30"/>
      <c r="Q467" s="30"/>
      <c r="R467" s="30"/>
      <c r="S467" s="30"/>
      <c r="T467" s="30"/>
      <c r="U467" s="30"/>
      <c r="V467" s="185"/>
    </row>
    <row r="468" spans="1:22" s="14" customFormat="1" ht="18" hidden="1" customHeight="1">
      <c r="A468" s="193" t="s">
        <v>600</v>
      </c>
      <c r="B468" s="5"/>
      <c r="C468" s="5"/>
      <c r="D468" s="5"/>
      <c r="E468" s="5"/>
      <c r="F468" s="5"/>
      <c r="G468" s="5"/>
      <c r="H468" s="212"/>
      <c r="I468" s="212"/>
      <c r="J468" s="5"/>
      <c r="K468" s="5"/>
      <c r="L468" s="5"/>
      <c r="M468" s="5"/>
      <c r="N468" s="5"/>
      <c r="O468" s="5"/>
      <c r="P468" s="103"/>
      <c r="Q468" s="212"/>
      <c r="R468" s="213"/>
      <c r="S468" s="214"/>
      <c r="T468" s="18"/>
      <c r="U468" s="18"/>
      <c r="V468" s="97"/>
    </row>
    <row r="469" spans="1:22" s="14" customFormat="1" ht="18" hidden="1" customHeight="1">
      <c r="A469" s="96"/>
      <c r="B469" s="47" t="s">
        <v>601</v>
      </c>
      <c r="C469" s="5"/>
      <c r="D469" s="5"/>
      <c r="E469" s="5"/>
      <c r="I469" s="215"/>
      <c r="M469" s="5"/>
      <c r="O469" s="103" t="s">
        <v>127</v>
      </c>
      <c r="P469" s="853">
        <f>P161</f>
        <v>100</v>
      </c>
      <c r="Q469" s="1271"/>
      <c r="R469" s="14" t="s">
        <v>602</v>
      </c>
      <c r="S469" s="214"/>
      <c r="T469" s="18"/>
      <c r="U469" s="18"/>
      <c r="V469" s="97"/>
    </row>
    <row r="470" spans="1:22" s="14" customFormat="1" ht="18" hidden="1" customHeight="1">
      <c r="A470" s="96"/>
      <c r="B470" s="47" t="s">
        <v>603</v>
      </c>
      <c r="C470" s="5"/>
      <c r="D470" s="5"/>
      <c r="E470" s="5"/>
      <c r="I470" s="215"/>
      <c r="M470" s="5"/>
      <c r="O470" s="103" t="s">
        <v>127</v>
      </c>
      <c r="P470" s="853">
        <f>P162</f>
        <v>25</v>
      </c>
      <c r="Q470" s="1271"/>
      <c r="R470" s="14" t="s">
        <v>604</v>
      </c>
      <c r="S470" s="214"/>
      <c r="T470" s="18" t="s">
        <v>129</v>
      </c>
      <c r="U470" s="18"/>
      <c r="V470" s="97"/>
    </row>
    <row r="471" spans="1:22" s="14" customFormat="1" ht="18" hidden="1" customHeight="1">
      <c r="A471" s="96"/>
      <c r="B471" s="47" t="s">
        <v>605</v>
      </c>
      <c r="C471" s="5"/>
      <c r="D471" s="5"/>
      <c r="E471" s="5"/>
      <c r="N471" s="120" t="s">
        <v>606</v>
      </c>
      <c r="O471" s="103" t="s">
        <v>607</v>
      </c>
      <c r="P471" s="854">
        <f>'[2]Parameters &amp; Fault Cal.'!Q12</f>
        <v>132</v>
      </c>
      <c r="Q471" s="1270"/>
      <c r="R471" s="14" t="s">
        <v>163</v>
      </c>
      <c r="S471" s="214"/>
      <c r="T471" s="18"/>
      <c r="U471" s="18"/>
      <c r="V471" s="97"/>
    </row>
    <row r="472" spans="1:22" s="14" customFormat="1" ht="18" hidden="1" customHeight="1">
      <c r="A472" s="216"/>
      <c r="B472" s="212"/>
      <c r="C472" s="212"/>
      <c r="D472" s="212"/>
      <c r="E472" s="212"/>
      <c r="T472" s="18"/>
      <c r="U472" s="18"/>
      <c r="V472" s="97"/>
    </row>
    <row r="473" spans="1:22" s="14" customFormat="1" ht="18" hidden="1" customHeight="1">
      <c r="A473" s="96"/>
      <c r="B473" s="14" t="s">
        <v>608</v>
      </c>
      <c r="C473" s="213"/>
      <c r="D473" s="213"/>
      <c r="E473" s="213"/>
      <c r="H473" s="120" t="s">
        <v>609</v>
      </c>
      <c r="I473" s="28" t="s">
        <v>127</v>
      </c>
      <c r="J473" s="689" t="s">
        <v>610</v>
      </c>
      <c r="K473" s="689"/>
      <c r="L473" s="28" t="s">
        <v>315</v>
      </c>
      <c r="M473" s="217">
        <v>1000</v>
      </c>
      <c r="N473" s="102" t="s">
        <v>342</v>
      </c>
      <c r="O473" s="28" t="s">
        <v>611</v>
      </c>
      <c r="P473" s="28" t="s">
        <v>315</v>
      </c>
      <c r="Q473" s="28" t="s">
        <v>606</v>
      </c>
      <c r="R473" s="47"/>
      <c r="T473" s="18"/>
      <c r="U473" s="18"/>
      <c r="V473" s="97"/>
    </row>
    <row r="474" spans="1:22" ht="18" hidden="1" customHeight="1">
      <c r="A474" s="216"/>
      <c r="B474" s="213"/>
      <c r="C474" s="213"/>
      <c r="D474" s="213"/>
      <c r="E474" s="213"/>
      <c r="F474" s="212"/>
      <c r="G474" s="212"/>
      <c r="H474" s="28"/>
      <c r="I474" s="28" t="s">
        <v>127</v>
      </c>
      <c r="J474" s="689">
        <f>P469</f>
        <v>100</v>
      </c>
      <c r="K474" s="689"/>
      <c r="L474" s="28" t="s">
        <v>315</v>
      </c>
      <c r="M474" s="217">
        <v>1000</v>
      </c>
      <c r="N474" s="102" t="s">
        <v>342</v>
      </c>
      <c r="O474" s="28" t="s">
        <v>611</v>
      </c>
      <c r="P474" s="28" t="s">
        <v>315</v>
      </c>
      <c r="Q474" s="28">
        <f>P471</f>
        <v>132</v>
      </c>
      <c r="R474" s="47"/>
      <c r="S474" s="14"/>
      <c r="T474" s="18"/>
      <c r="U474" s="18"/>
      <c r="V474" s="97"/>
    </row>
    <row r="475" spans="1:22" ht="18" hidden="1" customHeight="1">
      <c r="A475" s="216"/>
      <c r="B475" s="212"/>
      <c r="C475" s="212"/>
      <c r="D475" s="212"/>
      <c r="E475" s="212"/>
      <c r="F475" s="212"/>
      <c r="G475" s="212"/>
      <c r="H475" s="14"/>
      <c r="I475" s="28" t="s">
        <v>127</v>
      </c>
      <c r="J475" s="692">
        <f>(P469*1000)/(SQRT(3)*P471)</f>
        <v>437.38656756789834</v>
      </c>
      <c r="K475" s="692"/>
      <c r="L475" s="14" t="s">
        <v>8</v>
      </c>
      <c r="M475" s="120"/>
      <c r="N475" s="120"/>
      <c r="O475" s="120"/>
      <c r="P475" s="14"/>
      <c r="Q475" s="14"/>
      <c r="R475" s="14"/>
      <c r="S475" s="14"/>
      <c r="T475" s="18"/>
      <c r="U475" s="18"/>
      <c r="V475" s="97"/>
    </row>
    <row r="476" spans="1:22" ht="18" hidden="1" customHeight="1">
      <c r="A476" s="216"/>
      <c r="B476" s="212"/>
      <c r="C476" s="212"/>
      <c r="D476" s="212"/>
      <c r="E476" s="212"/>
      <c r="F476" s="14"/>
      <c r="G476" s="212"/>
      <c r="H476" s="28"/>
      <c r="I476" s="103"/>
      <c r="J476" s="28"/>
      <c r="K476" s="14"/>
      <c r="L476" s="14"/>
      <c r="M476" s="212"/>
      <c r="N476" s="219"/>
      <c r="O476" s="212"/>
      <c r="P476" s="14"/>
      <c r="Q476" s="14"/>
      <c r="R476" s="14"/>
      <c r="S476" s="14"/>
      <c r="T476" s="18"/>
      <c r="U476" s="18"/>
      <c r="V476" s="97"/>
    </row>
    <row r="477" spans="1:22" ht="18" hidden="1" customHeight="1">
      <c r="A477" s="147" t="s">
        <v>629</v>
      </c>
      <c r="B477" s="5"/>
      <c r="C477" s="5"/>
      <c r="D477" s="5"/>
      <c r="E477" s="5"/>
      <c r="F477" s="212"/>
      <c r="G477" s="212"/>
      <c r="H477" s="5"/>
      <c r="I477" s="5"/>
      <c r="J477" s="5"/>
      <c r="K477" s="5"/>
      <c r="L477" s="103"/>
      <c r="M477" s="103"/>
      <c r="N477" s="103"/>
      <c r="O477" s="103"/>
      <c r="P477" s="212"/>
      <c r="Q477" s="213"/>
      <c r="R477" s="14"/>
      <c r="S477" s="220"/>
      <c r="T477" s="18"/>
      <c r="U477" s="18"/>
      <c r="V477" s="97"/>
    </row>
    <row r="478" spans="1:22" ht="18" hidden="1" customHeight="1">
      <c r="A478" s="147"/>
      <c r="B478" s="5"/>
      <c r="C478" s="5"/>
      <c r="D478" s="5"/>
      <c r="E478" s="5"/>
      <c r="F478" s="212"/>
      <c r="G478" s="212"/>
      <c r="H478" s="5"/>
      <c r="I478" s="5"/>
      <c r="J478" s="5"/>
      <c r="K478" s="5"/>
      <c r="L478" s="103"/>
      <c r="M478" s="103"/>
      <c r="N478" s="103"/>
      <c r="O478" s="103"/>
      <c r="P478" s="212"/>
      <c r="Q478" s="213"/>
      <c r="R478" s="14"/>
      <c r="S478" s="214"/>
      <c r="T478" s="18"/>
      <c r="U478" s="18"/>
      <c r="V478" s="97"/>
    </row>
    <row r="479" spans="1:22" ht="18" hidden="1" customHeight="1">
      <c r="A479" s="184"/>
      <c r="B479" s="14" t="s">
        <v>612</v>
      </c>
      <c r="C479" s="14"/>
      <c r="D479" s="14"/>
      <c r="E479" s="14"/>
      <c r="M479" s="120" t="s">
        <v>613</v>
      </c>
      <c r="N479" s="28" t="s">
        <v>127</v>
      </c>
      <c r="O479" s="689" t="s">
        <v>609</v>
      </c>
      <c r="P479" s="716"/>
      <c r="Q479" s="221" t="s">
        <v>630</v>
      </c>
      <c r="R479" s="221">
        <v>16</v>
      </c>
      <c r="S479" s="214"/>
      <c r="V479" s="185"/>
    </row>
    <row r="480" spans="1:22" ht="18" hidden="1" customHeight="1">
      <c r="A480" s="96"/>
      <c r="B480" s="5"/>
      <c r="C480" s="5"/>
      <c r="D480" s="5"/>
      <c r="E480" s="5"/>
      <c r="M480" s="250"/>
      <c r="N480" s="28" t="s">
        <v>127</v>
      </c>
      <c r="O480" s="689">
        <f>+J475</f>
        <v>437.38656756789834</v>
      </c>
      <c r="P480" s="716"/>
      <c r="Q480" s="221" t="s">
        <v>630</v>
      </c>
      <c r="R480" s="221">
        <v>16</v>
      </c>
      <c r="S480" s="214"/>
      <c r="V480" s="185"/>
    </row>
    <row r="481" spans="1:22" ht="18" hidden="1" customHeight="1">
      <c r="A481" s="96"/>
      <c r="B481" s="5"/>
      <c r="C481" s="5"/>
      <c r="D481" s="5"/>
      <c r="E481" s="5"/>
      <c r="M481" s="120" t="s">
        <v>613</v>
      </c>
      <c r="N481" s="28" t="s">
        <v>127</v>
      </c>
      <c r="O481" s="689">
        <f>O480*R480</f>
        <v>6998.1850810863734</v>
      </c>
      <c r="P481" s="716"/>
      <c r="Q481" s="241" t="s">
        <v>8</v>
      </c>
      <c r="R481" s="14"/>
      <c r="S481" s="214"/>
      <c r="V481" s="185"/>
    </row>
    <row r="482" spans="1:22" ht="18" hidden="1" customHeight="1">
      <c r="A482" s="96"/>
      <c r="B482" s="5"/>
      <c r="C482" s="5"/>
      <c r="D482" s="5"/>
      <c r="E482" s="5"/>
      <c r="M482" s="212"/>
      <c r="N482" s="212"/>
      <c r="O482" s="103"/>
      <c r="Q482" s="223"/>
      <c r="R482" s="14"/>
      <c r="S482" s="214"/>
      <c r="V482" s="185"/>
    </row>
    <row r="483" spans="1:22" ht="18" hidden="1" customHeight="1">
      <c r="A483" s="678" t="s">
        <v>639</v>
      </c>
      <c r="B483" s="1207"/>
      <c r="C483" s="1207"/>
      <c r="D483" s="1207"/>
      <c r="E483" s="1207"/>
      <c r="F483" s="1207"/>
      <c r="G483" s="1207"/>
      <c r="H483" s="1207"/>
      <c r="I483" s="1207"/>
      <c r="J483" s="1207"/>
      <c r="K483" s="1207"/>
      <c r="L483" s="1207"/>
      <c r="M483" s="1207"/>
      <c r="N483" s="1207"/>
      <c r="O483" s="1207"/>
      <c r="P483" s="1207"/>
      <c r="Q483" s="1207"/>
      <c r="R483" s="1207"/>
      <c r="S483" s="1207"/>
      <c r="T483" s="1207"/>
      <c r="U483" s="1207"/>
      <c r="V483" s="1208"/>
    </row>
    <row r="484" spans="1:22" ht="18" hidden="1" customHeight="1">
      <c r="A484" s="1209"/>
      <c r="B484" s="1207"/>
      <c r="C484" s="1207"/>
      <c r="D484" s="1207"/>
      <c r="E484" s="1207"/>
      <c r="F484" s="1207"/>
      <c r="G484" s="1207"/>
      <c r="H484" s="1207"/>
      <c r="I484" s="1207"/>
      <c r="J484" s="1207"/>
      <c r="K484" s="1207"/>
      <c r="L484" s="1207"/>
      <c r="M484" s="1207"/>
      <c r="N484" s="1207"/>
      <c r="O484" s="1207"/>
      <c r="P484" s="1207"/>
      <c r="Q484" s="1207"/>
      <c r="R484" s="1207"/>
      <c r="S484" s="1207"/>
      <c r="T484" s="1207"/>
      <c r="U484" s="1207"/>
      <c r="V484" s="1208"/>
    </row>
    <row r="485" spans="1:22" ht="18" hidden="1" customHeight="1">
      <c r="A485" s="231"/>
      <c r="B485" s="232"/>
      <c r="C485" s="232"/>
      <c r="D485" s="232"/>
      <c r="E485" s="232"/>
      <c r="F485" s="232"/>
      <c r="G485" s="232"/>
      <c r="H485" s="232"/>
      <c r="I485" s="232"/>
      <c r="J485" s="232"/>
      <c r="K485" s="232"/>
      <c r="L485" s="232"/>
      <c r="M485" s="232"/>
      <c r="N485" s="232"/>
      <c r="O485" s="232"/>
      <c r="P485" s="232"/>
      <c r="Q485" s="232"/>
      <c r="R485" s="232"/>
      <c r="S485" s="232"/>
      <c r="T485" s="232"/>
      <c r="U485" s="232"/>
      <c r="V485" s="233"/>
    </row>
    <row r="486" spans="1:22" ht="18" hidden="1" customHeight="1">
      <c r="A486" s="184"/>
      <c r="V486" s="185"/>
    </row>
    <row r="487" spans="1:22" ht="18" hidden="1" customHeight="1">
      <c r="A487" s="184"/>
      <c r="I487" s="14" t="s">
        <v>129</v>
      </c>
      <c r="J487" s="14" t="s">
        <v>170</v>
      </c>
      <c r="V487" s="185"/>
    </row>
    <row r="488" spans="1:22" ht="18" hidden="1" customHeight="1">
      <c r="A488" s="194"/>
      <c r="B488" s="195"/>
      <c r="C488" s="195"/>
      <c r="D488" s="195"/>
      <c r="E488" s="195"/>
      <c r="F488" s="195"/>
      <c r="G488" s="195"/>
      <c r="H488" s="195"/>
      <c r="I488" s="195"/>
      <c r="J488" s="195"/>
      <c r="K488" s="195"/>
      <c r="L488" s="195"/>
      <c r="M488" s="195"/>
      <c r="N488" s="195"/>
      <c r="O488" s="195"/>
      <c r="P488" s="195"/>
      <c r="Q488" s="224"/>
      <c r="R488" s="182"/>
      <c r="S488" s="225"/>
      <c r="T488" s="195"/>
      <c r="U488" s="195"/>
      <c r="V488" s="134"/>
    </row>
    <row r="489" spans="1:22" ht="18" hidden="1" customHeight="1">
      <c r="A489" s="226"/>
      <c r="B489" s="227"/>
      <c r="C489" s="227"/>
      <c r="D489" s="227"/>
      <c r="E489" s="227"/>
      <c r="F489" s="227"/>
      <c r="G489" s="227"/>
      <c r="H489" s="227"/>
      <c r="I489" s="227"/>
      <c r="J489" s="227"/>
      <c r="K489" s="227"/>
      <c r="L489" s="227"/>
      <c r="M489" s="227"/>
      <c r="N489" s="227"/>
      <c r="O489" s="227"/>
      <c r="P489" s="227"/>
      <c r="Q489" s="227"/>
      <c r="R489" s="227"/>
      <c r="S489" s="227"/>
      <c r="T489" s="227"/>
      <c r="U489" s="227"/>
      <c r="V489" s="228"/>
    </row>
    <row r="490" spans="1:22" ht="18" hidden="1" customHeight="1">
      <c r="A490" s="799" t="s">
        <v>417</v>
      </c>
      <c r="B490" s="802"/>
      <c r="C490" s="802"/>
      <c r="D490" s="689">
        <v>30</v>
      </c>
      <c r="E490" s="689" t="s">
        <v>315</v>
      </c>
      <c r="F490" s="689" t="s">
        <v>609</v>
      </c>
      <c r="G490" s="684"/>
      <c r="H490" s="689" t="s">
        <v>315</v>
      </c>
      <c r="I490" s="708" t="s">
        <v>411</v>
      </c>
      <c r="J490" s="828"/>
      <c r="K490" s="689" t="s">
        <v>315</v>
      </c>
      <c r="L490" s="802" t="s">
        <v>419</v>
      </c>
      <c r="M490" s="716" t="s">
        <v>420</v>
      </c>
      <c r="N490" s="729" t="s">
        <v>347</v>
      </c>
      <c r="O490" s="716" t="s">
        <v>408</v>
      </c>
      <c r="P490" s="689" t="s">
        <v>347</v>
      </c>
      <c r="Q490" s="759" t="s">
        <v>421</v>
      </c>
      <c r="R490" s="797"/>
      <c r="S490" s="797"/>
      <c r="T490" s="798" t="s">
        <v>350</v>
      </c>
      <c r="U490" s="230" t="s">
        <v>422</v>
      </c>
      <c r="V490" s="97"/>
    </row>
    <row r="491" spans="1:22" ht="18" hidden="1" customHeight="1">
      <c r="A491" s="827"/>
      <c r="B491" s="802"/>
      <c r="C491" s="802"/>
      <c r="D491" s="689"/>
      <c r="E491" s="689"/>
      <c r="F491" s="684"/>
      <c r="G491" s="684"/>
      <c r="H491" s="689"/>
      <c r="I491" s="689" t="s">
        <v>423</v>
      </c>
      <c r="J491" s="723"/>
      <c r="K491" s="689"/>
      <c r="L491" s="802"/>
      <c r="M491" s="716"/>
      <c r="N491" s="729"/>
      <c r="O491" s="716"/>
      <c r="P491" s="689"/>
      <c r="Q491" s="28" t="s">
        <v>146</v>
      </c>
      <c r="R491" s="28" t="s">
        <v>315</v>
      </c>
      <c r="S491" s="28" t="s">
        <v>146</v>
      </c>
      <c r="T491" s="798"/>
      <c r="U491" s="14"/>
      <c r="V491" s="97"/>
    </row>
    <row r="492" spans="1:22" ht="18" hidden="1" customHeight="1">
      <c r="A492" s="184"/>
      <c r="V492" s="185"/>
    </row>
    <row r="493" spans="1:22" ht="18" hidden="1" customHeight="1">
      <c r="A493" s="799" t="s">
        <v>417</v>
      </c>
      <c r="B493" s="802"/>
      <c r="C493" s="802"/>
      <c r="D493" s="689">
        <v>2</v>
      </c>
      <c r="E493" s="689" t="s">
        <v>315</v>
      </c>
      <c r="F493" s="689" t="s">
        <v>613</v>
      </c>
      <c r="G493" s="684"/>
      <c r="H493" s="689" t="s">
        <v>315</v>
      </c>
      <c r="I493" s="708" t="s">
        <v>411</v>
      </c>
      <c r="J493" s="828"/>
      <c r="K493" s="689" t="s">
        <v>315</v>
      </c>
      <c r="L493" s="802" t="s">
        <v>419</v>
      </c>
      <c r="M493" s="716" t="s">
        <v>420</v>
      </c>
      <c r="N493" s="729" t="s">
        <v>347</v>
      </c>
      <c r="O493" s="716" t="s">
        <v>408</v>
      </c>
      <c r="P493" s="689" t="s">
        <v>347</v>
      </c>
      <c r="Q493" s="759" t="s">
        <v>421</v>
      </c>
      <c r="R493" s="797"/>
      <c r="S493" s="797"/>
      <c r="T493" s="798" t="s">
        <v>350</v>
      </c>
      <c r="U493" s="230" t="s">
        <v>426</v>
      </c>
      <c r="V493" s="97"/>
    </row>
    <row r="494" spans="1:22" ht="18" hidden="1" customHeight="1">
      <c r="A494" s="827"/>
      <c r="B494" s="802"/>
      <c r="C494" s="802"/>
      <c r="D494" s="689"/>
      <c r="E494" s="689"/>
      <c r="F494" s="684"/>
      <c r="G494" s="684"/>
      <c r="H494" s="689"/>
      <c r="I494" s="689" t="s">
        <v>423</v>
      </c>
      <c r="J494" s="723"/>
      <c r="K494" s="689"/>
      <c r="L494" s="802"/>
      <c r="M494" s="716"/>
      <c r="N494" s="729"/>
      <c r="O494" s="716"/>
      <c r="P494" s="689"/>
      <c r="Q494" s="28" t="s">
        <v>146</v>
      </c>
      <c r="R494" s="28" t="s">
        <v>315</v>
      </c>
      <c r="S494" s="28" t="s">
        <v>146</v>
      </c>
      <c r="T494" s="798"/>
      <c r="U494" s="14"/>
      <c r="V494" s="97"/>
    </row>
    <row r="495" spans="1:22" ht="18" hidden="1" customHeight="1">
      <c r="A495" s="184"/>
      <c r="V495" s="185"/>
    </row>
    <row r="496" spans="1:22" ht="18" hidden="1" customHeight="1">
      <c r="A496" s="678" t="s">
        <v>616</v>
      </c>
      <c r="B496" s="1207"/>
      <c r="C496" s="1207"/>
      <c r="D496" s="1207"/>
      <c r="E496" s="1207"/>
      <c r="F496" s="1207"/>
      <c r="G496" s="1207"/>
      <c r="H496" s="1207"/>
      <c r="I496" s="1207"/>
      <c r="J496" s="1207"/>
      <c r="K496" s="1207"/>
      <c r="L496" s="1207"/>
      <c r="M496" s="1207"/>
      <c r="N496" s="1207"/>
      <c r="O496" s="1207"/>
      <c r="P496" s="1207"/>
      <c r="Q496" s="1207"/>
      <c r="R496" s="1207"/>
      <c r="S496" s="1207"/>
      <c r="T496" s="1207"/>
      <c r="U496" s="1207"/>
      <c r="V496" s="1208"/>
    </row>
    <row r="497" spans="1:22" ht="18" hidden="1" customHeight="1">
      <c r="A497" s="1209"/>
      <c r="B497" s="1207"/>
      <c r="C497" s="1207"/>
      <c r="D497" s="1207"/>
      <c r="E497" s="1207"/>
      <c r="F497" s="1207"/>
      <c r="G497" s="1207"/>
      <c r="H497" s="1207"/>
      <c r="I497" s="1207"/>
      <c r="J497" s="1207"/>
      <c r="K497" s="1207"/>
      <c r="L497" s="1207"/>
      <c r="M497" s="1207"/>
      <c r="N497" s="1207"/>
      <c r="O497" s="1207"/>
      <c r="P497" s="1207"/>
      <c r="Q497" s="1207"/>
      <c r="R497" s="1207"/>
      <c r="S497" s="1207"/>
      <c r="T497" s="1207"/>
      <c r="U497" s="1207"/>
      <c r="V497" s="1208"/>
    </row>
    <row r="498" spans="1:22" ht="18" hidden="1" customHeight="1">
      <c r="A498" s="231"/>
      <c r="B498" s="232"/>
      <c r="C498" s="232"/>
      <c r="D498" s="232"/>
      <c r="E498" s="232"/>
      <c r="F498" s="232"/>
      <c r="G498" s="232"/>
      <c r="H498" s="232"/>
      <c r="I498" s="232"/>
      <c r="J498" s="232"/>
      <c r="K498" s="232"/>
      <c r="L498" s="232"/>
      <c r="M498" s="232"/>
      <c r="N498" s="232"/>
      <c r="O498" s="232"/>
      <c r="P498" s="232"/>
      <c r="Q498" s="232"/>
      <c r="R498" s="232"/>
      <c r="S498" s="232"/>
      <c r="T498" s="232"/>
      <c r="U498" s="232"/>
      <c r="V498" s="233"/>
    </row>
    <row r="499" spans="1:22" ht="18" hidden="1" customHeight="1">
      <c r="A499" s="799" t="s">
        <v>417</v>
      </c>
      <c r="B499" s="802"/>
      <c r="C499" s="802"/>
      <c r="D499" s="689"/>
      <c r="E499" s="689"/>
      <c r="F499" s="689" t="s">
        <v>617</v>
      </c>
      <c r="G499" s="684"/>
      <c r="H499" s="689" t="s">
        <v>315</v>
      </c>
      <c r="I499" s="708" t="s">
        <v>411</v>
      </c>
      <c r="J499" s="828"/>
      <c r="K499" s="689" t="s">
        <v>315</v>
      </c>
      <c r="L499" s="802" t="s">
        <v>419</v>
      </c>
      <c r="M499" s="716" t="s">
        <v>420</v>
      </c>
      <c r="N499" s="729" t="s">
        <v>347</v>
      </c>
      <c r="O499" s="716" t="s">
        <v>408</v>
      </c>
      <c r="P499" s="689" t="s">
        <v>347</v>
      </c>
      <c r="Q499" s="759" t="s">
        <v>421</v>
      </c>
      <c r="R499" s="797"/>
      <c r="S499" s="797"/>
      <c r="T499" s="798" t="s">
        <v>350</v>
      </c>
      <c r="U499" s="230" t="s">
        <v>618</v>
      </c>
      <c r="V499" s="97"/>
    </row>
    <row r="500" spans="1:22" ht="18" hidden="1" customHeight="1">
      <c r="A500" s="827"/>
      <c r="B500" s="802"/>
      <c r="C500" s="802"/>
      <c r="D500" s="689"/>
      <c r="E500" s="689"/>
      <c r="F500" s="684"/>
      <c r="G500" s="684"/>
      <c r="H500" s="689"/>
      <c r="I500" s="689" t="s">
        <v>423</v>
      </c>
      <c r="J500" s="723"/>
      <c r="K500" s="689"/>
      <c r="L500" s="802"/>
      <c r="M500" s="716"/>
      <c r="N500" s="729"/>
      <c r="O500" s="716"/>
      <c r="P500" s="689"/>
      <c r="Q500" s="28" t="s">
        <v>146</v>
      </c>
      <c r="R500" s="28" t="s">
        <v>315</v>
      </c>
      <c r="S500" s="28" t="s">
        <v>146</v>
      </c>
      <c r="T500" s="798"/>
      <c r="U500" s="14"/>
      <c r="V500" s="97"/>
    </row>
    <row r="501" spans="1:22" ht="18" hidden="1" customHeight="1">
      <c r="A501" s="96"/>
      <c r="B501" s="14"/>
      <c r="C501" s="14"/>
      <c r="D501" s="28"/>
      <c r="E501" s="28"/>
      <c r="F501" s="27"/>
      <c r="G501" s="27"/>
      <c r="H501" s="28"/>
      <c r="I501" s="28"/>
      <c r="K501" s="28"/>
      <c r="L501" s="120"/>
      <c r="M501" s="14"/>
      <c r="N501" s="102"/>
      <c r="O501" s="14"/>
      <c r="P501" s="28"/>
      <c r="Q501" s="28"/>
      <c r="R501" s="28"/>
      <c r="S501" s="28"/>
      <c r="T501" s="40"/>
      <c r="U501" s="14"/>
      <c r="V501" s="97"/>
    </row>
    <row r="502" spans="1:22" ht="18" hidden="1" customHeight="1">
      <c r="A502" s="184"/>
      <c r="H502" s="30" t="s">
        <v>619</v>
      </c>
      <c r="M502" s="781" t="s">
        <v>620</v>
      </c>
      <c r="N502" s="782"/>
      <c r="V502" s="185"/>
    </row>
    <row r="503" spans="1:22" ht="18" hidden="1" customHeight="1">
      <c r="A503" s="96"/>
      <c r="B503" s="14"/>
      <c r="C503" s="14"/>
      <c r="D503" s="28"/>
      <c r="E503" s="28"/>
      <c r="F503" s="27"/>
      <c r="G503" s="27"/>
      <c r="H503" s="28"/>
      <c r="I503" s="28"/>
      <c r="K503" s="28"/>
      <c r="L503" s="120"/>
      <c r="M503" s="14"/>
      <c r="N503" s="102"/>
      <c r="O503" s="14"/>
      <c r="P503" s="28"/>
      <c r="Q503" s="28"/>
      <c r="R503" s="28"/>
      <c r="S503" s="28"/>
      <c r="T503" s="40"/>
      <c r="U503" s="14"/>
      <c r="V503" s="97"/>
    </row>
    <row r="504" spans="1:22" ht="18" hidden="1" customHeight="1">
      <c r="A504" s="184"/>
      <c r="B504" s="14" t="s">
        <v>427</v>
      </c>
      <c r="C504" s="14"/>
      <c r="D504" s="103"/>
      <c r="E504" s="103"/>
      <c r="F504" s="14"/>
      <c r="G504" s="14"/>
      <c r="H504" s="5"/>
      <c r="I504" s="5"/>
      <c r="J504" s="5"/>
      <c r="P504" s="120" t="s">
        <v>428</v>
      </c>
      <c r="V504" s="185"/>
    </row>
    <row r="505" spans="1:22" ht="18" hidden="1" customHeight="1">
      <c r="A505" s="184"/>
      <c r="B505" s="14" t="s">
        <v>429</v>
      </c>
      <c r="C505" s="14"/>
      <c r="D505" s="103"/>
      <c r="E505" s="103"/>
      <c r="F505" s="14"/>
      <c r="G505" s="14"/>
      <c r="H505" s="5"/>
      <c r="I505" s="5"/>
      <c r="J505" s="5"/>
      <c r="P505" s="120" t="s">
        <v>430</v>
      </c>
      <c r="Q505" s="234" t="s">
        <v>127</v>
      </c>
      <c r="R505" s="684">
        <f>H454</f>
        <v>1200</v>
      </c>
      <c r="S505" s="684"/>
      <c r="T505" s="14" t="s">
        <v>8</v>
      </c>
      <c r="V505" s="185"/>
    </row>
    <row r="506" spans="1:22" ht="18" hidden="1" customHeight="1">
      <c r="A506" s="184"/>
      <c r="B506" s="14" t="s">
        <v>621</v>
      </c>
      <c r="C506" s="14"/>
      <c r="D506" s="14"/>
      <c r="E506" s="14"/>
      <c r="F506" s="14"/>
      <c r="G506" s="14"/>
      <c r="H506" s="14"/>
      <c r="I506" s="14"/>
      <c r="J506" s="14"/>
      <c r="P506" s="120" t="s">
        <v>609</v>
      </c>
      <c r="Q506" s="234" t="s">
        <v>127</v>
      </c>
      <c r="R506" s="795">
        <f>J475</f>
        <v>437.38656756789834</v>
      </c>
      <c r="S506" s="684"/>
      <c r="T506" s="14" t="s">
        <v>8</v>
      </c>
      <c r="V506" s="185"/>
    </row>
    <row r="507" spans="1:22" ht="18" hidden="1" customHeight="1">
      <c r="A507" s="184"/>
      <c r="B507" s="14" t="s">
        <v>622</v>
      </c>
      <c r="C507" s="14"/>
      <c r="D507" s="14"/>
      <c r="E507" s="14"/>
      <c r="F507" s="14"/>
      <c r="G507" s="14"/>
      <c r="H507" s="14"/>
      <c r="I507" s="14"/>
      <c r="J507" s="14"/>
      <c r="P507" s="120" t="s">
        <v>613</v>
      </c>
      <c r="Q507" s="234" t="s">
        <v>127</v>
      </c>
      <c r="R507" s="684">
        <f>O481</f>
        <v>6998.1850810863734</v>
      </c>
      <c r="S507" s="684"/>
      <c r="T507" s="14" t="s">
        <v>8</v>
      </c>
      <c r="V507" s="185"/>
    </row>
    <row r="508" spans="1:22" ht="18" hidden="1" customHeight="1">
      <c r="A508" s="184"/>
      <c r="B508" s="235" t="s">
        <v>623</v>
      </c>
      <c r="C508" s="14"/>
      <c r="D508" s="14"/>
      <c r="E508" s="14"/>
      <c r="F508" s="14"/>
      <c r="G508" s="14"/>
      <c r="H508" s="14"/>
      <c r="I508" s="14"/>
      <c r="J508" s="14"/>
      <c r="P508" s="120"/>
      <c r="Q508" s="236"/>
      <c r="R508" s="27"/>
      <c r="S508" s="27"/>
      <c r="T508" s="14"/>
      <c r="V508" s="185"/>
    </row>
    <row r="509" spans="1:22" ht="18" hidden="1" customHeight="1">
      <c r="A509" s="184"/>
      <c r="B509" s="14" t="s">
        <v>622</v>
      </c>
      <c r="C509" s="14"/>
      <c r="D509" s="14"/>
      <c r="E509" s="14"/>
      <c r="F509" s="14"/>
      <c r="G509" s="14"/>
      <c r="H509" s="14"/>
      <c r="I509" s="14"/>
      <c r="J509" s="14"/>
      <c r="P509" s="120" t="s">
        <v>617</v>
      </c>
      <c r="Q509" s="234" t="s">
        <v>127</v>
      </c>
      <c r="R509" s="684" t="str">
        <f>IF(M502="Y",'[2]Parameters &amp; Fault Cal.'!Q33,"-")</f>
        <v>-</v>
      </c>
      <c r="S509" s="684"/>
      <c r="T509" s="14" t="s">
        <v>8</v>
      </c>
      <c r="V509" s="185"/>
    </row>
    <row r="510" spans="1:22" ht="18" hidden="1" customHeight="1">
      <c r="A510" s="184"/>
      <c r="B510" s="235" t="s">
        <v>624</v>
      </c>
      <c r="C510" s="14"/>
      <c r="D510" s="14"/>
      <c r="E510" s="14"/>
      <c r="F510" s="14"/>
      <c r="G510" s="14"/>
      <c r="H510" s="14"/>
      <c r="I510" s="14"/>
      <c r="J510" s="14"/>
      <c r="R510" s="27"/>
      <c r="S510" s="27"/>
      <c r="T510" s="14"/>
      <c r="V510" s="185"/>
    </row>
    <row r="511" spans="1:22" ht="18" hidden="1" customHeight="1">
      <c r="A511" s="184"/>
      <c r="B511" s="14" t="s">
        <v>435</v>
      </c>
      <c r="C511" s="14"/>
      <c r="D511" s="103"/>
      <c r="E511" s="103"/>
      <c r="F511" s="14"/>
      <c r="G511" s="14"/>
      <c r="H511" s="5"/>
      <c r="I511" s="5"/>
      <c r="J511" s="5"/>
      <c r="P511" s="120" t="s">
        <v>436</v>
      </c>
      <c r="Q511" s="234" t="s">
        <v>127</v>
      </c>
      <c r="R511" s="684">
        <f>O454</f>
        <v>1</v>
      </c>
      <c r="S511" s="684"/>
      <c r="T511" s="14" t="s">
        <v>8</v>
      </c>
      <c r="V511" s="185"/>
    </row>
    <row r="512" spans="1:22" ht="18" hidden="1" customHeight="1">
      <c r="A512" s="184"/>
      <c r="B512" s="14" t="s">
        <v>437</v>
      </c>
      <c r="C512" s="14"/>
      <c r="D512" s="103"/>
      <c r="E512" s="103"/>
      <c r="F512" s="14"/>
      <c r="G512" s="14"/>
      <c r="H512" s="5"/>
      <c r="I512" s="5"/>
      <c r="J512" s="5"/>
      <c r="P512" s="120" t="s">
        <v>438</v>
      </c>
      <c r="Q512" s="234" t="s">
        <v>127</v>
      </c>
      <c r="R512" s="684">
        <f>'CT-VT Burdens'!S18</f>
        <v>1</v>
      </c>
      <c r="S512" s="684"/>
      <c r="T512" s="14" t="s">
        <v>8</v>
      </c>
      <c r="V512" s="185"/>
    </row>
    <row r="513" spans="1:22" ht="18" hidden="1" customHeight="1">
      <c r="A513" s="184"/>
      <c r="B513" s="14" t="s">
        <v>439</v>
      </c>
      <c r="C513" s="14"/>
      <c r="D513" s="103"/>
      <c r="E513" s="103"/>
      <c r="F513" s="14"/>
      <c r="G513" s="14"/>
      <c r="H513" s="5"/>
      <c r="I513" s="5"/>
      <c r="J513" s="5"/>
      <c r="P513" s="120" t="s">
        <v>440</v>
      </c>
      <c r="Q513" s="234" t="s">
        <v>127</v>
      </c>
      <c r="R513" s="684">
        <f>H456</f>
        <v>5</v>
      </c>
      <c r="S513" s="684"/>
      <c r="T513" s="192" t="s">
        <v>333</v>
      </c>
      <c r="V513" s="185"/>
    </row>
    <row r="514" spans="1:22" ht="18" hidden="1" customHeight="1">
      <c r="A514" s="184"/>
      <c r="B514" s="14" t="s">
        <v>625</v>
      </c>
      <c r="C514" s="14"/>
      <c r="D514" s="14"/>
      <c r="E514" s="14"/>
      <c r="F514" s="14"/>
      <c r="G514" s="14"/>
      <c r="H514" s="14"/>
      <c r="I514" s="14"/>
      <c r="J514" s="14"/>
      <c r="P514" s="237" t="s">
        <v>441</v>
      </c>
      <c r="Q514" s="234" t="s">
        <v>127</v>
      </c>
      <c r="R514" s="795">
        <f>P466</f>
        <v>1.25652618</v>
      </c>
      <c r="S514" s="684"/>
      <c r="T514" s="192" t="s">
        <v>333</v>
      </c>
      <c r="V514" s="185"/>
    </row>
    <row r="515" spans="1:22" ht="18" hidden="1" customHeight="1">
      <c r="A515" s="184"/>
      <c r="B515" s="40" t="s">
        <v>442</v>
      </c>
      <c r="C515" s="14"/>
      <c r="D515" s="14"/>
      <c r="E515" s="14"/>
      <c r="F515" s="14"/>
      <c r="G515" s="14"/>
      <c r="H515" s="5"/>
      <c r="I515" s="5"/>
      <c r="J515" s="5"/>
      <c r="P515" s="237" t="s">
        <v>443</v>
      </c>
      <c r="Q515" s="234" t="s">
        <v>127</v>
      </c>
      <c r="R515" s="795">
        <f>J462</f>
        <v>0.02</v>
      </c>
      <c r="S515" s="684"/>
      <c r="T515" s="14" t="s">
        <v>157</v>
      </c>
      <c r="V515" s="185"/>
    </row>
    <row r="516" spans="1:22" ht="18" hidden="1" customHeight="1">
      <c r="A516" s="184"/>
      <c r="V516" s="185"/>
    </row>
    <row r="517" spans="1:22" ht="18" hidden="1" customHeight="1">
      <c r="A517" s="799" t="s">
        <v>417</v>
      </c>
      <c r="B517" s="802"/>
      <c r="C517" s="802"/>
      <c r="D517" s="689">
        <v>30</v>
      </c>
      <c r="E517" s="689" t="s">
        <v>315</v>
      </c>
      <c r="F517" s="689">
        <f>R506</f>
        <v>437.38656756789834</v>
      </c>
      <c r="G517" s="684"/>
      <c r="H517" s="689" t="s">
        <v>315</v>
      </c>
      <c r="I517" s="708">
        <f>R511</f>
        <v>1</v>
      </c>
      <c r="J517" s="828"/>
      <c r="K517" s="689" t="s">
        <v>315</v>
      </c>
      <c r="L517" s="716" t="s">
        <v>419</v>
      </c>
      <c r="M517" s="716">
        <f>R513</f>
        <v>5</v>
      </c>
      <c r="N517" s="729" t="s">
        <v>347</v>
      </c>
      <c r="O517" s="1214">
        <f>R514</f>
        <v>1.25652618</v>
      </c>
      <c r="P517" s="689" t="s">
        <v>347</v>
      </c>
      <c r="Q517" s="833">
        <f>R515</f>
        <v>0.02</v>
      </c>
      <c r="R517" s="797"/>
      <c r="S517" s="797"/>
      <c r="T517" s="798" t="s">
        <v>350</v>
      </c>
      <c r="U517" s="230" t="s">
        <v>422</v>
      </c>
      <c r="V517" s="97"/>
    </row>
    <row r="518" spans="1:22" ht="18" hidden="1" customHeight="1">
      <c r="A518" s="827"/>
      <c r="B518" s="802"/>
      <c r="C518" s="802"/>
      <c r="D518" s="689"/>
      <c r="E518" s="689"/>
      <c r="F518" s="684"/>
      <c r="G518" s="684"/>
      <c r="H518" s="689"/>
      <c r="I518" s="689">
        <f>R505</f>
        <v>1200</v>
      </c>
      <c r="J518" s="723"/>
      <c r="K518" s="689"/>
      <c r="L518" s="716"/>
      <c r="M518" s="716"/>
      <c r="N518" s="729"/>
      <c r="O518" s="716"/>
      <c r="P518" s="689"/>
      <c r="Q518" s="28">
        <f>R512</f>
        <v>1</v>
      </c>
      <c r="R518" s="28" t="s">
        <v>315</v>
      </c>
      <c r="S518" s="28">
        <f>R512</f>
        <v>1</v>
      </c>
      <c r="T518" s="798"/>
      <c r="U518" s="14"/>
      <c r="V518" s="97"/>
    </row>
    <row r="519" spans="1:22" ht="18" hidden="1" customHeight="1">
      <c r="A519" s="184"/>
      <c r="V519" s="185"/>
    </row>
    <row r="520" spans="1:22" ht="18" hidden="1" customHeight="1">
      <c r="A520" s="184"/>
      <c r="C520" s="30" t="s">
        <v>127</v>
      </c>
      <c r="D520" s="812">
        <f>D517*F517*(I517/I518)*(M517+O517+(Q517/(Q518*S518)))</f>
        <v>68.631706053006326</v>
      </c>
      <c r="E520" s="813"/>
      <c r="F520" s="30" t="s">
        <v>305</v>
      </c>
      <c r="V520" s="185"/>
    </row>
    <row r="521" spans="1:22" ht="18" hidden="1" customHeight="1">
      <c r="A521" s="184"/>
      <c r="V521" s="185"/>
    </row>
    <row r="522" spans="1:22" ht="18" hidden="1" customHeight="1">
      <c r="A522" s="799" t="s">
        <v>417</v>
      </c>
      <c r="B522" s="802"/>
      <c r="C522" s="802"/>
      <c r="D522" s="689">
        <v>2</v>
      </c>
      <c r="E522" s="689" t="s">
        <v>315</v>
      </c>
      <c r="F522" s="689">
        <f>R507</f>
        <v>6998.1850810863734</v>
      </c>
      <c r="G522" s="684"/>
      <c r="H522" s="689" t="s">
        <v>315</v>
      </c>
      <c r="I522" s="708">
        <f>R511</f>
        <v>1</v>
      </c>
      <c r="J522" s="828"/>
      <c r="K522" s="689" t="s">
        <v>315</v>
      </c>
      <c r="L522" s="802" t="s">
        <v>419</v>
      </c>
      <c r="M522" s="716">
        <f>R513</f>
        <v>5</v>
      </c>
      <c r="N522" s="729" t="s">
        <v>347</v>
      </c>
      <c r="O522" s="1214">
        <f>R514</f>
        <v>1.25652618</v>
      </c>
      <c r="P522" s="689" t="s">
        <v>347</v>
      </c>
      <c r="Q522" s="833">
        <f>R515</f>
        <v>0.02</v>
      </c>
      <c r="R522" s="797"/>
      <c r="S522" s="797"/>
      <c r="T522" s="798" t="s">
        <v>350</v>
      </c>
      <c r="U522" s="230" t="s">
        <v>426</v>
      </c>
      <c r="V522" s="97"/>
    </row>
    <row r="523" spans="1:22" ht="18" hidden="1" customHeight="1">
      <c r="A523" s="827"/>
      <c r="B523" s="802"/>
      <c r="C523" s="802"/>
      <c r="D523" s="689"/>
      <c r="E523" s="689"/>
      <c r="F523" s="684"/>
      <c r="G523" s="684"/>
      <c r="H523" s="689"/>
      <c r="I523" s="689">
        <f>R505</f>
        <v>1200</v>
      </c>
      <c r="J523" s="723"/>
      <c r="K523" s="689"/>
      <c r="L523" s="802"/>
      <c r="M523" s="716"/>
      <c r="N523" s="729"/>
      <c r="O523" s="716"/>
      <c r="P523" s="689"/>
      <c r="Q523" s="28">
        <f>R512</f>
        <v>1</v>
      </c>
      <c r="R523" s="28" t="s">
        <v>315</v>
      </c>
      <c r="S523" s="28">
        <f>R512</f>
        <v>1</v>
      </c>
      <c r="T523" s="798"/>
      <c r="U523" s="14"/>
      <c r="V523" s="97"/>
    </row>
    <row r="524" spans="1:22" ht="18" hidden="1" customHeight="1">
      <c r="A524" s="184"/>
      <c r="L524" s="244"/>
      <c r="V524" s="185"/>
    </row>
    <row r="525" spans="1:22" ht="18" hidden="1" customHeight="1">
      <c r="A525" s="184"/>
      <c r="C525" s="30" t="s">
        <v>127</v>
      </c>
      <c r="D525" s="812">
        <f>D522*F522*(I522/I523)*(M522+O522+(Q522/(Q523*S523)))</f>
        <v>73.207153123206737</v>
      </c>
      <c r="E525" s="813"/>
      <c r="F525" s="30" t="s">
        <v>305</v>
      </c>
      <c r="L525" s="244"/>
      <c r="V525" s="185"/>
    </row>
    <row r="526" spans="1:22" ht="18" hidden="1" customHeight="1">
      <c r="A526" s="184"/>
      <c r="L526" s="244"/>
      <c r="V526" s="185"/>
    </row>
    <row r="527" spans="1:22" s="14" customFormat="1" ht="18" hidden="1" customHeight="1">
      <c r="A527" s="799" t="s">
        <v>417</v>
      </c>
      <c r="B527" s="802"/>
      <c r="C527" s="802"/>
      <c r="D527" s="689"/>
      <c r="E527" s="689"/>
      <c r="F527" s="689" t="str">
        <f>R509</f>
        <v>-</v>
      </c>
      <c r="G527" s="684"/>
      <c r="H527" s="689" t="s">
        <v>315</v>
      </c>
      <c r="I527" s="708">
        <f>R511</f>
        <v>1</v>
      </c>
      <c r="J527" s="828"/>
      <c r="K527" s="689" t="s">
        <v>315</v>
      </c>
      <c r="L527" s="802" t="s">
        <v>419</v>
      </c>
      <c r="M527" s="716">
        <f>R513</f>
        <v>5</v>
      </c>
      <c r="N527" s="729" t="s">
        <v>347</v>
      </c>
      <c r="O527" s="1214">
        <f>R514</f>
        <v>1.25652618</v>
      </c>
      <c r="P527" s="689" t="s">
        <v>347</v>
      </c>
      <c r="Q527" s="833">
        <f>R515</f>
        <v>0.02</v>
      </c>
      <c r="R527" s="797"/>
      <c r="S527" s="797"/>
      <c r="T527" s="798" t="s">
        <v>350</v>
      </c>
      <c r="U527" s="230" t="s">
        <v>618</v>
      </c>
      <c r="V527" s="97"/>
    </row>
    <row r="528" spans="1:22" ht="18" hidden="1" customHeight="1">
      <c r="A528" s="827"/>
      <c r="B528" s="802"/>
      <c r="C528" s="802"/>
      <c r="D528" s="689"/>
      <c r="E528" s="689"/>
      <c r="F528" s="684"/>
      <c r="G528" s="684"/>
      <c r="H528" s="689"/>
      <c r="I528" s="689">
        <f>R505</f>
        <v>1200</v>
      </c>
      <c r="J528" s="723"/>
      <c r="K528" s="689"/>
      <c r="L528" s="802"/>
      <c r="M528" s="716"/>
      <c r="N528" s="729"/>
      <c r="O528" s="716"/>
      <c r="P528" s="689"/>
      <c r="Q528" s="28">
        <f>R512</f>
        <v>1</v>
      </c>
      <c r="R528" s="28" t="s">
        <v>315</v>
      </c>
      <c r="S528" s="28">
        <f>R512</f>
        <v>1</v>
      </c>
      <c r="T528" s="798"/>
      <c r="U528" s="14"/>
      <c r="V528" s="97"/>
    </row>
    <row r="529" spans="1:22" ht="18" hidden="1" customHeight="1">
      <c r="A529" s="184"/>
      <c r="V529" s="185"/>
    </row>
    <row r="530" spans="1:22" ht="18" hidden="1" customHeight="1">
      <c r="A530" s="184"/>
      <c r="C530" s="30" t="s">
        <v>127</v>
      </c>
      <c r="D530" s="812" t="e">
        <f>F527*(I527/I528)*(M527+O527+(Q527/(Q528*S528)))</f>
        <v>#VALUE!</v>
      </c>
      <c r="E530" s="813"/>
      <c r="F530" s="30" t="s">
        <v>305</v>
      </c>
      <c r="G530" s="187" t="s">
        <v>378</v>
      </c>
      <c r="H530" s="186" t="str">
        <f>IF(M502="y","Applicable","Not applicable")</f>
        <v>Not applicable</v>
      </c>
      <c r="V530" s="185"/>
    </row>
    <row r="531" spans="1:22" ht="18" hidden="1" customHeight="1">
      <c r="A531" s="184"/>
      <c r="V531" s="185"/>
    </row>
    <row r="532" spans="1:22" ht="18" hidden="1" customHeight="1">
      <c r="A532" s="194"/>
      <c r="B532" s="195"/>
      <c r="C532" s="195"/>
      <c r="D532" s="195"/>
      <c r="E532" s="195"/>
      <c r="F532" s="195"/>
      <c r="G532" s="195"/>
      <c r="H532" s="195"/>
      <c r="I532" s="195"/>
      <c r="J532" s="195"/>
      <c r="K532" s="195"/>
      <c r="L532" s="195"/>
      <c r="M532" s="195"/>
      <c r="N532" s="195"/>
      <c r="O532" s="195"/>
      <c r="P532" s="195"/>
      <c r="Q532" s="224"/>
      <c r="R532" s="182"/>
      <c r="S532" s="225"/>
      <c r="T532" s="195"/>
      <c r="U532" s="195"/>
      <c r="V532" s="134"/>
    </row>
    <row r="533" spans="1:22" ht="18" hidden="1" customHeight="1">
      <c r="A533" s="226"/>
      <c r="B533" s="227"/>
      <c r="C533" s="227"/>
      <c r="D533" s="227"/>
      <c r="E533" s="227"/>
      <c r="F533" s="227"/>
      <c r="G533" s="227"/>
      <c r="H533" s="227"/>
      <c r="I533" s="227"/>
      <c r="J533" s="227"/>
      <c r="K533" s="227"/>
      <c r="L533" s="227"/>
      <c r="M533" s="227"/>
      <c r="N533" s="227"/>
      <c r="O533" s="227"/>
      <c r="P533" s="227"/>
      <c r="Q533" s="227"/>
      <c r="R533" s="227"/>
      <c r="S533" s="227"/>
      <c r="T533" s="227"/>
      <c r="U533" s="227"/>
      <c r="V533" s="228"/>
    </row>
    <row r="534" spans="1:22" ht="18" hidden="1" customHeight="1">
      <c r="A534" s="96" t="s">
        <v>640</v>
      </c>
      <c r="M534" s="825">
        <f>R505</f>
        <v>1200</v>
      </c>
      <c r="N534" s="826"/>
      <c r="O534" s="30" t="s">
        <v>470</v>
      </c>
      <c r="Q534" s="812">
        <f>IF(M502="Y",MAX(D520,D530),MAX(D520,D525))</f>
        <v>73.207153123206737</v>
      </c>
      <c r="R534" s="820"/>
      <c r="S534" s="30" t="s">
        <v>305</v>
      </c>
      <c r="V534" s="185"/>
    </row>
    <row r="535" spans="1:22" ht="18" hidden="1" customHeight="1">
      <c r="A535" s="184"/>
      <c r="M535" s="247"/>
      <c r="N535" s="247"/>
      <c r="Q535" s="211"/>
      <c r="R535" s="27"/>
      <c r="V535" s="185"/>
    </row>
    <row r="536" spans="1:22" ht="18" hidden="1" customHeight="1">
      <c r="A536" s="248" t="s">
        <v>471</v>
      </c>
      <c r="B536" s="14"/>
      <c r="C536" s="14"/>
      <c r="D536" s="249"/>
      <c r="E536" s="14"/>
      <c r="F536" s="14"/>
      <c r="G536" s="47"/>
      <c r="H536" s="14"/>
      <c r="J536" s="14"/>
      <c r="K536" s="14"/>
      <c r="L536" s="14"/>
      <c r="M536" s="14"/>
      <c r="N536" s="14"/>
      <c r="O536" s="14"/>
      <c r="P536" s="250"/>
      <c r="Q536" s="251"/>
      <c r="R536" s="47"/>
      <c r="S536" s="14"/>
      <c r="V536" s="185"/>
    </row>
    <row r="537" spans="1:22" ht="18" hidden="1" customHeight="1">
      <c r="A537" s="248"/>
      <c r="B537" s="14"/>
      <c r="C537" s="14"/>
      <c r="D537" s="249"/>
      <c r="E537" s="14"/>
      <c r="F537" s="14"/>
      <c r="G537" s="47"/>
      <c r="H537" s="14"/>
      <c r="J537" s="14"/>
      <c r="K537" s="14"/>
      <c r="L537" s="14"/>
      <c r="M537" s="14"/>
      <c r="N537" s="14"/>
      <c r="O537" s="14"/>
      <c r="P537" s="250"/>
      <c r="Q537" s="251"/>
      <c r="R537" s="47"/>
      <c r="S537" s="14"/>
      <c r="V537" s="185"/>
    </row>
    <row r="538" spans="1:22" ht="18" hidden="1" customHeight="1">
      <c r="A538" s="96" t="s">
        <v>641</v>
      </c>
      <c r="V538" s="185"/>
    </row>
    <row r="539" spans="1:22" ht="18" hidden="1" customHeight="1">
      <c r="A539" s="184"/>
      <c r="N539" s="14"/>
      <c r="O539" s="14" t="s">
        <v>473</v>
      </c>
      <c r="P539" s="268" t="s">
        <v>127</v>
      </c>
      <c r="Q539" s="249" t="s">
        <v>474</v>
      </c>
      <c r="R539" s="14"/>
      <c r="S539" s="28" t="s">
        <v>315</v>
      </c>
      <c r="T539" s="28">
        <v>0.8</v>
      </c>
      <c r="V539" s="185"/>
    </row>
    <row r="540" spans="1:22" ht="18" hidden="1" customHeight="1">
      <c r="A540" s="184"/>
      <c r="N540" s="252"/>
      <c r="O540" s="14"/>
      <c r="P540" s="268" t="s">
        <v>127</v>
      </c>
      <c r="Q540" s="829">
        <f>+Q534</f>
        <v>73.207153123206737</v>
      </c>
      <c r="R540" s="1147"/>
      <c r="S540" s="222" t="s">
        <v>315</v>
      </c>
      <c r="T540" s="253">
        <f>+T539</f>
        <v>0.8</v>
      </c>
      <c r="V540" s="185"/>
    </row>
    <row r="541" spans="1:22" ht="18" hidden="1" customHeight="1">
      <c r="A541" s="184"/>
      <c r="O541" s="14"/>
      <c r="P541" s="14" t="s">
        <v>127</v>
      </c>
      <c r="Q541" s="830">
        <f>Q540*T540</f>
        <v>58.565722498565393</v>
      </c>
      <c r="R541" s="1270"/>
      <c r="S541" s="47" t="s">
        <v>305</v>
      </c>
      <c r="T541" s="14"/>
      <c r="V541" s="185"/>
    </row>
    <row r="542" spans="1:22" ht="18" hidden="1" customHeight="1">
      <c r="A542" s="184"/>
      <c r="F542" s="28"/>
      <c r="G542" s="28"/>
      <c r="H542" s="14"/>
      <c r="V542" s="185"/>
    </row>
    <row r="543" spans="1:22" ht="18" hidden="1" customHeight="1">
      <c r="A543" s="184"/>
      <c r="D543" s="14" t="s">
        <v>642</v>
      </c>
      <c r="G543" s="27" t="str">
        <f>IF(E544&gt;H544,"&gt;","&lt;")</f>
        <v>&gt;</v>
      </c>
      <c r="H543" s="14" t="s">
        <v>643</v>
      </c>
      <c r="V543" s="185"/>
    </row>
    <row r="544" spans="1:22" ht="18" hidden="1" customHeight="1">
      <c r="A544" s="184"/>
      <c r="E544" s="684">
        <f>H457</f>
        <v>430</v>
      </c>
      <c r="F544" s="684"/>
      <c r="G544" s="27" t="str">
        <f>G543</f>
        <v>&gt;</v>
      </c>
      <c r="H544" s="795">
        <f>Q541</f>
        <v>58.565722498565393</v>
      </c>
      <c r="I544" s="684"/>
      <c r="V544" s="185"/>
    </row>
    <row r="545" spans="1:22" ht="18" hidden="1" customHeight="1">
      <c r="A545" s="184"/>
      <c r="F545" s="244" t="s">
        <v>478</v>
      </c>
      <c r="H545" s="18" t="str">
        <f>IF(G543="&gt;","Suitably Dimensioned","Under Dimensioned")</f>
        <v>Suitably Dimensioned</v>
      </c>
      <c r="V545" s="185"/>
    </row>
    <row r="546" spans="1:22" ht="18" hidden="1" customHeight="1">
      <c r="A546" s="184"/>
      <c r="F546" s="244"/>
      <c r="H546" s="18"/>
      <c r="V546" s="185"/>
    </row>
    <row r="547" spans="1:22" ht="18" hidden="1" customHeight="1">
      <c r="A547" s="184"/>
      <c r="F547" s="244"/>
      <c r="H547" s="18"/>
      <c r="V547" s="185"/>
    </row>
    <row r="548" spans="1:22" ht="18" hidden="1" customHeight="1">
      <c r="A548" s="184"/>
      <c r="F548" s="244"/>
      <c r="H548" s="18"/>
      <c r="V548" s="185"/>
    </row>
    <row r="549" spans="1:22" ht="18" hidden="1" customHeight="1">
      <c r="A549" s="184"/>
      <c r="F549" s="244"/>
      <c r="H549" s="18"/>
      <c r="V549" s="185"/>
    </row>
    <row r="550" spans="1:22" ht="18" hidden="1" customHeight="1">
      <c r="A550" s="184"/>
      <c r="F550" s="244"/>
      <c r="H550" s="18"/>
      <c r="V550" s="185"/>
    </row>
    <row r="551" spans="1:22" ht="18" hidden="1" customHeight="1">
      <c r="A551" s="184"/>
      <c r="F551" s="244"/>
      <c r="H551" s="18"/>
      <c r="V551" s="185"/>
    </row>
    <row r="552" spans="1:22" ht="18" hidden="1" customHeight="1">
      <c r="A552" s="184"/>
      <c r="F552" s="244"/>
      <c r="H552" s="18"/>
      <c r="V552" s="185"/>
    </row>
    <row r="553" spans="1:22" ht="18" hidden="1" customHeight="1">
      <c r="A553" s="184"/>
      <c r="F553" s="244"/>
      <c r="H553" s="18"/>
      <c r="V553" s="185"/>
    </row>
    <row r="554" spans="1:22" ht="18" hidden="1" customHeight="1">
      <c r="A554" s="184"/>
      <c r="F554" s="244"/>
      <c r="H554" s="18"/>
      <c r="V554" s="185"/>
    </row>
    <row r="555" spans="1:22" ht="18" hidden="1" customHeight="1">
      <c r="A555" s="184"/>
      <c r="F555" s="244"/>
      <c r="H555" s="18"/>
      <c r="V555" s="185"/>
    </row>
    <row r="556" spans="1:22" ht="18" hidden="1" customHeight="1">
      <c r="A556" s="184"/>
      <c r="F556" s="244"/>
      <c r="H556" s="18"/>
      <c r="V556" s="185"/>
    </row>
    <row r="557" spans="1:22" ht="18" hidden="1" customHeight="1">
      <c r="A557" s="184"/>
      <c r="F557" s="244"/>
      <c r="H557" s="18"/>
      <c r="V557" s="185"/>
    </row>
    <row r="558" spans="1:22" ht="18" hidden="1" customHeight="1">
      <c r="A558" s="184"/>
      <c r="F558" s="244"/>
      <c r="H558" s="18"/>
      <c r="V558" s="185"/>
    </row>
    <row r="559" spans="1:22" ht="18" hidden="1" customHeight="1">
      <c r="A559" s="184"/>
      <c r="F559" s="244"/>
      <c r="H559" s="18"/>
      <c r="V559" s="185"/>
    </row>
    <row r="560" spans="1:22" ht="18" hidden="1" customHeight="1">
      <c r="A560" s="184"/>
      <c r="F560" s="244"/>
      <c r="H560" s="18"/>
      <c r="V560" s="185"/>
    </row>
    <row r="561" spans="1:22" ht="18" hidden="1" customHeight="1">
      <c r="A561" s="184"/>
      <c r="F561" s="244"/>
      <c r="H561" s="18"/>
      <c r="V561" s="185"/>
    </row>
    <row r="562" spans="1:22" ht="18" hidden="1" customHeight="1">
      <c r="A562" s="184"/>
      <c r="F562" s="244"/>
      <c r="H562" s="18"/>
      <c r="V562" s="185"/>
    </row>
    <row r="563" spans="1:22" ht="18" hidden="1" customHeight="1">
      <c r="A563" s="184"/>
      <c r="F563" s="244"/>
      <c r="H563" s="18"/>
      <c r="V563" s="185"/>
    </row>
    <row r="564" spans="1:22" ht="18" hidden="1" customHeight="1">
      <c r="A564" s="184"/>
      <c r="F564" s="244"/>
      <c r="H564" s="18"/>
      <c r="V564" s="185"/>
    </row>
    <row r="565" spans="1:22" ht="18" hidden="1" customHeight="1">
      <c r="A565" s="184"/>
      <c r="F565" s="244"/>
      <c r="H565" s="18"/>
      <c r="V565" s="185"/>
    </row>
    <row r="566" spans="1:22" ht="18" hidden="1" customHeight="1">
      <c r="A566" s="184"/>
      <c r="V566" s="185"/>
    </row>
    <row r="567" spans="1:22" ht="18" hidden="1" customHeight="1">
      <c r="A567" s="184"/>
      <c r="V567" s="185"/>
    </row>
    <row r="568" spans="1:22" ht="18" hidden="1" customHeight="1">
      <c r="A568" s="184"/>
      <c r="V568" s="185"/>
    </row>
    <row r="569" spans="1:22" ht="18" hidden="1" customHeight="1">
      <c r="A569" s="184"/>
      <c r="V569" s="185"/>
    </row>
    <row r="570" spans="1:22" ht="18" hidden="1" customHeight="1">
      <c r="A570" s="184"/>
      <c r="V570" s="185"/>
    </row>
    <row r="571" spans="1:22" s="14" customFormat="1" ht="18" hidden="1" customHeight="1">
      <c r="A571" s="184"/>
      <c r="B571" s="30"/>
      <c r="C571" s="30"/>
      <c r="D571" s="30"/>
      <c r="E571" s="30"/>
      <c r="F571" s="30"/>
      <c r="G571" s="30"/>
      <c r="H571" s="30"/>
      <c r="I571" s="30"/>
      <c r="J571" s="30"/>
      <c r="K571" s="30"/>
      <c r="L571" s="30"/>
      <c r="M571" s="30"/>
      <c r="N571" s="30"/>
      <c r="O571" s="30"/>
      <c r="P571" s="30"/>
      <c r="Q571" s="30"/>
      <c r="R571" s="30"/>
      <c r="S571" s="30"/>
      <c r="T571" s="30"/>
      <c r="U571" s="30"/>
      <c r="V571" s="185"/>
    </row>
    <row r="572" spans="1:22" ht="18" hidden="1" customHeight="1">
      <c r="A572" s="184"/>
      <c r="V572" s="185"/>
    </row>
    <row r="573" spans="1:22" ht="18" hidden="1" customHeight="1">
      <c r="A573" s="184"/>
      <c r="V573" s="185"/>
    </row>
    <row r="574" spans="1:22" ht="18" hidden="1" customHeight="1">
      <c r="A574" s="184"/>
      <c r="V574" s="185"/>
    </row>
    <row r="575" spans="1:22" ht="18" hidden="1" customHeight="1">
      <c r="A575" s="184"/>
      <c r="V575" s="185"/>
    </row>
    <row r="576" spans="1:22" ht="18" hidden="1" customHeight="1">
      <c r="A576" s="194"/>
      <c r="B576" s="195"/>
      <c r="C576" s="195"/>
      <c r="D576" s="195"/>
      <c r="E576" s="195"/>
      <c r="F576" s="195"/>
      <c r="G576" s="195"/>
      <c r="H576" s="195"/>
      <c r="I576" s="195"/>
      <c r="J576" s="195"/>
      <c r="K576" s="195"/>
      <c r="L576" s="195"/>
      <c r="M576" s="195"/>
      <c r="N576" s="195"/>
      <c r="O576" s="195"/>
      <c r="P576" s="195"/>
      <c r="Q576" s="224"/>
      <c r="R576" s="182"/>
      <c r="S576" s="225"/>
      <c r="T576" s="195"/>
      <c r="U576" s="195"/>
      <c r="V576" s="134"/>
    </row>
    <row r="577" spans="1:29" ht="18" hidden="1" customHeight="1">
      <c r="A577" s="226"/>
      <c r="B577" s="227"/>
      <c r="C577" s="227"/>
      <c r="D577" s="227"/>
      <c r="E577" s="227"/>
      <c r="F577" s="227"/>
      <c r="G577" s="227"/>
      <c r="H577" s="227"/>
      <c r="I577" s="227"/>
      <c r="J577" s="227"/>
      <c r="K577" s="227"/>
      <c r="L577" s="227"/>
      <c r="M577" s="227"/>
      <c r="N577" s="227"/>
      <c r="O577" s="227"/>
      <c r="P577" s="227"/>
      <c r="Q577" s="227"/>
      <c r="R577" s="227"/>
      <c r="S577" s="227"/>
      <c r="T577" s="227"/>
      <c r="U577" s="227"/>
      <c r="V577" s="228"/>
    </row>
    <row r="578" spans="1:29" ht="18" hidden="1" customHeight="1">
      <c r="A578" s="184"/>
      <c r="B578" s="854" t="str">
        <f>B451</f>
        <v>BCT13,14,15</v>
      </c>
      <c r="C578" s="831"/>
      <c r="D578" s="855" t="str">
        <f>D451</f>
        <v>Core2</v>
      </c>
      <c r="E578" s="856"/>
      <c r="F578" s="186" t="s">
        <v>636</v>
      </c>
      <c r="H578" s="684" t="str">
        <f>H451</f>
        <v>(Transformer Differential)</v>
      </c>
      <c r="I578" s="684"/>
      <c r="J578" s="684"/>
      <c r="K578" s="684"/>
      <c r="L578" s="684"/>
      <c r="M578" s="684"/>
      <c r="P578" s="186"/>
      <c r="S578" s="187" t="s">
        <v>387</v>
      </c>
      <c r="T578" s="854" t="str">
        <f>T451</f>
        <v>RET670</v>
      </c>
      <c r="U578" s="831"/>
      <c r="V578" s="185"/>
    </row>
    <row r="579" spans="1:29" ht="18" hidden="1" customHeight="1">
      <c r="A579" s="184"/>
      <c r="B579" s="853">
        <f>B452</f>
        <v>0</v>
      </c>
      <c r="C579" s="853"/>
      <c r="D579" s="857"/>
      <c r="E579" s="858"/>
      <c r="F579" s="255"/>
      <c r="T579" s="854">
        <f>T452</f>
        <v>0</v>
      </c>
      <c r="U579" s="831"/>
      <c r="V579" s="185"/>
    </row>
    <row r="580" spans="1:29" ht="18" hidden="1" customHeight="1">
      <c r="A580" s="184"/>
      <c r="H580" s="708" t="s">
        <v>390</v>
      </c>
      <c r="I580" s="708"/>
      <c r="J580" s="789" t="s">
        <v>391</v>
      </c>
      <c r="K580" s="789"/>
      <c r="L580" s="708" t="s">
        <v>392</v>
      </c>
      <c r="M580" s="708"/>
      <c r="T580" s="854">
        <f>T453</f>
        <v>0</v>
      </c>
      <c r="U580" s="831"/>
      <c r="V580" s="185"/>
    </row>
    <row r="581" spans="1:29" ht="18" hidden="1" customHeight="1">
      <c r="A581" s="184"/>
      <c r="B581" s="47" t="s">
        <v>393</v>
      </c>
      <c r="H581" s="854">
        <f>H454</f>
        <v>1200</v>
      </c>
      <c r="I581" s="831"/>
      <c r="J581" s="863" t="str">
        <f>J454</f>
        <v>-</v>
      </c>
      <c r="K581" s="864"/>
      <c r="L581" s="854" t="str">
        <f>L454</f>
        <v>-</v>
      </c>
      <c r="M581" s="831"/>
      <c r="N581" s="102" t="s">
        <v>342</v>
      </c>
      <c r="O581" s="256">
        <f>O454</f>
        <v>1</v>
      </c>
      <c r="P581" s="27" t="s">
        <v>8</v>
      </c>
      <c r="V581" s="185"/>
    </row>
    <row r="582" spans="1:29" ht="18" hidden="1" customHeight="1">
      <c r="A582" s="184"/>
      <c r="B582" s="47" t="s">
        <v>394</v>
      </c>
      <c r="H582" s="14"/>
      <c r="I582" s="14"/>
      <c r="J582" s="854" t="str">
        <f>H455</f>
        <v>TPS</v>
      </c>
      <c r="K582" s="831"/>
      <c r="L582" s="14"/>
      <c r="M582" s="14"/>
      <c r="V582" s="185"/>
    </row>
    <row r="583" spans="1:29" ht="18" hidden="1" customHeight="1">
      <c r="A583" s="184"/>
      <c r="B583" s="47" t="s">
        <v>396</v>
      </c>
      <c r="I583" s="120" t="s">
        <v>497</v>
      </c>
      <c r="J583" s="781" t="s">
        <v>6</v>
      </c>
      <c r="K583" s="782"/>
      <c r="L583" s="192" t="s">
        <v>333</v>
      </c>
      <c r="V583" s="185"/>
    </row>
    <row r="584" spans="1:29" ht="18" hidden="1" customHeight="1">
      <c r="A584" s="184"/>
      <c r="B584" s="47" t="s">
        <v>398</v>
      </c>
      <c r="I584" s="120" t="s">
        <v>498</v>
      </c>
      <c r="J584" s="781" t="s">
        <v>6</v>
      </c>
      <c r="K584" s="782"/>
      <c r="L584" s="14" t="s">
        <v>305</v>
      </c>
      <c r="V584" s="185"/>
      <c r="W584" s="30" t="s">
        <v>400</v>
      </c>
      <c r="AB584" s="785" t="e">
        <f>Q673</f>
        <v>#VALUE!</v>
      </c>
      <c r="AC584" s="786"/>
    </row>
    <row r="585" spans="1:29" ht="18" hidden="1" customHeight="1">
      <c r="A585" s="184"/>
      <c r="B585" s="14" t="s">
        <v>401</v>
      </c>
      <c r="I585" s="120" t="s">
        <v>402</v>
      </c>
      <c r="J585" s="781" t="s">
        <v>6</v>
      </c>
      <c r="K585" s="782"/>
      <c r="L585" s="14" t="s">
        <v>403</v>
      </c>
      <c r="V585" s="185"/>
    </row>
    <row r="586" spans="1:29" ht="18" hidden="1" customHeight="1">
      <c r="A586" s="184"/>
      <c r="V586" s="185"/>
    </row>
    <row r="587" spans="1:29" ht="18" hidden="1" customHeight="1">
      <c r="A587" s="193" t="s">
        <v>404</v>
      </c>
      <c r="V587" s="185"/>
    </row>
    <row r="588" spans="1:29" ht="18" hidden="1" customHeight="1">
      <c r="A588" s="184"/>
      <c r="V588" s="185"/>
    </row>
    <row r="589" spans="1:29" ht="18" hidden="1" customHeight="1">
      <c r="A589" s="184"/>
      <c r="B589" s="194" t="s">
        <v>405</v>
      </c>
      <c r="C589" s="195"/>
      <c r="D589" s="195" t="str">
        <f>T578</f>
        <v>RET670</v>
      </c>
      <c r="E589" s="196"/>
      <c r="F589" s="196"/>
      <c r="G589" s="196"/>
      <c r="H589" s="182" t="s">
        <v>406</v>
      </c>
      <c r="I589" s="183" t="s">
        <v>127</v>
      </c>
      <c r="J589" s="1276">
        <f>J462</f>
        <v>0.02</v>
      </c>
      <c r="K589" s="1144"/>
      <c r="L589" s="3" t="s">
        <v>157</v>
      </c>
      <c r="N589" s="197" t="s">
        <v>407</v>
      </c>
      <c r="V589" s="185"/>
    </row>
    <row r="590" spans="1:29" s="14" customFormat="1" ht="18" hidden="1" customHeight="1">
      <c r="A590" s="184"/>
      <c r="B590" s="96" t="s">
        <v>405</v>
      </c>
      <c r="C590" s="30"/>
      <c r="D590" s="30">
        <f>T579</f>
        <v>0</v>
      </c>
      <c r="E590" s="30"/>
      <c r="F590" s="30"/>
      <c r="G590" s="30"/>
      <c r="H590" s="27"/>
      <c r="I590" s="177"/>
      <c r="J590" s="1274">
        <f>J463</f>
        <v>0</v>
      </c>
      <c r="K590" s="1275"/>
      <c r="L590" s="198" t="s">
        <v>157</v>
      </c>
      <c r="M590" s="30"/>
      <c r="N590" s="30"/>
      <c r="O590" s="30"/>
      <c r="P590" s="30"/>
      <c r="Q590" s="30"/>
      <c r="R590" s="30"/>
      <c r="S590" s="30"/>
      <c r="T590" s="30"/>
      <c r="U590" s="30"/>
      <c r="V590" s="185"/>
    </row>
    <row r="591" spans="1:29" s="14" customFormat="1" ht="18" hidden="1" customHeight="1">
      <c r="A591" s="184"/>
      <c r="B591" s="96" t="s">
        <v>405</v>
      </c>
      <c r="C591" s="30"/>
      <c r="D591" s="30">
        <f>T580</f>
        <v>0</v>
      </c>
      <c r="F591" s="30"/>
      <c r="G591" s="199"/>
      <c r="H591" s="27"/>
      <c r="I591" s="101"/>
      <c r="J591" s="696">
        <f>J464</f>
        <v>0</v>
      </c>
      <c r="K591" s="820"/>
      <c r="L591" s="202" t="s">
        <v>157</v>
      </c>
      <c r="M591" s="30"/>
      <c r="N591" s="30" t="s">
        <v>408</v>
      </c>
      <c r="O591" s="27" t="s">
        <v>127</v>
      </c>
      <c r="P591" s="30" t="s">
        <v>409</v>
      </c>
      <c r="Q591" s="191" t="s">
        <v>410</v>
      </c>
      <c r="R591" s="244" t="s">
        <v>411</v>
      </c>
      <c r="S591" s="27" t="s">
        <v>315</v>
      </c>
      <c r="T591" s="30" t="s">
        <v>411</v>
      </c>
      <c r="U591" s="30" t="s">
        <v>350</v>
      </c>
      <c r="V591" s="185"/>
    </row>
    <row r="592" spans="1:29" s="14" customFormat="1" ht="18" hidden="1" customHeight="1">
      <c r="A592" s="184"/>
      <c r="B592" s="184" t="s">
        <v>412</v>
      </c>
      <c r="C592" s="30"/>
      <c r="D592" s="30"/>
      <c r="E592" s="30"/>
      <c r="F592" s="30"/>
      <c r="G592" s="30"/>
      <c r="H592" s="27" t="s">
        <v>599</v>
      </c>
      <c r="I592" s="177" t="s">
        <v>127</v>
      </c>
      <c r="J592" s="1274">
        <f>J465</f>
        <v>1.25652618</v>
      </c>
      <c r="K592" s="1275"/>
      <c r="L592" s="203" t="s">
        <v>157</v>
      </c>
      <c r="M592" s="30"/>
      <c r="N592" s="30"/>
      <c r="O592" s="27" t="s">
        <v>127</v>
      </c>
      <c r="P592" s="204">
        <f>J593</f>
        <v>1.25652618</v>
      </c>
      <c r="Q592" s="191" t="s">
        <v>410</v>
      </c>
      <c r="R592" s="27">
        <f>O581</f>
        <v>1</v>
      </c>
      <c r="S592" s="27" t="s">
        <v>315</v>
      </c>
      <c r="T592" s="27">
        <f>O581</f>
        <v>1</v>
      </c>
      <c r="U592" s="30" t="s">
        <v>350</v>
      </c>
      <c r="V592" s="185"/>
    </row>
    <row r="593" spans="1:22" s="14" customFormat="1" ht="18" hidden="1" customHeight="1">
      <c r="A593" s="184"/>
      <c r="B593" s="205" t="s">
        <v>413</v>
      </c>
      <c r="C593" s="206"/>
      <c r="D593" s="206"/>
      <c r="E593" s="206"/>
      <c r="F593" s="207"/>
      <c r="G593" s="207"/>
      <c r="H593" s="190" t="s">
        <v>409</v>
      </c>
      <c r="I593" s="208" t="s">
        <v>127</v>
      </c>
      <c r="J593" s="1276">
        <f>J590+J592</f>
        <v>1.25652618</v>
      </c>
      <c r="K593" s="1144"/>
      <c r="L593" s="210" t="s">
        <v>157</v>
      </c>
      <c r="M593" s="30"/>
      <c r="N593" s="30"/>
      <c r="O593" s="27" t="s">
        <v>127</v>
      </c>
      <c r="P593" s="795">
        <f>P592/(R592*T592)</f>
        <v>1.25652618</v>
      </c>
      <c r="Q593" s="795"/>
      <c r="R593" s="192" t="s">
        <v>333</v>
      </c>
      <c r="S593" s="30"/>
      <c r="T593" s="30"/>
      <c r="U593" s="30"/>
      <c r="V593" s="185"/>
    </row>
    <row r="594" spans="1:22" s="14" customFormat="1" ht="18" hidden="1" customHeight="1">
      <c r="A594" s="184"/>
      <c r="B594" s="30"/>
      <c r="C594" s="30"/>
      <c r="D594" s="30"/>
      <c r="E594" s="30"/>
      <c r="F594" s="30"/>
      <c r="G594" s="30"/>
      <c r="H594" s="30"/>
      <c r="I594" s="30"/>
      <c r="J594" s="30"/>
      <c r="K594" s="30"/>
      <c r="L594" s="30"/>
      <c r="M594" s="30"/>
      <c r="N594" s="30"/>
      <c r="O594" s="30"/>
      <c r="P594" s="30"/>
      <c r="Q594" s="30"/>
      <c r="R594" s="30"/>
      <c r="S594" s="30"/>
      <c r="T594" s="30"/>
      <c r="U594" s="30"/>
      <c r="V594" s="185"/>
    </row>
    <row r="595" spans="1:22" s="14" customFormat="1" ht="18" hidden="1" customHeight="1">
      <c r="A595" s="193" t="s">
        <v>600</v>
      </c>
      <c r="B595" s="5"/>
      <c r="C595" s="5"/>
      <c r="D595" s="5"/>
      <c r="E595" s="5"/>
      <c r="F595" s="5"/>
      <c r="G595" s="5"/>
      <c r="H595" s="212"/>
      <c r="I595" s="212"/>
      <c r="J595" s="5"/>
      <c r="K595" s="5"/>
      <c r="L595" s="5"/>
      <c r="M595" s="5"/>
      <c r="N595" s="5"/>
      <c r="O595" s="5"/>
      <c r="P595" s="103"/>
      <c r="Q595" s="212"/>
      <c r="R595" s="213"/>
      <c r="S595" s="214"/>
      <c r="T595" s="18"/>
      <c r="U595" s="18"/>
      <c r="V595" s="97"/>
    </row>
    <row r="596" spans="1:22" s="14" customFormat="1" ht="18" hidden="1" customHeight="1">
      <c r="A596" s="96"/>
      <c r="B596" s="47" t="s">
        <v>601</v>
      </c>
      <c r="C596" s="5"/>
      <c r="D596" s="5"/>
      <c r="E596" s="5"/>
      <c r="I596" s="215"/>
      <c r="M596" s="5"/>
      <c r="O596" s="103" t="s">
        <v>127</v>
      </c>
      <c r="P596" s="853">
        <f>P469</f>
        <v>100</v>
      </c>
      <c r="Q596" s="1271"/>
      <c r="R596" s="14" t="s">
        <v>602</v>
      </c>
      <c r="S596" s="214"/>
      <c r="T596" s="18"/>
      <c r="U596" s="18"/>
      <c r="V596" s="97"/>
    </row>
    <row r="597" spans="1:22" s="14" customFormat="1" ht="18" hidden="1" customHeight="1">
      <c r="A597" s="96"/>
      <c r="B597" s="47" t="s">
        <v>603</v>
      </c>
      <c r="C597" s="5"/>
      <c r="D597" s="5"/>
      <c r="E597" s="5"/>
      <c r="I597" s="215"/>
      <c r="M597" s="5"/>
      <c r="O597" s="103" t="s">
        <v>127</v>
      </c>
      <c r="P597" s="853">
        <f>P470</f>
        <v>25</v>
      </c>
      <c r="Q597" s="1271"/>
      <c r="R597" s="14" t="s">
        <v>604</v>
      </c>
      <c r="S597" s="214"/>
      <c r="T597" s="18"/>
      <c r="U597" s="18"/>
      <c r="V597" s="97"/>
    </row>
    <row r="598" spans="1:22" s="14" customFormat="1" ht="18" hidden="1" customHeight="1">
      <c r="A598" s="96"/>
      <c r="B598" s="47" t="s">
        <v>605</v>
      </c>
      <c r="C598" s="5"/>
      <c r="D598" s="5"/>
      <c r="E598" s="5"/>
      <c r="N598" s="120" t="s">
        <v>644</v>
      </c>
      <c r="O598" s="103" t="s">
        <v>607</v>
      </c>
      <c r="P598" s="854">
        <f>P471</f>
        <v>132</v>
      </c>
      <c r="Q598" s="1270"/>
      <c r="R598" s="14" t="s">
        <v>163</v>
      </c>
      <c r="S598" s="214"/>
      <c r="T598" s="18"/>
      <c r="U598" s="18"/>
      <c r="V598" s="97"/>
    </row>
    <row r="599" spans="1:22" s="14" customFormat="1" ht="18" hidden="1" customHeight="1">
      <c r="A599" s="216"/>
      <c r="B599" s="212"/>
      <c r="C599" s="212"/>
      <c r="D599" s="212"/>
      <c r="E599" s="212"/>
      <c r="T599" s="18"/>
      <c r="U599" s="18"/>
      <c r="V599" s="97"/>
    </row>
    <row r="600" spans="1:22" s="14" customFormat="1" ht="18" hidden="1" customHeight="1">
      <c r="A600" s="96"/>
      <c r="B600" s="14" t="s">
        <v>608</v>
      </c>
      <c r="C600" s="213"/>
      <c r="D600" s="213"/>
      <c r="E600" s="213"/>
      <c r="H600" s="120" t="s">
        <v>609</v>
      </c>
      <c r="I600" s="28" t="s">
        <v>127</v>
      </c>
      <c r="J600" s="689" t="s">
        <v>610</v>
      </c>
      <c r="K600" s="689"/>
      <c r="L600" s="28" t="s">
        <v>315</v>
      </c>
      <c r="M600" s="217">
        <v>1000</v>
      </c>
      <c r="N600" s="102" t="s">
        <v>342</v>
      </c>
      <c r="O600" s="28" t="s">
        <v>611</v>
      </c>
      <c r="P600" s="28" t="s">
        <v>315</v>
      </c>
      <c r="Q600" s="28" t="s">
        <v>606</v>
      </c>
      <c r="R600" s="47"/>
      <c r="T600" s="18"/>
      <c r="U600" s="18"/>
      <c r="V600" s="97"/>
    </row>
    <row r="601" spans="1:22" ht="18" hidden="1" customHeight="1">
      <c r="A601" s="216"/>
      <c r="B601" s="213"/>
      <c r="C601" s="213"/>
      <c r="D601" s="213"/>
      <c r="E601" s="213"/>
      <c r="F601" s="212"/>
      <c r="G601" s="212"/>
      <c r="H601" s="28"/>
      <c r="I601" s="28" t="s">
        <v>127</v>
      </c>
      <c r="J601" s="689">
        <f>P596</f>
        <v>100</v>
      </c>
      <c r="K601" s="689"/>
      <c r="L601" s="28" t="s">
        <v>315</v>
      </c>
      <c r="M601" s="217">
        <v>1000</v>
      </c>
      <c r="N601" s="102" t="s">
        <v>342</v>
      </c>
      <c r="O601" s="28" t="s">
        <v>611</v>
      </c>
      <c r="P601" s="28" t="s">
        <v>315</v>
      </c>
      <c r="Q601" s="28">
        <f>P598</f>
        <v>132</v>
      </c>
      <c r="R601" s="47"/>
      <c r="S601" s="14"/>
      <c r="T601" s="18"/>
      <c r="U601" s="18"/>
      <c r="V601" s="97"/>
    </row>
    <row r="602" spans="1:22" ht="18" hidden="1" customHeight="1">
      <c r="A602" s="216"/>
      <c r="B602" s="212"/>
      <c r="C602" s="212"/>
      <c r="D602" s="212"/>
      <c r="E602" s="212"/>
      <c r="F602" s="212"/>
      <c r="G602" s="212"/>
      <c r="H602" s="14"/>
      <c r="I602" s="28" t="s">
        <v>127</v>
      </c>
      <c r="J602" s="692">
        <f>(P596*1000)/(SQRT(3)*P598)</f>
        <v>437.38656756789834</v>
      </c>
      <c r="K602" s="692"/>
      <c r="L602" s="14" t="s">
        <v>8</v>
      </c>
      <c r="M602" s="120"/>
      <c r="N602" s="120"/>
      <c r="O602" s="120"/>
      <c r="P602" s="14"/>
      <c r="Q602" s="14"/>
      <c r="R602" s="14"/>
      <c r="S602" s="14"/>
      <c r="T602" s="18"/>
      <c r="U602" s="18"/>
      <c r="V602" s="97"/>
    </row>
    <row r="603" spans="1:22" ht="18" hidden="1" customHeight="1">
      <c r="A603" s="216"/>
      <c r="B603" s="212"/>
      <c r="C603" s="212"/>
      <c r="D603" s="212"/>
      <c r="E603" s="212"/>
      <c r="F603" s="14"/>
      <c r="G603" s="212"/>
      <c r="H603" s="28"/>
      <c r="I603" s="103"/>
      <c r="J603" s="28"/>
      <c r="K603" s="14"/>
      <c r="L603" s="14"/>
      <c r="M603" s="212"/>
      <c r="N603" s="219"/>
      <c r="O603" s="212"/>
      <c r="P603" s="14"/>
      <c r="Q603" s="14"/>
      <c r="R603" s="14"/>
      <c r="S603" s="14"/>
      <c r="T603" s="18"/>
      <c r="U603" s="18"/>
      <c r="V603" s="97"/>
    </row>
    <row r="604" spans="1:22" ht="18" hidden="1" customHeight="1">
      <c r="A604" s="147" t="s">
        <v>629</v>
      </c>
      <c r="B604" s="5"/>
      <c r="C604" s="5"/>
      <c r="D604" s="5"/>
      <c r="E604" s="5"/>
      <c r="F604" s="212"/>
      <c r="G604" s="212"/>
      <c r="H604" s="5"/>
      <c r="I604" s="5"/>
      <c r="J604" s="5"/>
      <c r="K604" s="5"/>
      <c r="L604" s="103"/>
      <c r="M604" s="103"/>
      <c r="N604" s="103"/>
      <c r="O604" s="103"/>
      <c r="P604" s="212"/>
      <c r="Q604" s="213"/>
      <c r="R604" s="14"/>
      <c r="S604" s="220"/>
      <c r="T604" s="18"/>
      <c r="U604" s="18"/>
      <c r="V604" s="97"/>
    </row>
    <row r="605" spans="1:22" ht="18" hidden="1" customHeight="1">
      <c r="A605" s="147"/>
      <c r="B605" s="5"/>
      <c r="C605" s="5"/>
      <c r="D605" s="5"/>
      <c r="E605" s="5"/>
      <c r="F605" s="212"/>
      <c r="G605" s="212"/>
      <c r="H605" s="5"/>
      <c r="I605" s="5"/>
      <c r="J605" s="5"/>
      <c r="K605" s="5"/>
      <c r="L605" s="103"/>
      <c r="M605" s="103"/>
      <c r="N605" s="103"/>
      <c r="O605" s="103"/>
      <c r="P605" s="212"/>
      <c r="Q605" s="213"/>
      <c r="R605" s="14"/>
      <c r="S605" s="214"/>
      <c r="T605" s="18"/>
      <c r="U605" s="18"/>
      <c r="V605" s="97"/>
    </row>
    <row r="606" spans="1:22" ht="18" hidden="1" customHeight="1">
      <c r="A606" s="184"/>
      <c r="B606" s="14" t="s">
        <v>612</v>
      </c>
      <c r="C606" s="14"/>
      <c r="D606" s="14"/>
      <c r="E606" s="14"/>
      <c r="M606" s="120" t="s">
        <v>613</v>
      </c>
      <c r="N606" s="28" t="s">
        <v>127</v>
      </c>
      <c r="O606" s="689" t="s">
        <v>609</v>
      </c>
      <c r="P606" s="716"/>
      <c r="Q606" s="221" t="s">
        <v>630</v>
      </c>
      <c r="R606" s="221">
        <v>16</v>
      </c>
      <c r="S606" s="214"/>
      <c r="V606" s="185"/>
    </row>
    <row r="607" spans="1:22" ht="18" hidden="1" customHeight="1">
      <c r="A607" s="96"/>
      <c r="B607" s="5"/>
      <c r="C607" s="5"/>
      <c r="D607" s="5"/>
      <c r="E607" s="5"/>
      <c r="M607" s="250"/>
      <c r="N607" s="28" t="s">
        <v>127</v>
      </c>
      <c r="O607" s="689">
        <f>+J602</f>
        <v>437.38656756789834</v>
      </c>
      <c r="P607" s="716"/>
      <c r="Q607" s="221" t="s">
        <v>630</v>
      </c>
      <c r="R607" s="221">
        <v>16</v>
      </c>
      <c r="S607" s="214"/>
      <c r="V607" s="185"/>
    </row>
    <row r="608" spans="1:22" ht="18" hidden="1" customHeight="1">
      <c r="A608" s="96"/>
      <c r="B608" s="5"/>
      <c r="C608" s="5"/>
      <c r="D608" s="5"/>
      <c r="E608" s="5"/>
      <c r="M608" s="120" t="s">
        <v>613</v>
      </c>
      <c r="N608" s="28" t="s">
        <v>127</v>
      </c>
      <c r="O608" s="689">
        <f>O607*R607</f>
        <v>6998.1850810863734</v>
      </c>
      <c r="P608" s="716"/>
      <c r="Q608" s="241" t="s">
        <v>8</v>
      </c>
      <c r="R608" s="14"/>
      <c r="S608" s="214"/>
      <c r="V608" s="185"/>
    </row>
    <row r="609" spans="1:22" ht="18" hidden="1" customHeight="1">
      <c r="A609" s="96"/>
      <c r="B609" s="5"/>
      <c r="C609" s="5"/>
      <c r="D609" s="5"/>
      <c r="E609" s="5"/>
      <c r="M609" s="212"/>
      <c r="N609" s="212"/>
      <c r="O609" s="103"/>
      <c r="Q609" s="223"/>
      <c r="R609" s="14"/>
      <c r="S609" s="214"/>
      <c r="V609" s="185"/>
    </row>
    <row r="610" spans="1:22" s="14" customFormat="1" ht="18" hidden="1" customHeight="1">
      <c r="A610" s="678" t="s">
        <v>633</v>
      </c>
      <c r="B610" s="1207"/>
      <c r="C610" s="1207"/>
      <c r="D610" s="1207"/>
      <c r="E610" s="1207"/>
      <c r="F610" s="1207"/>
      <c r="G610" s="1207"/>
      <c r="H610" s="1207"/>
      <c r="I610" s="1207"/>
      <c r="J610" s="1207"/>
      <c r="K610" s="1207"/>
      <c r="L610" s="1207"/>
      <c r="M610" s="1207"/>
      <c r="N610" s="1207"/>
      <c r="O610" s="1207"/>
      <c r="P610" s="1207"/>
      <c r="Q610" s="1207"/>
      <c r="R610" s="1207"/>
      <c r="S610" s="1207"/>
      <c r="T610" s="1207"/>
      <c r="U610" s="1207"/>
      <c r="V610" s="1208"/>
    </row>
    <row r="611" spans="1:22" ht="18" hidden="1" customHeight="1">
      <c r="A611" s="1209"/>
      <c r="B611" s="1207"/>
      <c r="C611" s="1207"/>
      <c r="D611" s="1207"/>
      <c r="E611" s="1207"/>
      <c r="F611" s="1207"/>
      <c r="G611" s="1207"/>
      <c r="H611" s="1207"/>
      <c r="I611" s="1207"/>
      <c r="J611" s="1207"/>
      <c r="K611" s="1207"/>
      <c r="L611" s="1207"/>
      <c r="M611" s="1207"/>
      <c r="N611" s="1207"/>
      <c r="O611" s="1207"/>
      <c r="P611" s="1207"/>
      <c r="Q611" s="1207"/>
      <c r="R611" s="1207"/>
      <c r="S611" s="1207"/>
      <c r="T611" s="1207"/>
      <c r="U611" s="1207"/>
      <c r="V611" s="1208"/>
    </row>
    <row r="612" spans="1:22" ht="18" hidden="1" customHeight="1">
      <c r="A612" s="231"/>
      <c r="B612" s="232"/>
      <c r="C612" s="232"/>
      <c r="D612" s="232"/>
      <c r="E612" s="232"/>
      <c r="F612" s="232"/>
      <c r="G612" s="232"/>
      <c r="H612" s="232"/>
      <c r="I612" s="232"/>
      <c r="J612" s="232"/>
      <c r="K612" s="232"/>
      <c r="L612" s="232"/>
      <c r="M612" s="232"/>
      <c r="N612" s="232"/>
      <c r="O612" s="232"/>
      <c r="P612" s="232"/>
      <c r="Q612" s="232"/>
      <c r="R612" s="232"/>
      <c r="S612" s="232"/>
      <c r="T612" s="232"/>
      <c r="U612" s="232"/>
      <c r="V612" s="233"/>
    </row>
    <row r="613" spans="1:22" ht="18" hidden="1" customHeight="1">
      <c r="A613" s="231"/>
      <c r="B613" s="232"/>
      <c r="C613" s="232"/>
      <c r="D613" s="232"/>
      <c r="E613" s="232"/>
      <c r="F613" s="232"/>
      <c r="G613" s="232"/>
      <c r="H613" s="232"/>
      <c r="I613" s="232"/>
      <c r="J613" s="232"/>
      <c r="K613" s="232"/>
      <c r="L613" s="232"/>
      <c r="M613" s="232"/>
      <c r="N613" s="232"/>
      <c r="O613" s="232"/>
      <c r="P613" s="232"/>
      <c r="Q613" s="232"/>
      <c r="R613" s="232"/>
      <c r="S613" s="232"/>
      <c r="T613" s="232"/>
      <c r="U613" s="232"/>
      <c r="V613" s="233"/>
    </row>
    <row r="614" spans="1:22" ht="18" hidden="1" customHeight="1">
      <c r="A614" s="231"/>
      <c r="B614" s="232"/>
      <c r="C614" s="232"/>
      <c r="D614" s="232"/>
      <c r="E614" s="232"/>
      <c r="F614" s="232"/>
      <c r="G614" s="232"/>
      <c r="H614" s="232"/>
      <c r="I614" s="232"/>
      <c r="J614" s="232"/>
      <c r="K614" s="232"/>
      <c r="L614" s="232"/>
      <c r="M614" s="232"/>
      <c r="N614" s="232"/>
      <c r="O614" s="232"/>
      <c r="P614" s="232"/>
      <c r="Q614" s="232"/>
      <c r="R614" s="232"/>
      <c r="S614" s="232"/>
      <c r="T614" s="232"/>
      <c r="U614" s="232"/>
      <c r="V614" s="233"/>
    </row>
    <row r="615" spans="1:22" ht="18" hidden="1" customHeight="1">
      <c r="A615" s="231"/>
      <c r="B615" s="232"/>
      <c r="C615" s="232"/>
      <c r="D615" s="232"/>
      <c r="E615" s="232"/>
      <c r="F615" s="232"/>
      <c r="G615" s="232"/>
      <c r="H615" s="232"/>
      <c r="I615" s="232"/>
      <c r="J615" s="232"/>
      <c r="K615" s="232"/>
      <c r="L615" s="232"/>
      <c r="M615" s="232"/>
      <c r="N615" s="232"/>
      <c r="O615" s="232"/>
      <c r="P615" s="232"/>
      <c r="Q615" s="232"/>
      <c r="R615" s="232"/>
      <c r="S615" s="232"/>
      <c r="T615" s="232"/>
      <c r="U615" s="232"/>
      <c r="V615" s="233"/>
    </row>
    <row r="616" spans="1:22" ht="18" hidden="1" customHeight="1">
      <c r="A616" s="231"/>
      <c r="B616" s="232"/>
      <c r="C616" s="232"/>
      <c r="D616" s="232"/>
      <c r="E616" s="232"/>
      <c r="F616" s="232"/>
      <c r="G616" s="232"/>
      <c r="H616" s="232"/>
      <c r="I616" s="232"/>
      <c r="J616" s="232"/>
      <c r="K616" s="232"/>
      <c r="L616" s="232"/>
      <c r="M616" s="232"/>
      <c r="N616" s="232"/>
      <c r="O616" s="232"/>
      <c r="P616" s="232"/>
      <c r="Q616" s="232"/>
      <c r="R616" s="232"/>
      <c r="S616" s="232"/>
      <c r="T616" s="232"/>
      <c r="U616" s="232"/>
      <c r="V616" s="233"/>
    </row>
    <row r="617" spans="1:22" ht="18" hidden="1" customHeight="1">
      <c r="A617" s="96"/>
      <c r="B617" s="5"/>
      <c r="C617" s="5"/>
      <c r="D617" s="5"/>
      <c r="E617" s="5"/>
      <c r="M617" s="212"/>
      <c r="N617" s="212"/>
      <c r="O617" s="103"/>
      <c r="Q617" s="223"/>
      <c r="R617" s="14"/>
      <c r="S617" s="214"/>
      <c r="V617" s="185"/>
    </row>
    <row r="618" spans="1:22" ht="18" hidden="1" customHeight="1">
      <c r="A618" s="184"/>
      <c r="V618" s="185"/>
    </row>
    <row r="619" spans="1:22" ht="18" hidden="1" customHeight="1">
      <c r="A619" s="184"/>
      <c r="V619" s="185"/>
    </row>
    <row r="620" spans="1:22" ht="18" hidden="1" customHeight="1">
      <c r="A620" s="194"/>
      <c r="B620" s="195"/>
      <c r="C620" s="195"/>
      <c r="D620" s="195"/>
      <c r="E620" s="195"/>
      <c r="F620" s="195"/>
      <c r="G620" s="195"/>
      <c r="H620" s="195"/>
      <c r="I620" s="195"/>
      <c r="J620" s="195"/>
      <c r="K620" s="195"/>
      <c r="L620" s="195"/>
      <c r="M620" s="195"/>
      <c r="N620" s="195"/>
      <c r="O620" s="195"/>
      <c r="P620" s="195"/>
      <c r="Q620" s="224"/>
      <c r="R620" s="182"/>
      <c r="S620" s="225"/>
      <c r="T620" s="195"/>
      <c r="U620" s="195"/>
      <c r="V620" s="134"/>
    </row>
    <row r="621" spans="1:22" ht="18" hidden="1" customHeight="1">
      <c r="A621" s="226"/>
      <c r="B621" s="227"/>
      <c r="C621" s="227"/>
      <c r="D621" s="227"/>
      <c r="E621" s="227"/>
      <c r="F621" s="227"/>
      <c r="G621" s="227"/>
      <c r="H621" s="227"/>
      <c r="I621" s="227"/>
      <c r="J621" s="227"/>
      <c r="K621" s="227"/>
      <c r="L621" s="227"/>
      <c r="M621" s="227"/>
      <c r="N621" s="227"/>
      <c r="O621" s="227"/>
      <c r="P621" s="227"/>
      <c r="Q621" s="227"/>
      <c r="R621" s="227"/>
      <c r="S621" s="227"/>
      <c r="T621" s="227"/>
      <c r="U621" s="227"/>
      <c r="V621" s="228"/>
    </row>
    <row r="622" spans="1:22" ht="18" hidden="1" customHeight="1">
      <c r="A622" s="799" t="s">
        <v>417</v>
      </c>
      <c r="B622" s="802"/>
      <c r="C622" s="802"/>
      <c r="D622" s="689">
        <v>30</v>
      </c>
      <c r="E622" s="689" t="s">
        <v>315</v>
      </c>
      <c r="F622" s="689" t="s">
        <v>609</v>
      </c>
      <c r="G622" s="684"/>
      <c r="H622" s="689" t="s">
        <v>315</v>
      </c>
      <c r="I622" s="708" t="s">
        <v>411</v>
      </c>
      <c r="J622" s="828"/>
      <c r="K622" s="689" t="s">
        <v>315</v>
      </c>
      <c r="L622" s="802" t="s">
        <v>419</v>
      </c>
      <c r="M622" s="716" t="s">
        <v>420</v>
      </c>
      <c r="N622" s="729" t="s">
        <v>347</v>
      </c>
      <c r="O622" s="716" t="s">
        <v>408</v>
      </c>
      <c r="P622" s="689" t="s">
        <v>347</v>
      </c>
      <c r="Q622" s="759" t="s">
        <v>421</v>
      </c>
      <c r="R622" s="797"/>
      <c r="S622" s="797"/>
      <c r="T622" s="798" t="s">
        <v>350</v>
      </c>
      <c r="U622" s="230" t="s">
        <v>422</v>
      </c>
      <c r="V622" s="97"/>
    </row>
    <row r="623" spans="1:22" ht="18" hidden="1" customHeight="1">
      <c r="A623" s="827"/>
      <c r="B623" s="802"/>
      <c r="C623" s="802"/>
      <c r="D623" s="689"/>
      <c r="E623" s="689"/>
      <c r="F623" s="684"/>
      <c r="G623" s="684"/>
      <c r="H623" s="689"/>
      <c r="I623" s="689" t="s">
        <v>423</v>
      </c>
      <c r="J623" s="723"/>
      <c r="K623" s="689"/>
      <c r="L623" s="802"/>
      <c r="M623" s="716"/>
      <c r="N623" s="729"/>
      <c r="O623" s="716"/>
      <c r="P623" s="689"/>
      <c r="Q623" s="28" t="s">
        <v>146</v>
      </c>
      <c r="R623" s="28" t="s">
        <v>315</v>
      </c>
      <c r="S623" s="28" t="s">
        <v>146</v>
      </c>
      <c r="T623" s="798"/>
      <c r="U623" s="14"/>
      <c r="V623" s="97"/>
    </row>
    <row r="624" spans="1:22" ht="18" hidden="1" customHeight="1">
      <c r="A624" s="184"/>
      <c r="V624" s="185"/>
    </row>
    <row r="625" spans="1:22" ht="18" hidden="1" customHeight="1">
      <c r="A625" s="799" t="s">
        <v>417</v>
      </c>
      <c r="B625" s="802"/>
      <c r="C625" s="802"/>
      <c r="D625" s="689">
        <v>2</v>
      </c>
      <c r="E625" s="689" t="s">
        <v>315</v>
      </c>
      <c r="F625" s="689" t="s">
        <v>613</v>
      </c>
      <c r="G625" s="684"/>
      <c r="H625" s="689" t="s">
        <v>315</v>
      </c>
      <c r="I625" s="708" t="s">
        <v>411</v>
      </c>
      <c r="J625" s="828"/>
      <c r="K625" s="689" t="s">
        <v>315</v>
      </c>
      <c r="L625" s="802" t="s">
        <v>419</v>
      </c>
      <c r="M625" s="716" t="s">
        <v>420</v>
      </c>
      <c r="N625" s="729" t="s">
        <v>347</v>
      </c>
      <c r="O625" s="716" t="s">
        <v>408</v>
      </c>
      <c r="P625" s="689" t="s">
        <v>347</v>
      </c>
      <c r="Q625" s="759" t="s">
        <v>421</v>
      </c>
      <c r="R625" s="797"/>
      <c r="S625" s="797"/>
      <c r="T625" s="798" t="s">
        <v>350</v>
      </c>
      <c r="U625" s="230" t="s">
        <v>426</v>
      </c>
      <c r="V625" s="97"/>
    </row>
    <row r="626" spans="1:22" ht="18" hidden="1" customHeight="1">
      <c r="A626" s="827"/>
      <c r="B626" s="802"/>
      <c r="C626" s="802"/>
      <c r="D626" s="689"/>
      <c r="E626" s="689"/>
      <c r="F626" s="684"/>
      <c r="G626" s="684"/>
      <c r="H626" s="689"/>
      <c r="I626" s="689" t="s">
        <v>423</v>
      </c>
      <c r="J626" s="723"/>
      <c r="K626" s="689"/>
      <c r="L626" s="802"/>
      <c r="M626" s="716"/>
      <c r="N626" s="729"/>
      <c r="O626" s="716"/>
      <c r="P626" s="689"/>
      <c r="Q626" s="28" t="s">
        <v>146</v>
      </c>
      <c r="R626" s="28" t="s">
        <v>315</v>
      </c>
      <c r="S626" s="28" t="s">
        <v>146</v>
      </c>
      <c r="T626" s="798"/>
      <c r="U626" s="14"/>
      <c r="V626" s="97"/>
    </row>
    <row r="627" spans="1:22" ht="18" hidden="1" customHeight="1">
      <c r="A627" s="184"/>
      <c r="V627" s="185"/>
    </row>
    <row r="628" spans="1:22" ht="18" hidden="1" customHeight="1">
      <c r="A628" s="678" t="s">
        <v>616</v>
      </c>
      <c r="B628" s="1207"/>
      <c r="C628" s="1207"/>
      <c r="D628" s="1207"/>
      <c r="E628" s="1207"/>
      <c r="F628" s="1207"/>
      <c r="G628" s="1207"/>
      <c r="H628" s="1207"/>
      <c r="I628" s="1207"/>
      <c r="J628" s="1207"/>
      <c r="K628" s="1207"/>
      <c r="L628" s="1207"/>
      <c r="M628" s="1207"/>
      <c r="N628" s="1207"/>
      <c r="O628" s="1207"/>
      <c r="P628" s="1207"/>
      <c r="Q628" s="1207"/>
      <c r="R628" s="1207"/>
      <c r="S628" s="1207"/>
      <c r="T628" s="1207"/>
      <c r="U628" s="1207"/>
      <c r="V628" s="1208"/>
    </row>
    <row r="629" spans="1:22" ht="18" hidden="1" customHeight="1">
      <c r="A629" s="1209"/>
      <c r="B629" s="1207"/>
      <c r="C629" s="1207"/>
      <c r="D629" s="1207"/>
      <c r="E629" s="1207"/>
      <c r="F629" s="1207"/>
      <c r="G629" s="1207"/>
      <c r="H629" s="1207"/>
      <c r="I629" s="1207"/>
      <c r="J629" s="1207"/>
      <c r="K629" s="1207"/>
      <c r="L629" s="1207"/>
      <c r="M629" s="1207"/>
      <c r="N629" s="1207"/>
      <c r="O629" s="1207"/>
      <c r="P629" s="1207"/>
      <c r="Q629" s="1207"/>
      <c r="R629" s="1207"/>
      <c r="S629" s="1207"/>
      <c r="T629" s="1207"/>
      <c r="U629" s="1207"/>
      <c r="V629" s="1208"/>
    </row>
    <row r="630" spans="1:22" ht="18" hidden="1" customHeight="1">
      <c r="A630" s="231"/>
      <c r="B630" s="232"/>
      <c r="C630" s="232"/>
      <c r="D630" s="232"/>
      <c r="E630" s="232"/>
      <c r="F630" s="232"/>
      <c r="G630" s="232"/>
      <c r="H630" s="232"/>
      <c r="I630" s="232"/>
      <c r="J630" s="232"/>
      <c r="K630" s="232"/>
      <c r="L630" s="232"/>
      <c r="M630" s="232"/>
      <c r="N630" s="232"/>
      <c r="O630" s="232"/>
      <c r="P630" s="232"/>
      <c r="Q630" s="232"/>
      <c r="R630" s="232"/>
      <c r="S630" s="232"/>
      <c r="T630" s="232"/>
      <c r="U630" s="232"/>
      <c r="V630" s="233"/>
    </row>
    <row r="631" spans="1:22" ht="18" hidden="1" customHeight="1">
      <c r="A631" s="799" t="s">
        <v>417</v>
      </c>
      <c r="B631" s="802"/>
      <c r="C631" s="802"/>
      <c r="D631" s="689"/>
      <c r="E631" s="689"/>
      <c r="F631" s="689" t="s">
        <v>617</v>
      </c>
      <c r="G631" s="684"/>
      <c r="H631" s="689" t="s">
        <v>315</v>
      </c>
      <c r="I631" s="708" t="s">
        <v>411</v>
      </c>
      <c r="J631" s="828"/>
      <c r="K631" s="689" t="s">
        <v>315</v>
      </c>
      <c r="L631" s="802" t="s">
        <v>419</v>
      </c>
      <c r="M631" s="716" t="s">
        <v>420</v>
      </c>
      <c r="N631" s="729" t="s">
        <v>347</v>
      </c>
      <c r="O631" s="716" t="s">
        <v>408</v>
      </c>
      <c r="P631" s="689" t="s">
        <v>347</v>
      </c>
      <c r="Q631" s="759" t="s">
        <v>421</v>
      </c>
      <c r="R631" s="797"/>
      <c r="S631" s="797"/>
      <c r="T631" s="798" t="s">
        <v>350</v>
      </c>
      <c r="U631" s="230" t="s">
        <v>618</v>
      </c>
      <c r="V631" s="97"/>
    </row>
    <row r="632" spans="1:22" ht="18" hidden="1" customHeight="1">
      <c r="A632" s="827"/>
      <c r="B632" s="802"/>
      <c r="C632" s="802"/>
      <c r="D632" s="689"/>
      <c r="E632" s="689"/>
      <c r="F632" s="684"/>
      <c r="G632" s="684"/>
      <c r="H632" s="689"/>
      <c r="I632" s="689" t="s">
        <v>423</v>
      </c>
      <c r="J632" s="723"/>
      <c r="K632" s="689"/>
      <c r="L632" s="802"/>
      <c r="M632" s="716"/>
      <c r="N632" s="729"/>
      <c r="O632" s="716"/>
      <c r="P632" s="689"/>
      <c r="Q632" s="28" t="s">
        <v>146</v>
      </c>
      <c r="R632" s="28" t="s">
        <v>315</v>
      </c>
      <c r="S632" s="28" t="s">
        <v>146</v>
      </c>
      <c r="T632" s="798"/>
      <c r="U632" s="14"/>
      <c r="V632" s="97"/>
    </row>
    <row r="633" spans="1:22" ht="18" hidden="1" customHeight="1">
      <c r="A633" s="96"/>
      <c r="B633" s="14"/>
      <c r="C633" s="14"/>
      <c r="D633" s="28"/>
      <c r="E633" s="28"/>
      <c r="F633" s="27"/>
      <c r="G633" s="27"/>
      <c r="H633" s="28"/>
      <c r="I633" s="28"/>
      <c r="K633" s="28"/>
      <c r="L633" s="120"/>
      <c r="M633" s="14"/>
      <c r="N633" s="102"/>
      <c r="O633" s="14"/>
      <c r="P633" s="28"/>
      <c r="Q633" s="28"/>
      <c r="R633" s="28"/>
      <c r="S633" s="28"/>
      <c r="T633" s="40"/>
      <c r="U633" s="14"/>
      <c r="V633" s="97"/>
    </row>
    <row r="634" spans="1:22" ht="18" hidden="1" customHeight="1">
      <c r="A634" s="184"/>
      <c r="H634" s="30" t="s">
        <v>619</v>
      </c>
      <c r="M634" s="854" t="str">
        <f>M502</f>
        <v>N</v>
      </c>
      <c r="N634" s="831"/>
      <c r="V634" s="185"/>
    </row>
    <row r="635" spans="1:22" ht="18" hidden="1" customHeight="1">
      <c r="A635" s="96"/>
      <c r="B635" s="14"/>
      <c r="C635" s="14"/>
      <c r="D635" s="28"/>
      <c r="E635" s="28"/>
      <c r="F635" s="27"/>
      <c r="G635" s="27"/>
      <c r="H635" s="28"/>
      <c r="I635" s="28"/>
      <c r="K635" s="28"/>
      <c r="L635" s="120"/>
      <c r="M635" s="14"/>
      <c r="N635" s="102"/>
      <c r="O635" s="14"/>
      <c r="P635" s="28"/>
      <c r="Q635" s="28"/>
      <c r="R635" s="28"/>
      <c r="S635" s="28"/>
      <c r="T635" s="40"/>
      <c r="U635" s="14"/>
      <c r="V635" s="97"/>
    </row>
    <row r="636" spans="1:22" ht="18" hidden="1" customHeight="1">
      <c r="A636" s="184"/>
      <c r="B636" s="14" t="s">
        <v>427</v>
      </c>
      <c r="C636" s="14"/>
      <c r="D636" s="103"/>
      <c r="E636" s="103"/>
      <c r="F636" s="14"/>
      <c r="G636" s="14"/>
      <c r="H636" s="5"/>
      <c r="I636" s="5"/>
      <c r="J636" s="5"/>
      <c r="P636" s="120" t="s">
        <v>428</v>
      </c>
      <c r="V636" s="185"/>
    </row>
    <row r="637" spans="1:22" ht="18" hidden="1" customHeight="1">
      <c r="A637" s="184"/>
      <c r="B637" s="14" t="s">
        <v>429</v>
      </c>
      <c r="C637" s="14"/>
      <c r="D637" s="103"/>
      <c r="E637" s="103"/>
      <c r="F637" s="14"/>
      <c r="G637" s="14"/>
      <c r="H637" s="5"/>
      <c r="I637" s="5"/>
      <c r="J637" s="5"/>
      <c r="P637" s="120" t="s">
        <v>430</v>
      </c>
      <c r="Q637" s="234" t="s">
        <v>127</v>
      </c>
      <c r="R637" s="684" t="str">
        <f>J581</f>
        <v>-</v>
      </c>
      <c r="S637" s="684"/>
      <c r="T637" s="14" t="s">
        <v>8</v>
      </c>
      <c r="V637" s="185"/>
    </row>
    <row r="638" spans="1:22" ht="18" hidden="1" customHeight="1">
      <c r="A638" s="184"/>
      <c r="B638" s="14" t="s">
        <v>621</v>
      </c>
      <c r="C638" s="14"/>
      <c r="D638" s="14"/>
      <c r="E638" s="14"/>
      <c r="F638" s="14"/>
      <c r="G638" s="14"/>
      <c r="H638" s="14"/>
      <c r="I638" s="14"/>
      <c r="J638" s="14"/>
      <c r="P638" s="120" t="s">
        <v>609</v>
      </c>
      <c r="Q638" s="234" t="s">
        <v>127</v>
      </c>
      <c r="R638" s="684">
        <f>J602</f>
        <v>437.38656756789834</v>
      </c>
      <c r="S638" s="684"/>
      <c r="T638" s="14" t="s">
        <v>8</v>
      </c>
      <c r="V638" s="185"/>
    </row>
    <row r="639" spans="1:22" ht="18" hidden="1" customHeight="1">
      <c r="A639" s="184"/>
      <c r="B639" s="14" t="s">
        <v>622</v>
      </c>
      <c r="C639" s="14"/>
      <c r="D639" s="14"/>
      <c r="E639" s="14"/>
      <c r="F639" s="14"/>
      <c r="G639" s="14"/>
      <c r="H639" s="14"/>
      <c r="I639" s="14"/>
      <c r="J639" s="14"/>
      <c r="P639" s="120" t="s">
        <v>613</v>
      </c>
      <c r="Q639" s="234" t="s">
        <v>127</v>
      </c>
      <c r="R639" s="684">
        <f>O608</f>
        <v>6998.1850810863734</v>
      </c>
      <c r="S639" s="684"/>
      <c r="T639" s="14" t="s">
        <v>8</v>
      </c>
      <c r="V639" s="185"/>
    </row>
    <row r="640" spans="1:22" ht="18" hidden="1" customHeight="1">
      <c r="A640" s="184"/>
      <c r="B640" s="235" t="s">
        <v>623</v>
      </c>
      <c r="C640" s="14"/>
      <c r="D640" s="14"/>
      <c r="E640" s="14"/>
      <c r="F640" s="14"/>
      <c r="G640" s="14"/>
      <c r="H640" s="14"/>
      <c r="I640" s="14"/>
      <c r="J640" s="14"/>
      <c r="P640" s="120"/>
      <c r="Q640" s="236"/>
      <c r="R640" s="27"/>
      <c r="S640" s="27"/>
      <c r="T640" s="14"/>
      <c r="V640" s="185"/>
    </row>
    <row r="641" spans="1:22" ht="18" hidden="1" customHeight="1">
      <c r="A641" s="184"/>
      <c r="B641" s="14" t="s">
        <v>622</v>
      </c>
      <c r="C641" s="14"/>
      <c r="D641" s="14"/>
      <c r="E641" s="14"/>
      <c r="F641" s="14"/>
      <c r="G641" s="14"/>
      <c r="H641" s="14"/>
      <c r="I641" s="14"/>
      <c r="J641" s="14"/>
      <c r="P641" s="120" t="s">
        <v>617</v>
      </c>
      <c r="Q641" s="234" t="s">
        <v>127</v>
      </c>
      <c r="R641" s="684" t="str">
        <f>R509</f>
        <v>-</v>
      </c>
      <c r="S641" s="684"/>
      <c r="T641" s="14" t="s">
        <v>8</v>
      </c>
      <c r="V641" s="185"/>
    </row>
    <row r="642" spans="1:22" ht="18" hidden="1" customHeight="1">
      <c r="A642" s="184"/>
      <c r="B642" s="235" t="s">
        <v>645</v>
      </c>
      <c r="C642" s="14"/>
      <c r="D642" s="14"/>
      <c r="E642" s="14"/>
      <c r="F642" s="14"/>
      <c r="G642" s="14"/>
      <c r="H642" s="14"/>
      <c r="I642" s="14"/>
      <c r="J642" s="14"/>
      <c r="R642" s="27"/>
      <c r="S642" s="27"/>
      <c r="T642" s="14"/>
      <c r="V642" s="185"/>
    </row>
    <row r="643" spans="1:22" ht="18" hidden="1" customHeight="1">
      <c r="A643" s="184"/>
      <c r="B643" s="14" t="s">
        <v>435</v>
      </c>
      <c r="C643" s="14"/>
      <c r="D643" s="103"/>
      <c r="E643" s="103"/>
      <c r="F643" s="14"/>
      <c r="G643" s="14"/>
      <c r="H643" s="5"/>
      <c r="I643" s="5"/>
      <c r="J643" s="5"/>
      <c r="P643" s="120" t="s">
        <v>436</v>
      </c>
      <c r="Q643" s="234" t="s">
        <v>127</v>
      </c>
      <c r="R643" s="684">
        <f>O581</f>
        <v>1</v>
      </c>
      <c r="S643" s="684"/>
      <c r="T643" s="14" t="s">
        <v>8</v>
      </c>
      <c r="V643" s="185"/>
    </row>
    <row r="644" spans="1:22" ht="18" hidden="1" customHeight="1">
      <c r="A644" s="184"/>
      <c r="B644" s="14" t="s">
        <v>437</v>
      </c>
      <c r="C644" s="14"/>
      <c r="D644" s="103"/>
      <c r="E644" s="103"/>
      <c r="F644" s="14"/>
      <c r="G644" s="14"/>
      <c r="H644" s="5"/>
      <c r="I644" s="5"/>
      <c r="J644" s="5"/>
      <c r="P644" s="120" t="s">
        <v>438</v>
      </c>
      <c r="Q644" s="234" t="s">
        <v>127</v>
      </c>
      <c r="R644" s="684">
        <f>R512</f>
        <v>1</v>
      </c>
      <c r="S644" s="684"/>
      <c r="T644" s="14" t="s">
        <v>8</v>
      </c>
      <c r="V644" s="185"/>
    </row>
    <row r="645" spans="1:22" ht="18" hidden="1" customHeight="1">
      <c r="A645" s="184"/>
      <c r="B645" s="14" t="s">
        <v>439</v>
      </c>
      <c r="C645" s="14"/>
      <c r="D645" s="103"/>
      <c r="E645" s="103"/>
      <c r="F645" s="14"/>
      <c r="G645" s="14"/>
      <c r="H645" s="5"/>
      <c r="I645" s="5"/>
      <c r="J645" s="5"/>
      <c r="P645" s="120" t="s">
        <v>440</v>
      </c>
      <c r="Q645" s="234" t="s">
        <v>127</v>
      </c>
      <c r="R645" s="684" t="str">
        <f>J583</f>
        <v>-</v>
      </c>
      <c r="S645" s="684"/>
      <c r="T645" s="192" t="s">
        <v>333</v>
      </c>
      <c r="V645" s="185"/>
    </row>
    <row r="646" spans="1:22" ht="18" hidden="1" customHeight="1">
      <c r="A646" s="184"/>
      <c r="B646" s="14" t="s">
        <v>625</v>
      </c>
      <c r="C646" s="14"/>
      <c r="D646" s="14"/>
      <c r="E646" s="14"/>
      <c r="F646" s="14"/>
      <c r="G646" s="14"/>
      <c r="H646" s="14"/>
      <c r="I646" s="14"/>
      <c r="J646" s="14"/>
      <c r="P646" s="237" t="s">
        <v>441</v>
      </c>
      <c r="Q646" s="234" t="s">
        <v>127</v>
      </c>
      <c r="R646" s="795">
        <f>P593</f>
        <v>1.25652618</v>
      </c>
      <c r="S646" s="684"/>
      <c r="T646" s="192" t="s">
        <v>333</v>
      </c>
      <c r="V646" s="185"/>
    </row>
    <row r="647" spans="1:22" ht="18" hidden="1" customHeight="1">
      <c r="A647" s="184"/>
      <c r="B647" s="40" t="s">
        <v>442</v>
      </c>
      <c r="C647" s="14"/>
      <c r="D647" s="14"/>
      <c r="E647" s="14"/>
      <c r="F647" s="14"/>
      <c r="G647" s="14"/>
      <c r="H647" s="5"/>
      <c r="I647" s="5"/>
      <c r="J647" s="5"/>
      <c r="P647" s="237" t="s">
        <v>443</v>
      </c>
      <c r="Q647" s="234" t="s">
        <v>127</v>
      </c>
      <c r="R647" s="795">
        <f>J589</f>
        <v>0.02</v>
      </c>
      <c r="S647" s="684"/>
      <c r="T647" s="14" t="s">
        <v>157</v>
      </c>
      <c r="V647" s="185"/>
    </row>
    <row r="648" spans="1:22" ht="18" hidden="1" customHeight="1">
      <c r="A648" s="184"/>
      <c r="V648" s="185"/>
    </row>
    <row r="649" spans="1:22" ht="18" hidden="1" customHeight="1">
      <c r="A649" s="799" t="s">
        <v>417</v>
      </c>
      <c r="B649" s="802"/>
      <c r="C649" s="802"/>
      <c r="D649" s="689">
        <v>30</v>
      </c>
      <c r="E649" s="689" t="s">
        <v>315</v>
      </c>
      <c r="F649" s="689">
        <f>R638</f>
        <v>437.38656756789834</v>
      </c>
      <c r="G649" s="684"/>
      <c r="H649" s="689" t="s">
        <v>315</v>
      </c>
      <c r="I649" s="708">
        <f>R643</f>
        <v>1</v>
      </c>
      <c r="J649" s="828"/>
      <c r="K649" s="689" t="s">
        <v>315</v>
      </c>
      <c r="L649" s="716" t="s">
        <v>419</v>
      </c>
      <c r="M649" s="716" t="str">
        <f>R645</f>
        <v>-</v>
      </c>
      <c r="N649" s="729" t="s">
        <v>347</v>
      </c>
      <c r="O649" s="1214">
        <f>R646</f>
        <v>1.25652618</v>
      </c>
      <c r="P649" s="689" t="s">
        <v>347</v>
      </c>
      <c r="Q649" s="833">
        <f>R647</f>
        <v>0.02</v>
      </c>
      <c r="R649" s="797"/>
      <c r="S649" s="797"/>
      <c r="T649" s="798" t="s">
        <v>350</v>
      </c>
      <c r="U649" s="230" t="s">
        <v>422</v>
      </c>
      <c r="V649" s="97"/>
    </row>
    <row r="650" spans="1:22" ht="18" hidden="1" customHeight="1">
      <c r="A650" s="827"/>
      <c r="B650" s="802"/>
      <c r="C650" s="802"/>
      <c r="D650" s="689"/>
      <c r="E650" s="689"/>
      <c r="F650" s="684"/>
      <c r="G650" s="684"/>
      <c r="H650" s="689"/>
      <c r="I650" s="689" t="str">
        <f>R637</f>
        <v>-</v>
      </c>
      <c r="J650" s="723"/>
      <c r="K650" s="689"/>
      <c r="L650" s="716"/>
      <c r="M650" s="716"/>
      <c r="N650" s="729"/>
      <c r="O650" s="716"/>
      <c r="P650" s="689"/>
      <c r="Q650" s="28">
        <f>R644</f>
        <v>1</v>
      </c>
      <c r="R650" s="28" t="s">
        <v>315</v>
      </c>
      <c r="S650" s="28">
        <f>R644</f>
        <v>1</v>
      </c>
      <c r="T650" s="798"/>
      <c r="U650" s="14"/>
      <c r="V650" s="97"/>
    </row>
    <row r="651" spans="1:22" ht="18" hidden="1" customHeight="1">
      <c r="A651" s="184"/>
      <c r="V651" s="185"/>
    </row>
    <row r="652" spans="1:22" ht="18" hidden="1" customHeight="1">
      <c r="A652" s="184"/>
      <c r="C652" s="30" t="s">
        <v>127</v>
      </c>
      <c r="D652" s="812" t="e">
        <f>D649*F649*(I649/I650)*(M649+O649+(Q649/(Q650*S650)))</f>
        <v>#VALUE!</v>
      </c>
      <c r="E652" s="813"/>
      <c r="F652" s="30" t="s">
        <v>305</v>
      </c>
      <c r="V652" s="185"/>
    </row>
    <row r="653" spans="1:22" ht="18" hidden="1" customHeight="1">
      <c r="A653" s="184"/>
      <c r="V653" s="185"/>
    </row>
    <row r="654" spans="1:22" ht="18" hidden="1" customHeight="1">
      <c r="A654" s="799" t="s">
        <v>417</v>
      </c>
      <c r="B654" s="802"/>
      <c r="C654" s="802"/>
      <c r="D654" s="689">
        <v>2</v>
      </c>
      <c r="E654" s="689" t="s">
        <v>315</v>
      </c>
      <c r="F654" s="689">
        <f>R639</f>
        <v>6998.1850810863734</v>
      </c>
      <c r="G654" s="684"/>
      <c r="H654" s="689" t="s">
        <v>315</v>
      </c>
      <c r="I654" s="708">
        <f>R643</f>
        <v>1</v>
      </c>
      <c r="J654" s="828"/>
      <c r="K654" s="689" t="s">
        <v>315</v>
      </c>
      <c r="L654" s="802" t="s">
        <v>419</v>
      </c>
      <c r="M654" s="716" t="str">
        <f>R645</f>
        <v>-</v>
      </c>
      <c r="N654" s="729" t="s">
        <v>347</v>
      </c>
      <c r="O654" s="1214">
        <f>R646</f>
        <v>1.25652618</v>
      </c>
      <c r="P654" s="689" t="s">
        <v>347</v>
      </c>
      <c r="Q654" s="833">
        <f>R647</f>
        <v>0.02</v>
      </c>
      <c r="R654" s="797"/>
      <c r="S654" s="797"/>
      <c r="T654" s="798" t="s">
        <v>350</v>
      </c>
      <c r="U654" s="230" t="s">
        <v>426</v>
      </c>
      <c r="V654" s="97"/>
    </row>
    <row r="655" spans="1:22" ht="18" hidden="1" customHeight="1">
      <c r="A655" s="827"/>
      <c r="B655" s="802"/>
      <c r="C655" s="802"/>
      <c r="D655" s="689"/>
      <c r="E655" s="689"/>
      <c r="F655" s="684"/>
      <c r="G655" s="684"/>
      <c r="H655" s="689"/>
      <c r="I655" s="689" t="str">
        <f>R637</f>
        <v>-</v>
      </c>
      <c r="J655" s="723"/>
      <c r="K655" s="689"/>
      <c r="L655" s="802"/>
      <c r="M655" s="716"/>
      <c r="N655" s="729"/>
      <c r="O655" s="716"/>
      <c r="P655" s="689"/>
      <c r="Q655" s="28">
        <f>R644</f>
        <v>1</v>
      </c>
      <c r="R655" s="28" t="s">
        <v>315</v>
      </c>
      <c r="S655" s="28">
        <f>R644</f>
        <v>1</v>
      </c>
      <c r="T655" s="798"/>
      <c r="U655" s="14"/>
      <c r="V655" s="97"/>
    </row>
    <row r="656" spans="1:22" ht="18" hidden="1" customHeight="1">
      <c r="A656" s="184"/>
      <c r="L656" s="244"/>
      <c r="V656" s="185"/>
    </row>
    <row r="657" spans="1:22" ht="18" hidden="1" customHeight="1">
      <c r="A657" s="184"/>
      <c r="C657" s="30" t="s">
        <v>127</v>
      </c>
      <c r="D657" s="812" t="e">
        <f>D654*F654*(I654/I655)*(M654+O654+(Q654/(Q655*S655)))</f>
        <v>#VALUE!</v>
      </c>
      <c r="E657" s="813"/>
      <c r="F657" s="30" t="s">
        <v>305</v>
      </c>
      <c r="L657" s="244"/>
      <c r="V657" s="185"/>
    </row>
    <row r="658" spans="1:22" ht="18" hidden="1" customHeight="1">
      <c r="A658" s="184"/>
      <c r="L658" s="244"/>
      <c r="V658" s="185"/>
    </row>
    <row r="659" spans="1:22" s="14" customFormat="1" ht="18" hidden="1" customHeight="1">
      <c r="A659" s="799" t="s">
        <v>417</v>
      </c>
      <c r="B659" s="802"/>
      <c r="C659" s="802"/>
      <c r="D659" s="689"/>
      <c r="E659" s="689"/>
      <c r="F659" s="689" t="str">
        <f>R641</f>
        <v>-</v>
      </c>
      <c r="G659" s="684"/>
      <c r="H659" s="689" t="s">
        <v>315</v>
      </c>
      <c r="I659" s="708">
        <f>R643</f>
        <v>1</v>
      </c>
      <c r="J659" s="828"/>
      <c r="K659" s="689" t="s">
        <v>315</v>
      </c>
      <c r="L659" s="802" t="s">
        <v>419</v>
      </c>
      <c r="M659" s="716" t="str">
        <f>R645</f>
        <v>-</v>
      </c>
      <c r="N659" s="729" t="s">
        <v>347</v>
      </c>
      <c r="O659" s="1214">
        <f>R646</f>
        <v>1.25652618</v>
      </c>
      <c r="P659" s="689" t="s">
        <v>347</v>
      </c>
      <c r="Q659" s="833">
        <f>R647</f>
        <v>0.02</v>
      </c>
      <c r="R659" s="797"/>
      <c r="S659" s="797"/>
      <c r="T659" s="798" t="s">
        <v>350</v>
      </c>
      <c r="U659" s="230" t="s">
        <v>618</v>
      </c>
      <c r="V659" s="97"/>
    </row>
    <row r="660" spans="1:22" ht="18" hidden="1" customHeight="1">
      <c r="A660" s="827"/>
      <c r="B660" s="802"/>
      <c r="C660" s="802"/>
      <c r="D660" s="689"/>
      <c r="E660" s="689"/>
      <c r="F660" s="684"/>
      <c r="G660" s="684"/>
      <c r="H660" s="689"/>
      <c r="I660" s="689" t="str">
        <f>R637</f>
        <v>-</v>
      </c>
      <c r="J660" s="723"/>
      <c r="K660" s="689"/>
      <c r="L660" s="802"/>
      <c r="M660" s="716"/>
      <c r="N660" s="729"/>
      <c r="O660" s="716"/>
      <c r="P660" s="689"/>
      <c r="Q660" s="28">
        <f>R644</f>
        <v>1</v>
      </c>
      <c r="R660" s="28" t="s">
        <v>315</v>
      </c>
      <c r="S660" s="28">
        <f>R644</f>
        <v>1</v>
      </c>
      <c r="T660" s="798"/>
      <c r="U660" s="14"/>
      <c r="V660" s="97"/>
    </row>
    <row r="661" spans="1:22" ht="18" hidden="1" customHeight="1">
      <c r="A661" s="184"/>
      <c r="V661" s="185"/>
    </row>
    <row r="662" spans="1:22" ht="18" hidden="1" customHeight="1">
      <c r="A662" s="184"/>
      <c r="C662" s="30" t="s">
        <v>127</v>
      </c>
      <c r="D662" s="812" t="e">
        <f>F659*(I659/I660)*(M659+O659+(Q659/(Q660*S660)))</f>
        <v>#VALUE!</v>
      </c>
      <c r="E662" s="813"/>
      <c r="F662" s="30" t="s">
        <v>305</v>
      </c>
      <c r="G662" s="187" t="s">
        <v>378</v>
      </c>
      <c r="H662" s="186" t="str">
        <f>IF(M634="y","Applicable","Not applicable")</f>
        <v>Not applicable</v>
      </c>
      <c r="V662" s="185"/>
    </row>
    <row r="663" spans="1:22" ht="18" hidden="1" customHeight="1">
      <c r="A663" s="184"/>
      <c r="V663" s="185"/>
    </row>
    <row r="664" spans="1:22" ht="18" hidden="1" customHeight="1">
      <c r="A664" s="194"/>
      <c r="B664" s="195"/>
      <c r="C664" s="195"/>
      <c r="D664" s="195"/>
      <c r="E664" s="195"/>
      <c r="F664" s="195"/>
      <c r="G664" s="195"/>
      <c r="H664" s="195"/>
      <c r="I664" s="195"/>
      <c r="J664" s="195"/>
      <c r="K664" s="195"/>
      <c r="L664" s="195"/>
      <c r="M664" s="195"/>
      <c r="N664" s="195"/>
      <c r="O664" s="195"/>
      <c r="P664" s="195"/>
      <c r="Q664" s="224"/>
      <c r="R664" s="182"/>
      <c r="S664" s="225"/>
      <c r="T664" s="195"/>
      <c r="U664" s="195"/>
      <c r="V664" s="134"/>
    </row>
    <row r="665" spans="1:22" ht="18" hidden="1" customHeight="1">
      <c r="A665" s="226"/>
      <c r="B665" s="227"/>
      <c r="C665" s="227"/>
      <c r="D665" s="227"/>
      <c r="E665" s="227"/>
      <c r="F665" s="227"/>
      <c r="G665" s="227"/>
      <c r="H665" s="227"/>
      <c r="I665" s="227"/>
      <c r="J665" s="227"/>
      <c r="K665" s="227"/>
      <c r="L665" s="227"/>
      <c r="M665" s="227"/>
      <c r="N665" s="227"/>
      <c r="O665" s="227"/>
      <c r="P665" s="227"/>
      <c r="Q665" s="227"/>
      <c r="R665" s="227"/>
      <c r="S665" s="227"/>
      <c r="T665" s="227"/>
      <c r="U665" s="227"/>
      <c r="V665" s="228"/>
    </row>
    <row r="666" spans="1:22" ht="18" hidden="1" customHeight="1">
      <c r="A666" s="184" t="s">
        <v>634</v>
      </c>
      <c r="M666" s="825" t="str">
        <f>R637</f>
        <v>-</v>
      </c>
      <c r="N666" s="826"/>
      <c r="O666" s="30" t="s">
        <v>470</v>
      </c>
      <c r="Q666" s="812" t="e">
        <f>IF(M634="Y",MAX(D652,D662),MAX(D652,D657))</f>
        <v>#VALUE!</v>
      </c>
      <c r="R666" s="820"/>
      <c r="S666" s="30" t="s">
        <v>305</v>
      </c>
      <c r="V666" s="185"/>
    </row>
    <row r="667" spans="1:22" ht="18" hidden="1" customHeight="1">
      <c r="A667" s="184"/>
      <c r="M667" s="247"/>
      <c r="N667" s="247"/>
      <c r="Q667" s="211"/>
      <c r="R667" s="27"/>
      <c r="V667" s="185"/>
    </row>
    <row r="668" spans="1:22" ht="18" hidden="1" customHeight="1">
      <c r="A668" s="248" t="s">
        <v>471</v>
      </c>
      <c r="B668" s="14"/>
      <c r="C668" s="14"/>
      <c r="D668" s="249"/>
      <c r="E668" s="14"/>
      <c r="F668" s="14"/>
      <c r="G668" s="47"/>
      <c r="H668" s="14"/>
      <c r="J668" s="14"/>
      <c r="K668" s="14"/>
      <c r="L668" s="14"/>
      <c r="M668" s="14"/>
      <c r="N668" s="14"/>
      <c r="O668" s="14"/>
      <c r="P668" s="250"/>
      <c r="Q668" s="251"/>
      <c r="R668" s="47"/>
      <c r="S668" s="14"/>
      <c r="V668" s="185"/>
    </row>
    <row r="669" spans="1:22" ht="18" hidden="1" customHeight="1">
      <c r="A669" s="248"/>
      <c r="B669" s="14"/>
      <c r="C669" s="14"/>
      <c r="D669" s="249"/>
      <c r="E669" s="14"/>
      <c r="F669" s="14"/>
      <c r="G669" s="47"/>
      <c r="H669" s="14"/>
      <c r="J669" s="14"/>
      <c r="K669" s="14"/>
      <c r="L669" s="14"/>
      <c r="M669" s="14"/>
      <c r="N669" s="14"/>
      <c r="O669" s="14"/>
      <c r="P669" s="250"/>
      <c r="Q669" s="251"/>
      <c r="R669" s="47"/>
      <c r="S669" s="14"/>
      <c r="V669" s="185"/>
    </row>
    <row r="670" spans="1:22" ht="18" hidden="1" customHeight="1">
      <c r="A670" s="96" t="s">
        <v>500</v>
      </c>
      <c r="V670" s="185"/>
    </row>
    <row r="671" spans="1:22" ht="18" hidden="1" customHeight="1">
      <c r="A671" s="184"/>
      <c r="N671" s="14"/>
      <c r="O671" s="14" t="s">
        <v>473</v>
      </c>
      <c r="P671" s="102" t="s">
        <v>127</v>
      </c>
      <c r="Q671" s="249" t="s">
        <v>474</v>
      </c>
      <c r="R671" s="14"/>
      <c r="S671" s="28" t="s">
        <v>315</v>
      </c>
      <c r="T671" s="28">
        <v>0.8</v>
      </c>
      <c r="V671" s="185"/>
    </row>
    <row r="672" spans="1:22" ht="18" hidden="1" customHeight="1">
      <c r="A672" s="184"/>
      <c r="N672" s="252"/>
      <c r="O672" s="14"/>
      <c r="P672" s="102" t="s">
        <v>127</v>
      </c>
      <c r="Q672" s="829" t="e">
        <f>+Q666</f>
        <v>#VALUE!</v>
      </c>
      <c r="R672" s="1147"/>
      <c r="S672" s="222" t="s">
        <v>315</v>
      </c>
      <c r="T672" s="253">
        <f>+T671</f>
        <v>0.8</v>
      </c>
      <c r="V672" s="185"/>
    </row>
    <row r="673" spans="1:22" ht="18" hidden="1" customHeight="1">
      <c r="A673" s="184"/>
      <c r="O673" s="14"/>
      <c r="P673" s="28" t="s">
        <v>127</v>
      </c>
      <c r="Q673" s="830" t="e">
        <f>Q672*T672</f>
        <v>#VALUE!</v>
      </c>
      <c r="R673" s="1270"/>
      <c r="S673" s="47" t="s">
        <v>305</v>
      </c>
      <c r="T673" s="14"/>
      <c r="V673" s="185"/>
    </row>
    <row r="674" spans="1:22" ht="18" hidden="1" customHeight="1">
      <c r="A674" s="184"/>
      <c r="V674" s="185"/>
    </row>
    <row r="675" spans="1:22" ht="18" hidden="1" customHeight="1">
      <c r="A675" s="184"/>
      <c r="D675" s="30" t="s">
        <v>475</v>
      </c>
      <c r="G675" s="27" t="e">
        <f>IF(E676&gt;H676,"&gt;","&lt;")</f>
        <v>#VALUE!</v>
      </c>
      <c r="H675" s="30" t="s">
        <v>477</v>
      </c>
      <c r="V675" s="185"/>
    </row>
    <row r="676" spans="1:22" ht="18" hidden="1" customHeight="1">
      <c r="A676" s="184"/>
      <c r="E676" s="684" t="str">
        <f>J584</f>
        <v>-</v>
      </c>
      <c r="F676" s="684"/>
      <c r="G676" s="27" t="e">
        <f>G675</f>
        <v>#VALUE!</v>
      </c>
      <c r="H676" s="795" t="e">
        <f>Q673</f>
        <v>#VALUE!</v>
      </c>
      <c r="I676" s="684"/>
      <c r="V676" s="185"/>
    </row>
    <row r="677" spans="1:22" ht="18" hidden="1" customHeight="1">
      <c r="A677" s="184"/>
      <c r="F677" s="244" t="s">
        <v>478</v>
      </c>
      <c r="H677" s="18" t="e">
        <f>IF(G675="&gt;","Suitably Dimensioned","Under Dimensioned")</f>
        <v>#VALUE!</v>
      </c>
      <c r="V677" s="185"/>
    </row>
    <row r="678" spans="1:22" ht="18" hidden="1" customHeight="1">
      <c r="A678" s="184"/>
      <c r="F678" s="244"/>
      <c r="H678" s="18"/>
      <c r="V678" s="185"/>
    </row>
    <row r="679" spans="1:22" ht="18" hidden="1" customHeight="1">
      <c r="A679" s="184"/>
      <c r="F679" s="244"/>
      <c r="H679" s="18"/>
      <c r="V679" s="185"/>
    </row>
    <row r="680" spans="1:22" ht="18" hidden="1" customHeight="1">
      <c r="A680" s="184"/>
      <c r="F680" s="244"/>
      <c r="H680" s="18"/>
      <c r="V680" s="185"/>
    </row>
    <row r="681" spans="1:22" ht="18" hidden="1" customHeight="1">
      <c r="A681" s="184"/>
      <c r="F681" s="244"/>
      <c r="H681" s="18"/>
      <c r="V681" s="185"/>
    </row>
    <row r="682" spans="1:22" ht="18" hidden="1" customHeight="1">
      <c r="A682" s="184"/>
      <c r="F682" s="244"/>
      <c r="H682" s="18"/>
      <c r="V682" s="185"/>
    </row>
    <row r="683" spans="1:22" ht="18" hidden="1" customHeight="1">
      <c r="A683" s="184"/>
      <c r="F683" s="244"/>
      <c r="H683" s="18"/>
      <c r="V683" s="185"/>
    </row>
    <row r="684" spans="1:22" ht="18" hidden="1" customHeight="1">
      <c r="A684" s="184"/>
      <c r="F684" s="244"/>
      <c r="H684" s="18"/>
      <c r="V684" s="185"/>
    </row>
    <row r="685" spans="1:22" ht="18" hidden="1" customHeight="1">
      <c r="A685" s="184"/>
      <c r="F685" s="244"/>
      <c r="H685" s="18"/>
      <c r="V685" s="185"/>
    </row>
    <row r="686" spans="1:22" ht="18" hidden="1" customHeight="1">
      <c r="A686" s="184"/>
      <c r="F686" s="244"/>
      <c r="H686" s="18"/>
      <c r="V686" s="185"/>
    </row>
    <row r="687" spans="1:22" ht="18" hidden="1" customHeight="1">
      <c r="A687" s="184"/>
      <c r="F687" s="244"/>
      <c r="H687" s="18"/>
      <c r="V687" s="185"/>
    </row>
    <row r="688" spans="1:22" ht="18" hidden="1" customHeight="1">
      <c r="A688" s="184"/>
      <c r="F688" s="244"/>
      <c r="H688" s="18"/>
      <c r="V688" s="185"/>
    </row>
    <row r="689" spans="1:22" ht="18" hidden="1" customHeight="1">
      <c r="A689" s="184"/>
      <c r="F689" s="244"/>
      <c r="H689" s="18"/>
      <c r="V689" s="185"/>
    </row>
    <row r="690" spans="1:22" ht="18" hidden="1" customHeight="1">
      <c r="A690" s="184"/>
      <c r="F690" s="244"/>
      <c r="H690" s="18"/>
      <c r="V690" s="185"/>
    </row>
    <row r="691" spans="1:22" ht="18" hidden="1" customHeight="1">
      <c r="A691" s="184"/>
      <c r="F691" s="244"/>
      <c r="H691" s="18"/>
      <c r="V691" s="185"/>
    </row>
    <row r="692" spans="1:22" ht="18" hidden="1" customHeight="1">
      <c r="A692" s="184"/>
      <c r="F692" s="244"/>
      <c r="H692" s="18"/>
      <c r="V692" s="185"/>
    </row>
    <row r="693" spans="1:22" ht="18" hidden="1" customHeight="1">
      <c r="A693" s="184"/>
      <c r="F693" s="244"/>
      <c r="H693" s="18"/>
      <c r="V693" s="185"/>
    </row>
    <row r="694" spans="1:22" ht="18" hidden="1" customHeight="1">
      <c r="A694" s="184"/>
      <c r="F694" s="244"/>
      <c r="H694" s="18"/>
      <c r="V694" s="185"/>
    </row>
    <row r="695" spans="1:22" ht="18" hidden="1" customHeight="1">
      <c r="A695" s="184"/>
      <c r="F695" s="244"/>
      <c r="H695" s="18"/>
      <c r="V695" s="185"/>
    </row>
    <row r="696" spans="1:22" ht="18" hidden="1" customHeight="1">
      <c r="A696" s="184"/>
      <c r="F696" s="244"/>
      <c r="H696" s="18"/>
      <c r="V696" s="185"/>
    </row>
    <row r="697" spans="1:22" ht="18" hidden="1" customHeight="1">
      <c r="A697" s="184"/>
      <c r="F697" s="244"/>
      <c r="H697" s="18"/>
      <c r="V697" s="185"/>
    </row>
    <row r="698" spans="1:22" ht="18" hidden="1" customHeight="1">
      <c r="A698" s="184"/>
      <c r="F698" s="244"/>
      <c r="H698" s="18"/>
      <c r="V698" s="185"/>
    </row>
    <row r="699" spans="1:22" ht="18" hidden="1" customHeight="1">
      <c r="A699" s="184"/>
      <c r="F699" s="244"/>
      <c r="H699" s="18"/>
      <c r="V699" s="185"/>
    </row>
    <row r="700" spans="1:22" ht="18" hidden="1" customHeight="1">
      <c r="A700" s="184"/>
      <c r="F700" s="244"/>
      <c r="H700" s="18"/>
      <c r="V700" s="185"/>
    </row>
    <row r="701" spans="1:22" ht="18" hidden="1" customHeight="1">
      <c r="A701" s="184"/>
      <c r="F701" s="244"/>
      <c r="H701" s="18"/>
      <c r="V701" s="185"/>
    </row>
    <row r="702" spans="1:22" ht="18" hidden="1" customHeight="1">
      <c r="A702" s="184"/>
      <c r="F702" s="244"/>
      <c r="H702" s="18"/>
      <c r="V702" s="185"/>
    </row>
    <row r="703" spans="1:22" s="14" customFormat="1" ht="18" hidden="1" customHeight="1">
      <c r="A703" s="184"/>
      <c r="B703" s="30"/>
      <c r="C703" s="30"/>
      <c r="D703" s="30"/>
      <c r="E703" s="30"/>
      <c r="F703" s="244"/>
      <c r="G703" s="30"/>
      <c r="H703" s="18"/>
      <c r="I703" s="30"/>
      <c r="J703" s="30"/>
      <c r="K703" s="30"/>
      <c r="L703" s="30"/>
      <c r="M703" s="30"/>
      <c r="N703" s="30"/>
      <c r="O703" s="30"/>
      <c r="P703" s="30"/>
      <c r="Q703" s="30"/>
      <c r="R703" s="30"/>
      <c r="S703" s="30"/>
      <c r="T703" s="30"/>
      <c r="U703" s="30"/>
      <c r="V703" s="185"/>
    </row>
    <row r="704" spans="1:22" ht="18" hidden="1" customHeight="1">
      <c r="A704" s="184"/>
      <c r="F704" s="244"/>
      <c r="H704" s="18"/>
      <c r="V704" s="185"/>
    </row>
    <row r="705" spans="1:29" ht="18" hidden="1" customHeight="1">
      <c r="A705" s="184"/>
      <c r="H705" s="18"/>
      <c r="V705" s="185"/>
    </row>
    <row r="706" spans="1:29" ht="18" hidden="1" customHeight="1">
      <c r="A706" s="184"/>
      <c r="H706" s="18"/>
      <c r="V706" s="185"/>
    </row>
    <row r="707" spans="1:29" ht="18" hidden="1" customHeight="1">
      <c r="A707" s="184"/>
      <c r="F707" s="244"/>
      <c r="H707" s="18"/>
      <c r="V707" s="185"/>
    </row>
    <row r="708" spans="1:29" ht="18" hidden="1" customHeight="1">
      <c r="A708" s="194"/>
      <c r="B708" s="195"/>
      <c r="C708" s="195"/>
      <c r="D708" s="195"/>
      <c r="E708" s="195"/>
      <c r="F708" s="195"/>
      <c r="G708" s="195"/>
      <c r="H708" s="195"/>
      <c r="I708" s="195"/>
      <c r="J708" s="195"/>
      <c r="K708" s="195"/>
      <c r="L708" s="195"/>
      <c r="M708" s="195"/>
      <c r="N708" s="195"/>
      <c r="O708" s="195"/>
      <c r="P708" s="195"/>
      <c r="Q708" s="224"/>
      <c r="R708" s="182"/>
      <c r="S708" s="225"/>
      <c r="T708" s="195"/>
      <c r="U708" s="195"/>
      <c r="V708" s="134"/>
    </row>
    <row r="709" spans="1:29" ht="18" hidden="1" customHeight="1">
      <c r="A709" s="226"/>
      <c r="B709" s="227"/>
      <c r="C709" s="227"/>
      <c r="D709" s="227"/>
      <c r="E709" s="227"/>
      <c r="F709" s="227"/>
      <c r="G709" s="227"/>
      <c r="H709" s="227"/>
      <c r="I709" s="227"/>
      <c r="J709" s="227"/>
      <c r="K709" s="227"/>
      <c r="L709" s="227"/>
      <c r="M709" s="227"/>
      <c r="N709" s="227"/>
      <c r="O709" s="227"/>
      <c r="P709" s="227"/>
      <c r="Q709" s="227"/>
      <c r="R709" s="227"/>
      <c r="S709" s="227"/>
      <c r="T709" s="227"/>
      <c r="U709" s="227"/>
      <c r="V709" s="228"/>
    </row>
    <row r="710" spans="1:29" ht="18" hidden="1" customHeight="1">
      <c r="A710" s="184"/>
      <c r="B710" s="854" t="str">
        <f>B578</f>
        <v>BCT13,14,15</v>
      </c>
      <c r="C710" s="831"/>
      <c r="D710" s="855" t="str">
        <f>D578</f>
        <v>Core2</v>
      </c>
      <c r="E710" s="856"/>
      <c r="F710" s="186" t="s">
        <v>636</v>
      </c>
      <c r="H710" s="684" t="str">
        <f>H578</f>
        <v>(Transformer Differential)</v>
      </c>
      <c r="I710" s="684"/>
      <c r="J710" s="684"/>
      <c r="K710" s="684"/>
      <c r="L710" s="684"/>
      <c r="M710" s="684"/>
      <c r="P710" s="186"/>
      <c r="S710" s="187" t="s">
        <v>387</v>
      </c>
      <c r="T710" s="854" t="str">
        <f>T578</f>
        <v>RET670</v>
      </c>
      <c r="U710" s="831"/>
      <c r="V710" s="185"/>
    </row>
    <row r="711" spans="1:29" ht="18" hidden="1" customHeight="1">
      <c r="A711" s="184"/>
      <c r="B711" s="853">
        <f>B579</f>
        <v>0</v>
      </c>
      <c r="C711" s="853"/>
      <c r="D711" s="857"/>
      <c r="E711" s="858"/>
      <c r="F711" s="255"/>
      <c r="T711" s="854">
        <f>T579</f>
        <v>0</v>
      </c>
      <c r="U711" s="831"/>
      <c r="V711" s="185"/>
    </row>
    <row r="712" spans="1:29" ht="18" hidden="1" customHeight="1">
      <c r="A712" s="184"/>
      <c r="H712" s="708" t="s">
        <v>390</v>
      </c>
      <c r="I712" s="708"/>
      <c r="J712" s="708" t="s">
        <v>391</v>
      </c>
      <c r="K712" s="708"/>
      <c r="L712" s="789" t="s">
        <v>392</v>
      </c>
      <c r="M712" s="789"/>
      <c r="T712" s="854">
        <f>T580</f>
        <v>0</v>
      </c>
      <c r="U712" s="831"/>
      <c r="V712" s="185"/>
    </row>
    <row r="713" spans="1:29" ht="18" hidden="1" customHeight="1">
      <c r="A713" s="184"/>
      <c r="B713" s="47" t="s">
        <v>393</v>
      </c>
      <c r="H713" s="854">
        <f>H581</f>
        <v>1200</v>
      </c>
      <c r="I713" s="831"/>
      <c r="J713" s="854" t="str">
        <f>J581</f>
        <v>-</v>
      </c>
      <c r="K713" s="831"/>
      <c r="L713" s="863" t="str">
        <f>L581</f>
        <v>-</v>
      </c>
      <c r="M713" s="864"/>
      <c r="N713" s="102" t="s">
        <v>342</v>
      </c>
      <c r="O713" s="256">
        <f>O581</f>
        <v>1</v>
      </c>
      <c r="P713" s="27" t="s">
        <v>8</v>
      </c>
      <c r="V713" s="185"/>
    </row>
    <row r="714" spans="1:29" ht="18" hidden="1" customHeight="1">
      <c r="A714" s="184"/>
      <c r="B714" s="47" t="s">
        <v>394</v>
      </c>
      <c r="H714" s="14"/>
      <c r="K714" s="14"/>
      <c r="L714" s="854" t="str">
        <f>J582</f>
        <v>TPS</v>
      </c>
      <c r="M714" s="831"/>
      <c r="N714" s="14"/>
      <c r="V714" s="185"/>
    </row>
    <row r="715" spans="1:29" ht="18" hidden="1" customHeight="1">
      <c r="A715" s="184"/>
      <c r="B715" s="47" t="s">
        <v>396</v>
      </c>
      <c r="K715" s="120" t="s">
        <v>497</v>
      </c>
      <c r="L715" s="781" t="s">
        <v>6</v>
      </c>
      <c r="M715" s="782"/>
      <c r="N715" s="192" t="s">
        <v>333</v>
      </c>
      <c r="V715" s="185"/>
    </row>
    <row r="716" spans="1:29" ht="18" hidden="1" customHeight="1">
      <c r="A716" s="184"/>
      <c r="B716" s="47" t="s">
        <v>398</v>
      </c>
      <c r="K716" s="120" t="s">
        <v>498</v>
      </c>
      <c r="L716" s="781" t="s">
        <v>6</v>
      </c>
      <c r="M716" s="782"/>
      <c r="N716" s="14" t="s">
        <v>305</v>
      </c>
      <c r="V716" s="185"/>
      <c r="W716" s="30" t="s">
        <v>400</v>
      </c>
      <c r="AB716" s="785" t="e">
        <f>Q805</f>
        <v>#VALUE!</v>
      </c>
      <c r="AC716" s="786"/>
    </row>
    <row r="717" spans="1:29" ht="18" hidden="1" customHeight="1">
      <c r="A717" s="184"/>
      <c r="B717" s="14" t="s">
        <v>401</v>
      </c>
      <c r="K717" s="120" t="s">
        <v>402</v>
      </c>
      <c r="L717" s="781" t="s">
        <v>6</v>
      </c>
      <c r="M717" s="782"/>
      <c r="N717" s="14" t="s">
        <v>403</v>
      </c>
      <c r="V717" s="185"/>
    </row>
    <row r="718" spans="1:29" ht="18" hidden="1" customHeight="1">
      <c r="A718" s="184"/>
      <c r="V718" s="185"/>
    </row>
    <row r="719" spans="1:29" ht="18" hidden="1" customHeight="1">
      <c r="A719" s="193" t="s">
        <v>404</v>
      </c>
      <c r="V719" s="185"/>
    </row>
    <row r="720" spans="1:29" ht="18" hidden="1" customHeight="1">
      <c r="A720" s="184"/>
      <c r="V720" s="185"/>
    </row>
    <row r="721" spans="1:22" ht="18" hidden="1" customHeight="1">
      <c r="A721" s="184"/>
      <c r="B721" s="194" t="s">
        <v>405</v>
      </c>
      <c r="C721" s="195"/>
      <c r="D721" s="195" t="str">
        <f>T710</f>
        <v>RET670</v>
      </c>
      <c r="E721" s="196"/>
      <c r="F721" s="196"/>
      <c r="G721" s="196"/>
      <c r="H721" s="182" t="s">
        <v>406</v>
      </c>
      <c r="I721" s="183" t="s">
        <v>127</v>
      </c>
      <c r="J721" s="1276">
        <f>J589</f>
        <v>0.02</v>
      </c>
      <c r="K721" s="1144"/>
      <c r="L721" s="3" t="s">
        <v>157</v>
      </c>
      <c r="N721" s="197" t="s">
        <v>407</v>
      </c>
      <c r="V721" s="185"/>
    </row>
    <row r="722" spans="1:22" s="14" customFormat="1" ht="18" hidden="1" customHeight="1">
      <c r="A722" s="184"/>
      <c r="B722" s="96" t="s">
        <v>405</v>
      </c>
      <c r="C722" s="30"/>
      <c r="D722" s="30">
        <f>T711</f>
        <v>0</v>
      </c>
      <c r="E722" s="30"/>
      <c r="F722" s="30"/>
      <c r="G722" s="30"/>
      <c r="H722" s="27"/>
      <c r="I722" s="177"/>
      <c r="J722" s="1274">
        <f>J590</f>
        <v>0</v>
      </c>
      <c r="K722" s="1275"/>
      <c r="L722" s="198" t="s">
        <v>157</v>
      </c>
      <c r="M722" s="30"/>
      <c r="N722" s="30"/>
      <c r="O722" s="30"/>
      <c r="P722" s="30"/>
      <c r="Q722" s="30"/>
      <c r="R722" s="30"/>
      <c r="S722" s="30"/>
      <c r="T722" s="30"/>
      <c r="U722" s="30"/>
      <c r="V722" s="185"/>
    </row>
    <row r="723" spans="1:22" s="14" customFormat="1" ht="18" hidden="1" customHeight="1">
      <c r="A723" s="184"/>
      <c r="B723" s="96" t="s">
        <v>405</v>
      </c>
      <c r="C723" s="30"/>
      <c r="D723" s="30">
        <f>T712</f>
        <v>0</v>
      </c>
      <c r="F723" s="30"/>
      <c r="G723" s="199"/>
      <c r="H723" s="27"/>
      <c r="I723" s="101"/>
      <c r="J723" s="696">
        <f>J591</f>
        <v>0</v>
      </c>
      <c r="K723" s="820"/>
      <c r="L723" s="202" t="s">
        <v>157</v>
      </c>
      <c r="M723" s="30"/>
      <c r="N723" s="30" t="s">
        <v>408</v>
      </c>
      <c r="O723" s="27" t="s">
        <v>127</v>
      </c>
      <c r="P723" s="30" t="s">
        <v>409</v>
      </c>
      <c r="Q723" s="191" t="s">
        <v>410</v>
      </c>
      <c r="R723" s="244" t="s">
        <v>411</v>
      </c>
      <c r="S723" s="27" t="s">
        <v>315</v>
      </c>
      <c r="T723" s="30" t="s">
        <v>411</v>
      </c>
      <c r="U723" s="30" t="s">
        <v>350</v>
      </c>
      <c r="V723" s="185"/>
    </row>
    <row r="724" spans="1:22" s="14" customFormat="1" ht="18" hidden="1" customHeight="1">
      <c r="A724" s="184"/>
      <c r="B724" s="184" t="s">
        <v>412</v>
      </c>
      <c r="C724" s="30"/>
      <c r="D724" s="30"/>
      <c r="E724" s="30"/>
      <c r="F724" s="30"/>
      <c r="G724" s="30"/>
      <c r="H724" s="27" t="s">
        <v>599</v>
      </c>
      <c r="I724" s="177" t="s">
        <v>127</v>
      </c>
      <c r="J724" s="1274">
        <f>J592</f>
        <v>1.25652618</v>
      </c>
      <c r="K724" s="1275"/>
      <c r="L724" s="203" t="s">
        <v>157</v>
      </c>
      <c r="M724" s="30"/>
      <c r="N724" s="30"/>
      <c r="O724" s="27" t="s">
        <v>127</v>
      </c>
      <c r="P724" s="204">
        <f>J725</f>
        <v>1.25652618</v>
      </c>
      <c r="Q724" s="191" t="s">
        <v>410</v>
      </c>
      <c r="R724" s="27">
        <f>O713</f>
        <v>1</v>
      </c>
      <c r="S724" s="27" t="s">
        <v>315</v>
      </c>
      <c r="T724" s="27">
        <f>O713</f>
        <v>1</v>
      </c>
      <c r="U724" s="30" t="s">
        <v>350</v>
      </c>
      <c r="V724" s="185"/>
    </row>
    <row r="725" spans="1:22" s="14" customFormat="1" ht="18" hidden="1" customHeight="1">
      <c r="A725" s="184"/>
      <c r="B725" s="205" t="s">
        <v>413</v>
      </c>
      <c r="C725" s="206"/>
      <c r="D725" s="206"/>
      <c r="E725" s="206"/>
      <c r="F725" s="207"/>
      <c r="G725" s="207"/>
      <c r="H725" s="190" t="s">
        <v>409</v>
      </c>
      <c r="I725" s="208" t="s">
        <v>127</v>
      </c>
      <c r="J725" s="1276">
        <f>J722+J724</f>
        <v>1.25652618</v>
      </c>
      <c r="K725" s="1144"/>
      <c r="L725" s="210" t="s">
        <v>157</v>
      </c>
      <c r="M725" s="30"/>
      <c r="N725" s="30"/>
      <c r="O725" s="27" t="s">
        <v>127</v>
      </c>
      <c r="P725" s="795">
        <f>P724/(R724*T724)</f>
        <v>1.25652618</v>
      </c>
      <c r="Q725" s="795"/>
      <c r="R725" s="192" t="s">
        <v>333</v>
      </c>
      <c r="S725" s="30"/>
      <c r="T725" s="30"/>
      <c r="U725" s="30"/>
      <c r="V725" s="185"/>
    </row>
    <row r="726" spans="1:22" s="14" customFormat="1" ht="18" hidden="1" customHeight="1">
      <c r="A726" s="184"/>
      <c r="B726" s="30"/>
      <c r="C726" s="30"/>
      <c r="D726" s="30"/>
      <c r="E726" s="30"/>
      <c r="F726" s="30"/>
      <c r="G726" s="30"/>
      <c r="H726" s="30"/>
      <c r="I726" s="30"/>
      <c r="J726" s="30"/>
      <c r="K726" s="30"/>
      <c r="L726" s="30"/>
      <c r="M726" s="30"/>
      <c r="N726" s="30"/>
      <c r="O726" s="30"/>
      <c r="P726" s="30"/>
      <c r="Q726" s="30"/>
      <c r="R726" s="30"/>
      <c r="S726" s="30"/>
      <c r="T726" s="30"/>
      <c r="U726" s="30"/>
      <c r="V726" s="185"/>
    </row>
    <row r="727" spans="1:22" s="14" customFormat="1" ht="18" hidden="1" customHeight="1">
      <c r="A727" s="193" t="s">
        <v>600</v>
      </c>
      <c r="B727" s="5"/>
      <c r="C727" s="5"/>
      <c r="D727" s="5"/>
      <c r="E727" s="5"/>
      <c r="F727" s="5"/>
      <c r="G727" s="5"/>
      <c r="H727" s="212"/>
      <c r="I727" s="212"/>
      <c r="J727" s="5"/>
      <c r="K727" s="5"/>
      <c r="L727" s="5"/>
      <c r="M727" s="5"/>
      <c r="N727" s="5"/>
      <c r="O727" s="5"/>
      <c r="P727" s="103"/>
      <c r="Q727" s="212"/>
      <c r="R727" s="213"/>
      <c r="S727" s="214"/>
      <c r="T727" s="18"/>
      <c r="U727" s="18"/>
      <c r="V727" s="97"/>
    </row>
    <row r="728" spans="1:22" s="14" customFormat="1" ht="18" hidden="1" customHeight="1">
      <c r="A728" s="96"/>
      <c r="B728" s="47" t="s">
        <v>601</v>
      </c>
      <c r="C728" s="5"/>
      <c r="D728" s="5"/>
      <c r="E728" s="5"/>
      <c r="I728" s="215"/>
      <c r="M728" s="5"/>
      <c r="O728" s="103" t="s">
        <v>127</v>
      </c>
      <c r="P728" s="853">
        <f>P596</f>
        <v>100</v>
      </c>
      <c r="Q728" s="1271"/>
      <c r="R728" s="14" t="s">
        <v>602</v>
      </c>
      <c r="S728" s="214"/>
      <c r="T728" s="18"/>
      <c r="U728" s="18"/>
      <c r="V728" s="97"/>
    </row>
    <row r="729" spans="1:22" s="14" customFormat="1" ht="18" hidden="1" customHeight="1">
      <c r="A729" s="96"/>
      <c r="B729" s="47" t="s">
        <v>603</v>
      </c>
      <c r="C729" s="5"/>
      <c r="D729" s="5"/>
      <c r="E729" s="5"/>
      <c r="I729" s="215"/>
      <c r="M729" s="5"/>
      <c r="O729" s="103" t="s">
        <v>127</v>
      </c>
      <c r="P729" s="853">
        <f>P597</f>
        <v>25</v>
      </c>
      <c r="Q729" s="1271"/>
      <c r="R729" s="14" t="s">
        <v>604</v>
      </c>
      <c r="S729" s="214"/>
      <c r="T729" s="18"/>
      <c r="U729" s="18"/>
      <c r="V729" s="97"/>
    </row>
    <row r="730" spans="1:22" s="14" customFormat="1" ht="18" hidden="1" customHeight="1">
      <c r="A730" s="96"/>
      <c r="B730" s="47" t="s">
        <v>605</v>
      </c>
      <c r="C730" s="5"/>
      <c r="D730" s="5"/>
      <c r="E730" s="5"/>
      <c r="N730" s="120" t="s">
        <v>606</v>
      </c>
      <c r="O730" s="103" t="s">
        <v>607</v>
      </c>
      <c r="P730" s="854">
        <f>P598</f>
        <v>132</v>
      </c>
      <c r="Q730" s="1270"/>
      <c r="R730" s="14" t="s">
        <v>163</v>
      </c>
      <c r="S730" s="214"/>
      <c r="T730" s="18"/>
      <c r="U730" s="18"/>
      <c r="V730" s="97"/>
    </row>
    <row r="731" spans="1:22" s="14" customFormat="1" ht="18" hidden="1" customHeight="1">
      <c r="A731" s="216"/>
      <c r="B731" s="212"/>
      <c r="C731" s="212"/>
      <c r="D731" s="212"/>
      <c r="E731" s="212"/>
      <c r="T731" s="18"/>
      <c r="U731" s="18"/>
      <c r="V731" s="97"/>
    </row>
    <row r="732" spans="1:22" s="14" customFormat="1" ht="18" hidden="1" customHeight="1">
      <c r="A732" s="96"/>
      <c r="B732" s="14" t="s">
        <v>608</v>
      </c>
      <c r="C732" s="213"/>
      <c r="D732" s="213"/>
      <c r="E732" s="213"/>
      <c r="H732" s="120" t="s">
        <v>609</v>
      </c>
      <c r="I732" s="28" t="s">
        <v>127</v>
      </c>
      <c r="J732" s="689" t="s">
        <v>610</v>
      </c>
      <c r="K732" s="689"/>
      <c r="L732" s="28" t="s">
        <v>315</v>
      </c>
      <c r="M732" s="217">
        <v>1000</v>
      </c>
      <c r="N732" s="102" t="s">
        <v>342</v>
      </c>
      <c r="O732" s="28" t="s">
        <v>611</v>
      </c>
      <c r="P732" s="28" t="s">
        <v>315</v>
      </c>
      <c r="Q732" s="28" t="s">
        <v>606</v>
      </c>
      <c r="R732" s="47"/>
      <c r="T732" s="18"/>
      <c r="U732" s="18"/>
      <c r="V732" s="97"/>
    </row>
    <row r="733" spans="1:22" ht="18" hidden="1" customHeight="1">
      <c r="A733" s="216"/>
      <c r="B733" s="213"/>
      <c r="C733" s="213"/>
      <c r="D733" s="213"/>
      <c r="E733" s="213"/>
      <c r="F733" s="212"/>
      <c r="G733" s="212"/>
      <c r="H733" s="28"/>
      <c r="I733" s="28" t="s">
        <v>127</v>
      </c>
      <c r="J733" s="689">
        <f>P728</f>
        <v>100</v>
      </c>
      <c r="K733" s="689"/>
      <c r="L733" s="28" t="s">
        <v>315</v>
      </c>
      <c r="M733" s="217">
        <v>1000</v>
      </c>
      <c r="N733" s="102" t="s">
        <v>342</v>
      </c>
      <c r="O733" s="28" t="s">
        <v>611</v>
      </c>
      <c r="P733" s="28" t="s">
        <v>315</v>
      </c>
      <c r="Q733" s="28">
        <f>P730</f>
        <v>132</v>
      </c>
      <c r="R733" s="47"/>
      <c r="S733" s="14"/>
      <c r="T733" s="18"/>
      <c r="U733" s="18"/>
      <c r="V733" s="97"/>
    </row>
    <row r="734" spans="1:22" ht="18" hidden="1" customHeight="1">
      <c r="A734" s="216"/>
      <c r="B734" s="212"/>
      <c r="C734" s="212"/>
      <c r="D734" s="212"/>
      <c r="E734" s="212"/>
      <c r="F734" s="212"/>
      <c r="G734" s="212"/>
      <c r="H734" s="14"/>
      <c r="I734" s="28" t="s">
        <v>127</v>
      </c>
      <c r="J734" s="692">
        <f>(P728*1000)/(SQRT(3)*P730)</f>
        <v>437.38656756789834</v>
      </c>
      <c r="K734" s="692"/>
      <c r="L734" s="14" t="s">
        <v>8</v>
      </c>
      <c r="M734" s="120"/>
      <c r="N734" s="120"/>
      <c r="O734" s="120"/>
      <c r="P734" s="14"/>
      <c r="Q734" s="14"/>
      <c r="R734" s="14"/>
      <c r="S734" s="14"/>
      <c r="T734" s="18"/>
      <c r="U734" s="18"/>
      <c r="V734" s="97"/>
    </row>
    <row r="735" spans="1:22" ht="18" hidden="1" customHeight="1">
      <c r="A735" s="216"/>
      <c r="B735" s="212"/>
      <c r="C735" s="212"/>
      <c r="D735" s="212"/>
      <c r="E735" s="212"/>
      <c r="F735" s="14"/>
      <c r="G735" s="212"/>
      <c r="H735" s="28"/>
      <c r="I735" s="103"/>
      <c r="J735" s="28"/>
      <c r="K735" s="14"/>
      <c r="L735" s="14"/>
      <c r="M735" s="212"/>
      <c r="N735" s="219"/>
      <c r="O735" s="212"/>
      <c r="P735" s="14"/>
      <c r="Q735" s="14"/>
      <c r="R735" s="14"/>
      <c r="S735" s="14"/>
      <c r="T735" s="18"/>
      <c r="U735" s="18"/>
      <c r="V735" s="97"/>
    </row>
    <row r="736" spans="1:22" ht="18" hidden="1" customHeight="1">
      <c r="A736" s="147" t="s">
        <v>629</v>
      </c>
      <c r="B736" s="5"/>
      <c r="C736" s="5"/>
      <c r="D736" s="5"/>
      <c r="E736" s="5"/>
      <c r="F736" s="212"/>
      <c r="G736" s="212"/>
      <c r="H736" s="5"/>
      <c r="I736" s="5"/>
      <c r="J736" s="5"/>
      <c r="K736" s="5"/>
      <c r="L736" s="103"/>
      <c r="M736" s="103"/>
      <c r="N736" s="103"/>
      <c r="O736" s="103"/>
      <c r="P736" s="212"/>
      <c r="Q736" s="213"/>
      <c r="R736" s="14"/>
      <c r="S736" s="220"/>
      <c r="T736" s="18"/>
      <c r="U736" s="18"/>
      <c r="V736" s="97"/>
    </row>
    <row r="737" spans="1:22" ht="18" hidden="1" customHeight="1">
      <c r="A737" s="147"/>
      <c r="B737" s="5"/>
      <c r="C737" s="5"/>
      <c r="D737" s="5"/>
      <c r="E737" s="5"/>
      <c r="F737" s="212"/>
      <c r="G737" s="212"/>
      <c r="H737" s="5"/>
      <c r="I737" s="5"/>
      <c r="J737" s="5"/>
      <c r="K737" s="5"/>
      <c r="L737" s="103"/>
      <c r="M737" s="103"/>
      <c r="N737" s="103"/>
      <c r="O737" s="103"/>
      <c r="P737" s="212"/>
      <c r="Q737" s="213"/>
      <c r="R737" s="14"/>
      <c r="S737" s="214"/>
      <c r="T737" s="18"/>
      <c r="U737" s="18"/>
      <c r="V737" s="97"/>
    </row>
    <row r="738" spans="1:22" ht="18" hidden="1" customHeight="1">
      <c r="A738" s="184"/>
      <c r="B738" s="14" t="s">
        <v>612</v>
      </c>
      <c r="C738" s="14"/>
      <c r="D738" s="14"/>
      <c r="E738" s="14"/>
      <c r="M738" s="120" t="s">
        <v>613</v>
      </c>
      <c r="N738" s="28" t="s">
        <v>127</v>
      </c>
      <c r="O738" s="689" t="s">
        <v>609</v>
      </c>
      <c r="P738" s="716"/>
      <c r="Q738" s="221" t="s">
        <v>630</v>
      </c>
      <c r="R738" s="221">
        <v>16</v>
      </c>
      <c r="S738" s="214"/>
      <c r="V738" s="185"/>
    </row>
    <row r="739" spans="1:22" ht="18" hidden="1" customHeight="1">
      <c r="A739" s="96"/>
      <c r="B739" s="5"/>
      <c r="C739" s="5"/>
      <c r="D739" s="5"/>
      <c r="E739" s="5"/>
      <c r="M739" s="250"/>
      <c r="N739" s="28" t="s">
        <v>127</v>
      </c>
      <c r="O739" s="689">
        <f>+J734</f>
        <v>437.38656756789834</v>
      </c>
      <c r="P739" s="716"/>
      <c r="Q739" s="221" t="s">
        <v>630</v>
      </c>
      <c r="R739" s="221">
        <v>16</v>
      </c>
      <c r="S739" s="214"/>
      <c r="V739" s="185"/>
    </row>
    <row r="740" spans="1:22" ht="18" hidden="1" customHeight="1">
      <c r="A740" s="96"/>
      <c r="B740" s="5"/>
      <c r="C740" s="5"/>
      <c r="D740" s="5"/>
      <c r="E740" s="5"/>
      <c r="M740" s="120" t="s">
        <v>613</v>
      </c>
      <c r="N740" s="28" t="s">
        <v>127</v>
      </c>
      <c r="O740" s="689">
        <f>O739*R739</f>
        <v>6998.1850810863734</v>
      </c>
      <c r="P740" s="716"/>
      <c r="Q740" s="241" t="s">
        <v>8</v>
      </c>
      <c r="R740" s="14"/>
      <c r="S740" s="214"/>
      <c r="V740" s="185"/>
    </row>
    <row r="741" spans="1:22" ht="18" hidden="1" customHeight="1">
      <c r="A741" s="96"/>
      <c r="B741" s="5"/>
      <c r="C741" s="5"/>
      <c r="D741" s="5"/>
      <c r="E741" s="5"/>
      <c r="M741" s="212"/>
      <c r="N741" s="212"/>
      <c r="O741" s="103"/>
      <c r="Q741" s="223"/>
      <c r="R741" s="14"/>
      <c r="S741" s="214"/>
      <c r="V741" s="185"/>
    </row>
    <row r="742" spans="1:22" s="14" customFormat="1" ht="18" hidden="1" customHeight="1">
      <c r="A742" s="678" t="s">
        <v>633</v>
      </c>
      <c r="B742" s="1207"/>
      <c r="C742" s="1207"/>
      <c r="D742" s="1207"/>
      <c r="E742" s="1207"/>
      <c r="F742" s="1207"/>
      <c r="G742" s="1207"/>
      <c r="H742" s="1207"/>
      <c r="I742" s="1207"/>
      <c r="J742" s="1207"/>
      <c r="K742" s="1207"/>
      <c r="L742" s="1207"/>
      <c r="M742" s="1207"/>
      <c r="N742" s="1207"/>
      <c r="O742" s="1207"/>
      <c r="P742" s="1207"/>
      <c r="Q742" s="1207"/>
      <c r="R742" s="1207"/>
      <c r="S742" s="1207"/>
      <c r="T742" s="1207"/>
      <c r="U742" s="1207"/>
      <c r="V742" s="1208"/>
    </row>
    <row r="743" spans="1:22" ht="18" hidden="1" customHeight="1">
      <c r="A743" s="1209"/>
      <c r="B743" s="1207"/>
      <c r="C743" s="1207"/>
      <c r="D743" s="1207"/>
      <c r="E743" s="1207"/>
      <c r="F743" s="1207"/>
      <c r="G743" s="1207"/>
      <c r="H743" s="1207"/>
      <c r="I743" s="1207"/>
      <c r="J743" s="1207"/>
      <c r="K743" s="1207"/>
      <c r="L743" s="1207"/>
      <c r="M743" s="1207"/>
      <c r="N743" s="1207"/>
      <c r="O743" s="1207"/>
      <c r="P743" s="1207"/>
      <c r="Q743" s="1207"/>
      <c r="R743" s="1207"/>
      <c r="S743" s="1207"/>
      <c r="T743" s="1207"/>
      <c r="U743" s="1207"/>
      <c r="V743" s="1208"/>
    </row>
    <row r="744" spans="1:22" ht="18" hidden="1" customHeight="1">
      <c r="A744" s="231"/>
      <c r="B744" s="232"/>
      <c r="C744" s="232"/>
      <c r="D744" s="232"/>
      <c r="E744" s="232"/>
      <c r="F744" s="232"/>
      <c r="G744" s="232"/>
      <c r="H744" s="232"/>
      <c r="I744" s="232"/>
      <c r="J744" s="232"/>
      <c r="K744" s="232"/>
      <c r="L744" s="232"/>
      <c r="M744" s="232"/>
      <c r="N744" s="232"/>
      <c r="O744" s="232"/>
      <c r="P744" s="232"/>
      <c r="Q744" s="232"/>
      <c r="R744" s="232"/>
      <c r="S744" s="232"/>
      <c r="T744" s="232"/>
      <c r="U744" s="232"/>
      <c r="V744" s="233"/>
    </row>
    <row r="745" spans="1:22" ht="18" hidden="1" customHeight="1">
      <c r="A745" s="231"/>
      <c r="B745" s="232"/>
      <c r="C745" s="232"/>
      <c r="D745" s="232"/>
      <c r="E745" s="232"/>
      <c r="F745" s="232"/>
      <c r="G745" s="232"/>
      <c r="H745" s="232"/>
      <c r="I745" s="232"/>
      <c r="J745" s="232"/>
      <c r="K745" s="232"/>
      <c r="L745" s="232"/>
      <c r="M745" s="232"/>
      <c r="N745" s="232"/>
      <c r="O745" s="232"/>
      <c r="P745" s="232"/>
      <c r="Q745" s="232"/>
      <c r="R745" s="232"/>
      <c r="S745" s="232"/>
      <c r="T745" s="232"/>
      <c r="U745" s="232"/>
      <c r="V745" s="233"/>
    </row>
    <row r="746" spans="1:22" ht="18" hidden="1" customHeight="1">
      <c r="A746" s="231"/>
      <c r="B746" s="232"/>
      <c r="C746" s="232"/>
      <c r="D746" s="232"/>
      <c r="E746" s="232"/>
      <c r="F746" s="232"/>
      <c r="G746" s="232"/>
      <c r="H746" s="232"/>
      <c r="I746" s="232"/>
      <c r="J746" s="232"/>
      <c r="K746" s="232"/>
      <c r="L746" s="232"/>
      <c r="M746" s="232"/>
      <c r="N746" s="232"/>
      <c r="O746" s="232"/>
      <c r="P746" s="232"/>
      <c r="Q746" s="232"/>
      <c r="R746" s="232"/>
      <c r="S746" s="232"/>
      <c r="T746" s="232"/>
      <c r="U746" s="232"/>
      <c r="V746" s="233"/>
    </row>
    <row r="747" spans="1:22" ht="18" hidden="1" customHeight="1">
      <c r="A747" s="231"/>
      <c r="B747" s="232"/>
      <c r="C747" s="232"/>
      <c r="D747" s="232"/>
      <c r="E747" s="232"/>
      <c r="F747" s="232"/>
      <c r="G747" s="232"/>
      <c r="H747" s="232"/>
      <c r="I747" s="232"/>
      <c r="J747" s="232"/>
      <c r="K747" s="232"/>
      <c r="L747" s="232"/>
      <c r="M747" s="232"/>
      <c r="N747" s="232"/>
      <c r="O747" s="232"/>
      <c r="P747" s="232"/>
      <c r="Q747" s="232"/>
      <c r="R747" s="232"/>
      <c r="S747" s="232"/>
      <c r="T747" s="232"/>
      <c r="U747" s="232"/>
      <c r="V747" s="233"/>
    </row>
    <row r="748" spans="1:22" ht="18" hidden="1" customHeight="1">
      <c r="A748" s="231"/>
      <c r="B748" s="232"/>
      <c r="C748" s="232"/>
      <c r="D748" s="232"/>
      <c r="E748" s="232"/>
      <c r="F748" s="232"/>
      <c r="G748" s="232"/>
      <c r="H748" s="232"/>
      <c r="I748" s="232"/>
      <c r="J748" s="232"/>
      <c r="K748" s="232"/>
      <c r="L748" s="232"/>
      <c r="M748" s="232"/>
      <c r="N748" s="232"/>
      <c r="O748" s="232"/>
      <c r="P748" s="232"/>
      <c r="Q748" s="232"/>
      <c r="R748" s="232"/>
      <c r="S748" s="232"/>
      <c r="T748" s="232"/>
      <c r="U748" s="232"/>
      <c r="V748" s="233"/>
    </row>
    <row r="749" spans="1:22" ht="18" hidden="1" customHeight="1">
      <c r="A749" s="96"/>
      <c r="B749" s="5"/>
      <c r="C749" s="5"/>
      <c r="D749" s="5"/>
      <c r="E749" s="5"/>
      <c r="M749" s="212"/>
      <c r="N749" s="212"/>
      <c r="O749" s="103"/>
      <c r="Q749" s="223"/>
      <c r="R749" s="14"/>
      <c r="S749" s="214"/>
      <c r="V749" s="185"/>
    </row>
    <row r="750" spans="1:22" ht="18" hidden="1" customHeight="1">
      <c r="A750" s="184"/>
      <c r="V750" s="185"/>
    </row>
    <row r="751" spans="1:22" ht="18" hidden="1" customHeight="1">
      <c r="A751" s="184"/>
      <c r="V751" s="185"/>
    </row>
    <row r="752" spans="1:22" ht="18" hidden="1" customHeight="1">
      <c r="A752" s="194"/>
      <c r="B752" s="195"/>
      <c r="C752" s="195"/>
      <c r="D752" s="195"/>
      <c r="E752" s="195"/>
      <c r="F752" s="195"/>
      <c r="G752" s="195"/>
      <c r="H752" s="195"/>
      <c r="I752" s="195"/>
      <c r="J752" s="195"/>
      <c r="K752" s="195"/>
      <c r="L752" s="195"/>
      <c r="M752" s="195"/>
      <c r="N752" s="195"/>
      <c r="O752" s="195"/>
      <c r="P752" s="195"/>
      <c r="Q752" s="224"/>
      <c r="R752" s="182"/>
      <c r="S752" s="225"/>
      <c r="T752" s="195"/>
      <c r="U752" s="195"/>
      <c r="V752" s="134"/>
    </row>
    <row r="753" spans="1:22" ht="18" hidden="1" customHeight="1">
      <c r="A753" s="226"/>
      <c r="B753" s="227"/>
      <c r="C753" s="227"/>
      <c r="D753" s="227"/>
      <c r="E753" s="227"/>
      <c r="F753" s="227"/>
      <c r="G753" s="227"/>
      <c r="H753" s="227"/>
      <c r="I753" s="227"/>
      <c r="J753" s="227"/>
      <c r="K753" s="227"/>
      <c r="L753" s="227"/>
      <c r="M753" s="227"/>
      <c r="N753" s="227"/>
      <c r="O753" s="227"/>
      <c r="P753" s="227"/>
      <c r="Q753" s="227"/>
      <c r="R753" s="227"/>
      <c r="S753" s="227"/>
      <c r="T753" s="227"/>
      <c r="U753" s="227"/>
      <c r="V753" s="228"/>
    </row>
    <row r="754" spans="1:22" ht="18" hidden="1" customHeight="1">
      <c r="A754" s="799" t="s">
        <v>417</v>
      </c>
      <c r="B754" s="802"/>
      <c r="C754" s="802"/>
      <c r="D754" s="689">
        <v>30</v>
      </c>
      <c r="E754" s="689" t="s">
        <v>315</v>
      </c>
      <c r="F754" s="689" t="s">
        <v>609</v>
      </c>
      <c r="G754" s="684"/>
      <c r="H754" s="689" t="s">
        <v>315</v>
      </c>
      <c r="I754" s="708" t="s">
        <v>411</v>
      </c>
      <c r="J754" s="828"/>
      <c r="K754" s="689" t="s">
        <v>315</v>
      </c>
      <c r="L754" s="802" t="s">
        <v>419</v>
      </c>
      <c r="M754" s="716" t="s">
        <v>420</v>
      </c>
      <c r="N754" s="729" t="s">
        <v>347</v>
      </c>
      <c r="O754" s="716" t="s">
        <v>408</v>
      </c>
      <c r="P754" s="689" t="s">
        <v>347</v>
      </c>
      <c r="Q754" s="759" t="s">
        <v>421</v>
      </c>
      <c r="R754" s="797"/>
      <c r="S754" s="797"/>
      <c r="T754" s="798" t="s">
        <v>350</v>
      </c>
      <c r="U754" s="230" t="s">
        <v>422</v>
      </c>
      <c r="V754" s="97"/>
    </row>
    <row r="755" spans="1:22" ht="18" hidden="1" customHeight="1">
      <c r="A755" s="827"/>
      <c r="B755" s="802"/>
      <c r="C755" s="802"/>
      <c r="D755" s="689"/>
      <c r="E755" s="689"/>
      <c r="F755" s="684"/>
      <c r="G755" s="684"/>
      <c r="H755" s="689"/>
      <c r="I755" s="689" t="s">
        <v>423</v>
      </c>
      <c r="J755" s="723"/>
      <c r="K755" s="689"/>
      <c r="L755" s="802"/>
      <c r="M755" s="716"/>
      <c r="N755" s="729"/>
      <c r="O755" s="716"/>
      <c r="P755" s="689"/>
      <c r="Q755" s="28" t="s">
        <v>146</v>
      </c>
      <c r="R755" s="28" t="s">
        <v>315</v>
      </c>
      <c r="S755" s="28" t="s">
        <v>146</v>
      </c>
      <c r="T755" s="798"/>
      <c r="U755" s="14"/>
      <c r="V755" s="97"/>
    </row>
    <row r="756" spans="1:22" ht="18" hidden="1" customHeight="1">
      <c r="A756" s="184"/>
      <c r="V756" s="185"/>
    </row>
    <row r="757" spans="1:22" ht="18" hidden="1" customHeight="1">
      <c r="A757" s="799" t="s">
        <v>417</v>
      </c>
      <c r="B757" s="802"/>
      <c r="C757" s="802"/>
      <c r="D757" s="689">
        <v>2</v>
      </c>
      <c r="E757" s="689" t="s">
        <v>315</v>
      </c>
      <c r="F757" s="689" t="s">
        <v>613</v>
      </c>
      <c r="G757" s="684"/>
      <c r="H757" s="689" t="s">
        <v>315</v>
      </c>
      <c r="I757" s="708" t="s">
        <v>411</v>
      </c>
      <c r="J757" s="828"/>
      <c r="K757" s="689" t="s">
        <v>315</v>
      </c>
      <c r="L757" s="802" t="s">
        <v>419</v>
      </c>
      <c r="M757" s="716" t="s">
        <v>420</v>
      </c>
      <c r="N757" s="729" t="s">
        <v>347</v>
      </c>
      <c r="O757" s="716" t="s">
        <v>408</v>
      </c>
      <c r="P757" s="689" t="s">
        <v>347</v>
      </c>
      <c r="Q757" s="759" t="s">
        <v>421</v>
      </c>
      <c r="R757" s="797"/>
      <c r="S757" s="797"/>
      <c r="T757" s="798" t="s">
        <v>350</v>
      </c>
      <c r="U757" s="230" t="s">
        <v>426</v>
      </c>
      <c r="V757" s="97"/>
    </row>
    <row r="758" spans="1:22" ht="18" hidden="1" customHeight="1">
      <c r="A758" s="827"/>
      <c r="B758" s="802"/>
      <c r="C758" s="802"/>
      <c r="D758" s="689"/>
      <c r="E758" s="689"/>
      <c r="F758" s="684"/>
      <c r="G758" s="684"/>
      <c r="H758" s="689"/>
      <c r="I758" s="689" t="s">
        <v>423</v>
      </c>
      <c r="J758" s="723"/>
      <c r="K758" s="689"/>
      <c r="L758" s="802"/>
      <c r="M758" s="716"/>
      <c r="N758" s="729"/>
      <c r="O758" s="716"/>
      <c r="P758" s="689"/>
      <c r="Q758" s="28" t="s">
        <v>146</v>
      </c>
      <c r="R758" s="28" t="s">
        <v>315</v>
      </c>
      <c r="S758" s="28" t="s">
        <v>146</v>
      </c>
      <c r="T758" s="798"/>
      <c r="U758" s="14"/>
      <c r="V758" s="97"/>
    </row>
    <row r="759" spans="1:22" ht="18" hidden="1" customHeight="1">
      <c r="A759" s="184"/>
      <c r="V759" s="185"/>
    </row>
    <row r="760" spans="1:22" ht="18" hidden="1" customHeight="1">
      <c r="A760" s="678" t="s">
        <v>616</v>
      </c>
      <c r="B760" s="1207"/>
      <c r="C760" s="1207"/>
      <c r="D760" s="1207"/>
      <c r="E760" s="1207"/>
      <c r="F760" s="1207"/>
      <c r="G760" s="1207"/>
      <c r="H760" s="1207"/>
      <c r="I760" s="1207"/>
      <c r="J760" s="1207"/>
      <c r="K760" s="1207"/>
      <c r="L760" s="1207"/>
      <c r="M760" s="1207"/>
      <c r="N760" s="1207"/>
      <c r="O760" s="1207"/>
      <c r="P760" s="1207"/>
      <c r="Q760" s="1207"/>
      <c r="R760" s="1207"/>
      <c r="S760" s="1207"/>
      <c r="T760" s="1207"/>
      <c r="U760" s="1207"/>
      <c r="V760" s="1208"/>
    </row>
    <row r="761" spans="1:22" ht="18" hidden="1" customHeight="1">
      <c r="A761" s="1209"/>
      <c r="B761" s="1207"/>
      <c r="C761" s="1207"/>
      <c r="D761" s="1207"/>
      <c r="E761" s="1207"/>
      <c r="F761" s="1207"/>
      <c r="G761" s="1207"/>
      <c r="H761" s="1207"/>
      <c r="I761" s="1207"/>
      <c r="J761" s="1207"/>
      <c r="K761" s="1207"/>
      <c r="L761" s="1207"/>
      <c r="M761" s="1207"/>
      <c r="N761" s="1207"/>
      <c r="O761" s="1207"/>
      <c r="P761" s="1207"/>
      <c r="Q761" s="1207"/>
      <c r="R761" s="1207"/>
      <c r="S761" s="1207"/>
      <c r="T761" s="1207"/>
      <c r="U761" s="1207"/>
      <c r="V761" s="1208"/>
    </row>
    <row r="762" spans="1:22" ht="18" hidden="1" customHeight="1">
      <c r="A762" s="231"/>
      <c r="B762" s="232"/>
      <c r="C762" s="232"/>
      <c r="D762" s="232"/>
      <c r="E762" s="232"/>
      <c r="F762" s="232"/>
      <c r="G762" s="232"/>
      <c r="H762" s="232"/>
      <c r="I762" s="232"/>
      <c r="J762" s="232"/>
      <c r="K762" s="232"/>
      <c r="L762" s="232"/>
      <c r="M762" s="232"/>
      <c r="N762" s="232"/>
      <c r="O762" s="232"/>
      <c r="P762" s="232"/>
      <c r="Q762" s="232"/>
      <c r="R762" s="232"/>
      <c r="S762" s="232"/>
      <c r="T762" s="232"/>
      <c r="U762" s="232"/>
      <c r="V762" s="233"/>
    </row>
    <row r="763" spans="1:22" ht="18" hidden="1" customHeight="1">
      <c r="A763" s="799" t="s">
        <v>417</v>
      </c>
      <c r="B763" s="802"/>
      <c r="C763" s="802"/>
      <c r="D763" s="689"/>
      <c r="E763" s="689"/>
      <c r="F763" s="689" t="s">
        <v>617</v>
      </c>
      <c r="G763" s="684"/>
      <c r="H763" s="689" t="s">
        <v>315</v>
      </c>
      <c r="I763" s="708" t="s">
        <v>411</v>
      </c>
      <c r="J763" s="828"/>
      <c r="K763" s="689" t="s">
        <v>315</v>
      </c>
      <c r="L763" s="802" t="s">
        <v>419</v>
      </c>
      <c r="M763" s="716" t="s">
        <v>420</v>
      </c>
      <c r="N763" s="729" t="s">
        <v>347</v>
      </c>
      <c r="O763" s="716" t="s">
        <v>408</v>
      </c>
      <c r="P763" s="689" t="s">
        <v>347</v>
      </c>
      <c r="Q763" s="759" t="s">
        <v>421</v>
      </c>
      <c r="R763" s="797"/>
      <c r="S763" s="797"/>
      <c r="T763" s="798" t="s">
        <v>350</v>
      </c>
      <c r="U763" s="230" t="s">
        <v>618</v>
      </c>
      <c r="V763" s="97"/>
    </row>
    <row r="764" spans="1:22" ht="18" hidden="1" customHeight="1">
      <c r="A764" s="827"/>
      <c r="B764" s="802"/>
      <c r="C764" s="802"/>
      <c r="D764" s="689"/>
      <c r="E764" s="689"/>
      <c r="F764" s="684"/>
      <c r="G764" s="684"/>
      <c r="H764" s="689"/>
      <c r="I764" s="689" t="s">
        <v>423</v>
      </c>
      <c r="J764" s="723"/>
      <c r="K764" s="689"/>
      <c r="L764" s="802"/>
      <c r="M764" s="716"/>
      <c r="N764" s="729"/>
      <c r="O764" s="716"/>
      <c r="P764" s="689"/>
      <c r="Q764" s="28" t="s">
        <v>146</v>
      </c>
      <c r="R764" s="28" t="s">
        <v>315</v>
      </c>
      <c r="S764" s="28" t="s">
        <v>146</v>
      </c>
      <c r="T764" s="798"/>
      <c r="U764" s="14"/>
      <c r="V764" s="97"/>
    </row>
    <row r="765" spans="1:22" ht="18" hidden="1" customHeight="1">
      <c r="A765" s="96"/>
      <c r="B765" s="14"/>
      <c r="C765" s="14"/>
      <c r="D765" s="28"/>
      <c r="E765" s="28"/>
      <c r="F765" s="27"/>
      <c r="G765" s="27"/>
      <c r="H765" s="28"/>
      <c r="I765" s="28"/>
      <c r="K765" s="28"/>
      <c r="L765" s="120"/>
      <c r="M765" s="14"/>
      <c r="N765" s="102"/>
      <c r="O765" s="14"/>
      <c r="P765" s="28"/>
      <c r="Q765" s="28"/>
      <c r="R765" s="28"/>
      <c r="S765" s="28"/>
      <c r="T765" s="40"/>
      <c r="U765" s="14"/>
      <c r="V765" s="97"/>
    </row>
    <row r="766" spans="1:22" ht="18" hidden="1" customHeight="1">
      <c r="A766" s="184"/>
      <c r="H766" s="30" t="s">
        <v>619</v>
      </c>
      <c r="M766" s="854" t="str">
        <f>M634</f>
        <v>N</v>
      </c>
      <c r="N766" s="831"/>
      <c r="V766" s="185"/>
    </row>
    <row r="767" spans="1:22" ht="18" hidden="1" customHeight="1">
      <c r="A767" s="96"/>
      <c r="B767" s="14"/>
      <c r="C767" s="14"/>
      <c r="D767" s="28"/>
      <c r="E767" s="28"/>
      <c r="F767" s="27"/>
      <c r="G767" s="27"/>
      <c r="H767" s="28"/>
      <c r="I767" s="28"/>
      <c r="K767" s="28"/>
      <c r="L767" s="120"/>
      <c r="M767" s="14"/>
      <c r="N767" s="102"/>
      <c r="O767" s="14"/>
      <c r="P767" s="28"/>
      <c r="Q767" s="28"/>
      <c r="R767" s="28"/>
      <c r="S767" s="28"/>
      <c r="T767" s="40"/>
      <c r="U767" s="14"/>
      <c r="V767" s="97"/>
    </row>
    <row r="768" spans="1:22" ht="18" hidden="1" customHeight="1">
      <c r="A768" s="184"/>
      <c r="B768" s="14" t="s">
        <v>427</v>
      </c>
      <c r="C768" s="14"/>
      <c r="D768" s="103"/>
      <c r="E768" s="103"/>
      <c r="F768" s="14"/>
      <c r="G768" s="14"/>
      <c r="H768" s="5"/>
      <c r="I768" s="5"/>
      <c r="J768" s="5"/>
      <c r="P768" s="120" t="s">
        <v>428</v>
      </c>
      <c r="V768" s="185"/>
    </row>
    <row r="769" spans="1:22" ht="18" hidden="1" customHeight="1">
      <c r="A769" s="184"/>
      <c r="B769" s="14" t="s">
        <v>429</v>
      </c>
      <c r="C769" s="14"/>
      <c r="D769" s="103"/>
      <c r="E769" s="103"/>
      <c r="F769" s="14"/>
      <c r="G769" s="14"/>
      <c r="H769" s="5"/>
      <c r="I769" s="5"/>
      <c r="J769" s="5"/>
      <c r="P769" s="120" t="s">
        <v>430</v>
      </c>
      <c r="Q769" s="234" t="s">
        <v>127</v>
      </c>
      <c r="R769" s="684" t="str">
        <f>L713</f>
        <v>-</v>
      </c>
      <c r="S769" s="684"/>
      <c r="T769" s="14" t="s">
        <v>8</v>
      </c>
      <c r="V769" s="185"/>
    </row>
    <row r="770" spans="1:22" ht="18" hidden="1" customHeight="1">
      <c r="A770" s="184"/>
      <c r="B770" s="14" t="s">
        <v>621</v>
      </c>
      <c r="C770" s="14"/>
      <c r="D770" s="14"/>
      <c r="E770" s="14"/>
      <c r="F770" s="14"/>
      <c r="G770" s="14"/>
      <c r="H770" s="14"/>
      <c r="I770" s="14"/>
      <c r="J770" s="14"/>
      <c r="P770" s="120" t="s">
        <v>609</v>
      </c>
      <c r="Q770" s="234" t="s">
        <v>127</v>
      </c>
      <c r="R770" s="684">
        <f>J734</f>
        <v>437.38656756789834</v>
      </c>
      <c r="S770" s="684"/>
      <c r="T770" s="14" t="s">
        <v>8</v>
      </c>
      <c r="V770" s="185"/>
    </row>
    <row r="771" spans="1:22" ht="18" hidden="1" customHeight="1">
      <c r="A771" s="184"/>
      <c r="B771" s="14" t="s">
        <v>622</v>
      </c>
      <c r="C771" s="14"/>
      <c r="D771" s="14"/>
      <c r="E771" s="14"/>
      <c r="F771" s="14"/>
      <c r="G771" s="14"/>
      <c r="H771" s="14"/>
      <c r="I771" s="14"/>
      <c r="J771" s="14"/>
      <c r="P771" s="120" t="s">
        <v>613</v>
      </c>
      <c r="Q771" s="234" t="s">
        <v>127</v>
      </c>
      <c r="R771" s="684">
        <f>O740</f>
        <v>6998.1850810863734</v>
      </c>
      <c r="S771" s="684"/>
      <c r="T771" s="14" t="s">
        <v>8</v>
      </c>
      <c r="V771" s="185"/>
    </row>
    <row r="772" spans="1:22" ht="18" hidden="1" customHeight="1">
      <c r="A772" s="184"/>
      <c r="B772" s="235" t="s">
        <v>623</v>
      </c>
      <c r="C772" s="14"/>
      <c r="D772" s="14"/>
      <c r="E772" s="14"/>
      <c r="F772" s="14"/>
      <c r="G772" s="14"/>
      <c r="H772" s="14"/>
      <c r="I772" s="14"/>
      <c r="J772" s="14"/>
      <c r="P772" s="120"/>
      <c r="Q772" s="236"/>
      <c r="R772" s="27"/>
      <c r="S772" s="27"/>
      <c r="T772" s="14"/>
      <c r="V772" s="185"/>
    </row>
    <row r="773" spans="1:22" ht="18" hidden="1" customHeight="1">
      <c r="A773" s="184"/>
      <c r="B773" s="14" t="s">
        <v>622</v>
      </c>
      <c r="C773" s="14"/>
      <c r="D773" s="14"/>
      <c r="E773" s="14"/>
      <c r="F773" s="14"/>
      <c r="G773" s="14"/>
      <c r="H773" s="14"/>
      <c r="I773" s="14"/>
      <c r="J773" s="14"/>
      <c r="P773" s="120" t="s">
        <v>617</v>
      </c>
      <c r="Q773" s="234" t="s">
        <v>127</v>
      </c>
      <c r="R773" s="684" t="str">
        <f>R641</f>
        <v>-</v>
      </c>
      <c r="S773" s="684"/>
      <c r="T773" s="14" t="s">
        <v>8</v>
      </c>
      <c r="V773" s="185"/>
    </row>
    <row r="774" spans="1:22" ht="18" hidden="1" customHeight="1">
      <c r="A774" s="184"/>
      <c r="B774" s="235" t="s">
        <v>645</v>
      </c>
      <c r="C774" s="14"/>
      <c r="D774" s="14"/>
      <c r="E774" s="14"/>
      <c r="F774" s="14"/>
      <c r="G774" s="14"/>
      <c r="H774" s="14"/>
      <c r="I774" s="14"/>
      <c r="J774" s="14"/>
      <c r="R774" s="27"/>
      <c r="S774" s="27"/>
      <c r="T774" s="14"/>
      <c r="V774" s="185"/>
    </row>
    <row r="775" spans="1:22" ht="18" hidden="1" customHeight="1">
      <c r="A775" s="184"/>
      <c r="B775" s="14" t="s">
        <v>435</v>
      </c>
      <c r="C775" s="14"/>
      <c r="D775" s="103"/>
      <c r="E775" s="103"/>
      <c r="F775" s="14"/>
      <c r="G775" s="14"/>
      <c r="H775" s="5"/>
      <c r="I775" s="5"/>
      <c r="J775" s="5"/>
      <c r="P775" s="120" t="s">
        <v>436</v>
      </c>
      <c r="Q775" s="234" t="s">
        <v>127</v>
      </c>
      <c r="R775" s="684">
        <f>O713</f>
        <v>1</v>
      </c>
      <c r="S775" s="684"/>
      <c r="T775" s="14" t="s">
        <v>8</v>
      </c>
      <c r="V775" s="185"/>
    </row>
    <row r="776" spans="1:22" ht="18" hidden="1" customHeight="1">
      <c r="A776" s="184"/>
      <c r="B776" s="14" t="s">
        <v>437</v>
      </c>
      <c r="C776" s="14"/>
      <c r="D776" s="103"/>
      <c r="E776" s="103"/>
      <c r="F776" s="14"/>
      <c r="G776" s="14"/>
      <c r="H776" s="5"/>
      <c r="I776" s="5"/>
      <c r="J776" s="5"/>
      <c r="P776" s="120" t="s">
        <v>438</v>
      </c>
      <c r="Q776" s="234" t="s">
        <v>127</v>
      </c>
      <c r="R776" s="684">
        <f>R644</f>
        <v>1</v>
      </c>
      <c r="S776" s="684"/>
      <c r="T776" s="14" t="s">
        <v>8</v>
      </c>
      <c r="V776" s="185"/>
    </row>
    <row r="777" spans="1:22" ht="18" hidden="1" customHeight="1">
      <c r="A777" s="184"/>
      <c r="B777" s="14" t="s">
        <v>439</v>
      </c>
      <c r="C777" s="14"/>
      <c r="D777" s="103"/>
      <c r="E777" s="103"/>
      <c r="F777" s="14"/>
      <c r="G777" s="14"/>
      <c r="H777" s="5"/>
      <c r="I777" s="5"/>
      <c r="J777" s="5"/>
      <c r="P777" s="120" t="s">
        <v>440</v>
      </c>
      <c r="Q777" s="234" t="s">
        <v>127</v>
      </c>
      <c r="R777" s="684" t="str">
        <f>L715</f>
        <v>-</v>
      </c>
      <c r="S777" s="684"/>
      <c r="T777" s="192" t="s">
        <v>333</v>
      </c>
      <c r="V777" s="185"/>
    </row>
    <row r="778" spans="1:22" ht="18" hidden="1" customHeight="1">
      <c r="A778" s="184"/>
      <c r="B778" s="14" t="s">
        <v>625</v>
      </c>
      <c r="C778" s="14"/>
      <c r="D778" s="14"/>
      <c r="E778" s="14"/>
      <c r="F778" s="14"/>
      <c r="G778" s="14"/>
      <c r="H778" s="14"/>
      <c r="I778" s="14"/>
      <c r="J778" s="14"/>
      <c r="P778" s="237" t="s">
        <v>441</v>
      </c>
      <c r="Q778" s="234" t="s">
        <v>127</v>
      </c>
      <c r="R778" s="795">
        <f>P725</f>
        <v>1.25652618</v>
      </c>
      <c r="S778" s="684"/>
      <c r="T778" s="192" t="s">
        <v>333</v>
      </c>
      <c r="V778" s="185"/>
    </row>
    <row r="779" spans="1:22" ht="18" hidden="1" customHeight="1">
      <c r="A779" s="184"/>
      <c r="B779" s="40" t="s">
        <v>442</v>
      </c>
      <c r="C779" s="14"/>
      <c r="D779" s="14"/>
      <c r="E779" s="14"/>
      <c r="F779" s="14"/>
      <c r="G779" s="14"/>
      <c r="H779" s="5"/>
      <c r="I779" s="5"/>
      <c r="J779" s="5"/>
      <c r="P779" s="237" t="s">
        <v>443</v>
      </c>
      <c r="Q779" s="234" t="s">
        <v>127</v>
      </c>
      <c r="R779" s="795">
        <f>J721</f>
        <v>0.02</v>
      </c>
      <c r="S779" s="684"/>
      <c r="T779" s="14" t="s">
        <v>157</v>
      </c>
      <c r="V779" s="185"/>
    </row>
    <row r="780" spans="1:22" ht="18" hidden="1" customHeight="1">
      <c r="A780" s="184"/>
      <c r="V780" s="185"/>
    </row>
    <row r="781" spans="1:22" ht="18" hidden="1" customHeight="1">
      <c r="A781" s="799" t="s">
        <v>417</v>
      </c>
      <c r="B781" s="802"/>
      <c r="C781" s="802"/>
      <c r="D781" s="689">
        <v>30</v>
      </c>
      <c r="E781" s="689" t="s">
        <v>315</v>
      </c>
      <c r="F781" s="689">
        <f>R770</f>
        <v>437.38656756789834</v>
      </c>
      <c r="G781" s="684"/>
      <c r="H781" s="689" t="s">
        <v>315</v>
      </c>
      <c r="I781" s="708">
        <f>R775</f>
        <v>1</v>
      </c>
      <c r="J781" s="828"/>
      <c r="K781" s="689" t="s">
        <v>315</v>
      </c>
      <c r="L781" s="716" t="s">
        <v>419</v>
      </c>
      <c r="M781" s="716" t="str">
        <f>R777</f>
        <v>-</v>
      </c>
      <c r="N781" s="729" t="s">
        <v>347</v>
      </c>
      <c r="O781" s="1214">
        <f>R778</f>
        <v>1.25652618</v>
      </c>
      <c r="P781" s="689" t="s">
        <v>347</v>
      </c>
      <c r="Q781" s="833">
        <f>R779</f>
        <v>0.02</v>
      </c>
      <c r="R781" s="797"/>
      <c r="S781" s="797"/>
      <c r="T781" s="798" t="s">
        <v>350</v>
      </c>
      <c r="U781" s="230" t="s">
        <v>422</v>
      </c>
      <c r="V781" s="97"/>
    </row>
    <row r="782" spans="1:22" ht="18" hidden="1" customHeight="1">
      <c r="A782" s="827"/>
      <c r="B782" s="802"/>
      <c r="C782" s="802"/>
      <c r="D782" s="689"/>
      <c r="E782" s="689"/>
      <c r="F782" s="684"/>
      <c r="G782" s="684"/>
      <c r="H782" s="689"/>
      <c r="I782" s="689" t="str">
        <f>R769</f>
        <v>-</v>
      </c>
      <c r="J782" s="723"/>
      <c r="K782" s="689"/>
      <c r="L782" s="716"/>
      <c r="M782" s="716"/>
      <c r="N782" s="729"/>
      <c r="O782" s="716"/>
      <c r="P782" s="689"/>
      <c r="Q782" s="28">
        <f>R776</f>
        <v>1</v>
      </c>
      <c r="R782" s="28" t="s">
        <v>315</v>
      </c>
      <c r="S782" s="28">
        <f>R776</f>
        <v>1</v>
      </c>
      <c r="T782" s="798"/>
      <c r="U782" s="14"/>
      <c r="V782" s="97"/>
    </row>
    <row r="783" spans="1:22" ht="18" hidden="1" customHeight="1">
      <c r="A783" s="184"/>
      <c r="V783" s="185"/>
    </row>
    <row r="784" spans="1:22" ht="18" hidden="1" customHeight="1">
      <c r="A784" s="184"/>
      <c r="C784" s="30" t="s">
        <v>127</v>
      </c>
      <c r="D784" s="812" t="e">
        <f>D781*F781*(I781/I782)*(M781+O781+(Q781/(Q782*S782)))</f>
        <v>#VALUE!</v>
      </c>
      <c r="E784" s="813"/>
      <c r="F784" s="30" t="s">
        <v>305</v>
      </c>
      <c r="V784" s="185"/>
    </row>
    <row r="785" spans="1:22" ht="18" hidden="1" customHeight="1">
      <c r="A785" s="184"/>
      <c r="V785" s="185"/>
    </row>
    <row r="786" spans="1:22" ht="18" hidden="1" customHeight="1">
      <c r="A786" s="799" t="s">
        <v>417</v>
      </c>
      <c r="B786" s="802"/>
      <c r="C786" s="802"/>
      <c r="D786" s="689">
        <v>2</v>
      </c>
      <c r="E786" s="689" t="s">
        <v>315</v>
      </c>
      <c r="F786" s="689">
        <f>R771</f>
        <v>6998.1850810863734</v>
      </c>
      <c r="G786" s="684"/>
      <c r="H786" s="689" t="s">
        <v>315</v>
      </c>
      <c r="I786" s="708">
        <f>R775</f>
        <v>1</v>
      </c>
      <c r="J786" s="828"/>
      <c r="K786" s="689" t="s">
        <v>315</v>
      </c>
      <c r="L786" s="802" t="s">
        <v>419</v>
      </c>
      <c r="M786" s="716" t="str">
        <f>R777</f>
        <v>-</v>
      </c>
      <c r="N786" s="729" t="s">
        <v>347</v>
      </c>
      <c r="O786" s="1214">
        <f>R778</f>
        <v>1.25652618</v>
      </c>
      <c r="P786" s="689" t="s">
        <v>347</v>
      </c>
      <c r="Q786" s="833">
        <f>R779</f>
        <v>0.02</v>
      </c>
      <c r="R786" s="797"/>
      <c r="S786" s="797"/>
      <c r="T786" s="798" t="s">
        <v>350</v>
      </c>
      <c r="U786" s="230" t="s">
        <v>426</v>
      </c>
      <c r="V786" s="97"/>
    </row>
    <row r="787" spans="1:22" ht="18" hidden="1" customHeight="1">
      <c r="A787" s="827"/>
      <c r="B787" s="802"/>
      <c r="C787" s="802"/>
      <c r="D787" s="689"/>
      <c r="E787" s="689"/>
      <c r="F787" s="684"/>
      <c r="G787" s="684"/>
      <c r="H787" s="689"/>
      <c r="I787" s="689" t="str">
        <f>R769</f>
        <v>-</v>
      </c>
      <c r="J787" s="723"/>
      <c r="K787" s="689"/>
      <c r="L787" s="802"/>
      <c r="M787" s="716"/>
      <c r="N787" s="729"/>
      <c r="O787" s="716"/>
      <c r="P787" s="689"/>
      <c r="Q787" s="28">
        <f>R776</f>
        <v>1</v>
      </c>
      <c r="R787" s="28" t="s">
        <v>315</v>
      </c>
      <c r="S787" s="28">
        <f>R776</f>
        <v>1</v>
      </c>
      <c r="T787" s="798"/>
      <c r="U787" s="14"/>
      <c r="V787" s="97"/>
    </row>
    <row r="788" spans="1:22" ht="18" hidden="1" customHeight="1">
      <c r="A788" s="184"/>
      <c r="L788" s="244"/>
      <c r="V788" s="185"/>
    </row>
    <row r="789" spans="1:22" ht="18" hidden="1" customHeight="1">
      <c r="A789" s="184"/>
      <c r="C789" s="30" t="s">
        <v>127</v>
      </c>
      <c r="D789" s="812" t="e">
        <f>D786*F786*(I786/I787)*(M786+O786+(Q786/(Q787*S787)))</f>
        <v>#VALUE!</v>
      </c>
      <c r="E789" s="813"/>
      <c r="F789" s="30" t="s">
        <v>305</v>
      </c>
      <c r="L789" s="244"/>
      <c r="V789" s="185"/>
    </row>
    <row r="790" spans="1:22" ht="18" hidden="1" customHeight="1">
      <c r="A790" s="184"/>
      <c r="L790" s="244"/>
      <c r="V790" s="185"/>
    </row>
    <row r="791" spans="1:22" s="14" customFormat="1" ht="18" hidden="1" customHeight="1">
      <c r="A791" s="799" t="s">
        <v>417</v>
      </c>
      <c r="B791" s="802"/>
      <c r="C791" s="802"/>
      <c r="D791" s="689"/>
      <c r="E791" s="689"/>
      <c r="F791" s="689" t="str">
        <f>R773</f>
        <v>-</v>
      </c>
      <c r="G791" s="684"/>
      <c r="H791" s="689" t="s">
        <v>315</v>
      </c>
      <c r="I791" s="708">
        <f>R775</f>
        <v>1</v>
      </c>
      <c r="J791" s="828"/>
      <c r="K791" s="689" t="s">
        <v>315</v>
      </c>
      <c r="L791" s="802" t="s">
        <v>419</v>
      </c>
      <c r="M791" s="716" t="str">
        <f>R777</f>
        <v>-</v>
      </c>
      <c r="N791" s="729" t="s">
        <v>347</v>
      </c>
      <c r="O791" s="1214">
        <f>R778</f>
        <v>1.25652618</v>
      </c>
      <c r="P791" s="689" t="s">
        <v>347</v>
      </c>
      <c r="Q791" s="833">
        <f>R779</f>
        <v>0.02</v>
      </c>
      <c r="R791" s="797"/>
      <c r="S791" s="797"/>
      <c r="T791" s="798" t="s">
        <v>350</v>
      </c>
      <c r="U791" s="230" t="s">
        <v>618</v>
      </c>
      <c r="V791" s="97"/>
    </row>
    <row r="792" spans="1:22" ht="18" hidden="1" customHeight="1">
      <c r="A792" s="827"/>
      <c r="B792" s="802"/>
      <c r="C792" s="802"/>
      <c r="D792" s="689"/>
      <c r="E792" s="689"/>
      <c r="F792" s="684"/>
      <c r="G792" s="684"/>
      <c r="H792" s="689"/>
      <c r="I792" s="689" t="str">
        <f>R769</f>
        <v>-</v>
      </c>
      <c r="J792" s="723"/>
      <c r="K792" s="689"/>
      <c r="L792" s="802"/>
      <c r="M792" s="716"/>
      <c r="N792" s="729"/>
      <c r="O792" s="716"/>
      <c r="P792" s="689"/>
      <c r="Q792" s="28">
        <f>R776</f>
        <v>1</v>
      </c>
      <c r="R792" s="28" t="s">
        <v>315</v>
      </c>
      <c r="S792" s="28">
        <f>R776</f>
        <v>1</v>
      </c>
      <c r="T792" s="798"/>
      <c r="U792" s="14"/>
      <c r="V792" s="97"/>
    </row>
    <row r="793" spans="1:22" ht="18" hidden="1" customHeight="1">
      <c r="A793" s="184"/>
      <c r="V793" s="185"/>
    </row>
    <row r="794" spans="1:22" ht="18" hidden="1" customHeight="1">
      <c r="A794" s="184"/>
      <c r="C794" s="30" t="s">
        <v>127</v>
      </c>
      <c r="D794" s="812" t="e">
        <f>F791*(I791/I792)*(M791+O791+(Q791/(Q792*S792)))</f>
        <v>#VALUE!</v>
      </c>
      <c r="E794" s="813"/>
      <c r="F794" s="30" t="s">
        <v>305</v>
      </c>
      <c r="G794" s="187" t="s">
        <v>378</v>
      </c>
      <c r="H794" s="186" t="str">
        <f>IF(M766="y","Applicable","Not applicable")</f>
        <v>Not applicable</v>
      </c>
      <c r="V794" s="185"/>
    </row>
    <row r="795" spans="1:22" ht="18" hidden="1" customHeight="1">
      <c r="A795" s="184"/>
      <c r="V795" s="185"/>
    </row>
    <row r="796" spans="1:22" ht="18" hidden="1" customHeight="1">
      <c r="A796" s="194"/>
      <c r="B796" s="195"/>
      <c r="C796" s="195"/>
      <c r="D796" s="195"/>
      <c r="E796" s="195"/>
      <c r="F796" s="195"/>
      <c r="G796" s="195"/>
      <c r="H796" s="195"/>
      <c r="I796" s="195"/>
      <c r="J796" s="195"/>
      <c r="K796" s="195"/>
      <c r="L796" s="195"/>
      <c r="M796" s="195"/>
      <c r="N796" s="195"/>
      <c r="O796" s="195"/>
      <c r="P796" s="195"/>
      <c r="Q796" s="224"/>
      <c r="R796" s="182"/>
      <c r="S796" s="225"/>
      <c r="T796" s="195"/>
      <c r="U796" s="195"/>
      <c r="V796" s="134"/>
    </row>
    <row r="797" spans="1:22" ht="18" hidden="1" customHeight="1">
      <c r="A797" s="226"/>
      <c r="B797" s="227"/>
      <c r="C797" s="227"/>
      <c r="D797" s="227"/>
      <c r="E797" s="227"/>
      <c r="F797" s="227"/>
      <c r="G797" s="227"/>
      <c r="H797" s="227"/>
      <c r="I797" s="227"/>
      <c r="J797" s="227"/>
      <c r="K797" s="227"/>
      <c r="L797" s="227"/>
      <c r="M797" s="227"/>
      <c r="N797" s="227"/>
      <c r="O797" s="227"/>
      <c r="P797" s="227"/>
      <c r="Q797" s="227"/>
      <c r="R797" s="227"/>
      <c r="S797" s="227"/>
      <c r="T797" s="227"/>
      <c r="U797" s="227"/>
      <c r="V797" s="228"/>
    </row>
    <row r="798" spans="1:22" ht="18" hidden="1" customHeight="1">
      <c r="A798" s="184" t="s">
        <v>634</v>
      </c>
      <c r="M798" s="825" t="str">
        <f>R769</f>
        <v>-</v>
      </c>
      <c r="N798" s="826"/>
      <c r="O798" s="30" t="s">
        <v>470</v>
      </c>
      <c r="Q798" s="812" t="e">
        <f>IF(M766="Y",MAX(D784,D794),MAX(D784,D789))</f>
        <v>#VALUE!</v>
      </c>
      <c r="R798" s="820"/>
      <c r="S798" s="30" t="s">
        <v>305</v>
      </c>
      <c r="V798" s="185"/>
    </row>
    <row r="799" spans="1:22" ht="18" hidden="1" customHeight="1">
      <c r="A799" s="184"/>
      <c r="M799" s="247"/>
      <c r="N799" s="247"/>
      <c r="Q799" s="211"/>
      <c r="R799" s="27"/>
      <c r="V799" s="185"/>
    </row>
    <row r="800" spans="1:22" ht="18" hidden="1" customHeight="1">
      <c r="A800" s="248" t="s">
        <v>471</v>
      </c>
      <c r="B800" s="14"/>
      <c r="C800" s="14"/>
      <c r="D800" s="249"/>
      <c r="E800" s="14"/>
      <c r="F800" s="14"/>
      <c r="G800" s="47"/>
      <c r="H800" s="14"/>
      <c r="J800" s="14"/>
      <c r="K800" s="14"/>
      <c r="L800" s="14"/>
      <c r="M800" s="14"/>
      <c r="N800" s="14"/>
      <c r="O800" s="14"/>
      <c r="P800" s="250"/>
      <c r="Q800" s="251"/>
      <c r="R800" s="47"/>
      <c r="S800" s="14"/>
      <c r="V800" s="185"/>
    </row>
    <row r="801" spans="1:22" ht="18" hidden="1" customHeight="1">
      <c r="A801" s="248"/>
      <c r="B801" s="14"/>
      <c r="C801" s="14"/>
      <c r="D801" s="249"/>
      <c r="E801" s="14"/>
      <c r="F801" s="14"/>
      <c r="G801" s="47"/>
      <c r="H801" s="14"/>
      <c r="J801" s="14"/>
      <c r="K801" s="14"/>
      <c r="L801" s="14"/>
      <c r="M801" s="14"/>
      <c r="N801" s="14"/>
      <c r="O801" s="14"/>
      <c r="P801" s="250"/>
      <c r="Q801" s="251"/>
      <c r="R801" s="47"/>
      <c r="S801" s="14"/>
      <c r="V801" s="185"/>
    </row>
    <row r="802" spans="1:22" ht="18" hidden="1" customHeight="1">
      <c r="A802" s="96" t="s">
        <v>500</v>
      </c>
      <c r="V802" s="185"/>
    </row>
    <row r="803" spans="1:22" ht="18" hidden="1" customHeight="1">
      <c r="A803" s="184"/>
      <c r="N803" s="14"/>
      <c r="O803" s="14" t="s">
        <v>473</v>
      </c>
      <c r="P803" s="102" t="s">
        <v>127</v>
      </c>
      <c r="Q803" s="249" t="s">
        <v>474</v>
      </c>
      <c r="R803" s="14"/>
      <c r="S803" s="28" t="s">
        <v>315</v>
      </c>
      <c r="T803" s="28">
        <v>0.8</v>
      </c>
      <c r="V803" s="185"/>
    </row>
    <row r="804" spans="1:22" ht="18" hidden="1" customHeight="1">
      <c r="A804" s="184"/>
      <c r="N804" s="252"/>
      <c r="O804" s="14"/>
      <c r="P804" s="102" t="s">
        <v>127</v>
      </c>
      <c r="Q804" s="829" t="e">
        <f>+Q798</f>
        <v>#VALUE!</v>
      </c>
      <c r="R804" s="829"/>
      <c r="S804" s="222" t="s">
        <v>315</v>
      </c>
      <c r="T804" s="253">
        <f>+T803</f>
        <v>0.8</v>
      </c>
      <c r="V804" s="185"/>
    </row>
    <row r="805" spans="1:22" ht="18" hidden="1" customHeight="1">
      <c r="A805" s="184"/>
      <c r="O805" s="14"/>
      <c r="P805" s="28" t="s">
        <v>127</v>
      </c>
      <c r="Q805" s="830" t="e">
        <f>Q804*T804</f>
        <v>#VALUE!</v>
      </c>
      <c r="R805" s="1270"/>
      <c r="S805" s="47" t="s">
        <v>305</v>
      </c>
      <c r="T805" s="14"/>
      <c r="V805" s="185"/>
    </row>
    <row r="806" spans="1:22" ht="18" hidden="1" customHeight="1">
      <c r="A806" s="184"/>
      <c r="V806" s="185"/>
    </row>
    <row r="807" spans="1:22" ht="18" hidden="1" customHeight="1">
      <c r="A807" s="184"/>
      <c r="D807" s="30" t="s">
        <v>475</v>
      </c>
      <c r="G807" s="27" t="e">
        <f>IF(E808&gt;H808,"&gt;","&lt;")</f>
        <v>#VALUE!</v>
      </c>
      <c r="H807" s="30" t="s">
        <v>477</v>
      </c>
      <c r="V807" s="185"/>
    </row>
    <row r="808" spans="1:22" ht="18" hidden="1" customHeight="1">
      <c r="A808" s="184"/>
      <c r="E808" s="684" t="str">
        <f>L716</f>
        <v>-</v>
      </c>
      <c r="F808" s="684"/>
      <c r="G808" s="27" t="e">
        <f>G807</f>
        <v>#VALUE!</v>
      </c>
      <c r="H808" s="795" t="e">
        <f>Q805</f>
        <v>#VALUE!</v>
      </c>
      <c r="I808" s="684"/>
      <c r="V808" s="185"/>
    </row>
    <row r="809" spans="1:22" ht="18" hidden="1" customHeight="1">
      <c r="A809" s="184"/>
      <c r="F809" s="244" t="s">
        <v>478</v>
      </c>
      <c r="H809" s="18" t="e">
        <f>IF(G807="&gt;","Suitably Dimensioned","Under Dimensioned")</f>
        <v>#VALUE!</v>
      </c>
      <c r="V809" s="185"/>
    </row>
    <row r="810" spans="1:22" ht="18" hidden="1" customHeight="1">
      <c r="A810" s="184"/>
      <c r="F810" s="244"/>
      <c r="H810" s="18"/>
      <c r="V810" s="185"/>
    </row>
    <row r="811" spans="1:22" ht="18" hidden="1" customHeight="1">
      <c r="A811" s="184"/>
      <c r="F811" s="244"/>
      <c r="H811" s="18"/>
      <c r="V811" s="185"/>
    </row>
    <row r="812" spans="1:22" ht="18" hidden="1" customHeight="1">
      <c r="A812" s="184"/>
      <c r="F812" s="244"/>
      <c r="H812" s="18"/>
      <c r="V812" s="185"/>
    </row>
    <row r="813" spans="1:22" ht="18" hidden="1" customHeight="1">
      <c r="A813" s="184"/>
      <c r="F813" s="244"/>
      <c r="H813" s="18"/>
      <c r="V813" s="185"/>
    </row>
    <row r="814" spans="1:22" ht="18" hidden="1" customHeight="1">
      <c r="A814" s="184"/>
      <c r="F814" s="244"/>
      <c r="H814" s="18"/>
      <c r="V814" s="185"/>
    </row>
    <row r="815" spans="1:22" ht="18" hidden="1" customHeight="1">
      <c r="A815" s="184"/>
      <c r="F815" s="244"/>
      <c r="H815" s="18"/>
      <c r="V815" s="185"/>
    </row>
    <row r="816" spans="1:22" ht="18" hidden="1" customHeight="1">
      <c r="A816" s="184"/>
      <c r="F816" s="244"/>
      <c r="H816" s="18"/>
      <c r="V816" s="185"/>
    </row>
    <row r="817" spans="1:22" ht="18" hidden="1" customHeight="1">
      <c r="A817" s="184"/>
      <c r="F817" s="244"/>
      <c r="H817" s="18"/>
      <c r="V817" s="185"/>
    </row>
    <row r="818" spans="1:22" ht="18" hidden="1" customHeight="1">
      <c r="A818" s="184"/>
      <c r="F818" s="244"/>
      <c r="H818" s="18"/>
      <c r="V818" s="185"/>
    </row>
    <row r="819" spans="1:22" ht="18" hidden="1" customHeight="1">
      <c r="A819" s="184"/>
      <c r="F819" s="244"/>
      <c r="H819" s="18"/>
      <c r="V819" s="185"/>
    </row>
    <row r="820" spans="1:22" ht="18" hidden="1" customHeight="1">
      <c r="A820" s="184"/>
      <c r="F820" s="244"/>
      <c r="H820" s="18"/>
      <c r="V820" s="185"/>
    </row>
    <row r="821" spans="1:22" ht="18" hidden="1" customHeight="1">
      <c r="A821" s="184"/>
      <c r="F821" s="244"/>
      <c r="H821" s="18"/>
      <c r="V821" s="185"/>
    </row>
    <row r="822" spans="1:22" ht="18" hidden="1" customHeight="1">
      <c r="A822" s="184"/>
      <c r="F822" s="244"/>
      <c r="H822" s="18"/>
      <c r="V822" s="185"/>
    </row>
    <row r="823" spans="1:22" ht="18" hidden="1" customHeight="1">
      <c r="A823" s="184"/>
      <c r="F823" s="244"/>
      <c r="H823" s="18"/>
      <c r="V823" s="185"/>
    </row>
    <row r="824" spans="1:22" ht="18" hidden="1" customHeight="1">
      <c r="A824" s="184"/>
      <c r="F824" s="244"/>
      <c r="H824" s="18"/>
      <c r="V824" s="185"/>
    </row>
    <row r="825" spans="1:22" ht="18" hidden="1" customHeight="1">
      <c r="A825" s="184"/>
      <c r="F825" s="244"/>
      <c r="H825" s="18"/>
      <c r="V825" s="185"/>
    </row>
    <row r="826" spans="1:22" ht="18" hidden="1" customHeight="1">
      <c r="A826" s="184"/>
      <c r="F826" s="244"/>
      <c r="H826" s="18"/>
      <c r="V826" s="185"/>
    </row>
    <row r="827" spans="1:22" ht="18" hidden="1" customHeight="1">
      <c r="A827" s="184"/>
      <c r="F827" s="244"/>
      <c r="H827" s="18"/>
      <c r="V827" s="185"/>
    </row>
    <row r="828" spans="1:22" ht="18" hidden="1" customHeight="1">
      <c r="A828" s="184"/>
      <c r="F828" s="244"/>
      <c r="H828" s="18"/>
      <c r="V828" s="185"/>
    </row>
    <row r="829" spans="1:22" ht="18" hidden="1" customHeight="1">
      <c r="A829" s="184"/>
      <c r="F829" s="244"/>
      <c r="H829" s="18"/>
      <c r="V829" s="185"/>
    </row>
    <row r="830" spans="1:22" ht="18" hidden="1" customHeight="1">
      <c r="A830" s="184"/>
      <c r="F830" s="244"/>
      <c r="H830" s="18"/>
      <c r="V830" s="185"/>
    </row>
    <row r="831" spans="1:22" ht="18" hidden="1" customHeight="1">
      <c r="A831" s="184"/>
      <c r="F831" s="244"/>
      <c r="H831" s="18"/>
      <c r="V831" s="185"/>
    </row>
    <row r="832" spans="1:22" ht="18" hidden="1" customHeight="1">
      <c r="A832" s="184"/>
      <c r="F832" s="244"/>
      <c r="H832" s="18"/>
      <c r="V832" s="185"/>
    </row>
    <row r="833" spans="1:22" ht="18" hidden="1" customHeight="1">
      <c r="A833" s="184"/>
      <c r="F833" s="244"/>
      <c r="H833" s="18"/>
      <c r="V833" s="185"/>
    </row>
    <row r="834" spans="1:22" ht="18" hidden="1" customHeight="1">
      <c r="A834" s="184"/>
      <c r="F834" s="244"/>
      <c r="H834" s="18"/>
      <c r="V834" s="185"/>
    </row>
    <row r="835" spans="1:22" s="14" customFormat="1" ht="18" hidden="1" customHeight="1">
      <c r="A835" s="184"/>
      <c r="B835" s="30"/>
      <c r="C835" s="30"/>
      <c r="D835" s="30"/>
      <c r="E835" s="30"/>
      <c r="F835" s="244"/>
      <c r="G835" s="30"/>
      <c r="H835" s="18"/>
      <c r="I835" s="30"/>
      <c r="J835" s="30"/>
      <c r="K835" s="30"/>
      <c r="L835" s="30"/>
      <c r="M835" s="30"/>
      <c r="N835" s="30"/>
      <c r="O835" s="30"/>
      <c r="P835" s="30"/>
      <c r="Q835" s="30"/>
      <c r="R835" s="30"/>
      <c r="S835" s="30"/>
      <c r="T835" s="30"/>
      <c r="U835" s="30"/>
      <c r="V835" s="185"/>
    </row>
    <row r="836" spans="1:22" ht="18" hidden="1" customHeight="1">
      <c r="A836" s="184"/>
      <c r="F836" s="244"/>
      <c r="H836" s="18"/>
      <c r="V836" s="185"/>
    </row>
    <row r="837" spans="1:22" ht="18" hidden="1" customHeight="1">
      <c r="A837" s="184"/>
      <c r="F837" s="244"/>
      <c r="H837" s="18"/>
      <c r="V837" s="185"/>
    </row>
    <row r="838" spans="1:22" ht="18" hidden="1" customHeight="1">
      <c r="A838" s="184"/>
      <c r="F838" s="244"/>
      <c r="H838" s="18"/>
      <c r="V838" s="185"/>
    </row>
    <row r="839" spans="1:22" ht="18" hidden="1" customHeight="1">
      <c r="A839" s="184"/>
      <c r="F839" s="244"/>
      <c r="H839" s="18"/>
      <c r="V839" s="185"/>
    </row>
    <row r="840" spans="1:22" ht="18" hidden="1" customHeight="1">
      <c r="A840" s="194"/>
      <c r="B840" s="195"/>
      <c r="C840" s="195"/>
      <c r="D840" s="195"/>
      <c r="E840" s="195"/>
      <c r="F840" s="195"/>
      <c r="G840" s="195"/>
      <c r="H840" s="195"/>
      <c r="I840" s="195"/>
      <c r="J840" s="195"/>
      <c r="K840" s="195"/>
      <c r="L840" s="195"/>
      <c r="M840" s="195"/>
      <c r="N840" s="195"/>
      <c r="O840" s="195"/>
      <c r="P840" s="195"/>
      <c r="Q840" s="224"/>
      <c r="R840" s="182"/>
      <c r="S840" s="225"/>
      <c r="T840" s="195"/>
      <c r="U840" s="195"/>
      <c r="V840" s="134"/>
    </row>
    <row r="841" spans="1:22" ht="18" hidden="1" customHeight="1">
      <c r="A841" s="226"/>
      <c r="B841" s="227"/>
      <c r="C841" s="227"/>
      <c r="D841" s="227"/>
      <c r="E841" s="227"/>
      <c r="F841" s="227"/>
      <c r="G841" s="227"/>
      <c r="H841" s="227"/>
      <c r="I841" s="227"/>
      <c r="J841" s="227"/>
      <c r="K841" s="227"/>
      <c r="L841" s="227"/>
      <c r="M841" s="227"/>
      <c r="N841" s="227"/>
      <c r="O841" s="227"/>
      <c r="P841" s="227"/>
      <c r="Q841" s="227"/>
      <c r="R841" s="227"/>
      <c r="S841" s="227"/>
      <c r="T841" s="227"/>
      <c r="U841" s="227"/>
      <c r="V841" s="228"/>
    </row>
    <row r="842" spans="1:22" ht="18" hidden="1" customHeight="1">
      <c r="A842" s="262" t="s">
        <v>501</v>
      </c>
      <c r="B842" s="14"/>
      <c r="C842" s="14"/>
      <c r="D842" s="120"/>
      <c r="E842" s="120"/>
      <c r="F842" s="18"/>
      <c r="G842" s="18"/>
      <c r="H842" s="14"/>
      <c r="I842" s="14"/>
      <c r="J842" s="14"/>
      <c r="K842" s="14"/>
      <c r="L842" s="14"/>
      <c r="M842" s="14"/>
      <c r="N842" s="14"/>
      <c r="O842" s="14"/>
      <c r="P842" s="28"/>
      <c r="Q842" s="120"/>
      <c r="R842" s="47"/>
      <c r="S842" s="206"/>
      <c r="T842" s="259"/>
      <c r="U842" s="14"/>
      <c r="V842" s="97"/>
    </row>
    <row r="843" spans="1:22" ht="18" hidden="1" customHeight="1">
      <c r="A843" s="955" t="s">
        <v>85</v>
      </c>
      <c r="B843" s="956"/>
      <c r="C843" s="1132"/>
      <c r="D843" s="955" t="s">
        <v>86</v>
      </c>
      <c r="E843" s="1146"/>
      <c r="F843" s="1146"/>
      <c r="G843" s="1132"/>
      <c r="H843" s="955" t="s">
        <v>87</v>
      </c>
      <c r="I843" s="957"/>
      <c r="J843" s="955" t="s">
        <v>88</v>
      </c>
      <c r="K843" s="1132"/>
      <c r="L843" s="955" t="s">
        <v>502</v>
      </c>
      <c r="M843" s="956"/>
      <c r="N843" s="957" t="s">
        <v>556</v>
      </c>
      <c r="O843" s="955" t="s">
        <v>503</v>
      </c>
      <c r="P843" s="956"/>
      <c r="Q843" s="1132"/>
      <c r="R843" s="955" t="s">
        <v>646</v>
      </c>
      <c r="S843" s="1277"/>
      <c r="T843" s="1278"/>
      <c r="U843" s="955" t="s">
        <v>505</v>
      </c>
      <c r="V843" s="1139"/>
    </row>
    <row r="844" spans="1:22" ht="18" hidden="1" customHeight="1">
      <c r="A844" s="1125"/>
      <c r="B844" s="983"/>
      <c r="C844" s="1133"/>
      <c r="D844" s="1136"/>
      <c r="E844" s="1135"/>
      <c r="F844" s="1135"/>
      <c r="G844" s="1133"/>
      <c r="H844" s="1125"/>
      <c r="I844" s="1126"/>
      <c r="J844" s="1136"/>
      <c r="K844" s="1133"/>
      <c r="L844" s="1125"/>
      <c r="M844" s="983"/>
      <c r="N844" s="1126"/>
      <c r="O844" s="1125"/>
      <c r="P844" s="983"/>
      <c r="Q844" s="1133"/>
      <c r="R844" s="1279"/>
      <c r="S844" s="1277"/>
      <c r="T844" s="1278"/>
      <c r="U844" s="1140"/>
      <c r="V844" s="1141"/>
    </row>
    <row r="845" spans="1:22" ht="18" hidden="1" customHeight="1">
      <c r="A845" s="1047"/>
      <c r="B845" s="1048"/>
      <c r="C845" s="1134"/>
      <c r="D845" s="1137"/>
      <c r="E845" s="1138"/>
      <c r="F845" s="1138"/>
      <c r="G845" s="1134"/>
      <c r="H845" s="1047"/>
      <c r="I845" s="1049"/>
      <c r="J845" s="1137"/>
      <c r="K845" s="1134"/>
      <c r="L845" s="1047"/>
      <c r="M845" s="1048"/>
      <c r="N845" s="1049"/>
      <c r="O845" s="1047"/>
      <c r="P845" s="1048"/>
      <c r="Q845" s="1134"/>
      <c r="R845" s="1280"/>
      <c r="S845" s="1281"/>
      <c r="T845" s="1282"/>
      <c r="U845" s="1142"/>
      <c r="V845" s="1143"/>
    </row>
    <row r="846" spans="1:22" ht="18" hidden="1" customHeight="1">
      <c r="A846" s="1283" t="str">
        <f>B710</f>
        <v>BCT13,14,15</v>
      </c>
      <c r="B846" s="1284">
        <f>B711</f>
        <v>0</v>
      </c>
      <c r="C846" s="871" t="str">
        <f>D710</f>
        <v>Core2</v>
      </c>
      <c r="D846" s="871">
        <f>H581</f>
        <v>1200</v>
      </c>
      <c r="E846" s="871" t="str">
        <f>J581</f>
        <v>-</v>
      </c>
      <c r="F846" s="871" t="str">
        <f>L713</f>
        <v>-</v>
      </c>
      <c r="G846" s="871">
        <f>O581</f>
        <v>1</v>
      </c>
      <c r="H846" s="871">
        <f>'CT-VT Burdens'!S21</f>
        <v>120</v>
      </c>
      <c r="I846" s="1036">
        <f>'CT-VT Burdens'!S10</f>
        <v>6</v>
      </c>
      <c r="J846" s="869" t="str">
        <f>J582</f>
        <v>TPS</v>
      </c>
      <c r="K846" s="869"/>
      <c r="L846" s="871">
        <f>H456</f>
        <v>5</v>
      </c>
      <c r="M846" s="871" t="str">
        <f>J583</f>
        <v>-</v>
      </c>
      <c r="N846" s="871" t="str">
        <f>L715</f>
        <v>-</v>
      </c>
      <c r="O846" s="871">
        <f>H457</f>
        <v>430</v>
      </c>
      <c r="P846" s="871" t="str">
        <f>J584</f>
        <v>-</v>
      </c>
      <c r="Q846" s="871" t="str">
        <f>L716</f>
        <v>-</v>
      </c>
      <c r="R846" s="871">
        <f>H458</f>
        <v>20</v>
      </c>
      <c r="S846" s="871" t="str">
        <f>J585</f>
        <v>-</v>
      </c>
      <c r="T846" s="871" t="str">
        <f>L717</f>
        <v>-</v>
      </c>
      <c r="U846" s="869" t="str">
        <f>D589</f>
        <v>RET670</v>
      </c>
      <c r="V846" s="869"/>
    </row>
    <row r="847" spans="1:22" ht="18" hidden="1" customHeight="1">
      <c r="A847" s="765">
        <f>B711</f>
        <v>0</v>
      </c>
      <c r="B847" s="1144">
        <f>A712</f>
        <v>0</v>
      </c>
      <c r="C847" s="1130"/>
      <c r="D847" s="1130"/>
      <c r="E847" s="1130"/>
      <c r="F847" s="1130"/>
      <c r="G847" s="1130"/>
      <c r="H847" s="1130"/>
      <c r="I847" s="1130"/>
      <c r="J847" s="1129"/>
      <c r="K847" s="1129"/>
      <c r="L847" s="1130"/>
      <c r="M847" s="1130"/>
      <c r="N847" s="1130"/>
      <c r="O847" s="1130"/>
      <c r="P847" s="1130"/>
      <c r="Q847" s="1130"/>
      <c r="R847" s="1130"/>
      <c r="S847" s="1130"/>
      <c r="T847" s="1130"/>
      <c r="U847" s="1129"/>
      <c r="V847" s="1129"/>
    </row>
    <row r="848" spans="1:22" ht="18" hidden="1" customHeight="1">
      <c r="A848" s="765">
        <f>A712</f>
        <v>0</v>
      </c>
      <c r="B848" s="1144" t="str">
        <f>B713</f>
        <v>CT Ratio:</v>
      </c>
      <c r="C848" s="1131"/>
      <c r="D848" s="1131"/>
      <c r="E848" s="1131"/>
      <c r="F848" s="1131"/>
      <c r="G848" s="1131"/>
      <c r="H848" s="1131"/>
      <c r="I848" s="1131"/>
      <c r="J848" s="1129"/>
      <c r="K848" s="1129"/>
      <c r="L848" s="1131"/>
      <c r="M848" s="1131"/>
      <c r="N848" s="1131"/>
      <c r="O848" s="1131"/>
      <c r="P848" s="1131"/>
      <c r="Q848" s="1131"/>
      <c r="R848" s="1131"/>
      <c r="S848" s="1131"/>
      <c r="T848" s="1131"/>
      <c r="U848" s="1129"/>
      <c r="V848" s="1129"/>
    </row>
    <row r="849" spans="1:22" ht="18" hidden="1" customHeight="1">
      <c r="A849" s="184"/>
      <c r="V849" s="185"/>
    </row>
    <row r="850" spans="1:22" ht="18" hidden="1" customHeight="1">
      <c r="A850" s="184"/>
      <c r="V850" s="185"/>
    </row>
    <row r="851" spans="1:22" ht="18" hidden="1" customHeight="1">
      <c r="A851" s="184"/>
      <c r="V851" s="185"/>
    </row>
    <row r="852" spans="1:22" ht="18" hidden="1" customHeight="1">
      <c r="A852" s="184"/>
      <c r="V852" s="185"/>
    </row>
    <row r="853" spans="1:22" ht="18" hidden="1" customHeight="1">
      <c r="A853" s="184"/>
      <c r="V853" s="185"/>
    </row>
    <row r="854" spans="1:22" ht="18" hidden="1" customHeight="1">
      <c r="A854" s="184"/>
      <c r="V854" s="185"/>
    </row>
    <row r="855" spans="1:22" ht="18" hidden="1" customHeight="1">
      <c r="A855" s="184"/>
      <c r="V855" s="185"/>
    </row>
    <row r="856" spans="1:22" ht="18" hidden="1" customHeight="1">
      <c r="A856" s="184"/>
      <c r="V856" s="185"/>
    </row>
    <row r="857" spans="1:22" ht="18" hidden="1" customHeight="1">
      <c r="A857" s="184"/>
      <c r="V857" s="185"/>
    </row>
    <row r="858" spans="1:22" ht="18" hidden="1" customHeight="1">
      <c r="A858" s="184"/>
      <c r="V858" s="185"/>
    </row>
    <row r="859" spans="1:22" ht="18" hidden="1" customHeight="1">
      <c r="A859" s="184"/>
      <c r="V859" s="185"/>
    </row>
    <row r="860" spans="1:22" ht="18" hidden="1" customHeight="1">
      <c r="A860" s="184"/>
      <c r="V860" s="185"/>
    </row>
    <row r="861" spans="1:22" ht="18" hidden="1" customHeight="1">
      <c r="A861" s="184"/>
      <c r="V861" s="185"/>
    </row>
    <row r="862" spans="1:22" ht="18" hidden="1" customHeight="1">
      <c r="A862" s="184"/>
      <c r="V862" s="185"/>
    </row>
    <row r="863" spans="1:22" ht="18" hidden="1" customHeight="1">
      <c r="A863" s="184"/>
      <c r="V863" s="185"/>
    </row>
    <row r="864" spans="1:22" ht="18" hidden="1" customHeight="1">
      <c r="A864" s="184"/>
      <c r="V864" s="185"/>
    </row>
    <row r="865" spans="1:22" ht="18" hidden="1" customHeight="1">
      <c r="A865" s="184"/>
      <c r="V865" s="185"/>
    </row>
    <row r="866" spans="1:22" ht="18" hidden="1" customHeight="1">
      <c r="A866" s="184"/>
      <c r="V866" s="185"/>
    </row>
    <row r="867" spans="1:22" ht="18" hidden="1" customHeight="1">
      <c r="A867" s="184"/>
      <c r="V867" s="185"/>
    </row>
    <row r="868" spans="1:22" ht="18" hidden="1" customHeight="1">
      <c r="A868" s="184"/>
      <c r="V868" s="185"/>
    </row>
    <row r="869" spans="1:22" ht="18" hidden="1" customHeight="1">
      <c r="A869" s="184"/>
      <c r="V869" s="185"/>
    </row>
    <row r="870" spans="1:22" ht="18" hidden="1" customHeight="1">
      <c r="A870" s="184"/>
      <c r="V870" s="185"/>
    </row>
    <row r="871" spans="1:22" ht="18" hidden="1" customHeight="1">
      <c r="A871" s="184"/>
      <c r="V871" s="185"/>
    </row>
    <row r="872" spans="1:22" ht="18" hidden="1" customHeight="1">
      <c r="A872" s="184"/>
      <c r="V872" s="185"/>
    </row>
    <row r="873" spans="1:22" ht="18" hidden="1" customHeight="1">
      <c r="A873" s="184"/>
      <c r="V873" s="185"/>
    </row>
    <row r="874" spans="1:22" ht="18" hidden="1" customHeight="1">
      <c r="A874" s="184"/>
      <c r="V874" s="185"/>
    </row>
    <row r="875" spans="1:22" ht="18" hidden="1" customHeight="1">
      <c r="A875" s="184"/>
      <c r="V875" s="185"/>
    </row>
    <row r="876" spans="1:22" ht="18" hidden="1" customHeight="1">
      <c r="A876" s="184"/>
      <c r="V876" s="185"/>
    </row>
    <row r="877" spans="1:22" ht="18" hidden="1" customHeight="1">
      <c r="A877" s="184"/>
      <c r="V877" s="185"/>
    </row>
    <row r="878" spans="1:22" ht="18" hidden="1" customHeight="1">
      <c r="A878" s="184"/>
      <c r="V878" s="185"/>
    </row>
    <row r="879" spans="1:22" s="14" customFormat="1" ht="18" hidden="1" customHeight="1">
      <c r="A879" s="184"/>
      <c r="B879" s="30"/>
      <c r="C879" s="30"/>
      <c r="D879" s="30"/>
      <c r="E879" s="30"/>
      <c r="F879" s="30"/>
      <c r="G879" s="30"/>
      <c r="H879" s="30"/>
      <c r="I879" s="30"/>
      <c r="J879" s="30"/>
      <c r="K879" s="30"/>
      <c r="L879" s="30"/>
      <c r="M879" s="30"/>
      <c r="N879" s="30"/>
      <c r="O879" s="30"/>
      <c r="P879" s="30"/>
      <c r="Q879" s="30"/>
      <c r="R879" s="30"/>
      <c r="S879" s="30"/>
      <c r="T879" s="30"/>
      <c r="U879" s="30"/>
      <c r="V879" s="185"/>
    </row>
    <row r="880" spans="1:22" ht="18" hidden="1" customHeight="1">
      <c r="A880" s="184"/>
      <c r="V880" s="185"/>
    </row>
    <row r="881" spans="1:22" ht="18" hidden="1" customHeight="1">
      <c r="A881" s="184"/>
      <c r="V881" s="185"/>
    </row>
    <row r="882" spans="1:22" ht="18" hidden="1" customHeight="1">
      <c r="A882" s="184"/>
      <c r="V882" s="185"/>
    </row>
    <row r="883" spans="1:22" ht="18" hidden="1" customHeight="1">
      <c r="A883" s="184"/>
      <c r="V883" s="185"/>
    </row>
    <row r="884" spans="1:22" ht="18" hidden="1" customHeight="1">
      <c r="A884" s="194"/>
      <c r="B884" s="195"/>
      <c r="C884" s="195"/>
      <c r="D884" s="195"/>
      <c r="E884" s="195"/>
      <c r="F884" s="195"/>
      <c r="G884" s="195"/>
      <c r="H884" s="195"/>
      <c r="I884" s="195"/>
      <c r="J884" s="195"/>
      <c r="K884" s="195"/>
      <c r="L884" s="195"/>
      <c r="M884" s="195"/>
      <c r="N884" s="195"/>
      <c r="O884" s="195"/>
      <c r="P884" s="195"/>
      <c r="Q884" s="224"/>
      <c r="R884" s="182"/>
      <c r="S884" s="225"/>
      <c r="T884" s="195"/>
      <c r="U884" s="195"/>
      <c r="V884" s="134"/>
    </row>
  </sheetData>
  <mergeCells count="963">
    <mergeCell ref="U843:V845"/>
    <mergeCell ref="A846:B846"/>
    <mergeCell ref="C846:C848"/>
    <mergeCell ref="D846:D848"/>
    <mergeCell ref="E846:E848"/>
    <mergeCell ref="F846:F848"/>
    <mergeCell ref="G846:G848"/>
    <mergeCell ref="H846:H848"/>
    <mergeCell ref="I846:I848"/>
    <mergeCell ref="Q846:Q848"/>
    <mergeCell ref="R846:R848"/>
    <mergeCell ref="S846:S848"/>
    <mergeCell ref="T846:T848"/>
    <mergeCell ref="U846:V848"/>
    <mergeCell ref="A847:B847"/>
    <mergeCell ref="A848:B848"/>
    <mergeCell ref="J846:K848"/>
    <mergeCell ref="L846:L848"/>
    <mergeCell ref="M846:M848"/>
    <mergeCell ref="N846:N848"/>
    <mergeCell ref="O846:O848"/>
    <mergeCell ref="P846:P848"/>
    <mergeCell ref="Q804:R804"/>
    <mergeCell ref="Q805:R805"/>
    <mergeCell ref="E808:F808"/>
    <mergeCell ref="H808:I808"/>
    <mergeCell ref="A843:C845"/>
    <mergeCell ref="D843:G845"/>
    <mergeCell ref="H843:I845"/>
    <mergeCell ref="J843:K845"/>
    <mergeCell ref="L843:N845"/>
    <mergeCell ref="O843:Q845"/>
    <mergeCell ref="R843:T845"/>
    <mergeCell ref="Q791:S791"/>
    <mergeCell ref="T791:T792"/>
    <mergeCell ref="I792:J792"/>
    <mergeCell ref="D794:E794"/>
    <mergeCell ref="I787:J787"/>
    <mergeCell ref="D789:E789"/>
    <mergeCell ref="M798:N798"/>
    <mergeCell ref="Q798:R798"/>
    <mergeCell ref="K791:K792"/>
    <mergeCell ref="L791:L792"/>
    <mergeCell ref="M791:M792"/>
    <mergeCell ref="N791:N792"/>
    <mergeCell ref="O791:O792"/>
    <mergeCell ref="P791:P792"/>
    <mergeCell ref="A791:C792"/>
    <mergeCell ref="D791:D792"/>
    <mergeCell ref="E791:E792"/>
    <mergeCell ref="F791:G792"/>
    <mergeCell ref="H791:H792"/>
    <mergeCell ref="I791:J791"/>
    <mergeCell ref="K786:K787"/>
    <mergeCell ref="Q781:S781"/>
    <mergeCell ref="T781:T782"/>
    <mergeCell ref="I782:J782"/>
    <mergeCell ref="D784:E784"/>
    <mergeCell ref="A786:C787"/>
    <mergeCell ref="D786:D787"/>
    <mergeCell ref="E786:E787"/>
    <mergeCell ref="F786:G787"/>
    <mergeCell ref="H786:H787"/>
    <mergeCell ref="I786:J786"/>
    <mergeCell ref="K781:K782"/>
    <mergeCell ref="L781:L782"/>
    <mergeCell ref="M781:M782"/>
    <mergeCell ref="N781:N782"/>
    <mergeCell ref="O781:O782"/>
    <mergeCell ref="P781:P782"/>
    <mergeCell ref="A781:C782"/>
    <mergeCell ref="D781:D782"/>
    <mergeCell ref="E781:E782"/>
    <mergeCell ref="F781:G782"/>
    <mergeCell ref="H781:H782"/>
    <mergeCell ref="I781:J781"/>
    <mergeCell ref="Q786:S786"/>
    <mergeCell ref="T786:T787"/>
    <mergeCell ref="R773:S773"/>
    <mergeCell ref="R775:S775"/>
    <mergeCell ref="R776:S776"/>
    <mergeCell ref="R777:S777"/>
    <mergeCell ref="R778:S778"/>
    <mergeCell ref="R779:S779"/>
    <mergeCell ref="L786:L787"/>
    <mergeCell ref="M786:M787"/>
    <mergeCell ref="N786:N787"/>
    <mergeCell ref="O786:O787"/>
    <mergeCell ref="P786:P787"/>
    <mergeCell ref="M766:N766"/>
    <mergeCell ref="R769:S769"/>
    <mergeCell ref="R770:S770"/>
    <mergeCell ref="R771:S771"/>
    <mergeCell ref="L763:L764"/>
    <mergeCell ref="M763:M764"/>
    <mergeCell ref="N763:N764"/>
    <mergeCell ref="O763:O764"/>
    <mergeCell ref="P763:P764"/>
    <mergeCell ref="Q763:S763"/>
    <mergeCell ref="A760:V761"/>
    <mergeCell ref="A763:C764"/>
    <mergeCell ref="D763:D764"/>
    <mergeCell ref="E763:E764"/>
    <mergeCell ref="F763:G764"/>
    <mergeCell ref="H763:H764"/>
    <mergeCell ref="I763:J763"/>
    <mergeCell ref="K763:K764"/>
    <mergeCell ref="L757:L758"/>
    <mergeCell ref="M757:M758"/>
    <mergeCell ref="N757:N758"/>
    <mergeCell ref="O757:O758"/>
    <mergeCell ref="P757:P758"/>
    <mergeCell ref="Q757:S757"/>
    <mergeCell ref="T763:T764"/>
    <mergeCell ref="I764:J764"/>
    <mergeCell ref="Q754:S754"/>
    <mergeCell ref="T754:T755"/>
    <mergeCell ref="I755:J755"/>
    <mergeCell ref="A757:C758"/>
    <mergeCell ref="D757:D758"/>
    <mergeCell ref="E757:E758"/>
    <mergeCell ref="F757:G758"/>
    <mergeCell ref="H757:H758"/>
    <mergeCell ref="I757:J757"/>
    <mergeCell ref="K757:K758"/>
    <mergeCell ref="K754:K755"/>
    <mergeCell ref="L754:L755"/>
    <mergeCell ref="M754:M755"/>
    <mergeCell ref="N754:N755"/>
    <mergeCell ref="O754:O755"/>
    <mergeCell ref="P754:P755"/>
    <mergeCell ref="A754:C755"/>
    <mergeCell ref="D754:D755"/>
    <mergeCell ref="E754:E755"/>
    <mergeCell ref="F754:G755"/>
    <mergeCell ref="H754:H755"/>
    <mergeCell ref="I754:J754"/>
    <mergeCell ref="T757:T758"/>
    <mergeCell ref="I758:J758"/>
    <mergeCell ref="J733:K733"/>
    <mergeCell ref="J734:K734"/>
    <mergeCell ref="O738:P738"/>
    <mergeCell ref="O739:P739"/>
    <mergeCell ref="O740:P740"/>
    <mergeCell ref="A742:V743"/>
    <mergeCell ref="J725:K725"/>
    <mergeCell ref="P725:Q725"/>
    <mergeCell ref="P728:Q728"/>
    <mergeCell ref="P729:Q729"/>
    <mergeCell ref="P730:Q730"/>
    <mergeCell ref="J732:K732"/>
    <mergeCell ref="AB716:AC716"/>
    <mergeCell ref="L717:M717"/>
    <mergeCell ref="J721:K721"/>
    <mergeCell ref="J722:K722"/>
    <mergeCell ref="J723:K723"/>
    <mergeCell ref="J724:K724"/>
    <mergeCell ref="H713:I713"/>
    <mergeCell ref="J713:K713"/>
    <mergeCell ref="L713:M713"/>
    <mergeCell ref="L714:M714"/>
    <mergeCell ref="L715:M715"/>
    <mergeCell ref="L716:M716"/>
    <mergeCell ref="T710:U710"/>
    <mergeCell ref="B711:C711"/>
    <mergeCell ref="T711:U711"/>
    <mergeCell ref="H712:I712"/>
    <mergeCell ref="J712:K712"/>
    <mergeCell ref="L712:M712"/>
    <mergeCell ref="T712:U712"/>
    <mergeCell ref="Q672:R672"/>
    <mergeCell ref="Q673:R673"/>
    <mergeCell ref="E676:F676"/>
    <mergeCell ref="H676:I676"/>
    <mergeCell ref="B710:C710"/>
    <mergeCell ref="D710:E711"/>
    <mergeCell ref="H710:M710"/>
    <mergeCell ref="Q659:S659"/>
    <mergeCell ref="T659:T660"/>
    <mergeCell ref="I660:J660"/>
    <mergeCell ref="D662:E662"/>
    <mergeCell ref="I655:J655"/>
    <mergeCell ref="D657:E657"/>
    <mergeCell ref="M666:N666"/>
    <mergeCell ref="Q666:R666"/>
    <mergeCell ref="K659:K660"/>
    <mergeCell ref="L659:L660"/>
    <mergeCell ref="M659:M660"/>
    <mergeCell ref="N659:N660"/>
    <mergeCell ref="O659:O660"/>
    <mergeCell ref="P659:P660"/>
    <mergeCell ref="A659:C660"/>
    <mergeCell ref="D659:D660"/>
    <mergeCell ref="E659:E660"/>
    <mergeCell ref="F659:G660"/>
    <mergeCell ref="H659:H660"/>
    <mergeCell ref="I659:J659"/>
    <mergeCell ref="K654:K655"/>
    <mergeCell ref="Q649:S649"/>
    <mergeCell ref="T649:T650"/>
    <mergeCell ref="I650:J650"/>
    <mergeCell ref="D652:E652"/>
    <mergeCell ref="A654:C655"/>
    <mergeCell ref="D654:D655"/>
    <mergeCell ref="E654:E655"/>
    <mergeCell ref="F654:G655"/>
    <mergeCell ref="H654:H655"/>
    <mergeCell ref="I654:J654"/>
    <mergeCell ref="K649:K650"/>
    <mergeCell ref="L649:L650"/>
    <mergeCell ref="M649:M650"/>
    <mergeCell ref="N649:N650"/>
    <mergeCell ref="O649:O650"/>
    <mergeCell ref="P649:P650"/>
    <mergeCell ref="A649:C650"/>
    <mergeCell ref="D649:D650"/>
    <mergeCell ref="E649:E650"/>
    <mergeCell ref="F649:G650"/>
    <mergeCell ref="H649:H650"/>
    <mergeCell ref="I649:J649"/>
    <mergeCell ref="Q654:S654"/>
    <mergeCell ref="T654:T655"/>
    <mergeCell ref="R641:S641"/>
    <mergeCell ref="R643:S643"/>
    <mergeCell ref="R644:S644"/>
    <mergeCell ref="R645:S645"/>
    <mergeCell ref="R646:S646"/>
    <mergeCell ref="R647:S647"/>
    <mergeCell ref="L654:L655"/>
    <mergeCell ref="M654:M655"/>
    <mergeCell ref="N654:N655"/>
    <mergeCell ref="O654:O655"/>
    <mergeCell ref="P654:P655"/>
    <mergeCell ref="M634:N634"/>
    <mergeCell ref="R637:S637"/>
    <mergeCell ref="R638:S638"/>
    <mergeCell ref="R639:S639"/>
    <mergeCell ref="L631:L632"/>
    <mergeCell ref="M631:M632"/>
    <mergeCell ref="N631:N632"/>
    <mergeCell ref="O631:O632"/>
    <mergeCell ref="P631:P632"/>
    <mergeCell ref="Q631:S631"/>
    <mergeCell ref="A628:V629"/>
    <mergeCell ref="A631:C632"/>
    <mergeCell ref="D631:D632"/>
    <mergeCell ref="E631:E632"/>
    <mergeCell ref="F631:G632"/>
    <mergeCell ref="H631:H632"/>
    <mergeCell ref="I631:J631"/>
    <mergeCell ref="K631:K632"/>
    <mergeCell ref="L625:L626"/>
    <mergeCell ref="M625:M626"/>
    <mergeCell ref="N625:N626"/>
    <mergeCell ref="O625:O626"/>
    <mergeCell ref="P625:P626"/>
    <mergeCell ref="Q625:S625"/>
    <mergeCell ref="T631:T632"/>
    <mergeCell ref="I632:J632"/>
    <mergeCell ref="Q622:S622"/>
    <mergeCell ref="T622:T623"/>
    <mergeCell ref="I623:J623"/>
    <mergeCell ref="A625:C626"/>
    <mergeCell ref="D625:D626"/>
    <mergeCell ref="E625:E626"/>
    <mergeCell ref="F625:G626"/>
    <mergeCell ref="H625:H626"/>
    <mergeCell ref="I625:J625"/>
    <mergeCell ref="K625:K626"/>
    <mergeCell ref="K622:K623"/>
    <mergeCell ref="L622:L623"/>
    <mergeCell ref="M622:M623"/>
    <mergeCell ref="N622:N623"/>
    <mergeCell ref="O622:O623"/>
    <mergeCell ref="P622:P623"/>
    <mergeCell ref="A622:C623"/>
    <mergeCell ref="D622:D623"/>
    <mergeCell ref="E622:E623"/>
    <mergeCell ref="F622:G623"/>
    <mergeCell ref="H622:H623"/>
    <mergeCell ref="I622:J622"/>
    <mergeCell ref="T625:T626"/>
    <mergeCell ref="I626:J626"/>
    <mergeCell ref="J601:K601"/>
    <mergeCell ref="J602:K602"/>
    <mergeCell ref="O606:P606"/>
    <mergeCell ref="O607:P607"/>
    <mergeCell ref="O608:P608"/>
    <mergeCell ref="A610:V611"/>
    <mergeCell ref="J593:K593"/>
    <mergeCell ref="P593:Q593"/>
    <mergeCell ref="P596:Q596"/>
    <mergeCell ref="P597:Q597"/>
    <mergeCell ref="P598:Q598"/>
    <mergeCell ref="J600:K600"/>
    <mergeCell ref="AB584:AC584"/>
    <mergeCell ref="J585:K585"/>
    <mergeCell ref="J589:K589"/>
    <mergeCell ref="J590:K590"/>
    <mergeCell ref="J591:K591"/>
    <mergeCell ref="J592:K592"/>
    <mergeCell ref="H581:I581"/>
    <mergeCell ref="J581:K581"/>
    <mergeCell ref="L581:M581"/>
    <mergeCell ref="J582:K582"/>
    <mergeCell ref="J583:K583"/>
    <mergeCell ref="J584:K584"/>
    <mergeCell ref="T578:U578"/>
    <mergeCell ref="B579:C579"/>
    <mergeCell ref="T579:U579"/>
    <mergeCell ref="H580:I580"/>
    <mergeCell ref="J580:K580"/>
    <mergeCell ref="L580:M580"/>
    <mergeCell ref="T580:U580"/>
    <mergeCell ref="Q540:R540"/>
    <mergeCell ref="Q541:R541"/>
    <mergeCell ref="E544:F544"/>
    <mergeCell ref="H544:I544"/>
    <mergeCell ref="B578:C578"/>
    <mergeCell ref="D578:E579"/>
    <mergeCell ref="H578:M578"/>
    <mergeCell ref="P527:P528"/>
    <mergeCell ref="Q527:S527"/>
    <mergeCell ref="T527:T528"/>
    <mergeCell ref="I528:J528"/>
    <mergeCell ref="D530:E530"/>
    <mergeCell ref="M534:N534"/>
    <mergeCell ref="Q534:R534"/>
    <mergeCell ref="I527:J527"/>
    <mergeCell ref="K527:K528"/>
    <mergeCell ref="L527:L528"/>
    <mergeCell ref="M527:M528"/>
    <mergeCell ref="N527:N528"/>
    <mergeCell ref="O527:O528"/>
    <mergeCell ref="D525:E525"/>
    <mergeCell ref="A527:C528"/>
    <mergeCell ref="D527:D528"/>
    <mergeCell ref="E527:E528"/>
    <mergeCell ref="F527:G528"/>
    <mergeCell ref="H527:H528"/>
    <mergeCell ref="I522:J522"/>
    <mergeCell ref="K522:K523"/>
    <mergeCell ref="L522:L523"/>
    <mergeCell ref="T517:T518"/>
    <mergeCell ref="I518:J518"/>
    <mergeCell ref="D520:E520"/>
    <mergeCell ref="A522:C523"/>
    <mergeCell ref="D522:D523"/>
    <mergeCell ref="E522:E523"/>
    <mergeCell ref="F522:G523"/>
    <mergeCell ref="H522:H523"/>
    <mergeCell ref="I517:J517"/>
    <mergeCell ref="K517:K518"/>
    <mergeCell ref="L517:L518"/>
    <mergeCell ref="M517:M518"/>
    <mergeCell ref="N517:N518"/>
    <mergeCell ref="O517:O518"/>
    <mergeCell ref="P522:P523"/>
    <mergeCell ref="Q522:S522"/>
    <mergeCell ref="T522:T523"/>
    <mergeCell ref="I523:J523"/>
    <mergeCell ref="M522:M523"/>
    <mergeCell ref="N522:N523"/>
    <mergeCell ref="O522:O523"/>
    <mergeCell ref="R511:S511"/>
    <mergeCell ref="R512:S512"/>
    <mergeCell ref="R513:S513"/>
    <mergeCell ref="R514:S514"/>
    <mergeCell ref="R515:S515"/>
    <mergeCell ref="A517:C518"/>
    <mergeCell ref="D517:D518"/>
    <mergeCell ref="E517:E518"/>
    <mergeCell ref="F517:G518"/>
    <mergeCell ref="H517:H518"/>
    <mergeCell ref="P517:P518"/>
    <mergeCell ref="Q517:S517"/>
    <mergeCell ref="M502:N502"/>
    <mergeCell ref="R505:S505"/>
    <mergeCell ref="R506:S506"/>
    <mergeCell ref="R507:S507"/>
    <mergeCell ref="R509:S509"/>
    <mergeCell ref="M499:M500"/>
    <mergeCell ref="N499:N500"/>
    <mergeCell ref="O499:O500"/>
    <mergeCell ref="P499:P500"/>
    <mergeCell ref="Q499:S499"/>
    <mergeCell ref="T499:T500"/>
    <mergeCell ref="I494:J494"/>
    <mergeCell ref="A496:V497"/>
    <mergeCell ref="A499:C500"/>
    <mergeCell ref="D499:D500"/>
    <mergeCell ref="E499:E500"/>
    <mergeCell ref="F499:G500"/>
    <mergeCell ref="H499:H500"/>
    <mergeCell ref="I499:J499"/>
    <mergeCell ref="K499:K500"/>
    <mergeCell ref="L499:L500"/>
    <mergeCell ref="M493:M494"/>
    <mergeCell ref="N493:N494"/>
    <mergeCell ref="O493:O494"/>
    <mergeCell ref="P493:P494"/>
    <mergeCell ref="Q493:S493"/>
    <mergeCell ref="T493:T494"/>
    <mergeCell ref="I500:J500"/>
    <mergeCell ref="A493:C494"/>
    <mergeCell ref="D493:D494"/>
    <mergeCell ref="E493:E494"/>
    <mergeCell ref="F493:G494"/>
    <mergeCell ref="H493:H494"/>
    <mergeCell ref="I493:J493"/>
    <mergeCell ref="K493:K494"/>
    <mergeCell ref="L493:L494"/>
    <mergeCell ref="L490:L491"/>
    <mergeCell ref="O480:P480"/>
    <mergeCell ref="O481:P481"/>
    <mergeCell ref="A483:V484"/>
    <mergeCell ref="A490:C491"/>
    <mergeCell ref="D490:D491"/>
    <mergeCell ref="E490:E491"/>
    <mergeCell ref="F490:G491"/>
    <mergeCell ref="H490:H491"/>
    <mergeCell ref="I490:J490"/>
    <mergeCell ref="K490:K491"/>
    <mergeCell ref="T490:T491"/>
    <mergeCell ref="I491:J491"/>
    <mergeCell ref="M490:M491"/>
    <mergeCell ref="N490:N491"/>
    <mergeCell ref="O490:O491"/>
    <mergeCell ref="P490:P491"/>
    <mergeCell ref="Q490:S490"/>
    <mergeCell ref="P470:Q470"/>
    <mergeCell ref="P471:Q471"/>
    <mergeCell ref="J473:K473"/>
    <mergeCell ref="J474:K474"/>
    <mergeCell ref="J475:K475"/>
    <mergeCell ref="O479:P479"/>
    <mergeCell ref="J463:K463"/>
    <mergeCell ref="J464:K464"/>
    <mergeCell ref="J465:K465"/>
    <mergeCell ref="J466:K466"/>
    <mergeCell ref="P466:Q466"/>
    <mergeCell ref="P469:Q469"/>
    <mergeCell ref="H455:I455"/>
    <mergeCell ref="H456:I456"/>
    <mergeCell ref="H457:I457"/>
    <mergeCell ref="AB457:AC457"/>
    <mergeCell ref="H458:I458"/>
    <mergeCell ref="J462:K462"/>
    <mergeCell ref="T452:U452"/>
    <mergeCell ref="H453:I453"/>
    <mergeCell ref="J453:K453"/>
    <mergeCell ref="L453:M453"/>
    <mergeCell ref="T453:U453"/>
    <mergeCell ref="H454:I454"/>
    <mergeCell ref="J454:K454"/>
    <mergeCell ref="L454:M454"/>
    <mergeCell ref="A449:B449"/>
    <mergeCell ref="D449:F449"/>
    <mergeCell ref="H449:N449"/>
    <mergeCell ref="O449:Q449"/>
    <mergeCell ref="R449:V449"/>
    <mergeCell ref="B451:C451"/>
    <mergeCell ref="D451:E452"/>
    <mergeCell ref="H451:M451"/>
    <mergeCell ref="T451:U451"/>
    <mergeCell ref="B452:C452"/>
    <mergeCell ref="A447:G448"/>
    <mergeCell ref="H447:N448"/>
    <mergeCell ref="O447:Q447"/>
    <mergeCell ref="R447:V447"/>
    <mergeCell ref="O448:Q448"/>
    <mergeCell ref="R448:V448"/>
    <mergeCell ref="A445:G446"/>
    <mergeCell ref="H445:N445"/>
    <mergeCell ref="O445:Q445"/>
    <mergeCell ref="R445:V445"/>
    <mergeCell ref="H446:N446"/>
    <mergeCell ref="O446:Q446"/>
    <mergeCell ref="R446:V446"/>
    <mergeCell ref="S407:V410"/>
    <mergeCell ref="A411:A413"/>
    <mergeCell ref="B411:C413"/>
    <mergeCell ref="D411:E411"/>
    <mergeCell ref="F411:F413"/>
    <mergeCell ref="G411:G413"/>
    <mergeCell ref="H411:H413"/>
    <mergeCell ref="D412:E412"/>
    <mergeCell ref="K412:L412"/>
    <mergeCell ref="M412:N412"/>
    <mergeCell ref="O412:P412"/>
    <mergeCell ref="S412:V412"/>
    <mergeCell ref="D413:E413"/>
    <mergeCell ref="K413:L413"/>
    <mergeCell ref="M413:N413"/>
    <mergeCell ref="O413:P413"/>
    <mergeCell ref="S413:V413"/>
    <mergeCell ref="I411:J413"/>
    <mergeCell ref="K411:L411"/>
    <mergeCell ref="M411:N411"/>
    <mergeCell ref="O411:P411"/>
    <mergeCell ref="Q411:R413"/>
    <mergeCell ref="S411:V411"/>
    <mergeCell ref="Q367:R367"/>
    <mergeCell ref="Q368:R368"/>
    <mergeCell ref="Q369:R369"/>
    <mergeCell ref="E372:F372"/>
    <mergeCell ref="H372:I372"/>
    <mergeCell ref="A407:C410"/>
    <mergeCell ref="D407:F410"/>
    <mergeCell ref="G407:H410"/>
    <mergeCell ref="I407:J410"/>
    <mergeCell ref="K407:L410"/>
    <mergeCell ref="M407:N410"/>
    <mergeCell ref="O407:P410"/>
    <mergeCell ref="Q407:R410"/>
    <mergeCell ref="Q355:S355"/>
    <mergeCell ref="T355:T356"/>
    <mergeCell ref="I356:J356"/>
    <mergeCell ref="D358:E358"/>
    <mergeCell ref="I351:J351"/>
    <mergeCell ref="D353:E353"/>
    <mergeCell ref="M362:N362"/>
    <mergeCell ref="Q362:R362"/>
    <mergeCell ref="K355:K356"/>
    <mergeCell ref="L355:L356"/>
    <mergeCell ref="M355:M356"/>
    <mergeCell ref="N355:N356"/>
    <mergeCell ref="O355:O356"/>
    <mergeCell ref="P355:P356"/>
    <mergeCell ref="A355:C356"/>
    <mergeCell ref="D355:D356"/>
    <mergeCell ref="E355:E356"/>
    <mergeCell ref="F355:G356"/>
    <mergeCell ref="H355:H356"/>
    <mergeCell ref="I355:J355"/>
    <mergeCell ref="K350:K351"/>
    <mergeCell ref="Q345:S345"/>
    <mergeCell ref="T345:T346"/>
    <mergeCell ref="I346:J346"/>
    <mergeCell ref="D348:E348"/>
    <mergeCell ref="A350:C351"/>
    <mergeCell ref="D350:D351"/>
    <mergeCell ref="E350:E351"/>
    <mergeCell ref="F350:G351"/>
    <mergeCell ref="H350:H351"/>
    <mergeCell ref="I350:J350"/>
    <mergeCell ref="K345:K346"/>
    <mergeCell ref="L345:L346"/>
    <mergeCell ref="M345:M346"/>
    <mergeCell ref="N345:N346"/>
    <mergeCell ref="O345:O346"/>
    <mergeCell ref="P345:P346"/>
    <mergeCell ref="A345:C346"/>
    <mergeCell ref="D345:D346"/>
    <mergeCell ref="E345:E346"/>
    <mergeCell ref="F345:G346"/>
    <mergeCell ref="H345:H346"/>
    <mergeCell ref="I345:J345"/>
    <mergeCell ref="Q350:S350"/>
    <mergeCell ref="T350:T351"/>
    <mergeCell ref="R337:S337"/>
    <mergeCell ref="R339:S339"/>
    <mergeCell ref="R340:S340"/>
    <mergeCell ref="R341:S341"/>
    <mergeCell ref="R342:S342"/>
    <mergeCell ref="R343:S343"/>
    <mergeCell ref="L350:L351"/>
    <mergeCell ref="M350:M351"/>
    <mergeCell ref="N350:N351"/>
    <mergeCell ref="O350:O351"/>
    <mergeCell ref="P350:P351"/>
    <mergeCell ref="M330:N330"/>
    <mergeCell ref="R333:S333"/>
    <mergeCell ref="R334:S334"/>
    <mergeCell ref="R335:S335"/>
    <mergeCell ref="L327:L328"/>
    <mergeCell ref="M327:M328"/>
    <mergeCell ref="N327:N328"/>
    <mergeCell ref="O327:O328"/>
    <mergeCell ref="P327:P328"/>
    <mergeCell ref="Q327:S327"/>
    <mergeCell ref="A324:V325"/>
    <mergeCell ref="A327:C328"/>
    <mergeCell ref="D327:D328"/>
    <mergeCell ref="E327:E328"/>
    <mergeCell ref="F327:G328"/>
    <mergeCell ref="H327:H328"/>
    <mergeCell ref="I327:J327"/>
    <mergeCell ref="K327:K328"/>
    <mergeCell ref="L321:L322"/>
    <mergeCell ref="M321:M322"/>
    <mergeCell ref="N321:N322"/>
    <mergeCell ref="O321:O322"/>
    <mergeCell ref="P321:P322"/>
    <mergeCell ref="Q321:S321"/>
    <mergeCell ref="T327:T328"/>
    <mergeCell ref="I328:J328"/>
    <mergeCell ref="Q318:S318"/>
    <mergeCell ref="T318:T319"/>
    <mergeCell ref="I319:J319"/>
    <mergeCell ref="A321:C322"/>
    <mergeCell ref="D321:D322"/>
    <mergeCell ref="E321:E322"/>
    <mergeCell ref="F321:G322"/>
    <mergeCell ref="H321:H322"/>
    <mergeCell ref="I321:J321"/>
    <mergeCell ref="K321:K322"/>
    <mergeCell ref="K318:K319"/>
    <mergeCell ref="L318:L319"/>
    <mergeCell ref="M318:M319"/>
    <mergeCell ref="N318:N319"/>
    <mergeCell ref="O318:O319"/>
    <mergeCell ref="P318:P319"/>
    <mergeCell ref="A318:C319"/>
    <mergeCell ref="D318:D319"/>
    <mergeCell ref="E318:E319"/>
    <mergeCell ref="F318:G319"/>
    <mergeCell ref="H318:H319"/>
    <mergeCell ref="I318:J318"/>
    <mergeCell ref="T321:T322"/>
    <mergeCell ref="I322:J322"/>
    <mergeCell ref="J297:K297"/>
    <mergeCell ref="J298:K298"/>
    <mergeCell ref="O302:P302"/>
    <mergeCell ref="O303:P303"/>
    <mergeCell ref="O304:P304"/>
    <mergeCell ref="A306:V307"/>
    <mergeCell ref="J289:K289"/>
    <mergeCell ref="P289:Q289"/>
    <mergeCell ref="P292:Q292"/>
    <mergeCell ref="P293:Q293"/>
    <mergeCell ref="P294:Q294"/>
    <mergeCell ref="J296:K296"/>
    <mergeCell ref="AB280:AC280"/>
    <mergeCell ref="L281:M281"/>
    <mergeCell ref="J285:K285"/>
    <mergeCell ref="J286:K286"/>
    <mergeCell ref="J287:K287"/>
    <mergeCell ref="J288:K288"/>
    <mergeCell ref="H277:I277"/>
    <mergeCell ref="J277:K277"/>
    <mergeCell ref="L277:M277"/>
    <mergeCell ref="L278:M278"/>
    <mergeCell ref="L279:M279"/>
    <mergeCell ref="L280:M280"/>
    <mergeCell ref="T274:U274"/>
    <mergeCell ref="B275:C275"/>
    <mergeCell ref="T275:U275"/>
    <mergeCell ref="H276:I276"/>
    <mergeCell ref="J276:K276"/>
    <mergeCell ref="L276:M276"/>
    <mergeCell ref="T276:U276"/>
    <mergeCell ref="Q239:R239"/>
    <mergeCell ref="Q240:R240"/>
    <mergeCell ref="Q241:R241"/>
    <mergeCell ref="E244:F244"/>
    <mergeCell ref="H244:I244"/>
    <mergeCell ref="B274:C274"/>
    <mergeCell ref="D274:E275"/>
    <mergeCell ref="H274:M274"/>
    <mergeCell ref="Q220:S220"/>
    <mergeCell ref="T220:T221"/>
    <mergeCell ref="I221:J221"/>
    <mergeCell ref="D223:E223"/>
    <mergeCell ref="I216:J216"/>
    <mergeCell ref="D218:E218"/>
    <mergeCell ref="M234:N234"/>
    <mergeCell ref="Q234:R234"/>
    <mergeCell ref="K220:K221"/>
    <mergeCell ref="L220:L221"/>
    <mergeCell ref="M220:M221"/>
    <mergeCell ref="N220:N221"/>
    <mergeCell ref="O220:O221"/>
    <mergeCell ref="P220:P221"/>
    <mergeCell ref="A220:C221"/>
    <mergeCell ref="D220:D221"/>
    <mergeCell ref="E220:E221"/>
    <mergeCell ref="F220:G221"/>
    <mergeCell ref="H220:H221"/>
    <mergeCell ref="I220:J220"/>
    <mergeCell ref="K215:K216"/>
    <mergeCell ref="Q210:S210"/>
    <mergeCell ref="T210:T211"/>
    <mergeCell ref="I211:J211"/>
    <mergeCell ref="D213:E213"/>
    <mergeCell ref="A215:C216"/>
    <mergeCell ref="D215:D216"/>
    <mergeCell ref="E215:E216"/>
    <mergeCell ref="F215:G216"/>
    <mergeCell ref="H215:H216"/>
    <mergeCell ref="I215:J215"/>
    <mergeCell ref="K210:K211"/>
    <mergeCell ref="L210:L211"/>
    <mergeCell ref="M210:M211"/>
    <mergeCell ref="N210:N211"/>
    <mergeCell ref="O210:O211"/>
    <mergeCell ref="P210:P211"/>
    <mergeCell ref="A210:C211"/>
    <mergeCell ref="D210:D211"/>
    <mergeCell ref="E210:E211"/>
    <mergeCell ref="F210:G211"/>
    <mergeCell ref="H210:H211"/>
    <mergeCell ref="I210:J210"/>
    <mergeCell ref="Q215:S215"/>
    <mergeCell ref="T215:T216"/>
    <mergeCell ref="R202:S202"/>
    <mergeCell ref="R204:S204"/>
    <mergeCell ref="R205:S205"/>
    <mergeCell ref="R206:S206"/>
    <mergeCell ref="R207:S207"/>
    <mergeCell ref="R208:S208"/>
    <mergeCell ref="L215:L216"/>
    <mergeCell ref="M215:M216"/>
    <mergeCell ref="N215:N216"/>
    <mergeCell ref="O215:O216"/>
    <mergeCell ref="P215:P216"/>
    <mergeCell ref="M195:N195"/>
    <mergeCell ref="R198:S198"/>
    <mergeCell ref="R199:S199"/>
    <mergeCell ref="R200:S200"/>
    <mergeCell ref="L192:L193"/>
    <mergeCell ref="M192:M193"/>
    <mergeCell ref="N192:N193"/>
    <mergeCell ref="O192:O193"/>
    <mergeCell ref="P192:P193"/>
    <mergeCell ref="Q192:S192"/>
    <mergeCell ref="A189:V190"/>
    <mergeCell ref="A192:C193"/>
    <mergeCell ref="D192:D193"/>
    <mergeCell ref="E192:E193"/>
    <mergeCell ref="F192:G193"/>
    <mergeCell ref="H192:H193"/>
    <mergeCell ref="I192:J192"/>
    <mergeCell ref="K192:K193"/>
    <mergeCell ref="L186:L187"/>
    <mergeCell ref="M186:M187"/>
    <mergeCell ref="N186:N187"/>
    <mergeCell ref="O186:O187"/>
    <mergeCell ref="P186:P187"/>
    <mergeCell ref="Q186:S186"/>
    <mergeCell ref="T192:T193"/>
    <mergeCell ref="I193:J193"/>
    <mergeCell ref="Q183:S183"/>
    <mergeCell ref="T183:T184"/>
    <mergeCell ref="I184:J184"/>
    <mergeCell ref="A186:C187"/>
    <mergeCell ref="D186:D187"/>
    <mergeCell ref="E186:E187"/>
    <mergeCell ref="F186:G187"/>
    <mergeCell ref="H186:H187"/>
    <mergeCell ref="I186:J186"/>
    <mergeCell ref="K186:K187"/>
    <mergeCell ref="K183:K184"/>
    <mergeCell ref="L183:L184"/>
    <mergeCell ref="M183:M184"/>
    <mergeCell ref="N183:N184"/>
    <mergeCell ref="O183:O184"/>
    <mergeCell ref="P183:P184"/>
    <mergeCell ref="A183:C184"/>
    <mergeCell ref="D183:D184"/>
    <mergeCell ref="E183:E184"/>
    <mergeCell ref="F183:G184"/>
    <mergeCell ref="H183:H184"/>
    <mergeCell ref="I183:J183"/>
    <mergeCell ref="T186:T187"/>
    <mergeCell ref="I187:J187"/>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T144:U144"/>
    <mergeCell ref="H145:I145"/>
    <mergeCell ref="J145:K145"/>
    <mergeCell ref="L145:M145"/>
    <mergeCell ref="T145:U145"/>
    <mergeCell ref="Q107:R107"/>
    <mergeCell ref="Q108:R108"/>
    <mergeCell ref="Q109:R109"/>
    <mergeCell ref="Q97:S97"/>
    <mergeCell ref="T97:T98"/>
    <mergeCell ref="I98:J98"/>
    <mergeCell ref="D100:E100"/>
    <mergeCell ref="M102:N102"/>
    <mergeCell ref="Q102:R102"/>
    <mergeCell ref="K97:K98"/>
    <mergeCell ref="L97:L98"/>
    <mergeCell ref="M97:M98"/>
    <mergeCell ref="N97:N98"/>
    <mergeCell ref="O97:O98"/>
    <mergeCell ref="P97:P98"/>
    <mergeCell ref="L79:L80"/>
    <mergeCell ref="M79:M80"/>
    <mergeCell ref="N79:N80"/>
    <mergeCell ref="O79:O80"/>
    <mergeCell ref="P79:P80"/>
    <mergeCell ref="E112:F112"/>
    <mergeCell ref="H112:I112"/>
    <mergeCell ref="B143:C143"/>
    <mergeCell ref="D143:E143"/>
    <mergeCell ref="H143:N143"/>
    <mergeCell ref="I80:J80"/>
    <mergeCell ref="D82:E82"/>
    <mergeCell ref="A97:C98"/>
    <mergeCell ref="D97:D98"/>
    <mergeCell ref="E97:E98"/>
    <mergeCell ref="F97:G98"/>
    <mergeCell ref="H97:H98"/>
    <mergeCell ref="I97:J97"/>
    <mergeCell ref="K79:K80"/>
    <mergeCell ref="Q74:S74"/>
    <mergeCell ref="T74:T75"/>
    <mergeCell ref="I75:J75"/>
    <mergeCell ref="D77:E77"/>
    <mergeCell ref="A79:C80"/>
    <mergeCell ref="D79:D80"/>
    <mergeCell ref="E79:E80"/>
    <mergeCell ref="F79:G80"/>
    <mergeCell ref="H79:H80"/>
    <mergeCell ref="I79:J79"/>
    <mergeCell ref="K74:K75"/>
    <mergeCell ref="L74:L75"/>
    <mergeCell ref="M74:M75"/>
    <mergeCell ref="N74:N75"/>
    <mergeCell ref="O74:O75"/>
    <mergeCell ref="P74:P75"/>
    <mergeCell ref="A74:C75"/>
    <mergeCell ref="D74:D75"/>
    <mergeCell ref="E74:E75"/>
    <mergeCell ref="F74:G75"/>
    <mergeCell ref="H74:H75"/>
    <mergeCell ref="I74:J74"/>
    <mergeCell ref="Q79:S79"/>
    <mergeCell ref="T79:T80"/>
    <mergeCell ref="R66:S66"/>
    <mergeCell ref="R68:S68"/>
    <mergeCell ref="R69:S69"/>
    <mergeCell ref="R70:S70"/>
    <mergeCell ref="R71:S71"/>
    <mergeCell ref="R72:S72"/>
    <mergeCell ref="T56:T57"/>
    <mergeCell ref="I57:J57"/>
    <mergeCell ref="M59:N59"/>
    <mergeCell ref="R62:S62"/>
    <mergeCell ref="R63:S63"/>
    <mergeCell ref="R64:S64"/>
    <mergeCell ref="L56:L57"/>
    <mergeCell ref="M56:M57"/>
    <mergeCell ref="N56:N57"/>
    <mergeCell ref="O56:O57"/>
    <mergeCell ref="P56:P57"/>
    <mergeCell ref="Q56:S56"/>
    <mergeCell ref="T50:T51"/>
    <mergeCell ref="I51:J51"/>
    <mergeCell ref="A53:V54"/>
    <mergeCell ref="A56:C57"/>
    <mergeCell ref="D56:D57"/>
    <mergeCell ref="E56:E57"/>
    <mergeCell ref="F56:G57"/>
    <mergeCell ref="H56:H57"/>
    <mergeCell ref="I56:J56"/>
    <mergeCell ref="K56:K57"/>
    <mergeCell ref="L50:L51"/>
    <mergeCell ref="M50:M51"/>
    <mergeCell ref="N50:N51"/>
    <mergeCell ref="O50:O51"/>
    <mergeCell ref="P50:P51"/>
    <mergeCell ref="Q50:S50"/>
    <mergeCell ref="A50:C51"/>
    <mergeCell ref="D50:D51"/>
    <mergeCell ref="E50:E51"/>
    <mergeCell ref="F50:G51"/>
    <mergeCell ref="H50:H51"/>
    <mergeCell ref="I50:J50"/>
    <mergeCell ref="K50:K51"/>
    <mergeCell ref="K47:K48"/>
    <mergeCell ref="L47:L48"/>
    <mergeCell ref="R35:V35"/>
    <mergeCell ref="O36:P36"/>
    <mergeCell ref="O37:P37"/>
    <mergeCell ref="A39:V40"/>
    <mergeCell ref="A47:C48"/>
    <mergeCell ref="D47:D48"/>
    <mergeCell ref="E47:E48"/>
    <mergeCell ref="F47:G48"/>
    <mergeCell ref="H47:H48"/>
    <mergeCell ref="I47:J47"/>
    <mergeCell ref="Q47:S47"/>
    <mergeCell ref="T47:T48"/>
    <mergeCell ref="I48:J48"/>
    <mergeCell ref="M47:M48"/>
    <mergeCell ref="N47:N48"/>
    <mergeCell ref="O47:O48"/>
    <mergeCell ref="P47:P48"/>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3:H138 H245 H373 H545:H565 H677:H697 H809:H829">
    <cfRule type="cellIs" dxfId="134" priority="1" stopIfTrue="1" operator="equal">
      <formula>"Under Dimentioned"</formula>
    </cfRule>
  </conditionalFormatting>
  <dataValidations count="2">
    <dataValidation type="list" allowBlank="1" showInputMessage="1" showErrorMessage="1" sqref="D710 IZ710 SV710 ACR710 AMN710 AWJ710 BGF710 BQB710 BZX710 CJT710 CTP710 DDL710 DNH710 DXD710 EGZ710 EQV710 FAR710 FKN710 FUJ710 GEF710 GOB710 GXX710 HHT710 HRP710 IBL710 ILH710 IVD710 JEZ710 JOV710 JYR710 KIN710 KSJ710 LCF710 LMB710 LVX710 MFT710 MPP710 MZL710 NJH710 NTD710 OCZ710 OMV710 OWR710 PGN710 PQJ710 QAF710 QKB710 QTX710 RDT710 RNP710 RXL710 SHH710 SRD710 TAZ710 TKV710 TUR710 UEN710 UOJ710 UYF710 VIB710 VRX710 WBT710 WLP710 WVL710 D66246 IZ66246 SV66246 ACR66246 AMN66246 AWJ66246 BGF66246 BQB66246 BZX66246 CJT66246 CTP66246 DDL66246 DNH66246 DXD66246 EGZ66246 EQV66246 FAR66246 FKN66246 FUJ66246 GEF66246 GOB66246 GXX66246 HHT66246 HRP66246 IBL66246 ILH66246 IVD66246 JEZ66246 JOV66246 JYR66246 KIN66246 KSJ66246 LCF66246 LMB66246 LVX66246 MFT66246 MPP66246 MZL66246 NJH66246 NTD66246 OCZ66246 OMV66246 OWR66246 PGN66246 PQJ66246 QAF66246 QKB66246 QTX66246 RDT66246 RNP66246 RXL66246 SHH66246 SRD66246 TAZ66246 TKV66246 TUR66246 UEN66246 UOJ66246 UYF66246 VIB66246 VRX66246 WBT66246 WLP66246 WVL66246 D131782 IZ131782 SV131782 ACR131782 AMN131782 AWJ131782 BGF131782 BQB131782 BZX131782 CJT131782 CTP131782 DDL131782 DNH131782 DXD131782 EGZ131782 EQV131782 FAR131782 FKN131782 FUJ131782 GEF131782 GOB131782 GXX131782 HHT131782 HRP131782 IBL131782 ILH131782 IVD131782 JEZ131782 JOV131782 JYR131782 KIN131782 KSJ131782 LCF131782 LMB131782 LVX131782 MFT131782 MPP131782 MZL131782 NJH131782 NTD131782 OCZ131782 OMV131782 OWR131782 PGN131782 PQJ131782 QAF131782 QKB131782 QTX131782 RDT131782 RNP131782 RXL131782 SHH131782 SRD131782 TAZ131782 TKV131782 TUR131782 UEN131782 UOJ131782 UYF131782 VIB131782 VRX131782 WBT131782 WLP131782 WVL131782 D197318 IZ197318 SV197318 ACR197318 AMN197318 AWJ197318 BGF197318 BQB197318 BZX197318 CJT197318 CTP197318 DDL197318 DNH197318 DXD197318 EGZ197318 EQV197318 FAR197318 FKN197318 FUJ197318 GEF197318 GOB197318 GXX197318 HHT197318 HRP197318 IBL197318 ILH197318 IVD197318 JEZ197318 JOV197318 JYR197318 KIN197318 KSJ197318 LCF197318 LMB197318 LVX197318 MFT197318 MPP197318 MZL197318 NJH197318 NTD197318 OCZ197318 OMV197318 OWR197318 PGN197318 PQJ197318 QAF197318 QKB197318 QTX197318 RDT197318 RNP197318 RXL197318 SHH197318 SRD197318 TAZ197318 TKV197318 TUR197318 UEN197318 UOJ197318 UYF197318 VIB197318 VRX197318 WBT197318 WLP197318 WVL197318 D262854 IZ262854 SV262854 ACR262854 AMN262854 AWJ262854 BGF262854 BQB262854 BZX262854 CJT262854 CTP262854 DDL262854 DNH262854 DXD262854 EGZ262854 EQV262854 FAR262854 FKN262854 FUJ262854 GEF262854 GOB262854 GXX262854 HHT262854 HRP262854 IBL262854 ILH262854 IVD262854 JEZ262854 JOV262854 JYR262854 KIN262854 KSJ262854 LCF262854 LMB262854 LVX262854 MFT262854 MPP262854 MZL262854 NJH262854 NTD262854 OCZ262854 OMV262854 OWR262854 PGN262854 PQJ262854 QAF262854 QKB262854 QTX262854 RDT262854 RNP262854 RXL262854 SHH262854 SRD262854 TAZ262854 TKV262854 TUR262854 UEN262854 UOJ262854 UYF262854 VIB262854 VRX262854 WBT262854 WLP262854 WVL262854 D328390 IZ328390 SV328390 ACR328390 AMN328390 AWJ328390 BGF328390 BQB328390 BZX328390 CJT328390 CTP328390 DDL328390 DNH328390 DXD328390 EGZ328390 EQV328390 FAR328390 FKN328390 FUJ328390 GEF328390 GOB328390 GXX328390 HHT328390 HRP328390 IBL328390 ILH328390 IVD328390 JEZ328390 JOV328390 JYR328390 KIN328390 KSJ328390 LCF328390 LMB328390 LVX328390 MFT328390 MPP328390 MZL328390 NJH328390 NTD328390 OCZ328390 OMV328390 OWR328390 PGN328390 PQJ328390 QAF328390 QKB328390 QTX328390 RDT328390 RNP328390 RXL328390 SHH328390 SRD328390 TAZ328390 TKV328390 TUR328390 UEN328390 UOJ328390 UYF328390 VIB328390 VRX328390 WBT328390 WLP328390 WVL328390 D393926 IZ393926 SV393926 ACR393926 AMN393926 AWJ393926 BGF393926 BQB393926 BZX393926 CJT393926 CTP393926 DDL393926 DNH393926 DXD393926 EGZ393926 EQV393926 FAR393926 FKN393926 FUJ393926 GEF393926 GOB393926 GXX393926 HHT393926 HRP393926 IBL393926 ILH393926 IVD393926 JEZ393926 JOV393926 JYR393926 KIN393926 KSJ393926 LCF393926 LMB393926 LVX393926 MFT393926 MPP393926 MZL393926 NJH393926 NTD393926 OCZ393926 OMV393926 OWR393926 PGN393926 PQJ393926 QAF393926 QKB393926 QTX393926 RDT393926 RNP393926 RXL393926 SHH393926 SRD393926 TAZ393926 TKV393926 TUR393926 UEN393926 UOJ393926 UYF393926 VIB393926 VRX393926 WBT393926 WLP393926 WVL393926 D459462 IZ459462 SV459462 ACR459462 AMN459462 AWJ459462 BGF459462 BQB459462 BZX459462 CJT459462 CTP459462 DDL459462 DNH459462 DXD459462 EGZ459462 EQV459462 FAR459462 FKN459462 FUJ459462 GEF459462 GOB459462 GXX459462 HHT459462 HRP459462 IBL459462 ILH459462 IVD459462 JEZ459462 JOV459462 JYR459462 KIN459462 KSJ459462 LCF459462 LMB459462 LVX459462 MFT459462 MPP459462 MZL459462 NJH459462 NTD459462 OCZ459462 OMV459462 OWR459462 PGN459462 PQJ459462 QAF459462 QKB459462 QTX459462 RDT459462 RNP459462 RXL459462 SHH459462 SRD459462 TAZ459462 TKV459462 TUR459462 UEN459462 UOJ459462 UYF459462 VIB459462 VRX459462 WBT459462 WLP459462 WVL459462 D524998 IZ524998 SV524998 ACR524998 AMN524998 AWJ524998 BGF524998 BQB524998 BZX524998 CJT524998 CTP524998 DDL524998 DNH524998 DXD524998 EGZ524998 EQV524998 FAR524998 FKN524998 FUJ524998 GEF524998 GOB524998 GXX524998 HHT524998 HRP524998 IBL524998 ILH524998 IVD524998 JEZ524998 JOV524998 JYR524998 KIN524998 KSJ524998 LCF524998 LMB524998 LVX524998 MFT524998 MPP524998 MZL524998 NJH524998 NTD524998 OCZ524998 OMV524998 OWR524998 PGN524998 PQJ524998 QAF524998 QKB524998 QTX524998 RDT524998 RNP524998 RXL524998 SHH524998 SRD524998 TAZ524998 TKV524998 TUR524998 UEN524998 UOJ524998 UYF524998 VIB524998 VRX524998 WBT524998 WLP524998 WVL524998 D590534 IZ590534 SV590534 ACR590534 AMN590534 AWJ590534 BGF590534 BQB590534 BZX590534 CJT590534 CTP590534 DDL590534 DNH590534 DXD590534 EGZ590534 EQV590534 FAR590534 FKN590534 FUJ590534 GEF590534 GOB590534 GXX590534 HHT590534 HRP590534 IBL590534 ILH590534 IVD590534 JEZ590534 JOV590534 JYR590534 KIN590534 KSJ590534 LCF590534 LMB590534 LVX590534 MFT590534 MPP590534 MZL590534 NJH590534 NTD590534 OCZ590534 OMV590534 OWR590534 PGN590534 PQJ590534 QAF590534 QKB590534 QTX590534 RDT590534 RNP590534 RXL590534 SHH590534 SRD590534 TAZ590534 TKV590534 TUR590534 UEN590534 UOJ590534 UYF590534 VIB590534 VRX590534 WBT590534 WLP590534 WVL590534 D656070 IZ656070 SV656070 ACR656070 AMN656070 AWJ656070 BGF656070 BQB656070 BZX656070 CJT656070 CTP656070 DDL656070 DNH656070 DXD656070 EGZ656070 EQV656070 FAR656070 FKN656070 FUJ656070 GEF656070 GOB656070 GXX656070 HHT656070 HRP656070 IBL656070 ILH656070 IVD656070 JEZ656070 JOV656070 JYR656070 KIN656070 KSJ656070 LCF656070 LMB656070 LVX656070 MFT656070 MPP656070 MZL656070 NJH656070 NTD656070 OCZ656070 OMV656070 OWR656070 PGN656070 PQJ656070 QAF656070 QKB656070 QTX656070 RDT656070 RNP656070 RXL656070 SHH656070 SRD656070 TAZ656070 TKV656070 TUR656070 UEN656070 UOJ656070 UYF656070 VIB656070 VRX656070 WBT656070 WLP656070 WVL656070 D721606 IZ721606 SV721606 ACR721606 AMN721606 AWJ721606 BGF721606 BQB721606 BZX721606 CJT721606 CTP721606 DDL721606 DNH721606 DXD721606 EGZ721606 EQV721606 FAR721606 FKN721606 FUJ721606 GEF721606 GOB721606 GXX721606 HHT721606 HRP721606 IBL721606 ILH721606 IVD721606 JEZ721606 JOV721606 JYR721606 KIN721606 KSJ721606 LCF721606 LMB721606 LVX721606 MFT721606 MPP721606 MZL721606 NJH721606 NTD721606 OCZ721606 OMV721606 OWR721606 PGN721606 PQJ721606 QAF721606 QKB721606 QTX721606 RDT721606 RNP721606 RXL721606 SHH721606 SRD721606 TAZ721606 TKV721606 TUR721606 UEN721606 UOJ721606 UYF721606 VIB721606 VRX721606 WBT721606 WLP721606 WVL721606 D787142 IZ787142 SV787142 ACR787142 AMN787142 AWJ787142 BGF787142 BQB787142 BZX787142 CJT787142 CTP787142 DDL787142 DNH787142 DXD787142 EGZ787142 EQV787142 FAR787142 FKN787142 FUJ787142 GEF787142 GOB787142 GXX787142 HHT787142 HRP787142 IBL787142 ILH787142 IVD787142 JEZ787142 JOV787142 JYR787142 KIN787142 KSJ787142 LCF787142 LMB787142 LVX787142 MFT787142 MPP787142 MZL787142 NJH787142 NTD787142 OCZ787142 OMV787142 OWR787142 PGN787142 PQJ787142 QAF787142 QKB787142 QTX787142 RDT787142 RNP787142 RXL787142 SHH787142 SRD787142 TAZ787142 TKV787142 TUR787142 UEN787142 UOJ787142 UYF787142 VIB787142 VRX787142 WBT787142 WLP787142 WVL787142 D852678 IZ852678 SV852678 ACR852678 AMN852678 AWJ852678 BGF852678 BQB852678 BZX852678 CJT852678 CTP852678 DDL852678 DNH852678 DXD852678 EGZ852678 EQV852678 FAR852678 FKN852678 FUJ852678 GEF852678 GOB852678 GXX852678 HHT852678 HRP852678 IBL852678 ILH852678 IVD852678 JEZ852678 JOV852678 JYR852678 KIN852678 KSJ852678 LCF852678 LMB852678 LVX852678 MFT852678 MPP852678 MZL852678 NJH852678 NTD852678 OCZ852678 OMV852678 OWR852678 PGN852678 PQJ852678 QAF852678 QKB852678 QTX852678 RDT852678 RNP852678 RXL852678 SHH852678 SRD852678 TAZ852678 TKV852678 TUR852678 UEN852678 UOJ852678 UYF852678 VIB852678 VRX852678 WBT852678 WLP852678 WVL852678 D918214 IZ918214 SV918214 ACR918214 AMN918214 AWJ918214 BGF918214 BQB918214 BZX918214 CJT918214 CTP918214 DDL918214 DNH918214 DXD918214 EGZ918214 EQV918214 FAR918214 FKN918214 FUJ918214 GEF918214 GOB918214 GXX918214 HHT918214 HRP918214 IBL918214 ILH918214 IVD918214 JEZ918214 JOV918214 JYR918214 KIN918214 KSJ918214 LCF918214 LMB918214 LVX918214 MFT918214 MPP918214 MZL918214 NJH918214 NTD918214 OCZ918214 OMV918214 OWR918214 PGN918214 PQJ918214 QAF918214 QKB918214 QTX918214 RDT918214 RNP918214 RXL918214 SHH918214 SRD918214 TAZ918214 TKV918214 TUR918214 UEN918214 UOJ918214 UYF918214 VIB918214 VRX918214 WBT918214 WLP918214 WVL918214 D983750 IZ983750 SV983750 ACR983750 AMN983750 AWJ983750 BGF983750 BQB983750 BZX983750 CJT983750 CTP983750 DDL983750 DNH983750 DXD983750 EGZ983750 EQV983750 FAR983750 FKN983750 FUJ983750 GEF983750 GOB983750 GXX983750 HHT983750 HRP983750 IBL983750 ILH983750 IVD983750 JEZ983750 JOV983750 JYR983750 KIN983750 KSJ983750 LCF983750 LMB983750 LVX983750 MFT983750 MPP983750 MZL983750 NJH983750 NTD983750 OCZ983750 OMV983750 OWR983750 PGN983750 PQJ983750 QAF983750 QKB983750 QTX983750 RDT983750 RNP983750 RXL983750 SHH983750 SRD983750 TAZ983750 TKV983750 TUR983750 UEN983750 UOJ983750 UYF983750 VIB983750 VRX983750 WBT983750 WLP983750 WVL983750 D578 IZ578 SV578 ACR578 AMN578 AWJ578 BGF578 BQB578 BZX578 CJT578 CTP578 DDL578 DNH578 DXD578 EGZ578 EQV578 FAR578 FKN578 FUJ578 GEF578 GOB578 GXX578 HHT578 HRP578 IBL578 ILH578 IVD578 JEZ578 JOV578 JYR578 KIN578 KSJ578 LCF578 LMB578 LVX578 MFT578 MPP578 MZL578 NJH578 NTD578 OCZ578 OMV578 OWR578 PGN578 PQJ578 QAF578 QKB578 QTX578 RDT578 RNP578 RXL578 SHH578 SRD578 TAZ578 TKV578 TUR578 UEN578 UOJ578 UYF578 VIB578 VRX578 WBT578 WLP578 WVL578 D66114 IZ66114 SV66114 ACR66114 AMN66114 AWJ66114 BGF66114 BQB66114 BZX66114 CJT66114 CTP66114 DDL66114 DNH66114 DXD66114 EGZ66114 EQV66114 FAR66114 FKN66114 FUJ66114 GEF66114 GOB66114 GXX66114 HHT66114 HRP66114 IBL66114 ILH66114 IVD66114 JEZ66114 JOV66114 JYR66114 KIN66114 KSJ66114 LCF66114 LMB66114 LVX66114 MFT66114 MPP66114 MZL66114 NJH66114 NTD66114 OCZ66114 OMV66114 OWR66114 PGN66114 PQJ66114 QAF66114 QKB66114 QTX66114 RDT66114 RNP66114 RXL66114 SHH66114 SRD66114 TAZ66114 TKV66114 TUR66114 UEN66114 UOJ66114 UYF66114 VIB66114 VRX66114 WBT66114 WLP66114 WVL66114 D131650 IZ131650 SV131650 ACR131650 AMN131650 AWJ131650 BGF131650 BQB131650 BZX131650 CJT131650 CTP131650 DDL131650 DNH131650 DXD131650 EGZ131650 EQV131650 FAR131650 FKN131650 FUJ131650 GEF131650 GOB131650 GXX131650 HHT131650 HRP131650 IBL131650 ILH131650 IVD131650 JEZ131650 JOV131650 JYR131650 KIN131650 KSJ131650 LCF131650 LMB131650 LVX131650 MFT131650 MPP131650 MZL131650 NJH131650 NTD131650 OCZ131650 OMV131650 OWR131650 PGN131650 PQJ131650 QAF131650 QKB131650 QTX131650 RDT131650 RNP131650 RXL131650 SHH131650 SRD131650 TAZ131650 TKV131650 TUR131650 UEN131650 UOJ131650 UYF131650 VIB131650 VRX131650 WBT131650 WLP131650 WVL131650 D197186 IZ197186 SV197186 ACR197186 AMN197186 AWJ197186 BGF197186 BQB197186 BZX197186 CJT197186 CTP197186 DDL197186 DNH197186 DXD197186 EGZ197186 EQV197186 FAR197186 FKN197186 FUJ197186 GEF197186 GOB197186 GXX197186 HHT197186 HRP197186 IBL197186 ILH197186 IVD197186 JEZ197186 JOV197186 JYR197186 KIN197186 KSJ197186 LCF197186 LMB197186 LVX197186 MFT197186 MPP197186 MZL197186 NJH197186 NTD197186 OCZ197186 OMV197186 OWR197186 PGN197186 PQJ197186 QAF197186 QKB197186 QTX197186 RDT197186 RNP197186 RXL197186 SHH197186 SRD197186 TAZ197186 TKV197186 TUR197186 UEN197186 UOJ197186 UYF197186 VIB197186 VRX197186 WBT197186 WLP197186 WVL197186 D262722 IZ262722 SV262722 ACR262722 AMN262722 AWJ262722 BGF262722 BQB262722 BZX262722 CJT262722 CTP262722 DDL262722 DNH262722 DXD262722 EGZ262722 EQV262722 FAR262722 FKN262722 FUJ262722 GEF262722 GOB262722 GXX262722 HHT262722 HRP262722 IBL262722 ILH262722 IVD262722 JEZ262722 JOV262722 JYR262722 KIN262722 KSJ262722 LCF262722 LMB262722 LVX262722 MFT262722 MPP262722 MZL262722 NJH262722 NTD262722 OCZ262722 OMV262722 OWR262722 PGN262722 PQJ262722 QAF262722 QKB262722 QTX262722 RDT262722 RNP262722 RXL262722 SHH262722 SRD262722 TAZ262722 TKV262722 TUR262722 UEN262722 UOJ262722 UYF262722 VIB262722 VRX262722 WBT262722 WLP262722 WVL262722 D328258 IZ328258 SV328258 ACR328258 AMN328258 AWJ328258 BGF328258 BQB328258 BZX328258 CJT328258 CTP328258 DDL328258 DNH328258 DXD328258 EGZ328258 EQV328258 FAR328258 FKN328258 FUJ328258 GEF328258 GOB328258 GXX328258 HHT328258 HRP328258 IBL328258 ILH328258 IVD328258 JEZ328258 JOV328258 JYR328258 KIN328258 KSJ328258 LCF328258 LMB328258 LVX328258 MFT328258 MPP328258 MZL328258 NJH328258 NTD328258 OCZ328258 OMV328258 OWR328258 PGN328258 PQJ328258 QAF328258 QKB328258 QTX328258 RDT328258 RNP328258 RXL328258 SHH328258 SRD328258 TAZ328258 TKV328258 TUR328258 UEN328258 UOJ328258 UYF328258 VIB328258 VRX328258 WBT328258 WLP328258 WVL328258 D393794 IZ393794 SV393794 ACR393794 AMN393794 AWJ393794 BGF393794 BQB393794 BZX393794 CJT393794 CTP393794 DDL393794 DNH393794 DXD393794 EGZ393794 EQV393794 FAR393794 FKN393794 FUJ393794 GEF393794 GOB393794 GXX393794 HHT393794 HRP393794 IBL393794 ILH393794 IVD393794 JEZ393794 JOV393794 JYR393794 KIN393794 KSJ393794 LCF393794 LMB393794 LVX393794 MFT393794 MPP393794 MZL393794 NJH393794 NTD393794 OCZ393794 OMV393794 OWR393794 PGN393794 PQJ393794 QAF393794 QKB393794 QTX393794 RDT393794 RNP393794 RXL393794 SHH393794 SRD393794 TAZ393794 TKV393794 TUR393794 UEN393794 UOJ393794 UYF393794 VIB393794 VRX393794 WBT393794 WLP393794 WVL393794 D459330 IZ459330 SV459330 ACR459330 AMN459330 AWJ459330 BGF459330 BQB459330 BZX459330 CJT459330 CTP459330 DDL459330 DNH459330 DXD459330 EGZ459330 EQV459330 FAR459330 FKN459330 FUJ459330 GEF459330 GOB459330 GXX459330 HHT459330 HRP459330 IBL459330 ILH459330 IVD459330 JEZ459330 JOV459330 JYR459330 KIN459330 KSJ459330 LCF459330 LMB459330 LVX459330 MFT459330 MPP459330 MZL459330 NJH459330 NTD459330 OCZ459330 OMV459330 OWR459330 PGN459330 PQJ459330 QAF459330 QKB459330 QTX459330 RDT459330 RNP459330 RXL459330 SHH459330 SRD459330 TAZ459330 TKV459330 TUR459330 UEN459330 UOJ459330 UYF459330 VIB459330 VRX459330 WBT459330 WLP459330 WVL459330 D524866 IZ524866 SV524866 ACR524866 AMN524866 AWJ524866 BGF524866 BQB524866 BZX524866 CJT524866 CTP524866 DDL524866 DNH524866 DXD524866 EGZ524866 EQV524866 FAR524866 FKN524866 FUJ524866 GEF524866 GOB524866 GXX524866 HHT524866 HRP524866 IBL524866 ILH524866 IVD524866 JEZ524866 JOV524866 JYR524866 KIN524866 KSJ524866 LCF524866 LMB524866 LVX524866 MFT524866 MPP524866 MZL524866 NJH524866 NTD524866 OCZ524866 OMV524866 OWR524866 PGN524866 PQJ524866 QAF524866 QKB524866 QTX524866 RDT524866 RNP524866 RXL524866 SHH524866 SRD524866 TAZ524866 TKV524866 TUR524866 UEN524866 UOJ524866 UYF524866 VIB524866 VRX524866 WBT524866 WLP524866 WVL524866 D590402 IZ590402 SV590402 ACR590402 AMN590402 AWJ590402 BGF590402 BQB590402 BZX590402 CJT590402 CTP590402 DDL590402 DNH590402 DXD590402 EGZ590402 EQV590402 FAR590402 FKN590402 FUJ590402 GEF590402 GOB590402 GXX590402 HHT590402 HRP590402 IBL590402 ILH590402 IVD590402 JEZ590402 JOV590402 JYR590402 KIN590402 KSJ590402 LCF590402 LMB590402 LVX590402 MFT590402 MPP590402 MZL590402 NJH590402 NTD590402 OCZ590402 OMV590402 OWR590402 PGN590402 PQJ590402 QAF590402 QKB590402 QTX590402 RDT590402 RNP590402 RXL590402 SHH590402 SRD590402 TAZ590402 TKV590402 TUR590402 UEN590402 UOJ590402 UYF590402 VIB590402 VRX590402 WBT590402 WLP590402 WVL590402 D655938 IZ655938 SV655938 ACR655938 AMN655938 AWJ655938 BGF655938 BQB655938 BZX655938 CJT655938 CTP655938 DDL655938 DNH655938 DXD655938 EGZ655938 EQV655938 FAR655938 FKN655938 FUJ655938 GEF655938 GOB655938 GXX655938 HHT655938 HRP655938 IBL655938 ILH655938 IVD655938 JEZ655938 JOV655938 JYR655938 KIN655938 KSJ655938 LCF655938 LMB655938 LVX655938 MFT655938 MPP655938 MZL655938 NJH655938 NTD655938 OCZ655938 OMV655938 OWR655938 PGN655938 PQJ655938 QAF655938 QKB655938 QTX655938 RDT655938 RNP655938 RXL655938 SHH655938 SRD655938 TAZ655938 TKV655938 TUR655938 UEN655938 UOJ655938 UYF655938 VIB655938 VRX655938 WBT655938 WLP655938 WVL655938 D721474 IZ721474 SV721474 ACR721474 AMN721474 AWJ721474 BGF721474 BQB721474 BZX721474 CJT721474 CTP721474 DDL721474 DNH721474 DXD721474 EGZ721474 EQV721474 FAR721474 FKN721474 FUJ721474 GEF721474 GOB721474 GXX721474 HHT721474 HRP721474 IBL721474 ILH721474 IVD721474 JEZ721474 JOV721474 JYR721474 KIN721474 KSJ721474 LCF721474 LMB721474 LVX721474 MFT721474 MPP721474 MZL721474 NJH721474 NTD721474 OCZ721474 OMV721474 OWR721474 PGN721474 PQJ721474 QAF721474 QKB721474 QTX721474 RDT721474 RNP721474 RXL721474 SHH721474 SRD721474 TAZ721474 TKV721474 TUR721474 UEN721474 UOJ721474 UYF721474 VIB721474 VRX721474 WBT721474 WLP721474 WVL721474 D787010 IZ787010 SV787010 ACR787010 AMN787010 AWJ787010 BGF787010 BQB787010 BZX787010 CJT787010 CTP787010 DDL787010 DNH787010 DXD787010 EGZ787010 EQV787010 FAR787010 FKN787010 FUJ787010 GEF787010 GOB787010 GXX787010 HHT787010 HRP787010 IBL787010 ILH787010 IVD787010 JEZ787010 JOV787010 JYR787010 KIN787010 KSJ787010 LCF787010 LMB787010 LVX787010 MFT787010 MPP787010 MZL787010 NJH787010 NTD787010 OCZ787010 OMV787010 OWR787010 PGN787010 PQJ787010 QAF787010 QKB787010 QTX787010 RDT787010 RNP787010 RXL787010 SHH787010 SRD787010 TAZ787010 TKV787010 TUR787010 UEN787010 UOJ787010 UYF787010 VIB787010 VRX787010 WBT787010 WLP787010 WVL787010 D852546 IZ852546 SV852546 ACR852546 AMN852546 AWJ852546 BGF852546 BQB852546 BZX852546 CJT852546 CTP852546 DDL852546 DNH852546 DXD852546 EGZ852546 EQV852546 FAR852546 FKN852546 FUJ852546 GEF852546 GOB852546 GXX852546 HHT852546 HRP852546 IBL852546 ILH852546 IVD852546 JEZ852546 JOV852546 JYR852546 KIN852546 KSJ852546 LCF852546 LMB852546 LVX852546 MFT852546 MPP852546 MZL852546 NJH852546 NTD852546 OCZ852546 OMV852546 OWR852546 PGN852546 PQJ852546 QAF852546 QKB852546 QTX852546 RDT852546 RNP852546 RXL852546 SHH852546 SRD852546 TAZ852546 TKV852546 TUR852546 UEN852546 UOJ852546 UYF852546 VIB852546 VRX852546 WBT852546 WLP852546 WVL852546 D918082 IZ918082 SV918082 ACR918082 AMN918082 AWJ918082 BGF918082 BQB918082 BZX918082 CJT918082 CTP918082 DDL918082 DNH918082 DXD918082 EGZ918082 EQV918082 FAR918082 FKN918082 FUJ918082 GEF918082 GOB918082 GXX918082 HHT918082 HRP918082 IBL918082 ILH918082 IVD918082 JEZ918082 JOV918082 JYR918082 KIN918082 KSJ918082 LCF918082 LMB918082 LVX918082 MFT918082 MPP918082 MZL918082 NJH918082 NTD918082 OCZ918082 OMV918082 OWR918082 PGN918082 PQJ918082 QAF918082 QKB918082 QTX918082 RDT918082 RNP918082 RXL918082 SHH918082 SRD918082 TAZ918082 TKV918082 TUR918082 UEN918082 UOJ918082 UYF918082 VIB918082 VRX918082 WBT918082 WLP918082 WVL918082 D983618 IZ983618 SV983618 ACR983618 AMN983618 AWJ983618 BGF983618 BQB983618 BZX983618 CJT983618 CTP983618 DDL983618 DNH983618 DXD983618 EGZ983618 EQV983618 FAR983618 FKN983618 FUJ983618 GEF983618 GOB983618 GXX983618 HHT983618 HRP983618 IBL983618 ILH983618 IVD983618 JEZ983618 JOV983618 JYR983618 KIN983618 KSJ983618 LCF983618 LMB983618 LVX983618 MFT983618 MPP983618 MZL983618 NJH983618 NTD983618 OCZ983618 OMV983618 OWR983618 PGN983618 PQJ983618 QAF983618 QKB983618 QTX983618 RDT983618 RNP983618 RXL983618 SHH983618 SRD983618 TAZ983618 TKV983618 TUR983618 UEN983618 UOJ983618 UYF983618 VIB983618 VRX983618 WBT983618 WLP983618 WVL983618 D274 IZ274 SV274 ACR274 AMN274 AWJ274 BGF274 BQB274 BZX274 CJT274 CTP274 DDL274 DNH274 DXD274 EGZ274 EQV274 FAR274 FKN274 FUJ274 GEF274 GOB274 GXX274 HHT274 HRP274 IBL274 ILH274 IVD274 JEZ274 JOV274 JYR274 KIN274 KSJ274 LCF274 LMB274 LVX274 MFT274 MPP274 MZL274 NJH274 NTD274 OCZ274 OMV274 OWR274 PGN274 PQJ274 QAF274 QKB274 QTX274 RDT274 RNP274 RXL274 SHH274 SRD274 TAZ274 TKV274 TUR274 UEN274 UOJ274 UYF274 VIB274 VRX274 WBT274 WLP274 WVL274 D65810 IZ65810 SV65810 ACR65810 AMN65810 AWJ65810 BGF65810 BQB65810 BZX65810 CJT65810 CTP65810 DDL65810 DNH65810 DXD65810 EGZ65810 EQV65810 FAR65810 FKN65810 FUJ65810 GEF65810 GOB65810 GXX65810 HHT65810 HRP65810 IBL65810 ILH65810 IVD65810 JEZ65810 JOV65810 JYR65810 KIN65810 KSJ65810 LCF65810 LMB65810 LVX65810 MFT65810 MPP65810 MZL65810 NJH65810 NTD65810 OCZ65810 OMV65810 OWR65810 PGN65810 PQJ65810 QAF65810 QKB65810 QTX65810 RDT65810 RNP65810 RXL65810 SHH65810 SRD65810 TAZ65810 TKV65810 TUR65810 UEN65810 UOJ65810 UYF65810 VIB65810 VRX65810 WBT65810 WLP65810 WVL65810 D131346 IZ131346 SV131346 ACR131346 AMN131346 AWJ131346 BGF131346 BQB131346 BZX131346 CJT131346 CTP131346 DDL131346 DNH131346 DXD131346 EGZ131346 EQV131346 FAR131346 FKN131346 FUJ131346 GEF131346 GOB131346 GXX131346 HHT131346 HRP131346 IBL131346 ILH131346 IVD131346 JEZ131346 JOV131346 JYR131346 KIN131346 KSJ131346 LCF131346 LMB131346 LVX131346 MFT131346 MPP131346 MZL131346 NJH131346 NTD131346 OCZ131346 OMV131346 OWR131346 PGN131346 PQJ131346 QAF131346 QKB131346 QTX131346 RDT131346 RNP131346 RXL131346 SHH131346 SRD131346 TAZ131346 TKV131346 TUR131346 UEN131346 UOJ131346 UYF131346 VIB131346 VRX131346 WBT131346 WLP131346 WVL131346 D196882 IZ196882 SV196882 ACR196882 AMN196882 AWJ196882 BGF196882 BQB196882 BZX196882 CJT196882 CTP196882 DDL196882 DNH196882 DXD196882 EGZ196882 EQV196882 FAR196882 FKN196882 FUJ196882 GEF196882 GOB196882 GXX196882 HHT196882 HRP196882 IBL196882 ILH196882 IVD196882 JEZ196882 JOV196882 JYR196882 KIN196882 KSJ196882 LCF196882 LMB196882 LVX196882 MFT196882 MPP196882 MZL196882 NJH196882 NTD196882 OCZ196882 OMV196882 OWR196882 PGN196882 PQJ196882 QAF196882 QKB196882 QTX196882 RDT196882 RNP196882 RXL196882 SHH196882 SRD196882 TAZ196882 TKV196882 TUR196882 UEN196882 UOJ196882 UYF196882 VIB196882 VRX196882 WBT196882 WLP196882 WVL196882 D262418 IZ262418 SV262418 ACR262418 AMN262418 AWJ262418 BGF262418 BQB262418 BZX262418 CJT262418 CTP262418 DDL262418 DNH262418 DXD262418 EGZ262418 EQV262418 FAR262418 FKN262418 FUJ262418 GEF262418 GOB262418 GXX262418 HHT262418 HRP262418 IBL262418 ILH262418 IVD262418 JEZ262418 JOV262418 JYR262418 KIN262418 KSJ262418 LCF262418 LMB262418 LVX262418 MFT262418 MPP262418 MZL262418 NJH262418 NTD262418 OCZ262418 OMV262418 OWR262418 PGN262418 PQJ262418 QAF262418 QKB262418 QTX262418 RDT262418 RNP262418 RXL262418 SHH262418 SRD262418 TAZ262418 TKV262418 TUR262418 UEN262418 UOJ262418 UYF262418 VIB262418 VRX262418 WBT262418 WLP262418 WVL262418 D327954 IZ327954 SV327954 ACR327954 AMN327954 AWJ327954 BGF327954 BQB327954 BZX327954 CJT327954 CTP327954 DDL327954 DNH327954 DXD327954 EGZ327954 EQV327954 FAR327954 FKN327954 FUJ327954 GEF327954 GOB327954 GXX327954 HHT327954 HRP327954 IBL327954 ILH327954 IVD327954 JEZ327954 JOV327954 JYR327954 KIN327954 KSJ327954 LCF327954 LMB327954 LVX327954 MFT327954 MPP327954 MZL327954 NJH327954 NTD327954 OCZ327954 OMV327954 OWR327954 PGN327954 PQJ327954 QAF327954 QKB327954 QTX327954 RDT327954 RNP327954 RXL327954 SHH327954 SRD327954 TAZ327954 TKV327954 TUR327954 UEN327954 UOJ327954 UYF327954 VIB327954 VRX327954 WBT327954 WLP327954 WVL327954 D393490 IZ393490 SV393490 ACR393490 AMN393490 AWJ393490 BGF393490 BQB393490 BZX393490 CJT393490 CTP393490 DDL393490 DNH393490 DXD393490 EGZ393490 EQV393490 FAR393490 FKN393490 FUJ393490 GEF393490 GOB393490 GXX393490 HHT393490 HRP393490 IBL393490 ILH393490 IVD393490 JEZ393490 JOV393490 JYR393490 KIN393490 KSJ393490 LCF393490 LMB393490 LVX393490 MFT393490 MPP393490 MZL393490 NJH393490 NTD393490 OCZ393490 OMV393490 OWR393490 PGN393490 PQJ393490 QAF393490 QKB393490 QTX393490 RDT393490 RNP393490 RXL393490 SHH393490 SRD393490 TAZ393490 TKV393490 TUR393490 UEN393490 UOJ393490 UYF393490 VIB393490 VRX393490 WBT393490 WLP393490 WVL393490 D459026 IZ459026 SV459026 ACR459026 AMN459026 AWJ459026 BGF459026 BQB459026 BZX459026 CJT459026 CTP459026 DDL459026 DNH459026 DXD459026 EGZ459026 EQV459026 FAR459026 FKN459026 FUJ459026 GEF459026 GOB459026 GXX459026 HHT459026 HRP459026 IBL459026 ILH459026 IVD459026 JEZ459026 JOV459026 JYR459026 KIN459026 KSJ459026 LCF459026 LMB459026 LVX459026 MFT459026 MPP459026 MZL459026 NJH459026 NTD459026 OCZ459026 OMV459026 OWR459026 PGN459026 PQJ459026 QAF459026 QKB459026 QTX459026 RDT459026 RNP459026 RXL459026 SHH459026 SRD459026 TAZ459026 TKV459026 TUR459026 UEN459026 UOJ459026 UYF459026 VIB459026 VRX459026 WBT459026 WLP459026 WVL459026 D524562 IZ524562 SV524562 ACR524562 AMN524562 AWJ524562 BGF524562 BQB524562 BZX524562 CJT524562 CTP524562 DDL524562 DNH524562 DXD524562 EGZ524562 EQV524562 FAR524562 FKN524562 FUJ524562 GEF524562 GOB524562 GXX524562 HHT524562 HRP524562 IBL524562 ILH524562 IVD524562 JEZ524562 JOV524562 JYR524562 KIN524562 KSJ524562 LCF524562 LMB524562 LVX524562 MFT524562 MPP524562 MZL524562 NJH524562 NTD524562 OCZ524562 OMV524562 OWR524562 PGN524562 PQJ524562 QAF524562 QKB524562 QTX524562 RDT524562 RNP524562 RXL524562 SHH524562 SRD524562 TAZ524562 TKV524562 TUR524562 UEN524562 UOJ524562 UYF524562 VIB524562 VRX524562 WBT524562 WLP524562 WVL524562 D590098 IZ590098 SV590098 ACR590098 AMN590098 AWJ590098 BGF590098 BQB590098 BZX590098 CJT590098 CTP590098 DDL590098 DNH590098 DXD590098 EGZ590098 EQV590098 FAR590098 FKN590098 FUJ590098 GEF590098 GOB590098 GXX590098 HHT590098 HRP590098 IBL590098 ILH590098 IVD590098 JEZ590098 JOV590098 JYR590098 KIN590098 KSJ590098 LCF590098 LMB590098 LVX590098 MFT590098 MPP590098 MZL590098 NJH590098 NTD590098 OCZ590098 OMV590098 OWR590098 PGN590098 PQJ590098 QAF590098 QKB590098 QTX590098 RDT590098 RNP590098 RXL590098 SHH590098 SRD590098 TAZ590098 TKV590098 TUR590098 UEN590098 UOJ590098 UYF590098 VIB590098 VRX590098 WBT590098 WLP590098 WVL590098 D655634 IZ655634 SV655634 ACR655634 AMN655634 AWJ655634 BGF655634 BQB655634 BZX655634 CJT655634 CTP655634 DDL655634 DNH655634 DXD655634 EGZ655634 EQV655634 FAR655634 FKN655634 FUJ655634 GEF655634 GOB655634 GXX655634 HHT655634 HRP655634 IBL655634 ILH655634 IVD655634 JEZ655634 JOV655634 JYR655634 KIN655634 KSJ655634 LCF655634 LMB655634 LVX655634 MFT655634 MPP655634 MZL655634 NJH655634 NTD655634 OCZ655634 OMV655634 OWR655634 PGN655634 PQJ655634 QAF655634 QKB655634 QTX655634 RDT655634 RNP655634 RXL655634 SHH655634 SRD655634 TAZ655634 TKV655634 TUR655634 UEN655634 UOJ655634 UYF655634 VIB655634 VRX655634 WBT655634 WLP655634 WVL655634 D721170 IZ721170 SV721170 ACR721170 AMN721170 AWJ721170 BGF721170 BQB721170 BZX721170 CJT721170 CTP721170 DDL721170 DNH721170 DXD721170 EGZ721170 EQV721170 FAR721170 FKN721170 FUJ721170 GEF721170 GOB721170 GXX721170 HHT721170 HRP721170 IBL721170 ILH721170 IVD721170 JEZ721170 JOV721170 JYR721170 KIN721170 KSJ721170 LCF721170 LMB721170 LVX721170 MFT721170 MPP721170 MZL721170 NJH721170 NTD721170 OCZ721170 OMV721170 OWR721170 PGN721170 PQJ721170 QAF721170 QKB721170 QTX721170 RDT721170 RNP721170 RXL721170 SHH721170 SRD721170 TAZ721170 TKV721170 TUR721170 UEN721170 UOJ721170 UYF721170 VIB721170 VRX721170 WBT721170 WLP721170 WVL721170 D786706 IZ786706 SV786706 ACR786706 AMN786706 AWJ786706 BGF786706 BQB786706 BZX786706 CJT786706 CTP786706 DDL786706 DNH786706 DXD786706 EGZ786706 EQV786706 FAR786706 FKN786706 FUJ786706 GEF786706 GOB786706 GXX786706 HHT786706 HRP786706 IBL786706 ILH786706 IVD786706 JEZ786706 JOV786706 JYR786706 KIN786706 KSJ786706 LCF786706 LMB786706 LVX786706 MFT786706 MPP786706 MZL786706 NJH786706 NTD786706 OCZ786706 OMV786706 OWR786706 PGN786706 PQJ786706 QAF786706 QKB786706 QTX786706 RDT786706 RNP786706 RXL786706 SHH786706 SRD786706 TAZ786706 TKV786706 TUR786706 UEN786706 UOJ786706 UYF786706 VIB786706 VRX786706 WBT786706 WLP786706 WVL786706 D852242 IZ852242 SV852242 ACR852242 AMN852242 AWJ852242 BGF852242 BQB852242 BZX852242 CJT852242 CTP852242 DDL852242 DNH852242 DXD852242 EGZ852242 EQV852242 FAR852242 FKN852242 FUJ852242 GEF852242 GOB852242 GXX852242 HHT852242 HRP852242 IBL852242 ILH852242 IVD852242 JEZ852242 JOV852242 JYR852242 KIN852242 KSJ852242 LCF852242 LMB852242 LVX852242 MFT852242 MPP852242 MZL852242 NJH852242 NTD852242 OCZ852242 OMV852242 OWR852242 PGN852242 PQJ852242 QAF852242 QKB852242 QTX852242 RDT852242 RNP852242 RXL852242 SHH852242 SRD852242 TAZ852242 TKV852242 TUR852242 UEN852242 UOJ852242 UYF852242 VIB852242 VRX852242 WBT852242 WLP852242 WVL852242 D917778 IZ917778 SV917778 ACR917778 AMN917778 AWJ917778 BGF917778 BQB917778 BZX917778 CJT917778 CTP917778 DDL917778 DNH917778 DXD917778 EGZ917778 EQV917778 FAR917778 FKN917778 FUJ917778 GEF917778 GOB917778 GXX917778 HHT917778 HRP917778 IBL917778 ILH917778 IVD917778 JEZ917778 JOV917778 JYR917778 KIN917778 KSJ917778 LCF917778 LMB917778 LVX917778 MFT917778 MPP917778 MZL917778 NJH917778 NTD917778 OCZ917778 OMV917778 OWR917778 PGN917778 PQJ917778 QAF917778 QKB917778 QTX917778 RDT917778 RNP917778 RXL917778 SHH917778 SRD917778 TAZ917778 TKV917778 TUR917778 UEN917778 UOJ917778 UYF917778 VIB917778 VRX917778 WBT917778 WLP917778 WVL917778 D983314 IZ983314 SV983314 ACR983314 AMN983314 AWJ983314 BGF983314 BQB983314 BZX983314 CJT983314 CTP983314 DDL983314 DNH983314 DXD983314 EGZ983314 EQV983314 FAR983314 FKN983314 FUJ983314 GEF983314 GOB983314 GXX983314 HHT983314 HRP983314 IBL983314 ILH983314 IVD983314 JEZ983314 JOV983314 JYR983314 KIN983314 KSJ983314 LCF983314 LMB983314 LVX983314 MFT983314 MPP983314 MZL983314 NJH983314 NTD983314 OCZ983314 OMV983314 OWR983314 PGN983314 PQJ983314 QAF983314 QKB983314 QTX983314 RDT983314 RNP983314 RXL983314 SHH983314 SRD983314 TAZ983314 TKV983314 TUR983314 UEN983314 UOJ983314 UYF983314 VIB983314 VRX983314 WBT983314 WLP983314 WVL983314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2:D65543 IZ65542:IZ65543 SV65542:SV65543 ACR65542:ACR65543 AMN65542:AMN65543 AWJ65542:AWJ65543 BGF65542:BGF65543 BQB65542:BQB65543 BZX65542:BZX65543 CJT65542:CJT65543 CTP65542:CTP65543 DDL65542:DDL65543 DNH65542:DNH65543 DXD65542:DXD65543 EGZ65542:EGZ65543 EQV65542:EQV65543 FAR65542:FAR65543 FKN65542:FKN65543 FUJ65542:FUJ65543 GEF65542:GEF65543 GOB65542:GOB65543 GXX65542:GXX65543 HHT65542:HHT65543 HRP65542:HRP65543 IBL65542:IBL65543 ILH65542:ILH65543 IVD65542:IVD65543 JEZ65542:JEZ65543 JOV65542:JOV65543 JYR65542:JYR65543 KIN65542:KIN65543 KSJ65542:KSJ65543 LCF65542:LCF65543 LMB65542:LMB65543 LVX65542:LVX65543 MFT65542:MFT65543 MPP65542:MPP65543 MZL65542:MZL65543 NJH65542:NJH65543 NTD65542:NTD65543 OCZ65542:OCZ65543 OMV65542:OMV65543 OWR65542:OWR65543 PGN65542:PGN65543 PQJ65542:PQJ65543 QAF65542:QAF65543 QKB65542:QKB65543 QTX65542:QTX65543 RDT65542:RDT65543 RNP65542:RNP65543 RXL65542:RXL65543 SHH65542:SHH65543 SRD65542:SRD65543 TAZ65542:TAZ65543 TKV65542:TKV65543 TUR65542:TUR65543 UEN65542:UEN65543 UOJ65542:UOJ65543 UYF65542:UYF65543 VIB65542:VIB65543 VRX65542:VRX65543 WBT65542:WBT65543 WLP65542:WLP65543 WVL65542:WVL65543 D131078:D131079 IZ131078:IZ131079 SV131078:SV131079 ACR131078:ACR131079 AMN131078:AMN131079 AWJ131078:AWJ131079 BGF131078:BGF131079 BQB131078:BQB131079 BZX131078:BZX131079 CJT131078:CJT131079 CTP131078:CTP131079 DDL131078:DDL131079 DNH131078:DNH131079 DXD131078:DXD131079 EGZ131078:EGZ131079 EQV131078:EQV131079 FAR131078:FAR131079 FKN131078:FKN131079 FUJ131078:FUJ131079 GEF131078:GEF131079 GOB131078:GOB131079 GXX131078:GXX131079 HHT131078:HHT131079 HRP131078:HRP131079 IBL131078:IBL131079 ILH131078:ILH131079 IVD131078:IVD131079 JEZ131078:JEZ131079 JOV131078:JOV131079 JYR131078:JYR131079 KIN131078:KIN131079 KSJ131078:KSJ131079 LCF131078:LCF131079 LMB131078:LMB131079 LVX131078:LVX131079 MFT131078:MFT131079 MPP131078:MPP131079 MZL131078:MZL131079 NJH131078:NJH131079 NTD131078:NTD131079 OCZ131078:OCZ131079 OMV131078:OMV131079 OWR131078:OWR131079 PGN131078:PGN131079 PQJ131078:PQJ131079 QAF131078:QAF131079 QKB131078:QKB131079 QTX131078:QTX131079 RDT131078:RDT131079 RNP131078:RNP131079 RXL131078:RXL131079 SHH131078:SHH131079 SRD131078:SRD131079 TAZ131078:TAZ131079 TKV131078:TKV131079 TUR131078:TUR131079 UEN131078:UEN131079 UOJ131078:UOJ131079 UYF131078:UYF131079 VIB131078:VIB131079 VRX131078:VRX131079 WBT131078:WBT131079 WLP131078:WLP131079 WVL131078:WVL131079 D196614:D196615 IZ196614:IZ196615 SV196614:SV196615 ACR196614:ACR196615 AMN196614:AMN196615 AWJ196614:AWJ196615 BGF196614:BGF196615 BQB196614:BQB196615 BZX196614:BZX196615 CJT196614:CJT196615 CTP196614:CTP196615 DDL196614:DDL196615 DNH196614:DNH196615 DXD196614:DXD196615 EGZ196614:EGZ196615 EQV196614:EQV196615 FAR196614:FAR196615 FKN196614:FKN196615 FUJ196614:FUJ196615 GEF196614:GEF196615 GOB196614:GOB196615 GXX196614:GXX196615 HHT196614:HHT196615 HRP196614:HRP196615 IBL196614:IBL196615 ILH196614:ILH196615 IVD196614:IVD196615 JEZ196614:JEZ196615 JOV196614:JOV196615 JYR196614:JYR196615 KIN196614:KIN196615 KSJ196614:KSJ196615 LCF196614:LCF196615 LMB196614:LMB196615 LVX196614:LVX196615 MFT196614:MFT196615 MPP196614:MPP196615 MZL196614:MZL196615 NJH196614:NJH196615 NTD196614:NTD196615 OCZ196614:OCZ196615 OMV196614:OMV196615 OWR196614:OWR196615 PGN196614:PGN196615 PQJ196614:PQJ196615 QAF196614:QAF196615 QKB196614:QKB196615 QTX196614:QTX196615 RDT196614:RDT196615 RNP196614:RNP196615 RXL196614:RXL196615 SHH196614:SHH196615 SRD196614:SRD196615 TAZ196614:TAZ196615 TKV196614:TKV196615 TUR196614:TUR196615 UEN196614:UEN196615 UOJ196614:UOJ196615 UYF196614:UYF196615 VIB196614:VIB196615 VRX196614:VRX196615 WBT196614:WBT196615 WLP196614:WLP196615 WVL196614:WVL196615 D262150:D262151 IZ262150:IZ262151 SV262150:SV262151 ACR262150:ACR262151 AMN262150:AMN262151 AWJ262150:AWJ262151 BGF262150:BGF262151 BQB262150:BQB262151 BZX262150:BZX262151 CJT262150:CJT262151 CTP262150:CTP262151 DDL262150:DDL262151 DNH262150:DNH262151 DXD262150:DXD262151 EGZ262150:EGZ262151 EQV262150:EQV262151 FAR262150:FAR262151 FKN262150:FKN262151 FUJ262150:FUJ262151 GEF262150:GEF262151 GOB262150:GOB262151 GXX262150:GXX262151 HHT262150:HHT262151 HRP262150:HRP262151 IBL262150:IBL262151 ILH262150:ILH262151 IVD262150:IVD262151 JEZ262150:JEZ262151 JOV262150:JOV262151 JYR262150:JYR262151 KIN262150:KIN262151 KSJ262150:KSJ262151 LCF262150:LCF262151 LMB262150:LMB262151 LVX262150:LVX262151 MFT262150:MFT262151 MPP262150:MPP262151 MZL262150:MZL262151 NJH262150:NJH262151 NTD262150:NTD262151 OCZ262150:OCZ262151 OMV262150:OMV262151 OWR262150:OWR262151 PGN262150:PGN262151 PQJ262150:PQJ262151 QAF262150:QAF262151 QKB262150:QKB262151 QTX262150:QTX262151 RDT262150:RDT262151 RNP262150:RNP262151 RXL262150:RXL262151 SHH262150:SHH262151 SRD262150:SRD262151 TAZ262150:TAZ262151 TKV262150:TKV262151 TUR262150:TUR262151 UEN262150:UEN262151 UOJ262150:UOJ262151 UYF262150:UYF262151 VIB262150:VIB262151 VRX262150:VRX262151 WBT262150:WBT262151 WLP262150:WLP262151 WVL262150:WVL262151 D327686:D327687 IZ327686:IZ327687 SV327686:SV327687 ACR327686:ACR327687 AMN327686:AMN327687 AWJ327686:AWJ327687 BGF327686:BGF327687 BQB327686:BQB327687 BZX327686:BZX327687 CJT327686:CJT327687 CTP327686:CTP327687 DDL327686:DDL327687 DNH327686:DNH327687 DXD327686:DXD327687 EGZ327686:EGZ327687 EQV327686:EQV327687 FAR327686:FAR327687 FKN327686:FKN327687 FUJ327686:FUJ327687 GEF327686:GEF327687 GOB327686:GOB327687 GXX327686:GXX327687 HHT327686:HHT327687 HRP327686:HRP327687 IBL327686:IBL327687 ILH327686:ILH327687 IVD327686:IVD327687 JEZ327686:JEZ327687 JOV327686:JOV327687 JYR327686:JYR327687 KIN327686:KIN327687 KSJ327686:KSJ327687 LCF327686:LCF327687 LMB327686:LMB327687 LVX327686:LVX327687 MFT327686:MFT327687 MPP327686:MPP327687 MZL327686:MZL327687 NJH327686:NJH327687 NTD327686:NTD327687 OCZ327686:OCZ327687 OMV327686:OMV327687 OWR327686:OWR327687 PGN327686:PGN327687 PQJ327686:PQJ327687 QAF327686:QAF327687 QKB327686:QKB327687 QTX327686:QTX327687 RDT327686:RDT327687 RNP327686:RNP327687 RXL327686:RXL327687 SHH327686:SHH327687 SRD327686:SRD327687 TAZ327686:TAZ327687 TKV327686:TKV327687 TUR327686:TUR327687 UEN327686:UEN327687 UOJ327686:UOJ327687 UYF327686:UYF327687 VIB327686:VIB327687 VRX327686:VRX327687 WBT327686:WBT327687 WLP327686:WLP327687 WVL327686:WVL327687 D393222:D393223 IZ393222:IZ393223 SV393222:SV393223 ACR393222:ACR393223 AMN393222:AMN393223 AWJ393222:AWJ393223 BGF393222:BGF393223 BQB393222:BQB393223 BZX393222:BZX393223 CJT393222:CJT393223 CTP393222:CTP393223 DDL393222:DDL393223 DNH393222:DNH393223 DXD393222:DXD393223 EGZ393222:EGZ393223 EQV393222:EQV393223 FAR393222:FAR393223 FKN393222:FKN393223 FUJ393222:FUJ393223 GEF393222:GEF393223 GOB393222:GOB393223 GXX393222:GXX393223 HHT393222:HHT393223 HRP393222:HRP393223 IBL393222:IBL393223 ILH393222:ILH393223 IVD393222:IVD393223 JEZ393222:JEZ393223 JOV393222:JOV393223 JYR393222:JYR393223 KIN393222:KIN393223 KSJ393222:KSJ393223 LCF393222:LCF393223 LMB393222:LMB393223 LVX393222:LVX393223 MFT393222:MFT393223 MPP393222:MPP393223 MZL393222:MZL393223 NJH393222:NJH393223 NTD393222:NTD393223 OCZ393222:OCZ393223 OMV393222:OMV393223 OWR393222:OWR393223 PGN393222:PGN393223 PQJ393222:PQJ393223 QAF393222:QAF393223 QKB393222:QKB393223 QTX393222:QTX393223 RDT393222:RDT393223 RNP393222:RNP393223 RXL393222:RXL393223 SHH393222:SHH393223 SRD393222:SRD393223 TAZ393222:TAZ393223 TKV393222:TKV393223 TUR393222:TUR393223 UEN393222:UEN393223 UOJ393222:UOJ393223 UYF393222:UYF393223 VIB393222:VIB393223 VRX393222:VRX393223 WBT393222:WBT393223 WLP393222:WLP393223 WVL393222:WVL393223 D458758:D458759 IZ458758:IZ458759 SV458758:SV458759 ACR458758:ACR458759 AMN458758:AMN458759 AWJ458758:AWJ458759 BGF458758:BGF458759 BQB458758:BQB458759 BZX458758:BZX458759 CJT458758:CJT458759 CTP458758:CTP458759 DDL458758:DDL458759 DNH458758:DNH458759 DXD458758:DXD458759 EGZ458758:EGZ458759 EQV458758:EQV458759 FAR458758:FAR458759 FKN458758:FKN458759 FUJ458758:FUJ458759 GEF458758:GEF458759 GOB458758:GOB458759 GXX458758:GXX458759 HHT458758:HHT458759 HRP458758:HRP458759 IBL458758:IBL458759 ILH458758:ILH458759 IVD458758:IVD458759 JEZ458758:JEZ458759 JOV458758:JOV458759 JYR458758:JYR458759 KIN458758:KIN458759 KSJ458758:KSJ458759 LCF458758:LCF458759 LMB458758:LMB458759 LVX458758:LVX458759 MFT458758:MFT458759 MPP458758:MPP458759 MZL458758:MZL458759 NJH458758:NJH458759 NTD458758:NTD458759 OCZ458758:OCZ458759 OMV458758:OMV458759 OWR458758:OWR458759 PGN458758:PGN458759 PQJ458758:PQJ458759 QAF458758:QAF458759 QKB458758:QKB458759 QTX458758:QTX458759 RDT458758:RDT458759 RNP458758:RNP458759 RXL458758:RXL458759 SHH458758:SHH458759 SRD458758:SRD458759 TAZ458758:TAZ458759 TKV458758:TKV458759 TUR458758:TUR458759 UEN458758:UEN458759 UOJ458758:UOJ458759 UYF458758:UYF458759 VIB458758:VIB458759 VRX458758:VRX458759 WBT458758:WBT458759 WLP458758:WLP458759 WVL458758:WVL458759 D524294:D524295 IZ524294:IZ524295 SV524294:SV524295 ACR524294:ACR524295 AMN524294:AMN524295 AWJ524294:AWJ524295 BGF524294:BGF524295 BQB524294:BQB524295 BZX524294:BZX524295 CJT524294:CJT524295 CTP524294:CTP524295 DDL524294:DDL524295 DNH524294:DNH524295 DXD524294:DXD524295 EGZ524294:EGZ524295 EQV524294:EQV524295 FAR524294:FAR524295 FKN524294:FKN524295 FUJ524294:FUJ524295 GEF524294:GEF524295 GOB524294:GOB524295 GXX524294:GXX524295 HHT524294:HHT524295 HRP524294:HRP524295 IBL524294:IBL524295 ILH524294:ILH524295 IVD524294:IVD524295 JEZ524294:JEZ524295 JOV524294:JOV524295 JYR524294:JYR524295 KIN524294:KIN524295 KSJ524294:KSJ524295 LCF524294:LCF524295 LMB524294:LMB524295 LVX524294:LVX524295 MFT524294:MFT524295 MPP524294:MPP524295 MZL524294:MZL524295 NJH524294:NJH524295 NTD524294:NTD524295 OCZ524294:OCZ524295 OMV524294:OMV524295 OWR524294:OWR524295 PGN524294:PGN524295 PQJ524294:PQJ524295 QAF524294:QAF524295 QKB524294:QKB524295 QTX524294:QTX524295 RDT524294:RDT524295 RNP524294:RNP524295 RXL524294:RXL524295 SHH524294:SHH524295 SRD524294:SRD524295 TAZ524294:TAZ524295 TKV524294:TKV524295 TUR524294:TUR524295 UEN524294:UEN524295 UOJ524294:UOJ524295 UYF524294:UYF524295 VIB524294:VIB524295 VRX524294:VRX524295 WBT524294:WBT524295 WLP524294:WLP524295 WVL524294:WVL524295 D589830:D589831 IZ589830:IZ589831 SV589830:SV589831 ACR589830:ACR589831 AMN589830:AMN589831 AWJ589830:AWJ589831 BGF589830:BGF589831 BQB589830:BQB589831 BZX589830:BZX589831 CJT589830:CJT589831 CTP589830:CTP589831 DDL589830:DDL589831 DNH589830:DNH589831 DXD589830:DXD589831 EGZ589830:EGZ589831 EQV589830:EQV589831 FAR589830:FAR589831 FKN589830:FKN589831 FUJ589830:FUJ589831 GEF589830:GEF589831 GOB589830:GOB589831 GXX589830:GXX589831 HHT589830:HHT589831 HRP589830:HRP589831 IBL589830:IBL589831 ILH589830:ILH589831 IVD589830:IVD589831 JEZ589830:JEZ589831 JOV589830:JOV589831 JYR589830:JYR589831 KIN589830:KIN589831 KSJ589830:KSJ589831 LCF589830:LCF589831 LMB589830:LMB589831 LVX589830:LVX589831 MFT589830:MFT589831 MPP589830:MPP589831 MZL589830:MZL589831 NJH589830:NJH589831 NTD589830:NTD589831 OCZ589830:OCZ589831 OMV589830:OMV589831 OWR589830:OWR589831 PGN589830:PGN589831 PQJ589830:PQJ589831 QAF589830:QAF589831 QKB589830:QKB589831 QTX589830:QTX589831 RDT589830:RDT589831 RNP589830:RNP589831 RXL589830:RXL589831 SHH589830:SHH589831 SRD589830:SRD589831 TAZ589830:TAZ589831 TKV589830:TKV589831 TUR589830:TUR589831 UEN589830:UEN589831 UOJ589830:UOJ589831 UYF589830:UYF589831 VIB589830:VIB589831 VRX589830:VRX589831 WBT589830:WBT589831 WLP589830:WLP589831 WVL589830:WVL589831 D655366:D655367 IZ655366:IZ655367 SV655366:SV655367 ACR655366:ACR655367 AMN655366:AMN655367 AWJ655366:AWJ655367 BGF655366:BGF655367 BQB655366:BQB655367 BZX655366:BZX655367 CJT655366:CJT655367 CTP655366:CTP655367 DDL655366:DDL655367 DNH655366:DNH655367 DXD655366:DXD655367 EGZ655366:EGZ655367 EQV655366:EQV655367 FAR655366:FAR655367 FKN655366:FKN655367 FUJ655366:FUJ655367 GEF655366:GEF655367 GOB655366:GOB655367 GXX655366:GXX655367 HHT655366:HHT655367 HRP655366:HRP655367 IBL655366:IBL655367 ILH655366:ILH655367 IVD655366:IVD655367 JEZ655366:JEZ655367 JOV655366:JOV655367 JYR655366:JYR655367 KIN655366:KIN655367 KSJ655366:KSJ655367 LCF655366:LCF655367 LMB655366:LMB655367 LVX655366:LVX655367 MFT655366:MFT655367 MPP655366:MPP655367 MZL655366:MZL655367 NJH655366:NJH655367 NTD655366:NTD655367 OCZ655366:OCZ655367 OMV655366:OMV655367 OWR655366:OWR655367 PGN655366:PGN655367 PQJ655366:PQJ655367 QAF655366:QAF655367 QKB655366:QKB655367 QTX655366:QTX655367 RDT655366:RDT655367 RNP655366:RNP655367 RXL655366:RXL655367 SHH655366:SHH655367 SRD655366:SRD655367 TAZ655366:TAZ655367 TKV655366:TKV655367 TUR655366:TUR655367 UEN655366:UEN655367 UOJ655366:UOJ655367 UYF655366:UYF655367 VIB655366:VIB655367 VRX655366:VRX655367 WBT655366:WBT655367 WLP655366:WLP655367 WVL655366:WVL655367 D720902:D720903 IZ720902:IZ720903 SV720902:SV720903 ACR720902:ACR720903 AMN720902:AMN720903 AWJ720902:AWJ720903 BGF720902:BGF720903 BQB720902:BQB720903 BZX720902:BZX720903 CJT720902:CJT720903 CTP720902:CTP720903 DDL720902:DDL720903 DNH720902:DNH720903 DXD720902:DXD720903 EGZ720902:EGZ720903 EQV720902:EQV720903 FAR720902:FAR720903 FKN720902:FKN720903 FUJ720902:FUJ720903 GEF720902:GEF720903 GOB720902:GOB720903 GXX720902:GXX720903 HHT720902:HHT720903 HRP720902:HRP720903 IBL720902:IBL720903 ILH720902:ILH720903 IVD720902:IVD720903 JEZ720902:JEZ720903 JOV720902:JOV720903 JYR720902:JYR720903 KIN720902:KIN720903 KSJ720902:KSJ720903 LCF720902:LCF720903 LMB720902:LMB720903 LVX720902:LVX720903 MFT720902:MFT720903 MPP720902:MPP720903 MZL720902:MZL720903 NJH720902:NJH720903 NTD720902:NTD720903 OCZ720902:OCZ720903 OMV720902:OMV720903 OWR720902:OWR720903 PGN720902:PGN720903 PQJ720902:PQJ720903 QAF720902:QAF720903 QKB720902:QKB720903 QTX720902:QTX720903 RDT720902:RDT720903 RNP720902:RNP720903 RXL720902:RXL720903 SHH720902:SHH720903 SRD720902:SRD720903 TAZ720902:TAZ720903 TKV720902:TKV720903 TUR720902:TUR720903 UEN720902:UEN720903 UOJ720902:UOJ720903 UYF720902:UYF720903 VIB720902:VIB720903 VRX720902:VRX720903 WBT720902:WBT720903 WLP720902:WLP720903 WVL720902:WVL720903 D786438:D786439 IZ786438:IZ786439 SV786438:SV786439 ACR786438:ACR786439 AMN786438:AMN786439 AWJ786438:AWJ786439 BGF786438:BGF786439 BQB786438:BQB786439 BZX786438:BZX786439 CJT786438:CJT786439 CTP786438:CTP786439 DDL786438:DDL786439 DNH786438:DNH786439 DXD786438:DXD786439 EGZ786438:EGZ786439 EQV786438:EQV786439 FAR786438:FAR786439 FKN786438:FKN786439 FUJ786438:FUJ786439 GEF786438:GEF786439 GOB786438:GOB786439 GXX786438:GXX786439 HHT786438:HHT786439 HRP786438:HRP786439 IBL786438:IBL786439 ILH786438:ILH786439 IVD786438:IVD786439 JEZ786438:JEZ786439 JOV786438:JOV786439 JYR786438:JYR786439 KIN786438:KIN786439 KSJ786438:KSJ786439 LCF786438:LCF786439 LMB786438:LMB786439 LVX786438:LVX786439 MFT786438:MFT786439 MPP786438:MPP786439 MZL786438:MZL786439 NJH786438:NJH786439 NTD786438:NTD786439 OCZ786438:OCZ786439 OMV786438:OMV786439 OWR786438:OWR786439 PGN786438:PGN786439 PQJ786438:PQJ786439 QAF786438:QAF786439 QKB786438:QKB786439 QTX786438:QTX786439 RDT786438:RDT786439 RNP786438:RNP786439 RXL786438:RXL786439 SHH786438:SHH786439 SRD786438:SRD786439 TAZ786438:TAZ786439 TKV786438:TKV786439 TUR786438:TUR786439 UEN786438:UEN786439 UOJ786438:UOJ786439 UYF786438:UYF786439 VIB786438:VIB786439 VRX786438:VRX786439 WBT786438:WBT786439 WLP786438:WLP786439 WVL786438:WVL786439 D851974:D851975 IZ851974:IZ851975 SV851974:SV851975 ACR851974:ACR851975 AMN851974:AMN851975 AWJ851974:AWJ851975 BGF851974:BGF851975 BQB851974:BQB851975 BZX851974:BZX851975 CJT851974:CJT851975 CTP851974:CTP851975 DDL851974:DDL851975 DNH851974:DNH851975 DXD851974:DXD851975 EGZ851974:EGZ851975 EQV851974:EQV851975 FAR851974:FAR851975 FKN851974:FKN851975 FUJ851974:FUJ851975 GEF851974:GEF851975 GOB851974:GOB851975 GXX851974:GXX851975 HHT851974:HHT851975 HRP851974:HRP851975 IBL851974:IBL851975 ILH851974:ILH851975 IVD851974:IVD851975 JEZ851974:JEZ851975 JOV851974:JOV851975 JYR851974:JYR851975 KIN851974:KIN851975 KSJ851974:KSJ851975 LCF851974:LCF851975 LMB851974:LMB851975 LVX851974:LVX851975 MFT851974:MFT851975 MPP851974:MPP851975 MZL851974:MZL851975 NJH851974:NJH851975 NTD851974:NTD851975 OCZ851974:OCZ851975 OMV851974:OMV851975 OWR851974:OWR851975 PGN851974:PGN851975 PQJ851974:PQJ851975 QAF851974:QAF851975 QKB851974:QKB851975 QTX851974:QTX851975 RDT851974:RDT851975 RNP851974:RNP851975 RXL851974:RXL851975 SHH851974:SHH851975 SRD851974:SRD851975 TAZ851974:TAZ851975 TKV851974:TKV851975 TUR851974:TUR851975 UEN851974:UEN851975 UOJ851974:UOJ851975 UYF851974:UYF851975 VIB851974:VIB851975 VRX851974:VRX851975 WBT851974:WBT851975 WLP851974:WLP851975 WVL851974:WVL851975 D917510:D917511 IZ917510:IZ917511 SV917510:SV917511 ACR917510:ACR917511 AMN917510:AMN917511 AWJ917510:AWJ917511 BGF917510:BGF917511 BQB917510:BQB917511 BZX917510:BZX917511 CJT917510:CJT917511 CTP917510:CTP917511 DDL917510:DDL917511 DNH917510:DNH917511 DXD917510:DXD917511 EGZ917510:EGZ917511 EQV917510:EQV917511 FAR917510:FAR917511 FKN917510:FKN917511 FUJ917510:FUJ917511 GEF917510:GEF917511 GOB917510:GOB917511 GXX917510:GXX917511 HHT917510:HHT917511 HRP917510:HRP917511 IBL917510:IBL917511 ILH917510:ILH917511 IVD917510:IVD917511 JEZ917510:JEZ917511 JOV917510:JOV917511 JYR917510:JYR917511 KIN917510:KIN917511 KSJ917510:KSJ917511 LCF917510:LCF917511 LMB917510:LMB917511 LVX917510:LVX917511 MFT917510:MFT917511 MPP917510:MPP917511 MZL917510:MZL917511 NJH917510:NJH917511 NTD917510:NTD917511 OCZ917510:OCZ917511 OMV917510:OMV917511 OWR917510:OWR917511 PGN917510:PGN917511 PQJ917510:PQJ917511 QAF917510:QAF917511 QKB917510:QKB917511 QTX917510:QTX917511 RDT917510:RDT917511 RNP917510:RNP917511 RXL917510:RXL917511 SHH917510:SHH917511 SRD917510:SRD917511 TAZ917510:TAZ917511 TKV917510:TKV917511 TUR917510:TUR917511 UEN917510:UEN917511 UOJ917510:UOJ917511 UYF917510:UYF917511 VIB917510:VIB917511 VRX917510:VRX917511 WBT917510:WBT917511 WLP917510:WLP917511 WVL917510:WVL917511 D983046:D983047 IZ983046:IZ983047 SV983046:SV983047 ACR983046:ACR983047 AMN983046:AMN983047 AWJ983046:AWJ983047 BGF983046:BGF983047 BQB983046:BQB983047 BZX983046:BZX983047 CJT983046:CJT983047 CTP983046:CTP983047 DDL983046:DDL983047 DNH983046:DNH983047 DXD983046:DXD983047 EGZ983046:EGZ983047 EQV983046:EQV983047 FAR983046:FAR983047 FKN983046:FKN983047 FUJ983046:FUJ983047 GEF983046:GEF983047 GOB983046:GOB983047 GXX983046:GXX983047 HHT983046:HHT983047 HRP983046:HRP983047 IBL983046:IBL983047 ILH983046:ILH983047 IVD983046:IVD983047 JEZ983046:JEZ983047 JOV983046:JOV983047 JYR983046:JYR983047 KIN983046:KIN983047 KSJ983046:KSJ983047 LCF983046:LCF983047 LMB983046:LMB983047 LVX983046:LVX983047 MFT983046:MFT983047 MPP983046:MPP983047 MZL983046:MZL983047 NJH983046:NJH983047 NTD983046:NTD983047 OCZ983046:OCZ983047 OMV983046:OMV983047 OWR983046:OWR983047 PGN983046:PGN983047 PQJ983046:PQJ983047 QAF983046:QAF983047 QKB983046:QKB983047 QTX983046:QTX983047 RDT983046:RDT983047 RNP983046:RNP983047 RXL983046:RXL983047 SHH983046:SHH983047 SRD983046:SRD983047 TAZ983046:TAZ983047 TKV983046:TKV983047 TUR983046:TUR983047 UEN983046:UEN983047 UOJ983046:UOJ983047 UYF983046:UYF983047 VIB983046:VIB983047 VRX983046:VRX983047 WBT983046:WBT983047 WLP983046:WLP983047 WVL983046:WVL983047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76 IZ65676 SV65676 ACR65676 AMN65676 AWJ65676 BGF65676 BQB65676 BZX65676 CJT65676 CTP65676 DDL65676 DNH65676 DXD65676 EGZ65676 EQV65676 FAR65676 FKN65676 FUJ65676 GEF65676 GOB65676 GXX65676 HHT65676 HRP65676 IBL65676 ILH65676 IVD65676 JEZ65676 JOV65676 JYR65676 KIN65676 KSJ65676 LCF65676 LMB65676 LVX65676 MFT65676 MPP65676 MZL65676 NJH65676 NTD65676 OCZ65676 OMV65676 OWR65676 PGN65676 PQJ65676 QAF65676 QKB65676 QTX65676 RDT65676 RNP65676 RXL65676 SHH65676 SRD65676 TAZ65676 TKV65676 TUR65676 UEN65676 UOJ65676 UYF65676 VIB65676 VRX65676 WBT65676 WLP65676 WVL65676 D131212 IZ131212 SV131212 ACR131212 AMN131212 AWJ131212 BGF131212 BQB131212 BZX131212 CJT131212 CTP131212 DDL131212 DNH131212 DXD131212 EGZ131212 EQV131212 FAR131212 FKN131212 FUJ131212 GEF131212 GOB131212 GXX131212 HHT131212 HRP131212 IBL131212 ILH131212 IVD131212 JEZ131212 JOV131212 JYR131212 KIN131212 KSJ131212 LCF131212 LMB131212 LVX131212 MFT131212 MPP131212 MZL131212 NJH131212 NTD131212 OCZ131212 OMV131212 OWR131212 PGN131212 PQJ131212 QAF131212 QKB131212 QTX131212 RDT131212 RNP131212 RXL131212 SHH131212 SRD131212 TAZ131212 TKV131212 TUR131212 UEN131212 UOJ131212 UYF131212 VIB131212 VRX131212 WBT131212 WLP131212 WVL131212 D196748 IZ196748 SV196748 ACR196748 AMN196748 AWJ196748 BGF196748 BQB196748 BZX196748 CJT196748 CTP196748 DDL196748 DNH196748 DXD196748 EGZ196748 EQV196748 FAR196748 FKN196748 FUJ196748 GEF196748 GOB196748 GXX196748 HHT196748 HRP196748 IBL196748 ILH196748 IVD196748 JEZ196748 JOV196748 JYR196748 KIN196748 KSJ196748 LCF196748 LMB196748 LVX196748 MFT196748 MPP196748 MZL196748 NJH196748 NTD196748 OCZ196748 OMV196748 OWR196748 PGN196748 PQJ196748 QAF196748 QKB196748 QTX196748 RDT196748 RNP196748 RXL196748 SHH196748 SRD196748 TAZ196748 TKV196748 TUR196748 UEN196748 UOJ196748 UYF196748 VIB196748 VRX196748 WBT196748 WLP196748 WVL196748 D262284 IZ262284 SV262284 ACR262284 AMN262284 AWJ262284 BGF262284 BQB262284 BZX262284 CJT262284 CTP262284 DDL262284 DNH262284 DXD262284 EGZ262284 EQV262284 FAR262284 FKN262284 FUJ262284 GEF262284 GOB262284 GXX262284 HHT262284 HRP262284 IBL262284 ILH262284 IVD262284 JEZ262284 JOV262284 JYR262284 KIN262284 KSJ262284 LCF262284 LMB262284 LVX262284 MFT262284 MPP262284 MZL262284 NJH262284 NTD262284 OCZ262284 OMV262284 OWR262284 PGN262284 PQJ262284 QAF262284 QKB262284 QTX262284 RDT262284 RNP262284 RXL262284 SHH262284 SRD262284 TAZ262284 TKV262284 TUR262284 UEN262284 UOJ262284 UYF262284 VIB262284 VRX262284 WBT262284 WLP262284 WVL262284 D327820 IZ327820 SV327820 ACR327820 AMN327820 AWJ327820 BGF327820 BQB327820 BZX327820 CJT327820 CTP327820 DDL327820 DNH327820 DXD327820 EGZ327820 EQV327820 FAR327820 FKN327820 FUJ327820 GEF327820 GOB327820 GXX327820 HHT327820 HRP327820 IBL327820 ILH327820 IVD327820 JEZ327820 JOV327820 JYR327820 KIN327820 KSJ327820 LCF327820 LMB327820 LVX327820 MFT327820 MPP327820 MZL327820 NJH327820 NTD327820 OCZ327820 OMV327820 OWR327820 PGN327820 PQJ327820 QAF327820 QKB327820 QTX327820 RDT327820 RNP327820 RXL327820 SHH327820 SRD327820 TAZ327820 TKV327820 TUR327820 UEN327820 UOJ327820 UYF327820 VIB327820 VRX327820 WBT327820 WLP327820 WVL327820 D393356 IZ393356 SV393356 ACR393356 AMN393356 AWJ393356 BGF393356 BQB393356 BZX393356 CJT393356 CTP393356 DDL393356 DNH393356 DXD393356 EGZ393356 EQV393356 FAR393356 FKN393356 FUJ393356 GEF393356 GOB393356 GXX393356 HHT393356 HRP393356 IBL393356 ILH393356 IVD393356 JEZ393356 JOV393356 JYR393356 KIN393356 KSJ393356 LCF393356 LMB393356 LVX393356 MFT393356 MPP393356 MZL393356 NJH393356 NTD393356 OCZ393356 OMV393356 OWR393356 PGN393356 PQJ393356 QAF393356 QKB393356 QTX393356 RDT393356 RNP393356 RXL393356 SHH393356 SRD393356 TAZ393356 TKV393356 TUR393356 UEN393356 UOJ393356 UYF393356 VIB393356 VRX393356 WBT393356 WLP393356 WVL393356 D458892 IZ458892 SV458892 ACR458892 AMN458892 AWJ458892 BGF458892 BQB458892 BZX458892 CJT458892 CTP458892 DDL458892 DNH458892 DXD458892 EGZ458892 EQV458892 FAR458892 FKN458892 FUJ458892 GEF458892 GOB458892 GXX458892 HHT458892 HRP458892 IBL458892 ILH458892 IVD458892 JEZ458892 JOV458892 JYR458892 KIN458892 KSJ458892 LCF458892 LMB458892 LVX458892 MFT458892 MPP458892 MZL458892 NJH458892 NTD458892 OCZ458892 OMV458892 OWR458892 PGN458892 PQJ458892 QAF458892 QKB458892 QTX458892 RDT458892 RNP458892 RXL458892 SHH458892 SRD458892 TAZ458892 TKV458892 TUR458892 UEN458892 UOJ458892 UYF458892 VIB458892 VRX458892 WBT458892 WLP458892 WVL458892 D524428 IZ524428 SV524428 ACR524428 AMN524428 AWJ524428 BGF524428 BQB524428 BZX524428 CJT524428 CTP524428 DDL524428 DNH524428 DXD524428 EGZ524428 EQV524428 FAR524428 FKN524428 FUJ524428 GEF524428 GOB524428 GXX524428 HHT524428 HRP524428 IBL524428 ILH524428 IVD524428 JEZ524428 JOV524428 JYR524428 KIN524428 KSJ524428 LCF524428 LMB524428 LVX524428 MFT524428 MPP524428 MZL524428 NJH524428 NTD524428 OCZ524428 OMV524428 OWR524428 PGN524428 PQJ524428 QAF524428 QKB524428 QTX524428 RDT524428 RNP524428 RXL524428 SHH524428 SRD524428 TAZ524428 TKV524428 TUR524428 UEN524428 UOJ524428 UYF524428 VIB524428 VRX524428 WBT524428 WLP524428 WVL524428 D589964 IZ589964 SV589964 ACR589964 AMN589964 AWJ589964 BGF589964 BQB589964 BZX589964 CJT589964 CTP589964 DDL589964 DNH589964 DXD589964 EGZ589964 EQV589964 FAR589964 FKN589964 FUJ589964 GEF589964 GOB589964 GXX589964 HHT589964 HRP589964 IBL589964 ILH589964 IVD589964 JEZ589964 JOV589964 JYR589964 KIN589964 KSJ589964 LCF589964 LMB589964 LVX589964 MFT589964 MPP589964 MZL589964 NJH589964 NTD589964 OCZ589964 OMV589964 OWR589964 PGN589964 PQJ589964 QAF589964 QKB589964 QTX589964 RDT589964 RNP589964 RXL589964 SHH589964 SRD589964 TAZ589964 TKV589964 TUR589964 UEN589964 UOJ589964 UYF589964 VIB589964 VRX589964 WBT589964 WLP589964 WVL589964 D655500 IZ655500 SV655500 ACR655500 AMN655500 AWJ655500 BGF655500 BQB655500 BZX655500 CJT655500 CTP655500 DDL655500 DNH655500 DXD655500 EGZ655500 EQV655500 FAR655500 FKN655500 FUJ655500 GEF655500 GOB655500 GXX655500 HHT655500 HRP655500 IBL655500 ILH655500 IVD655500 JEZ655500 JOV655500 JYR655500 KIN655500 KSJ655500 LCF655500 LMB655500 LVX655500 MFT655500 MPP655500 MZL655500 NJH655500 NTD655500 OCZ655500 OMV655500 OWR655500 PGN655500 PQJ655500 QAF655500 QKB655500 QTX655500 RDT655500 RNP655500 RXL655500 SHH655500 SRD655500 TAZ655500 TKV655500 TUR655500 UEN655500 UOJ655500 UYF655500 VIB655500 VRX655500 WBT655500 WLP655500 WVL655500 D721036 IZ721036 SV721036 ACR721036 AMN721036 AWJ721036 BGF721036 BQB721036 BZX721036 CJT721036 CTP721036 DDL721036 DNH721036 DXD721036 EGZ721036 EQV721036 FAR721036 FKN721036 FUJ721036 GEF721036 GOB721036 GXX721036 HHT721036 HRP721036 IBL721036 ILH721036 IVD721036 JEZ721036 JOV721036 JYR721036 KIN721036 KSJ721036 LCF721036 LMB721036 LVX721036 MFT721036 MPP721036 MZL721036 NJH721036 NTD721036 OCZ721036 OMV721036 OWR721036 PGN721036 PQJ721036 QAF721036 QKB721036 QTX721036 RDT721036 RNP721036 RXL721036 SHH721036 SRD721036 TAZ721036 TKV721036 TUR721036 UEN721036 UOJ721036 UYF721036 VIB721036 VRX721036 WBT721036 WLP721036 WVL721036 D786572 IZ786572 SV786572 ACR786572 AMN786572 AWJ786572 BGF786572 BQB786572 BZX786572 CJT786572 CTP786572 DDL786572 DNH786572 DXD786572 EGZ786572 EQV786572 FAR786572 FKN786572 FUJ786572 GEF786572 GOB786572 GXX786572 HHT786572 HRP786572 IBL786572 ILH786572 IVD786572 JEZ786572 JOV786572 JYR786572 KIN786572 KSJ786572 LCF786572 LMB786572 LVX786572 MFT786572 MPP786572 MZL786572 NJH786572 NTD786572 OCZ786572 OMV786572 OWR786572 PGN786572 PQJ786572 QAF786572 QKB786572 QTX786572 RDT786572 RNP786572 RXL786572 SHH786572 SRD786572 TAZ786572 TKV786572 TUR786572 UEN786572 UOJ786572 UYF786572 VIB786572 VRX786572 WBT786572 WLP786572 WVL786572 D852108 IZ852108 SV852108 ACR852108 AMN852108 AWJ852108 BGF852108 BQB852108 BZX852108 CJT852108 CTP852108 DDL852108 DNH852108 DXD852108 EGZ852108 EQV852108 FAR852108 FKN852108 FUJ852108 GEF852108 GOB852108 GXX852108 HHT852108 HRP852108 IBL852108 ILH852108 IVD852108 JEZ852108 JOV852108 JYR852108 KIN852108 KSJ852108 LCF852108 LMB852108 LVX852108 MFT852108 MPP852108 MZL852108 NJH852108 NTD852108 OCZ852108 OMV852108 OWR852108 PGN852108 PQJ852108 QAF852108 QKB852108 QTX852108 RDT852108 RNP852108 RXL852108 SHH852108 SRD852108 TAZ852108 TKV852108 TUR852108 UEN852108 UOJ852108 UYF852108 VIB852108 VRX852108 WBT852108 WLP852108 WVL852108 D917644 IZ917644 SV917644 ACR917644 AMN917644 AWJ917644 BGF917644 BQB917644 BZX917644 CJT917644 CTP917644 DDL917644 DNH917644 DXD917644 EGZ917644 EQV917644 FAR917644 FKN917644 FUJ917644 GEF917644 GOB917644 GXX917644 HHT917644 HRP917644 IBL917644 ILH917644 IVD917644 JEZ917644 JOV917644 JYR917644 KIN917644 KSJ917644 LCF917644 LMB917644 LVX917644 MFT917644 MPP917644 MZL917644 NJH917644 NTD917644 OCZ917644 OMV917644 OWR917644 PGN917644 PQJ917644 QAF917644 QKB917644 QTX917644 RDT917644 RNP917644 RXL917644 SHH917644 SRD917644 TAZ917644 TKV917644 TUR917644 UEN917644 UOJ917644 UYF917644 VIB917644 VRX917644 WBT917644 WLP917644 WVL917644 D983180 IZ983180 SV983180 ACR983180 AMN983180 AWJ983180 BGF983180 BQB983180 BZX983180 CJT983180 CTP983180 DDL983180 DNH983180 DXD983180 EGZ983180 EQV983180 FAR983180 FKN983180 FUJ983180 GEF983180 GOB983180 GXX983180 HHT983180 HRP983180 IBL983180 ILH983180 IVD983180 JEZ983180 JOV983180 JYR983180 KIN983180 KSJ983180 LCF983180 LMB983180 LVX983180 MFT983180 MPP983180 MZL983180 NJH983180 NTD983180 OCZ983180 OMV983180 OWR983180 PGN983180 PQJ983180 QAF983180 QKB983180 QTX983180 RDT983180 RNP983180 RXL983180 SHH983180 SRD983180 TAZ983180 TKV983180 TUR983180 UEN983180 UOJ983180 UYF983180 VIB983180 VRX983180 WBT983180 WLP983180 WVL983180 D451 IZ451 SV451 ACR451 AMN451 AWJ451 BGF451 BQB451 BZX451 CJT451 CTP451 DDL451 DNH451 DXD451 EGZ451 EQV451 FAR451 FKN451 FUJ451 GEF451 GOB451 GXX451 HHT451 HRP451 IBL451 ILH451 IVD451 JEZ451 JOV451 JYR451 KIN451 KSJ451 LCF451 LMB451 LVX451 MFT451 MPP451 MZL451 NJH451 NTD451 OCZ451 OMV451 OWR451 PGN451 PQJ451 QAF451 QKB451 QTX451 RDT451 RNP451 RXL451 SHH451 SRD451 TAZ451 TKV451 TUR451 UEN451 UOJ451 UYF451 VIB451 VRX451 WBT451 WLP451 WVL451 D65987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523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059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595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131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667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203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739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275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5811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347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6883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419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7955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491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xr:uid="{0AEB8C2A-0DD9-4567-B645-69BE5A2C4CB5}">
      <formula1>"Core1,Core2,Core3"</formula1>
    </dataValidation>
    <dataValidation type="list" allowBlank="1" showInputMessage="1" showErrorMessage="1" sqref="M766:N766 JI766:JJ766 TE766:TF766 ADA766:ADB766 AMW766:AMX766 AWS766:AWT766 BGO766:BGP766 BQK766:BQL766 CAG766:CAH766 CKC766:CKD766 CTY766:CTZ766 DDU766:DDV766 DNQ766:DNR766 DXM766:DXN766 EHI766:EHJ766 ERE766:ERF766 FBA766:FBB766 FKW766:FKX766 FUS766:FUT766 GEO766:GEP766 GOK766:GOL766 GYG766:GYH766 HIC766:HID766 HRY766:HRZ766 IBU766:IBV766 ILQ766:ILR766 IVM766:IVN766 JFI766:JFJ766 JPE766:JPF766 JZA766:JZB766 KIW766:KIX766 KSS766:KST766 LCO766:LCP766 LMK766:LML766 LWG766:LWH766 MGC766:MGD766 MPY766:MPZ766 MZU766:MZV766 NJQ766:NJR766 NTM766:NTN766 ODI766:ODJ766 ONE766:ONF766 OXA766:OXB766 PGW766:PGX766 PQS766:PQT766 QAO766:QAP766 QKK766:QKL766 QUG766:QUH766 REC766:RED766 RNY766:RNZ766 RXU766:RXV766 SHQ766:SHR766 SRM766:SRN766 TBI766:TBJ766 TLE766:TLF766 TVA766:TVB766 UEW766:UEX766 UOS766:UOT766 UYO766:UYP766 VIK766:VIL766 VSG766:VSH766 WCC766:WCD766 WLY766:WLZ766 WVU766:WVV766 M66302:N66302 JI66302:JJ66302 TE66302:TF66302 ADA66302:ADB66302 AMW66302:AMX66302 AWS66302:AWT66302 BGO66302:BGP66302 BQK66302:BQL66302 CAG66302:CAH66302 CKC66302:CKD66302 CTY66302:CTZ66302 DDU66302:DDV66302 DNQ66302:DNR66302 DXM66302:DXN66302 EHI66302:EHJ66302 ERE66302:ERF66302 FBA66302:FBB66302 FKW66302:FKX66302 FUS66302:FUT66302 GEO66302:GEP66302 GOK66302:GOL66302 GYG66302:GYH66302 HIC66302:HID66302 HRY66302:HRZ66302 IBU66302:IBV66302 ILQ66302:ILR66302 IVM66302:IVN66302 JFI66302:JFJ66302 JPE66302:JPF66302 JZA66302:JZB66302 KIW66302:KIX66302 KSS66302:KST66302 LCO66302:LCP66302 LMK66302:LML66302 LWG66302:LWH66302 MGC66302:MGD66302 MPY66302:MPZ66302 MZU66302:MZV66302 NJQ66302:NJR66302 NTM66302:NTN66302 ODI66302:ODJ66302 ONE66302:ONF66302 OXA66302:OXB66302 PGW66302:PGX66302 PQS66302:PQT66302 QAO66302:QAP66302 QKK66302:QKL66302 QUG66302:QUH66302 REC66302:RED66302 RNY66302:RNZ66302 RXU66302:RXV66302 SHQ66302:SHR66302 SRM66302:SRN66302 TBI66302:TBJ66302 TLE66302:TLF66302 TVA66302:TVB66302 UEW66302:UEX66302 UOS66302:UOT66302 UYO66302:UYP66302 VIK66302:VIL66302 VSG66302:VSH66302 WCC66302:WCD66302 WLY66302:WLZ66302 WVU66302:WVV66302 M131838:N131838 JI131838:JJ131838 TE131838:TF131838 ADA131838:ADB131838 AMW131838:AMX131838 AWS131838:AWT131838 BGO131838:BGP131838 BQK131838:BQL131838 CAG131838:CAH131838 CKC131838:CKD131838 CTY131838:CTZ131838 DDU131838:DDV131838 DNQ131838:DNR131838 DXM131838:DXN131838 EHI131838:EHJ131838 ERE131838:ERF131838 FBA131838:FBB131838 FKW131838:FKX131838 FUS131838:FUT131838 GEO131838:GEP131838 GOK131838:GOL131838 GYG131838:GYH131838 HIC131838:HID131838 HRY131838:HRZ131838 IBU131838:IBV131838 ILQ131838:ILR131838 IVM131838:IVN131838 JFI131838:JFJ131838 JPE131838:JPF131838 JZA131838:JZB131838 KIW131838:KIX131838 KSS131838:KST131838 LCO131838:LCP131838 LMK131838:LML131838 LWG131838:LWH131838 MGC131838:MGD131838 MPY131838:MPZ131838 MZU131838:MZV131838 NJQ131838:NJR131838 NTM131838:NTN131838 ODI131838:ODJ131838 ONE131838:ONF131838 OXA131838:OXB131838 PGW131838:PGX131838 PQS131838:PQT131838 QAO131838:QAP131838 QKK131838:QKL131838 QUG131838:QUH131838 REC131838:RED131838 RNY131838:RNZ131838 RXU131838:RXV131838 SHQ131838:SHR131838 SRM131838:SRN131838 TBI131838:TBJ131838 TLE131838:TLF131838 TVA131838:TVB131838 UEW131838:UEX131838 UOS131838:UOT131838 UYO131838:UYP131838 VIK131838:VIL131838 VSG131838:VSH131838 WCC131838:WCD131838 WLY131838:WLZ131838 WVU131838:WVV131838 M197374:N197374 JI197374:JJ197374 TE197374:TF197374 ADA197374:ADB197374 AMW197374:AMX197374 AWS197374:AWT197374 BGO197374:BGP197374 BQK197374:BQL197374 CAG197374:CAH197374 CKC197374:CKD197374 CTY197374:CTZ197374 DDU197374:DDV197374 DNQ197374:DNR197374 DXM197374:DXN197374 EHI197374:EHJ197374 ERE197374:ERF197374 FBA197374:FBB197374 FKW197374:FKX197374 FUS197374:FUT197374 GEO197374:GEP197374 GOK197374:GOL197374 GYG197374:GYH197374 HIC197374:HID197374 HRY197374:HRZ197374 IBU197374:IBV197374 ILQ197374:ILR197374 IVM197374:IVN197374 JFI197374:JFJ197374 JPE197374:JPF197374 JZA197374:JZB197374 KIW197374:KIX197374 KSS197374:KST197374 LCO197374:LCP197374 LMK197374:LML197374 LWG197374:LWH197374 MGC197374:MGD197374 MPY197374:MPZ197374 MZU197374:MZV197374 NJQ197374:NJR197374 NTM197374:NTN197374 ODI197374:ODJ197374 ONE197374:ONF197374 OXA197374:OXB197374 PGW197374:PGX197374 PQS197374:PQT197374 QAO197374:QAP197374 QKK197374:QKL197374 QUG197374:QUH197374 REC197374:RED197374 RNY197374:RNZ197374 RXU197374:RXV197374 SHQ197374:SHR197374 SRM197374:SRN197374 TBI197374:TBJ197374 TLE197374:TLF197374 TVA197374:TVB197374 UEW197374:UEX197374 UOS197374:UOT197374 UYO197374:UYP197374 VIK197374:VIL197374 VSG197374:VSH197374 WCC197374:WCD197374 WLY197374:WLZ197374 WVU197374:WVV197374 M262910:N262910 JI262910:JJ262910 TE262910:TF262910 ADA262910:ADB262910 AMW262910:AMX262910 AWS262910:AWT262910 BGO262910:BGP262910 BQK262910:BQL262910 CAG262910:CAH262910 CKC262910:CKD262910 CTY262910:CTZ262910 DDU262910:DDV262910 DNQ262910:DNR262910 DXM262910:DXN262910 EHI262910:EHJ262910 ERE262910:ERF262910 FBA262910:FBB262910 FKW262910:FKX262910 FUS262910:FUT262910 GEO262910:GEP262910 GOK262910:GOL262910 GYG262910:GYH262910 HIC262910:HID262910 HRY262910:HRZ262910 IBU262910:IBV262910 ILQ262910:ILR262910 IVM262910:IVN262910 JFI262910:JFJ262910 JPE262910:JPF262910 JZA262910:JZB262910 KIW262910:KIX262910 KSS262910:KST262910 LCO262910:LCP262910 LMK262910:LML262910 LWG262910:LWH262910 MGC262910:MGD262910 MPY262910:MPZ262910 MZU262910:MZV262910 NJQ262910:NJR262910 NTM262910:NTN262910 ODI262910:ODJ262910 ONE262910:ONF262910 OXA262910:OXB262910 PGW262910:PGX262910 PQS262910:PQT262910 QAO262910:QAP262910 QKK262910:QKL262910 QUG262910:QUH262910 REC262910:RED262910 RNY262910:RNZ262910 RXU262910:RXV262910 SHQ262910:SHR262910 SRM262910:SRN262910 TBI262910:TBJ262910 TLE262910:TLF262910 TVA262910:TVB262910 UEW262910:UEX262910 UOS262910:UOT262910 UYO262910:UYP262910 VIK262910:VIL262910 VSG262910:VSH262910 WCC262910:WCD262910 WLY262910:WLZ262910 WVU262910:WVV262910 M328446:N328446 JI328446:JJ328446 TE328446:TF328446 ADA328446:ADB328446 AMW328446:AMX328446 AWS328446:AWT328446 BGO328446:BGP328446 BQK328446:BQL328446 CAG328446:CAH328446 CKC328446:CKD328446 CTY328446:CTZ328446 DDU328446:DDV328446 DNQ328446:DNR328446 DXM328446:DXN328446 EHI328446:EHJ328446 ERE328446:ERF328446 FBA328446:FBB328446 FKW328446:FKX328446 FUS328446:FUT328446 GEO328446:GEP328446 GOK328446:GOL328446 GYG328446:GYH328446 HIC328446:HID328446 HRY328446:HRZ328446 IBU328446:IBV328446 ILQ328446:ILR328446 IVM328446:IVN328446 JFI328446:JFJ328446 JPE328446:JPF328446 JZA328446:JZB328446 KIW328446:KIX328446 KSS328446:KST328446 LCO328446:LCP328446 LMK328446:LML328446 LWG328446:LWH328446 MGC328446:MGD328446 MPY328446:MPZ328446 MZU328446:MZV328446 NJQ328446:NJR328446 NTM328446:NTN328446 ODI328446:ODJ328446 ONE328446:ONF328446 OXA328446:OXB328446 PGW328446:PGX328446 PQS328446:PQT328446 QAO328446:QAP328446 QKK328446:QKL328446 QUG328446:QUH328446 REC328446:RED328446 RNY328446:RNZ328446 RXU328446:RXV328446 SHQ328446:SHR328446 SRM328446:SRN328446 TBI328446:TBJ328446 TLE328446:TLF328446 TVA328446:TVB328446 UEW328446:UEX328446 UOS328446:UOT328446 UYO328446:UYP328446 VIK328446:VIL328446 VSG328446:VSH328446 WCC328446:WCD328446 WLY328446:WLZ328446 WVU328446:WVV328446 M393982:N393982 JI393982:JJ393982 TE393982:TF393982 ADA393982:ADB393982 AMW393982:AMX393982 AWS393982:AWT393982 BGO393982:BGP393982 BQK393982:BQL393982 CAG393982:CAH393982 CKC393982:CKD393982 CTY393982:CTZ393982 DDU393982:DDV393982 DNQ393982:DNR393982 DXM393982:DXN393982 EHI393982:EHJ393982 ERE393982:ERF393982 FBA393982:FBB393982 FKW393982:FKX393982 FUS393982:FUT393982 GEO393982:GEP393982 GOK393982:GOL393982 GYG393982:GYH393982 HIC393982:HID393982 HRY393982:HRZ393982 IBU393982:IBV393982 ILQ393982:ILR393982 IVM393982:IVN393982 JFI393982:JFJ393982 JPE393982:JPF393982 JZA393982:JZB393982 KIW393982:KIX393982 KSS393982:KST393982 LCO393982:LCP393982 LMK393982:LML393982 LWG393982:LWH393982 MGC393982:MGD393982 MPY393982:MPZ393982 MZU393982:MZV393982 NJQ393982:NJR393982 NTM393982:NTN393982 ODI393982:ODJ393982 ONE393982:ONF393982 OXA393982:OXB393982 PGW393982:PGX393982 PQS393982:PQT393982 QAO393982:QAP393982 QKK393982:QKL393982 QUG393982:QUH393982 REC393982:RED393982 RNY393982:RNZ393982 RXU393982:RXV393982 SHQ393982:SHR393982 SRM393982:SRN393982 TBI393982:TBJ393982 TLE393982:TLF393982 TVA393982:TVB393982 UEW393982:UEX393982 UOS393982:UOT393982 UYO393982:UYP393982 VIK393982:VIL393982 VSG393982:VSH393982 WCC393982:WCD393982 WLY393982:WLZ393982 WVU393982:WVV393982 M459518:N459518 JI459518:JJ459518 TE459518:TF459518 ADA459518:ADB459518 AMW459518:AMX459518 AWS459518:AWT459518 BGO459518:BGP459518 BQK459518:BQL459518 CAG459518:CAH459518 CKC459518:CKD459518 CTY459518:CTZ459518 DDU459518:DDV459518 DNQ459518:DNR459518 DXM459518:DXN459518 EHI459518:EHJ459518 ERE459518:ERF459518 FBA459518:FBB459518 FKW459518:FKX459518 FUS459518:FUT459518 GEO459518:GEP459518 GOK459518:GOL459518 GYG459518:GYH459518 HIC459518:HID459518 HRY459518:HRZ459518 IBU459518:IBV459518 ILQ459518:ILR459518 IVM459518:IVN459518 JFI459518:JFJ459518 JPE459518:JPF459518 JZA459518:JZB459518 KIW459518:KIX459518 KSS459518:KST459518 LCO459518:LCP459518 LMK459518:LML459518 LWG459518:LWH459518 MGC459518:MGD459518 MPY459518:MPZ459518 MZU459518:MZV459518 NJQ459518:NJR459518 NTM459518:NTN459518 ODI459518:ODJ459518 ONE459518:ONF459518 OXA459518:OXB459518 PGW459518:PGX459518 PQS459518:PQT459518 QAO459518:QAP459518 QKK459518:QKL459518 QUG459518:QUH459518 REC459518:RED459518 RNY459518:RNZ459518 RXU459518:RXV459518 SHQ459518:SHR459518 SRM459518:SRN459518 TBI459518:TBJ459518 TLE459518:TLF459518 TVA459518:TVB459518 UEW459518:UEX459518 UOS459518:UOT459518 UYO459518:UYP459518 VIK459518:VIL459518 VSG459518:VSH459518 WCC459518:WCD459518 WLY459518:WLZ459518 WVU459518:WVV459518 M525054:N525054 JI525054:JJ525054 TE525054:TF525054 ADA525054:ADB525054 AMW525054:AMX525054 AWS525054:AWT525054 BGO525054:BGP525054 BQK525054:BQL525054 CAG525054:CAH525054 CKC525054:CKD525054 CTY525054:CTZ525054 DDU525054:DDV525054 DNQ525054:DNR525054 DXM525054:DXN525054 EHI525054:EHJ525054 ERE525054:ERF525054 FBA525054:FBB525054 FKW525054:FKX525054 FUS525054:FUT525054 GEO525054:GEP525054 GOK525054:GOL525054 GYG525054:GYH525054 HIC525054:HID525054 HRY525054:HRZ525054 IBU525054:IBV525054 ILQ525054:ILR525054 IVM525054:IVN525054 JFI525054:JFJ525054 JPE525054:JPF525054 JZA525054:JZB525054 KIW525054:KIX525054 KSS525054:KST525054 LCO525054:LCP525054 LMK525054:LML525054 LWG525054:LWH525054 MGC525054:MGD525054 MPY525054:MPZ525054 MZU525054:MZV525054 NJQ525054:NJR525054 NTM525054:NTN525054 ODI525054:ODJ525054 ONE525054:ONF525054 OXA525054:OXB525054 PGW525054:PGX525054 PQS525054:PQT525054 QAO525054:QAP525054 QKK525054:QKL525054 QUG525054:QUH525054 REC525054:RED525054 RNY525054:RNZ525054 RXU525054:RXV525054 SHQ525054:SHR525054 SRM525054:SRN525054 TBI525054:TBJ525054 TLE525054:TLF525054 TVA525054:TVB525054 UEW525054:UEX525054 UOS525054:UOT525054 UYO525054:UYP525054 VIK525054:VIL525054 VSG525054:VSH525054 WCC525054:WCD525054 WLY525054:WLZ525054 WVU525054:WVV525054 M590590:N590590 JI590590:JJ590590 TE590590:TF590590 ADA590590:ADB590590 AMW590590:AMX590590 AWS590590:AWT590590 BGO590590:BGP590590 BQK590590:BQL590590 CAG590590:CAH590590 CKC590590:CKD590590 CTY590590:CTZ590590 DDU590590:DDV590590 DNQ590590:DNR590590 DXM590590:DXN590590 EHI590590:EHJ590590 ERE590590:ERF590590 FBA590590:FBB590590 FKW590590:FKX590590 FUS590590:FUT590590 GEO590590:GEP590590 GOK590590:GOL590590 GYG590590:GYH590590 HIC590590:HID590590 HRY590590:HRZ590590 IBU590590:IBV590590 ILQ590590:ILR590590 IVM590590:IVN590590 JFI590590:JFJ590590 JPE590590:JPF590590 JZA590590:JZB590590 KIW590590:KIX590590 KSS590590:KST590590 LCO590590:LCP590590 LMK590590:LML590590 LWG590590:LWH590590 MGC590590:MGD590590 MPY590590:MPZ590590 MZU590590:MZV590590 NJQ590590:NJR590590 NTM590590:NTN590590 ODI590590:ODJ590590 ONE590590:ONF590590 OXA590590:OXB590590 PGW590590:PGX590590 PQS590590:PQT590590 QAO590590:QAP590590 QKK590590:QKL590590 QUG590590:QUH590590 REC590590:RED590590 RNY590590:RNZ590590 RXU590590:RXV590590 SHQ590590:SHR590590 SRM590590:SRN590590 TBI590590:TBJ590590 TLE590590:TLF590590 TVA590590:TVB590590 UEW590590:UEX590590 UOS590590:UOT590590 UYO590590:UYP590590 VIK590590:VIL590590 VSG590590:VSH590590 WCC590590:WCD590590 WLY590590:WLZ590590 WVU590590:WVV590590 M656126:N656126 JI656126:JJ656126 TE656126:TF656126 ADA656126:ADB656126 AMW656126:AMX656126 AWS656126:AWT656126 BGO656126:BGP656126 BQK656126:BQL656126 CAG656126:CAH656126 CKC656126:CKD656126 CTY656126:CTZ656126 DDU656126:DDV656126 DNQ656126:DNR656126 DXM656126:DXN656126 EHI656126:EHJ656126 ERE656126:ERF656126 FBA656126:FBB656126 FKW656126:FKX656126 FUS656126:FUT656126 GEO656126:GEP656126 GOK656126:GOL656126 GYG656126:GYH656126 HIC656126:HID656126 HRY656126:HRZ656126 IBU656126:IBV656126 ILQ656126:ILR656126 IVM656126:IVN656126 JFI656126:JFJ656126 JPE656126:JPF656126 JZA656126:JZB656126 KIW656126:KIX656126 KSS656126:KST656126 LCO656126:LCP656126 LMK656126:LML656126 LWG656126:LWH656126 MGC656126:MGD656126 MPY656126:MPZ656126 MZU656126:MZV656126 NJQ656126:NJR656126 NTM656126:NTN656126 ODI656126:ODJ656126 ONE656126:ONF656126 OXA656126:OXB656126 PGW656126:PGX656126 PQS656126:PQT656126 QAO656126:QAP656126 QKK656126:QKL656126 QUG656126:QUH656126 REC656126:RED656126 RNY656126:RNZ656126 RXU656126:RXV656126 SHQ656126:SHR656126 SRM656126:SRN656126 TBI656126:TBJ656126 TLE656126:TLF656126 TVA656126:TVB656126 UEW656126:UEX656126 UOS656126:UOT656126 UYO656126:UYP656126 VIK656126:VIL656126 VSG656126:VSH656126 WCC656126:WCD656126 WLY656126:WLZ656126 WVU656126:WVV656126 M721662:N721662 JI721662:JJ721662 TE721662:TF721662 ADA721662:ADB721662 AMW721662:AMX721662 AWS721662:AWT721662 BGO721662:BGP721662 BQK721662:BQL721662 CAG721662:CAH721662 CKC721662:CKD721662 CTY721662:CTZ721662 DDU721662:DDV721662 DNQ721662:DNR721662 DXM721662:DXN721662 EHI721662:EHJ721662 ERE721662:ERF721662 FBA721662:FBB721662 FKW721662:FKX721662 FUS721662:FUT721662 GEO721662:GEP721662 GOK721662:GOL721662 GYG721662:GYH721662 HIC721662:HID721662 HRY721662:HRZ721662 IBU721662:IBV721662 ILQ721662:ILR721662 IVM721662:IVN721662 JFI721662:JFJ721662 JPE721662:JPF721662 JZA721662:JZB721662 KIW721662:KIX721662 KSS721662:KST721662 LCO721662:LCP721662 LMK721662:LML721662 LWG721662:LWH721662 MGC721662:MGD721662 MPY721662:MPZ721662 MZU721662:MZV721662 NJQ721662:NJR721662 NTM721662:NTN721662 ODI721662:ODJ721662 ONE721662:ONF721662 OXA721662:OXB721662 PGW721662:PGX721662 PQS721662:PQT721662 QAO721662:QAP721662 QKK721662:QKL721662 QUG721662:QUH721662 REC721662:RED721662 RNY721662:RNZ721662 RXU721662:RXV721662 SHQ721662:SHR721662 SRM721662:SRN721662 TBI721662:TBJ721662 TLE721662:TLF721662 TVA721662:TVB721662 UEW721662:UEX721662 UOS721662:UOT721662 UYO721662:UYP721662 VIK721662:VIL721662 VSG721662:VSH721662 WCC721662:WCD721662 WLY721662:WLZ721662 WVU721662:WVV721662 M787198:N787198 JI787198:JJ787198 TE787198:TF787198 ADA787198:ADB787198 AMW787198:AMX787198 AWS787198:AWT787198 BGO787198:BGP787198 BQK787198:BQL787198 CAG787198:CAH787198 CKC787198:CKD787198 CTY787198:CTZ787198 DDU787198:DDV787198 DNQ787198:DNR787198 DXM787198:DXN787198 EHI787198:EHJ787198 ERE787198:ERF787198 FBA787198:FBB787198 FKW787198:FKX787198 FUS787198:FUT787198 GEO787198:GEP787198 GOK787198:GOL787198 GYG787198:GYH787198 HIC787198:HID787198 HRY787198:HRZ787198 IBU787198:IBV787198 ILQ787198:ILR787198 IVM787198:IVN787198 JFI787198:JFJ787198 JPE787198:JPF787198 JZA787198:JZB787198 KIW787198:KIX787198 KSS787198:KST787198 LCO787198:LCP787198 LMK787198:LML787198 LWG787198:LWH787198 MGC787198:MGD787198 MPY787198:MPZ787198 MZU787198:MZV787198 NJQ787198:NJR787198 NTM787198:NTN787198 ODI787198:ODJ787198 ONE787198:ONF787198 OXA787198:OXB787198 PGW787198:PGX787198 PQS787198:PQT787198 QAO787198:QAP787198 QKK787198:QKL787198 QUG787198:QUH787198 REC787198:RED787198 RNY787198:RNZ787198 RXU787198:RXV787198 SHQ787198:SHR787198 SRM787198:SRN787198 TBI787198:TBJ787198 TLE787198:TLF787198 TVA787198:TVB787198 UEW787198:UEX787198 UOS787198:UOT787198 UYO787198:UYP787198 VIK787198:VIL787198 VSG787198:VSH787198 WCC787198:WCD787198 WLY787198:WLZ787198 WVU787198:WVV787198 M852734:N852734 JI852734:JJ852734 TE852734:TF852734 ADA852734:ADB852734 AMW852734:AMX852734 AWS852734:AWT852734 BGO852734:BGP852734 BQK852734:BQL852734 CAG852734:CAH852734 CKC852734:CKD852734 CTY852734:CTZ852734 DDU852734:DDV852734 DNQ852734:DNR852734 DXM852734:DXN852734 EHI852734:EHJ852734 ERE852734:ERF852734 FBA852734:FBB852734 FKW852734:FKX852734 FUS852734:FUT852734 GEO852734:GEP852734 GOK852734:GOL852734 GYG852734:GYH852734 HIC852734:HID852734 HRY852734:HRZ852734 IBU852734:IBV852734 ILQ852734:ILR852734 IVM852734:IVN852734 JFI852734:JFJ852734 JPE852734:JPF852734 JZA852734:JZB852734 KIW852734:KIX852734 KSS852734:KST852734 LCO852734:LCP852734 LMK852734:LML852734 LWG852734:LWH852734 MGC852734:MGD852734 MPY852734:MPZ852734 MZU852734:MZV852734 NJQ852734:NJR852734 NTM852734:NTN852734 ODI852734:ODJ852734 ONE852734:ONF852734 OXA852734:OXB852734 PGW852734:PGX852734 PQS852734:PQT852734 QAO852734:QAP852734 QKK852734:QKL852734 QUG852734:QUH852734 REC852734:RED852734 RNY852734:RNZ852734 RXU852734:RXV852734 SHQ852734:SHR852734 SRM852734:SRN852734 TBI852734:TBJ852734 TLE852734:TLF852734 TVA852734:TVB852734 UEW852734:UEX852734 UOS852734:UOT852734 UYO852734:UYP852734 VIK852734:VIL852734 VSG852734:VSH852734 WCC852734:WCD852734 WLY852734:WLZ852734 WVU852734:WVV852734 M918270:N918270 JI918270:JJ918270 TE918270:TF918270 ADA918270:ADB918270 AMW918270:AMX918270 AWS918270:AWT918270 BGO918270:BGP918270 BQK918270:BQL918270 CAG918270:CAH918270 CKC918270:CKD918270 CTY918270:CTZ918270 DDU918270:DDV918270 DNQ918270:DNR918270 DXM918270:DXN918270 EHI918270:EHJ918270 ERE918270:ERF918270 FBA918270:FBB918270 FKW918270:FKX918270 FUS918270:FUT918270 GEO918270:GEP918270 GOK918270:GOL918270 GYG918270:GYH918270 HIC918270:HID918270 HRY918270:HRZ918270 IBU918270:IBV918270 ILQ918270:ILR918270 IVM918270:IVN918270 JFI918270:JFJ918270 JPE918270:JPF918270 JZA918270:JZB918270 KIW918270:KIX918270 KSS918270:KST918270 LCO918270:LCP918270 LMK918270:LML918270 LWG918270:LWH918270 MGC918270:MGD918270 MPY918270:MPZ918270 MZU918270:MZV918270 NJQ918270:NJR918270 NTM918270:NTN918270 ODI918270:ODJ918270 ONE918270:ONF918270 OXA918270:OXB918270 PGW918270:PGX918270 PQS918270:PQT918270 QAO918270:QAP918270 QKK918270:QKL918270 QUG918270:QUH918270 REC918270:RED918270 RNY918270:RNZ918270 RXU918270:RXV918270 SHQ918270:SHR918270 SRM918270:SRN918270 TBI918270:TBJ918270 TLE918270:TLF918270 TVA918270:TVB918270 UEW918270:UEX918270 UOS918270:UOT918270 UYO918270:UYP918270 VIK918270:VIL918270 VSG918270:VSH918270 WCC918270:WCD918270 WLY918270:WLZ918270 WVU918270:WVV918270 M983806:N983806 JI983806:JJ983806 TE983806:TF983806 ADA983806:ADB983806 AMW983806:AMX983806 AWS983806:AWT983806 BGO983806:BGP983806 BQK983806:BQL983806 CAG983806:CAH983806 CKC983806:CKD983806 CTY983806:CTZ983806 DDU983806:DDV983806 DNQ983806:DNR983806 DXM983806:DXN983806 EHI983806:EHJ983806 ERE983806:ERF983806 FBA983806:FBB983806 FKW983806:FKX983806 FUS983806:FUT983806 GEO983806:GEP983806 GOK983806:GOL983806 GYG983806:GYH983806 HIC983806:HID983806 HRY983806:HRZ983806 IBU983806:IBV983806 ILQ983806:ILR983806 IVM983806:IVN983806 JFI983806:JFJ983806 JPE983806:JPF983806 JZA983806:JZB983806 KIW983806:KIX983806 KSS983806:KST983806 LCO983806:LCP983806 LMK983806:LML983806 LWG983806:LWH983806 MGC983806:MGD983806 MPY983806:MPZ983806 MZU983806:MZV983806 NJQ983806:NJR983806 NTM983806:NTN983806 ODI983806:ODJ983806 ONE983806:ONF983806 OXA983806:OXB983806 PGW983806:PGX983806 PQS983806:PQT983806 QAO983806:QAP983806 QKK983806:QKL983806 QUG983806:QUH983806 REC983806:RED983806 RNY983806:RNZ983806 RXU983806:RXV983806 SHQ983806:SHR983806 SRM983806:SRN983806 TBI983806:TBJ983806 TLE983806:TLF983806 TVA983806:TVB983806 UEW983806:UEX983806 UOS983806:UOT983806 UYO983806:UYP983806 VIK983806:VIL983806 VSG983806:VSH983806 WCC983806:WCD983806 WLY983806:WLZ983806 WVU983806:WVV983806 M634:N634 JI634:JJ634 TE634:TF634 ADA634:ADB634 AMW634:AMX634 AWS634:AWT634 BGO634:BGP634 BQK634:BQL634 CAG634:CAH634 CKC634:CKD634 CTY634:CTZ634 DDU634:DDV634 DNQ634:DNR634 DXM634:DXN634 EHI634:EHJ634 ERE634:ERF634 FBA634:FBB634 FKW634:FKX634 FUS634:FUT634 GEO634:GEP634 GOK634:GOL634 GYG634:GYH634 HIC634:HID634 HRY634:HRZ634 IBU634:IBV634 ILQ634:ILR634 IVM634:IVN634 JFI634:JFJ634 JPE634:JPF634 JZA634:JZB634 KIW634:KIX634 KSS634:KST634 LCO634:LCP634 LMK634:LML634 LWG634:LWH634 MGC634:MGD634 MPY634:MPZ634 MZU634:MZV634 NJQ634:NJR634 NTM634:NTN634 ODI634:ODJ634 ONE634:ONF634 OXA634:OXB634 PGW634:PGX634 PQS634:PQT634 QAO634:QAP634 QKK634:QKL634 QUG634:QUH634 REC634:RED634 RNY634:RNZ634 RXU634:RXV634 SHQ634:SHR634 SRM634:SRN634 TBI634:TBJ634 TLE634:TLF634 TVA634:TVB634 UEW634:UEX634 UOS634:UOT634 UYO634:UYP634 VIK634:VIL634 VSG634:VSH634 WCC634:WCD634 WLY634:WLZ634 WVU634:WVV634 M66170:N66170 JI66170:JJ66170 TE66170:TF66170 ADA66170:ADB66170 AMW66170:AMX66170 AWS66170:AWT66170 BGO66170:BGP66170 BQK66170:BQL66170 CAG66170:CAH66170 CKC66170:CKD66170 CTY66170:CTZ66170 DDU66170:DDV66170 DNQ66170:DNR66170 DXM66170:DXN66170 EHI66170:EHJ66170 ERE66170:ERF66170 FBA66170:FBB66170 FKW66170:FKX66170 FUS66170:FUT66170 GEO66170:GEP66170 GOK66170:GOL66170 GYG66170:GYH66170 HIC66170:HID66170 HRY66170:HRZ66170 IBU66170:IBV66170 ILQ66170:ILR66170 IVM66170:IVN66170 JFI66170:JFJ66170 JPE66170:JPF66170 JZA66170:JZB66170 KIW66170:KIX66170 KSS66170:KST66170 LCO66170:LCP66170 LMK66170:LML66170 LWG66170:LWH66170 MGC66170:MGD66170 MPY66170:MPZ66170 MZU66170:MZV66170 NJQ66170:NJR66170 NTM66170:NTN66170 ODI66170:ODJ66170 ONE66170:ONF66170 OXA66170:OXB66170 PGW66170:PGX66170 PQS66170:PQT66170 QAO66170:QAP66170 QKK66170:QKL66170 QUG66170:QUH66170 REC66170:RED66170 RNY66170:RNZ66170 RXU66170:RXV66170 SHQ66170:SHR66170 SRM66170:SRN66170 TBI66170:TBJ66170 TLE66170:TLF66170 TVA66170:TVB66170 UEW66170:UEX66170 UOS66170:UOT66170 UYO66170:UYP66170 VIK66170:VIL66170 VSG66170:VSH66170 WCC66170:WCD66170 WLY66170:WLZ66170 WVU66170:WVV66170 M131706:N131706 JI131706:JJ131706 TE131706:TF131706 ADA131706:ADB131706 AMW131706:AMX131706 AWS131706:AWT131706 BGO131706:BGP131706 BQK131706:BQL131706 CAG131706:CAH131706 CKC131706:CKD131706 CTY131706:CTZ131706 DDU131706:DDV131706 DNQ131706:DNR131706 DXM131706:DXN131706 EHI131706:EHJ131706 ERE131706:ERF131706 FBA131706:FBB131706 FKW131706:FKX131706 FUS131706:FUT131706 GEO131706:GEP131706 GOK131706:GOL131706 GYG131706:GYH131706 HIC131706:HID131706 HRY131706:HRZ131706 IBU131706:IBV131706 ILQ131706:ILR131706 IVM131706:IVN131706 JFI131706:JFJ131706 JPE131706:JPF131706 JZA131706:JZB131706 KIW131706:KIX131706 KSS131706:KST131706 LCO131706:LCP131706 LMK131706:LML131706 LWG131706:LWH131706 MGC131706:MGD131706 MPY131706:MPZ131706 MZU131706:MZV131706 NJQ131706:NJR131706 NTM131706:NTN131706 ODI131706:ODJ131706 ONE131706:ONF131706 OXA131706:OXB131706 PGW131706:PGX131706 PQS131706:PQT131706 QAO131706:QAP131706 QKK131706:QKL131706 QUG131706:QUH131706 REC131706:RED131706 RNY131706:RNZ131706 RXU131706:RXV131706 SHQ131706:SHR131706 SRM131706:SRN131706 TBI131706:TBJ131706 TLE131706:TLF131706 TVA131706:TVB131706 UEW131706:UEX131706 UOS131706:UOT131706 UYO131706:UYP131706 VIK131706:VIL131706 VSG131706:VSH131706 WCC131706:WCD131706 WLY131706:WLZ131706 WVU131706:WVV131706 M197242:N197242 JI197242:JJ197242 TE197242:TF197242 ADA197242:ADB197242 AMW197242:AMX197242 AWS197242:AWT197242 BGO197242:BGP197242 BQK197242:BQL197242 CAG197242:CAH197242 CKC197242:CKD197242 CTY197242:CTZ197242 DDU197242:DDV197242 DNQ197242:DNR197242 DXM197242:DXN197242 EHI197242:EHJ197242 ERE197242:ERF197242 FBA197242:FBB197242 FKW197242:FKX197242 FUS197242:FUT197242 GEO197242:GEP197242 GOK197242:GOL197242 GYG197242:GYH197242 HIC197242:HID197242 HRY197242:HRZ197242 IBU197242:IBV197242 ILQ197242:ILR197242 IVM197242:IVN197242 JFI197242:JFJ197242 JPE197242:JPF197242 JZA197242:JZB197242 KIW197242:KIX197242 KSS197242:KST197242 LCO197242:LCP197242 LMK197242:LML197242 LWG197242:LWH197242 MGC197242:MGD197242 MPY197242:MPZ197242 MZU197242:MZV197242 NJQ197242:NJR197242 NTM197242:NTN197242 ODI197242:ODJ197242 ONE197242:ONF197242 OXA197242:OXB197242 PGW197242:PGX197242 PQS197242:PQT197242 QAO197242:QAP197242 QKK197242:QKL197242 QUG197242:QUH197242 REC197242:RED197242 RNY197242:RNZ197242 RXU197242:RXV197242 SHQ197242:SHR197242 SRM197242:SRN197242 TBI197242:TBJ197242 TLE197242:TLF197242 TVA197242:TVB197242 UEW197242:UEX197242 UOS197242:UOT197242 UYO197242:UYP197242 VIK197242:VIL197242 VSG197242:VSH197242 WCC197242:WCD197242 WLY197242:WLZ197242 WVU197242:WVV197242 M262778:N262778 JI262778:JJ262778 TE262778:TF262778 ADA262778:ADB262778 AMW262778:AMX262778 AWS262778:AWT262778 BGO262778:BGP262778 BQK262778:BQL262778 CAG262778:CAH262778 CKC262778:CKD262778 CTY262778:CTZ262778 DDU262778:DDV262778 DNQ262778:DNR262778 DXM262778:DXN262778 EHI262778:EHJ262778 ERE262778:ERF262778 FBA262778:FBB262778 FKW262778:FKX262778 FUS262778:FUT262778 GEO262778:GEP262778 GOK262778:GOL262778 GYG262778:GYH262778 HIC262778:HID262778 HRY262778:HRZ262778 IBU262778:IBV262778 ILQ262778:ILR262778 IVM262778:IVN262778 JFI262778:JFJ262778 JPE262778:JPF262778 JZA262778:JZB262778 KIW262778:KIX262778 KSS262778:KST262778 LCO262778:LCP262778 LMK262778:LML262778 LWG262778:LWH262778 MGC262778:MGD262778 MPY262778:MPZ262778 MZU262778:MZV262778 NJQ262778:NJR262778 NTM262778:NTN262778 ODI262778:ODJ262778 ONE262778:ONF262778 OXA262778:OXB262778 PGW262778:PGX262778 PQS262778:PQT262778 QAO262778:QAP262778 QKK262778:QKL262778 QUG262778:QUH262778 REC262778:RED262778 RNY262778:RNZ262778 RXU262778:RXV262778 SHQ262778:SHR262778 SRM262778:SRN262778 TBI262778:TBJ262778 TLE262778:TLF262778 TVA262778:TVB262778 UEW262778:UEX262778 UOS262778:UOT262778 UYO262778:UYP262778 VIK262778:VIL262778 VSG262778:VSH262778 WCC262778:WCD262778 WLY262778:WLZ262778 WVU262778:WVV262778 M328314:N328314 JI328314:JJ328314 TE328314:TF328314 ADA328314:ADB328314 AMW328314:AMX328314 AWS328314:AWT328314 BGO328314:BGP328314 BQK328314:BQL328314 CAG328314:CAH328314 CKC328314:CKD328314 CTY328314:CTZ328314 DDU328314:DDV328314 DNQ328314:DNR328314 DXM328314:DXN328314 EHI328314:EHJ328314 ERE328314:ERF328314 FBA328314:FBB328314 FKW328314:FKX328314 FUS328314:FUT328314 GEO328314:GEP328314 GOK328314:GOL328314 GYG328314:GYH328314 HIC328314:HID328314 HRY328314:HRZ328314 IBU328314:IBV328314 ILQ328314:ILR328314 IVM328314:IVN328314 JFI328314:JFJ328314 JPE328314:JPF328314 JZA328314:JZB328314 KIW328314:KIX328314 KSS328314:KST328314 LCO328314:LCP328314 LMK328314:LML328314 LWG328314:LWH328314 MGC328314:MGD328314 MPY328314:MPZ328314 MZU328314:MZV328314 NJQ328314:NJR328314 NTM328314:NTN328314 ODI328314:ODJ328314 ONE328314:ONF328314 OXA328314:OXB328314 PGW328314:PGX328314 PQS328314:PQT328314 QAO328314:QAP328314 QKK328314:QKL328314 QUG328314:QUH328314 REC328314:RED328314 RNY328314:RNZ328314 RXU328314:RXV328314 SHQ328314:SHR328314 SRM328314:SRN328314 TBI328314:TBJ328314 TLE328314:TLF328314 TVA328314:TVB328314 UEW328314:UEX328314 UOS328314:UOT328314 UYO328314:UYP328314 VIK328314:VIL328314 VSG328314:VSH328314 WCC328314:WCD328314 WLY328314:WLZ328314 WVU328314:WVV328314 M393850:N393850 JI393850:JJ393850 TE393850:TF393850 ADA393850:ADB393850 AMW393850:AMX393850 AWS393850:AWT393850 BGO393850:BGP393850 BQK393850:BQL393850 CAG393850:CAH393850 CKC393850:CKD393850 CTY393850:CTZ393850 DDU393850:DDV393850 DNQ393850:DNR393850 DXM393850:DXN393850 EHI393850:EHJ393850 ERE393850:ERF393850 FBA393850:FBB393850 FKW393850:FKX393850 FUS393850:FUT393850 GEO393850:GEP393850 GOK393850:GOL393850 GYG393850:GYH393850 HIC393850:HID393850 HRY393850:HRZ393850 IBU393850:IBV393850 ILQ393850:ILR393850 IVM393850:IVN393850 JFI393850:JFJ393850 JPE393850:JPF393850 JZA393850:JZB393850 KIW393850:KIX393850 KSS393850:KST393850 LCO393850:LCP393850 LMK393850:LML393850 LWG393850:LWH393850 MGC393850:MGD393850 MPY393850:MPZ393850 MZU393850:MZV393850 NJQ393850:NJR393850 NTM393850:NTN393850 ODI393850:ODJ393850 ONE393850:ONF393850 OXA393850:OXB393850 PGW393850:PGX393850 PQS393850:PQT393850 QAO393850:QAP393850 QKK393850:QKL393850 QUG393850:QUH393850 REC393850:RED393850 RNY393850:RNZ393850 RXU393850:RXV393850 SHQ393850:SHR393850 SRM393850:SRN393850 TBI393850:TBJ393850 TLE393850:TLF393850 TVA393850:TVB393850 UEW393850:UEX393850 UOS393850:UOT393850 UYO393850:UYP393850 VIK393850:VIL393850 VSG393850:VSH393850 WCC393850:WCD393850 WLY393850:WLZ393850 WVU393850:WVV393850 M459386:N459386 JI459386:JJ459386 TE459386:TF459386 ADA459386:ADB459386 AMW459386:AMX459386 AWS459386:AWT459386 BGO459386:BGP459386 BQK459386:BQL459386 CAG459386:CAH459386 CKC459386:CKD459386 CTY459386:CTZ459386 DDU459386:DDV459386 DNQ459386:DNR459386 DXM459386:DXN459386 EHI459386:EHJ459386 ERE459386:ERF459386 FBA459386:FBB459386 FKW459386:FKX459386 FUS459386:FUT459386 GEO459386:GEP459386 GOK459386:GOL459386 GYG459386:GYH459386 HIC459386:HID459386 HRY459386:HRZ459386 IBU459386:IBV459386 ILQ459386:ILR459386 IVM459386:IVN459386 JFI459386:JFJ459386 JPE459386:JPF459386 JZA459386:JZB459386 KIW459386:KIX459386 KSS459386:KST459386 LCO459386:LCP459386 LMK459386:LML459386 LWG459386:LWH459386 MGC459386:MGD459386 MPY459386:MPZ459386 MZU459386:MZV459386 NJQ459386:NJR459386 NTM459386:NTN459386 ODI459386:ODJ459386 ONE459386:ONF459386 OXA459386:OXB459386 PGW459386:PGX459386 PQS459386:PQT459386 QAO459386:QAP459386 QKK459386:QKL459386 QUG459386:QUH459386 REC459386:RED459386 RNY459386:RNZ459386 RXU459386:RXV459386 SHQ459386:SHR459386 SRM459386:SRN459386 TBI459386:TBJ459386 TLE459386:TLF459386 TVA459386:TVB459386 UEW459386:UEX459386 UOS459386:UOT459386 UYO459386:UYP459386 VIK459386:VIL459386 VSG459386:VSH459386 WCC459386:WCD459386 WLY459386:WLZ459386 WVU459386:WVV459386 M524922:N524922 JI524922:JJ524922 TE524922:TF524922 ADA524922:ADB524922 AMW524922:AMX524922 AWS524922:AWT524922 BGO524922:BGP524922 BQK524922:BQL524922 CAG524922:CAH524922 CKC524922:CKD524922 CTY524922:CTZ524922 DDU524922:DDV524922 DNQ524922:DNR524922 DXM524922:DXN524922 EHI524922:EHJ524922 ERE524922:ERF524922 FBA524922:FBB524922 FKW524922:FKX524922 FUS524922:FUT524922 GEO524922:GEP524922 GOK524922:GOL524922 GYG524922:GYH524922 HIC524922:HID524922 HRY524922:HRZ524922 IBU524922:IBV524922 ILQ524922:ILR524922 IVM524922:IVN524922 JFI524922:JFJ524922 JPE524922:JPF524922 JZA524922:JZB524922 KIW524922:KIX524922 KSS524922:KST524922 LCO524922:LCP524922 LMK524922:LML524922 LWG524922:LWH524922 MGC524922:MGD524922 MPY524922:MPZ524922 MZU524922:MZV524922 NJQ524922:NJR524922 NTM524922:NTN524922 ODI524922:ODJ524922 ONE524922:ONF524922 OXA524922:OXB524922 PGW524922:PGX524922 PQS524922:PQT524922 QAO524922:QAP524922 QKK524922:QKL524922 QUG524922:QUH524922 REC524922:RED524922 RNY524922:RNZ524922 RXU524922:RXV524922 SHQ524922:SHR524922 SRM524922:SRN524922 TBI524922:TBJ524922 TLE524922:TLF524922 TVA524922:TVB524922 UEW524922:UEX524922 UOS524922:UOT524922 UYO524922:UYP524922 VIK524922:VIL524922 VSG524922:VSH524922 WCC524922:WCD524922 WLY524922:WLZ524922 WVU524922:WVV524922 M590458:N590458 JI590458:JJ590458 TE590458:TF590458 ADA590458:ADB590458 AMW590458:AMX590458 AWS590458:AWT590458 BGO590458:BGP590458 BQK590458:BQL590458 CAG590458:CAH590458 CKC590458:CKD590458 CTY590458:CTZ590458 DDU590458:DDV590458 DNQ590458:DNR590458 DXM590458:DXN590458 EHI590458:EHJ590458 ERE590458:ERF590458 FBA590458:FBB590458 FKW590458:FKX590458 FUS590458:FUT590458 GEO590458:GEP590458 GOK590458:GOL590458 GYG590458:GYH590458 HIC590458:HID590458 HRY590458:HRZ590458 IBU590458:IBV590458 ILQ590458:ILR590458 IVM590458:IVN590458 JFI590458:JFJ590458 JPE590458:JPF590458 JZA590458:JZB590458 KIW590458:KIX590458 KSS590458:KST590458 LCO590458:LCP590458 LMK590458:LML590458 LWG590458:LWH590458 MGC590458:MGD590458 MPY590458:MPZ590458 MZU590458:MZV590458 NJQ590458:NJR590458 NTM590458:NTN590458 ODI590458:ODJ590458 ONE590458:ONF590458 OXA590458:OXB590458 PGW590458:PGX590458 PQS590458:PQT590458 QAO590458:QAP590458 QKK590458:QKL590458 QUG590458:QUH590458 REC590458:RED590458 RNY590458:RNZ590458 RXU590458:RXV590458 SHQ590458:SHR590458 SRM590458:SRN590458 TBI590458:TBJ590458 TLE590458:TLF590458 TVA590458:TVB590458 UEW590458:UEX590458 UOS590458:UOT590458 UYO590458:UYP590458 VIK590458:VIL590458 VSG590458:VSH590458 WCC590458:WCD590458 WLY590458:WLZ590458 WVU590458:WVV590458 M655994:N655994 JI655994:JJ655994 TE655994:TF655994 ADA655994:ADB655994 AMW655994:AMX655994 AWS655994:AWT655994 BGO655994:BGP655994 BQK655994:BQL655994 CAG655994:CAH655994 CKC655994:CKD655994 CTY655994:CTZ655994 DDU655994:DDV655994 DNQ655994:DNR655994 DXM655994:DXN655994 EHI655994:EHJ655994 ERE655994:ERF655994 FBA655994:FBB655994 FKW655994:FKX655994 FUS655994:FUT655994 GEO655994:GEP655994 GOK655994:GOL655994 GYG655994:GYH655994 HIC655994:HID655994 HRY655994:HRZ655994 IBU655994:IBV655994 ILQ655994:ILR655994 IVM655994:IVN655994 JFI655994:JFJ655994 JPE655994:JPF655994 JZA655994:JZB655994 KIW655994:KIX655994 KSS655994:KST655994 LCO655994:LCP655994 LMK655994:LML655994 LWG655994:LWH655994 MGC655994:MGD655994 MPY655994:MPZ655994 MZU655994:MZV655994 NJQ655994:NJR655994 NTM655994:NTN655994 ODI655994:ODJ655994 ONE655994:ONF655994 OXA655994:OXB655994 PGW655994:PGX655994 PQS655994:PQT655994 QAO655994:QAP655994 QKK655994:QKL655994 QUG655994:QUH655994 REC655994:RED655994 RNY655994:RNZ655994 RXU655994:RXV655994 SHQ655994:SHR655994 SRM655994:SRN655994 TBI655994:TBJ655994 TLE655994:TLF655994 TVA655994:TVB655994 UEW655994:UEX655994 UOS655994:UOT655994 UYO655994:UYP655994 VIK655994:VIL655994 VSG655994:VSH655994 WCC655994:WCD655994 WLY655994:WLZ655994 WVU655994:WVV655994 M721530:N721530 JI721530:JJ721530 TE721530:TF721530 ADA721530:ADB721530 AMW721530:AMX721530 AWS721530:AWT721530 BGO721530:BGP721530 BQK721530:BQL721530 CAG721530:CAH721530 CKC721530:CKD721530 CTY721530:CTZ721530 DDU721530:DDV721530 DNQ721530:DNR721530 DXM721530:DXN721530 EHI721530:EHJ721530 ERE721530:ERF721530 FBA721530:FBB721530 FKW721530:FKX721530 FUS721530:FUT721530 GEO721530:GEP721530 GOK721530:GOL721530 GYG721530:GYH721530 HIC721530:HID721530 HRY721530:HRZ721530 IBU721530:IBV721530 ILQ721530:ILR721530 IVM721530:IVN721530 JFI721530:JFJ721530 JPE721530:JPF721530 JZA721530:JZB721530 KIW721530:KIX721530 KSS721530:KST721530 LCO721530:LCP721530 LMK721530:LML721530 LWG721530:LWH721530 MGC721530:MGD721530 MPY721530:MPZ721530 MZU721530:MZV721530 NJQ721530:NJR721530 NTM721530:NTN721530 ODI721530:ODJ721530 ONE721530:ONF721530 OXA721530:OXB721530 PGW721530:PGX721530 PQS721530:PQT721530 QAO721530:QAP721530 QKK721530:QKL721530 QUG721530:QUH721530 REC721530:RED721530 RNY721530:RNZ721530 RXU721530:RXV721530 SHQ721530:SHR721530 SRM721530:SRN721530 TBI721530:TBJ721530 TLE721530:TLF721530 TVA721530:TVB721530 UEW721530:UEX721530 UOS721530:UOT721530 UYO721530:UYP721530 VIK721530:VIL721530 VSG721530:VSH721530 WCC721530:WCD721530 WLY721530:WLZ721530 WVU721530:WVV721530 M787066:N787066 JI787066:JJ787066 TE787066:TF787066 ADA787066:ADB787066 AMW787066:AMX787066 AWS787066:AWT787066 BGO787066:BGP787066 BQK787066:BQL787066 CAG787066:CAH787066 CKC787066:CKD787066 CTY787066:CTZ787066 DDU787066:DDV787066 DNQ787066:DNR787066 DXM787066:DXN787066 EHI787066:EHJ787066 ERE787066:ERF787066 FBA787066:FBB787066 FKW787066:FKX787066 FUS787066:FUT787066 GEO787066:GEP787066 GOK787066:GOL787066 GYG787066:GYH787066 HIC787066:HID787066 HRY787066:HRZ787066 IBU787066:IBV787066 ILQ787066:ILR787066 IVM787066:IVN787066 JFI787066:JFJ787066 JPE787066:JPF787066 JZA787066:JZB787066 KIW787066:KIX787066 KSS787066:KST787066 LCO787066:LCP787066 LMK787066:LML787066 LWG787066:LWH787066 MGC787066:MGD787066 MPY787066:MPZ787066 MZU787066:MZV787066 NJQ787066:NJR787066 NTM787066:NTN787066 ODI787066:ODJ787066 ONE787066:ONF787066 OXA787066:OXB787066 PGW787066:PGX787066 PQS787066:PQT787066 QAO787066:QAP787066 QKK787066:QKL787066 QUG787066:QUH787066 REC787066:RED787066 RNY787066:RNZ787066 RXU787066:RXV787066 SHQ787066:SHR787066 SRM787066:SRN787066 TBI787066:TBJ787066 TLE787066:TLF787066 TVA787066:TVB787066 UEW787066:UEX787066 UOS787066:UOT787066 UYO787066:UYP787066 VIK787066:VIL787066 VSG787066:VSH787066 WCC787066:WCD787066 WLY787066:WLZ787066 WVU787066:WVV787066 M852602:N852602 JI852602:JJ852602 TE852602:TF852602 ADA852602:ADB852602 AMW852602:AMX852602 AWS852602:AWT852602 BGO852602:BGP852602 BQK852602:BQL852602 CAG852602:CAH852602 CKC852602:CKD852602 CTY852602:CTZ852602 DDU852602:DDV852602 DNQ852602:DNR852602 DXM852602:DXN852602 EHI852602:EHJ852602 ERE852602:ERF852602 FBA852602:FBB852602 FKW852602:FKX852602 FUS852602:FUT852602 GEO852602:GEP852602 GOK852602:GOL852602 GYG852602:GYH852602 HIC852602:HID852602 HRY852602:HRZ852602 IBU852602:IBV852602 ILQ852602:ILR852602 IVM852602:IVN852602 JFI852602:JFJ852602 JPE852602:JPF852602 JZA852602:JZB852602 KIW852602:KIX852602 KSS852602:KST852602 LCO852602:LCP852602 LMK852602:LML852602 LWG852602:LWH852602 MGC852602:MGD852602 MPY852602:MPZ852602 MZU852602:MZV852602 NJQ852602:NJR852602 NTM852602:NTN852602 ODI852602:ODJ852602 ONE852602:ONF852602 OXA852602:OXB852602 PGW852602:PGX852602 PQS852602:PQT852602 QAO852602:QAP852602 QKK852602:QKL852602 QUG852602:QUH852602 REC852602:RED852602 RNY852602:RNZ852602 RXU852602:RXV852602 SHQ852602:SHR852602 SRM852602:SRN852602 TBI852602:TBJ852602 TLE852602:TLF852602 TVA852602:TVB852602 UEW852602:UEX852602 UOS852602:UOT852602 UYO852602:UYP852602 VIK852602:VIL852602 VSG852602:VSH852602 WCC852602:WCD852602 WLY852602:WLZ852602 WVU852602:WVV852602 M918138:N918138 JI918138:JJ918138 TE918138:TF918138 ADA918138:ADB918138 AMW918138:AMX918138 AWS918138:AWT918138 BGO918138:BGP918138 BQK918138:BQL918138 CAG918138:CAH918138 CKC918138:CKD918138 CTY918138:CTZ918138 DDU918138:DDV918138 DNQ918138:DNR918138 DXM918138:DXN918138 EHI918138:EHJ918138 ERE918138:ERF918138 FBA918138:FBB918138 FKW918138:FKX918138 FUS918138:FUT918138 GEO918138:GEP918138 GOK918138:GOL918138 GYG918138:GYH918138 HIC918138:HID918138 HRY918138:HRZ918138 IBU918138:IBV918138 ILQ918138:ILR918138 IVM918138:IVN918138 JFI918138:JFJ918138 JPE918138:JPF918138 JZA918138:JZB918138 KIW918138:KIX918138 KSS918138:KST918138 LCO918138:LCP918138 LMK918138:LML918138 LWG918138:LWH918138 MGC918138:MGD918138 MPY918138:MPZ918138 MZU918138:MZV918138 NJQ918138:NJR918138 NTM918138:NTN918138 ODI918138:ODJ918138 ONE918138:ONF918138 OXA918138:OXB918138 PGW918138:PGX918138 PQS918138:PQT918138 QAO918138:QAP918138 QKK918138:QKL918138 QUG918138:QUH918138 REC918138:RED918138 RNY918138:RNZ918138 RXU918138:RXV918138 SHQ918138:SHR918138 SRM918138:SRN918138 TBI918138:TBJ918138 TLE918138:TLF918138 TVA918138:TVB918138 UEW918138:UEX918138 UOS918138:UOT918138 UYO918138:UYP918138 VIK918138:VIL918138 VSG918138:VSH918138 WCC918138:WCD918138 WLY918138:WLZ918138 WVU918138:WVV918138 M983674:N983674 JI983674:JJ983674 TE983674:TF983674 ADA983674:ADB983674 AMW983674:AMX983674 AWS983674:AWT983674 BGO983674:BGP983674 BQK983674:BQL983674 CAG983674:CAH983674 CKC983674:CKD983674 CTY983674:CTZ983674 DDU983674:DDV983674 DNQ983674:DNR983674 DXM983674:DXN983674 EHI983674:EHJ983674 ERE983674:ERF983674 FBA983674:FBB983674 FKW983674:FKX983674 FUS983674:FUT983674 GEO983674:GEP983674 GOK983674:GOL983674 GYG983674:GYH983674 HIC983674:HID983674 HRY983674:HRZ983674 IBU983674:IBV983674 ILQ983674:ILR983674 IVM983674:IVN983674 JFI983674:JFJ983674 JPE983674:JPF983674 JZA983674:JZB983674 KIW983674:KIX983674 KSS983674:KST983674 LCO983674:LCP983674 LMK983674:LML983674 LWG983674:LWH983674 MGC983674:MGD983674 MPY983674:MPZ983674 MZU983674:MZV983674 NJQ983674:NJR983674 NTM983674:NTN983674 ODI983674:ODJ983674 ONE983674:ONF983674 OXA983674:OXB983674 PGW983674:PGX983674 PQS983674:PQT983674 QAO983674:QAP983674 QKK983674:QKL983674 QUG983674:QUH983674 REC983674:RED983674 RNY983674:RNZ983674 RXU983674:RXV983674 SHQ983674:SHR983674 SRM983674:SRN983674 TBI983674:TBJ983674 TLE983674:TLF983674 TVA983674:TVB983674 UEW983674:UEX983674 UOS983674:UOT983674 UYO983674:UYP983674 VIK983674:VIL983674 VSG983674:VSH983674 WCC983674:WCD983674 WLY983674:WLZ983674 WVU983674:WVV983674 M330:N330 JI330:JJ330 TE330:TF330 ADA330:ADB330 AMW330:AMX330 AWS330:AWT330 BGO330:BGP330 BQK330:BQL330 CAG330:CAH330 CKC330:CKD330 CTY330:CTZ330 DDU330:DDV330 DNQ330:DNR330 DXM330:DXN330 EHI330:EHJ330 ERE330:ERF330 FBA330:FBB330 FKW330:FKX330 FUS330:FUT330 GEO330:GEP330 GOK330:GOL330 GYG330:GYH330 HIC330:HID330 HRY330:HRZ330 IBU330:IBV330 ILQ330:ILR330 IVM330:IVN330 JFI330:JFJ330 JPE330:JPF330 JZA330:JZB330 KIW330:KIX330 KSS330:KST330 LCO330:LCP330 LMK330:LML330 LWG330:LWH330 MGC330:MGD330 MPY330:MPZ330 MZU330:MZV330 NJQ330:NJR330 NTM330:NTN330 ODI330:ODJ330 ONE330:ONF330 OXA330:OXB330 PGW330:PGX330 PQS330:PQT330 QAO330:QAP330 QKK330:QKL330 QUG330:QUH330 REC330:RED330 RNY330:RNZ330 RXU330:RXV330 SHQ330:SHR330 SRM330:SRN330 TBI330:TBJ330 TLE330:TLF330 TVA330:TVB330 UEW330:UEX330 UOS330:UOT330 UYO330:UYP330 VIK330:VIL330 VSG330:VSH330 WCC330:WCD330 WLY330:WLZ330 WVU330:WVV330 M65866:N65866 JI65866:JJ65866 TE65866:TF65866 ADA65866:ADB65866 AMW65866:AMX65866 AWS65866:AWT65866 BGO65866:BGP65866 BQK65866:BQL65866 CAG65866:CAH65866 CKC65866:CKD65866 CTY65866:CTZ65866 DDU65866:DDV65866 DNQ65866:DNR65866 DXM65866:DXN65866 EHI65866:EHJ65866 ERE65866:ERF65866 FBA65866:FBB65866 FKW65866:FKX65866 FUS65866:FUT65866 GEO65866:GEP65866 GOK65866:GOL65866 GYG65866:GYH65866 HIC65866:HID65866 HRY65866:HRZ65866 IBU65866:IBV65866 ILQ65866:ILR65866 IVM65866:IVN65866 JFI65866:JFJ65866 JPE65866:JPF65866 JZA65866:JZB65866 KIW65866:KIX65866 KSS65866:KST65866 LCO65866:LCP65866 LMK65866:LML65866 LWG65866:LWH65866 MGC65866:MGD65866 MPY65866:MPZ65866 MZU65866:MZV65866 NJQ65866:NJR65866 NTM65866:NTN65866 ODI65866:ODJ65866 ONE65866:ONF65866 OXA65866:OXB65866 PGW65866:PGX65866 PQS65866:PQT65866 QAO65866:QAP65866 QKK65866:QKL65866 QUG65866:QUH65866 REC65866:RED65866 RNY65866:RNZ65866 RXU65866:RXV65866 SHQ65866:SHR65866 SRM65866:SRN65866 TBI65866:TBJ65866 TLE65866:TLF65866 TVA65866:TVB65866 UEW65866:UEX65866 UOS65866:UOT65866 UYO65866:UYP65866 VIK65866:VIL65866 VSG65866:VSH65866 WCC65866:WCD65866 WLY65866:WLZ65866 WVU65866:WVV65866 M131402:N131402 JI131402:JJ131402 TE131402:TF131402 ADA131402:ADB131402 AMW131402:AMX131402 AWS131402:AWT131402 BGO131402:BGP131402 BQK131402:BQL131402 CAG131402:CAH131402 CKC131402:CKD131402 CTY131402:CTZ131402 DDU131402:DDV131402 DNQ131402:DNR131402 DXM131402:DXN131402 EHI131402:EHJ131402 ERE131402:ERF131402 FBA131402:FBB131402 FKW131402:FKX131402 FUS131402:FUT131402 GEO131402:GEP131402 GOK131402:GOL131402 GYG131402:GYH131402 HIC131402:HID131402 HRY131402:HRZ131402 IBU131402:IBV131402 ILQ131402:ILR131402 IVM131402:IVN131402 JFI131402:JFJ131402 JPE131402:JPF131402 JZA131402:JZB131402 KIW131402:KIX131402 KSS131402:KST131402 LCO131402:LCP131402 LMK131402:LML131402 LWG131402:LWH131402 MGC131402:MGD131402 MPY131402:MPZ131402 MZU131402:MZV131402 NJQ131402:NJR131402 NTM131402:NTN131402 ODI131402:ODJ131402 ONE131402:ONF131402 OXA131402:OXB131402 PGW131402:PGX131402 PQS131402:PQT131402 QAO131402:QAP131402 QKK131402:QKL131402 QUG131402:QUH131402 REC131402:RED131402 RNY131402:RNZ131402 RXU131402:RXV131402 SHQ131402:SHR131402 SRM131402:SRN131402 TBI131402:TBJ131402 TLE131402:TLF131402 TVA131402:TVB131402 UEW131402:UEX131402 UOS131402:UOT131402 UYO131402:UYP131402 VIK131402:VIL131402 VSG131402:VSH131402 WCC131402:WCD131402 WLY131402:WLZ131402 WVU131402:WVV131402 M196938:N196938 JI196938:JJ196938 TE196938:TF196938 ADA196938:ADB196938 AMW196938:AMX196938 AWS196938:AWT196938 BGO196938:BGP196938 BQK196938:BQL196938 CAG196938:CAH196938 CKC196938:CKD196938 CTY196938:CTZ196938 DDU196938:DDV196938 DNQ196938:DNR196938 DXM196938:DXN196938 EHI196938:EHJ196938 ERE196938:ERF196938 FBA196938:FBB196938 FKW196938:FKX196938 FUS196938:FUT196938 GEO196938:GEP196938 GOK196938:GOL196938 GYG196938:GYH196938 HIC196938:HID196938 HRY196938:HRZ196938 IBU196938:IBV196938 ILQ196938:ILR196938 IVM196938:IVN196938 JFI196938:JFJ196938 JPE196938:JPF196938 JZA196938:JZB196938 KIW196938:KIX196938 KSS196938:KST196938 LCO196938:LCP196938 LMK196938:LML196938 LWG196938:LWH196938 MGC196938:MGD196938 MPY196938:MPZ196938 MZU196938:MZV196938 NJQ196938:NJR196938 NTM196938:NTN196938 ODI196938:ODJ196938 ONE196938:ONF196938 OXA196938:OXB196938 PGW196938:PGX196938 PQS196938:PQT196938 QAO196938:QAP196938 QKK196938:QKL196938 QUG196938:QUH196938 REC196938:RED196938 RNY196938:RNZ196938 RXU196938:RXV196938 SHQ196938:SHR196938 SRM196938:SRN196938 TBI196938:TBJ196938 TLE196938:TLF196938 TVA196938:TVB196938 UEW196938:UEX196938 UOS196938:UOT196938 UYO196938:UYP196938 VIK196938:VIL196938 VSG196938:VSH196938 WCC196938:WCD196938 WLY196938:WLZ196938 WVU196938:WVV196938 M262474:N262474 JI262474:JJ262474 TE262474:TF262474 ADA262474:ADB262474 AMW262474:AMX262474 AWS262474:AWT262474 BGO262474:BGP262474 BQK262474:BQL262474 CAG262474:CAH262474 CKC262474:CKD262474 CTY262474:CTZ262474 DDU262474:DDV262474 DNQ262474:DNR262474 DXM262474:DXN262474 EHI262474:EHJ262474 ERE262474:ERF262474 FBA262474:FBB262474 FKW262474:FKX262474 FUS262474:FUT262474 GEO262474:GEP262474 GOK262474:GOL262474 GYG262474:GYH262474 HIC262474:HID262474 HRY262474:HRZ262474 IBU262474:IBV262474 ILQ262474:ILR262474 IVM262474:IVN262474 JFI262474:JFJ262474 JPE262474:JPF262474 JZA262474:JZB262474 KIW262474:KIX262474 KSS262474:KST262474 LCO262474:LCP262474 LMK262474:LML262474 LWG262474:LWH262474 MGC262474:MGD262474 MPY262474:MPZ262474 MZU262474:MZV262474 NJQ262474:NJR262474 NTM262474:NTN262474 ODI262474:ODJ262474 ONE262474:ONF262474 OXA262474:OXB262474 PGW262474:PGX262474 PQS262474:PQT262474 QAO262474:QAP262474 QKK262474:QKL262474 QUG262474:QUH262474 REC262474:RED262474 RNY262474:RNZ262474 RXU262474:RXV262474 SHQ262474:SHR262474 SRM262474:SRN262474 TBI262474:TBJ262474 TLE262474:TLF262474 TVA262474:TVB262474 UEW262474:UEX262474 UOS262474:UOT262474 UYO262474:UYP262474 VIK262474:VIL262474 VSG262474:VSH262474 WCC262474:WCD262474 WLY262474:WLZ262474 WVU262474:WVV262474 M328010:N328010 JI328010:JJ328010 TE328010:TF328010 ADA328010:ADB328010 AMW328010:AMX328010 AWS328010:AWT328010 BGO328010:BGP328010 BQK328010:BQL328010 CAG328010:CAH328010 CKC328010:CKD328010 CTY328010:CTZ328010 DDU328010:DDV328010 DNQ328010:DNR328010 DXM328010:DXN328010 EHI328010:EHJ328010 ERE328010:ERF328010 FBA328010:FBB328010 FKW328010:FKX328010 FUS328010:FUT328010 GEO328010:GEP328010 GOK328010:GOL328010 GYG328010:GYH328010 HIC328010:HID328010 HRY328010:HRZ328010 IBU328010:IBV328010 ILQ328010:ILR328010 IVM328010:IVN328010 JFI328010:JFJ328010 JPE328010:JPF328010 JZA328010:JZB328010 KIW328010:KIX328010 KSS328010:KST328010 LCO328010:LCP328010 LMK328010:LML328010 LWG328010:LWH328010 MGC328010:MGD328010 MPY328010:MPZ328010 MZU328010:MZV328010 NJQ328010:NJR328010 NTM328010:NTN328010 ODI328010:ODJ328010 ONE328010:ONF328010 OXA328010:OXB328010 PGW328010:PGX328010 PQS328010:PQT328010 QAO328010:QAP328010 QKK328010:QKL328010 QUG328010:QUH328010 REC328010:RED328010 RNY328010:RNZ328010 RXU328010:RXV328010 SHQ328010:SHR328010 SRM328010:SRN328010 TBI328010:TBJ328010 TLE328010:TLF328010 TVA328010:TVB328010 UEW328010:UEX328010 UOS328010:UOT328010 UYO328010:UYP328010 VIK328010:VIL328010 VSG328010:VSH328010 WCC328010:WCD328010 WLY328010:WLZ328010 WVU328010:WVV328010 M393546:N393546 JI393546:JJ393546 TE393546:TF393546 ADA393546:ADB393546 AMW393546:AMX393546 AWS393546:AWT393546 BGO393546:BGP393546 BQK393546:BQL393546 CAG393546:CAH393546 CKC393546:CKD393546 CTY393546:CTZ393546 DDU393546:DDV393546 DNQ393546:DNR393546 DXM393546:DXN393546 EHI393546:EHJ393546 ERE393546:ERF393546 FBA393546:FBB393546 FKW393546:FKX393546 FUS393546:FUT393546 GEO393546:GEP393546 GOK393546:GOL393546 GYG393546:GYH393546 HIC393546:HID393546 HRY393546:HRZ393546 IBU393546:IBV393546 ILQ393546:ILR393546 IVM393546:IVN393546 JFI393546:JFJ393546 JPE393546:JPF393546 JZA393546:JZB393546 KIW393546:KIX393546 KSS393546:KST393546 LCO393546:LCP393546 LMK393546:LML393546 LWG393546:LWH393546 MGC393546:MGD393546 MPY393546:MPZ393546 MZU393546:MZV393546 NJQ393546:NJR393546 NTM393546:NTN393546 ODI393546:ODJ393546 ONE393546:ONF393546 OXA393546:OXB393546 PGW393546:PGX393546 PQS393546:PQT393546 QAO393546:QAP393546 QKK393546:QKL393546 QUG393546:QUH393546 REC393546:RED393546 RNY393546:RNZ393546 RXU393546:RXV393546 SHQ393546:SHR393546 SRM393546:SRN393546 TBI393546:TBJ393546 TLE393546:TLF393546 TVA393546:TVB393546 UEW393546:UEX393546 UOS393546:UOT393546 UYO393546:UYP393546 VIK393546:VIL393546 VSG393546:VSH393546 WCC393546:WCD393546 WLY393546:WLZ393546 WVU393546:WVV393546 M459082:N459082 JI459082:JJ459082 TE459082:TF459082 ADA459082:ADB459082 AMW459082:AMX459082 AWS459082:AWT459082 BGO459082:BGP459082 BQK459082:BQL459082 CAG459082:CAH459082 CKC459082:CKD459082 CTY459082:CTZ459082 DDU459082:DDV459082 DNQ459082:DNR459082 DXM459082:DXN459082 EHI459082:EHJ459082 ERE459082:ERF459082 FBA459082:FBB459082 FKW459082:FKX459082 FUS459082:FUT459082 GEO459082:GEP459082 GOK459082:GOL459082 GYG459082:GYH459082 HIC459082:HID459082 HRY459082:HRZ459082 IBU459082:IBV459082 ILQ459082:ILR459082 IVM459082:IVN459082 JFI459082:JFJ459082 JPE459082:JPF459082 JZA459082:JZB459082 KIW459082:KIX459082 KSS459082:KST459082 LCO459082:LCP459082 LMK459082:LML459082 LWG459082:LWH459082 MGC459082:MGD459082 MPY459082:MPZ459082 MZU459082:MZV459082 NJQ459082:NJR459082 NTM459082:NTN459082 ODI459082:ODJ459082 ONE459082:ONF459082 OXA459082:OXB459082 PGW459082:PGX459082 PQS459082:PQT459082 QAO459082:QAP459082 QKK459082:QKL459082 QUG459082:QUH459082 REC459082:RED459082 RNY459082:RNZ459082 RXU459082:RXV459082 SHQ459082:SHR459082 SRM459082:SRN459082 TBI459082:TBJ459082 TLE459082:TLF459082 TVA459082:TVB459082 UEW459082:UEX459082 UOS459082:UOT459082 UYO459082:UYP459082 VIK459082:VIL459082 VSG459082:VSH459082 WCC459082:WCD459082 WLY459082:WLZ459082 WVU459082:WVV459082 M524618:N524618 JI524618:JJ524618 TE524618:TF524618 ADA524618:ADB524618 AMW524618:AMX524618 AWS524618:AWT524618 BGO524618:BGP524618 BQK524618:BQL524618 CAG524618:CAH524618 CKC524618:CKD524618 CTY524618:CTZ524618 DDU524618:DDV524618 DNQ524618:DNR524618 DXM524618:DXN524618 EHI524618:EHJ524618 ERE524618:ERF524618 FBA524618:FBB524618 FKW524618:FKX524618 FUS524618:FUT524618 GEO524618:GEP524618 GOK524618:GOL524618 GYG524618:GYH524618 HIC524618:HID524618 HRY524618:HRZ524618 IBU524618:IBV524618 ILQ524618:ILR524618 IVM524618:IVN524618 JFI524618:JFJ524618 JPE524618:JPF524618 JZA524618:JZB524618 KIW524618:KIX524618 KSS524618:KST524618 LCO524618:LCP524618 LMK524618:LML524618 LWG524618:LWH524618 MGC524618:MGD524618 MPY524618:MPZ524618 MZU524618:MZV524618 NJQ524618:NJR524618 NTM524618:NTN524618 ODI524618:ODJ524618 ONE524618:ONF524618 OXA524618:OXB524618 PGW524618:PGX524618 PQS524618:PQT524618 QAO524618:QAP524618 QKK524618:QKL524618 QUG524618:QUH524618 REC524618:RED524618 RNY524618:RNZ524618 RXU524618:RXV524618 SHQ524618:SHR524618 SRM524618:SRN524618 TBI524618:TBJ524618 TLE524618:TLF524618 TVA524618:TVB524618 UEW524618:UEX524618 UOS524618:UOT524618 UYO524618:UYP524618 VIK524618:VIL524618 VSG524618:VSH524618 WCC524618:WCD524618 WLY524618:WLZ524618 WVU524618:WVV524618 M590154:N590154 JI590154:JJ590154 TE590154:TF590154 ADA590154:ADB590154 AMW590154:AMX590154 AWS590154:AWT590154 BGO590154:BGP590154 BQK590154:BQL590154 CAG590154:CAH590154 CKC590154:CKD590154 CTY590154:CTZ590154 DDU590154:DDV590154 DNQ590154:DNR590154 DXM590154:DXN590154 EHI590154:EHJ590154 ERE590154:ERF590154 FBA590154:FBB590154 FKW590154:FKX590154 FUS590154:FUT590154 GEO590154:GEP590154 GOK590154:GOL590154 GYG590154:GYH590154 HIC590154:HID590154 HRY590154:HRZ590154 IBU590154:IBV590154 ILQ590154:ILR590154 IVM590154:IVN590154 JFI590154:JFJ590154 JPE590154:JPF590154 JZA590154:JZB590154 KIW590154:KIX590154 KSS590154:KST590154 LCO590154:LCP590154 LMK590154:LML590154 LWG590154:LWH590154 MGC590154:MGD590154 MPY590154:MPZ590154 MZU590154:MZV590154 NJQ590154:NJR590154 NTM590154:NTN590154 ODI590154:ODJ590154 ONE590154:ONF590154 OXA590154:OXB590154 PGW590154:PGX590154 PQS590154:PQT590154 QAO590154:QAP590154 QKK590154:QKL590154 QUG590154:QUH590154 REC590154:RED590154 RNY590154:RNZ590154 RXU590154:RXV590154 SHQ590154:SHR590154 SRM590154:SRN590154 TBI590154:TBJ590154 TLE590154:TLF590154 TVA590154:TVB590154 UEW590154:UEX590154 UOS590154:UOT590154 UYO590154:UYP590154 VIK590154:VIL590154 VSG590154:VSH590154 WCC590154:WCD590154 WLY590154:WLZ590154 WVU590154:WVV590154 M655690:N655690 JI655690:JJ655690 TE655690:TF655690 ADA655690:ADB655690 AMW655690:AMX655690 AWS655690:AWT655690 BGO655690:BGP655690 BQK655690:BQL655690 CAG655690:CAH655690 CKC655690:CKD655690 CTY655690:CTZ655690 DDU655690:DDV655690 DNQ655690:DNR655690 DXM655690:DXN655690 EHI655690:EHJ655690 ERE655690:ERF655690 FBA655690:FBB655690 FKW655690:FKX655690 FUS655690:FUT655690 GEO655690:GEP655690 GOK655690:GOL655690 GYG655690:GYH655690 HIC655690:HID655690 HRY655690:HRZ655690 IBU655690:IBV655690 ILQ655690:ILR655690 IVM655690:IVN655690 JFI655690:JFJ655690 JPE655690:JPF655690 JZA655690:JZB655690 KIW655690:KIX655690 KSS655690:KST655690 LCO655690:LCP655690 LMK655690:LML655690 LWG655690:LWH655690 MGC655690:MGD655690 MPY655690:MPZ655690 MZU655690:MZV655690 NJQ655690:NJR655690 NTM655690:NTN655690 ODI655690:ODJ655690 ONE655690:ONF655690 OXA655690:OXB655690 PGW655690:PGX655690 PQS655690:PQT655690 QAO655690:QAP655690 QKK655690:QKL655690 QUG655690:QUH655690 REC655690:RED655690 RNY655690:RNZ655690 RXU655690:RXV655690 SHQ655690:SHR655690 SRM655690:SRN655690 TBI655690:TBJ655690 TLE655690:TLF655690 TVA655690:TVB655690 UEW655690:UEX655690 UOS655690:UOT655690 UYO655690:UYP655690 VIK655690:VIL655690 VSG655690:VSH655690 WCC655690:WCD655690 WLY655690:WLZ655690 WVU655690:WVV655690 M721226:N721226 JI721226:JJ721226 TE721226:TF721226 ADA721226:ADB721226 AMW721226:AMX721226 AWS721226:AWT721226 BGO721226:BGP721226 BQK721226:BQL721226 CAG721226:CAH721226 CKC721226:CKD721226 CTY721226:CTZ721226 DDU721226:DDV721226 DNQ721226:DNR721226 DXM721226:DXN721226 EHI721226:EHJ721226 ERE721226:ERF721226 FBA721226:FBB721226 FKW721226:FKX721226 FUS721226:FUT721226 GEO721226:GEP721226 GOK721226:GOL721226 GYG721226:GYH721226 HIC721226:HID721226 HRY721226:HRZ721226 IBU721226:IBV721226 ILQ721226:ILR721226 IVM721226:IVN721226 JFI721226:JFJ721226 JPE721226:JPF721226 JZA721226:JZB721226 KIW721226:KIX721226 KSS721226:KST721226 LCO721226:LCP721226 LMK721226:LML721226 LWG721226:LWH721226 MGC721226:MGD721226 MPY721226:MPZ721226 MZU721226:MZV721226 NJQ721226:NJR721226 NTM721226:NTN721226 ODI721226:ODJ721226 ONE721226:ONF721226 OXA721226:OXB721226 PGW721226:PGX721226 PQS721226:PQT721226 QAO721226:QAP721226 QKK721226:QKL721226 QUG721226:QUH721226 REC721226:RED721226 RNY721226:RNZ721226 RXU721226:RXV721226 SHQ721226:SHR721226 SRM721226:SRN721226 TBI721226:TBJ721226 TLE721226:TLF721226 TVA721226:TVB721226 UEW721226:UEX721226 UOS721226:UOT721226 UYO721226:UYP721226 VIK721226:VIL721226 VSG721226:VSH721226 WCC721226:WCD721226 WLY721226:WLZ721226 WVU721226:WVV721226 M786762:N786762 JI786762:JJ786762 TE786762:TF786762 ADA786762:ADB786762 AMW786762:AMX786762 AWS786762:AWT786762 BGO786762:BGP786762 BQK786762:BQL786762 CAG786762:CAH786762 CKC786762:CKD786762 CTY786762:CTZ786762 DDU786762:DDV786762 DNQ786762:DNR786762 DXM786762:DXN786762 EHI786762:EHJ786762 ERE786762:ERF786762 FBA786762:FBB786762 FKW786762:FKX786762 FUS786762:FUT786762 GEO786762:GEP786762 GOK786762:GOL786762 GYG786762:GYH786762 HIC786762:HID786762 HRY786762:HRZ786762 IBU786762:IBV786762 ILQ786762:ILR786762 IVM786762:IVN786762 JFI786762:JFJ786762 JPE786762:JPF786762 JZA786762:JZB786762 KIW786762:KIX786762 KSS786762:KST786762 LCO786762:LCP786762 LMK786762:LML786762 LWG786762:LWH786762 MGC786762:MGD786762 MPY786762:MPZ786762 MZU786762:MZV786762 NJQ786762:NJR786762 NTM786762:NTN786762 ODI786762:ODJ786762 ONE786762:ONF786762 OXA786762:OXB786762 PGW786762:PGX786762 PQS786762:PQT786762 QAO786762:QAP786762 QKK786762:QKL786762 QUG786762:QUH786762 REC786762:RED786762 RNY786762:RNZ786762 RXU786762:RXV786762 SHQ786762:SHR786762 SRM786762:SRN786762 TBI786762:TBJ786762 TLE786762:TLF786762 TVA786762:TVB786762 UEW786762:UEX786762 UOS786762:UOT786762 UYO786762:UYP786762 VIK786762:VIL786762 VSG786762:VSH786762 WCC786762:WCD786762 WLY786762:WLZ786762 WVU786762:WVV786762 M852298:N852298 JI852298:JJ852298 TE852298:TF852298 ADA852298:ADB852298 AMW852298:AMX852298 AWS852298:AWT852298 BGO852298:BGP852298 BQK852298:BQL852298 CAG852298:CAH852298 CKC852298:CKD852298 CTY852298:CTZ852298 DDU852298:DDV852298 DNQ852298:DNR852298 DXM852298:DXN852298 EHI852298:EHJ852298 ERE852298:ERF852298 FBA852298:FBB852298 FKW852298:FKX852298 FUS852298:FUT852298 GEO852298:GEP852298 GOK852298:GOL852298 GYG852298:GYH852298 HIC852298:HID852298 HRY852298:HRZ852298 IBU852298:IBV852298 ILQ852298:ILR852298 IVM852298:IVN852298 JFI852298:JFJ852298 JPE852298:JPF852298 JZA852298:JZB852298 KIW852298:KIX852298 KSS852298:KST852298 LCO852298:LCP852298 LMK852298:LML852298 LWG852298:LWH852298 MGC852298:MGD852298 MPY852298:MPZ852298 MZU852298:MZV852298 NJQ852298:NJR852298 NTM852298:NTN852298 ODI852298:ODJ852298 ONE852298:ONF852298 OXA852298:OXB852298 PGW852298:PGX852298 PQS852298:PQT852298 QAO852298:QAP852298 QKK852298:QKL852298 QUG852298:QUH852298 REC852298:RED852298 RNY852298:RNZ852298 RXU852298:RXV852298 SHQ852298:SHR852298 SRM852298:SRN852298 TBI852298:TBJ852298 TLE852298:TLF852298 TVA852298:TVB852298 UEW852298:UEX852298 UOS852298:UOT852298 UYO852298:UYP852298 VIK852298:VIL852298 VSG852298:VSH852298 WCC852298:WCD852298 WLY852298:WLZ852298 WVU852298:WVV852298 M917834:N917834 JI917834:JJ917834 TE917834:TF917834 ADA917834:ADB917834 AMW917834:AMX917834 AWS917834:AWT917834 BGO917834:BGP917834 BQK917834:BQL917834 CAG917834:CAH917834 CKC917834:CKD917834 CTY917834:CTZ917834 DDU917834:DDV917834 DNQ917834:DNR917834 DXM917834:DXN917834 EHI917834:EHJ917834 ERE917834:ERF917834 FBA917834:FBB917834 FKW917834:FKX917834 FUS917834:FUT917834 GEO917834:GEP917834 GOK917834:GOL917834 GYG917834:GYH917834 HIC917834:HID917834 HRY917834:HRZ917834 IBU917834:IBV917834 ILQ917834:ILR917834 IVM917834:IVN917834 JFI917834:JFJ917834 JPE917834:JPF917834 JZA917834:JZB917834 KIW917834:KIX917834 KSS917834:KST917834 LCO917834:LCP917834 LMK917834:LML917834 LWG917834:LWH917834 MGC917834:MGD917834 MPY917834:MPZ917834 MZU917834:MZV917834 NJQ917834:NJR917834 NTM917834:NTN917834 ODI917834:ODJ917834 ONE917834:ONF917834 OXA917834:OXB917834 PGW917834:PGX917834 PQS917834:PQT917834 QAO917834:QAP917834 QKK917834:QKL917834 QUG917834:QUH917834 REC917834:RED917834 RNY917834:RNZ917834 RXU917834:RXV917834 SHQ917834:SHR917834 SRM917834:SRN917834 TBI917834:TBJ917834 TLE917834:TLF917834 TVA917834:TVB917834 UEW917834:UEX917834 UOS917834:UOT917834 UYO917834:UYP917834 VIK917834:VIL917834 VSG917834:VSH917834 WCC917834:WCD917834 WLY917834:WLZ917834 WVU917834:WVV917834 M983370:N983370 JI983370:JJ983370 TE983370:TF983370 ADA983370:ADB983370 AMW983370:AMX983370 AWS983370:AWT983370 BGO983370:BGP983370 BQK983370:BQL983370 CAG983370:CAH983370 CKC983370:CKD983370 CTY983370:CTZ983370 DDU983370:DDV983370 DNQ983370:DNR983370 DXM983370:DXN983370 EHI983370:EHJ983370 ERE983370:ERF983370 FBA983370:FBB983370 FKW983370:FKX983370 FUS983370:FUT983370 GEO983370:GEP983370 GOK983370:GOL983370 GYG983370:GYH983370 HIC983370:HID983370 HRY983370:HRZ983370 IBU983370:IBV983370 ILQ983370:ILR983370 IVM983370:IVN983370 JFI983370:JFJ983370 JPE983370:JPF983370 JZA983370:JZB983370 KIW983370:KIX983370 KSS983370:KST983370 LCO983370:LCP983370 LMK983370:LML983370 LWG983370:LWH983370 MGC983370:MGD983370 MPY983370:MPZ983370 MZU983370:MZV983370 NJQ983370:NJR983370 NTM983370:NTN983370 ODI983370:ODJ983370 ONE983370:ONF983370 OXA983370:OXB983370 PGW983370:PGX983370 PQS983370:PQT983370 QAO983370:QAP983370 QKK983370:QKL983370 QUG983370:QUH983370 REC983370:RED983370 RNY983370:RNZ983370 RXU983370:RXV983370 SHQ983370:SHR983370 SRM983370:SRN983370 TBI983370:TBJ983370 TLE983370:TLF983370 TVA983370:TVB983370 UEW983370:UEX983370 UOS983370:UOT983370 UYO983370:UYP983370 VIK983370:VIL983370 VSG983370:VSH983370 WCC983370:WCD983370 WLY983370:WLZ983370 WVU983370:WVV983370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594:N65594 JI65594:JJ65594 TE65594:TF65594 ADA65594:ADB65594 AMW65594:AMX65594 AWS65594:AWT65594 BGO65594:BGP65594 BQK65594:BQL65594 CAG65594:CAH65594 CKC65594:CKD65594 CTY65594:CTZ65594 DDU65594:DDV65594 DNQ65594:DNR65594 DXM65594:DXN65594 EHI65594:EHJ65594 ERE65594:ERF65594 FBA65594:FBB65594 FKW65594:FKX65594 FUS65594:FUT65594 GEO65594:GEP65594 GOK65594:GOL65594 GYG65594:GYH65594 HIC65594:HID65594 HRY65594:HRZ65594 IBU65594:IBV65594 ILQ65594:ILR65594 IVM65594:IVN65594 JFI65594:JFJ65594 JPE65594:JPF65594 JZA65594:JZB65594 KIW65594:KIX65594 KSS65594:KST65594 LCO65594:LCP65594 LMK65594:LML65594 LWG65594:LWH65594 MGC65594:MGD65594 MPY65594:MPZ65594 MZU65594:MZV65594 NJQ65594:NJR65594 NTM65594:NTN65594 ODI65594:ODJ65594 ONE65594:ONF65594 OXA65594:OXB65594 PGW65594:PGX65594 PQS65594:PQT65594 QAO65594:QAP65594 QKK65594:QKL65594 QUG65594:QUH65594 REC65594:RED65594 RNY65594:RNZ65594 RXU65594:RXV65594 SHQ65594:SHR65594 SRM65594:SRN65594 TBI65594:TBJ65594 TLE65594:TLF65594 TVA65594:TVB65594 UEW65594:UEX65594 UOS65594:UOT65594 UYO65594:UYP65594 VIK65594:VIL65594 VSG65594:VSH65594 WCC65594:WCD65594 WLY65594:WLZ65594 WVU65594:WVV65594 M131130:N131130 JI131130:JJ131130 TE131130:TF131130 ADA131130:ADB131130 AMW131130:AMX131130 AWS131130:AWT131130 BGO131130:BGP131130 BQK131130:BQL131130 CAG131130:CAH131130 CKC131130:CKD131130 CTY131130:CTZ131130 DDU131130:DDV131130 DNQ131130:DNR131130 DXM131130:DXN131130 EHI131130:EHJ131130 ERE131130:ERF131130 FBA131130:FBB131130 FKW131130:FKX131130 FUS131130:FUT131130 GEO131130:GEP131130 GOK131130:GOL131130 GYG131130:GYH131130 HIC131130:HID131130 HRY131130:HRZ131130 IBU131130:IBV131130 ILQ131130:ILR131130 IVM131130:IVN131130 JFI131130:JFJ131130 JPE131130:JPF131130 JZA131130:JZB131130 KIW131130:KIX131130 KSS131130:KST131130 LCO131130:LCP131130 LMK131130:LML131130 LWG131130:LWH131130 MGC131130:MGD131130 MPY131130:MPZ131130 MZU131130:MZV131130 NJQ131130:NJR131130 NTM131130:NTN131130 ODI131130:ODJ131130 ONE131130:ONF131130 OXA131130:OXB131130 PGW131130:PGX131130 PQS131130:PQT131130 QAO131130:QAP131130 QKK131130:QKL131130 QUG131130:QUH131130 REC131130:RED131130 RNY131130:RNZ131130 RXU131130:RXV131130 SHQ131130:SHR131130 SRM131130:SRN131130 TBI131130:TBJ131130 TLE131130:TLF131130 TVA131130:TVB131130 UEW131130:UEX131130 UOS131130:UOT131130 UYO131130:UYP131130 VIK131130:VIL131130 VSG131130:VSH131130 WCC131130:WCD131130 WLY131130:WLZ131130 WVU131130:WVV131130 M196666:N196666 JI196666:JJ196666 TE196666:TF196666 ADA196666:ADB196666 AMW196666:AMX196666 AWS196666:AWT196666 BGO196666:BGP196666 BQK196666:BQL196666 CAG196666:CAH196666 CKC196666:CKD196666 CTY196666:CTZ196666 DDU196666:DDV196666 DNQ196666:DNR196666 DXM196666:DXN196666 EHI196666:EHJ196666 ERE196666:ERF196666 FBA196666:FBB196666 FKW196666:FKX196666 FUS196666:FUT196666 GEO196666:GEP196666 GOK196666:GOL196666 GYG196666:GYH196666 HIC196666:HID196666 HRY196666:HRZ196666 IBU196666:IBV196666 ILQ196666:ILR196666 IVM196666:IVN196666 JFI196666:JFJ196666 JPE196666:JPF196666 JZA196666:JZB196666 KIW196666:KIX196666 KSS196666:KST196666 LCO196666:LCP196666 LMK196666:LML196666 LWG196666:LWH196666 MGC196666:MGD196666 MPY196666:MPZ196666 MZU196666:MZV196666 NJQ196666:NJR196666 NTM196666:NTN196666 ODI196666:ODJ196666 ONE196666:ONF196666 OXA196666:OXB196666 PGW196666:PGX196666 PQS196666:PQT196666 QAO196666:QAP196666 QKK196666:QKL196666 QUG196666:QUH196666 REC196666:RED196666 RNY196666:RNZ196666 RXU196666:RXV196666 SHQ196666:SHR196666 SRM196666:SRN196666 TBI196666:TBJ196666 TLE196666:TLF196666 TVA196666:TVB196666 UEW196666:UEX196666 UOS196666:UOT196666 UYO196666:UYP196666 VIK196666:VIL196666 VSG196666:VSH196666 WCC196666:WCD196666 WLY196666:WLZ196666 WVU196666:WVV196666 M262202:N262202 JI262202:JJ262202 TE262202:TF262202 ADA262202:ADB262202 AMW262202:AMX262202 AWS262202:AWT262202 BGO262202:BGP262202 BQK262202:BQL262202 CAG262202:CAH262202 CKC262202:CKD262202 CTY262202:CTZ262202 DDU262202:DDV262202 DNQ262202:DNR262202 DXM262202:DXN262202 EHI262202:EHJ262202 ERE262202:ERF262202 FBA262202:FBB262202 FKW262202:FKX262202 FUS262202:FUT262202 GEO262202:GEP262202 GOK262202:GOL262202 GYG262202:GYH262202 HIC262202:HID262202 HRY262202:HRZ262202 IBU262202:IBV262202 ILQ262202:ILR262202 IVM262202:IVN262202 JFI262202:JFJ262202 JPE262202:JPF262202 JZA262202:JZB262202 KIW262202:KIX262202 KSS262202:KST262202 LCO262202:LCP262202 LMK262202:LML262202 LWG262202:LWH262202 MGC262202:MGD262202 MPY262202:MPZ262202 MZU262202:MZV262202 NJQ262202:NJR262202 NTM262202:NTN262202 ODI262202:ODJ262202 ONE262202:ONF262202 OXA262202:OXB262202 PGW262202:PGX262202 PQS262202:PQT262202 QAO262202:QAP262202 QKK262202:QKL262202 QUG262202:QUH262202 REC262202:RED262202 RNY262202:RNZ262202 RXU262202:RXV262202 SHQ262202:SHR262202 SRM262202:SRN262202 TBI262202:TBJ262202 TLE262202:TLF262202 TVA262202:TVB262202 UEW262202:UEX262202 UOS262202:UOT262202 UYO262202:UYP262202 VIK262202:VIL262202 VSG262202:VSH262202 WCC262202:WCD262202 WLY262202:WLZ262202 WVU262202:WVV262202 M327738:N327738 JI327738:JJ327738 TE327738:TF327738 ADA327738:ADB327738 AMW327738:AMX327738 AWS327738:AWT327738 BGO327738:BGP327738 BQK327738:BQL327738 CAG327738:CAH327738 CKC327738:CKD327738 CTY327738:CTZ327738 DDU327738:DDV327738 DNQ327738:DNR327738 DXM327738:DXN327738 EHI327738:EHJ327738 ERE327738:ERF327738 FBA327738:FBB327738 FKW327738:FKX327738 FUS327738:FUT327738 GEO327738:GEP327738 GOK327738:GOL327738 GYG327738:GYH327738 HIC327738:HID327738 HRY327738:HRZ327738 IBU327738:IBV327738 ILQ327738:ILR327738 IVM327738:IVN327738 JFI327738:JFJ327738 JPE327738:JPF327738 JZA327738:JZB327738 KIW327738:KIX327738 KSS327738:KST327738 LCO327738:LCP327738 LMK327738:LML327738 LWG327738:LWH327738 MGC327738:MGD327738 MPY327738:MPZ327738 MZU327738:MZV327738 NJQ327738:NJR327738 NTM327738:NTN327738 ODI327738:ODJ327738 ONE327738:ONF327738 OXA327738:OXB327738 PGW327738:PGX327738 PQS327738:PQT327738 QAO327738:QAP327738 QKK327738:QKL327738 QUG327738:QUH327738 REC327738:RED327738 RNY327738:RNZ327738 RXU327738:RXV327738 SHQ327738:SHR327738 SRM327738:SRN327738 TBI327738:TBJ327738 TLE327738:TLF327738 TVA327738:TVB327738 UEW327738:UEX327738 UOS327738:UOT327738 UYO327738:UYP327738 VIK327738:VIL327738 VSG327738:VSH327738 WCC327738:WCD327738 WLY327738:WLZ327738 WVU327738:WVV327738 M393274:N393274 JI393274:JJ393274 TE393274:TF393274 ADA393274:ADB393274 AMW393274:AMX393274 AWS393274:AWT393274 BGO393274:BGP393274 BQK393274:BQL393274 CAG393274:CAH393274 CKC393274:CKD393274 CTY393274:CTZ393274 DDU393274:DDV393274 DNQ393274:DNR393274 DXM393274:DXN393274 EHI393274:EHJ393274 ERE393274:ERF393274 FBA393274:FBB393274 FKW393274:FKX393274 FUS393274:FUT393274 GEO393274:GEP393274 GOK393274:GOL393274 GYG393274:GYH393274 HIC393274:HID393274 HRY393274:HRZ393274 IBU393274:IBV393274 ILQ393274:ILR393274 IVM393274:IVN393274 JFI393274:JFJ393274 JPE393274:JPF393274 JZA393274:JZB393274 KIW393274:KIX393274 KSS393274:KST393274 LCO393274:LCP393274 LMK393274:LML393274 LWG393274:LWH393274 MGC393274:MGD393274 MPY393274:MPZ393274 MZU393274:MZV393274 NJQ393274:NJR393274 NTM393274:NTN393274 ODI393274:ODJ393274 ONE393274:ONF393274 OXA393274:OXB393274 PGW393274:PGX393274 PQS393274:PQT393274 QAO393274:QAP393274 QKK393274:QKL393274 QUG393274:QUH393274 REC393274:RED393274 RNY393274:RNZ393274 RXU393274:RXV393274 SHQ393274:SHR393274 SRM393274:SRN393274 TBI393274:TBJ393274 TLE393274:TLF393274 TVA393274:TVB393274 UEW393274:UEX393274 UOS393274:UOT393274 UYO393274:UYP393274 VIK393274:VIL393274 VSG393274:VSH393274 WCC393274:WCD393274 WLY393274:WLZ393274 WVU393274:WVV393274 M458810:N458810 JI458810:JJ458810 TE458810:TF458810 ADA458810:ADB458810 AMW458810:AMX458810 AWS458810:AWT458810 BGO458810:BGP458810 BQK458810:BQL458810 CAG458810:CAH458810 CKC458810:CKD458810 CTY458810:CTZ458810 DDU458810:DDV458810 DNQ458810:DNR458810 DXM458810:DXN458810 EHI458810:EHJ458810 ERE458810:ERF458810 FBA458810:FBB458810 FKW458810:FKX458810 FUS458810:FUT458810 GEO458810:GEP458810 GOK458810:GOL458810 GYG458810:GYH458810 HIC458810:HID458810 HRY458810:HRZ458810 IBU458810:IBV458810 ILQ458810:ILR458810 IVM458810:IVN458810 JFI458810:JFJ458810 JPE458810:JPF458810 JZA458810:JZB458810 KIW458810:KIX458810 KSS458810:KST458810 LCO458810:LCP458810 LMK458810:LML458810 LWG458810:LWH458810 MGC458810:MGD458810 MPY458810:MPZ458810 MZU458810:MZV458810 NJQ458810:NJR458810 NTM458810:NTN458810 ODI458810:ODJ458810 ONE458810:ONF458810 OXA458810:OXB458810 PGW458810:PGX458810 PQS458810:PQT458810 QAO458810:QAP458810 QKK458810:QKL458810 QUG458810:QUH458810 REC458810:RED458810 RNY458810:RNZ458810 RXU458810:RXV458810 SHQ458810:SHR458810 SRM458810:SRN458810 TBI458810:TBJ458810 TLE458810:TLF458810 TVA458810:TVB458810 UEW458810:UEX458810 UOS458810:UOT458810 UYO458810:UYP458810 VIK458810:VIL458810 VSG458810:VSH458810 WCC458810:WCD458810 WLY458810:WLZ458810 WVU458810:WVV458810 M524346:N524346 JI524346:JJ524346 TE524346:TF524346 ADA524346:ADB524346 AMW524346:AMX524346 AWS524346:AWT524346 BGO524346:BGP524346 BQK524346:BQL524346 CAG524346:CAH524346 CKC524346:CKD524346 CTY524346:CTZ524346 DDU524346:DDV524346 DNQ524346:DNR524346 DXM524346:DXN524346 EHI524346:EHJ524346 ERE524346:ERF524346 FBA524346:FBB524346 FKW524346:FKX524346 FUS524346:FUT524346 GEO524346:GEP524346 GOK524346:GOL524346 GYG524346:GYH524346 HIC524346:HID524346 HRY524346:HRZ524346 IBU524346:IBV524346 ILQ524346:ILR524346 IVM524346:IVN524346 JFI524346:JFJ524346 JPE524346:JPF524346 JZA524346:JZB524346 KIW524346:KIX524346 KSS524346:KST524346 LCO524346:LCP524346 LMK524346:LML524346 LWG524346:LWH524346 MGC524346:MGD524346 MPY524346:MPZ524346 MZU524346:MZV524346 NJQ524346:NJR524346 NTM524346:NTN524346 ODI524346:ODJ524346 ONE524346:ONF524346 OXA524346:OXB524346 PGW524346:PGX524346 PQS524346:PQT524346 QAO524346:QAP524346 QKK524346:QKL524346 QUG524346:QUH524346 REC524346:RED524346 RNY524346:RNZ524346 RXU524346:RXV524346 SHQ524346:SHR524346 SRM524346:SRN524346 TBI524346:TBJ524346 TLE524346:TLF524346 TVA524346:TVB524346 UEW524346:UEX524346 UOS524346:UOT524346 UYO524346:UYP524346 VIK524346:VIL524346 VSG524346:VSH524346 WCC524346:WCD524346 WLY524346:WLZ524346 WVU524346:WVV524346 M589882:N589882 JI589882:JJ589882 TE589882:TF589882 ADA589882:ADB589882 AMW589882:AMX589882 AWS589882:AWT589882 BGO589882:BGP589882 BQK589882:BQL589882 CAG589882:CAH589882 CKC589882:CKD589882 CTY589882:CTZ589882 DDU589882:DDV589882 DNQ589882:DNR589882 DXM589882:DXN589882 EHI589882:EHJ589882 ERE589882:ERF589882 FBA589882:FBB589882 FKW589882:FKX589882 FUS589882:FUT589882 GEO589882:GEP589882 GOK589882:GOL589882 GYG589882:GYH589882 HIC589882:HID589882 HRY589882:HRZ589882 IBU589882:IBV589882 ILQ589882:ILR589882 IVM589882:IVN589882 JFI589882:JFJ589882 JPE589882:JPF589882 JZA589882:JZB589882 KIW589882:KIX589882 KSS589882:KST589882 LCO589882:LCP589882 LMK589882:LML589882 LWG589882:LWH589882 MGC589882:MGD589882 MPY589882:MPZ589882 MZU589882:MZV589882 NJQ589882:NJR589882 NTM589882:NTN589882 ODI589882:ODJ589882 ONE589882:ONF589882 OXA589882:OXB589882 PGW589882:PGX589882 PQS589882:PQT589882 QAO589882:QAP589882 QKK589882:QKL589882 QUG589882:QUH589882 REC589882:RED589882 RNY589882:RNZ589882 RXU589882:RXV589882 SHQ589882:SHR589882 SRM589882:SRN589882 TBI589882:TBJ589882 TLE589882:TLF589882 TVA589882:TVB589882 UEW589882:UEX589882 UOS589882:UOT589882 UYO589882:UYP589882 VIK589882:VIL589882 VSG589882:VSH589882 WCC589882:WCD589882 WLY589882:WLZ589882 WVU589882:WVV589882 M655418:N655418 JI655418:JJ655418 TE655418:TF655418 ADA655418:ADB655418 AMW655418:AMX655418 AWS655418:AWT655418 BGO655418:BGP655418 BQK655418:BQL655418 CAG655418:CAH655418 CKC655418:CKD655418 CTY655418:CTZ655418 DDU655418:DDV655418 DNQ655418:DNR655418 DXM655418:DXN655418 EHI655418:EHJ655418 ERE655418:ERF655418 FBA655418:FBB655418 FKW655418:FKX655418 FUS655418:FUT655418 GEO655418:GEP655418 GOK655418:GOL655418 GYG655418:GYH655418 HIC655418:HID655418 HRY655418:HRZ655418 IBU655418:IBV655418 ILQ655418:ILR655418 IVM655418:IVN655418 JFI655418:JFJ655418 JPE655418:JPF655418 JZA655418:JZB655418 KIW655418:KIX655418 KSS655418:KST655418 LCO655418:LCP655418 LMK655418:LML655418 LWG655418:LWH655418 MGC655418:MGD655418 MPY655418:MPZ655418 MZU655418:MZV655418 NJQ655418:NJR655418 NTM655418:NTN655418 ODI655418:ODJ655418 ONE655418:ONF655418 OXA655418:OXB655418 PGW655418:PGX655418 PQS655418:PQT655418 QAO655418:QAP655418 QKK655418:QKL655418 QUG655418:QUH655418 REC655418:RED655418 RNY655418:RNZ655418 RXU655418:RXV655418 SHQ655418:SHR655418 SRM655418:SRN655418 TBI655418:TBJ655418 TLE655418:TLF655418 TVA655418:TVB655418 UEW655418:UEX655418 UOS655418:UOT655418 UYO655418:UYP655418 VIK655418:VIL655418 VSG655418:VSH655418 WCC655418:WCD655418 WLY655418:WLZ655418 WVU655418:WVV655418 M720954:N720954 JI720954:JJ720954 TE720954:TF720954 ADA720954:ADB720954 AMW720954:AMX720954 AWS720954:AWT720954 BGO720954:BGP720954 BQK720954:BQL720954 CAG720954:CAH720954 CKC720954:CKD720954 CTY720954:CTZ720954 DDU720954:DDV720954 DNQ720954:DNR720954 DXM720954:DXN720954 EHI720954:EHJ720954 ERE720954:ERF720954 FBA720954:FBB720954 FKW720954:FKX720954 FUS720954:FUT720954 GEO720954:GEP720954 GOK720954:GOL720954 GYG720954:GYH720954 HIC720954:HID720954 HRY720954:HRZ720954 IBU720954:IBV720954 ILQ720954:ILR720954 IVM720954:IVN720954 JFI720954:JFJ720954 JPE720954:JPF720954 JZA720954:JZB720954 KIW720954:KIX720954 KSS720954:KST720954 LCO720954:LCP720954 LMK720954:LML720954 LWG720954:LWH720954 MGC720954:MGD720954 MPY720954:MPZ720954 MZU720954:MZV720954 NJQ720954:NJR720954 NTM720954:NTN720954 ODI720954:ODJ720954 ONE720954:ONF720954 OXA720954:OXB720954 PGW720954:PGX720954 PQS720954:PQT720954 QAO720954:QAP720954 QKK720954:QKL720954 QUG720954:QUH720954 REC720954:RED720954 RNY720954:RNZ720954 RXU720954:RXV720954 SHQ720954:SHR720954 SRM720954:SRN720954 TBI720954:TBJ720954 TLE720954:TLF720954 TVA720954:TVB720954 UEW720954:UEX720954 UOS720954:UOT720954 UYO720954:UYP720954 VIK720954:VIL720954 VSG720954:VSH720954 WCC720954:WCD720954 WLY720954:WLZ720954 WVU720954:WVV720954 M786490:N786490 JI786490:JJ786490 TE786490:TF786490 ADA786490:ADB786490 AMW786490:AMX786490 AWS786490:AWT786490 BGO786490:BGP786490 BQK786490:BQL786490 CAG786490:CAH786490 CKC786490:CKD786490 CTY786490:CTZ786490 DDU786490:DDV786490 DNQ786490:DNR786490 DXM786490:DXN786490 EHI786490:EHJ786490 ERE786490:ERF786490 FBA786490:FBB786490 FKW786490:FKX786490 FUS786490:FUT786490 GEO786490:GEP786490 GOK786490:GOL786490 GYG786490:GYH786490 HIC786490:HID786490 HRY786490:HRZ786490 IBU786490:IBV786490 ILQ786490:ILR786490 IVM786490:IVN786490 JFI786490:JFJ786490 JPE786490:JPF786490 JZA786490:JZB786490 KIW786490:KIX786490 KSS786490:KST786490 LCO786490:LCP786490 LMK786490:LML786490 LWG786490:LWH786490 MGC786490:MGD786490 MPY786490:MPZ786490 MZU786490:MZV786490 NJQ786490:NJR786490 NTM786490:NTN786490 ODI786490:ODJ786490 ONE786490:ONF786490 OXA786490:OXB786490 PGW786490:PGX786490 PQS786490:PQT786490 QAO786490:QAP786490 QKK786490:QKL786490 QUG786490:QUH786490 REC786490:RED786490 RNY786490:RNZ786490 RXU786490:RXV786490 SHQ786490:SHR786490 SRM786490:SRN786490 TBI786490:TBJ786490 TLE786490:TLF786490 TVA786490:TVB786490 UEW786490:UEX786490 UOS786490:UOT786490 UYO786490:UYP786490 VIK786490:VIL786490 VSG786490:VSH786490 WCC786490:WCD786490 WLY786490:WLZ786490 WVU786490:WVV786490 M852026:N852026 JI852026:JJ852026 TE852026:TF852026 ADA852026:ADB852026 AMW852026:AMX852026 AWS852026:AWT852026 BGO852026:BGP852026 BQK852026:BQL852026 CAG852026:CAH852026 CKC852026:CKD852026 CTY852026:CTZ852026 DDU852026:DDV852026 DNQ852026:DNR852026 DXM852026:DXN852026 EHI852026:EHJ852026 ERE852026:ERF852026 FBA852026:FBB852026 FKW852026:FKX852026 FUS852026:FUT852026 GEO852026:GEP852026 GOK852026:GOL852026 GYG852026:GYH852026 HIC852026:HID852026 HRY852026:HRZ852026 IBU852026:IBV852026 ILQ852026:ILR852026 IVM852026:IVN852026 JFI852026:JFJ852026 JPE852026:JPF852026 JZA852026:JZB852026 KIW852026:KIX852026 KSS852026:KST852026 LCO852026:LCP852026 LMK852026:LML852026 LWG852026:LWH852026 MGC852026:MGD852026 MPY852026:MPZ852026 MZU852026:MZV852026 NJQ852026:NJR852026 NTM852026:NTN852026 ODI852026:ODJ852026 ONE852026:ONF852026 OXA852026:OXB852026 PGW852026:PGX852026 PQS852026:PQT852026 QAO852026:QAP852026 QKK852026:QKL852026 QUG852026:QUH852026 REC852026:RED852026 RNY852026:RNZ852026 RXU852026:RXV852026 SHQ852026:SHR852026 SRM852026:SRN852026 TBI852026:TBJ852026 TLE852026:TLF852026 TVA852026:TVB852026 UEW852026:UEX852026 UOS852026:UOT852026 UYO852026:UYP852026 VIK852026:VIL852026 VSG852026:VSH852026 WCC852026:WCD852026 WLY852026:WLZ852026 WVU852026:WVV852026 M917562:N917562 JI917562:JJ917562 TE917562:TF917562 ADA917562:ADB917562 AMW917562:AMX917562 AWS917562:AWT917562 BGO917562:BGP917562 BQK917562:BQL917562 CAG917562:CAH917562 CKC917562:CKD917562 CTY917562:CTZ917562 DDU917562:DDV917562 DNQ917562:DNR917562 DXM917562:DXN917562 EHI917562:EHJ917562 ERE917562:ERF917562 FBA917562:FBB917562 FKW917562:FKX917562 FUS917562:FUT917562 GEO917562:GEP917562 GOK917562:GOL917562 GYG917562:GYH917562 HIC917562:HID917562 HRY917562:HRZ917562 IBU917562:IBV917562 ILQ917562:ILR917562 IVM917562:IVN917562 JFI917562:JFJ917562 JPE917562:JPF917562 JZA917562:JZB917562 KIW917562:KIX917562 KSS917562:KST917562 LCO917562:LCP917562 LMK917562:LML917562 LWG917562:LWH917562 MGC917562:MGD917562 MPY917562:MPZ917562 MZU917562:MZV917562 NJQ917562:NJR917562 NTM917562:NTN917562 ODI917562:ODJ917562 ONE917562:ONF917562 OXA917562:OXB917562 PGW917562:PGX917562 PQS917562:PQT917562 QAO917562:QAP917562 QKK917562:QKL917562 QUG917562:QUH917562 REC917562:RED917562 RNY917562:RNZ917562 RXU917562:RXV917562 SHQ917562:SHR917562 SRM917562:SRN917562 TBI917562:TBJ917562 TLE917562:TLF917562 TVA917562:TVB917562 UEW917562:UEX917562 UOS917562:UOT917562 UYO917562:UYP917562 VIK917562:VIL917562 VSG917562:VSH917562 WCC917562:WCD917562 WLY917562:WLZ917562 WVU917562:WVV917562 M983098:N983098 JI983098:JJ983098 TE983098:TF983098 ADA983098:ADB983098 AMW983098:AMX983098 AWS983098:AWT983098 BGO983098:BGP983098 BQK983098:BQL983098 CAG983098:CAH983098 CKC983098:CKD983098 CTY983098:CTZ983098 DDU983098:DDV983098 DNQ983098:DNR983098 DXM983098:DXN983098 EHI983098:EHJ983098 ERE983098:ERF983098 FBA983098:FBB983098 FKW983098:FKX983098 FUS983098:FUT983098 GEO983098:GEP983098 GOK983098:GOL983098 GYG983098:GYH983098 HIC983098:HID983098 HRY983098:HRZ983098 IBU983098:IBV983098 ILQ983098:ILR983098 IVM983098:IVN983098 JFI983098:JFJ983098 JPE983098:JPF983098 JZA983098:JZB983098 KIW983098:KIX983098 KSS983098:KST983098 LCO983098:LCP983098 LMK983098:LML983098 LWG983098:LWH983098 MGC983098:MGD983098 MPY983098:MPZ983098 MZU983098:MZV983098 NJQ983098:NJR983098 NTM983098:NTN983098 ODI983098:ODJ983098 ONE983098:ONF983098 OXA983098:OXB983098 PGW983098:PGX983098 PQS983098:PQT983098 QAO983098:QAP983098 QKK983098:QKL983098 QUG983098:QUH983098 REC983098:RED983098 RNY983098:RNZ983098 RXU983098:RXV983098 SHQ983098:SHR983098 SRM983098:SRN983098 TBI983098:TBJ983098 TLE983098:TLF983098 TVA983098:TVB983098 UEW983098:UEX983098 UOS983098:UOT983098 UYO983098:UYP983098 VIK983098:VIL983098 VSG983098:VSH983098 WCC983098:WCD983098 WLY983098:WLZ983098 WVU983098:WVV983098 M195:N195 JI195:JJ195 TE195:TF195 ADA195:ADB195 AMW195:AMX195 AWS195:AWT195 BGO195:BGP195 BQK195:BQL195 CAG195:CAH195 CKC195:CKD195 CTY195:CTZ195 DDU195:DDV195 DNQ195:DNR195 DXM195:DXN195 EHI195:EHJ195 ERE195:ERF195 FBA195:FBB195 FKW195:FKX195 FUS195:FUT195 GEO195:GEP195 GOK195:GOL195 GYG195:GYH195 HIC195:HID195 HRY195:HRZ195 IBU195:IBV195 ILQ195:ILR195 IVM195:IVN195 JFI195:JFJ195 JPE195:JPF195 JZA195:JZB195 KIW195:KIX195 KSS195:KST195 LCO195:LCP195 LMK195:LML195 LWG195:LWH195 MGC195:MGD195 MPY195:MPZ195 MZU195:MZV195 NJQ195:NJR195 NTM195:NTN195 ODI195:ODJ195 ONE195:ONF195 OXA195:OXB195 PGW195:PGX195 PQS195:PQT195 QAO195:QAP195 QKK195:QKL195 QUG195:QUH195 REC195:RED195 RNY195:RNZ195 RXU195:RXV195 SHQ195:SHR195 SRM195:SRN195 TBI195:TBJ195 TLE195:TLF195 TVA195:TVB195 UEW195:UEX195 UOS195:UOT195 UYO195:UYP195 VIK195:VIL195 VSG195:VSH195 WCC195:WCD195 WLY195:WLZ195 WVU195:WVV195 M65728:N65728 JI65728:JJ65728 TE65728:TF65728 ADA65728:ADB65728 AMW65728:AMX65728 AWS65728:AWT65728 BGO65728:BGP65728 BQK65728:BQL65728 CAG65728:CAH65728 CKC65728:CKD65728 CTY65728:CTZ65728 DDU65728:DDV65728 DNQ65728:DNR65728 DXM65728:DXN65728 EHI65728:EHJ65728 ERE65728:ERF65728 FBA65728:FBB65728 FKW65728:FKX65728 FUS65728:FUT65728 GEO65728:GEP65728 GOK65728:GOL65728 GYG65728:GYH65728 HIC65728:HID65728 HRY65728:HRZ65728 IBU65728:IBV65728 ILQ65728:ILR65728 IVM65728:IVN65728 JFI65728:JFJ65728 JPE65728:JPF65728 JZA65728:JZB65728 KIW65728:KIX65728 KSS65728:KST65728 LCO65728:LCP65728 LMK65728:LML65728 LWG65728:LWH65728 MGC65728:MGD65728 MPY65728:MPZ65728 MZU65728:MZV65728 NJQ65728:NJR65728 NTM65728:NTN65728 ODI65728:ODJ65728 ONE65728:ONF65728 OXA65728:OXB65728 PGW65728:PGX65728 PQS65728:PQT65728 QAO65728:QAP65728 QKK65728:QKL65728 QUG65728:QUH65728 REC65728:RED65728 RNY65728:RNZ65728 RXU65728:RXV65728 SHQ65728:SHR65728 SRM65728:SRN65728 TBI65728:TBJ65728 TLE65728:TLF65728 TVA65728:TVB65728 UEW65728:UEX65728 UOS65728:UOT65728 UYO65728:UYP65728 VIK65728:VIL65728 VSG65728:VSH65728 WCC65728:WCD65728 WLY65728:WLZ65728 WVU65728:WVV65728 M131264:N131264 JI131264:JJ131264 TE131264:TF131264 ADA131264:ADB131264 AMW131264:AMX131264 AWS131264:AWT131264 BGO131264:BGP131264 BQK131264:BQL131264 CAG131264:CAH131264 CKC131264:CKD131264 CTY131264:CTZ131264 DDU131264:DDV131264 DNQ131264:DNR131264 DXM131264:DXN131264 EHI131264:EHJ131264 ERE131264:ERF131264 FBA131264:FBB131264 FKW131264:FKX131264 FUS131264:FUT131264 GEO131264:GEP131264 GOK131264:GOL131264 GYG131264:GYH131264 HIC131264:HID131264 HRY131264:HRZ131264 IBU131264:IBV131264 ILQ131264:ILR131264 IVM131264:IVN131264 JFI131264:JFJ131264 JPE131264:JPF131264 JZA131264:JZB131264 KIW131264:KIX131264 KSS131264:KST131264 LCO131264:LCP131264 LMK131264:LML131264 LWG131264:LWH131264 MGC131264:MGD131264 MPY131264:MPZ131264 MZU131264:MZV131264 NJQ131264:NJR131264 NTM131264:NTN131264 ODI131264:ODJ131264 ONE131264:ONF131264 OXA131264:OXB131264 PGW131264:PGX131264 PQS131264:PQT131264 QAO131264:QAP131264 QKK131264:QKL131264 QUG131264:QUH131264 REC131264:RED131264 RNY131264:RNZ131264 RXU131264:RXV131264 SHQ131264:SHR131264 SRM131264:SRN131264 TBI131264:TBJ131264 TLE131264:TLF131264 TVA131264:TVB131264 UEW131264:UEX131264 UOS131264:UOT131264 UYO131264:UYP131264 VIK131264:VIL131264 VSG131264:VSH131264 WCC131264:WCD131264 WLY131264:WLZ131264 WVU131264:WVV131264 M196800:N196800 JI196800:JJ196800 TE196800:TF196800 ADA196800:ADB196800 AMW196800:AMX196800 AWS196800:AWT196800 BGO196800:BGP196800 BQK196800:BQL196800 CAG196800:CAH196800 CKC196800:CKD196800 CTY196800:CTZ196800 DDU196800:DDV196800 DNQ196800:DNR196800 DXM196800:DXN196800 EHI196800:EHJ196800 ERE196800:ERF196800 FBA196800:FBB196800 FKW196800:FKX196800 FUS196800:FUT196800 GEO196800:GEP196800 GOK196800:GOL196800 GYG196800:GYH196800 HIC196800:HID196800 HRY196800:HRZ196800 IBU196800:IBV196800 ILQ196800:ILR196800 IVM196800:IVN196800 JFI196800:JFJ196800 JPE196800:JPF196800 JZA196800:JZB196800 KIW196800:KIX196800 KSS196800:KST196800 LCO196800:LCP196800 LMK196800:LML196800 LWG196800:LWH196800 MGC196800:MGD196800 MPY196800:MPZ196800 MZU196800:MZV196800 NJQ196800:NJR196800 NTM196800:NTN196800 ODI196800:ODJ196800 ONE196800:ONF196800 OXA196800:OXB196800 PGW196800:PGX196800 PQS196800:PQT196800 QAO196800:QAP196800 QKK196800:QKL196800 QUG196800:QUH196800 REC196800:RED196800 RNY196800:RNZ196800 RXU196800:RXV196800 SHQ196800:SHR196800 SRM196800:SRN196800 TBI196800:TBJ196800 TLE196800:TLF196800 TVA196800:TVB196800 UEW196800:UEX196800 UOS196800:UOT196800 UYO196800:UYP196800 VIK196800:VIL196800 VSG196800:VSH196800 WCC196800:WCD196800 WLY196800:WLZ196800 WVU196800:WVV196800 M262336:N262336 JI262336:JJ262336 TE262336:TF262336 ADA262336:ADB262336 AMW262336:AMX262336 AWS262336:AWT262336 BGO262336:BGP262336 BQK262336:BQL262336 CAG262336:CAH262336 CKC262336:CKD262336 CTY262336:CTZ262336 DDU262336:DDV262336 DNQ262336:DNR262336 DXM262336:DXN262336 EHI262336:EHJ262336 ERE262336:ERF262336 FBA262336:FBB262336 FKW262336:FKX262336 FUS262336:FUT262336 GEO262336:GEP262336 GOK262336:GOL262336 GYG262336:GYH262336 HIC262336:HID262336 HRY262336:HRZ262336 IBU262336:IBV262336 ILQ262336:ILR262336 IVM262336:IVN262336 JFI262336:JFJ262336 JPE262336:JPF262336 JZA262336:JZB262336 KIW262336:KIX262336 KSS262336:KST262336 LCO262336:LCP262336 LMK262336:LML262336 LWG262336:LWH262336 MGC262336:MGD262336 MPY262336:MPZ262336 MZU262336:MZV262336 NJQ262336:NJR262336 NTM262336:NTN262336 ODI262336:ODJ262336 ONE262336:ONF262336 OXA262336:OXB262336 PGW262336:PGX262336 PQS262336:PQT262336 QAO262336:QAP262336 QKK262336:QKL262336 QUG262336:QUH262336 REC262336:RED262336 RNY262336:RNZ262336 RXU262336:RXV262336 SHQ262336:SHR262336 SRM262336:SRN262336 TBI262336:TBJ262336 TLE262336:TLF262336 TVA262336:TVB262336 UEW262336:UEX262336 UOS262336:UOT262336 UYO262336:UYP262336 VIK262336:VIL262336 VSG262336:VSH262336 WCC262336:WCD262336 WLY262336:WLZ262336 WVU262336:WVV262336 M327872:N327872 JI327872:JJ327872 TE327872:TF327872 ADA327872:ADB327872 AMW327872:AMX327872 AWS327872:AWT327872 BGO327872:BGP327872 BQK327872:BQL327872 CAG327872:CAH327872 CKC327872:CKD327872 CTY327872:CTZ327872 DDU327872:DDV327872 DNQ327872:DNR327872 DXM327872:DXN327872 EHI327872:EHJ327872 ERE327872:ERF327872 FBA327872:FBB327872 FKW327872:FKX327872 FUS327872:FUT327872 GEO327872:GEP327872 GOK327872:GOL327872 GYG327872:GYH327872 HIC327872:HID327872 HRY327872:HRZ327872 IBU327872:IBV327872 ILQ327872:ILR327872 IVM327872:IVN327872 JFI327872:JFJ327872 JPE327872:JPF327872 JZA327872:JZB327872 KIW327872:KIX327872 KSS327872:KST327872 LCO327872:LCP327872 LMK327872:LML327872 LWG327872:LWH327872 MGC327872:MGD327872 MPY327872:MPZ327872 MZU327872:MZV327872 NJQ327872:NJR327872 NTM327872:NTN327872 ODI327872:ODJ327872 ONE327872:ONF327872 OXA327872:OXB327872 PGW327872:PGX327872 PQS327872:PQT327872 QAO327872:QAP327872 QKK327872:QKL327872 QUG327872:QUH327872 REC327872:RED327872 RNY327872:RNZ327872 RXU327872:RXV327872 SHQ327872:SHR327872 SRM327872:SRN327872 TBI327872:TBJ327872 TLE327872:TLF327872 TVA327872:TVB327872 UEW327872:UEX327872 UOS327872:UOT327872 UYO327872:UYP327872 VIK327872:VIL327872 VSG327872:VSH327872 WCC327872:WCD327872 WLY327872:WLZ327872 WVU327872:WVV327872 M393408:N393408 JI393408:JJ393408 TE393408:TF393408 ADA393408:ADB393408 AMW393408:AMX393408 AWS393408:AWT393408 BGO393408:BGP393408 BQK393408:BQL393408 CAG393408:CAH393408 CKC393408:CKD393408 CTY393408:CTZ393408 DDU393408:DDV393408 DNQ393408:DNR393408 DXM393408:DXN393408 EHI393408:EHJ393408 ERE393408:ERF393408 FBA393408:FBB393408 FKW393408:FKX393408 FUS393408:FUT393408 GEO393408:GEP393408 GOK393408:GOL393408 GYG393408:GYH393408 HIC393408:HID393408 HRY393408:HRZ393408 IBU393408:IBV393408 ILQ393408:ILR393408 IVM393408:IVN393408 JFI393408:JFJ393408 JPE393408:JPF393408 JZA393408:JZB393408 KIW393408:KIX393408 KSS393408:KST393408 LCO393408:LCP393408 LMK393408:LML393408 LWG393408:LWH393408 MGC393408:MGD393408 MPY393408:MPZ393408 MZU393408:MZV393408 NJQ393408:NJR393408 NTM393408:NTN393408 ODI393408:ODJ393408 ONE393408:ONF393408 OXA393408:OXB393408 PGW393408:PGX393408 PQS393408:PQT393408 QAO393408:QAP393408 QKK393408:QKL393408 QUG393408:QUH393408 REC393408:RED393408 RNY393408:RNZ393408 RXU393408:RXV393408 SHQ393408:SHR393408 SRM393408:SRN393408 TBI393408:TBJ393408 TLE393408:TLF393408 TVA393408:TVB393408 UEW393408:UEX393408 UOS393408:UOT393408 UYO393408:UYP393408 VIK393408:VIL393408 VSG393408:VSH393408 WCC393408:WCD393408 WLY393408:WLZ393408 WVU393408:WVV393408 M458944:N458944 JI458944:JJ458944 TE458944:TF458944 ADA458944:ADB458944 AMW458944:AMX458944 AWS458944:AWT458944 BGO458944:BGP458944 BQK458944:BQL458944 CAG458944:CAH458944 CKC458944:CKD458944 CTY458944:CTZ458944 DDU458944:DDV458944 DNQ458944:DNR458944 DXM458944:DXN458944 EHI458944:EHJ458944 ERE458944:ERF458944 FBA458944:FBB458944 FKW458944:FKX458944 FUS458944:FUT458944 GEO458944:GEP458944 GOK458944:GOL458944 GYG458944:GYH458944 HIC458944:HID458944 HRY458944:HRZ458944 IBU458944:IBV458944 ILQ458944:ILR458944 IVM458944:IVN458944 JFI458944:JFJ458944 JPE458944:JPF458944 JZA458944:JZB458944 KIW458944:KIX458944 KSS458944:KST458944 LCO458944:LCP458944 LMK458944:LML458944 LWG458944:LWH458944 MGC458944:MGD458944 MPY458944:MPZ458944 MZU458944:MZV458944 NJQ458944:NJR458944 NTM458944:NTN458944 ODI458944:ODJ458944 ONE458944:ONF458944 OXA458944:OXB458944 PGW458944:PGX458944 PQS458944:PQT458944 QAO458944:QAP458944 QKK458944:QKL458944 QUG458944:QUH458944 REC458944:RED458944 RNY458944:RNZ458944 RXU458944:RXV458944 SHQ458944:SHR458944 SRM458944:SRN458944 TBI458944:TBJ458944 TLE458944:TLF458944 TVA458944:TVB458944 UEW458944:UEX458944 UOS458944:UOT458944 UYO458944:UYP458944 VIK458944:VIL458944 VSG458944:VSH458944 WCC458944:WCD458944 WLY458944:WLZ458944 WVU458944:WVV458944 M524480:N524480 JI524480:JJ524480 TE524480:TF524480 ADA524480:ADB524480 AMW524480:AMX524480 AWS524480:AWT524480 BGO524480:BGP524480 BQK524480:BQL524480 CAG524480:CAH524480 CKC524480:CKD524480 CTY524480:CTZ524480 DDU524480:DDV524480 DNQ524480:DNR524480 DXM524480:DXN524480 EHI524480:EHJ524480 ERE524480:ERF524480 FBA524480:FBB524480 FKW524480:FKX524480 FUS524480:FUT524480 GEO524480:GEP524480 GOK524480:GOL524480 GYG524480:GYH524480 HIC524480:HID524480 HRY524480:HRZ524480 IBU524480:IBV524480 ILQ524480:ILR524480 IVM524480:IVN524480 JFI524480:JFJ524480 JPE524480:JPF524480 JZA524480:JZB524480 KIW524480:KIX524480 KSS524480:KST524480 LCO524480:LCP524480 LMK524480:LML524480 LWG524480:LWH524480 MGC524480:MGD524480 MPY524480:MPZ524480 MZU524480:MZV524480 NJQ524480:NJR524480 NTM524480:NTN524480 ODI524480:ODJ524480 ONE524480:ONF524480 OXA524480:OXB524480 PGW524480:PGX524480 PQS524480:PQT524480 QAO524480:QAP524480 QKK524480:QKL524480 QUG524480:QUH524480 REC524480:RED524480 RNY524480:RNZ524480 RXU524480:RXV524480 SHQ524480:SHR524480 SRM524480:SRN524480 TBI524480:TBJ524480 TLE524480:TLF524480 TVA524480:TVB524480 UEW524480:UEX524480 UOS524480:UOT524480 UYO524480:UYP524480 VIK524480:VIL524480 VSG524480:VSH524480 WCC524480:WCD524480 WLY524480:WLZ524480 WVU524480:WVV524480 M590016:N590016 JI590016:JJ590016 TE590016:TF590016 ADA590016:ADB590016 AMW590016:AMX590016 AWS590016:AWT590016 BGO590016:BGP590016 BQK590016:BQL590016 CAG590016:CAH590016 CKC590016:CKD590016 CTY590016:CTZ590016 DDU590016:DDV590016 DNQ590016:DNR590016 DXM590016:DXN590016 EHI590016:EHJ590016 ERE590016:ERF590016 FBA590016:FBB590016 FKW590016:FKX590016 FUS590016:FUT590016 GEO590016:GEP590016 GOK590016:GOL590016 GYG590016:GYH590016 HIC590016:HID590016 HRY590016:HRZ590016 IBU590016:IBV590016 ILQ590016:ILR590016 IVM590016:IVN590016 JFI590016:JFJ590016 JPE590016:JPF590016 JZA590016:JZB590016 KIW590016:KIX590016 KSS590016:KST590016 LCO590016:LCP590016 LMK590016:LML590016 LWG590016:LWH590016 MGC590016:MGD590016 MPY590016:MPZ590016 MZU590016:MZV590016 NJQ590016:NJR590016 NTM590016:NTN590016 ODI590016:ODJ590016 ONE590016:ONF590016 OXA590016:OXB590016 PGW590016:PGX590016 PQS590016:PQT590016 QAO590016:QAP590016 QKK590016:QKL590016 QUG590016:QUH590016 REC590016:RED590016 RNY590016:RNZ590016 RXU590016:RXV590016 SHQ590016:SHR590016 SRM590016:SRN590016 TBI590016:TBJ590016 TLE590016:TLF590016 TVA590016:TVB590016 UEW590016:UEX590016 UOS590016:UOT590016 UYO590016:UYP590016 VIK590016:VIL590016 VSG590016:VSH590016 WCC590016:WCD590016 WLY590016:WLZ590016 WVU590016:WVV590016 M655552:N655552 JI655552:JJ655552 TE655552:TF655552 ADA655552:ADB655552 AMW655552:AMX655552 AWS655552:AWT655552 BGO655552:BGP655552 BQK655552:BQL655552 CAG655552:CAH655552 CKC655552:CKD655552 CTY655552:CTZ655552 DDU655552:DDV655552 DNQ655552:DNR655552 DXM655552:DXN655552 EHI655552:EHJ655552 ERE655552:ERF655552 FBA655552:FBB655552 FKW655552:FKX655552 FUS655552:FUT655552 GEO655552:GEP655552 GOK655552:GOL655552 GYG655552:GYH655552 HIC655552:HID655552 HRY655552:HRZ655552 IBU655552:IBV655552 ILQ655552:ILR655552 IVM655552:IVN655552 JFI655552:JFJ655552 JPE655552:JPF655552 JZA655552:JZB655552 KIW655552:KIX655552 KSS655552:KST655552 LCO655552:LCP655552 LMK655552:LML655552 LWG655552:LWH655552 MGC655552:MGD655552 MPY655552:MPZ655552 MZU655552:MZV655552 NJQ655552:NJR655552 NTM655552:NTN655552 ODI655552:ODJ655552 ONE655552:ONF655552 OXA655552:OXB655552 PGW655552:PGX655552 PQS655552:PQT655552 QAO655552:QAP655552 QKK655552:QKL655552 QUG655552:QUH655552 REC655552:RED655552 RNY655552:RNZ655552 RXU655552:RXV655552 SHQ655552:SHR655552 SRM655552:SRN655552 TBI655552:TBJ655552 TLE655552:TLF655552 TVA655552:TVB655552 UEW655552:UEX655552 UOS655552:UOT655552 UYO655552:UYP655552 VIK655552:VIL655552 VSG655552:VSH655552 WCC655552:WCD655552 WLY655552:WLZ655552 WVU655552:WVV655552 M721088:N721088 JI721088:JJ721088 TE721088:TF721088 ADA721088:ADB721088 AMW721088:AMX721088 AWS721088:AWT721088 BGO721088:BGP721088 BQK721088:BQL721088 CAG721088:CAH721088 CKC721088:CKD721088 CTY721088:CTZ721088 DDU721088:DDV721088 DNQ721088:DNR721088 DXM721088:DXN721088 EHI721088:EHJ721088 ERE721088:ERF721088 FBA721088:FBB721088 FKW721088:FKX721088 FUS721088:FUT721088 GEO721088:GEP721088 GOK721088:GOL721088 GYG721088:GYH721088 HIC721088:HID721088 HRY721088:HRZ721088 IBU721088:IBV721088 ILQ721088:ILR721088 IVM721088:IVN721088 JFI721088:JFJ721088 JPE721088:JPF721088 JZA721088:JZB721088 KIW721088:KIX721088 KSS721088:KST721088 LCO721088:LCP721088 LMK721088:LML721088 LWG721088:LWH721088 MGC721088:MGD721088 MPY721088:MPZ721088 MZU721088:MZV721088 NJQ721088:NJR721088 NTM721088:NTN721088 ODI721088:ODJ721088 ONE721088:ONF721088 OXA721088:OXB721088 PGW721088:PGX721088 PQS721088:PQT721088 QAO721088:QAP721088 QKK721088:QKL721088 QUG721088:QUH721088 REC721088:RED721088 RNY721088:RNZ721088 RXU721088:RXV721088 SHQ721088:SHR721088 SRM721088:SRN721088 TBI721088:TBJ721088 TLE721088:TLF721088 TVA721088:TVB721088 UEW721088:UEX721088 UOS721088:UOT721088 UYO721088:UYP721088 VIK721088:VIL721088 VSG721088:VSH721088 WCC721088:WCD721088 WLY721088:WLZ721088 WVU721088:WVV721088 M786624:N786624 JI786624:JJ786624 TE786624:TF786624 ADA786624:ADB786624 AMW786624:AMX786624 AWS786624:AWT786624 BGO786624:BGP786624 BQK786624:BQL786624 CAG786624:CAH786624 CKC786624:CKD786624 CTY786624:CTZ786624 DDU786624:DDV786624 DNQ786624:DNR786624 DXM786624:DXN786624 EHI786624:EHJ786624 ERE786624:ERF786624 FBA786624:FBB786624 FKW786624:FKX786624 FUS786624:FUT786624 GEO786624:GEP786624 GOK786624:GOL786624 GYG786624:GYH786624 HIC786624:HID786624 HRY786624:HRZ786624 IBU786624:IBV786624 ILQ786624:ILR786624 IVM786624:IVN786624 JFI786624:JFJ786624 JPE786624:JPF786624 JZA786624:JZB786624 KIW786624:KIX786624 KSS786624:KST786624 LCO786624:LCP786624 LMK786624:LML786624 LWG786624:LWH786624 MGC786624:MGD786624 MPY786624:MPZ786624 MZU786624:MZV786624 NJQ786624:NJR786624 NTM786624:NTN786624 ODI786624:ODJ786624 ONE786624:ONF786624 OXA786624:OXB786624 PGW786624:PGX786624 PQS786624:PQT786624 QAO786624:QAP786624 QKK786624:QKL786624 QUG786624:QUH786624 REC786624:RED786624 RNY786624:RNZ786624 RXU786624:RXV786624 SHQ786624:SHR786624 SRM786624:SRN786624 TBI786624:TBJ786624 TLE786624:TLF786624 TVA786624:TVB786624 UEW786624:UEX786624 UOS786624:UOT786624 UYO786624:UYP786624 VIK786624:VIL786624 VSG786624:VSH786624 WCC786624:WCD786624 WLY786624:WLZ786624 WVU786624:WVV786624 M852160:N852160 JI852160:JJ852160 TE852160:TF852160 ADA852160:ADB852160 AMW852160:AMX852160 AWS852160:AWT852160 BGO852160:BGP852160 BQK852160:BQL852160 CAG852160:CAH852160 CKC852160:CKD852160 CTY852160:CTZ852160 DDU852160:DDV852160 DNQ852160:DNR852160 DXM852160:DXN852160 EHI852160:EHJ852160 ERE852160:ERF852160 FBA852160:FBB852160 FKW852160:FKX852160 FUS852160:FUT852160 GEO852160:GEP852160 GOK852160:GOL852160 GYG852160:GYH852160 HIC852160:HID852160 HRY852160:HRZ852160 IBU852160:IBV852160 ILQ852160:ILR852160 IVM852160:IVN852160 JFI852160:JFJ852160 JPE852160:JPF852160 JZA852160:JZB852160 KIW852160:KIX852160 KSS852160:KST852160 LCO852160:LCP852160 LMK852160:LML852160 LWG852160:LWH852160 MGC852160:MGD852160 MPY852160:MPZ852160 MZU852160:MZV852160 NJQ852160:NJR852160 NTM852160:NTN852160 ODI852160:ODJ852160 ONE852160:ONF852160 OXA852160:OXB852160 PGW852160:PGX852160 PQS852160:PQT852160 QAO852160:QAP852160 QKK852160:QKL852160 QUG852160:QUH852160 REC852160:RED852160 RNY852160:RNZ852160 RXU852160:RXV852160 SHQ852160:SHR852160 SRM852160:SRN852160 TBI852160:TBJ852160 TLE852160:TLF852160 TVA852160:TVB852160 UEW852160:UEX852160 UOS852160:UOT852160 UYO852160:UYP852160 VIK852160:VIL852160 VSG852160:VSH852160 WCC852160:WCD852160 WLY852160:WLZ852160 WVU852160:WVV852160 M917696:N917696 JI917696:JJ917696 TE917696:TF917696 ADA917696:ADB917696 AMW917696:AMX917696 AWS917696:AWT917696 BGO917696:BGP917696 BQK917696:BQL917696 CAG917696:CAH917696 CKC917696:CKD917696 CTY917696:CTZ917696 DDU917696:DDV917696 DNQ917696:DNR917696 DXM917696:DXN917696 EHI917696:EHJ917696 ERE917696:ERF917696 FBA917696:FBB917696 FKW917696:FKX917696 FUS917696:FUT917696 GEO917696:GEP917696 GOK917696:GOL917696 GYG917696:GYH917696 HIC917696:HID917696 HRY917696:HRZ917696 IBU917696:IBV917696 ILQ917696:ILR917696 IVM917696:IVN917696 JFI917696:JFJ917696 JPE917696:JPF917696 JZA917696:JZB917696 KIW917696:KIX917696 KSS917696:KST917696 LCO917696:LCP917696 LMK917696:LML917696 LWG917696:LWH917696 MGC917696:MGD917696 MPY917696:MPZ917696 MZU917696:MZV917696 NJQ917696:NJR917696 NTM917696:NTN917696 ODI917696:ODJ917696 ONE917696:ONF917696 OXA917696:OXB917696 PGW917696:PGX917696 PQS917696:PQT917696 QAO917696:QAP917696 QKK917696:QKL917696 QUG917696:QUH917696 REC917696:RED917696 RNY917696:RNZ917696 RXU917696:RXV917696 SHQ917696:SHR917696 SRM917696:SRN917696 TBI917696:TBJ917696 TLE917696:TLF917696 TVA917696:TVB917696 UEW917696:UEX917696 UOS917696:UOT917696 UYO917696:UYP917696 VIK917696:VIL917696 VSG917696:VSH917696 WCC917696:WCD917696 WLY917696:WLZ917696 WVU917696:WVV917696 M983232:N983232 JI983232:JJ983232 TE983232:TF983232 ADA983232:ADB983232 AMW983232:AMX983232 AWS983232:AWT983232 BGO983232:BGP983232 BQK983232:BQL983232 CAG983232:CAH983232 CKC983232:CKD983232 CTY983232:CTZ983232 DDU983232:DDV983232 DNQ983232:DNR983232 DXM983232:DXN983232 EHI983232:EHJ983232 ERE983232:ERF983232 FBA983232:FBB983232 FKW983232:FKX983232 FUS983232:FUT983232 GEO983232:GEP983232 GOK983232:GOL983232 GYG983232:GYH983232 HIC983232:HID983232 HRY983232:HRZ983232 IBU983232:IBV983232 ILQ983232:ILR983232 IVM983232:IVN983232 JFI983232:JFJ983232 JPE983232:JPF983232 JZA983232:JZB983232 KIW983232:KIX983232 KSS983232:KST983232 LCO983232:LCP983232 LMK983232:LML983232 LWG983232:LWH983232 MGC983232:MGD983232 MPY983232:MPZ983232 MZU983232:MZV983232 NJQ983232:NJR983232 NTM983232:NTN983232 ODI983232:ODJ983232 ONE983232:ONF983232 OXA983232:OXB983232 PGW983232:PGX983232 PQS983232:PQT983232 QAO983232:QAP983232 QKK983232:QKL983232 QUG983232:QUH983232 REC983232:RED983232 RNY983232:RNZ983232 RXU983232:RXV983232 SHQ983232:SHR983232 SRM983232:SRN983232 TBI983232:TBJ983232 TLE983232:TLF983232 TVA983232:TVB983232 UEW983232:UEX983232 UOS983232:UOT983232 UYO983232:UYP983232 VIK983232:VIL983232 VSG983232:VSH983232 WCC983232:WCD983232 WLY983232:WLZ983232 WVU983232:WVV983232 M502:N502 JI502:JJ502 TE502:TF502 ADA502:ADB502 AMW502:AMX502 AWS502:AWT502 BGO502:BGP502 BQK502:BQL502 CAG502:CAH502 CKC502:CKD502 CTY502:CTZ502 DDU502:DDV502 DNQ502:DNR502 DXM502:DXN502 EHI502:EHJ502 ERE502:ERF502 FBA502:FBB502 FKW502:FKX502 FUS502:FUT502 GEO502:GEP502 GOK502:GOL502 GYG502:GYH502 HIC502:HID502 HRY502:HRZ502 IBU502:IBV502 ILQ502:ILR502 IVM502:IVN502 JFI502:JFJ502 JPE502:JPF502 JZA502:JZB502 KIW502:KIX502 KSS502:KST502 LCO502:LCP502 LMK502:LML502 LWG502:LWH502 MGC502:MGD502 MPY502:MPZ502 MZU502:MZV502 NJQ502:NJR502 NTM502:NTN502 ODI502:ODJ502 ONE502:ONF502 OXA502:OXB502 PGW502:PGX502 PQS502:PQT502 QAO502:QAP502 QKK502:QKL502 QUG502:QUH502 REC502:RED502 RNY502:RNZ502 RXU502:RXV502 SHQ502:SHR502 SRM502:SRN502 TBI502:TBJ502 TLE502:TLF502 TVA502:TVB502 UEW502:UEX502 UOS502:UOT502 UYO502:UYP502 VIK502:VIL502 VSG502:VSH502 WCC502:WCD502 WLY502:WLZ502 WVU502:WVV502 M66038:N66038 JI66038:JJ66038 TE66038:TF66038 ADA66038:ADB66038 AMW66038:AMX66038 AWS66038:AWT66038 BGO66038:BGP66038 BQK66038:BQL66038 CAG66038:CAH66038 CKC66038:CKD66038 CTY66038:CTZ66038 DDU66038:DDV66038 DNQ66038:DNR66038 DXM66038:DXN66038 EHI66038:EHJ66038 ERE66038:ERF66038 FBA66038:FBB66038 FKW66038:FKX66038 FUS66038:FUT66038 GEO66038:GEP66038 GOK66038:GOL66038 GYG66038:GYH66038 HIC66038:HID66038 HRY66038:HRZ66038 IBU66038:IBV66038 ILQ66038:ILR66038 IVM66038:IVN66038 JFI66038:JFJ66038 JPE66038:JPF66038 JZA66038:JZB66038 KIW66038:KIX66038 KSS66038:KST66038 LCO66038:LCP66038 LMK66038:LML66038 LWG66038:LWH66038 MGC66038:MGD66038 MPY66038:MPZ66038 MZU66038:MZV66038 NJQ66038:NJR66038 NTM66038:NTN66038 ODI66038:ODJ66038 ONE66038:ONF66038 OXA66038:OXB66038 PGW66038:PGX66038 PQS66038:PQT66038 QAO66038:QAP66038 QKK66038:QKL66038 QUG66038:QUH66038 REC66038:RED66038 RNY66038:RNZ66038 RXU66038:RXV66038 SHQ66038:SHR66038 SRM66038:SRN66038 TBI66038:TBJ66038 TLE66038:TLF66038 TVA66038:TVB66038 UEW66038:UEX66038 UOS66038:UOT66038 UYO66038:UYP66038 VIK66038:VIL66038 VSG66038:VSH66038 WCC66038:WCD66038 WLY66038:WLZ66038 WVU66038:WVV66038 M131574:N131574 JI131574:JJ131574 TE131574:TF131574 ADA131574:ADB131574 AMW131574:AMX131574 AWS131574:AWT131574 BGO131574:BGP131574 BQK131574:BQL131574 CAG131574:CAH131574 CKC131574:CKD131574 CTY131574:CTZ131574 DDU131574:DDV131574 DNQ131574:DNR131574 DXM131574:DXN131574 EHI131574:EHJ131574 ERE131574:ERF131574 FBA131574:FBB131574 FKW131574:FKX131574 FUS131574:FUT131574 GEO131574:GEP131574 GOK131574:GOL131574 GYG131574:GYH131574 HIC131574:HID131574 HRY131574:HRZ131574 IBU131574:IBV131574 ILQ131574:ILR131574 IVM131574:IVN131574 JFI131574:JFJ131574 JPE131574:JPF131574 JZA131574:JZB131574 KIW131574:KIX131574 KSS131574:KST131574 LCO131574:LCP131574 LMK131574:LML131574 LWG131574:LWH131574 MGC131574:MGD131574 MPY131574:MPZ131574 MZU131574:MZV131574 NJQ131574:NJR131574 NTM131574:NTN131574 ODI131574:ODJ131574 ONE131574:ONF131574 OXA131574:OXB131574 PGW131574:PGX131574 PQS131574:PQT131574 QAO131574:QAP131574 QKK131574:QKL131574 QUG131574:QUH131574 REC131574:RED131574 RNY131574:RNZ131574 RXU131574:RXV131574 SHQ131574:SHR131574 SRM131574:SRN131574 TBI131574:TBJ131574 TLE131574:TLF131574 TVA131574:TVB131574 UEW131574:UEX131574 UOS131574:UOT131574 UYO131574:UYP131574 VIK131574:VIL131574 VSG131574:VSH131574 WCC131574:WCD131574 WLY131574:WLZ131574 WVU131574:WVV131574 M197110:N197110 JI197110:JJ197110 TE197110:TF197110 ADA197110:ADB197110 AMW197110:AMX197110 AWS197110:AWT197110 BGO197110:BGP197110 BQK197110:BQL197110 CAG197110:CAH197110 CKC197110:CKD197110 CTY197110:CTZ197110 DDU197110:DDV197110 DNQ197110:DNR197110 DXM197110:DXN197110 EHI197110:EHJ197110 ERE197110:ERF197110 FBA197110:FBB197110 FKW197110:FKX197110 FUS197110:FUT197110 GEO197110:GEP197110 GOK197110:GOL197110 GYG197110:GYH197110 HIC197110:HID197110 HRY197110:HRZ197110 IBU197110:IBV197110 ILQ197110:ILR197110 IVM197110:IVN197110 JFI197110:JFJ197110 JPE197110:JPF197110 JZA197110:JZB197110 KIW197110:KIX197110 KSS197110:KST197110 LCO197110:LCP197110 LMK197110:LML197110 LWG197110:LWH197110 MGC197110:MGD197110 MPY197110:MPZ197110 MZU197110:MZV197110 NJQ197110:NJR197110 NTM197110:NTN197110 ODI197110:ODJ197110 ONE197110:ONF197110 OXA197110:OXB197110 PGW197110:PGX197110 PQS197110:PQT197110 QAO197110:QAP197110 QKK197110:QKL197110 QUG197110:QUH197110 REC197110:RED197110 RNY197110:RNZ197110 RXU197110:RXV197110 SHQ197110:SHR197110 SRM197110:SRN197110 TBI197110:TBJ197110 TLE197110:TLF197110 TVA197110:TVB197110 UEW197110:UEX197110 UOS197110:UOT197110 UYO197110:UYP197110 VIK197110:VIL197110 VSG197110:VSH197110 WCC197110:WCD197110 WLY197110:WLZ197110 WVU197110:WVV197110 M262646:N262646 JI262646:JJ262646 TE262646:TF262646 ADA262646:ADB262646 AMW262646:AMX262646 AWS262646:AWT262646 BGO262646:BGP262646 BQK262646:BQL262646 CAG262646:CAH262646 CKC262646:CKD262646 CTY262646:CTZ262646 DDU262646:DDV262646 DNQ262646:DNR262646 DXM262646:DXN262646 EHI262646:EHJ262646 ERE262646:ERF262646 FBA262646:FBB262646 FKW262646:FKX262646 FUS262646:FUT262646 GEO262646:GEP262646 GOK262646:GOL262646 GYG262646:GYH262646 HIC262646:HID262646 HRY262646:HRZ262646 IBU262646:IBV262646 ILQ262646:ILR262646 IVM262646:IVN262646 JFI262646:JFJ262646 JPE262646:JPF262646 JZA262646:JZB262646 KIW262646:KIX262646 KSS262646:KST262646 LCO262646:LCP262646 LMK262646:LML262646 LWG262646:LWH262646 MGC262646:MGD262646 MPY262646:MPZ262646 MZU262646:MZV262646 NJQ262646:NJR262646 NTM262646:NTN262646 ODI262646:ODJ262646 ONE262646:ONF262646 OXA262646:OXB262646 PGW262646:PGX262646 PQS262646:PQT262646 QAO262646:QAP262646 QKK262646:QKL262646 QUG262646:QUH262646 REC262646:RED262646 RNY262646:RNZ262646 RXU262646:RXV262646 SHQ262646:SHR262646 SRM262646:SRN262646 TBI262646:TBJ262646 TLE262646:TLF262646 TVA262646:TVB262646 UEW262646:UEX262646 UOS262646:UOT262646 UYO262646:UYP262646 VIK262646:VIL262646 VSG262646:VSH262646 WCC262646:WCD262646 WLY262646:WLZ262646 WVU262646:WVV262646 M328182:N328182 JI328182:JJ328182 TE328182:TF328182 ADA328182:ADB328182 AMW328182:AMX328182 AWS328182:AWT328182 BGO328182:BGP328182 BQK328182:BQL328182 CAG328182:CAH328182 CKC328182:CKD328182 CTY328182:CTZ328182 DDU328182:DDV328182 DNQ328182:DNR328182 DXM328182:DXN328182 EHI328182:EHJ328182 ERE328182:ERF328182 FBA328182:FBB328182 FKW328182:FKX328182 FUS328182:FUT328182 GEO328182:GEP328182 GOK328182:GOL328182 GYG328182:GYH328182 HIC328182:HID328182 HRY328182:HRZ328182 IBU328182:IBV328182 ILQ328182:ILR328182 IVM328182:IVN328182 JFI328182:JFJ328182 JPE328182:JPF328182 JZA328182:JZB328182 KIW328182:KIX328182 KSS328182:KST328182 LCO328182:LCP328182 LMK328182:LML328182 LWG328182:LWH328182 MGC328182:MGD328182 MPY328182:MPZ328182 MZU328182:MZV328182 NJQ328182:NJR328182 NTM328182:NTN328182 ODI328182:ODJ328182 ONE328182:ONF328182 OXA328182:OXB328182 PGW328182:PGX328182 PQS328182:PQT328182 QAO328182:QAP328182 QKK328182:QKL328182 QUG328182:QUH328182 REC328182:RED328182 RNY328182:RNZ328182 RXU328182:RXV328182 SHQ328182:SHR328182 SRM328182:SRN328182 TBI328182:TBJ328182 TLE328182:TLF328182 TVA328182:TVB328182 UEW328182:UEX328182 UOS328182:UOT328182 UYO328182:UYP328182 VIK328182:VIL328182 VSG328182:VSH328182 WCC328182:WCD328182 WLY328182:WLZ328182 WVU328182:WVV328182 M393718:N393718 JI393718:JJ393718 TE393718:TF393718 ADA393718:ADB393718 AMW393718:AMX393718 AWS393718:AWT393718 BGO393718:BGP393718 BQK393718:BQL393718 CAG393718:CAH393718 CKC393718:CKD393718 CTY393718:CTZ393718 DDU393718:DDV393718 DNQ393718:DNR393718 DXM393718:DXN393718 EHI393718:EHJ393718 ERE393718:ERF393718 FBA393718:FBB393718 FKW393718:FKX393718 FUS393718:FUT393718 GEO393718:GEP393718 GOK393718:GOL393718 GYG393718:GYH393718 HIC393718:HID393718 HRY393718:HRZ393718 IBU393718:IBV393718 ILQ393718:ILR393718 IVM393718:IVN393718 JFI393718:JFJ393718 JPE393718:JPF393718 JZA393718:JZB393718 KIW393718:KIX393718 KSS393718:KST393718 LCO393718:LCP393718 LMK393718:LML393718 LWG393718:LWH393718 MGC393718:MGD393718 MPY393718:MPZ393718 MZU393718:MZV393718 NJQ393718:NJR393718 NTM393718:NTN393718 ODI393718:ODJ393718 ONE393718:ONF393718 OXA393718:OXB393718 PGW393718:PGX393718 PQS393718:PQT393718 QAO393718:QAP393718 QKK393718:QKL393718 QUG393718:QUH393718 REC393718:RED393718 RNY393718:RNZ393718 RXU393718:RXV393718 SHQ393718:SHR393718 SRM393718:SRN393718 TBI393718:TBJ393718 TLE393718:TLF393718 TVA393718:TVB393718 UEW393718:UEX393718 UOS393718:UOT393718 UYO393718:UYP393718 VIK393718:VIL393718 VSG393718:VSH393718 WCC393718:WCD393718 WLY393718:WLZ393718 WVU393718:WVV393718 M459254:N459254 JI459254:JJ459254 TE459254:TF459254 ADA459254:ADB459254 AMW459254:AMX459254 AWS459254:AWT459254 BGO459254:BGP459254 BQK459254:BQL459254 CAG459254:CAH459254 CKC459254:CKD459254 CTY459254:CTZ459254 DDU459254:DDV459254 DNQ459254:DNR459254 DXM459254:DXN459254 EHI459254:EHJ459254 ERE459254:ERF459254 FBA459254:FBB459254 FKW459254:FKX459254 FUS459254:FUT459254 GEO459254:GEP459254 GOK459254:GOL459254 GYG459254:GYH459254 HIC459254:HID459254 HRY459254:HRZ459254 IBU459254:IBV459254 ILQ459254:ILR459254 IVM459254:IVN459254 JFI459254:JFJ459254 JPE459254:JPF459254 JZA459254:JZB459254 KIW459254:KIX459254 KSS459254:KST459254 LCO459254:LCP459254 LMK459254:LML459254 LWG459254:LWH459254 MGC459254:MGD459254 MPY459254:MPZ459254 MZU459254:MZV459254 NJQ459254:NJR459254 NTM459254:NTN459254 ODI459254:ODJ459254 ONE459254:ONF459254 OXA459254:OXB459254 PGW459254:PGX459254 PQS459254:PQT459254 QAO459254:QAP459254 QKK459254:QKL459254 QUG459254:QUH459254 REC459254:RED459254 RNY459254:RNZ459254 RXU459254:RXV459254 SHQ459254:SHR459254 SRM459254:SRN459254 TBI459254:TBJ459254 TLE459254:TLF459254 TVA459254:TVB459254 UEW459254:UEX459254 UOS459254:UOT459254 UYO459254:UYP459254 VIK459254:VIL459254 VSG459254:VSH459254 WCC459254:WCD459254 WLY459254:WLZ459254 WVU459254:WVV459254 M524790:N524790 JI524790:JJ524790 TE524790:TF524790 ADA524790:ADB524790 AMW524790:AMX524790 AWS524790:AWT524790 BGO524790:BGP524790 BQK524790:BQL524790 CAG524790:CAH524790 CKC524790:CKD524790 CTY524790:CTZ524790 DDU524790:DDV524790 DNQ524790:DNR524790 DXM524790:DXN524790 EHI524790:EHJ524790 ERE524790:ERF524790 FBA524790:FBB524790 FKW524790:FKX524790 FUS524790:FUT524790 GEO524790:GEP524790 GOK524790:GOL524790 GYG524790:GYH524790 HIC524790:HID524790 HRY524790:HRZ524790 IBU524790:IBV524790 ILQ524790:ILR524790 IVM524790:IVN524790 JFI524790:JFJ524790 JPE524790:JPF524790 JZA524790:JZB524790 KIW524790:KIX524790 KSS524790:KST524790 LCO524790:LCP524790 LMK524790:LML524790 LWG524790:LWH524790 MGC524790:MGD524790 MPY524790:MPZ524790 MZU524790:MZV524790 NJQ524790:NJR524790 NTM524790:NTN524790 ODI524790:ODJ524790 ONE524790:ONF524790 OXA524790:OXB524790 PGW524790:PGX524790 PQS524790:PQT524790 QAO524790:QAP524790 QKK524790:QKL524790 QUG524790:QUH524790 REC524790:RED524790 RNY524790:RNZ524790 RXU524790:RXV524790 SHQ524790:SHR524790 SRM524790:SRN524790 TBI524790:TBJ524790 TLE524790:TLF524790 TVA524790:TVB524790 UEW524790:UEX524790 UOS524790:UOT524790 UYO524790:UYP524790 VIK524790:VIL524790 VSG524790:VSH524790 WCC524790:WCD524790 WLY524790:WLZ524790 WVU524790:WVV524790 M590326:N590326 JI590326:JJ590326 TE590326:TF590326 ADA590326:ADB590326 AMW590326:AMX590326 AWS590326:AWT590326 BGO590326:BGP590326 BQK590326:BQL590326 CAG590326:CAH590326 CKC590326:CKD590326 CTY590326:CTZ590326 DDU590326:DDV590326 DNQ590326:DNR590326 DXM590326:DXN590326 EHI590326:EHJ590326 ERE590326:ERF590326 FBA590326:FBB590326 FKW590326:FKX590326 FUS590326:FUT590326 GEO590326:GEP590326 GOK590326:GOL590326 GYG590326:GYH590326 HIC590326:HID590326 HRY590326:HRZ590326 IBU590326:IBV590326 ILQ590326:ILR590326 IVM590326:IVN590326 JFI590326:JFJ590326 JPE590326:JPF590326 JZA590326:JZB590326 KIW590326:KIX590326 KSS590326:KST590326 LCO590326:LCP590326 LMK590326:LML590326 LWG590326:LWH590326 MGC590326:MGD590326 MPY590326:MPZ590326 MZU590326:MZV590326 NJQ590326:NJR590326 NTM590326:NTN590326 ODI590326:ODJ590326 ONE590326:ONF590326 OXA590326:OXB590326 PGW590326:PGX590326 PQS590326:PQT590326 QAO590326:QAP590326 QKK590326:QKL590326 QUG590326:QUH590326 REC590326:RED590326 RNY590326:RNZ590326 RXU590326:RXV590326 SHQ590326:SHR590326 SRM590326:SRN590326 TBI590326:TBJ590326 TLE590326:TLF590326 TVA590326:TVB590326 UEW590326:UEX590326 UOS590326:UOT590326 UYO590326:UYP590326 VIK590326:VIL590326 VSG590326:VSH590326 WCC590326:WCD590326 WLY590326:WLZ590326 WVU590326:WVV590326 M655862:N655862 JI655862:JJ655862 TE655862:TF655862 ADA655862:ADB655862 AMW655862:AMX655862 AWS655862:AWT655862 BGO655862:BGP655862 BQK655862:BQL655862 CAG655862:CAH655862 CKC655862:CKD655862 CTY655862:CTZ655862 DDU655862:DDV655862 DNQ655862:DNR655862 DXM655862:DXN655862 EHI655862:EHJ655862 ERE655862:ERF655862 FBA655862:FBB655862 FKW655862:FKX655862 FUS655862:FUT655862 GEO655862:GEP655862 GOK655862:GOL655862 GYG655862:GYH655862 HIC655862:HID655862 HRY655862:HRZ655862 IBU655862:IBV655862 ILQ655862:ILR655862 IVM655862:IVN655862 JFI655862:JFJ655862 JPE655862:JPF655862 JZA655862:JZB655862 KIW655862:KIX655862 KSS655862:KST655862 LCO655862:LCP655862 LMK655862:LML655862 LWG655862:LWH655862 MGC655862:MGD655862 MPY655862:MPZ655862 MZU655862:MZV655862 NJQ655862:NJR655862 NTM655862:NTN655862 ODI655862:ODJ655862 ONE655862:ONF655862 OXA655862:OXB655862 PGW655862:PGX655862 PQS655862:PQT655862 QAO655862:QAP655862 QKK655862:QKL655862 QUG655862:QUH655862 REC655862:RED655862 RNY655862:RNZ655862 RXU655862:RXV655862 SHQ655862:SHR655862 SRM655862:SRN655862 TBI655862:TBJ655862 TLE655862:TLF655862 TVA655862:TVB655862 UEW655862:UEX655862 UOS655862:UOT655862 UYO655862:UYP655862 VIK655862:VIL655862 VSG655862:VSH655862 WCC655862:WCD655862 WLY655862:WLZ655862 WVU655862:WVV655862 M721398:N721398 JI721398:JJ721398 TE721398:TF721398 ADA721398:ADB721398 AMW721398:AMX721398 AWS721398:AWT721398 BGO721398:BGP721398 BQK721398:BQL721398 CAG721398:CAH721398 CKC721398:CKD721398 CTY721398:CTZ721398 DDU721398:DDV721398 DNQ721398:DNR721398 DXM721398:DXN721398 EHI721398:EHJ721398 ERE721398:ERF721398 FBA721398:FBB721398 FKW721398:FKX721398 FUS721398:FUT721398 GEO721398:GEP721398 GOK721398:GOL721398 GYG721398:GYH721398 HIC721398:HID721398 HRY721398:HRZ721398 IBU721398:IBV721398 ILQ721398:ILR721398 IVM721398:IVN721398 JFI721398:JFJ721398 JPE721398:JPF721398 JZA721398:JZB721398 KIW721398:KIX721398 KSS721398:KST721398 LCO721398:LCP721398 LMK721398:LML721398 LWG721398:LWH721398 MGC721398:MGD721398 MPY721398:MPZ721398 MZU721398:MZV721398 NJQ721398:NJR721398 NTM721398:NTN721398 ODI721398:ODJ721398 ONE721398:ONF721398 OXA721398:OXB721398 PGW721398:PGX721398 PQS721398:PQT721398 QAO721398:QAP721398 QKK721398:QKL721398 QUG721398:QUH721398 REC721398:RED721398 RNY721398:RNZ721398 RXU721398:RXV721398 SHQ721398:SHR721398 SRM721398:SRN721398 TBI721398:TBJ721398 TLE721398:TLF721398 TVA721398:TVB721398 UEW721398:UEX721398 UOS721398:UOT721398 UYO721398:UYP721398 VIK721398:VIL721398 VSG721398:VSH721398 WCC721398:WCD721398 WLY721398:WLZ721398 WVU721398:WVV721398 M786934:N786934 JI786934:JJ786934 TE786934:TF786934 ADA786934:ADB786934 AMW786934:AMX786934 AWS786934:AWT786934 BGO786934:BGP786934 BQK786934:BQL786934 CAG786934:CAH786934 CKC786934:CKD786934 CTY786934:CTZ786934 DDU786934:DDV786934 DNQ786934:DNR786934 DXM786934:DXN786934 EHI786934:EHJ786934 ERE786934:ERF786934 FBA786934:FBB786934 FKW786934:FKX786934 FUS786934:FUT786934 GEO786934:GEP786934 GOK786934:GOL786934 GYG786934:GYH786934 HIC786934:HID786934 HRY786934:HRZ786934 IBU786934:IBV786934 ILQ786934:ILR786934 IVM786934:IVN786934 JFI786934:JFJ786934 JPE786934:JPF786934 JZA786934:JZB786934 KIW786934:KIX786934 KSS786934:KST786934 LCO786934:LCP786934 LMK786934:LML786934 LWG786934:LWH786934 MGC786934:MGD786934 MPY786934:MPZ786934 MZU786934:MZV786934 NJQ786934:NJR786934 NTM786934:NTN786934 ODI786934:ODJ786934 ONE786934:ONF786934 OXA786934:OXB786934 PGW786934:PGX786934 PQS786934:PQT786934 QAO786934:QAP786934 QKK786934:QKL786934 QUG786934:QUH786934 REC786934:RED786934 RNY786934:RNZ786934 RXU786934:RXV786934 SHQ786934:SHR786934 SRM786934:SRN786934 TBI786934:TBJ786934 TLE786934:TLF786934 TVA786934:TVB786934 UEW786934:UEX786934 UOS786934:UOT786934 UYO786934:UYP786934 VIK786934:VIL786934 VSG786934:VSH786934 WCC786934:WCD786934 WLY786934:WLZ786934 WVU786934:WVV786934 M852470:N852470 JI852470:JJ852470 TE852470:TF852470 ADA852470:ADB852470 AMW852470:AMX852470 AWS852470:AWT852470 BGO852470:BGP852470 BQK852470:BQL852470 CAG852470:CAH852470 CKC852470:CKD852470 CTY852470:CTZ852470 DDU852470:DDV852470 DNQ852470:DNR852470 DXM852470:DXN852470 EHI852470:EHJ852470 ERE852470:ERF852470 FBA852470:FBB852470 FKW852470:FKX852470 FUS852470:FUT852470 GEO852470:GEP852470 GOK852470:GOL852470 GYG852470:GYH852470 HIC852470:HID852470 HRY852470:HRZ852470 IBU852470:IBV852470 ILQ852470:ILR852470 IVM852470:IVN852470 JFI852470:JFJ852470 JPE852470:JPF852470 JZA852470:JZB852470 KIW852470:KIX852470 KSS852470:KST852470 LCO852470:LCP852470 LMK852470:LML852470 LWG852470:LWH852470 MGC852470:MGD852470 MPY852470:MPZ852470 MZU852470:MZV852470 NJQ852470:NJR852470 NTM852470:NTN852470 ODI852470:ODJ852470 ONE852470:ONF852470 OXA852470:OXB852470 PGW852470:PGX852470 PQS852470:PQT852470 QAO852470:QAP852470 QKK852470:QKL852470 QUG852470:QUH852470 REC852470:RED852470 RNY852470:RNZ852470 RXU852470:RXV852470 SHQ852470:SHR852470 SRM852470:SRN852470 TBI852470:TBJ852470 TLE852470:TLF852470 TVA852470:TVB852470 UEW852470:UEX852470 UOS852470:UOT852470 UYO852470:UYP852470 VIK852470:VIL852470 VSG852470:VSH852470 WCC852470:WCD852470 WLY852470:WLZ852470 WVU852470:WVV852470 M918006:N918006 JI918006:JJ918006 TE918006:TF918006 ADA918006:ADB918006 AMW918006:AMX918006 AWS918006:AWT918006 BGO918006:BGP918006 BQK918006:BQL918006 CAG918006:CAH918006 CKC918006:CKD918006 CTY918006:CTZ918006 DDU918006:DDV918006 DNQ918006:DNR918006 DXM918006:DXN918006 EHI918006:EHJ918006 ERE918006:ERF918006 FBA918006:FBB918006 FKW918006:FKX918006 FUS918006:FUT918006 GEO918006:GEP918006 GOK918006:GOL918006 GYG918006:GYH918006 HIC918006:HID918006 HRY918006:HRZ918006 IBU918006:IBV918006 ILQ918006:ILR918006 IVM918006:IVN918006 JFI918006:JFJ918006 JPE918006:JPF918006 JZA918006:JZB918006 KIW918006:KIX918006 KSS918006:KST918006 LCO918006:LCP918006 LMK918006:LML918006 LWG918006:LWH918006 MGC918006:MGD918006 MPY918006:MPZ918006 MZU918006:MZV918006 NJQ918006:NJR918006 NTM918006:NTN918006 ODI918006:ODJ918006 ONE918006:ONF918006 OXA918006:OXB918006 PGW918006:PGX918006 PQS918006:PQT918006 QAO918006:QAP918006 QKK918006:QKL918006 QUG918006:QUH918006 REC918006:RED918006 RNY918006:RNZ918006 RXU918006:RXV918006 SHQ918006:SHR918006 SRM918006:SRN918006 TBI918006:TBJ918006 TLE918006:TLF918006 TVA918006:TVB918006 UEW918006:UEX918006 UOS918006:UOT918006 UYO918006:UYP918006 VIK918006:VIL918006 VSG918006:VSH918006 WCC918006:WCD918006 WLY918006:WLZ918006 WVU918006:WVV918006 M983542:N983542 JI983542:JJ983542 TE983542:TF983542 ADA983542:ADB983542 AMW983542:AMX983542 AWS983542:AWT983542 BGO983542:BGP983542 BQK983542:BQL983542 CAG983542:CAH983542 CKC983542:CKD983542 CTY983542:CTZ983542 DDU983542:DDV983542 DNQ983542:DNR983542 DXM983542:DXN983542 EHI983542:EHJ983542 ERE983542:ERF983542 FBA983542:FBB983542 FKW983542:FKX983542 FUS983542:FUT983542 GEO983542:GEP983542 GOK983542:GOL983542 GYG983542:GYH983542 HIC983542:HID983542 HRY983542:HRZ983542 IBU983542:IBV983542 ILQ983542:ILR983542 IVM983542:IVN983542 JFI983542:JFJ983542 JPE983542:JPF983542 JZA983542:JZB983542 KIW983542:KIX983542 KSS983542:KST983542 LCO983542:LCP983542 LMK983542:LML983542 LWG983542:LWH983542 MGC983542:MGD983542 MPY983542:MPZ983542 MZU983542:MZV983542 NJQ983542:NJR983542 NTM983542:NTN983542 ODI983542:ODJ983542 ONE983542:ONF983542 OXA983542:OXB983542 PGW983542:PGX983542 PQS983542:PQT983542 QAO983542:QAP983542 QKK983542:QKL983542 QUG983542:QUH983542 REC983542:RED983542 RNY983542:RNZ983542 RXU983542:RXV983542 SHQ983542:SHR983542 SRM983542:SRN983542 TBI983542:TBJ983542 TLE983542:TLF983542 TVA983542:TVB983542 UEW983542:UEX983542 UOS983542:UOT983542 UYO983542:UYP983542 VIK983542:VIL983542 VSG983542:VSH983542 WCC983542:WCD983542 WLY983542:WLZ983542 WVU983542:WVV983542" xr:uid="{B48456B8-DAB5-4737-BB34-780ACBDC291C}">
      <formula1>"Y,N"</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96" max="21" man="1"/>
    <brk id="141" max="21" man="1"/>
    <brk id="181" max="21" man="1"/>
    <brk id="232" max="21" man="1"/>
    <brk id="404"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3FB22-0BC9-42BC-8885-BE91AE9709B9}">
  <sheetPr>
    <tabColor rgb="FF00B050"/>
  </sheetPr>
  <dimension ref="A1:AC735"/>
  <sheetViews>
    <sheetView showZeros="0" view="pageBreakPreview" topLeftCell="A696" zoomScaleNormal="100" zoomScaleSheetLayoutView="100" workbookViewId="0">
      <selection activeCell="Q705" sqref="Q705"/>
    </sheetView>
  </sheetViews>
  <sheetFormatPr defaultColWidth="4.33203125" defaultRowHeight="18" customHeight="1"/>
  <cols>
    <col min="1" max="11" width="4.33203125" style="30"/>
    <col min="12" max="13" width="4.5546875" style="30" customWidth="1"/>
    <col min="14" max="14" width="4.33203125" style="30" customWidth="1"/>
    <col min="15" max="16384" width="4.33203125" style="30"/>
  </cols>
  <sheetData>
    <row r="1" spans="1:29" ht="18" customHeight="1">
      <c r="A1" s="920" t="s">
        <v>0</v>
      </c>
      <c r="B1" s="921"/>
      <c r="C1" s="921"/>
      <c r="D1" s="921"/>
      <c r="E1" s="921"/>
      <c r="F1" s="921"/>
      <c r="G1" s="922"/>
      <c r="H1" s="906" t="str">
        <f>[3]Title!H1</f>
        <v>CT / VT</v>
      </c>
      <c r="I1" s="929"/>
      <c r="J1" s="929"/>
      <c r="K1" s="929"/>
      <c r="L1" s="929"/>
      <c r="M1" s="929"/>
      <c r="N1" s="930"/>
      <c r="O1" s="885" t="str">
        <f>Title!O1</f>
        <v>Contract No.</v>
      </c>
      <c r="P1" s="886"/>
      <c r="Q1" s="887"/>
      <c r="R1" s="931" t="str">
        <f>Title!R1</f>
        <v>N-19957.2-DF4W</v>
      </c>
      <c r="S1" s="932"/>
      <c r="T1" s="932"/>
      <c r="U1" s="932"/>
      <c r="V1" s="933"/>
      <c r="W1" s="14"/>
      <c r="X1" s="14"/>
    </row>
    <row r="2" spans="1:29" ht="18" customHeight="1">
      <c r="A2" s="923"/>
      <c r="B2" s="924"/>
      <c r="C2" s="924"/>
      <c r="D2" s="924"/>
      <c r="E2" s="924"/>
      <c r="F2" s="924"/>
      <c r="G2" s="925"/>
      <c r="H2" s="909" t="str">
        <f>[3]Title!H2</f>
        <v>CALCULATION</v>
      </c>
      <c r="I2" s="934"/>
      <c r="J2" s="934"/>
      <c r="K2" s="934"/>
      <c r="L2" s="934"/>
      <c r="M2" s="934"/>
      <c r="N2" s="935"/>
      <c r="O2" s="885" t="str">
        <f>Title!O2</f>
        <v>Date</v>
      </c>
      <c r="P2" s="886"/>
      <c r="Q2" s="887"/>
      <c r="R2" s="936">
        <f>Title!R2</f>
        <v>46134</v>
      </c>
      <c r="S2" s="932"/>
      <c r="T2" s="932"/>
      <c r="U2" s="932"/>
      <c r="V2" s="933"/>
      <c r="W2" s="14"/>
      <c r="X2" s="14"/>
    </row>
    <row r="3" spans="1:29"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9"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9" ht="18" customHeight="1">
      <c r="A5" s="880" t="str">
        <f>[3]Title!A5</f>
        <v>Prep. By</v>
      </c>
      <c r="B5" s="943"/>
      <c r="C5" s="25" t="str">
        <f>[3]Title!C5</f>
        <v>PK</v>
      </c>
      <c r="D5" s="880" t="str">
        <f>[3]Title!D5</f>
        <v>Checked By</v>
      </c>
      <c r="E5" s="881"/>
      <c r="F5" s="943"/>
      <c r="G5" s="25" t="str">
        <f>[3]Title!G5</f>
        <v>RN</v>
      </c>
      <c r="H5" s="944" t="s">
        <v>1023</v>
      </c>
      <c r="I5" s="945"/>
      <c r="J5" s="945"/>
      <c r="K5" s="945"/>
      <c r="L5" s="945"/>
      <c r="M5" s="945"/>
      <c r="N5" s="946"/>
      <c r="O5" s="947" t="str">
        <f>Title!O5</f>
        <v>Contractor</v>
      </c>
      <c r="P5" s="948"/>
      <c r="Q5" s="949"/>
      <c r="R5" s="931" t="str">
        <f>Title!R5</f>
        <v>HITACHI</v>
      </c>
      <c r="S5" s="932"/>
      <c r="T5" s="932"/>
      <c r="U5" s="932"/>
      <c r="V5" s="933"/>
      <c r="W5" s="14"/>
      <c r="X5" s="14"/>
    </row>
    <row r="6" spans="1:29" ht="18" customHeight="1">
      <c r="A6" s="184"/>
      <c r="V6" s="185"/>
    </row>
    <row r="7" spans="1:29" ht="18" customHeight="1">
      <c r="A7" s="184"/>
      <c r="B7" s="781" t="s">
        <v>108</v>
      </c>
      <c r="C7" s="782"/>
      <c r="D7" s="781" t="s">
        <v>506</v>
      </c>
      <c r="E7" s="782"/>
      <c r="F7" s="186"/>
      <c r="H7" s="689" t="s">
        <v>594</v>
      </c>
      <c r="I7" s="689"/>
      <c r="J7" s="689"/>
      <c r="K7" s="689"/>
      <c r="L7" s="689"/>
      <c r="M7" s="689"/>
      <c r="N7" s="689"/>
      <c r="P7" s="186"/>
      <c r="S7" s="187" t="s">
        <v>387</v>
      </c>
      <c r="T7" s="1161" t="s">
        <v>205</v>
      </c>
      <c r="U7" s="1162"/>
      <c r="V7" s="185"/>
    </row>
    <row r="8" spans="1:29" ht="18" customHeight="1">
      <c r="A8" s="184"/>
      <c r="F8" s="255"/>
      <c r="T8" s="1161" t="s">
        <v>896</v>
      </c>
      <c r="U8" s="1162"/>
      <c r="V8" s="185"/>
    </row>
    <row r="9" spans="1:29" ht="18" customHeight="1">
      <c r="A9" s="1191"/>
      <c r="B9" s="1192"/>
      <c r="C9" s="1192"/>
      <c r="D9" s="684"/>
      <c r="H9" s="789" t="s">
        <v>390</v>
      </c>
      <c r="I9" s="789"/>
      <c r="J9" s="708" t="s">
        <v>391</v>
      </c>
      <c r="K9" s="708"/>
      <c r="L9" s="708" t="s">
        <v>392</v>
      </c>
      <c r="M9" s="708"/>
      <c r="T9" s="1161" t="s">
        <v>509</v>
      </c>
      <c r="U9" s="1162"/>
      <c r="V9" s="185"/>
    </row>
    <row r="10" spans="1:29" ht="18" customHeight="1">
      <c r="A10" s="184"/>
      <c r="B10" s="47" t="s">
        <v>393</v>
      </c>
      <c r="H10" s="791">
        <v>2800</v>
      </c>
      <c r="I10" s="792"/>
      <c r="J10" s="781">
        <v>3200</v>
      </c>
      <c r="K10" s="782"/>
      <c r="L10" s="781" t="s">
        <v>6</v>
      </c>
      <c r="M10" s="782"/>
      <c r="N10" s="191" t="s">
        <v>342</v>
      </c>
      <c r="O10" s="125">
        <v>1</v>
      </c>
      <c r="P10" s="27" t="s">
        <v>8</v>
      </c>
      <c r="V10" s="185"/>
    </row>
    <row r="11" spans="1:29" ht="18" customHeight="1">
      <c r="A11" s="184"/>
      <c r="B11" s="47" t="s">
        <v>394</v>
      </c>
      <c r="H11" s="781" t="s">
        <v>395</v>
      </c>
      <c r="I11" s="1195"/>
      <c r="V11" s="185"/>
    </row>
    <row r="12" spans="1:29" ht="18" customHeight="1">
      <c r="A12" s="184"/>
      <c r="B12" s="47" t="s">
        <v>396</v>
      </c>
      <c r="G12" s="120" t="s">
        <v>497</v>
      </c>
      <c r="H12" s="781">
        <v>4</v>
      </c>
      <c r="I12" s="782"/>
      <c r="J12" s="192" t="s">
        <v>333</v>
      </c>
      <c r="V12" s="185"/>
    </row>
    <row r="13" spans="1:29" ht="18" customHeight="1">
      <c r="A13" s="184"/>
      <c r="B13" s="47" t="s">
        <v>398</v>
      </c>
      <c r="G13" s="120" t="s">
        <v>498</v>
      </c>
      <c r="H13" s="781">
        <v>500</v>
      </c>
      <c r="I13" s="782"/>
      <c r="J13" s="14" t="s">
        <v>305</v>
      </c>
      <c r="V13" s="185"/>
      <c r="W13" s="30" t="s">
        <v>400</v>
      </c>
      <c r="AB13" s="785">
        <f>D57</f>
        <v>38.68</v>
      </c>
      <c r="AC13" s="786"/>
    </row>
    <row r="14" spans="1:29" ht="18" customHeight="1">
      <c r="A14" s="184"/>
      <c r="B14" s="14" t="s">
        <v>401</v>
      </c>
      <c r="G14" s="120" t="s">
        <v>402</v>
      </c>
      <c r="H14" s="781">
        <v>20</v>
      </c>
      <c r="I14" s="782"/>
      <c r="J14" s="30" t="s">
        <v>403</v>
      </c>
      <c r="V14" s="185"/>
    </row>
    <row r="15" spans="1:29" ht="18" customHeight="1">
      <c r="A15" s="96"/>
      <c r="V15" s="185"/>
    </row>
    <row r="16" spans="1:29" ht="18" customHeight="1">
      <c r="A16" s="193" t="s">
        <v>404</v>
      </c>
      <c r="V16" s="185"/>
    </row>
    <row r="17" spans="1:22" ht="18" customHeight="1">
      <c r="A17" s="184"/>
      <c r="V17" s="185"/>
    </row>
    <row r="18" spans="1:22" ht="18" customHeight="1">
      <c r="A18" s="184"/>
      <c r="B18" s="194" t="s">
        <v>405</v>
      </c>
      <c r="C18" s="195"/>
      <c r="D18" s="195" t="str">
        <f>T7</f>
        <v>7UT85</v>
      </c>
      <c r="E18" s="196"/>
      <c r="F18" s="196"/>
      <c r="G18" s="196"/>
      <c r="H18" s="182" t="s">
        <v>406</v>
      </c>
      <c r="I18" s="183" t="s">
        <v>127</v>
      </c>
      <c r="J18" s="1193">
        <f>'CT-VT Burdens'!Q119</f>
        <v>0.1</v>
      </c>
      <c r="K18" s="1105"/>
      <c r="L18" s="3" t="s">
        <v>157</v>
      </c>
      <c r="V18" s="185"/>
    </row>
    <row r="19" spans="1:22" ht="18" customHeight="1">
      <c r="A19" s="184"/>
      <c r="B19" s="184" t="s">
        <v>405</v>
      </c>
      <c r="D19" s="30" t="str">
        <f>T8</f>
        <v>IDM+</v>
      </c>
      <c r="H19" s="27"/>
      <c r="I19" s="177" t="s">
        <v>127</v>
      </c>
      <c r="J19" s="1194">
        <f>'CT-VT Burdens'!Q149</f>
        <v>5.8000000000000003E-2</v>
      </c>
      <c r="K19" s="1107"/>
      <c r="L19" s="198" t="s">
        <v>157</v>
      </c>
      <c r="V19" s="185"/>
    </row>
    <row r="20" spans="1:22" ht="18" customHeight="1">
      <c r="A20" s="184"/>
      <c r="B20" s="184" t="s">
        <v>405</v>
      </c>
      <c r="D20" s="30" t="str">
        <f>T9</f>
        <v>REF615</v>
      </c>
      <c r="E20" s="14"/>
      <c r="G20" s="199"/>
      <c r="H20" s="27"/>
      <c r="I20" s="177" t="s">
        <v>127</v>
      </c>
      <c r="J20" s="1108">
        <f>'CT-VT Burdens'!Q111</f>
        <v>0.02</v>
      </c>
      <c r="K20" s="788"/>
      <c r="L20" s="202" t="s">
        <v>157</v>
      </c>
      <c r="V20" s="185"/>
    </row>
    <row r="21" spans="1:22" ht="18" customHeight="1">
      <c r="A21" s="184"/>
      <c r="B21" s="184" t="s">
        <v>412</v>
      </c>
      <c r="H21" s="27" t="s">
        <v>599</v>
      </c>
      <c r="I21" s="177" t="s">
        <v>127</v>
      </c>
      <c r="J21" s="793">
        <f>'CT-VT Burdens'!S36</f>
        <v>1.25652618</v>
      </c>
      <c r="K21" s="1156"/>
      <c r="L21" s="203" t="s">
        <v>157</v>
      </c>
      <c r="V21" s="185"/>
    </row>
    <row r="22" spans="1:22" ht="18" customHeight="1">
      <c r="A22" s="184"/>
      <c r="B22" s="205" t="s">
        <v>413</v>
      </c>
      <c r="C22" s="206"/>
      <c r="D22" s="206"/>
      <c r="E22" s="206"/>
      <c r="F22" s="207"/>
      <c r="G22" s="207"/>
      <c r="H22" s="190" t="s">
        <v>409</v>
      </c>
      <c r="I22" s="208" t="s">
        <v>127</v>
      </c>
      <c r="J22" s="766">
        <f>J19+J21</f>
        <v>1.3145261800000001</v>
      </c>
      <c r="K22" s="958"/>
      <c r="L22" s="210"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7" t="s">
        <v>649</v>
      </c>
      <c r="C25" s="27" t="s">
        <v>127</v>
      </c>
      <c r="D25" s="30" t="s">
        <v>406</v>
      </c>
      <c r="E25" s="271" t="s">
        <v>410</v>
      </c>
      <c r="F25" s="27" t="s">
        <v>146</v>
      </c>
      <c r="G25" s="28" t="s">
        <v>315</v>
      </c>
      <c r="H25" s="218" t="s">
        <v>146</v>
      </c>
      <c r="I25" s="30" t="s">
        <v>350</v>
      </c>
      <c r="J25" s="199"/>
      <c r="L25" s="47"/>
      <c r="M25" s="30" t="s">
        <v>408</v>
      </c>
      <c r="N25" s="27" t="s">
        <v>127</v>
      </c>
      <c r="O25" s="30" t="s">
        <v>409</v>
      </c>
      <c r="P25" s="191" t="s">
        <v>410</v>
      </c>
      <c r="Q25" s="244" t="s">
        <v>411</v>
      </c>
      <c r="R25" s="27" t="s">
        <v>315</v>
      </c>
      <c r="S25" s="30" t="s">
        <v>411</v>
      </c>
      <c r="T25" s="30" t="s">
        <v>350</v>
      </c>
      <c r="V25" s="185"/>
    </row>
    <row r="26" spans="1:22" ht="18" customHeight="1">
      <c r="A26" s="184"/>
      <c r="B26" s="47"/>
      <c r="C26" s="27" t="s">
        <v>127</v>
      </c>
      <c r="D26" s="204">
        <f>J18</f>
        <v>0.1</v>
      </c>
      <c r="E26" s="191" t="s">
        <v>410</v>
      </c>
      <c r="F26" s="27">
        <f>S53</f>
        <v>1</v>
      </c>
      <c r="G26" s="27" t="s">
        <v>315</v>
      </c>
      <c r="H26" s="27">
        <f>S53</f>
        <v>1</v>
      </c>
      <c r="I26" s="30" t="s">
        <v>350</v>
      </c>
      <c r="J26" s="199"/>
      <c r="L26" s="47"/>
      <c r="N26" s="27" t="s">
        <v>127</v>
      </c>
      <c r="O26" s="204">
        <f>J22</f>
        <v>1.3145261800000001</v>
      </c>
      <c r="P26" s="191" t="s">
        <v>410</v>
      </c>
      <c r="Q26" s="27">
        <f>O10</f>
        <v>1</v>
      </c>
      <c r="R26" s="27" t="s">
        <v>315</v>
      </c>
      <c r="S26" s="27">
        <f>O10</f>
        <v>1</v>
      </c>
      <c r="T26" s="30" t="s">
        <v>350</v>
      </c>
      <c r="V26" s="185"/>
    </row>
    <row r="27" spans="1:22" ht="18" customHeight="1">
      <c r="A27" s="184"/>
      <c r="B27" s="47"/>
      <c r="C27" s="27" t="s">
        <v>127</v>
      </c>
      <c r="D27" s="795">
        <f>D26/(F26*H26)</f>
        <v>0.1</v>
      </c>
      <c r="E27" s="795"/>
      <c r="F27" s="192" t="s">
        <v>333</v>
      </c>
      <c r="J27" s="199"/>
      <c r="L27" s="47"/>
      <c r="N27" s="27" t="s">
        <v>127</v>
      </c>
      <c r="O27" s="795">
        <f>O26/(Q26*S26)</f>
        <v>1.3145261800000001</v>
      </c>
      <c r="P27" s="795"/>
      <c r="Q27" s="192" t="s">
        <v>333</v>
      </c>
      <c r="V27" s="185"/>
    </row>
    <row r="28" spans="1:22" ht="18" customHeight="1">
      <c r="A28" s="184"/>
      <c r="B28" s="47"/>
      <c r="C28" s="47"/>
      <c r="D28" s="47"/>
      <c r="E28" s="47"/>
      <c r="H28" s="27"/>
      <c r="I28" s="28"/>
      <c r="J28" s="199"/>
      <c r="L28" s="47"/>
      <c r="O28" s="27"/>
      <c r="P28" s="211"/>
      <c r="Q28" s="211"/>
      <c r="R28" s="192"/>
      <c r="V28" s="185"/>
    </row>
    <row r="29" spans="1:22" ht="18" customHeight="1">
      <c r="A29" s="184"/>
      <c r="B29" s="47" t="s">
        <v>668</v>
      </c>
      <c r="C29" s="47"/>
      <c r="D29" s="47"/>
      <c r="E29" s="47"/>
      <c r="H29" s="27"/>
      <c r="I29" s="28"/>
      <c r="J29" s="199"/>
      <c r="L29" s="28" t="s">
        <v>127</v>
      </c>
      <c r="M29" s="795">
        <f>D27</f>
        <v>0.1</v>
      </c>
      <c r="N29" s="795"/>
      <c r="O29" s="27" t="s">
        <v>347</v>
      </c>
      <c r="P29" s="795">
        <f>O27</f>
        <v>1.3145261800000001</v>
      </c>
      <c r="Q29" s="795"/>
      <c r="R29" s="211" t="s">
        <v>127</v>
      </c>
      <c r="S29" s="795">
        <f>M29+P29</f>
        <v>1.4145261800000002</v>
      </c>
      <c r="T29" s="795"/>
      <c r="U29" s="192" t="s">
        <v>333</v>
      </c>
      <c r="V29" s="185"/>
    </row>
    <row r="30" spans="1:22" s="14" customFormat="1" ht="18" customHeight="1">
      <c r="A30" s="193" t="s">
        <v>600</v>
      </c>
      <c r="B30" s="5"/>
      <c r="C30" s="5"/>
      <c r="D30" s="5"/>
      <c r="E30" s="5"/>
      <c r="F30" s="5"/>
      <c r="G30" s="5"/>
      <c r="H30" s="212"/>
      <c r="I30" s="212"/>
      <c r="J30" s="5"/>
      <c r="K30" s="5"/>
      <c r="L30" s="5"/>
      <c r="M30" s="5"/>
      <c r="N30" s="5"/>
      <c r="O30" s="5"/>
      <c r="P30" s="103"/>
      <c r="Q30" s="212"/>
      <c r="R30" s="213"/>
      <c r="S30" s="214"/>
      <c r="T30" s="18"/>
      <c r="U30" s="18"/>
      <c r="V30" s="97"/>
    </row>
    <row r="31" spans="1:22" s="14" customFormat="1" ht="18" customHeight="1">
      <c r="A31" s="96"/>
      <c r="B31" s="47" t="s">
        <v>601</v>
      </c>
      <c r="C31" s="5"/>
      <c r="D31" s="5"/>
      <c r="E31" s="5"/>
      <c r="I31" s="215"/>
      <c r="M31" s="5"/>
      <c r="N31" s="103" t="s">
        <v>127</v>
      </c>
      <c r="O31" s="1161">
        <v>100</v>
      </c>
      <c r="P31" s="746"/>
      <c r="Q31" s="14" t="s">
        <v>602</v>
      </c>
      <c r="S31" s="214"/>
      <c r="T31" s="18"/>
      <c r="U31" s="18"/>
      <c r="V31" s="97"/>
    </row>
    <row r="32" spans="1:22" s="14" customFormat="1" ht="18" customHeight="1">
      <c r="A32" s="96"/>
      <c r="B32" s="47" t="s">
        <v>603</v>
      </c>
      <c r="C32" s="5"/>
      <c r="D32" s="5"/>
      <c r="E32" s="5"/>
      <c r="I32" s="215"/>
      <c r="M32" s="5"/>
      <c r="N32" s="103" t="s">
        <v>127</v>
      </c>
      <c r="O32" s="1161">
        <v>25</v>
      </c>
      <c r="P32" s="746"/>
      <c r="Q32" s="14" t="s">
        <v>604</v>
      </c>
      <c r="S32" s="214"/>
      <c r="T32" s="18"/>
      <c r="U32" s="18"/>
      <c r="V32" s="97"/>
    </row>
    <row r="33" spans="1:22" s="14" customFormat="1" ht="18" customHeight="1">
      <c r="A33" s="96"/>
      <c r="B33" s="47" t="s">
        <v>605</v>
      </c>
      <c r="C33" s="5"/>
      <c r="D33" s="5"/>
      <c r="E33" s="5"/>
      <c r="M33" s="120" t="s">
        <v>606</v>
      </c>
      <c r="N33" s="103" t="s">
        <v>607</v>
      </c>
      <c r="O33" s="1154">
        <v>132</v>
      </c>
      <c r="P33" s="831"/>
      <c r="Q33" s="14" t="s">
        <v>163</v>
      </c>
      <c r="S33" s="214"/>
      <c r="T33" s="18"/>
      <c r="U33" s="18"/>
      <c r="V33" s="97"/>
    </row>
    <row r="34" spans="1:22" s="14" customFormat="1" ht="18" customHeight="1">
      <c r="A34" s="216"/>
      <c r="B34" s="212"/>
      <c r="C34" s="212"/>
      <c r="D34" s="212"/>
      <c r="E34" s="212"/>
      <c r="T34" s="18"/>
      <c r="U34" s="18"/>
      <c r="V34" s="97"/>
    </row>
    <row r="35" spans="1:22" s="14" customFormat="1" ht="18" customHeight="1">
      <c r="A35" s="272" t="s">
        <v>608</v>
      </c>
      <c r="B35" s="213"/>
      <c r="C35" s="213"/>
      <c r="D35" s="213"/>
      <c r="E35" s="213"/>
      <c r="H35" s="120" t="s">
        <v>609</v>
      </c>
      <c r="I35" s="28" t="s">
        <v>127</v>
      </c>
      <c r="J35" s="689" t="s">
        <v>610</v>
      </c>
      <c r="K35" s="689"/>
      <c r="L35" s="28" t="s">
        <v>315</v>
      </c>
      <c r="M35" s="217">
        <v>1000</v>
      </c>
      <c r="N35" s="102" t="s">
        <v>342</v>
      </c>
      <c r="O35" s="28" t="s">
        <v>611</v>
      </c>
      <c r="P35" s="28" t="s">
        <v>315</v>
      </c>
      <c r="Q35" s="28" t="s">
        <v>606</v>
      </c>
      <c r="R35" s="47" t="s">
        <v>350</v>
      </c>
      <c r="T35" s="18"/>
      <c r="U35" s="18"/>
      <c r="V35" s="97"/>
    </row>
    <row r="36" spans="1:22" s="14" customFormat="1" ht="18" customHeight="1">
      <c r="A36" s="216"/>
      <c r="B36" s="213"/>
      <c r="C36" s="213"/>
      <c r="D36" s="213"/>
      <c r="E36" s="213"/>
      <c r="F36" s="212"/>
      <c r="G36" s="212"/>
      <c r="H36" s="28"/>
      <c r="I36" s="28" t="s">
        <v>127</v>
      </c>
      <c r="J36" s="689">
        <f>O31</f>
        <v>100</v>
      </c>
      <c r="K36" s="689"/>
      <c r="L36" s="28" t="s">
        <v>315</v>
      </c>
      <c r="M36" s="217">
        <v>1000</v>
      </c>
      <c r="N36" s="102" t="s">
        <v>342</v>
      </c>
      <c r="O36" s="28" t="s">
        <v>611</v>
      </c>
      <c r="P36" s="28" t="s">
        <v>315</v>
      </c>
      <c r="Q36" s="28">
        <f>O33</f>
        <v>132</v>
      </c>
      <c r="R36" s="47" t="s">
        <v>350</v>
      </c>
      <c r="T36" s="18"/>
      <c r="U36" s="18"/>
      <c r="V36" s="97"/>
    </row>
    <row r="37" spans="1:22" s="14" customFormat="1" ht="18" customHeight="1">
      <c r="A37" s="216"/>
      <c r="B37" s="212"/>
      <c r="C37" s="212"/>
      <c r="D37" s="212"/>
      <c r="E37" s="212"/>
      <c r="F37" s="212"/>
      <c r="G37" s="212"/>
      <c r="I37" s="28" t="s">
        <v>127</v>
      </c>
      <c r="J37" s="692">
        <f>(O31*1000)/(SQRT(3)*O33)</f>
        <v>437.38656756789834</v>
      </c>
      <c r="K37" s="692"/>
      <c r="L37" s="14" t="s">
        <v>8</v>
      </c>
      <c r="M37" s="120"/>
      <c r="N37" s="120"/>
      <c r="O37" s="120"/>
      <c r="T37" s="18"/>
      <c r="U37" s="18"/>
      <c r="V37" s="97"/>
    </row>
    <row r="38" spans="1:22" s="14" customFormat="1" ht="18" customHeight="1">
      <c r="A38" s="147" t="s">
        <v>669</v>
      </c>
      <c r="B38" s="5"/>
      <c r="C38" s="5"/>
      <c r="D38" s="5"/>
      <c r="E38" s="5"/>
      <c r="F38" s="212"/>
      <c r="G38" s="212"/>
      <c r="H38" s="5"/>
      <c r="I38" s="5"/>
      <c r="J38" s="5"/>
      <c r="K38" s="5"/>
      <c r="L38" s="103"/>
      <c r="M38" s="103"/>
      <c r="N38" s="103"/>
      <c r="O38" s="103"/>
      <c r="P38" s="212"/>
      <c r="Q38" s="213"/>
      <c r="U38" s="18"/>
      <c r="V38" s="97"/>
    </row>
    <row r="39" spans="1:22" s="14" customFormat="1" ht="18" customHeight="1">
      <c r="A39" s="147"/>
      <c r="B39" s="5"/>
      <c r="C39" s="5"/>
      <c r="D39" s="5"/>
      <c r="E39" s="5"/>
      <c r="F39" s="212"/>
      <c r="G39" s="212"/>
      <c r="H39" s="5"/>
      <c r="I39" s="5"/>
      <c r="J39" s="5"/>
      <c r="K39" s="5"/>
      <c r="L39" s="103"/>
      <c r="M39" s="103"/>
      <c r="N39" s="103"/>
      <c r="O39" s="103"/>
      <c r="P39" s="212"/>
      <c r="Q39" s="213"/>
      <c r="S39" s="214"/>
      <c r="T39" s="18"/>
      <c r="U39" s="18"/>
      <c r="V39" s="97"/>
    </row>
    <row r="40" spans="1:22" ht="18" customHeight="1">
      <c r="A40" s="184" t="s">
        <v>670</v>
      </c>
      <c r="B40" s="14"/>
      <c r="C40" s="14"/>
      <c r="D40" s="14"/>
      <c r="E40" s="14"/>
      <c r="M40" s="120"/>
      <c r="N40" s="27" t="s">
        <v>127</v>
      </c>
      <c r="O40" s="689">
        <v>50000</v>
      </c>
      <c r="P40" s="716"/>
      <c r="Q40" s="461" t="s">
        <v>8</v>
      </c>
      <c r="R40" s="221"/>
      <c r="S40" s="214"/>
      <c r="V40" s="185"/>
    </row>
    <row r="41" spans="1:22" ht="18" customHeight="1">
      <c r="A41" s="184"/>
      <c r="B41" s="14"/>
      <c r="C41" s="14"/>
      <c r="D41" s="14"/>
      <c r="E41" s="14"/>
      <c r="M41" s="120"/>
      <c r="N41" s="27"/>
      <c r="O41" s="28"/>
      <c r="P41" s="14"/>
      <c r="Q41" s="461"/>
      <c r="R41" s="221"/>
      <c r="S41" s="214"/>
      <c r="V41" s="185"/>
    </row>
    <row r="42" spans="1:22" ht="18" customHeight="1">
      <c r="A42" s="184"/>
      <c r="B42" s="689" t="s">
        <v>473</v>
      </c>
      <c r="C42" s="1150" t="s">
        <v>652</v>
      </c>
      <c r="D42" s="279"/>
      <c r="E42" s="279"/>
      <c r="F42" s="279"/>
      <c r="G42" s="802">
        <v>0.4</v>
      </c>
      <c r="H42" s="1153" t="s">
        <v>315</v>
      </c>
      <c r="I42" s="790" t="s">
        <v>671</v>
      </c>
      <c r="J42" s="1147"/>
      <c r="K42" s="1147"/>
      <c r="L42" s="1147"/>
      <c r="M42" s="1147"/>
      <c r="N42" s="689" t="s">
        <v>672</v>
      </c>
      <c r="O42" s="708" t="s">
        <v>420</v>
      </c>
      <c r="P42" s="689" t="s">
        <v>347</v>
      </c>
      <c r="Q42" s="790" t="s">
        <v>673</v>
      </c>
      <c r="R42" s="708" t="s">
        <v>674</v>
      </c>
      <c r="S42" s="790" t="s">
        <v>482</v>
      </c>
      <c r="T42" s="14"/>
      <c r="U42" s="729" t="s">
        <v>653</v>
      </c>
      <c r="V42" s="185"/>
    </row>
    <row r="43" spans="1:22" ht="18" customHeight="1">
      <c r="A43" s="96"/>
      <c r="B43" s="689"/>
      <c r="C43" s="689"/>
      <c r="D43" s="279"/>
      <c r="E43" s="279"/>
      <c r="F43" s="279"/>
      <c r="G43" s="802"/>
      <c r="H43" s="689"/>
      <c r="I43" s="1190" t="s">
        <v>483</v>
      </c>
      <c r="J43" s="1189"/>
      <c r="K43" s="1189"/>
      <c r="L43" s="1189"/>
      <c r="M43" s="1189"/>
      <c r="N43" s="689"/>
      <c r="O43" s="689"/>
      <c r="P43" s="689"/>
      <c r="Q43" s="689"/>
      <c r="R43" s="689"/>
      <c r="S43" s="689"/>
      <c r="T43" s="14"/>
      <c r="U43" s="689"/>
      <c r="V43" s="185"/>
    </row>
    <row r="44" spans="1:22" ht="18" customHeight="1">
      <c r="A44" s="96"/>
      <c r="B44" s="5"/>
      <c r="C44" s="5"/>
      <c r="D44" s="5"/>
      <c r="E44" s="5"/>
      <c r="M44" s="120"/>
      <c r="N44" s="28"/>
      <c r="O44" s="689"/>
      <c r="P44" s="716"/>
      <c r="Q44" s="241"/>
      <c r="R44" s="14"/>
      <c r="S44" s="21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84"/>
      <c r="B47" s="47" t="s">
        <v>675</v>
      </c>
      <c r="C47" s="14"/>
      <c r="D47" s="14"/>
      <c r="E47" s="14"/>
      <c r="F47" s="18"/>
      <c r="G47" s="18"/>
      <c r="H47" s="14"/>
      <c r="I47" s="120"/>
      <c r="J47" s="14"/>
      <c r="K47" s="14"/>
      <c r="M47" s="14"/>
      <c r="N47" s="14"/>
      <c r="P47" s="30" t="s">
        <v>483</v>
      </c>
      <c r="R47" s="234" t="s">
        <v>127</v>
      </c>
      <c r="S47" s="684">
        <f>H10</f>
        <v>2800</v>
      </c>
      <c r="T47" s="684"/>
      <c r="U47" s="30" t="s">
        <v>8</v>
      </c>
      <c r="V47" s="185"/>
    </row>
    <row r="48" spans="1:22" ht="18" customHeight="1">
      <c r="A48" s="184"/>
      <c r="B48" s="47" t="s">
        <v>655</v>
      </c>
      <c r="C48" s="14"/>
      <c r="D48" s="14"/>
      <c r="E48" s="14"/>
      <c r="F48" s="18"/>
      <c r="G48" s="18"/>
      <c r="H48" s="14"/>
      <c r="I48" s="120"/>
      <c r="J48" s="14"/>
      <c r="K48" s="14"/>
      <c r="M48" s="14"/>
      <c r="N48" s="14"/>
      <c r="P48" s="14" t="s">
        <v>420</v>
      </c>
      <c r="R48" s="234" t="s">
        <v>127</v>
      </c>
      <c r="S48" s="684">
        <f>H12</f>
        <v>4</v>
      </c>
      <c r="T48" s="684"/>
      <c r="U48" s="192" t="s">
        <v>333</v>
      </c>
      <c r="V48" s="185"/>
    </row>
    <row r="49" spans="1:22" ht="18" customHeight="1">
      <c r="A49" s="184"/>
      <c r="B49" s="47" t="s">
        <v>676</v>
      </c>
      <c r="C49" s="14"/>
      <c r="D49" s="14"/>
      <c r="E49" s="14"/>
      <c r="F49" s="18"/>
      <c r="G49" s="18"/>
      <c r="H49" s="14"/>
      <c r="I49" s="120"/>
      <c r="J49" s="14"/>
      <c r="K49" s="14"/>
      <c r="M49" s="14"/>
      <c r="N49" s="14"/>
      <c r="P49" s="30" t="s">
        <v>673</v>
      </c>
      <c r="R49" s="234" t="s">
        <v>127</v>
      </c>
      <c r="S49" s="795">
        <f>S29</f>
        <v>1.4145261800000002</v>
      </c>
      <c r="T49" s="795"/>
      <c r="U49" s="192" t="s">
        <v>333</v>
      </c>
      <c r="V49" s="185"/>
    </row>
    <row r="50" spans="1:22" ht="18" customHeight="1">
      <c r="A50" s="184"/>
      <c r="B50" s="296" t="s">
        <v>677</v>
      </c>
      <c r="C50" s="14"/>
      <c r="D50" s="14"/>
      <c r="E50" s="14"/>
      <c r="F50" s="14"/>
      <c r="G50" s="14"/>
      <c r="H50" s="14"/>
      <c r="I50" s="120"/>
      <c r="J50" s="14"/>
      <c r="K50" s="14"/>
      <c r="M50" s="14"/>
      <c r="N50" s="14"/>
      <c r="P50" s="14" t="s">
        <v>411</v>
      </c>
      <c r="R50" s="234" t="s">
        <v>127</v>
      </c>
      <c r="S50" s="684">
        <f>O10</f>
        <v>1</v>
      </c>
      <c r="T50" s="684"/>
      <c r="U50" s="30" t="s">
        <v>8</v>
      </c>
      <c r="V50" s="185"/>
    </row>
    <row r="51" spans="1:22" ht="18" customHeight="1">
      <c r="A51" s="184"/>
      <c r="B51" s="47" t="s">
        <v>678</v>
      </c>
      <c r="C51" s="14"/>
      <c r="D51" s="14"/>
      <c r="E51" s="14"/>
      <c r="F51" s="14"/>
      <c r="G51" s="14"/>
      <c r="H51" s="14"/>
      <c r="I51" s="120"/>
      <c r="J51" s="14"/>
      <c r="K51" s="14"/>
      <c r="M51" s="14"/>
      <c r="N51" s="14"/>
      <c r="P51" s="244" t="s">
        <v>671</v>
      </c>
      <c r="R51" s="234" t="s">
        <v>127</v>
      </c>
      <c r="S51" s="684">
        <f>O40</f>
        <v>50000</v>
      </c>
      <c r="T51" s="684"/>
      <c r="U51" s="30" t="s">
        <v>8</v>
      </c>
      <c r="V51" s="185"/>
    </row>
    <row r="52" spans="1:22" ht="18" customHeight="1">
      <c r="A52" s="184"/>
      <c r="B52" s="296" t="s">
        <v>679</v>
      </c>
      <c r="C52" s="14"/>
      <c r="D52" s="14"/>
      <c r="E52" s="14"/>
      <c r="F52" s="14"/>
      <c r="G52" s="14"/>
      <c r="H52" s="14"/>
      <c r="I52" s="120"/>
      <c r="J52" s="14"/>
      <c r="K52" s="14"/>
      <c r="M52" s="14"/>
      <c r="N52" s="14"/>
      <c r="P52" s="120" t="s">
        <v>680</v>
      </c>
      <c r="R52" s="234" t="s">
        <v>127</v>
      </c>
      <c r="S52" s="795">
        <f>J37</f>
        <v>437.38656756789834</v>
      </c>
      <c r="T52" s="684"/>
      <c r="U52" s="30" t="s">
        <v>8</v>
      </c>
      <c r="V52" s="185"/>
    </row>
    <row r="53" spans="1:22" ht="18" customHeight="1">
      <c r="A53" s="184"/>
      <c r="B53" s="47" t="s">
        <v>659</v>
      </c>
      <c r="C53" s="14"/>
      <c r="D53" s="14"/>
      <c r="E53" s="14"/>
      <c r="F53" s="14"/>
      <c r="G53" s="14"/>
      <c r="H53" s="14"/>
      <c r="I53" s="120"/>
      <c r="J53" s="14"/>
      <c r="K53" s="14"/>
      <c r="M53" s="14"/>
      <c r="N53" s="14"/>
      <c r="P53" s="120" t="s">
        <v>660</v>
      </c>
      <c r="R53" s="234" t="s">
        <v>127</v>
      </c>
      <c r="S53" s="684">
        <f>'[3]CT-VT Burdens'!S18</f>
        <v>1</v>
      </c>
      <c r="T53" s="684"/>
      <c r="U53" s="30" t="s">
        <v>8</v>
      </c>
      <c r="V53" s="185"/>
    </row>
    <row r="54" spans="1:22" ht="18" customHeight="1">
      <c r="A54" s="96"/>
      <c r="B54" s="14"/>
      <c r="C54" s="14"/>
      <c r="D54" s="235"/>
      <c r="E54" s="14"/>
      <c r="F54" s="28"/>
      <c r="G54" s="249"/>
      <c r="H54" s="28"/>
      <c r="I54" s="251"/>
      <c r="J54" s="14"/>
      <c r="K54" s="280"/>
      <c r="M54" s="47"/>
      <c r="N54" s="268"/>
      <c r="P54" s="281"/>
      <c r="R54" s="234"/>
      <c r="S54" s="1148"/>
      <c r="T54" s="723"/>
      <c r="V54" s="185"/>
    </row>
    <row r="55" spans="1:22" s="279" customFormat="1" ht="18" customHeight="1">
      <c r="A55" s="277"/>
      <c r="B55" s="689" t="s">
        <v>473</v>
      </c>
      <c r="C55" s="1150" t="s">
        <v>652</v>
      </c>
      <c r="G55" s="802">
        <f>G42</f>
        <v>0.4</v>
      </c>
      <c r="H55" s="1151" t="s">
        <v>315</v>
      </c>
      <c r="I55" s="829">
        <f>O40</f>
        <v>50000</v>
      </c>
      <c r="J55" s="1152"/>
      <c r="K55" s="1152"/>
      <c r="L55" s="1152"/>
      <c r="M55" s="1152"/>
      <c r="N55" s="689" t="s">
        <v>672</v>
      </c>
      <c r="O55" s="708">
        <f>S48</f>
        <v>4</v>
      </c>
      <c r="P55" s="689" t="s">
        <v>347</v>
      </c>
      <c r="Q55" s="829">
        <f>S49</f>
        <v>1.4145261800000002</v>
      </c>
      <c r="R55" s="708" t="s">
        <v>674</v>
      </c>
      <c r="S55" s="708">
        <f>S50</f>
        <v>1</v>
      </c>
      <c r="T55" s="14"/>
      <c r="U55" s="729" t="s">
        <v>653</v>
      </c>
      <c r="V55" s="185"/>
    </row>
    <row r="56" spans="1:22" s="279" customFormat="1" ht="18" customHeight="1">
      <c r="A56" s="277"/>
      <c r="B56" s="689"/>
      <c r="C56" s="689"/>
      <c r="G56" s="802"/>
      <c r="H56" s="684"/>
      <c r="I56" s="1189">
        <f>H10</f>
        <v>2800</v>
      </c>
      <c r="J56" s="1189"/>
      <c r="K56" s="1189"/>
      <c r="L56" s="1189"/>
      <c r="M56" s="1189"/>
      <c r="N56" s="689"/>
      <c r="O56" s="689"/>
      <c r="P56" s="689"/>
      <c r="Q56" s="689"/>
      <c r="R56" s="689"/>
      <c r="S56" s="689"/>
      <c r="T56" s="14"/>
      <c r="U56" s="689"/>
      <c r="V56" s="185"/>
    </row>
    <row r="57" spans="1:22" ht="18" customHeight="1">
      <c r="A57" s="96"/>
      <c r="B57" s="14"/>
      <c r="C57" s="27" t="s">
        <v>127</v>
      </c>
      <c r="D57" s="812">
        <f>ROUNDUP(G55*(I55/(I56)*(O55+Q55)*S55),2)</f>
        <v>38.68</v>
      </c>
      <c r="E57" s="813"/>
      <c r="F57" s="30" t="s">
        <v>305</v>
      </c>
      <c r="G57" s="14"/>
      <c r="H57" s="14"/>
      <c r="I57" s="14"/>
      <c r="J57" s="14"/>
      <c r="K57" s="14"/>
      <c r="L57" s="14"/>
      <c r="M57" s="14"/>
      <c r="N57" s="14"/>
      <c r="R57" s="234"/>
      <c r="S57" s="204"/>
      <c r="V57" s="185"/>
    </row>
    <row r="58" spans="1:22" ht="18" customHeight="1">
      <c r="A58" s="96"/>
      <c r="B58" s="14"/>
      <c r="G58" s="14"/>
      <c r="H58" s="14"/>
      <c r="I58" s="14"/>
      <c r="J58" s="14"/>
      <c r="K58" s="14"/>
      <c r="L58" s="14"/>
      <c r="M58" s="14"/>
      <c r="N58" s="14"/>
      <c r="R58" s="234"/>
      <c r="S58" s="204"/>
      <c r="V58" s="185"/>
    </row>
    <row r="59" spans="1:22" ht="18" hidden="1" customHeight="1">
      <c r="A59" s="96"/>
      <c r="B59" s="14"/>
      <c r="G59" s="27"/>
      <c r="M59" s="14"/>
      <c r="N59" s="14"/>
      <c r="R59" s="234"/>
      <c r="S59" s="204"/>
      <c r="V59" s="185"/>
    </row>
    <row r="60" spans="1:22" ht="18" hidden="1" customHeight="1">
      <c r="A60" s="96"/>
      <c r="B60" s="14"/>
      <c r="G60" s="27"/>
      <c r="H60" s="204"/>
      <c r="M60" s="14"/>
      <c r="N60" s="14"/>
      <c r="R60" s="234"/>
      <c r="S60" s="204"/>
      <c r="V60" s="185"/>
    </row>
    <row r="61" spans="1:22" ht="18" hidden="1" customHeight="1">
      <c r="A61" s="96"/>
      <c r="B61" s="14"/>
      <c r="F61" s="244"/>
      <c r="H61" s="18"/>
      <c r="M61" s="14"/>
      <c r="N61" s="14"/>
      <c r="R61" s="234"/>
      <c r="S61" s="204"/>
      <c r="V61" s="185"/>
    </row>
    <row r="62" spans="1:22" ht="18" hidden="1" customHeight="1">
      <c r="A62" s="96"/>
      <c r="B62" s="14"/>
      <c r="G62" s="14"/>
      <c r="H62" s="14"/>
      <c r="I62" s="14"/>
      <c r="J62" s="14"/>
      <c r="K62" s="14"/>
      <c r="L62" s="14"/>
      <c r="M62" s="14"/>
      <c r="N62" s="14"/>
      <c r="R62" s="234"/>
      <c r="S62" s="204"/>
      <c r="V62" s="185"/>
    </row>
    <row r="63" spans="1:22" ht="18" customHeight="1">
      <c r="A63" s="184" t="s">
        <v>612</v>
      </c>
      <c r="B63" s="14"/>
      <c r="C63" s="14"/>
      <c r="D63" s="14"/>
      <c r="E63" s="14"/>
      <c r="M63" s="120" t="s">
        <v>613</v>
      </c>
      <c r="N63" s="28" t="s">
        <v>127</v>
      </c>
      <c r="O63" s="689" t="s">
        <v>609</v>
      </c>
      <c r="P63" s="716"/>
      <c r="Q63" s="245" t="s">
        <v>681</v>
      </c>
      <c r="R63" s="805" t="str">
        <f>B32</f>
        <v>Percentage Impedance</v>
      </c>
      <c r="S63" s="805"/>
      <c r="T63" s="805"/>
      <c r="U63" s="805"/>
      <c r="V63" s="968"/>
    </row>
    <row r="64" spans="1:22" ht="18" customHeight="1">
      <c r="A64" s="96"/>
      <c r="B64" s="5"/>
      <c r="C64" s="5"/>
      <c r="D64" s="5"/>
      <c r="E64" s="5"/>
      <c r="M64" s="250"/>
      <c r="N64" s="28" t="s">
        <v>127</v>
      </c>
      <c r="O64" s="692">
        <f>J37</f>
        <v>437.38656756789834</v>
      </c>
      <c r="P64" s="716"/>
      <c r="Q64" s="245" t="s">
        <v>342</v>
      </c>
      <c r="R64" s="221">
        <f>O32%</f>
        <v>0.25</v>
      </c>
      <c r="S64" s="214"/>
      <c r="V64" s="185"/>
    </row>
    <row r="65" spans="1:22" ht="18" customHeight="1">
      <c r="A65" s="96"/>
      <c r="B65" s="5"/>
      <c r="C65" s="5"/>
      <c r="D65" s="5"/>
      <c r="E65" s="5"/>
      <c r="M65" s="120" t="s">
        <v>613</v>
      </c>
      <c r="N65" s="28" t="s">
        <v>127</v>
      </c>
      <c r="O65" s="689">
        <f>O64/R64</f>
        <v>1749.5462702715934</v>
      </c>
      <c r="P65" s="716"/>
      <c r="Q65" s="241" t="s">
        <v>8</v>
      </c>
      <c r="R65" s="14"/>
      <c r="S65" s="214"/>
      <c r="V65" s="185"/>
    </row>
    <row r="66" spans="1:22" ht="18" customHeight="1">
      <c r="A66" s="96"/>
      <c r="B66" s="5"/>
      <c r="C66" s="5"/>
      <c r="D66" s="5"/>
      <c r="E66" s="5"/>
      <c r="M66" s="120"/>
      <c r="N66" s="28"/>
      <c r="O66" s="28"/>
      <c r="P66" s="14"/>
      <c r="Q66" s="241"/>
      <c r="R66" s="14"/>
      <c r="S66" s="214"/>
      <c r="V66" s="185"/>
    </row>
    <row r="67" spans="1:22" s="279" customFormat="1" ht="18" customHeight="1">
      <c r="A67" s="277"/>
      <c r="B67" s="689" t="s">
        <v>473</v>
      </c>
      <c r="C67" s="1150" t="s">
        <v>652</v>
      </c>
      <c r="G67" s="802">
        <v>1.6</v>
      </c>
      <c r="H67" s="1153" t="s">
        <v>315</v>
      </c>
      <c r="I67" s="790" t="s">
        <v>682</v>
      </c>
      <c r="J67" s="1147"/>
      <c r="K67" s="1147"/>
      <c r="L67" s="1147"/>
      <c r="M67" s="1147"/>
      <c r="N67" s="689" t="s">
        <v>672</v>
      </c>
      <c r="O67" s="708" t="s">
        <v>420</v>
      </c>
      <c r="P67" s="689" t="s">
        <v>347</v>
      </c>
      <c r="Q67" s="790" t="s">
        <v>673</v>
      </c>
      <c r="R67" s="708" t="s">
        <v>674</v>
      </c>
      <c r="S67" s="790" t="s">
        <v>482</v>
      </c>
      <c r="T67" s="14"/>
      <c r="U67" s="726" t="s">
        <v>683</v>
      </c>
      <c r="V67" s="185"/>
    </row>
    <row r="68" spans="1:22" s="279" customFormat="1" ht="18" customHeight="1">
      <c r="A68" s="277"/>
      <c r="B68" s="689"/>
      <c r="C68" s="689"/>
      <c r="G68" s="802"/>
      <c r="H68" s="689"/>
      <c r="I68" s="1190" t="s">
        <v>483</v>
      </c>
      <c r="J68" s="1189"/>
      <c r="K68" s="1189"/>
      <c r="L68" s="1189"/>
      <c r="M68" s="1189"/>
      <c r="N68" s="689"/>
      <c r="O68" s="689"/>
      <c r="P68" s="689"/>
      <c r="Q68" s="689"/>
      <c r="R68" s="689"/>
      <c r="S68" s="689"/>
      <c r="T68" s="14"/>
      <c r="U68" s="689"/>
      <c r="V68" s="185"/>
    </row>
    <row r="69" spans="1:22" ht="18" customHeight="1">
      <c r="A69" s="184"/>
      <c r="V69" s="185"/>
    </row>
    <row r="70" spans="1:22" ht="18" customHeight="1">
      <c r="A70" s="184"/>
      <c r="B70" s="47" t="s">
        <v>675</v>
      </c>
      <c r="C70" s="14"/>
      <c r="D70" s="14"/>
      <c r="E70" s="14"/>
      <c r="F70" s="18"/>
      <c r="G70" s="18"/>
      <c r="H70" s="14"/>
      <c r="I70" s="120"/>
      <c r="J70" s="14"/>
      <c r="K70" s="14"/>
      <c r="M70" s="14"/>
      <c r="N70" s="14"/>
      <c r="P70" s="30" t="s">
        <v>483</v>
      </c>
      <c r="R70" s="234" t="s">
        <v>127</v>
      </c>
      <c r="S70" s="684">
        <f>H10</f>
        <v>2800</v>
      </c>
      <c r="T70" s="684"/>
      <c r="U70" s="30" t="s">
        <v>8</v>
      </c>
      <c r="V70" s="185"/>
    </row>
    <row r="71" spans="1:22" ht="18" customHeight="1">
      <c r="A71" s="184"/>
      <c r="B71" s="47" t="s">
        <v>655</v>
      </c>
      <c r="C71" s="14"/>
      <c r="D71" s="14"/>
      <c r="E71" s="14"/>
      <c r="F71" s="18"/>
      <c r="G71" s="18"/>
      <c r="H71" s="14"/>
      <c r="I71" s="120"/>
      <c r="J71" s="14"/>
      <c r="K71" s="14"/>
      <c r="M71" s="14"/>
      <c r="N71" s="14"/>
      <c r="P71" s="14" t="s">
        <v>420</v>
      </c>
      <c r="R71" s="234" t="s">
        <v>127</v>
      </c>
      <c r="S71" s="684">
        <f>H12</f>
        <v>4</v>
      </c>
      <c r="T71" s="684"/>
      <c r="U71" s="192" t="s">
        <v>333</v>
      </c>
      <c r="V71" s="185"/>
    </row>
    <row r="72" spans="1:22" ht="18" customHeight="1">
      <c r="A72" s="184"/>
      <c r="B72" s="47" t="s">
        <v>676</v>
      </c>
      <c r="C72" s="14"/>
      <c r="D72" s="14"/>
      <c r="E72" s="14"/>
      <c r="F72" s="18"/>
      <c r="G72" s="18"/>
      <c r="H72" s="14"/>
      <c r="I72" s="120"/>
      <c r="J72" s="14"/>
      <c r="K72" s="14"/>
      <c r="M72" s="14"/>
      <c r="N72" s="14"/>
      <c r="P72" s="30" t="s">
        <v>673</v>
      </c>
      <c r="R72" s="234" t="s">
        <v>127</v>
      </c>
      <c r="S72" s="795">
        <f>S29</f>
        <v>1.4145261800000002</v>
      </c>
      <c r="T72" s="795"/>
      <c r="U72" s="192" t="s">
        <v>333</v>
      </c>
      <c r="V72" s="185"/>
    </row>
    <row r="73" spans="1:22" ht="18" customHeight="1">
      <c r="A73" s="184"/>
      <c r="B73" s="296" t="s">
        <v>677</v>
      </c>
      <c r="C73" s="14"/>
      <c r="D73" s="14"/>
      <c r="E73" s="14"/>
      <c r="F73" s="14"/>
      <c r="G73" s="14"/>
      <c r="H73" s="14"/>
      <c r="I73" s="120"/>
      <c r="J73" s="14"/>
      <c r="K73" s="14"/>
      <c r="M73" s="14"/>
      <c r="N73" s="14"/>
      <c r="P73" s="14" t="s">
        <v>411</v>
      </c>
      <c r="R73" s="234" t="s">
        <v>127</v>
      </c>
      <c r="S73" s="684">
        <f>O10</f>
        <v>1</v>
      </c>
      <c r="T73" s="684"/>
      <c r="U73" s="30" t="s">
        <v>8</v>
      </c>
      <c r="V73" s="185"/>
    </row>
    <row r="74" spans="1:22" ht="18" customHeight="1">
      <c r="A74" s="184"/>
      <c r="B74" s="47" t="s">
        <v>678</v>
      </c>
      <c r="C74" s="14"/>
      <c r="D74" s="14"/>
      <c r="E74" s="14"/>
      <c r="F74" s="14"/>
      <c r="G74" s="14"/>
      <c r="H74" s="14"/>
      <c r="I74" s="120"/>
      <c r="J74" s="14"/>
      <c r="K74" s="14"/>
      <c r="M74" s="14"/>
      <c r="N74" s="14"/>
      <c r="P74" s="244" t="s">
        <v>682</v>
      </c>
      <c r="R74" s="234" t="s">
        <v>127</v>
      </c>
      <c r="S74" s="684">
        <f>O65</f>
        <v>1749.5462702715934</v>
      </c>
      <c r="T74" s="684"/>
      <c r="U74" s="30" t="s">
        <v>8</v>
      </c>
      <c r="V74" s="185"/>
    </row>
    <row r="75" spans="1:22" ht="18" customHeight="1">
      <c r="A75" s="184"/>
      <c r="B75" s="296" t="s">
        <v>679</v>
      </c>
      <c r="C75" s="14"/>
      <c r="D75" s="14"/>
      <c r="E75" s="14"/>
      <c r="F75" s="14"/>
      <c r="G75" s="14"/>
      <c r="H75" s="14"/>
      <c r="I75" s="120"/>
      <c r="J75" s="14"/>
      <c r="K75" s="14"/>
      <c r="M75" s="14"/>
      <c r="N75" s="14"/>
      <c r="P75" s="120" t="s">
        <v>680</v>
      </c>
      <c r="R75" s="234" t="s">
        <v>127</v>
      </c>
      <c r="S75" s="795">
        <f>J37</f>
        <v>437.38656756789834</v>
      </c>
      <c r="T75" s="684"/>
      <c r="U75" s="30" t="s">
        <v>8</v>
      </c>
      <c r="V75" s="185"/>
    </row>
    <row r="76" spans="1:22" ht="18" customHeight="1">
      <c r="A76" s="184"/>
      <c r="B76" s="47" t="s">
        <v>659</v>
      </c>
      <c r="C76" s="14"/>
      <c r="D76" s="14"/>
      <c r="E76" s="14"/>
      <c r="F76" s="14"/>
      <c r="G76" s="14"/>
      <c r="H76" s="14"/>
      <c r="I76" s="120"/>
      <c r="J76" s="14"/>
      <c r="K76" s="14"/>
      <c r="M76" s="14"/>
      <c r="N76" s="14"/>
      <c r="P76" s="120" t="s">
        <v>660</v>
      </c>
      <c r="R76" s="234" t="s">
        <v>127</v>
      </c>
      <c r="S76" s="684">
        <f>O10</f>
        <v>1</v>
      </c>
      <c r="T76" s="684"/>
      <c r="U76" s="30" t="s">
        <v>8</v>
      </c>
      <c r="V76" s="185"/>
    </row>
    <row r="77" spans="1:22" ht="18" customHeight="1">
      <c r="A77" s="96"/>
      <c r="B77" s="14"/>
      <c r="C77" s="14"/>
      <c r="D77" s="235"/>
      <c r="E77" s="14"/>
      <c r="F77" s="28"/>
      <c r="G77" s="249"/>
      <c r="H77" s="28"/>
      <c r="I77" s="251"/>
      <c r="J77" s="14"/>
      <c r="K77" s="280"/>
      <c r="M77" s="47"/>
      <c r="N77" s="268"/>
      <c r="P77" s="281"/>
      <c r="R77" s="234"/>
      <c r="S77" s="1148"/>
      <c r="T77" s="723"/>
      <c r="V77" s="185"/>
    </row>
    <row r="78" spans="1:22" s="279" customFormat="1" ht="18" customHeight="1">
      <c r="A78" s="277"/>
      <c r="B78" s="689" t="s">
        <v>473</v>
      </c>
      <c r="C78" s="1150" t="s">
        <v>652</v>
      </c>
      <c r="G78" s="802">
        <f>G67</f>
        <v>1.6</v>
      </c>
      <c r="H78" s="1151" t="s">
        <v>315</v>
      </c>
      <c r="I78" s="829">
        <f>O65</f>
        <v>1749.5462702715934</v>
      </c>
      <c r="J78" s="1152"/>
      <c r="K78" s="1152"/>
      <c r="L78" s="1152"/>
      <c r="M78" s="1152"/>
      <c r="N78" s="689" t="s">
        <v>672</v>
      </c>
      <c r="O78" s="708">
        <f>S71</f>
        <v>4</v>
      </c>
      <c r="P78" s="689" t="s">
        <v>347</v>
      </c>
      <c r="Q78" s="829">
        <f>S72</f>
        <v>1.4145261800000002</v>
      </c>
      <c r="R78" s="708" t="s">
        <v>674</v>
      </c>
      <c r="S78" s="708">
        <f>S73</f>
        <v>1</v>
      </c>
      <c r="T78" s="14"/>
      <c r="U78" s="726" t="s">
        <v>683</v>
      </c>
      <c r="V78" s="185"/>
    </row>
    <row r="79" spans="1:22" s="279" customFormat="1" ht="18" customHeight="1">
      <c r="A79" s="277"/>
      <c r="B79" s="689"/>
      <c r="C79" s="689"/>
      <c r="G79" s="802"/>
      <c r="H79" s="684"/>
      <c r="I79" s="1189">
        <f>H10</f>
        <v>2800</v>
      </c>
      <c r="J79" s="1189"/>
      <c r="K79" s="1189"/>
      <c r="L79" s="1189"/>
      <c r="M79" s="1189"/>
      <c r="N79" s="689"/>
      <c r="O79" s="689"/>
      <c r="P79" s="689"/>
      <c r="Q79" s="689"/>
      <c r="R79" s="689"/>
      <c r="S79" s="689"/>
      <c r="T79" s="14"/>
      <c r="U79" s="689"/>
      <c r="V79" s="185"/>
    </row>
    <row r="80" spans="1:22" ht="18" customHeight="1">
      <c r="A80" s="96"/>
      <c r="B80" s="14"/>
      <c r="C80" s="27" t="s">
        <v>127</v>
      </c>
      <c r="D80" s="812">
        <f>ROUNDUP(G78*(I78/(I79)*(O78+Q78)*S78),2)</f>
        <v>5.42</v>
      </c>
      <c r="E80" s="813"/>
      <c r="F80" s="30" t="s">
        <v>305</v>
      </c>
      <c r="G80" s="14"/>
      <c r="H80" s="14"/>
      <c r="I80" s="14"/>
      <c r="J80" s="14"/>
      <c r="K80" s="14"/>
      <c r="L80" s="14"/>
      <c r="M80" s="14"/>
      <c r="N80" s="14"/>
      <c r="R80" s="234"/>
      <c r="S80" s="204"/>
      <c r="V80" s="185"/>
    </row>
    <row r="81" spans="1:27" ht="18" customHeight="1">
      <c r="A81" s="184" t="s">
        <v>684</v>
      </c>
      <c r="B81" s="14"/>
      <c r="G81" s="14"/>
      <c r="H81" s="14"/>
      <c r="I81" s="14"/>
      <c r="J81" s="14"/>
      <c r="K81" s="14"/>
      <c r="L81" s="14"/>
      <c r="M81" s="14"/>
      <c r="N81" s="14"/>
      <c r="R81" s="234"/>
      <c r="S81" s="204"/>
      <c r="U81" s="726" t="s">
        <v>685</v>
      </c>
      <c r="V81" s="185"/>
    </row>
    <row r="82" spans="1:27" ht="18" customHeight="1">
      <c r="A82" s="184"/>
      <c r="E82" s="30" t="s">
        <v>473</v>
      </c>
      <c r="F82" s="278" t="s">
        <v>652</v>
      </c>
      <c r="G82" s="28">
        <v>20</v>
      </c>
      <c r="H82" s="27" t="s">
        <v>315</v>
      </c>
      <c r="I82" s="27" t="s">
        <v>482</v>
      </c>
      <c r="J82" s="27" t="s">
        <v>372</v>
      </c>
      <c r="K82" s="27" t="s">
        <v>420</v>
      </c>
      <c r="L82" s="27" t="s">
        <v>347</v>
      </c>
      <c r="M82" s="27" t="s">
        <v>673</v>
      </c>
      <c r="N82" s="27" t="s">
        <v>350</v>
      </c>
      <c r="R82" s="234"/>
      <c r="S82" s="204"/>
      <c r="U82" s="689"/>
      <c r="V82" s="185"/>
    </row>
    <row r="83" spans="1:27" ht="18" customHeight="1">
      <c r="A83" s="184"/>
      <c r="B83" s="47" t="s">
        <v>655</v>
      </c>
      <c r="C83" s="14"/>
      <c r="D83" s="14"/>
      <c r="E83" s="14"/>
      <c r="F83" s="18"/>
      <c r="G83" s="18"/>
      <c r="H83" s="14"/>
      <c r="I83" s="120"/>
      <c r="J83" s="14"/>
      <c r="K83" s="14"/>
      <c r="M83" s="14"/>
      <c r="N83" s="14"/>
      <c r="P83" s="14" t="s">
        <v>420</v>
      </c>
      <c r="R83" s="234" t="s">
        <v>127</v>
      </c>
      <c r="S83" s="684">
        <f>H12</f>
        <v>4</v>
      </c>
      <c r="T83" s="684"/>
      <c r="U83" s="192" t="s">
        <v>333</v>
      </c>
      <c r="V83" s="185"/>
    </row>
    <row r="84" spans="1:27" ht="18" customHeight="1">
      <c r="A84" s="184"/>
      <c r="B84" s="47" t="s">
        <v>676</v>
      </c>
      <c r="C84" s="14"/>
      <c r="D84" s="14"/>
      <c r="E84" s="14"/>
      <c r="F84" s="18"/>
      <c r="G84" s="18"/>
      <c r="H84" s="14"/>
      <c r="I84" s="120"/>
      <c r="J84" s="14"/>
      <c r="K84" s="14"/>
      <c r="M84" s="14"/>
      <c r="N84" s="14"/>
      <c r="P84" s="30" t="s">
        <v>673</v>
      </c>
      <c r="R84" s="234" t="s">
        <v>127</v>
      </c>
      <c r="S84" s="795">
        <f>S29</f>
        <v>1.4145261800000002</v>
      </c>
      <c r="T84" s="795"/>
      <c r="U84" s="192" t="s">
        <v>333</v>
      </c>
      <c r="V84" s="185"/>
    </row>
    <row r="85" spans="1:27" ht="18" customHeight="1">
      <c r="A85" s="184"/>
      <c r="B85" s="296" t="s">
        <v>677</v>
      </c>
      <c r="C85" s="14"/>
      <c r="D85" s="14"/>
      <c r="E85" s="14"/>
      <c r="F85" s="14"/>
      <c r="G85" s="14"/>
      <c r="H85" s="14"/>
      <c r="I85" s="120"/>
      <c r="J85" s="14"/>
      <c r="K85" s="14"/>
      <c r="M85" s="14"/>
      <c r="N85" s="14"/>
      <c r="P85" s="30" t="s">
        <v>482</v>
      </c>
      <c r="R85" s="234" t="s">
        <v>127</v>
      </c>
      <c r="S85" s="684">
        <v>1</v>
      </c>
      <c r="T85" s="684"/>
      <c r="U85" s="30" t="s">
        <v>8</v>
      </c>
      <c r="V85" s="185"/>
    </row>
    <row r="86" spans="1:27" ht="18" customHeight="1">
      <c r="A86" s="184"/>
      <c r="B86" s="296"/>
      <c r="C86" s="14"/>
      <c r="D86" s="14"/>
      <c r="E86" s="14"/>
      <c r="F86" s="14"/>
      <c r="G86" s="14"/>
      <c r="H86" s="14"/>
      <c r="I86" s="120"/>
      <c r="J86" s="14"/>
      <c r="K86" s="14"/>
      <c r="M86" s="14"/>
      <c r="N86" s="14"/>
      <c r="R86" s="234"/>
      <c r="S86" s="27"/>
      <c r="T86" s="27"/>
      <c r="V86" s="185"/>
    </row>
    <row r="87" spans="1:27" ht="18" customHeight="1">
      <c r="A87" s="193"/>
      <c r="B87" s="14"/>
      <c r="E87" s="30" t="s">
        <v>473</v>
      </c>
      <c r="F87" s="278" t="s">
        <v>652</v>
      </c>
      <c r="G87" s="28">
        <f>G82</f>
        <v>20</v>
      </c>
      <c r="H87" s="28" t="str">
        <f>H82</f>
        <v>x</v>
      </c>
      <c r="I87" s="28">
        <f>S85</f>
        <v>1</v>
      </c>
      <c r="J87" s="27" t="s">
        <v>372</v>
      </c>
      <c r="K87" s="28">
        <f>S83</f>
        <v>4</v>
      </c>
      <c r="L87" s="27" t="s">
        <v>347</v>
      </c>
      <c r="M87" s="218">
        <f>S84</f>
        <v>1.4145261800000002</v>
      </c>
      <c r="N87" s="28" t="str">
        <f>N82</f>
        <v>)</v>
      </c>
      <c r="R87" s="234"/>
      <c r="S87" s="204"/>
      <c r="V87" s="185"/>
    </row>
    <row r="88" spans="1:27" ht="18" customHeight="1">
      <c r="A88" s="193"/>
      <c r="B88" s="14"/>
      <c r="C88" s="278"/>
      <c r="F88" s="30" t="s">
        <v>127</v>
      </c>
      <c r="G88" s="1188">
        <f>ROUNDUP(G87*I87*(K87+M87),2)</f>
        <v>108.30000000000001</v>
      </c>
      <c r="H88" s="1188"/>
      <c r="I88" s="28"/>
      <c r="J88" s="27"/>
      <c r="K88" s="28"/>
      <c r="L88" s="27"/>
      <c r="M88" s="218"/>
      <c r="N88" s="28"/>
      <c r="R88" s="234"/>
      <c r="S88" s="204"/>
      <c r="V88" s="185"/>
    </row>
    <row r="89" spans="1:27" ht="18" customHeight="1">
      <c r="A89" s="508"/>
      <c r="B89" s="195"/>
      <c r="C89" s="623"/>
      <c r="D89" s="196"/>
      <c r="E89" s="196"/>
      <c r="F89" s="196"/>
      <c r="G89" s="624"/>
      <c r="H89" s="624"/>
      <c r="I89" s="182"/>
      <c r="J89" s="307"/>
      <c r="K89" s="182"/>
      <c r="L89" s="307"/>
      <c r="M89" s="509"/>
      <c r="N89" s="182"/>
      <c r="O89" s="196"/>
      <c r="P89" s="196"/>
      <c r="Q89" s="196"/>
      <c r="R89" s="591"/>
      <c r="S89" s="518"/>
      <c r="T89" s="196"/>
      <c r="U89" s="196"/>
      <c r="V89" s="291"/>
    </row>
    <row r="90" spans="1:27" ht="18" customHeight="1">
      <c r="A90" s="383"/>
      <c r="B90" s="273"/>
      <c r="C90" s="625"/>
      <c r="D90" s="227"/>
      <c r="E90" s="227"/>
      <c r="F90" s="227"/>
      <c r="G90" s="138"/>
      <c r="H90" s="138"/>
      <c r="I90" s="138"/>
      <c r="J90" s="311"/>
      <c r="K90" s="138"/>
      <c r="L90" s="311"/>
      <c r="M90" s="626"/>
      <c r="N90" s="138"/>
      <c r="O90" s="227"/>
      <c r="P90" s="227"/>
      <c r="Q90" s="227"/>
      <c r="R90" s="605"/>
      <c r="S90" s="627"/>
      <c r="T90" s="227"/>
      <c r="U90" s="227"/>
      <c r="V90" s="228"/>
    </row>
    <row r="91" spans="1:27" ht="18" customHeight="1">
      <c r="A91" s="96"/>
      <c r="B91" s="14"/>
      <c r="D91" s="30" t="s">
        <v>527</v>
      </c>
      <c r="E91" s="14"/>
      <c r="F91" s="279"/>
      <c r="G91" s="14"/>
      <c r="H91" s="14"/>
      <c r="I91" s="279"/>
      <c r="J91" s="14"/>
      <c r="K91" s="14"/>
      <c r="L91" s="30" t="s">
        <v>473</v>
      </c>
      <c r="M91" s="505" t="s">
        <v>529</v>
      </c>
      <c r="N91" s="30" t="str">
        <f>CONCATENATE(Y91,X91,D57,Z91,D80,Z91,G88,AA91)</f>
        <v>max(38.68,5.42,108.3)</v>
      </c>
      <c r="R91" s="234"/>
      <c r="S91" s="204"/>
      <c r="V91" s="185"/>
      <c r="X91" s="30" t="s">
        <v>419</v>
      </c>
      <c r="Y91" s="30" t="s">
        <v>530</v>
      </c>
      <c r="Z91" s="30" t="s">
        <v>531</v>
      </c>
      <c r="AA91" s="30" t="s">
        <v>350</v>
      </c>
    </row>
    <row r="92" spans="1:27" ht="18" customHeight="1">
      <c r="A92" s="96"/>
      <c r="B92" s="14"/>
      <c r="D92" s="14"/>
      <c r="E92" s="14"/>
      <c r="F92" s="279"/>
      <c r="G92" s="14"/>
      <c r="H92" s="14"/>
      <c r="I92" s="279"/>
      <c r="J92" s="14"/>
      <c r="K92" s="14"/>
      <c r="L92" s="30" t="s">
        <v>473</v>
      </c>
      <c r="M92" s="505" t="s">
        <v>529</v>
      </c>
      <c r="N92" s="1072">
        <f>MAX(D80,D57,G88)</f>
        <v>108.30000000000001</v>
      </c>
      <c r="O92" s="1072"/>
      <c r="R92" s="234"/>
      <c r="S92" s="204"/>
      <c r="V92" s="185"/>
    </row>
    <row r="93" spans="1:27" ht="18" customHeight="1">
      <c r="A93" s="96"/>
      <c r="B93" s="14"/>
      <c r="G93" s="14"/>
      <c r="H93" s="14"/>
      <c r="I93" s="14"/>
      <c r="J93" s="14"/>
      <c r="K93" s="1185">
        <f>H13</f>
        <v>500</v>
      </c>
      <c r="L93" s="1185"/>
      <c r="M93" s="505" t="s">
        <v>529</v>
      </c>
      <c r="N93" s="1072">
        <f>N92</f>
        <v>108.30000000000001</v>
      </c>
      <c r="O93" s="1072"/>
      <c r="R93" s="234"/>
      <c r="S93" s="204"/>
      <c r="V93" s="185"/>
    </row>
    <row r="94" spans="1:27" ht="18" customHeight="1">
      <c r="A94" s="96"/>
      <c r="B94" s="14"/>
      <c r="F94" s="14"/>
      <c r="G94" s="14"/>
      <c r="H94" s="14"/>
      <c r="I94" s="14"/>
      <c r="J94" s="14"/>
      <c r="K94" s="14"/>
      <c r="L94" s="14"/>
      <c r="M94" s="14"/>
      <c r="N94" s="14"/>
      <c r="O94" s="154"/>
      <c r="P94" s="14"/>
      <c r="R94" s="234"/>
      <c r="S94" s="204"/>
      <c r="V94" s="185"/>
    </row>
    <row r="95" spans="1:27" ht="18" customHeight="1">
      <c r="A95" s="96"/>
      <c r="B95" s="14"/>
      <c r="D95"/>
      <c r="E95"/>
      <c r="F95" s="244" t="s">
        <v>478</v>
      </c>
      <c r="G95"/>
      <c r="H95" s="18" t="str">
        <f>IF(K93&gt;N93,"Suitably Dimensioned","Under Dimensioned")</f>
        <v>Suitably Dimensioned</v>
      </c>
      <c r="I95"/>
      <c r="J95"/>
      <c r="K95"/>
      <c r="L95"/>
      <c r="N95" s="14"/>
      <c r="R95" s="234"/>
      <c r="S95" s="204"/>
      <c r="V95" s="185"/>
    </row>
    <row r="96" spans="1:27" ht="18" customHeight="1">
      <c r="A96" s="96"/>
      <c r="B96" s="14"/>
      <c r="D96"/>
      <c r="E96"/>
      <c r="F96" s="244"/>
      <c r="G96"/>
      <c r="H96" s="18"/>
      <c r="I96"/>
      <c r="J96"/>
      <c r="K96"/>
      <c r="L96"/>
      <c r="N96" s="14"/>
      <c r="R96" s="234"/>
      <c r="S96" s="204"/>
      <c r="V96" s="185"/>
    </row>
    <row r="97" spans="1:22" ht="18" customHeight="1">
      <c r="A97" s="96"/>
      <c r="B97" s="14"/>
      <c r="D97"/>
      <c r="E97"/>
      <c r="F97" s="244"/>
      <c r="G97"/>
      <c r="H97" s="18"/>
      <c r="I97"/>
      <c r="J97"/>
      <c r="K97"/>
      <c r="L97"/>
      <c r="N97" s="14"/>
      <c r="R97" s="234"/>
      <c r="S97" s="204"/>
      <c r="V97" s="185"/>
    </row>
    <row r="98" spans="1:22" ht="18" customHeight="1">
      <c r="A98" s="96"/>
      <c r="B98" s="14"/>
      <c r="D98"/>
      <c r="E98"/>
      <c r="F98" s="244"/>
      <c r="G98"/>
      <c r="H98" s="18"/>
      <c r="I98"/>
      <c r="J98"/>
      <c r="K98"/>
      <c r="L98"/>
      <c r="N98" s="14"/>
      <c r="R98" s="234"/>
      <c r="S98" s="204"/>
      <c r="V98" s="185"/>
    </row>
    <row r="99" spans="1:22" ht="18" customHeight="1">
      <c r="A99" s="96"/>
      <c r="B99" s="14"/>
      <c r="D99"/>
      <c r="E99"/>
      <c r="F99" s="244"/>
      <c r="G99"/>
      <c r="H99" s="18"/>
      <c r="I99"/>
      <c r="J99"/>
      <c r="K99"/>
      <c r="L99"/>
      <c r="N99" s="14"/>
      <c r="R99" s="234"/>
      <c r="S99" s="204"/>
      <c r="V99" s="185"/>
    </row>
    <row r="100" spans="1:22" ht="18" customHeight="1">
      <c r="A100" s="96"/>
      <c r="B100" s="14"/>
      <c r="D100"/>
      <c r="E100"/>
      <c r="F100" s="244"/>
      <c r="G100"/>
      <c r="H100" s="18"/>
      <c r="I100"/>
      <c r="J100"/>
      <c r="K100"/>
      <c r="L100"/>
      <c r="N100" s="14"/>
      <c r="R100" s="234"/>
      <c r="S100" s="204"/>
      <c r="V100" s="185"/>
    </row>
    <row r="101" spans="1:22" ht="18" customHeight="1">
      <c r="A101" s="96"/>
      <c r="B101" s="14"/>
      <c r="D101"/>
      <c r="E101"/>
      <c r="F101" s="244"/>
      <c r="G101"/>
      <c r="H101" s="18"/>
      <c r="I101"/>
      <c r="J101"/>
      <c r="K101"/>
      <c r="L101"/>
      <c r="N101" s="14"/>
      <c r="R101" s="234"/>
      <c r="S101" s="204"/>
      <c r="V101" s="185"/>
    </row>
    <row r="102" spans="1:22" ht="18" customHeight="1">
      <c r="A102" s="96"/>
      <c r="B102" s="14"/>
      <c r="D102"/>
      <c r="E102"/>
      <c r="F102" s="244"/>
      <c r="G102"/>
      <c r="H102" s="18"/>
      <c r="I102"/>
      <c r="J102"/>
      <c r="K102"/>
      <c r="L102"/>
      <c r="N102" s="14"/>
      <c r="R102" s="234"/>
      <c r="S102" s="204"/>
      <c r="V102" s="185"/>
    </row>
    <row r="103" spans="1:22" ht="18" customHeight="1">
      <c r="A103" s="96"/>
      <c r="B103" s="14"/>
      <c r="D103"/>
      <c r="E103"/>
      <c r="F103" s="244"/>
      <c r="G103"/>
      <c r="H103" s="18"/>
      <c r="I103"/>
      <c r="J103"/>
      <c r="K103"/>
      <c r="L103"/>
      <c r="N103" s="14"/>
      <c r="R103" s="234"/>
      <c r="S103" s="204"/>
      <c r="V103" s="185"/>
    </row>
    <row r="104" spans="1:22" ht="18" customHeight="1">
      <c r="A104" s="96"/>
      <c r="B104" s="14"/>
      <c r="D104"/>
      <c r="E104"/>
      <c r="F104" s="244"/>
      <c r="G104"/>
      <c r="H104" s="18"/>
      <c r="I104"/>
      <c r="J104"/>
      <c r="K104"/>
      <c r="L104"/>
      <c r="N104" s="14"/>
      <c r="R104" s="234"/>
      <c r="S104" s="204"/>
      <c r="V104" s="185"/>
    </row>
    <row r="105" spans="1:22" ht="18" customHeight="1">
      <c r="A105" s="96"/>
      <c r="B105" s="14"/>
      <c r="D105"/>
      <c r="E105"/>
      <c r="F105" s="244"/>
      <c r="G105"/>
      <c r="H105" s="18"/>
      <c r="I105"/>
      <c r="J105"/>
      <c r="K105"/>
      <c r="L105"/>
      <c r="N105" s="14"/>
      <c r="R105" s="234"/>
      <c r="S105" s="204"/>
      <c r="V105" s="185"/>
    </row>
    <row r="106" spans="1:22" ht="18" customHeight="1">
      <c r="A106" s="96"/>
      <c r="B106" s="14"/>
      <c r="D106"/>
      <c r="E106"/>
      <c r="F106" s="244"/>
      <c r="G106"/>
      <c r="H106" s="18"/>
      <c r="I106"/>
      <c r="J106"/>
      <c r="K106"/>
      <c r="L106"/>
      <c r="N106" s="14"/>
      <c r="R106" s="234"/>
      <c r="S106" s="204"/>
      <c r="V106" s="185"/>
    </row>
    <row r="107" spans="1:22" ht="18" customHeight="1">
      <c r="A107" s="96"/>
      <c r="B107" s="14"/>
      <c r="D107"/>
      <c r="E107"/>
      <c r="F107" s="244"/>
      <c r="G107"/>
      <c r="H107" s="18"/>
      <c r="I107"/>
      <c r="J107"/>
      <c r="K107"/>
      <c r="L107"/>
      <c r="N107" s="14"/>
      <c r="R107" s="234"/>
      <c r="S107" s="204"/>
      <c r="V107" s="185"/>
    </row>
    <row r="108" spans="1:22" ht="18" customHeight="1">
      <c r="A108" s="96"/>
      <c r="B108" s="14"/>
      <c r="D108"/>
      <c r="E108"/>
      <c r="F108" s="244"/>
      <c r="G108"/>
      <c r="H108" s="18"/>
      <c r="I108"/>
      <c r="J108"/>
      <c r="K108"/>
      <c r="L108"/>
      <c r="N108" s="14"/>
      <c r="R108" s="234"/>
      <c r="S108" s="204"/>
      <c r="V108" s="185"/>
    </row>
    <row r="109" spans="1:22" ht="18" customHeight="1">
      <c r="A109" s="96"/>
      <c r="B109" s="14"/>
      <c r="D109"/>
      <c r="E109"/>
      <c r="F109" s="244"/>
      <c r="G109"/>
      <c r="H109" s="18"/>
      <c r="I109"/>
      <c r="J109"/>
      <c r="K109"/>
      <c r="L109"/>
      <c r="N109" s="14"/>
      <c r="R109" s="234"/>
      <c r="S109" s="204"/>
      <c r="V109" s="185"/>
    </row>
    <row r="110" spans="1:22" ht="18" customHeight="1">
      <c r="A110" s="96"/>
      <c r="B110" s="14"/>
      <c r="D110"/>
      <c r="E110"/>
      <c r="F110" s="244"/>
      <c r="G110"/>
      <c r="H110" s="18"/>
      <c r="I110"/>
      <c r="J110"/>
      <c r="K110"/>
      <c r="L110"/>
      <c r="N110" s="14"/>
      <c r="R110" s="234"/>
      <c r="S110" s="204"/>
      <c r="V110" s="185"/>
    </row>
    <row r="111" spans="1:22" ht="18" customHeight="1">
      <c r="A111" s="96"/>
      <c r="B111" s="14"/>
      <c r="D111"/>
      <c r="E111"/>
      <c r="F111" s="244"/>
      <c r="G111"/>
      <c r="H111" s="18"/>
      <c r="I111"/>
      <c r="J111"/>
      <c r="K111"/>
      <c r="L111"/>
      <c r="N111" s="14"/>
      <c r="R111" s="234"/>
      <c r="S111" s="204"/>
      <c r="V111" s="185"/>
    </row>
    <row r="112" spans="1:22" ht="18" customHeight="1">
      <c r="A112" s="96"/>
      <c r="B112" s="14"/>
      <c r="D112"/>
      <c r="E112"/>
      <c r="F112" s="244"/>
      <c r="G112"/>
      <c r="H112" s="18"/>
      <c r="I112"/>
      <c r="J112"/>
      <c r="K112"/>
      <c r="L112"/>
      <c r="N112" s="14"/>
      <c r="R112" s="234"/>
      <c r="S112" s="204"/>
      <c r="V112" s="185"/>
    </row>
    <row r="113" spans="1:22" ht="18" customHeight="1">
      <c r="A113" s="96"/>
      <c r="B113" s="14"/>
      <c r="D113"/>
      <c r="E113"/>
      <c r="F113" s="244"/>
      <c r="G113"/>
      <c r="H113" s="18"/>
      <c r="I113"/>
      <c r="J113"/>
      <c r="K113"/>
      <c r="L113"/>
      <c r="N113" s="14"/>
      <c r="R113" s="234"/>
      <c r="S113" s="204"/>
      <c r="V113" s="185"/>
    </row>
    <row r="114" spans="1:22" ht="18" customHeight="1">
      <c r="A114" s="96"/>
      <c r="B114" s="14"/>
      <c r="D114"/>
      <c r="E114"/>
      <c r="F114" s="244"/>
      <c r="G114"/>
      <c r="H114" s="18"/>
      <c r="I114"/>
      <c r="J114"/>
      <c r="K114"/>
      <c r="L114"/>
      <c r="N114" s="14"/>
      <c r="R114" s="234"/>
      <c r="S114" s="204"/>
      <c r="V114" s="185"/>
    </row>
    <row r="115" spans="1:22" ht="18" customHeight="1">
      <c r="A115" s="96"/>
      <c r="B115" s="14"/>
      <c r="D115"/>
      <c r="E115"/>
      <c r="F115" s="244"/>
      <c r="G115"/>
      <c r="H115" s="18"/>
      <c r="I115"/>
      <c r="J115"/>
      <c r="K115"/>
      <c r="L115"/>
      <c r="N115" s="14"/>
      <c r="R115" s="234"/>
      <c r="S115" s="204"/>
      <c r="V115" s="185"/>
    </row>
    <row r="116" spans="1:22" ht="18" customHeight="1">
      <c r="A116" s="96"/>
      <c r="B116" s="14"/>
      <c r="D116"/>
      <c r="E116"/>
      <c r="F116" s="244"/>
      <c r="G116"/>
      <c r="H116" s="18"/>
      <c r="I116"/>
      <c r="J116"/>
      <c r="K116"/>
      <c r="L116"/>
      <c r="N116" s="14"/>
      <c r="R116" s="234"/>
      <c r="S116" s="204"/>
      <c r="V116" s="185"/>
    </row>
    <row r="117" spans="1:22" ht="18" customHeight="1">
      <c r="A117" s="96"/>
      <c r="B117" s="14"/>
      <c r="D117"/>
      <c r="E117"/>
      <c r="F117" s="244"/>
      <c r="G117"/>
      <c r="H117" s="18"/>
      <c r="I117"/>
      <c r="J117"/>
      <c r="K117"/>
      <c r="L117"/>
      <c r="N117" s="14"/>
      <c r="R117" s="234"/>
      <c r="S117" s="204"/>
      <c r="V117" s="185"/>
    </row>
    <row r="118" spans="1:22" ht="18" customHeight="1">
      <c r="A118" s="96"/>
      <c r="B118" s="14"/>
      <c r="D118"/>
      <c r="E118"/>
      <c r="F118" s="244"/>
      <c r="G118"/>
      <c r="H118" s="18"/>
      <c r="I118"/>
      <c r="J118"/>
      <c r="K118"/>
      <c r="L118"/>
      <c r="N118" s="14"/>
      <c r="R118" s="234"/>
      <c r="S118" s="204"/>
      <c r="V118" s="185"/>
    </row>
    <row r="119" spans="1:22" ht="18" customHeight="1">
      <c r="A119" s="96"/>
      <c r="B119" s="14"/>
      <c r="D119"/>
      <c r="E119"/>
      <c r="F119" s="244"/>
      <c r="G119"/>
      <c r="H119" s="18"/>
      <c r="I119"/>
      <c r="J119"/>
      <c r="K119"/>
      <c r="L119"/>
      <c r="N119" s="14"/>
      <c r="R119" s="234"/>
      <c r="S119" s="204"/>
      <c r="V119" s="185"/>
    </row>
    <row r="120" spans="1:22" ht="18" customHeight="1">
      <c r="A120" s="96"/>
      <c r="B120" s="14"/>
      <c r="D120"/>
      <c r="E120"/>
      <c r="F120" s="244"/>
      <c r="G120"/>
      <c r="H120" s="18"/>
      <c r="I120"/>
      <c r="J120"/>
      <c r="K120"/>
      <c r="L120"/>
      <c r="N120" s="14"/>
      <c r="R120" s="234"/>
      <c r="S120" s="204"/>
      <c r="V120" s="185"/>
    </row>
    <row r="121" spans="1:22" ht="18" customHeight="1">
      <c r="A121" s="96"/>
      <c r="B121" s="14"/>
      <c r="D121"/>
      <c r="E121"/>
      <c r="F121" s="244"/>
      <c r="G121"/>
      <c r="H121" s="18"/>
      <c r="I121"/>
      <c r="J121"/>
      <c r="K121"/>
      <c r="L121"/>
      <c r="N121" s="14"/>
      <c r="R121" s="234"/>
      <c r="S121" s="204"/>
      <c r="V121" s="185"/>
    </row>
    <row r="122" spans="1:22" ht="18" customHeight="1">
      <c r="A122" s="96"/>
      <c r="B122" s="14"/>
      <c r="D122"/>
      <c r="E122"/>
      <c r="F122" s="244"/>
      <c r="G122"/>
      <c r="H122" s="18"/>
      <c r="I122"/>
      <c r="J122"/>
      <c r="K122"/>
      <c r="L122"/>
      <c r="N122" s="14"/>
      <c r="R122" s="234"/>
      <c r="S122" s="204"/>
      <c r="V122" s="185"/>
    </row>
    <row r="123" spans="1:22" ht="18" customHeight="1">
      <c r="A123" s="96"/>
      <c r="B123" s="14"/>
      <c r="D123"/>
      <c r="E123"/>
      <c r="F123" s="244"/>
      <c r="G123"/>
      <c r="H123" s="18"/>
      <c r="I123"/>
      <c r="J123"/>
      <c r="K123"/>
      <c r="L123"/>
      <c r="N123" s="14"/>
      <c r="R123" s="234"/>
      <c r="S123" s="204"/>
      <c r="V123" s="185"/>
    </row>
    <row r="124" spans="1:22" ht="18" customHeight="1">
      <c r="A124" s="96"/>
      <c r="B124" s="14"/>
      <c r="D124"/>
      <c r="E124"/>
      <c r="F124" s="244"/>
      <c r="G124"/>
      <c r="H124" s="18"/>
      <c r="I124"/>
      <c r="J124"/>
      <c r="K124"/>
      <c r="L124"/>
      <c r="N124" s="14"/>
      <c r="R124" s="234"/>
      <c r="S124" s="204"/>
      <c r="V124" s="185"/>
    </row>
    <row r="125" spans="1:22" ht="18" customHeight="1">
      <c r="A125" s="96"/>
      <c r="B125" s="14"/>
      <c r="D125"/>
      <c r="E125"/>
      <c r="F125" s="244"/>
      <c r="G125"/>
      <c r="H125" s="18"/>
      <c r="I125"/>
      <c r="J125"/>
      <c r="K125"/>
      <c r="L125"/>
      <c r="N125" s="14"/>
      <c r="R125" s="234"/>
      <c r="S125" s="204"/>
      <c r="V125" s="185"/>
    </row>
    <row r="126" spans="1:22" ht="18" customHeight="1">
      <c r="A126" s="96"/>
      <c r="B126" s="14"/>
      <c r="D126"/>
      <c r="E126"/>
      <c r="F126" s="244"/>
      <c r="G126"/>
      <c r="H126" s="18"/>
      <c r="I126"/>
      <c r="J126"/>
      <c r="K126"/>
      <c r="L126"/>
      <c r="N126" s="14"/>
      <c r="R126" s="234"/>
      <c r="S126" s="204"/>
      <c r="V126" s="185"/>
    </row>
    <row r="127" spans="1:22" ht="18" customHeight="1">
      <c r="A127" s="96"/>
      <c r="B127" s="14"/>
      <c r="D127"/>
      <c r="E127"/>
      <c r="F127" s="244"/>
      <c r="G127"/>
      <c r="H127" s="18"/>
      <c r="I127"/>
      <c r="J127"/>
      <c r="K127"/>
      <c r="L127"/>
      <c r="N127" s="14"/>
      <c r="R127" s="234"/>
      <c r="S127" s="204"/>
      <c r="V127" s="185"/>
    </row>
    <row r="128" spans="1:22" ht="18" customHeight="1">
      <c r="A128" s="96"/>
      <c r="B128" s="14"/>
      <c r="D128"/>
      <c r="E128"/>
      <c r="F128" s="244"/>
      <c r="G128"/>
      <c r="H128" s="18"/>
      <c r="I128"/>
      <c r="J128"/>
      <c r="K128"/>
      <c r="L128"/>
      <c r="N128" s="14"/>
      <c r="R128" s="234"/>
      <c r="S128" s="204"/>
      <c r="V128" s="185"/>
    </row>
    <row r="129" spans="1:29" ht="18" customHeight="1">
      <c r="A129" s="194"/>
      <c r="B129" s="195"/>
      <c r="C129" s="196"/>
      <c r="D129" s="423"/>
      <c r="E129" s="423"/>
      <c r="F129" s="306"/>
      <c r="G129" s="423"/>
      <c r="H129" s="510"/>
      <c r="I129" s="423"/>
      <c r="J129" s="423"/>
      <c r="K129" s="423"/>
      <c r="L129" s="423"/>
      <c r="M129" s="196"/>
      <c r="N129" s="195"/>
      <c r="O129" s="196"/>
      <c r="P129" s="196"/>
      <c r="Q129" s="196"/>
      <c r="R129" s="591"/>
      <c r="S129" s="518"/>
      <c r="T129" s="196"/>
      <c r="U129" s="196"/>
      <c r="V129" s="291"/>
    </row>
    <row r="130" spans="1:29" ht="18" customHeight="1">
      <c r="A130" s="226"/>
      <c r="B130" s="196"/>
      <c r="C130" s="227"/>
      <c r="D130" s="196"/>
      <c r="E130" s="227"/>
      <c r="F130" s="227"/>
      <c r="G130" s="227"/>
      <c r="H130" s="227"/>
      <c r="I130" s="227"/>
      <c r="J130" s="227"/>
      <c r="K130" s="227"/>
      <c r="L130" s="227"/>
      <c r="M130" s="227"/>
      <c r="N130" s="227"/>
      <c r="O130" s="227"/>
      <c r="P130" s="227"/>
      <c r="Q130" s="227"/>
      <c r="R130" s="227"/>
      <c r="S130" s="227"/>
      <c r="T130" s="227"/>
      <c r="U130" s="227"/>
      <c r="V130" s="228"/>
    </row>
    <row r="131" spans="1:29" ht="18" customHeight="1">
      <c r="A131" s="184"/>
      <c r="B131" s="854" t="str">
        <f>B7</f>
        <v>T1</v>
      </c>
      <c r="C131" s="831"/>
      <c r="D131" s="587" t="s">
        <v>506</v>
      </c>
      <c r="E131" s="555"/>
      <c r="F131" s="186"/>
      <c r="H131" s="684" t="str">
        <f>H7</f>
        <v>(Transformer Differential)</v>
      </c>
      <c r="I131" s="684"/>
      <c r="J131" s="684"/>
      <c r="K131" s="684"/>
      <c r="L131" s="684"/>
      <c r="M131" s="684"/>
      <c r="P131" s="186"/>
      <c r="S131" s="187" t="s">
        <v>387</v>
      </c>
      <c r="T131" s="1161" t="s">
        <v>205</v>
      </c>
      <c r="U131" s="1162"/>
      <c r="V131" s="185"/>
    </row>
    <row r="132" spans="1:29" ht="18" customHeight="1">
      <c r="A132" s="184"/>
      <c r="B132" s="30">
        <f>B8</f>
        <v>0</v>
      </c>
      <c r="F132" s="287"/>
      <c r="T132" s="1161" t="s">
        <v>896</v>
      </c>
      <c r="U132" s="1162"/>
      <c r="V132" s="185"/>
    </row>
    <row r="133" spans="1:29" ht="18" customHeight="1">
      <c r="A133" s="184"/>
      <c r="H133" s="708" t="s">
        <v>390</v>
      </c>
      <c r="I133" s="708"/>
      <c r="J133" s="789" t="s">
        <v>391</v>
      </c>
      <c r="K133" s="789"/>
      <c r="L133" s="708" t="s">
        <v>392</v>
      </c>
      <c r="M133" s="708"/>
      <c r="T133" s="1161" t="s">
        <v>509</v>
      </c>
      <c r="U133" s="1162"/>
      <c r="V133" s="185"/>
    </row>
    <row r="134" spans="1:29" ht="18" customHeight="1">
      <c r="A134" s="184"/>
      <c r="B134" s="47" t="s">
        <v>393</v>
      </c>
      <c r="H134" s="854">
        <f>H10</f>
        <v>2800</v>
      </c>
      <c r="I134" s="831"/>
      <c r="J134" s="863">
        <f>J10</f>
        <v>3200</v>
      </c>
      <c r="K134" s="864"/>
      <c r="L134" s="854" t="str">
        <f>L10</f>
        <v>-</v>
      </c>
      <c r="M134" s="831"/>
      <c r="N134" s="102" t="s">
        <v>342</v>
      </c>
      <c r="O134" s="256">
        <f>O10</f>
        <v>1</v>
      </c>
      <c r="P134" s="27" t="s">
        <v>8</v>
      </c>
      <c r="V134" s="185"/>
    </row>
    <row r="135" spans="1:29" ht="18" customHeight="1">
      <c r="A135" s="184"/>
      <c r="B135" s="47" t="s">
        <v>394</v>
      </c>
      <c r="H135" s="14"/>
      <c r="I135" s="14"/>
      <c r="J135" s="854" t="str">
        <f>H11</f>
        <v>PX</v>
      </c>
      <c r="K135" s="776"/>
      <c r="L135" s="14"/>
      <c r="M135" s="14"/>
      <c r="V135" s="185"/>
    </row>
    <row r="136" spans="1:29" ht="18" customHeight="1">
      <c r="A136" s="184"/>
      <c r="B136" s="47" t="s">
        <v>396</v>
      </c>
      <c r="I136" s="120" t="s">
        <v>497</v>
      </c>
      <c r="J136" s="781">
        <v>5</v>
      </c>
      <c r="K136" s="782"/>
      <c r="L136" s="192" t="s">
        <v>333</v>
      </c>
      <c r="V136" s="185"/>
    </row>
    <row r="137" spans="1:29" ht="18" customHeight="1">
      <c r="A137" s="184"/>
      <c r="B137" s="47" t="s">
        <v>398</v>
      </c>
      <c r="I137" s="120" t="s">
        <v>498</v>
      </c>
      <c r="J137" s="781">
        <v>600</v>
      </c>
      <c r="K137" s="782"/>
      <c r="L137" s="14" t="s">
        <v>305</v>
      </c>
      <c r="V137" s="185"/>
      <c r="W137" s="30" t="s">
        <v>400</v>
      </c>
      <c r="AB137" s="785">
        <f>D248</f>
        <v>0</v>
      </c>
      <c r="AC137" s="786"/>
    </row>
    <row r="138" spans="1:29" ht="18" customHeight="1">
      <c r="A138" s="184"/>
      <c r="B138" s="14" t="s">
        <v>401</v>
      </c>
      <c r="I138" s="120" t="s">
        <v>402</v>
      </c>
      <c r="J138" s="781">
        <v>10</v>
      </c>
      <c r="K138" s="782"/>
      <c r="L138" s="30" t="s">
        <v>403</v>
      </c>
      <c r="V138" s="185"/>
    </row>
    <row r="139" spans="1:29" ht="18" customHeight="1">
      <c r="A139" s="96"/>
      <c r="V139" s="185"/>
    </row>
    <row r="140" spans="1:29" ht="18" customHeight="1">
      <c r="A140" s="193" t="s">
        <v>404</v>
      </c>
      <c r="V140" s="185"/>
    </row>
    <row r="141" spans="1:29" ht="18" customHeight="1">
      <c r="A141" s="184"/>
      <c r="V141" s="185"/>
    </row>
    <row r="142" spans="1:29" ht="18" customHeight="1">
      <c r="A142" s="184"/>
      <c r="B142" s="194" t="s">
        <v>405</v>
      </c>
      <c r="C142" s="195"/>
      <c r="D142" s="195" t="str">
        <f>T131</f>
        <v>7UT85</v>
      </c>
      <c r="E142" s="196"/>
      <c r="F142" s="196"/>
      <c r="G142" s="196"/>
      <c r="H142" s="182" t="s">
        <v>406</v>
      </c>
      <c r="I142" s="183" t="s">
        <v>127</v>
      </c>
      <c r="J142" s="766">
        <f>J18</f>
        <v>0.1</v>
      </c>
      <c r="K142" s="958"/>
      <c r="L142" s="3" t="s">
        <v>157</v>
      </c>
      <c r="V142" s="185"/>
    </row>
    <row r="143" spans="1:29" ht="18" customHeight="1">
      <c r="A143" s="184"/>
      <c r="B143" s="184" t="s">
        <v>405</v>
      </c>
      <c r="D143" s="30" t="str">
        <f>T132</f>
        <v>IDM+</v>
      </c>
      <c r="H143" s="27"/>
      <c r="I143" s="177" t="s">
        <v>127</v>
      </c>
      <c r="J143" s="861">
        <f>J19</f>
        <v>5.8000000000000003E-2</v>
      </c>
      <c r="K143" s="989"/>
      <c r="L143" s="198" t="s">
        <v>157</v>
      </c>
      <c r="V143" s="185"/>
    </row>
    <row r="144" spans="1:29" ht="18" customHeight="1">
      <c r="A144" s="184"/>
      <c r="B144" s="184" t="s">
        <v>405</v>
      </c>
      <c r="D144" s="30" t="str">
        <f>T133</f>
        <v>REF615</v>
      </c>
      <c r="E144" s="14"/>
      <c r="G144" s="199"/>
      <c r="H144" s="27"/>
      <c r="I144" s="177" t="s">
        <v>127</v>
      </c>
      <c r="J144" s="696">
        <f>J20</f>
        <v>0.02</v>
      </c>
      <c r="K144" s="820"/>
      <c r="L144" s="202" t="s">
        <v>157</v>
      </c>
      <c r="V144" s="185"/>
    </row>
    <row r="145" spans="1:22" ht="18" customHeight="1">
      <c r="A145" s="184"/>
      <c r="B145" s="184" t="s">
        <v>412</v>
      </c>
      <c r="H145" s="27" t="s">
        <v>599</v>
      </c>
      <c r="I145" s="177" t="s">
        <v>127</v>
      </c>
      <c r="J145" s="861">
        <f>J21</f>
        <v>1.25652618</v>
      </c>
      <c r="K145" s="989"/>
      <c r="L145" s="203" t="s">
        <v>157</v>
      </c>
      <c r="V145" s="185"/>
    </row>
    <row r="146" spans="1:22" ht="18" customHeight="1">
      <c r="A146" s="184"/>
      <c r="B146" s="205" t="s">
        <v>413</v>
      </c>
      <c r="C146" s="206"/>
      <c r="D146" s="206"/>
      <c r="E146" s="206"/>
      <c r="F146" s="207"/>
      <c r="G146" s="207"/>
      <c r="H146" s="190" t="s">
        <v>409</v>
      </c>
      <c r="I146" s="208" t="s">
        <v>127</v>
      </c>
      <c r="J146" s="766">
        <f>J143+J145</f>
        <v>1.3145261800000001</v>
      </c>
      <c r="K146" s="958"/>
      <c r="L146" s="210" t="s">
        <v>157</v>
      </c>
      <c r="V146" s="185"/>
    </row>
    <row r="147" spans="1:22" ht="18" customHeight="1">
      <c r="A147" s="184"/>
      <c r="B147" s="47"/>
      <c r="C147" s="47"/>
      <c r="D147" s="47"/>
      <c r="E147" s="47"/>
      <c r="H147" s="27"/>
      <c r="I147" s="28"/>
      <c r="J147" s="199"/>
      <c r="L147" s="47"/>
      <c r="O147" s="27"/>
      <c r="P147" s="211"/>
      <c r="Q147" s="211"/>
      <c r="R147" s="192"/>
      <c r="V147" s="185"/>
    </row>
    <row r="148" spans="1:22" ht="18" customHeight="1">
      <c r="A148" s="184"/>
      <c r="B148" s="197" t="s">
        <v>648</v>
      </c>
      <c r="L148" s="47"/>
      <c r="M148" s="197" t="s">
        <v>407</v>
      </c>
      <c r="V148" s="185"/>
    </row>
    <row r="149" spans="1:22" ht="18" customHeight="1">
      <c r="A149" s="184"/>
      <c r="B149" s="27" t="s">
        <v>649</v>
      </c>
      <c r="C149" s="27" t="s">
        <v>127</v>
      </c>
      <c r="D149" s="30" t="s">
        <v>406</v>
      </c>
      <c r="E149" s="271" t="s">
        <v>410</v>
      </c>
      <c r="F149" s="27" t="s">
        <v>146</v>
      </c>
      <c r="G149" s="28" t="s">
        <v>315</v>
      </c>
      <c r="H149" s="218" t="s">
        <v>146</v>
      </c>
      <c r="I149" s="30" t="s">
        <v>350</v>
      </c>
      <c r="J149" s="199"/>
      <c r="L149" s="47"/>
      <c r="M149" s="30" t="s">
        <v>408</v>
      </c>
      <c r="N149" s="27" t="s">
        <v>127</v>
      </c>
      <c r="O149" s="30" t="s">
        <v>409</v>
      </c>
      <c r="P149" s="191" t="s">
        <v>410</v>
      </c>
      <c r="Q149" s="244" t="s">
        <v>411</v>
      </c>
      <c r="R149" s="27" t="s">
        <v>315</v>
      </c>
      <c r="S149" s="30" t="s">
        <v>411</v>
      </c>
      <c r="T149" s="30" t="s">
        <v>350</v>
      </c>
      <c r="V149" s="185"/>
    </row>
    <row r="150" spans="1:22" ht="18" customHeight="1">
      <c r="A150" s="184"/>
      <c r="B150" s="47"/>
      <c r="C150" s="27" t="s">
        <v>127</v>
      </c>
      <c r="D150" s="204">
        <f>J142</f>
        <v>0.1</v>
      </c>
      <c r="E150" s="191" t="s">
        <v>410</v>
      </c>
      <c r="F150" s="27">
        <f>F26</f>
        <v>1</v>
      </c>
      <c r="G150" s="27" t="s">
        <v>315</v>
      </c>
      <c r="H150" s="27">
        <f>H26</f>
        <v>1</v>
      </c>
      <c r="I150" s="30" t="s">
        <v>350</v>
      </c>
      <c r="J150" s="199"/>
      <c r="L150" s="47"/>
      <c r="N150" s="27" t="s">
        <v>127</v>
      </c>
      <c r="O150" s="204">
        <f>J146</f>
        <v>1.3145261800000001</v>
      </c>
      <c r="P150" s="191" t="s">
        <v>410</v>
      </c>
      <c r="Q150" s="27">
        <f>O134</f>
        <v>1</v>
      </c>
      <c r="R150" s="27" t="s">
        <v>315</v>
      </c>
      <c r="S150" s="27">
        <f>O134</f>
        <v>1</v>
      </c>
      <c r="T150" s="30" t="s">
        <v>350</v>
      </c>
      <c r="V150" s="185"/>
    </row>
    <row r="151" spans="1:22" ht="18" customHeight="1">
      <c r="A151" s="184"/>
      <c r="B151" s="47"/>
      <c r="C151" s="27" t="s">
        <v>127</v>
      </c>
      <c r="D151" s="795">
        <f>D150/(F150*H150)</f>
        <v>0.1</v>
      </c>
      <c r="E151" s="795"/>
      <c r="F151" s="192" t="s">
        <v>333</v>
      </c>
      <c r="J151" s="199"/>
      <c r="L151" s="47"/>
      <c r="N151" s="27" t="s">
        <v>127</v>
      </c>
      <c r="O151" s="795">
        <f>O150/(Q150*S150)</f>
        <v>1.3145261800000001</v>
      </c>
      <c r="P151" s="795"/>
      <c r="Q151" s="192" t="s">
        <v>333</v>
      </c>
      <c r="V151" s="185"/>
    </row>
    <row r="152" spans="1:22" ht="18" customHeight="1">
      <c r="A152" s="184"/>
      <c r="B152" s="47"/>
      <c r="C152" s="47"/>
      <c r="D152" s="47"/>
      <c r="E152" s="47"/>
      <c r="H152" s="27"/>
      <c r="I152" s="28"/>
      <c r="J152" s="199"/>
      <c r="L152" s="47"/>
      <c r="O152" s="27"/>
      <c r="P152" s="211"/>
      <c r="Q152" s="211"/>
      <c r="R152" s="192"/>
      <c r="V152" s="185"/>
    </row>
    <row r="153" spans="1:22" ht="18" customHeight="1">
      <c r="A153" s="184"/>
      <c r="B153" s="47" t="s">
        <v>668</v>
      </c>
      <c r="C153" s="47"/>
      <c r="D153" s="47"/>
      <c r="E153" s="47"/>
      <c r="H153" s="27"/>
      <c r="I153" s="28"/>
      <c r="J153" s="199"/>
      <c r="L153" s="28" t="s">
        <v>127</v>
      </c>
      <c r="M153" s="795">
        <f>D151</f>
        <v>0.1</v>
      </c>
      <c r="N153" s="795"/>
      <c r="O153" s="27" t="s">
        <v>347</v>
      </c>
      <c r="P153" s="795">
        <f>O151</f>
        <v>1.3145261800000001</v>
      </c>
      <c r="Q153" s="795"/>
      <c r="R153" s="211" t="s">
        <v>127</v>
      </c>
      <c r="S153" s="795">
        <f>M153+P153</f>
        <v>1.4145261800000002</v>
      </c>
      <c r="T153" s="795"/>
      <c r="U153" s="192" t="s">
        <v>333</v>
      </c>
      <c r="V153" s="185"/>
    </row>
    <row r="154" spans="1:22" s="14" customFormat="1" ht="18" customHeight="1">
      <c r="A154" s="193" t="s">
        <v>600</v>
      </c>
      <c r="B154" s="5"/>
      <c r="C154" s="5"/>
      <c r="D154" s="5"/>
      <c r="E154" s="5"/>
      <c r="F154" s="5"/>
      <c r="G154" s="5"/>
      <c r="H154" s="212"/>
      <c r="I154" s="212"/>
      <c r="J154" s="5"/>
      <c r="K154" s="5"/>
      <c r="L154" s="5"/>
      <c r="M154" s="5"/>
      <c r="N154" s="5"/>
      <c r="O154" s="5"/>
      <c r="P154" s="103"/>
      <c r="Q154" s="212"/>
      <c r="R154" s="213"/>
      <c r="S154" s="214"/>
      <c r="T154" s="18"/>
      <c r="U154" s="18"/>
      <c r="V154" s="97"/>
    </row>
    <row r="155" spans="1:22" s="14" customFormat="1" ht="18" customHeight="1">
      <c r="A155" s="96"/>
      <c r="B155" s="47" t="s">
        <v>601</v>
      </c>
      <c r="C155" s="5"/>
      <c r="D155" s="5"/>
      <c r="E155" s="5"/>
      <c r="I155" s="215"/>
      <c r="M155" s="5"/>
      <c r="N155" s="103" t="s">
        <v>127</v>
      </c>
      <c r="O155" s="1154">
        <f>O31</f>
        <v>100</v>
      </c>
      <c r="P155" s="831"/>
      <c r="Q155" s="14" t="s">
        <v>602</v>
      </c>
      <c r="S155" s="214"/>
      <c r="T155" s="18"/>
      <c r="U155" s="18"/>
      <c r="V155" s="97"/>
    </row>
    <row r="156" spans="1:22" s="14" customFormat="1" ht="18" customHeight="1">
      <c r="A156" s="96"/>
      <c r="B156" s="47" t="s">
        <v>603</v>
      </c>
      <c r="C156" s="5"/>
      <c r="D156" s="5"/>
      <c r="E156" s="5"/>
      <c r="I156" s="215"/>
      <c r="M156" s="5"/>
      <c r="N156" s="103" t="s">
        <v>127</v>
      </c>
      <c r="O156" s="1154">
        <f>O32</f>
        <v>25</v>
      </c>
      <c r="P156" s="831"/>
      <c r="Q156" s="14" t="s">
        <v>604</v>
      </c>
      <c r="S156" s="214"/>
      <c r="T156" s="18"/>
      <c r="U156" s="18"/>
      <c r="V156" s="97"/>
    </row>
    <row r="157" spans="1:22" s="14" customFormat="1" ht="18" customHeight="1">
      <c r="A157" s="96"/>
      <c r="B157" s="47" t="s">
        <v>605</v>
      </c>
      <c r="C157" s="5"/>
      <c r="D157" s="5"/>
      <c r="E157" s="5"/>
      <c r="M157" s="120" t="s">
        <v>606</v>
      </c>
      <c r="N157" s="103" t="s">
        <v>607</v>
      </c>
      <c r="O157" s="1154">
        <f>O33</f>
        <v>132</v>
      </c>
      <c r="P157" s="831"/>
      <c r="Q157" s="14" t="s">
        <v>163</v>
      </c>
      <c r="S157" s="214"/>
      <c r="T157" s="18"/>
      <c r="U157" s="18"/>
      <c r="V157" s="97"/>
    </row>
    <row r="158" spans="1:22" s="14" customFormat="1" ht="18" customHeight="1">
      <c r="A158" s="216"/>
      <c r="B158" s="212"/>
      <c r="C158" s="212"/>
      <c r="D158" s="212"/>
      <c r="E158" s="212"/>
      <c r="T158" s="18"/>
      <c r="U158" s="18"/>
      <c r="V158" s="97"/>
    </row>
    <row r="159" spans="1:22" s="14" customFormat="1" ht="18" customHeight="1">
      <c r="A159" s="272" t="s">
        <v>608</v>
      </c>
      <c r="B159" s="213"/>
      <c r="C159" s="213"/>
      <c r="D159" s="213"/>
      <c r="E159" s="213"/>
      <c r="H159" s="120" t="s">
        <v>609</v>
      </c>
      <c r="I159" s="28" t="s">
        <v>127</v>
      </c>
      <c r="J159" s="689" t="s">
        <v>610</v>
      </c>
      <c r="K159" s="689"/>
      <c r="L159" s="28" t="s">
        <v>315</v>
      </c>
      <c r="M159" s="217">
        <v>1000</v>
      </c>
      <c r="N159" s="102" t="s">
        <v>342</v>
      </c>
      <c r="O159" s="28" t="s">
        <v>611</v>
      </c>
      <c r="P159" s="28" t="s">
        <v>315</v>
      </c>
      <c r="Q159" s="28" t="s">
        <v>606</v>
      </c>
      <c r="R159" s="47" t="s">
        <v>350</v>
      </c>
      <c r="T159" s="18"/>
      <c r="U159" s="18"/>
      <c r="V159" s="97"/>
    </row>
    <row r="160" spans="1:22" s="14" customFormat="1" ht="18" customHeight="1">
      <c r="A160" s="216"/>
      <c r="B160" s="213"/>
      <c r="C160" s="213"/>
      <c r="D160" s="213"/>
      <c r="E160" s="213"/>
      <c r="F160" s="212"/>
      <c r="G160" s="212"/>
      <c r="H160" s="28"/>
      <c r="I160" s="28" t="s">
        <v>127</v>
      </c>
      <c r="J160" s="689">
        <f>O155</f>
        <v>100</v>
      </c>
      <c r="K160" s="689"/>
      <c r="L160" s="28" t="s">
        <v>315</v>
      </c>
      <c r="M160" s="217">
        <v>1000</v>
      </c>
      <c r="N160" s="102" t="s">
        <v>342</v>
      </c>
      <c r="O160" s="28" t="s">
        <v>611</v>
      </c>
      <c r="P160" s="28" t="s">
        <v>315</v>
      </c>
      <c r="Q160" s="28">
        <f>O157</f>
        <v>132</v>
      </c>
      <c r="R160" s="47" t="s">
        <v>350</v>
      </c>
      <c r="T160" s="18"/>
      <c r="U160" s="18"/>
      <c r="V160" s="97"/>
    </row>
    <row r="161" spans="1:22" s="14" customFormat="1" ht="18" customHeight="1">
      <c r="A161" s="216"/>
      <c r="B161" s="212"/>
      <c r="C161" s="212"/>
      <c r="D161" s="212"/>
      <c r="E161" s="212"/>
      <c r="F161" s="212"/>
      <c r="G161" s="212"/>
      <c r="I161" s="28" t="s">
        <v>127</v>
      </c>
      <c r="J161" s="692">
        <f>(O155*1000)/(SQRT(3)*O157)</f>
        <v>437.38656756789834</v>
      </c>
      <c r="K161" s="692"/>
      <c r="L161" s="14" t="s">
        <v>8</v>
      </c>
      <c r="M161" s="120"/>
      <c r="N161" s="120"/>
      <c r="O161" s="120"/>
      <c r="T161" s="18"/>
      <c r="U161" s="18"/>
      <c r="V161" s="97"/>
    </row>
    <row r="162" spans="1:22" s="14" customFormat="1" ht="18" customHeight="1">
      <c r="A162" s="216"/>
      <c r="B162" s="212"/>
      <c r="C162" s="212"/>
      <c r="D162" s="212"/>
      <c r="E162" s="212"/>
      <c r="G162" s="212"/>
      <c r="H162" s="28"/>
      <c r="I162" s="103"/>
      <c r="J162" s="28"/>
      <c r="M162" s="212"/>
      <c r="N162" s="219"/>
      <c r="O162" s="212"/>
      <c r="T162" s="18"/>
      <c r="U162" s="18"/>
      <c r="V162" s="97"/>
    </row>
    <row r="163" spans="1:22" s="14" customFormat="1" ht="18" hidden="1" customHeight="1">
      <c r="A163" s="147" t="s">
        <v>629</v>
      </c>
      <c r="B163" s="5"/>
      <c r="C163" s="5"/>
      <c r="D163" s="5"/>
      <c r="E163" s="5"/>
      <c r="F163" s="212"/>
      <c r="G163" s="212"/>
      <c r="H163" s="5"/>
      <c r="I163" s="5"/>
      <c r="J163" s="5"/>
      <c r="K163" s="5"/>
      <c r="L163" s="103"/>
      <c r="M163" s="103"/>
      <c r="N163" s="103"/>
      <c r="O163" s="103"/>
      <c r="P163" s="212"/>
      <c r="Q163" s="213"/>
      <c r="S163" s="220"/>
      <c r="T163" s="18"/>
      <c r="U163" s="18"/>
      <c r="V163" s="97"/>
    </row>
    <row r="164" spans="1:22" s="14" customFormat="1" ht="18" customHeight="1">
      <c r="A164" s="147" t="s">
        <v>669</v>
      </c>
      <c r="B164" s="5"/>
      <c r="C164" s="5"/>
      <c r="D164" s="5"/>
      <c r="E164" s="5"/>
      <c r="F164" s="212"/>
      <c r="G164" s="212"/>
      <c r="H164" s="5"/>
      <c r="I164" s="5"/>
      <c r="J164" s="5"/>
      <c r="K164" s="5"/>
      <c r="L164" s="103"/>
      <c r="M164" s="103"/>
      <c r="N164" s="103"/>
      <c r="O164" s="103"/>
      <c r="P164" s="212"/>
      <c r="Q164" s="213"/>
      <c r="U164" s="18"/>
      <c r="V164" s="97"/>
    </row>
    <row r="165" spans="1:22" ht="18" customHeight="1">
      <c r="A165" s="184" t="s">
        <v>670</v>
      </c>
      <c r="B165" s="14"/>
      <c r="C165" s="14"/>
      <c r="D165" s="14"/>
      <c r="E165" s="14"/>
      <c r="M165" s="120"/>
      <c r="N165" s="27" t="s">
        <v>127</v>
      </c>
      <c r="O165" s="689">
        <v>50000</v>
      </c>
      <c r="P165" s="716"/>
      <c r="Q165" s="461" t="s">
        <v>8</v>
      </c>
      <c r="R165" s="221"/>
      <c r="S165" s="214"/>
      <c r="V165" s="185"/>
    </row>
    <row r="166" spans="1:22" ht="18" customHeight="1">
      <c r="A166" s="184"/>
      <c r="B166" s="14"/>
      <c r="C166" s="14"/>
      <c r="D166" s="14"/>
      <c r="E166" s="14"/>
      <c r="M166" s="120"/>
      <c r="N166" s="27"/>
      <c r="O166" s="28"/>
      <c r="P166" s="14"/>
      <c r="Q166" s="461"/>
      <c r="R166" s="221"/>
      <c r="S166" s="214"/>
      <c r="V166" s="185"/>
    </row>
    <row r="167" spans="1:22" ht="18" customHeight="1">
      <c r="A167" s="184"/>
      <c r="B167" s="689" t="s">
        <v>473</v>
      </c>
      <c r="C167" s="1150" t="s">
        <v>652</v>
      </c>
      <c r="D167" s="279"/>
      <c r="E167" s="279"/>
      <c r="F167" s="279"/>
      <c r="G167" s="802">
        <v>0.4</v>
      </c>
      <c r="H167" s="1153" t="s">
        <v>315</v>
      </c>
      <c r="I167" s="790" t="s">
        <v>671</v>
      </c>
      <c r="J167" s="1147"/>
      <c r="K167" s="1147"/>
      <c r="L167" s="1147"/>
      <c r="M167" s="1147"/>
      <c r="N167" s="689" t="s">
        <v>672</v>
      </c>
      <c r="O167" s="708" t="s">
        <v>420</v>
      </c>
      <c r="P167" s="689" t="s">
        <v>347</v>
      </c>
      <c r="Q167" s="790" t="s">
        <v>673</v>
      </c>
      <c r="R167" s="708" t="s">
        <v>674</v>
      </c>
      <c r="S167" s="790" t="s">
        <v>482</v>
      </c>
      <c r="T167" s="14"/>
      <c r="U167" s="729" t="s">
        <v>653</v>
      </c>
      <c r="V167" s="185"/>
    </row>
    <row r="168" spans="1:22" ht="18" customHeight="1">
      <c r="A168" s="96"/>
      <c r="B168" s="689"/>
      <c r="C168" s="689"/>
      <c r="D168" s="279"/>
      <c r="E168" s="279"/>
      <c r="F168" s="279"/>
      <c r="G168" s="802"/>
      <c r="H168" s="689"/>
      <c r="I168" s="1190" t="s">
        <v>483</v>
      </c>
      <c r="J168" s="1189"/>
      <c r="K168" s="1189"/>
      <c r="L168" s="1189"/>
      <c r="M168" s="1189"/>
      <c r="N168" s="689"/>
      <c r="O168" s="689"/>
      <c r="P168" s="689"/>
      <c r="Q168" s="689"/>
      <c r="R168" s="689"/>
      <c r="S168" s="689"/>
      <c r="T168" s="14"/>
      <c r="U168" s="689"/>
      <c r="V168" s="185"/>
    </row>
    <row r="169" spans="1:22" ht="18" customHeight="1">
      <c r="A169" s="96"/>
      <c r="B169" s="5"/>
      <c r="C169" s="5"/>
      <c r="D169" s="5"/>
      <c r="E169" s="5"/>
      <c r="M169" s="120"/>
      <c r="N169" s="28"/>
      <c r="O169" s="689"/>
      <c r="P169" s="716"/>
      <c r="Q169" s="241"/>
      <c r="R169" s="14"/>
      <c r="S169" s="214"/>
      <c r="V169" s="185"/>
    </row>
    <row r="170" spans="1:22" s="14" customFormat="1" ht="18"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customHeight="1">
      <c r="A171" s="184"/>
      <c r="B171" s="47" t="s">
        <v>675</v>
      </c>
      <c r="C171" s="14"/>
      <c r="D171" s="14"/>
      <c r="E171" s="14"/>
      <c r="F171" s="18"/>
      <c r="G171" s="18"/>
      <c r="H171" s="14"/>
      <c r="I171" s="120"/>
      <c r="J171" s="14"/>
      <c r="K171" s="14"/>
      <c r="M171" s="14"/>
      <c r="N171" s="14"/>
      <c r="P171" s="30" t="s">
        <v>483</v>
      </c>
      <c r="R171" s="234" t="s">
        <v>127</v>
      </c>
      <c r="S171" s="684">
        <f>J134</f>
        <v>3200</v>
      </c>
      <c r="T171" s="684"/>
      <c r="U171" s="30" t="s">
        <v>8</v>
      </c>
      <c r="V171" s="185"/>
    </row>
    <row r="172" spans="1:22" ht="18" customHeight="1">
      <c r="A172" s="184"/>
      <c r="B172" s="47" t="s">
        <v>655</v>
      </c>
      <c r="C172" s="14"/>
      <c r="D172" s="14"/>
      <c r="E172" s="14"/>
      <c r="F172" s="18"/>
      <c r="G172" s="18"/>
      <c r="H172" s="14"/>
      <c r="I172" s="120"/>
      <c r="J172" s="14"/>
      <c r="K172" s="14"/>
      <c r="M172" s="14"/>
      <c r="N172" s="14"/>
      <c r="P172" s="14" t="s">
        <v>420</v>
      </c>
      <c r="R172" s="234" t="s">
        <v>127</v>
      </c>
      <c r="S172" s="684">
        <f>J136</f>
        <v>5</v>
      </c>
      <c r="T172" s="684"/>
      <c r="U172" s="192" t="s">
        <v>333</v>
      </c>
      <c r="V172" s="185"/>
    </row>
    <row r="173" spans="1:22" ht="18" customHeight="1">
      <c r="A173" s="184"/>
      <c r="B173" s="47" t="s">
        <v>676</v>
      </c>
      <c r="C173" s="14"/>
      <c r="D173" s="14"/>
      <c r="E173" s="14"/>
      <c r="F173" s="18"/>
      <c r="G173" s="18"/>
      <c r="H173" s="14"/>
      <c r="I173" s="120"/>
      <c r="J173" s="14"/>
      <c r="K173" s="14"/>
      <c r="M173" s="14"/>
      <c r="N173" s="14"/>
      <c r="P173" s="30" t="s">
        <v>673</v>
      </c>
      <c r="R173" s="234" t="s">
        <v>127</v>
      </c>
      <c r="S173" s="795">
        <f>S153</f>
        <v>1.4145261800000002</v>
      </c>
      <c r="T173" s="795"/>
      <c r="U173" s="192" t="s">
        <v>333</v>
      </c>
      <c r="V173" s="185"/>
    </row>
    <row r="174" spans="1:22" ht="18" customHeight="1">
      <c r="A174" s="184"/>
      <c r="B174" s="296" t="s">
        <v>677</v>
      </c>
      <c r="C174" s="14"/>
      <c r="D174" s="14"/>
      <c r="E174" s="14"/>
      <c r="F174" s="14"/>
      <c r="G174" s="14"/>
      <c r="H174" s="14"/>
      <c r="I174" s="120"/>
      <c r="J174" s="14"/>
      <c r="K174" s="14"/>
      <c r="M174" s="14"/>
      <c r="N174" s="14"/>
      <c r="P174" s="14" t="s">
        <v>411</v>
      </c>
      <c r="R174" s="234" t="s">
        <v>127</v>
      </c>
      <c r="S174" s="684">
        <f>O134</f>
        <v>1</v>
      </c>
      <c r="T174" s="684"/>
      <c r="U174" s="30" t="s">
        <v>8</v>
      </c>
      <c r="V174" s="185"/>
    </row>
    <row r="175" spans="1:22" ht="18" customHeight="1">
      <c r="A175" s="184"/>
      <c r="B175" s="47" t="s">
        <v>678</v>
      </c>
      <c r="C175" s="14"/>
      <c r="D175" s="14"/>
      <c r="E175" s="14"/>
      <c r="F175" s="14"/>
      <c r="G175" s="14"/>
      <c r="H175" s="14"/>
      <c r="I175" s="120"/>
      <c r="J175" s="14"/>
      <c r="K175" s="14"/>
      <c r="M175" s="14"/>
      <c r="N175" s="14"/>
      <c r="P175" s="244" t="s">
        <v>671</v>
      </c>
      <c r="R175" s="234" t="s">
        <v>127</v>
      </c>
      <c r="S175" s="684">
        <f>O165</f>
        <v>50000</v>
      </c>
      <c r="T175" s="684"/>
      <c r="U175" s="30" t="s">
        <v>8</v>
      </c>
      <c r="V175" s="185"/>
    </row>
    <row r="176" spans="1:22" ht="18" customHeight="1">
      <c r="A176" s="184"/>
      <c r="B176" s="296" t="s">
        <v>679</v>
      </c>
      <c r="C176" s="14"/>
      <c r="D176" s="14"/>
      <c r="E176" s="14"/>
      <c r="F176" s="14"/>
      <c r="G176" s="14"/>
      <c r="H176" s="14"/>
      <c r="I176" s="120"/>
      <c r="J176" s="14"/>
      <c r="K176" s="14"/>
      <c r="M176" s="14"/>
      <c r="N176" s="14"/>
      <c r="P176" s="120" t="s">
        <v>680</v>
      </c>
      <c r="R176" s="234" t="s">
        <v>127</v>
      </c>
      <c r="S176" s="795">
        <f>J161</f>
        <v>437.38656756789834</v>
      </c>
      <c r="T176" s="684"/>
      <c r="U176" s="30" t="s">
        <v>8</v>
      </c>
      <c r="V176" s="185"/>
    </row>
    <row r="177" spans="1:22" ht="18" customHeight="1">
      <c r="A177" s="184"/>
      <c r="B177" s="47" t="s">
        <v>659</v>
      </c>
      <c r="C177" s="14"/>
      <c r="D177" s="14"/>
      <c r="E177" s="14"/>
      <c r="F177" s="14"/>
      <c r="G177" s="14"/>
      <c r="H177" s="14"/>
      <c r="I177" s="120"/>
      <c r="J177" s="14"/>
      <c r="K177" s="14"/>
      <c r="M177" s="14"/>
      <c r="N177" s="14"/>
      <c r="P177" s="120" t="s">
        <v>660</v>
      </c>
      <c r="R177" s="234" t="s">
        <v>127</v>
      </c>
      <c r="S177" s="684">
        <f>O134</f>
        <v>1</v>
      </c>
      <c r="T177" s="684"/>
      <c r="U177" s="30" t="s">
        <v>8</v>
      </c>
      <c r="V177" s="185"/>
    </row>
    <row r="178" spans="1:22" ht="18" customHeight="1">
      <c r="A178" s="96"/>
      <c r="B178" s="14"/>
      <c r="C178" s="14"/>
      <c r="D178" s="235"/>
      <c r="E178" s="14"/>
      <c r="F178" s="28"/>
      <c r="G178" s="249"/>
      <c r="H178" s="28"/>
      <c r="I178" s="251"/>
      <c r="J178" s="14"/>
      <c r="K178" s="280"/>
      <c r="M178" s="47"/>
      <c r="N178" s="268"/>
      <c r="P178" s="281"/>
      <c r="R178" s="234"/>
      <c r="S178" s="1148"/>
      <c r="T178" s="723"/>
      <c r="V178" s="185"/>
    </row>
    <row r="179" spans="1:22" s="279" customFormat="1" ht="18" customHeight="1">
      <c r="A179" s="277"/>
      <c r="B179" s="689" t="s">
        <v>473</v>
      </c>
      <c r="C179" s="1150" t="s">
        <v>652</v>
      </c>
      <c r="G179" s="802">
        <f>G167</f>
        <v>0.4</v>
      </c>
      <c r="H179" s="1151" t="s">
        <v>315</v>
      </c>
      <c r="I179" s="829">
        <f>O165</f>
        <v>50000</v>
      </c>
      <c r="J179" s="1152"/>
      <c r="K179" s="1152"/>
      <c r="L179" s="1152"/>
      <c r="M179" s="1152"/>
      <c r="N179" s="689" t="s">
        <v>672</v>
      </c>
      <c r="O179" s="708">
        <f>S172</f>
        <v>5</v>
      </c>
      <c r="P179" s="689" t="s">
        <v>347</v>
      </c>
      <c r="Q179" s="829">
        <f>S173</f>
        <v>1.4145261800000002</v>
      </c>
      <c r="R179" s="708" t="s">
        <v>674</v>
      </c>
      <c r="S179" s="708">
        <f>S174</f>
        <v>1</v>
      </c>
      <c r="T179" s="14"/>
      <c r="U179" s="729" t="s">
        <v>653</v>
      </c>
      <c r="V179" s="185"/>
    </row>
    <row r="180" spans="1:22" s="279" customFormat="1" ht="18" customHeight="1">
      <c r="A180" s="277"/>
      <c r="B180" s="689"/>
      <c r="C180" s="689"/>
      <c r="G180" s="802"/>
      <c r="H180" s="684"/>
      <c r="I180" s="1189">
        <f>J134</f>
        <v>3200</v>
      </c>
      <c r="J180" s="1189"/>
      <c r="K180" s="1189"/>
      <c r="L180" s="1189"/>
      <c r="M180" s="1189"/>
      <c r="N180" s="689"/>
      <c r="O180" s="689"/>
      <c r="P180" s="689"/>
      <c r="Q180" s="689"/>
      <c r="R180" s="689"/>
      <c r="S180" s="689"/>
      <c r="T180" s="14"/>
      <c r="U180" s="689"/>
      <c r="V180" s="185"/>
    </row>
    <row r="181" spans="1:22" ht="18" customHeight="1">
      <c r="A181" s="96"/>
      <c r="B181" s="14"/>
      <c r="C181" s="27" t="s">
        <v>127</v>
      </c>
      <c r="D181" s="812">
        <f>ROUNDUP(G179*(I179/(I180)*(O179+Q179)*S179),2)</f>
        <v>40.1</v>
      </c>
      <c r="E181" s="813"/>
      <c r="F181" s="30" t="s">
        <v>305</v>
      </c>
      <c r="G181" s="14"/>
      <c r="H181" s="14"/>
      <c r="I181" s="14"/>
      <c r="J181" s="14"/>
      <c r="K181" s="14"/>
      <c r="L181" s="14"/>
      <c r="M181" s="14"/>
      <c r="N181" s="14"/>
      <c r="R181" s="234"/>
      <c r="S181" s="204"/>
      <c r="V181" s="185"/>
    </row>
    <row r="182" spans="1:22" ht="18" customHeight="1">
      <c r="A182" s="96"/>
      <c r="B182" s="14"/>
      <c r="G182" s="14"/>
      <c r="H182" s="14"/>
      <c r="I182" s="14"/>
      <c r="J182" s="14"/>
      <c r="K182" s="14"/>
      <c r="L182" s="14"/>
      <c r="M182" s="14"/>
      <c r="N182" s="14"/>
      <c r="R182" s="234"/>
      <c r="S182" s="204"/>
      <c r="V182" s="185"/>
    </row>
    <row r="183" spans="1:22" ht="18" hidden="1" customHeight="1">
      <c r="A183" s="96"/>
      <c r="B183" s="14"/>
      <c r="G183" s="27"/>
      <c r="M183" s="14"/>
      <c r="N183" s="14"/>
      <c r="R183" s="234"/>
      <c r="S183" s="204"/>
      <c r="V183" s="185"/>
    </row>
    <row r="184" spans="1:22" ht="18" hidden="1" customHeight="1">
      <c r="A184" s="96"/>
      <c r="B184" s="14"/>
      <c r="G184" s="27"/>
      <c r="H184" s="204"/>
      <c r="M184" s="14"/>
      <c r="N184" s="14"/>
      <c r="R184" s="234"/>
      <c r="S184" s="204"/>
      <c r="V184" s="185"/>
    </row>
    <row r="185" spans="1:22" ht="18" hidden="1" customHeight="1">
      <c r="A185" s="96"/>
      <c r="B185" s="14"/>
      <c r="F185" s="244"/>
      <c r="H185" s="18"/>
      <c r="M185" s="14"/>
      <c r="N185" s="14"/>
      <c r="R185" s="234"/>
      <c r="S185" s="204"/>
      <c r="V185" s="185"/>
    </row>
    <row r="186" spans="1:22" ht="18" hidden="1" customHeight="1">
      <c r="A186" s="96"/>
      <c r="B186" s="14"/>
      <c r="G186" s="14"/>
      <c r="H186" s="14"/>
      <c r="I186" s="14"/>
      <c r="J186" s="14"/>
      <c r="K186" s="14"/>
      <c r="L186" s="14"/>
      <c r="M186" s="14"/>
      <c r="N186" s="14"/>
      <c r="R186" s="234"/>
      <c r="S186" s="204"/>
      <c r="V186" s="185"/>
    </row>
    <row r="187" spans="1:22" ht="18" customHeight="1">
      <c r="A187" s="184" t="s">
        <v>612</v>
      </c>
      <c r="B187" s="14"/>
      <c r="C187" s="14"/>
      <c r="D187" s="14"/>
      <c r="E187" s="14"/>
      <c r="M187" s="120" t="s">
        <v>613</v>
      </c>
      <c r="N187" s="28" t="s">
        <v>127</v>
      </c>
      <c r="O187" s="689" t="s">
        <v>609</v>
      </c>
      <c r="P187" s="716"/>
      <c r="Q187" s="245" t="s">
        <v>681</v>
      </c>
      <c r="R187" s="805" t="str">
        <f>B156</f>
        <v>Percentage Impedance</v>
      </c>
      <c r="S187" s="805"/>
      <c r="T187" s="805"/>
      <c r="U187" s="805"/>
      <c r="V187" s="968"/>
    </row>
    <row r="188" spans="1:22" ht="18" customHeight="1">
      <c r="A188" s="96"/>
      <c r="B188" s="5"/>
      <c r="C188" s="5"/>
      <c r="D188" s="5"/>
      <c r="E188" s="5"/>
      <c r="M188" s="250"/>
      <c r="N188" s="28" t="s">
        <v>127</v>
      </c>
      <c r="O188" s="692">
        <f>J161</f>
        <v>437.38656756789834</v>
      </c>
      <c r="P188" s="716"/>
      <c r="Q188" s="245" t="s">
        <v>342</v>
      </c>
      <c r="R188" s="221">
        <f>O156%</f>
        <v>0.25</v>
      </c>
      <c r="S188" s="214"/>
      <c r="V188" s="185"/>
    </row>
    <row r="189" spans="1:22" ht="18" customHeight="1">
      <c r="A189" s="96"/>
      <c r="B189" s="5"/>
      <c r="C189" s="5"/>
      <c r="D189" s="5"/>
      <c r="E189" s="5"/>
      <c r="M189" s="120" t="s">
        <v>613</v>
      </c>
      <c r="N189" s="28" t="s">
        <v>127</v>
      </c>
      <c r="O189" s="689">
        <f>O188/R188</f>
        <v>1749.5462702715934</v>
      </c>
      <c r="P189" s="716"/>
      <c r="Q189" s="241" t="s">
        <v>8</v>
      </c>
      <c r="R189" s="14"/>
      <c r="S189" s="214"/>
      <c r="V189" s="185"/>
    </row>
    <row r="190" spans="1:22" ht="18" customHeight="1">
      <c r="A190" s="96"/>
      <c r="B190" s="5"/>
      <c r="C190" s="5"/>
      <c r="D190" s="5"/>
      <c r="E190" s="5"/>
      <c r="M190" s="120"/>
      <c r="N190" s="28"/>
      <c r="O190" s="28"/>
      <c r="P190" s="14"/>
      <c r="Q190" s="241"/>
      <c r="R190" s="14"/>
      <c r="S190" s="214"/>
      <c r="V190" s="185"/>
    </row>
    <row r="191" spans="1:22" s="279" customFormat="1" ht="18" customHeight="1">
      <c r="A191" s="277"/>
      <c r="B191" s="689" t="s">
        <v>473</v>
      </c>
      <c r="C191" s="1150" t="s">
        <v>652</v>
      </c>
      <c r="G191" s="802">
        <v>1.6</v>
      </c>
      <c r="H191" s="1153" t="s">
        <v>315</v>
      </c>
      <c r="I191" s="790" t="s">
        <v>682</v>
      </c>
      <c r="J191" s="1147"/>
      <c r="K191" s="1147"/>
      <c r="L191" s="1147"/>
      <c r="M191" s="1147"/>
      <c r="N191" s="689" t="s">
        <v>672</v>
      </c>
      <c r="O191" s="708" t="s">
        <v>420</v>
      </c>
      <c r="P191" s="689" t="s">
        <v>347</v>
      </c>
      <c r="Q191" s="790" t="s">
        <v>673</v>
      </c>
      <c r="R191" s="708" t="s">
        <v>674</v>
      </c>
      <c r="S191" s="790" t="s">
        <v>482</v>
      </c>
      <c r="T191" s="14"/>
      <c r="U191" s="726" t="s">
        <v>683</v>
      </c>
      <c r="V191" s="185"/>
    </row>
    <row r="192" spans="1:22" s="279" customFormat="1" ht="18" customHeight="1">
      <c r="A192" s="277"/>
      <c r="B192" s="689"/>
      <c r="C192" s="689"/>
      <c r="G192" s="802"/>
      <c r="H192" s="689"/>
      <c r="I192" s="1190" t="s">
        <v>483</v>
      </c>
      <c r="J192" s="1189"/>
      <c r="K192" s="1189"/>
      <c r="L192" s="1189"/>
      <c r="M192" s="1189"/>
      <c r="N192" s="689"/>
      <c r="O192" s="689"/>
      <c r="P192" s="689"/>
      <c r="Q192" s="689"/>
      <c r="R192" s="689"/>
      <c r="S192" s="689"/>
      <c r="T192" s="14"/>
      <c r="U192" s="689"/>
      <c r="V192" s="185"/>
    </row>
    <row r="193" spans="1:22" ht="18" customHeight="1">
      <c r="A193" s="184"/>
      <c r="V193" s="185"/>
    </row>
    <row r="194" spans="1:22" ht="18" customHeight="1">
      <c r="A194" s="184"/>
      <c r="B194" s="47" t="s">
        <v>675</v>
      </c>
      <c r="C194" s="14"/>
      <c r="D194" s="14"/>
      <c r="E194" s="14"/>
      <c r="F194" s="18"/>
      <c r="G194" s="18"/>
      <c r="H194" s="14"/>
      <c r="I194" s="120"/>
      <c r="J194" s="14"/>
      <c r="K194" s="14"/>
      <c r="M194" s="14"/>
      <c r="N194" s="14"/>
      <c r="P194" s="30" t="s">
        <v>483</v>
      </c>
      <c r="R194" s="234" t="s">
        <v>127</v>
      </c>
      <c r="S194" s="684">
        <f>J134</f>
        <v>3200</v>
      </c>
      <c r="T194" s="684"/>
      <c r="U194" s="30" t="s">
        <v>8</v>
      </c>
      <c r="V194" s="185"/>
    </row>
    <row r="195" spans="1:22" ht="18" customHeight="1">
      <c r="A195" s="184"/>
      <c r="B195" s="47" t="s">
        <v>655</v>
      </c>
      <c r="C195" s="14"/>
      <c r="D195" s="14"/>
      <c r="E195" s="14"/>
      <c r="F195" s="18"/>
      <c r="G195" s="18"/>
      <c r="H195" s="14"/>
      <c r="I195" s="120"/>
      <c r="J195" s="14"/>
      <c r="K195" s="14"/>
      <c r="M195" s="14"/>
      <c r="N195" s="14"/>
      <c r="P195" s="14" t="s">
        <v>420</v>
      </c>
      <c r="R195" s="234" t="s">
        <v>127</v>
      </c>
      <c r="S195" s="684">
        <f>J136</f>
        <v>5</v>
      </c>
      <c r="T195" s="684"/>
      <c r="U195" s="192" t="s">
        <v>333</v>
      </c>
      <c r="V195" s="185"/>
    </row>
    <row r="196" spans="1:22" ht="18" customHeight="1">
      <c r="A196" s="184"/>
      <c r="B196" s="47" t="s">
        <v>676</v>
      </c>
      <c r="C196" s="14"/>
      <c r="D196" s="14"/>
      <c r="E196" s="14"/>
      <c r="F196" s="18"/>
      <c r="G196" s="18"/>
      <c r="H196" s="14"/>
      <c r="I196" s="120"/>
      <c r="J196" s="14"/>
      <c r="K196" s="14"/>
      <c r="M196" s="14"/>
      <c r="N196" s="14"/>
      <c r="P196" s="30" t="s">
        <v>673</v>
      </c>
      <c r="R196" s="234" t="s">
        <v>127</v>
      </c>
      <c r="S196" s="795">
        <f>S153</f>
        <v>1.4145261800000002</v>
      </c>
      <c r="T196" s="795"/>
      <c r="U196" s="192" t="s">
        <v>333</v>
      </c>
      <c r="V196" s="185"/>
    </row>
    <row r="197" spans="1:22" ht="18" customHeight="1">
      <c r="A197" s="184"/>
      <c r="B197" s="296" t="s">
        <v>677</v>
      </c>
      <c r="C197" s="14"/>
      <c r="D197" s="14"/>
      <c r="E197" s="14"/>
      <c r="F197" s="14"/>
      <c r="G197" s="14"/>
      <c r="H197" s="14"/>
      <c r="I197" s="120"/>
      <c r="J197" s="14"/>
      <c r="K197" s="14"/>
      <c r="M197" s="14"/>
      <c r="N197" s="14"/>
      <c r="P197" s="14" t="s">
        <v>411</v>
      </c>
      <c r="R197" s="234" t="s">
        <v>127</v>
      </c>
      <c r="S197" s="684">
        <f>O134</f>
        <v>1</v>
      </c>
      <c r="T197" s="684"/>
      <c r="U197" s="30" t="s">
        <v>8</v>
      </c>
      <c r="V197" s="185"/>
    </row>
    <row r="198" spans="1:22" ht="18" customHeight="1">
      <c r="A198" s="184"/>
      <c r="B198" s="47" t="s">
        <v>678</v>
      </c>
      <c r="C198" s="14"/>
      <c r="D198" s="14"/>
      <c r="E198" s="14"/>
      <c r="F198" s="14"/>
      <c r="G198" s="14"/>
      <c r="H198" s="14"/>
      <c r="I198" s="120"/>
      <c r="J198" s="14"/>
      <c r="K198" s="14"/>
      <c r="M198" s="14"/>
      <c r="N198" s="14"/>
      <c r="P198" s="244" t="s">
        <v>682</v>
      </c>
      <c r="R198" s="234" t="s">
        <v>127</v>
      </c>
      <c r="S198" s="684">
        <f>O189</f>
        <v>1749.5462702715934</v>
      </c>
      <c r="T198" s="684"/>
      <c r="U198" s="30" t="s">
        <v>8</v>
      </c>
      <c r="V198" s="185"/>
    </row>
    <row r="199" spans="1:22" ht="18" customHeight="1">
      <c r="A199" s="184"/>
      <c r="B199" s="296" t="s">
        <v>679</v>
      </c>
      <c r="C199" s="14"/>
      <c r="D199" s="14"/>
      <c r="E199" s="14"/>
      <c r="F199" s="14"/>
      <c r="G199" s="14"/>
      <c r="H199" s="14"/>
      <c r="I199" s="120"/>
      <c r="J199" s="14"/>
      <c r="K199" s="14"/>
      <c r="M199" s="14"/>
      <c r="N199" s="14"/>
      <c r="P199" s="120" t="s">
        <v>680</v>
      </c>
      <c r="R199" s="234" t="s">
        <v>127</v>
      </c>
      <c r="S199" s="795">
        <f>J161</f>
        <v>437.38656756789834</v>
      </c>
      <c r="T199" s="684"/>
      <c r="U199" s="30" t="s">
        <v>8</v>
      </c>
      <c r="V199" s="185"/>
    </row>
    <row r="200" spans="1:22" ht="18" customHeight="1">
      <c r="A200" s="184"/>
      <c r="B200" s="47" t="s">
        <v>659</v>
      </c>
      <c r="C200" s="14"/>
      <c r="D200" s="14"/>
      <c r="E200" s="14"/>
      <c r="F200" s="14"/>
      <c r="G200" s="14"/>
      <c r="H200" s="14"/>
      <c r="I200" s="120"/>
      <c r="J200" s="14"/>
      <c r="K200" s="14"/>
      <c r="M200" s="14"/>
      <c r="N200" s="14"/>
      <c r="P200" s="120" t="s">
        <v>660</v>
      </c>
      <c r="R200" s="234" t="s">
        <v>127</v>
      </c>
      <c r="S200" s="684">
        <f>S197</f>
        <v>1</v>
      </c>
      <c r="T200" s="684"/>
      <c r="U200" s="30" t="s">
        <v>8</v>
      </c>
      <c r="V200" s="185"/>
    </row>
    <row r="201" spans="1:22" ht="18" customHeight="1">
      <c r="A201" s="96"/>
      <c r="B201" s="14"/>
      <c r="C201" s="14"/>
      <c r="D201" s="235"/>
      <c r="E201" s="14"/>
      <c r="F201" s="28"/>
      <c r="G201" s="249"/>
      <c r="H201" s="28"/>
      <c r="I201" s="251"/>
      <c r="J201" s="14"/>
      <c r="K201" s="280"/>
      <c r="M201" s="47"/>
      <c r="N201" s="268"/>
      <c r="P201" s="281"/>
      <c r="R201" s="234"/>
      <c r="S201" s="1148"/>
      <c r="T201" s="723"/>
      <c r="V201" s="185"/>
    </row>
    <row r="202" spans="1:22" s="279" customFormat="1" ht="18" customHeight="1">
      <c r="A202" s="277"/>
      <c r="B202" s="689" t="s">
        <v>473</v>
      </c>
      <c r="C202" s="1150" t="s">
        <v>652</v>
      </c>
      <c r="G202" s="802">
        <f>G191</f>
        <v>1.6</v>
      </c>
      <c r="H202" s="1151" t="s">
        <v>315</v>
      </c>
      <c r="I202" s="829">
        <f>O189</f>
        <v>1749.5462702715934</v>
      </c>
      <c r="J202" s="1152"/>
      <c r="K202" s="1152"/>
      <c r="L202" s="1152"/>
      <c r="M202" s="1152"/>
      <c r="N202" s="689" t="s">
        <v>672</v>
      </c>
      <c r="O202" s="708">
        <f>S195</f>
        <v>5</v>
      </c>
      <c r="P202" s="689" t="s">
        <v>347</v>
      </c>
      <c r="Q202" s="829">
        <f>S196</f>
        <v>1.4145261800000002</v>
      </c>
      <c r="R202" s="708" t="s">
        <v>674</v>
      </c>
      <c r="S202" s="708">
        <f>S197</f>
        <v>1</v>
      </c>
      <c r="T202" s="14"/>
      <c r="U202" s="726" t="s">
        <v>683</v>
      </c>
      <c r="V202" s="185"/>
    </row>
    <row r="203" spans="1:22" s="279" customFormat="1" ht="18" customHeight="1">
      <c r="A203" s="277"/>
      <c r="B203" s="689"/>
      <c r="C203" s="689"/>
      <c r="G203" s="802"/>
      <c r="H203" s="684"/>
      <c r="I203" s="1189">
        <f>S194</f>
        <v>3200</v>
      </c>
      <c r="J203" s="1189"/>
      <c r="K203" s="1189"/>
      <c r="L203" s="1189"/>
      <c r="M203" s="1189"/>
      <c r="N203" s="689"/>
      <c r="O203" s="689"/>
      <c r="P203" s="689"/>
      <c r="Q203" s="689"/>
      <c r="R203" s="689"/>
      <c r="S203" s="689"/>
      <c r="T203" s="14"/>
      <c r="U203" s="689"/>
      <c r="V203" s="185"/>
    </row>
    <row r="204" spans="1:22" ht="18" customHeight="1">
      <c r="A204" s="96"/>
      <c r="B204" s="14"/>
      <c r="C204" s="27" t="s">
        <v>127</v>
      </c>
      <c r="D204" s="812">
        <f>ROUNDUP(G202*(I202/(I203)*(O202+Q202)*S202),2)</f>
        <v>5.62</v>
      </c>
      <c r="E204" s="813"/>
      <c r="F204" s="30" t="s">
        <v>305</v>
      </c>
      <c r="G204" s="14"/>
      <c r="H204" s="14"/>
      <c r="I204" s="14"/>
      <c r="J204" s="14"/>
      <c r="K204" s="14"/>
      <c r="L204" s="14"/>
      <c r="M204" s="14"/>
      <c r="N204" s="14"/>
      <c r="R204" s="234"/>
      <c r="S204" s="204"/>
      <c r="V204" s="185"/>
    </row>
    <row r="205" spans="1:22" ht="18" customHeight="1">
      <c r="A205" s="96"/>
      <c r="B205" s="14"/>
      <c r="G205" s="14"/>
      <c r="H205" s="14"/>
      <c r="I205" s="14"/>
      <c r="J205" s="14"/>
      <c r="K205" s="14"/>
      <c r="L205" s="14"/>
      <c r="M205" s="14"/>
      <c r="N205" s="14"/>
      <c r="R205" s="234"/>
      <c r="S205" s="204"/>
      <c r="V205" s="185"/>
    </row>
    <row r="206" spans="1:22" ht="18" customHeight="1">
      <c r="A206" s="184" t="s">
        <v>684</v>
      </c>
      <c r="B206" s="14"/>
      <c r="G206" s="14"/>
      <c r="H206" s="14"/>
      <c r="I206" s="14"/>
      <c r="J206" s="14"/>
      <c r="K206" s="14"/>
      <c r="L206" s="14"/>
      <c r="M206" s="14"/>
      <c r="N206" s="14"/>
      <c r="R206" s="234"/>
      <c r="S206" s="204"/>
      <c r="U206" s="726" t="s">
        <v>685</v>
      </c>
      <c r="V206" s="185"/>
    </row>
    <row r="207" spans="1:22" ht="18" customHeight="1">
      <c r="A207" s="184"/>
      <c r="E207" s="30" t="s">
        <v>473</v>
      </c>
      <c r="F207" s="278" t="s">
        <v>652</v>
      </c>
      <c r="G207" s="28">
        <v>20</v>
      </c>
      <c r="H207" s="27" t="s">
        <v>315</v>
      </c>
      <c r="I207" s="27" t="s">
        <v>482</v>
      </c>
      <c r="J207" s="27" t="s">
        <v>372</v>
      </c>
      <c r="K207" s="27" t="s">
        <v>420</v>
      </c>
      <c r="L207" s="27" t="s">
        <v>347</v>
      </c>
      <c r="M207" s="27" t="s">
        <v>673</v>
      </c>
      <c r="N207" s="27" t="s">
        <v>350</v>
      </c>
      <c r="R207" s="234"/>
      <c r="S207" s="204"/>
      <c r="U207" s="689"/>
      <c r="V207" s="185"/>
    </row>
    <row r="208" spans="1:22" ht="18" customHeight="1">
      <c r="A208" s="184"/>
      <c r="B208" s="47" t="s">
        <v>655</v>
      </c>
      <c r="C208" s="14"/>
      <c r="D208" s="14"/>
      <c r="E208" s="14"/>
      <c r="F208" s="18"/>
      <c r="G208" s="18"/>
      <c r="H208" s="14"/>
      <c r="I208" s="120"/>
      <c r="J208" s="14"/>
      <c r="K208" s="14"/>
      <c r="M208" s="14"/>
      <c r="N208" s="14"/>
      <c r="P208" s="14" t="s">
        <v>420</v>
      </c>
      <c r="R208" s="234" t="s">
        <v>127</v>
      </c>
      <c r="S208" s="684">
        <f>J136</f>
        <v>5</v>
      </c>
      <c r="T208" s="684"/>
      <c r="U208" s="192" t="s">
        <v>333</v>
      </c>
      <c r="V208" s="185"/>
    </row>
    <row r="209" spans="1:27" ht="18" customHeight="1">
      <c r="A209" s="184"/>
      <c r="B209" s="47" t="s">
        <v>676</v>
      </c>
      <c r="C209" s="14"/>
      <c r="D209" s="14"/>
      <c r="E209" s="14"/>
      <c r="F209" s="18"/>
      <c r="G209" s="18"/>
      <c r="H209" s="14"/>
      <c r="I209" s="120"/>
      <c r="J209" s="14"/>
      <c r="K209" s="14"/>
      <c r="M209" s="14"/>
      <c r="N209" s="14"/>
      <c r="P209" s="30" t="s">
        <v>673</v>
      </c>
      <c r="R209" s="234" t="s">
        <v>127</v>
      </c>
      <c r="S209" s="795">
        <f>S153</f>
        <v>1.4145261800000002</v>
      </c>
      <c r="T209" s="795"/>
      <c r="U209" s="192" t="s">
        <v>333</v>
      </c>
      <c r="V209" s="185"/>
    </row>
    <row r="210" spans="1:27" ht="18" customHeight="1">
      <c r="A210" s="184"/>
      <c r="B210" s="296" t="s">
        <v>677</v>
      </c>
      <c r="C210" s="14"/>
      <c r="D210" s="14"/>
      <c r="E210" s="14"/>
      <c r="F210" s="14"/>
      <c r="G210" s="14"/>
      <c r="H210" s="14"/>
      <c r="I210" s="120"/>
      <c r="J210" s="14"/>
      <c r="K210" s="14"/>
      <c r="M210" s="14"/>
      <c r="N210" s="14"/>
      <c r="P210" s="30" t="s">
        <v>482</v>
      </c>
      <c r="R210" s="234" t="s">
        <v>127</v>
      </c>
      <c r="S210" s="684">
        <v>1</v>
      </c>
      <c r="T210" s="684"/>
      <c r="U210" s="30" t="s">
        <v>8</v>
      </c>
      <c r="V210" s="185"/>
    </row>
    <row r="211" spans="1:27" ht="18" customHeight="1">
      <c r="A211" s="184"/>
      <c r="B211" s="296"/>
      <c r="C211" s="14"/>
      <c r="D211" s="14"/>
      <c r="E211" s="14"/>
      <c r="F211" s="14"/>
      <c r="G211" s="14"/>
      <c r="H211" s="14"/>
      <c r="I211" s="120"/>
      <c r="J211" s="14"/>
      <c r="K211" s="14"/>
      <c r="M211" s="14"/>
      <c r="N211" s="14"/>
      <c r="R211" s="234"/>
      <c r="S211" s="27"/>
      <c r="T211" s="27"/>
      <c r="V211" s="185"/>
    </row>
    <row r="212" spans="1:27" ht="18" customHeight="1">
      <c r="A212" s="193"/>
      <c r="B212" s="14"/>
      <c r="E212" s="30" t="s">
        <v>473</v>
      </c>
      <c r="F212" s="278" t="s">
        <v>652</v>
      </c>
      <c r="G212" s="28">
        <f>G207</f>
        <v>20</v>
      </c>
      <c r="H212" s="28" t="str">
        <f>H207</f>
        <v>x</v>
      </c>
      <c r="I212" s="28">
        <f>S210</f>
        <v>1</v>
      </c>
      <c r="J212" s="27" t="s">
        <v>372</v>
      </c>
      <c r="K212" s="28">
        <f>S208</f>
        <v>5</v>
      </c>
      <c r="L212" s="27" t="s">
        <v>347</v>
      </c>
      <c r="M212" s="218">
        <f>S209</f>
        <v>1.4145261800000002</v>
      </c>
      <c r="N212" s="28" t="str">
        <f>N207</f>
        <v>)</v>
      </c>
      <c r="R212" s="234"/>
      <c r="S212" s="204"/>
      <c r="V212" s="185"/>
    </row>
    <row r="213" spans="1:27" ht="18" customHeight="1">
      <c r="A213" s="193"/>
      <c r="B213" s="14"/>
      <c r="C213" s="278"/>
      <c r="F213" s="30" t="s">
        <v>127</v>
      </c>
      <c r="G213" s="1188">
        <f>ROUNDUP(G212*I212*(K212+M212),2)</f>
        <v>128.29999999999998</v>
      </c>
      <c r="H213" s="1188"/>
      <c r="I213" s="28"/>
      <c r="J213" s="27"/>
      <c r="K213" s="28"/>
      <c r="L213" s="27"/>
      <c r="M213" s="218"/>
      <c r="N213" s="28"/>
      <c r="R213" s="234"/>
      <c r="S213" s="204"/>
      <c r="V213" s="185"/>
    </row>
    <row r="214" spans="1:27" ht="18" customHeight="1">
      <c r="A214" s="508"/>
      <c r="B214" s="195"/>
      <c r="C214" s="623"/>
      <c r="D214" s="196"/>
      <c r="E214" s="196"/>
      <c r="F214" s="196"/>
      <c r="G214" s="624"/>
      <c r="H214" s="624"/>
      <c r="I214" s="182"/>
      <c r="J214" s="307"/>
      <c r="K214" s="182"/>
      <c r="L214" s="307"/>
      <c r="M214" s="509"/>
      <c r="N214" s="182"/>
      <c r="O214" s="196"/>
      <c r="P214" s="196"/>
      <c r="Q214" s="196"/>
      <c r="R214" s="591"/>
      <c r="S214" s="518"/>
      <c r="T214" s="196"/>
      <c r="U214" s="196"/>
      <c r="V214" s="291"/>
    </row>
    <row r="215" spans="1:27" ht="18" customHeight="1">
      <c r="A215" s="383"/>
      <c r="B215" s="273"/>
      <c r="C215" s="625"/>
      <c r="D215" s="227"/>
      <c r="E215" s="227"/>
      <c r="F215" s="227"/>
      <c r="G215" s="138"/>
      <c r="H215" s="138"/>
      <c r="I215" s="138"/>
      <c r="J215" s="311"/>
      <c r="K215" s="138"/>
      <c r="L215" s="311"/>
      <c r="M215" s="626"/>
      <c r="N215" s="138"/>
      <c r="O215" s="227"/>
      <c r="P215" s="227"/>
      <c r="Q215" s="227"/>
      <c r="R215" s="605"/>
      <c r="S215" s="627"/>
      <c r="T215" s="227"/>
      <c r="U215" s="227"/>
      <c r="V215" s="228"/>
    </row>
    <row r="216" spans="1:27" ht="18" customHeight="1">
      <c r="A216" s="96"/>
      <c r="B216" s="14"/>
      <c r="D216" s="30" t="s">
        <v>527</v>
      </c>
      <c r="E216" s="14"/>
      <c r="F216" s="279"/>
      <c r="G216" s="14"/>
      <c r="H216" s="14"/>
      <c r="I216" s="279"/>
      <c r="J216" s="14"/>
      <c r="K216" s="14"/>
      <c r="L216" s="30" t="s">
        <v>473</v>
      </c>
      <c r="M216" s="505" t="s">
        <v>529</v>
      </c>
      <c r="N216" s="30" t="str">
        <f>CONCATENATE(Y216,X216,D181,Z216,D204,Z216,G213,AA216)</f>
        <v>max(40.1,5.62,128.3)</v>
      </c>
      <c r="R216" s="234"/>
      <c r="S216" s="204"/>
      <c r="V216" s="185"/>
      <c r="X216" s="30" t="s">
        <v>419</v>
      </c>
      <c r="Y216" s="30" t="s">
        <v>530</v>
      </c>
      <c r="Z216" s="30" t="s">
        <v>531</v>
      </c>
      <c r="AA216" s="30" t="s">
        <v>350</v>
      </c>
    </row>
    <row r="217" spans="1:27" ht="18" customHeight="1">
      <c r="A217" s="96"/>
      <c r="B217" s="14"/>
      <c r="D217" s="14"/>
      <c r="E217" s="14"/>
      <c r="F217" s="279"/>
      <c r="G217" s="14"/>
      <c r="H217" s="14"/>
      <c r="I217" s="279"/>
      <c r="J217" s="14"/>
      <c r="K217" s="14"/>
      <c r="L217" s="30" t="s">
        <v>473</v>
      </c>
      <c r="M217" s="505" t="s">
        <v>529</v>
      </c>
      <c r="N217" s="1072">
        <f>MAX(D204,D181,G213)</f>
        <v>128.29999999999998</v>
      </c>
      <c r="O217" s="1072"/>
      <c r="R217" s="234"/>
      <c r="S217" s="204"/>
      <c r="V217" s="185"/>
    </row>
    <row r="218" spans="1:27" ht="18" customHeight="1">
      <c r="A218" s="96"/>
      <c r="B218" s="14"/>
      <c r="G218" s="14"/>
      <c r="H218" s="14"/>
      <c r="I218" s="14"/>
      <c r="J218" s="14"/>
      <c r="K218" s="1185">
        <f>J137</f>
        <v>600</v>
      </c>
      <c r="L218" s="1185"/>
      <c r="M218" s="505" t="s">
        <v>529</v>
      </c>
      <c r="N218" s="1072">
        <f>N217</f>
        <v>128.29999999999998</v>
      </c>
      <c r="O218" s="1072"/>
      <c r="R218" s="234"/>
      <c r="S218" s="204"/>
      <c r="V218" s="185"/>
    </row>
    <row r="219" spans="1:27" ht="18" customHeight="1">
      <c r="A219" s="96"/>
      <c r="B219" s="14"/>
      <c r="F219" s="14"/>
      <c r="G219" s="14"/>
      <c r="H219" s="14"/>
      <c r="I219" s="14"/>
      <c r="J219" s="14"/>
      <c r="K219" s="14"/>
      <c r="L219" s="14"/>
      <c r="M219" s="14"/>
      <c r="N219" s="14"/>
      <c r="O219" s="154"/>
      <c r="P219" s="14"/>
      <c r="R219" s="234"/>
      <c r="S219" s="204"/>
      <c r="V219" s="185"/>
    </row>
    <row r="220" spans="1:27" ht="18" customHeight="1">
      <c r="A220" s="96"/>
      <c r="B220" s="14"/>
      <c r="D220"/>
      <c r="E220"/>
      <c r="F220" s="244" t="s">
        <v>478</v>
      </c>
      <c r="G220"/>
      <c r="H220" s="18" t="str">
        <f>IF(K218&gt;N218,"Suitably Dimensioned","Under Dimensioned")</f>
        <v>Suitably Dimensioned</v>
      </c>
      <c r="I220"/>
      <c r="J220"/>
      <c r="K220"/>
      <c r="L220"/>
      <c r="N220" s="14"/>
      <c r="R220" s="234"/>
      <c r="S220" s="204"/>
      <c r="V220" s="185"/>
    </row>
    <row r="221" spans="1:27" ht="18" customHeight="1">
      <c r="A221" s="96"/>
      <c r="B221" s="14"/>
      <c r="C221" s="14"/>
      <c r="D221" s="14"/>
      <c r="E221" s="14"/>
      <c r="M221" s="120"/>
      <c r="N221" s="28"/>
      <c r="O221" s="689"/>
      <c r="P221" s="716"/>
      <c r="Q221" s="245"/>
      <c r="R221" s="1186"/>
      <c r="S221" s="1186"/>
      <c r="T221" s="1186"/>
      <c r="U221" s="1186"/>
      <c r="V221" s="1187"/>
    </row>
    <row r="222" spans="1:27" ht="18" customHeight="1">
      <c r="A222" s="96"/>
      <c r="B222" s="5"/>
      <c r="C222" s="5"/>
      <c r="D222" s="5"/>
      <c r="E222" s="5"/>
      <c r="M222" s="250"/>
      <c r="N222" s="28"/>
      <c r="O222" s="689"/>
      <c r="P222" s="716"/>
      <c r="Q222" s="245"/>
      <c r="R222" s="221"/>
      <c r="S222" s="186"/>
      <c r="V222" s="185"/>
    </row>
    <row r="223" spans="1:27" ht="18" customHeight="1">
      <c r="A223" s="96"/>
      <c r="B223" s="5"/>
      <c r="C223" s="5"/>
      <c r="D223" s="5"/>
      <c r="E223" s="5"/>
      <c r="M223" s="120"/>
      <c r="N223" s="28"/>
      <c r="O223" s="689"/>
      <c r="P223" s="716"/>
      <c r="Q223" s="241"/>
      <c r="R223" s="14"/>
      <c r="S223" s="186"/>
      <c r="V223" s="185"/>
    </row>
    <row r="224" spans="1:27" ht="18" customHeight="1">
      <c r="A224" s="96"/>
      <c r="B224" s="5"/>
      <c r="C224" s="5"/>
      <c r="D224" s="5"/>
      <c r="E224" s="5"/>
      <c r="M224" s="120"/>
      <c r="N224" s="28"/>
      <c r="O224" s="28"/>
      <c r="P224" s="14"/>
      <c r="Q224" s="241"/>
      <c r="R224" s="14"/>
      <c r="S224" s="186"/>
      <c r="V224" s="185"/>
    </row>
    <row r="225" spans="1:22" ht="18" customHeight="1">
      <c r="A225" s="96"/>
      <c r="B225" s="5"/>
      <c r="C225" s="5"/>
      <c r="D225" s="5"/>
      <c r="E225" s="5"/>
      <c r="M225" s="120"/>
      <c r="N225" s="28"/>
      <c r="O225" s="28"/>
      <c r="P225" s="14"/>
      <c r="Q225" s="241"/>
      <c r="R225" s="14"/>
      <c r="S225" s="186"/>
      <c r="V225" s="185"/>
    </row>
    <row r="226" spans="1:22" ht="18" customHeight="1">
      <c r="A226" s="96"/>
      <c r="B226" s="5"/>
      <c r="C226" s="5"/>
      <c r="D226" s="5"/>
      <c r="E226" s="5"/>
      <c r="M226" s="120"/>
      <c r="N226" s="28"/>
      <c r="O226" s="28"/>
      <c r="P226" s="14"/>
      <c r="Q226" s="241"/>
      <c r="R226" s="14"/>
      <c r="S226" s="186"/>
      <c r="V226" s="185"/>
    </row>
    <row r="227" spans="1:22" ht="18" customHeight="1">
      <c r="A227" s="96"/>
      <c r="B227" s="5"/>
      <c r="C227" s="5"/>
      <c r="D227" s="5"/>
      <c r="E227" s="5"/>
      <c r="M227" s="120"/>
      <c r="N227" s="28"/>
      <c r="O227" s="28"/>
      <c r="P227" s="14"/>
      <c r="Q227" s="241"/>
      <c r="R227" s="14"/>
      <c r="S227" s="186"/>
      <c r="V227" s="185"/>
    </row>
    <row r="228" spans="1:22" ht="18" customHeight="1">
      <c r="A228" s="96"/>
      <c r="B228" s="5"/>
      <c r="C228" s="5"/>
      <c r="D228" s="5"/>
      <c r="E228" s="5"/>
      <c r="M228" s="120"/>
      <c r="N228" s="28"/>
      <c r="O228" s="28"/>
      <c r="P228" s="14"/>
      <c r="Q228" s="241"/>
      <c r="R228" s="14"/>
      <c r="S228" s="186"/>
      <c r="V228" s="185"/>
    </row>
    <row r="229" spans="1:22" s="14" customFormat="1" ht="18" hidden="1" customHeight="1">
      <c r="A229" s="194"/>
      <c r="B229" s="195"/>
      <c r="C229" s="195"/>
      <c r="D229" s="195"/>
      <c r="E229" s="195"/>
      <c r="F229" s="195"/>
      <c r="G229" s="195"/>
      <c r="H229" s="195"/>
      <c r="I229" s="195"/>
      <c r="J229" s="195"/>
      <c r="K229" s="195"/>
      <c r="L229" s="195"/>
      <c r="M229" s="195"/>
      <c r="N229" s="195"/>
      <c r="O229" s="195"/>
      <c r="P229" s="195"/>
      <c r="Q229" s="224"/>
      <c r="R229" s="182"/>
      <c r="S229" s="225"/>
      <c r="T229" s="195"/>
      <c r="U229" s="195"/>
      <c r="V229" s="134" t="s">
        <v>552</v>
      </c>
    </row>
    <row r="230" spans="1:22" s="14" customFormat="1" ht="18" hidden="1" customHeight="1">
      <c r="A230" s="135"/>
      <c r="B230" s="273"/>
      <c r="C230" s="273"/>
      <c r="D230" s="273"/>
      <c r="E230" s="273"/>
      <c r="F230" s="273"/>
      <c r="G230" s="273"/>
      <c r="H230" s="273"/>
      <c r="I230" s="273"/>
      <c r="J230" s="273"/>
      <c r="K230" s="273"/>
      <c r="L230" s="273"/>
      <c r="M230" s="273"/>
      <c r="N230" s="273"/>
      <c r="O230" s="273"/>
      <c r="P230" s="273"/>
      <c r="Q230" s="274"/>
      <c r="R230" s="138"/>
      <c r="S230" s="275"/>
      <c r="T230" s="273"/>
      <c r="U230" s="273"/>
      <c r="V230" s="276"/>
    </row>
    <row r="231" spans="1:22" ht="18" hidden="1" customHeight="1">
      <c r="A231" s="96" t="s">
        <v>686</v>
      </c>
      <c r="V231" s="185"/>
    </row>
    <row r="232" spans="1:22" ht="18" hidden="1" customHeight="1">
      <c r="A232" s="184"/>
      <c r="V232" s="185"/>
    </row>
    <row r="233" spans="1:22" s="279" customFormat="1" ht="18" hidden="1" customHeight="1">
      <c r="A233" s="277"/>
      <c r="B233" s="689" t="s">
        <v>473</v>
      </c>
      <c r="C233" s="1150" t="s">
        <v>652</v>
      </c>
      <c r="G233" s="802" t="s">
        <v>687</v>
      </c>
      <c r="H233" s="1153" t="s">
        <v>315</v>
      </c>
      <c r="I233" s="708" t="s">
        <v>688</v>
      </c>
      <c r="J233" s="1147"/>
      <c r="K233" s="1147"/>
      <c r="L233" s="1147"/>
      <c r="M233" s="1147"/>
      <c r="N233" s="689" t="s">
        <v>672</v>
      </c>
      <c r="O233" s="708" t="s">
        <v>420</v>
      </c>
      <c r="P233" s="689" t="s">
        <v>347</v>
      </c>
      <c r="Q233" s="708" t="s">
        <v>689</v>
      </c>
      <c r="R233" s="708" t="s">
        <v>674</v>
      </c>
      <c r="S233" s="708" t="s">
        <v>411</v>
      </c>
      <c r="T233" s="14"/>
      <c r="U233" s="729" t="s">
        <v>653</v>
      </c>
      <c r="V233" s="185"/>
    </row>
    <row r="234" spans="1:22" s="279" customFormat="1" ht="18" hidden="1" customHeight="1">
      <c r="A234" s="277"/>
      <c r="B234" s="689"/>
      <c r="C234" s="689"/>
      <c r="G234" s="802"/>
      <c r="H234" s="689"/>
      <c r="I234" s="689">
        <v>1.3</v>
      </c>
      <c r="J234" s="689"/>
      <c r="K234" s="28" t="s">
        <v>315</v>
      </c>
      <c r="L234" s="689" t="s">
        <v>423</v>
      </c>
      <c r="M234" s="689"/>
      <c r="N234" s="689"/>
      <c r="O234" s="689"/>
      <c r="P234" s="689"/>
      <c r="Q234" s="689"/>
      <c r="R234" s="689"/>
      <c r="S234" s="689"/>
      <c r="T234" s="14"/>
      <c r="U234" s="689"/>
      <c r="V234" s="185"/>
    </row>
    <row r="235" spans="1:22" ht="18" hidden="1" customHeight="1">
      <c r="A235" s="184"/>
      <c r="V235" s="185"/>
    </row>
    <row r="236" spans="1:22" ht="18" hidden="1" customHeight="1">
      <c r="A236" s="184"/>
      <c r="B236" s="47" t="s">
        <v>654</v>
      </c>
      <c r="C236" s="14"/>
      <c r="D236" s="14"/>
      <c r="E236" s="14"/>
      <c r="F236" s="18"/>
      <c r="G236" s="18"/>
      <c r="H236" s="14"/>
      <c r="I236" s="120"/>
      <c r="J236" s="14"/>
      <c r="K236" s="14"/>
      <c r="M236" s="14"/>
      <c r="N236" s="14"/>
      <c r="P236" s="14" t="s">
        <v>423</v>
      </c>
      <c r="R236" s="234" t="s">
        <v>127</v>
      </c>
      <c r="S236" s="684">
        <f>J134</f>
        <v>3200</v>
      </c>
      <c r="T236" s="684"/>
      <c r="U236" s="30" t="s">
        <v>8</v>
      </c>
      <c r="V236" s="185"/>
    </row>
    <row r="237" spans="1:22" ht="18" hidden="1" customHeight="1">
      <c r="A237" s="184"/>
      <c r="B237" s="47" t="s">
        <v>655</v>
      </c>
      <c r="C237" s="14"/>
      <c r="D237" s="14"/>
      <c r="E237" s="14"/>
      <c r="F237" s="18"/>
      <c r="G237" s="18"/>
      <c r="H237" s="14"/>
      <c r="I237" s="120"/>
      <c r="J237" s="14"/>
      <c r="K237" s="14"/>
      <c r="M237" s="14"/>
      <c r="N237" s="14"/>
      <c r="P237" s="14" t="s">
        <v>420</v>
      </c>
      <c r="R237" s="234" t="s">
        <v>127</v>
      </c>
      <c r="S237" s="684">
        <f>J136</f>
        <v>5</v>
      </c>
      <c r="T237" s="684"/>
      <c r="U237" s="192" t="s">
        <v>333</v>
      </c>
      <c r="V237" s="185"/>
    </row>
    <row r="238" spans="1:22" ht="18" hidden="1" customHeight="1">
      <c r="A238" s="184"/>
      <c r="B238" s="47" t="s">
        <v>676</v>
      </c>
      <c r="C238" s="14"/>
      <c r="D238" s="14"/>
      <c r="E238" s="14"/>
      <c r="F238" s="18"/>
      <c r="G238" s="18"/>
      <c r="H238" s="14"/>
      <c r="I238" s="120"/>
      <c r="J238" s="14"/>
      <c r="K238" s="14"/>
      <c r="M238" s="14"/>
      <c r="N238" s="14"/>
      <c r="P238" s="14" t="s">
        <v>690</v>
      </c>
      <c r="R238" s="234" t="s">
        <v>127</v>
      </c>
      <c r="S238" s="795">
        <f>S153</f>
        <v>1.4145261800000002</v>
      </c>
      <c r="T238" s="795"/>
      <c r="U238" s="192" t="s">
        <v>333</v>
      </c>
      <c r="V238" s="185"/>
    </row>
    <row r="239" spans="1:22" ht="18" hidden="1" customHeight="1">
      <c r="A239" s="184"/>
      <c r="B239" s="47" t="s">
        <v>691</v>
      </c>
      <c r="C239" s="14"/>
      <c r="D239" s="14"/>
      <c r="E239" s="14"/>
      <c r="F239" s="14"/>
      <c r="G239" s="14"/>
      <c r="H239" s="14"/>
      <c r="I239" s="120"/>
      <c r="J239" s="14"/>
      <c r="K239" s="14"/>
      <c r="M239" s="14"/>
      <c r="N239" s="14"/>
      <c r="P239" s="14" t="s">
        <v>411</v>
      </c>
      <c r="R239" s="234" t="s">
        <v>127</v>
      </c>
      <c r="S239" s="684">
        <f>O134</f>
        <v>1</v>
      </c>
      <c r="T239" s="684"/>
      <c r="U239" s="30" t="s">
        <v>8</v>
      </c>
      <c r="V239" s="185"/>
    </row>
    <row r="240" spans="1:22" ht="18" hidden="1" customHeight="1">
      <c r="A240" s="184"/>
      <c r="B240" s="47" t="s">
        <v>678</v>
      </c>
      <c r="C240" s="14"/>
      <c r="D240" s="14"/>
      <c r="E240" s="14"/>
      <c r="F240" s="14"/>
      <c r="G240" s="14"/>
      <c r="H240" s="14"/>
      <c r="I240" s="120"/>
      <c r="J240" s="14"/>
      <c r="K240" s="14"/>
      <c r="M240" s="14"/>
      <c r="N240" s="14"/>
      <c r="P240" s="120" t="s">
        <v>688</v>
      </c>
      <c r="R240" s="234" t="s">
        <v>127</v>
      </c>
      <c r="S240" s="684">
        <f>O223</f>
        <v>0</v>
      </c>
      <c r="T240" s="684"/>
      <c r="U240" s="30" t="s">
        <v>8</v>
      </c>
      <c r="V240" s="185"/>
    </row>
    <row r="241" spans="1:22" ht="18" hidden="1" customHeight="1">
      <c r="A241" s="184"/>
      <c r="B241" s="47" t="s">
        <v>692</v>
      </c>
      <c r="C241" s="14"/>
      <c r="D241" s="14"/>
      <c r="E241" s="14"/>
      <c r="F241" s="14"/>
      <c r="G241" s="14"/>
      <c r="H241" s="14"/>
      <c r="I241" s="120"/>
      <c r="J241" s="14"/>
      <c r="K241" s="14"/>
      <c r="M241" s="14"/>
      <c r="N241" s="14"/>
      <c r="P241" s="120" t="s">
        <v>680</v>
      </c>
      <c r="R241" s="234" t="s">
        <v>127</v>
      </c>
      <c r="S241" s="795">
        <f>J161</f>
        <v>437.38656756789834</v>
      </c>
      <c r="T241" s="684"/>
      <c r="U241" s="30" t="s">
        <v>8</v>
      </c>
      <c r="V241" s="185"/>
    </row>
    <row r="242" spans="1:22" ht="18" hidden="1" customHeight="1">
      <c r="A242" s="184"/>
      <c r="B242" s="47" t="s">
        <v>659</v>
      </c>
      <c r="C242" s="14"/>
      <c r="D242" s="14"/>
      <c r="E242" s="14"/>
      <c r="F242" s="14"/>
      <c r="G242" s="14"/>
      <c r="H242" s="14"/>
      <c r="I242" s="120"/>
      <c r="J242" s="14"/>
      <c r="K242" s="14"/>
      <c r="M242" s="14"/>
      <c r="N242" s="14"/>
      <c r="P242" s="120" t="s">
        <v>660</v>
      </c>
      <c r="R242" s="234" t="s">
        <v>127</v>
      </c>
      <c r="S242" s="684">
        <f>S53</f>
        <v>1</v>
      </c>
      <c r="T242" s="684"/>
      <c r="U242" s="30" t="s">
        <v>8</v>
      </c>
      <c r="V242" s="185"/>
    </row>
    <row r="243" spans="1:22" ht="18" hidden="1" customHeight="1">
      <c r="A243" s="96"/>
      <c r="B243" s="14"/>
      <c r="C243" s="14"/>
      <c r="D243" s="235"/>
      <c r="E243" s="14"/>
      <c r="F243" s="28"/>
      <c r="G243" s="249"/>
      <c r="H243" s="28"/>
      <c r="I243" s="251"/>
      <c r="J243" s="14"/>
      <c r="K243" s="280"/>
      <c r="M243" s="47"/>
      <c r="N243" s="268"/>
      <c r="P243" s="281"/>
      <c r="R243" s="234"/>
      <c r="S243" s="1148"/>
      <c r="T243" s="723"/>
      <c r="V243" s="185"/>
    </row>
    <row r="244" spans="1:22" ht="18" hidden="1" customHeight="1">
      <c r="A244" s="272" t="s">
        <v>693</v>
      </c>
      <c r="B244" s="14"/>
      <c r="C244" s="14"/>
      <c r="D244" s="14"/>
      <c r="E244" s="14"/>
      <c r="F244" s="14"/>
      <c r="G244" s="14"/>
      <c r="H244" s="28">
        <v>3</v>
      </c>
      <c r="I244" s="47" t="s">
        <v>694</v>
      </c>
      <c r="J244" s="14"/>
      <c r="K244" s="14"/>
      <c r="M244" s="14" t="s">
        <v>337</v>
      </c>
      <c r="N244" s="14"/>
      <c r="P244" s="120"/>
      <c r="R244" s="234"/>
      <c r="S244" s="1149"/>
      <c r="T244" s="723"/>
      <c r="V244" s="185"/>
    </row>
    <row r="245" spans="1:22" ht="18" hidden="1" customHeight="1">
      <c r="A245" s="272"/>
      <c r="B245" s="14"/>
      <c r="C245" s="14"/>
      <c r="D245" s="14"/>
      <c r="E245" s="14"/>
      <c r="F245" s="14"/>
      <c r="G245" s="14"/>
      <c r="H245" s="28"/>
      <c r="I245" s="47"/>
      <c r="J245" s="14"/>
      <c r="K245" s="14"/>
      <c r="M245" s="14"/>
      <c r="N245" s="14"/>
      <c r="P245" s="120"/>
      <c r="R245" s="234"/>
      <c r="S245" s="282"/>
      <c r="V245" s="185"/>
    </row>
    <row r="246" spans="1:22" s="279" customFormat="1" ht="18" hidden="1" customHeight="1">
      <c r="A246" s="277"/>
      <c r="B246" s="689" t="s">
        <v>473</v>
      </c>
      <c r="C246" s="1150" t="s">
        <v>652</v>
      </c>
      <c r="G246" s="802">
        <f>H244</f>
        <v>3</v>
      </c>
      <c r="H246" s="1151" t="s">
        <v>315</v>
      </c>
      <c r="I246" s="829">
        <f>S240</f>
        <v>0</v>
      </c>
      <c r="J246" s="1152"/>
      <c r="K246" s="1152"/>
      <c r="L246" s="1152"/>
      <c r="M246" s="1152"/>
      <c r="N246" s="689" t="s">
        <v>672</v>
      </c>
      <c r="O246" s="708">
        <f>S237</f>
        <v>5</v>
      </c>
      <c r="P246" s="689" t="s">
        <v>347</v>
      </c>
      <c r="Q246" s="829">
        <f>S238</f>
        <v>1.4145261800000002</v>
      </c>
      <c r="R246" s="708" t="s">
        <v>674</v>
      </c>
      <c r="S246" s="708">
        <f>S239</f>
        <v>1</v>
      </c>
      <c r="T246" s="14"/>
      <c r="U246" s="729" t="s">
        <v>653</v>
      </c>
      <c r="V246" s="185"/>
    </row>
    <row r="247" spans="1:22" s="279" customFormat="1" ht="18" hidden="1" customHeight="1">
      <c r="A247" s="277"/>
      <c r="B247" s="689"/>
      <c r="C247" s="689"/>
      <c r="G247" s="802"/>
      <c r="H247" s="684"/>
      <c r="I247" s="689">
        <v>1.3</v>
      </c>
      <c r="J247" s="684"/>
      <c r="K247" s="28" t="s">
        <v>315</v>
      </c>
      <c r="L247" s="689">
        <f>S236</f>
        <v>3200</v>
      </c>
      <c r="M247" s="684"/>
      <c r="N247" s="689"/>
      <c r="O247" s="689"/>
      <c r="P247" s="689"/>
      <c r="Q247" s="689"/>
      <c r="R247" s="689"/>
      <c r="S247" s="689"/>
      <c r="T247" s="14"/>
      <c r="U247" s="689"/>
      <c r="V247" s="185"/>
    </row>
    <row r="248" spans="1:22" ht="18" hidden="1" customHeight="1">
      <c r="A248" s="96"/>
      <c r="B248" s="14"/>
      <c r="C248" s="27" t="s">
        <v>127</v>
      </c>
      <c r="D248" s="812">
        <f>G246*(I246/(I247*L247)*(O246+Q246)*S246)</f>
        <v>0</v>
      </c>
      <c r="E248" s="813"/>
      <c r="F248" s="30" t="s">
        <v>305</v>
      </c>
      <c r="G248" s="14"/>
      <c r="H248" s="14"/>
      <c r="I248" s="14"/>
      <c r="J248" s="14"/>
      <c r="K248" s="14"/>
      <c r="L248" s="14"/>
      <c r="M248" s="14"/>
      <c r="N248" s="14"/>
      <c r="R248" s="234"/>
      <c r="S248" s="204"/>
      <c r="V248" s="185"/>
    </row>
    <row r="249" spans="1:22" ht="18" hidden="1" customHeight="1">
      <c r="A249" s="96"/>
      <c r="B249" s="14"/>
      <c r="G249" s="14"/>
      <c r="H249" s="14"/>
      <c r="I249" s="14"/>
      <c r="J249" s="14"/>
      <c r="K249" s="14"/>
      <c r="L249" s="14"/>
      <c r="M249" s="14"/>
      <c r="N249" s="14"/>
      <c r="R249" s="234"/>
      <c r="S249" s="204"/>
      <c r="V249" s="185"/>
    </row>
    <row r="250" spans="1:22" ht="18" hidden="1" customHeight="1">
      <c r="A250" s="96"/>
      <c r="B250" s="14"/>
      <c r="D250" s="30" t="s">
        <v>475</v>
      </c>
      <c r="G250" s="27" t="str">
        <f>IF(E251&gt;H251,"&gt;","&lt;")</f>
        <v>&gt;</v>
      </c>
      <c r="H250" s="30" t="s">
        <v>477</v>
      </c>
      <c r="M250" s="14"/>
      <c r="N250" s="14"/>
      <c r="R250" s="234"/>
      <c r="S250" s="204"/>
      <c r="V250" s="185"/>
    </row>
    <row r="251" spans="1:22" ht="18" hidden="1" customHeight="1">
      <c r="A251" s="96"/>
      <c r="B251" s="14"/>
      <c r="E251" s="684">
        <f>J137</f>
        <v>600</v>
      </c>
      <c r="F251" s="684"/>
      <c r="G251" s="27" t="str">
        <f>G250</f>
        <v>&gt;</v>
      </c>
      <c r="H251" s="795">
        <f>D248</f>
        <v>0</v>
      </c>
      <c r="I251" s="684"/>
      <c r="M251" s="14"/>
      <c r="N251" s="14"/>
      <c r="R251" s="234"/>
      <c r="S251" s="204"/>
      <c r="V251" s="185"/>
    </row>
    <row r="252" spans="1:22" ht="18" hidden="1" customHeight="1">
      <c r="A252" s="96"/>
      <c r="B252" s="14"/>
      <c r="F252" s="244" t="s">
        <v>478</v>
      </c>
      <c r="H252" s="18" t="str">
        <f>IF(G250="&gt;","Suitably Dimentioned","Under Dimentioned")</f>
        <v>Suitably Dimentioned</v>
      </c>
      <c r="M252" s="14"/>
      <c r="N252" s="14"/>
      <c r="R252" s="234"/>
      <c r="S252" s="204"/>
      <c r="V252" s="185"/>
    </row>
    <row r="253" spans="1:22" ht="18" hidden="1" customHeight="1">
      <c r="A253" s="96"/>
      <c r="B253" s="14"/>
      <c r="G253" s="14"/>
      <c r="H253" s="14"/>
      <c r="I253" s="14"/>
      <c r="J253" s="14"/>
      <c r="K253" s="14"/>
      <c r="L253" s="14"/>
      <c r="M253" s="14"/>
      <c r="N253" s="14"/>
      <c r="R253" s="234"/>
      <c r="S253" s="204"/>
      <c r="V253" s="185"/>
    </row>
    <row r="254" spans="1:22" ht="18" hidden="1" customHeight="1">
      <c r="A254" s="193" t="s">
        <v>695</v>
      </c>
      <c r="B254" s="14"/>
      <c r="G254" s="14"/>
      <c r="H254" s="14"/>
      <c r="I254" s="14"/>
      <c r="J254" s="14"/>
      <c r="K254" s="14"/>
      <c r="L254" s="14"/>
      <c r="M254" s="14"/>
      <c r="N254" s="14"/>
      <c r="R254" s="234"/>
      <c r="S254" s="204"/>
      <c r="V254" s="185"/>
    </row>
    <row r="255" spans="1:22" ht="18" hidden="1" customHeight="1">
      <c r="A255" s="96"/>
      <c r="B255" s="14"/>
      <c r="D255" s="802" t="s">
        <v>696</v>
      </c>
      <c r="E255" s="716"/>
      <c r="F255" s="689" t="s">
        <v>127</v>
      </c>
      <c r="G255" s="708" t="s">
        <v>423</v>
      </c>
      <c r="H255" s="1147"/>
      <c r="I255" s="689" t="s">
        <v>315</v>
      </c>
      <c r="J255" s="708" t="s">
        <v>697</v>
      </c>
      <c r="K255" s="1147"/>
      <c r="L255" s="14"/>
      <c r="M255" s="14"/>
      <c r="N255" s="14"/>
      <c r="R255" s="234"/>
      <c r="S255" s="204"/>
      <c r="V255" s="185"/>
    </row>
    <row r="256" spans="1:22" ht="18" hidden="1" customHeight="1">
      <c r="A256" s="96"/>
      <c r="B256" s="14"/>
      <c r="D256" s="716"/>
      <c r="E256" s="716"/>
      <c r="F256" s="689"/>
      <c r="G256" s="689" t="s">
        <v>680</v>
      </c>
      <c r="H256" s="716"/>
      <c r="I256" s="689"/>
      <c r="J256" s="689" t="s">
        <v>411</v>
      </c>
      <c r="K256" s="716"/>
      <c r="L256" s="14"/>
      <c r="M256" s="14"/>
      <c r="N256" s="14"/>
      <c r="R256" s="234"/>
      <c r="S256" s="204"/>
      <c r="V256" s="185"/>
    </row>
    <row r="257" spans="1:22" ht="18" hidden="1" customHeight="1">
      <c r="A257" s="96"/>
      <c r="B257" s="14"/>
      <c r="G257" s="14"/>
      <c r="H257" s="14"/>
      <c r="I257" s="14"/>
      <c r="J257" s="14"/>
      <c r="K257" s="14"/>
      <c r="L257" s="14"/>
      <c r="M257" s="14"/>
      <c r="N257" s="14"/>
      <c r="R257" s="234"/>
      <c r="S257" s="204"/>
      <c r="V257" s="185"/>
    </row>
    <row r="258" spans="1:22" ht="18" hidden="1" customHeight="1">
      <c r="A258" s="96"/>
      <c r="B258" s="14"/>
      <c r="F258" s="689" t="s">
        <v>127</v>
      </c>
      <c r="G258" s="708">
        <f>S236</f>
        <v>3200</v>
      </c>
      <c r="H258" s="1147"/>
      <c r="I258" s="689" t="s">
        <v>315</v>
      </c>
      <c r="J258" s="708">
        <f>S242</f>
        <v>1</v>
      </c>
      <c r="K258" s="1147"/>
      <c r="L258" s="14"/>
      <c r="M258" s="14"/>
      <c r="N258" s="14"/>
      <c r="R258" s="234"/>
      <c r="S258" s="204"/>
      <c r="V258" s="185"/>
    </row>
    <row r="259" spans="1:22" ht="18" hidden="1" customHeight="1">
      <c r="A259" s="96"/>
      <c r="B259" s="14"/>
      <c r="F259" s="689"/>
      <c r="G259" s="692">
        <f>J161</f>
        <v>437.38656756789834</v>
      </c>
      <c r="H259" s="716"/>
      <c r="I259" s="689"/>
      <c r="J259" s="689">
        <f>S239</f>
        <v>1</v>
      </c>
      <c r="K259" s="716"/>
      <c r="L259" s="14"/>
      <c r="M259" s="14"/>
      <c r="N259" s="14"/>
      <c r="R259" s="234"/>
      <c r="S259" s="204"/>
      <c r="V259" s="185"/>
    </row>
    <row r="260" spans="1:22" ht="18" hidden="1" customHeight="1">
      <c r="A260" s="96"/>
      <c r="B260" s="14"/>
      <c r="G260" s="14"/>
      <c r="H260" s="14"/>
      <c r="I260" s="14"/>
      <c r="J260" s="14"/>
      <c r="K260" s="14"/>
      <c r="L260" s="14"/>
      <c r="M260" s="14"/>
      <c r="N260" s="14"/>
      <c r="R260" s="234"/>
      <c r="S260" s="204"/>
      <c r="V260" s="185"/>
    </row>
    <row r="261" spans="1:22" ht="18" hidden="1" customHeight="1">
      <c r="A261" s="96"/>
      <c r="B261" s="14"/>
      <c r="F261" s="27" t="s">
        <v>127</v>
      </c>
      <c r="G261" s="716">
        <f>(G258/G259)*(J258/J259)</f>
        <v>7.3161826111709374</v>
      </c>
      <c r="H261" s="716"/>
      <c r="I261" s="14"/>
      <c r="J261" s="14"/>
      <c r="K261" s="14"/>
      <c r="L261" s="14"/>
      <c r="M261" s="14"/>
      <c r="N261" s="14"/>
      <c r="R261" s="234"/>
      <c r="S261" s="204"/>
      <c r="V261" s="185"/>
    </row>
    <row r="262" spans="1:22" ht="18" hidden="1" customHeight="1">
      <c r="A262" s="96"/>
      <c r="B262" s="14"/>
      <c r="G262" s="14"/>
      <c r="H262" s="14"/>
      <c r="I262" s="14"/>
      <c r="J262" s="14"/>
      <c r="K262" s="14"/>
      <c r="L262" s="14"/>
      <c r="M262" s="14"/>
      <c r="N262" s="14"/>
      <c r="R262" s="234"/>
      <c r="S262" s="204"/>
      <c r="V262" s="185"/>
    </row>
    <row r="263" spans="1:22" ht="18" hidden="1" customHeight="1">
      <c r="A263" s="96"/>
      <c r="B263" s="14"/>
      <c r="D263" s="283" t="s">
        <v>698</v>
      </c>
      <c r="E263" s="284" t="s">
        <v>699</v>
      </c>
      <c r="F263" s="689" t="s">
        <v>696</v>
      </c>
      <c r="G263" s="716"/>
      <c r="H263" s="716"/>
      <c r="I263" s="284" t="s">
        <v>699</v>
      </c>
      <c r="J263" s="28">
        <v>4</v>
      </c>
      <c r="L263" s="279"/>
      <c r="M263" s="120" t="s">
        <v>700</v>
      </c>
      <c r="N263" s="47" t="s">
        <v>701</v>
      </c>
      <c r="O263" s="279"/>
      <c r="P263" s="236"/>
      <c r="Q263" s="236"/>
      <c r="R263" s="234"/>
      <c r="S263" s="204"/>
      <c r="V263" s="185"/>
    </row>
    <row r="264" spans="1:22" ht="18" hidden="1" customHeight="1">
      <c r="A264" s="96"/>
      <c r="B264" s="14"/>
      <c r="D264" s="218">
        <v>0.25</v>
      </c>
      <c r="E264" s="284" t="str">
        <f>IF(D264&lt;=G261,"≤","&gt;")</f>
        <v>≤</v>
      </c>
      <c r="F264" s="688">
        <f>G261</f>
        <v>7.3161826111709374</v>
      </c>
      <c r="G264" s="1145"/>
      <c r="H264" s="688"/>
      <c r="I264" s="284" t="str">
        <f>IF(G261&lt;=J263,"≤","&gt;")</f>
        <v>&gt;</v>
      </c>
      <c r="J264" s="28">
        <f>J263</f>
        <v>4</v>
      </c>
      <c r="L264" s="279"/>
      <c r="M264" s="120"/>
      <c r="N264" s="213"/>
      <c r="O264" s="279"/>
      <c r="P264" s="236"/>
      <c r="Q264" s="236"/>
      <c r="R264" s="234"/>
      <c r="S264" s="204"/>
      <c r="V264" s="185"/>
    </row>
    <row r="265" spans="1:22" ht="18" hidden="1" customHeight="1">
      <c r="A265" s="96"/>
      <c r="B265" s="14"/>
      <c r="G265" s="14"/>
      <c r="H265" s="14"/>
      <c r="I265" s="14"/>
      <c r="J265" s="14"/>
      <c r="K265" s="14"/>
      <c r="L265" s="14"/>
      <c r="M265" s="14"/>
      <c r="N265" s="14"/>
      <c r="R265" s="234"/>
      <c r="S265" s="204"/>
      <c r="V265" s="185"/>
    </row>
    <row r="266" spans="1:22" ht="18" hidden="1" customHeight="1">
      <c r="A266" s="96"/>
      <c r="B266" s="14" t="s">
        <v>702</v>
      </c>
      <c r="G266" s="14"/>
      <c r="H266" s="18" t="str">
        <f>IF(AND(E264="≤",I264="≤")=TRUE,"OK","Not OK")</f>
        <v>Not OK</v>
      </c>
      <c r="I266" s="14"/>
      <c r="J266" s="14"/>
      <c r="K266" s="14"/>
      <c r="L266" s="14"/>
      <c r="M266" s="14"/>
      <c r="N266" s="14"/>
      <c r="R266" s="234"/>
      <c r="S266" s="204"/>
      <c r="V266" s="185"/>
    </row>
    <row r="267" spans="1:22" ht="18" hidden="1" customHeight="1">
      <c r="A267" s="96"/>
      <c r="B267" s="14"/>
      <c r="G267" s="14"/>
      <c r="H267" s="18"/>
      <c r="I267" s="14"/>
      <c r="J267" s="14"/>
      <c r="K267" s="14"/>
      <c r="L267" s="14"/>
      <c r="M267" s="14"/>
      <c r="N267" s="14"/>
      <c r="R267" s="234"/>
      <c r="S267" s="204"/>
      <c r="V267" s="185"/>
    </row>
    <row r="268" spans="1:22" ht="18" hidden="1" customHeight="1">
      <c r="A268" s="96"/>
      <c r="B268" s="14"/>
      <c r="G268" s="14"/>
      <c r="H268" s="18"/>
      <c r="I268" s="14"/>
      <c r="J268" s="14"/>
      <c r="K268" s="14"/>
      <c r="L268" s="14"/>
      <c r="M268" s="14"/>
      <c r="N268" s="14"/>
      <c r="R268" s="234"/>
      <c r="S268" s="204"/>
      <c r="V268" s="185"/>
    </row>
    <row r="269" spans="1:22" ht="18" hidden="1" customHeight="1">
      <c r="A269" s="96"/>
      <c r="B269" s="14"/>
      <c r="G269" s="14"/>
      <c r="H269" s="18"/>
      <c r="I269" s="14"/>
      <c r="J269" s="14"/>
      <c r="K269" s="14"/>
      <c r="L269" s="14"/>
      <c r="M269" s="14"/>
      <c r="N269" s="14"/>
      <c r="R269" s="234"/>
      <c r="S269" s="204"/>
      <c r="V269" s="185"/>
    </row>
    <row r="270" spans="1:22" ht="18" hidden="1" customHeight="1">
      <c r="A270" s="96"/>
      <c r="B270" s="14"/>
      <c r="G270" s="14"/>
      <c r="H270" s="18"/>
      <c r="I270" s="14"/>
      <c r="J270" s="14"/>
      <c r="K270" s="14"/>
      <c r="L270" s="14"/>
      <c r="M270" s="14"/>
      <c r="N270" s="14"/>
      <c r="R270" s="234"/>
      <c r="S270" s="204"/>
      <c r="V270" s="185"/>
    </row>
    <row r="271" spans="1:22" ht="18" hidden="1" customHeight="1">
      <c r="A271" s="96"/>
      <c r="B271" s="14"/>
      <c r="G271" s="14"/>
      <c r="H271" s="18"/>
      <c r="I271" s="14"/>
      <c r="J271" s="14"/>
      <c r="K271" s="14"/>
      <c r="L271" s="14"/>
      <c r="M271" s="14"/>
      <c r="N271" s="14"/>
      <c r="R271" s="234"/>
      <c r="S271" s="204"/>
      <c r="V271" s="185"/>
    </row>
    <row r="272" spans="1:22" ht="18" hidden="1" customHeight="1">
      <c r="A272" s="96"/>
      <c r="B272" s="14"/>
      <c r="G272" s="14"/>
      <c r="H272" s="14"/>
      <c r="I272" s="14"/>
      <c r="J272" s="14"/>
      <c r="K272" s="14"/>
      <c r="L272" s="14"/>
      <c r="M272" s="14"/>
      <c r="N272" s="14"/>
      <c r="R272" s="234"/>
      <c r="S272" s="204"/>
      <c r="V272" s="185"/>
    </row>
    <row r="273" spans="1:29" s="14" customFormat="1" ht="18" hidden="1" customHeight="1">
      <c r="A273" s="194"/>
      <c r="B273" s="195"/>
      <c r="C273" s="195"/>
      <c r="D273" s="195"/>
      <c r="E273" s="195"/>
      <c r="F273" s="195"/>
      <c r="G273" s="195"/>
      <c r="H273" s="195"/>
      <c r="I273" s="195"/>
      <c r="J273" s="195"/>
      <c r="K273" s="195"/>
      <c r="L273" s="195"/>
      <c r="M273" s="195"/>
      <c r="N273" s="195"/>
      <c r="O273" s="195"/>
      <c r="P273" s="195"/>
      <c r="Q273" s="224"/>
      <c r="R273" s="182"/>
      <c r="S273" s="225"/>
      <c r="T273" s="195"/>
      <c r="U273" s="195"/>
      <c r="V273" s="134" t="s">
        <v>552</v>
      </c>
    </row>
    <row r="274" spans="1:29" ht="18" hidden="1" customHeight="1">
      <c r="A274" s="226"/>
      <c r="B274" s="227"/>
      <c r="C274" s="227"/>
      <c r="D274" s="227"/>
      <c r="E274" s="227"/>
      <c r="F274" s="227"/>
      <c r="G274" s="227"/>
      <c r="H274" s="227"/>
      <c r="I274" s="227"/>
      <c r="J274" s="227"/>
      <c r="K274" s="227"/>
      <c r="L274" s="227"/>
      <c r="M274" s="227"/>
      <c r="N274" s="227"/>
      <c r="O274" s="227"/>
      <c r="P274" s="227"/>
      <c r="Q274" s="227"/>
      <c r="R274" s="227"/>
      <c r="S274" s="227"/>
      <c r="T274" s="227"/>
      <c r="U274" s="227"/>
      <c r="V274" s="228"/>
    </row>
    <row r="275" spans="1:29" ht="18" hidden="1" customHeight="1">
      <c r="A275" s="184"/>
      <c r="B275" s="854" t="str">
        <f>B131</f>
        <v>T1</v>
      </c>
      <c r="C275" s="831"/>
      <c r="D275" s="855" t="str">
        <f>D131</f>
        <v>Core2</v>
      </c>
      <c r="E275" s="856"/>
      <c r="F275" s="186" t="s">
        <v>631</v>
      </c>
      <c r="H275" s="684" t="str">
        <f>H131</f>
        <v>(Transformer Differential)</v>
      </c>
      <c r="I275" s="684"/>
      <c r="J275" s="684"/>
      <c r="K275" s="684"/>
      <c r="L275" s="684"/>
      <c r="M275" s="684"/>
      <c r="P275" s="186"/>
      <c r="S275" s="187" t="s">
        <v>387</v>
      </c>
      <c r="T275" s="1154" t="str">
        <f>T131</f>
        <v>7UT85</v>
      </c>
      <c r="U275" s="1155"/>
      <c r="V275" s="185"/>
    </row>
    <row r="276" spans="1:29" ht="18" hidden="1" customHeight="1">
      <c r="A276" s="184"/>
      <c r="B276" s="853">
        <f>B132</f>
        <v>0</v>
      </c>
      <c r="C276" s="853"/>
      <c r="D276" s="857"/>
      <c r="E276" s="858"/>
      <c r="F276" s="287"/>
      <c r="T276" s="1154" t="str">
        <f>T132</f>
        <v>IDM+</v>
      </c>
      <c r="U276" s="1155"/>
      <c r="V276" s="185"/>
    </row>
    <row r="277" spans="1:29" ht="18" hidden="1" customHeight="1">
      <c r="A277" s="184"/>
      <c r="H277" s="708" t="s">
        <v>390</v>
      </c>
      <c r="I277" s="708"/>
      <c r="J277" s="708" t="s">
        <v>391</v>
      </c>
      <c r="K277" s="708"/>
      <c r="L277" s="789" t="s">
        <v>392</v>
      </c>
      <c r="M277" s="789"/>
      <c r="T277" s="1154" t="str">
        <f>T133</f>
        <v>REF615</v>
      </c>
      <c r="U277" s="1155"/>
      <c r="V277" s="185"/>
    </row>
    <row r="278" spans="1:29" ht="18" hidden="1" customHeight="1">
      <c r="A278" s="184"/>
      <c r="B278" s="47" t="s">
        <v>393</v>
      </c>
      <c r="H278" s="854">
        <f>H134</f>
        <v>2800</v>
      </c>
      <c r="I278" s="831"/>
      <c r="J278" s="854">
        <f>J134</f>
        <v>3200</v>
      </c>
      <c r="K278" s="831"/>
      <c r="L278" s="863" t="str">
        <f>L134</f>
        <v>-</v>
      </c>
      <c r="M278" s="864"/>
      <c r="N278" s="102" t="s">
        <v>342</v>
      </c>
      <c r="O278" s="256">
        <f>O134</f>
        <v>1</v>
      </c>
      <c r="P278" s="27" t="s">
        <v>8</v>
      </c>
      <c r="V278" s="185"/>
    </row>
    <row r="279" spans="1:29" ht="18" hidden="1" customHeight="1">
      <c r="A279" s="184"/>
      <c r="B279" s="47" t="s">
        <v>394</v>
      </c>
      <c r="H279" s="14"/>
      <c r="I279" s="14"/>
      <c r="L279" s="854" t="str">
        <f>J135</f>
        <v>PX</v>
      </c>
      <c r="M279" s="776"/>
      <c r="V279" s="185"/>
    </row>
    <row r="280" spans="1:29" ht="18" hidden="1" customHeight="1">
      <c r="A280" s="184"/>
      <c r="B280" s="47" t="s">
        <v>396</v>
      </c>
      <c r="K280" s="120" t="s">
        <v>497</v>
      </c>
      <c r="L280" s="781">
        <v>3</v>
      </c>
      <c r="M280" s="782"/>
      <c r="N280" s="192" t="s">
        <v>333</v>
      </c>
      <c r="V280" s="185"/>
    </row>
    <row r="281" spans="1:29" ht="18" hidden="1" customHeight="1">
      <c r="A281" s="184"/>
      <c r="B281" s="47" t="s">
        <v>398</v>
      </c>
      <c r="K281" s="120" t="s">
        <v>498</v>
      </c>
      <c r="L281" s="781">
        <v>200</v>
      </c>
      <c r="M281" s="782"/>
      <c r="N281" s="14" t="s">
        <v>305</v>
      </c>
      <c r="V281" s="185"/>
      <c r="W281" s="30" t="s">
        <v>400</v>
      </c>
      <c r="AB281" s="785" t="e">
        <f>D336</f>
        <v>#VALUE!</v>
      </c>
      <c r="AC281" s="786"/>
    </row>
    <row r="282" spans="1:29" ht="18" hidden="1" customHeight="1">
      <c r="A282" s="184"/>
      <c r="B282" s="14" t="s">
        <v>401</v>
      </c>
      <c r="K282" s="120" t="s">
        <v>402</v>
      </c>
      <c r="L282" s="781">
        <v>50</v>
      </c>
      <c r="M282" s="782"/>
      <c r="N282" s="30" t="s">
        <v>403</v>
      </c>
      <c r="V282" s="185"/>
    </row>
    <row r="283" spans="1:29" ht="18" hidden="1" customHeight="1">
      <c r="A283" s="96"/>
      <c r="V283" s="185"/>
    </row>
    <row r="284" spans="1:29" ht="18" hidden="1" customHeight="1">
      <c r="A284" s="193" t="s">
        <v>404</v>
      </c>
      <c r="V284" s="185"/>
    </row>
    <row r="285" spans="1:29" ht="18" hidden="1" customHeight="1">
      <c r="A285" s="184"/>
      <c r="V285" s="185"/>
    </row>
    <row r="286" spans="1:29" ht="18" hidden="1" customHeight="1">
      <c r="A286" s="184"/>
      <c r="B286" s="194" t="s">
        <v>405</v>
      </c>
      <c r="C286" s="195"/>
      <c r="D286" s="195" t="str">
        <f>T275</f>
        <v>7UT85</v>
      </c>
      <c r="E286" s="196"/>
      <c r="F286" s="196"/>
      <c r="G286" s="196"/>
      <c r="H286" s="182" t="s">
        <v>406</v>
      </c>
      <c r="I286" s="183" t="s">
        <v>127</v>
      </c>
      <c r="J286" s="766">
        <f>J142</f>
        <v>0.1</v>
      </c>
      <c r="K286" s="958"/>
      <c r="L286" s="3" t="s">
        <v>157</v>
      </c>
      <c r="V286" s="185"/>
    </row>
    <row r="287" spans="1:29" ht="18" hidden="1" customHeight="1">
      <c r="A287" s="184"/>
      <c r="B287" s="184" t="s">
        <v>405</v>
      </c>
      <c r="D287" s="30" t="str">
        <f>T276</f>
        <v>IDM+</v>
      </c>
      <c r="H287" s="27"/>
      <c r="I287" s="177" t="s">
        <v>127</v>
      </c>
      <c r="J287" s="861">
        <f>J143</f>
        <v>5.8000000000000003E-2</v>
      </c>
      <c r="K287" s="989"/>
      <c r="L287" s="198" t="s">
        <v>157</v>
      </c>
      <c r="V287" s="185"/>
    </row>
    <row r="288" spans="1:29" ht="18" hidden="1" customHeight="1">
      <c r="A288" s="184"/>
      <c r="B288" s="184" t="s">
        <v>405</v>
      </c>
      <c r="D288" s="30" t="str">
        <f>T277</f>
        <v>REF615</v>
      </c>
      <c r="E288" s="14"/>
      <c r="G288" s="199"/>
      <c r="H288" s="27"/>
      <c r="I288" s="177" t="s">
        <v>127</v>
      </c>
      <c r="J288" s="696">
        <f>J144</f>
        <v>0.02</v>
      </c>
      <c r="K288" s="820"/>
      <c r="L288" s="202" t="s">
        <v>157</v>
      </c>
      <c r="V288" s="185"/>
    </row>
    <row r="289" spans="1:22" ht="18" hidden="1" customHeight="1">
      <c r="A289" s="184"/>
      <c r="B289" s="184" t="s">
        <v>412</v>
      </c>
      <c r="H289" s="27" t="s">
        <v>599</v>
      </c>
      <c r="I289" s="177" t="s">
        <v>127</v>
      </c>
      <c r="J289" s="861">
        <f>J145</f>
        <v>1.25652618</v>
      </c>
      <c r="K289" s="989"/>
      <c r="L289" s="203" t="s">
        <v>157</v>
      </c>
      <c r="V289" s="185"/>
    </row>
    <row r="290" spans="1:22" ht="18" hidden="1" customHeight="1">
      <c r="A290" s="184"/>
      <c r="B290" s="205" t="s">
        <v>413</v>
      </c>
      <c r="C290" s="206"/>
      <c r="D290" s="206"/>
      <c r="E290" s="206"/>
      <c r="F290" s="207"/>
      <c r="G290" s="207"/>
      <c r="H290" s="190" t="s">
        <v>409</v>
      </c>
      <c r="I290" s="208" t="s">
        <v>127</v>
      </c>
      <c r="J290" s="766">
        <f>J287+J289</f>
        <v>1.3145261800000001</v>
      </c>
      <c r="K290" s="958"/>
      <c r="L290" s="210" t="s">
        <v>157</v>
      </c>
      <c r="V290" s="185"/>
    </row>
    <row r="291" spans="1:22" ht="18" hidden="1" customHeight="1">
      <c r="A291" s="184"/>
      <c r="B291" s="47"/>
      <c r="C291" s="47"/>
      <c r="D291" s="47"/>
      <c r="E291" s="47"/>
      <c r="H291" s="27"/>
      <c r="I291" s="28"/>
      <c r="J291" s="199"/>
      <c r="L291" s="47"/>
      <c r="O291" s="27"/>
      <c r="P291" s="211"/>
      <c r="Q291" s="211"/>
      <c r="R291" s="192"/>
      <c r="V291" s="185"/>
    </row>
    <row r="292" spans="1:22" ht="18" hidden="1" customHeight="1">
      <c r="A292" s="184"/>
      <c r="B292" s="197" t="s">
        <v>648</v>
      </c>
      <c r="L292" s="47"/>
      <c r="M292" s="197" t="s">
        <v>407</v>
      </c>
      <c r="V292" s="185"/>
    </row>
    <row r="293" spans="1:22" ht="18" hidden="1" customHeight="1">
      <c r="A293" s="184"/>
      <c r="B293" s="27" t="s">
        <v>649</v>
      </c>
      <c r="C293" s="27" t="s">
        <v>127</v>
      </c>
      <c r="D293" s="30" t="s">
        <v>406</v>
      </c>
      <c r="E293" s="271" t="s">
        <v>410</v>
      </c>
      <c r="F293" s="27" t="s">
        <v>146</v>
      </c>
      <c r="G293" s="28" t="s">
        <v>315</v>
      </c>
      <c r="H293" s="218" t="s">
        <v>146</v>
      </c>
      <c r="I293" s="30" t="s">
        <v>350</v>
      </c>
      <c r="J293" s="199"/>
      <c r="L293" s="47"/>
      <c r="M293" s="30" t="s">
        <v>408</v>
      </c>
      <c r="N293" s="27" t="s">
        <v>127</v>
      </c>
      <c r="O293" s="30" t="s">
        <v>409</v>
      </c>
      <c r="P293" s="191" t="s">
        <v>410</v>
      </c>
      <c r="Q293" s="244" t="s">
        <v>411</v>
      </c>
      <c r="R293" s="27" t="s">
        <v>315</v>
      </c>
      <c r="S293" s="30" t="s">
        <v>411</v>
      </c>
      <c r="T293" s="30" t="s">
        <v>350</v>
      </c>
      <c r="V293" s="185"/>
    </row>
    <row r="294" spans="1:22" ht="18" hidden="1" customHeight="1">
      <c r="A294" s="184"/>
      <c r="B294" s="47"/>
      <c r="C294" s="27" t="s">
        <v>127</v>
      </c>
      <c r="D294" s="204">
        <f>J286</f>
        <v>0.1</v>
      </c>
      <c r="E294" s="191" t="s">
        <v>410</v>
      </c>
      <c r="F294" s="27">
        <f>F150</f>
        <v>1</v>
      </c>
      <c r="G294" s="27" t="s">
        <v>315</v>
      </c>
      <c r="H294" s="27">
        <f>H150</f>
        <v>1</v>
      </c>
      <c r="I294" s="30" t="s">
        <v>350</v>
      </c>
      <c r="J294" s="199"/>
      <c r="L294" s="47"/>
      <c r="N294" s="27" t="s">
        <v>127</v>
      </c>
      <c r="O294" s="204">
        <f>J290</f>
        <v>1.3145261800000001</v>
      </c>
      <c r="P294" s="191" t="s">
        <v>410</v>
      </c>
      <c r="Q294" s="27">
        <f>O278</f>
        <v>1</v>
      </c>
      <c r="R294" s="27" t="s">
        <v>315</v>
      </c>
      <c r="S294" s="27">
        <f>O278</f>
        <v>1</v>
      </c>
      <c r="T294" s="30" t="s">
        <v>350</v>
      </c>
      <c r="V294" s="185"/>
    </row>
    <row r="295" spans="1:22" ht="18" hidden="1" customHeight="1">
      <c r="A295" s="184"/>
      <c r="B295" s="47"/>
      <c r="C295" s="27" t="s">
        <v>127</v>
      </c>
      <c r="D295" s="795">
        <f>D294/(F294*H294)</f>
        <v>0.1</v>
      </c>
      <c r="E295" s="795"/>
      <c r="F295" s="192" t="s">
        <v>333</v>
      </c>
      <c r="J295" s="199"/>
      <c r="L295" s="47"/>
      <c r="N295" s="27" t="s">
        <v>127</v>
      </c>
      <c r="O295" s="795">
        <f>O294/(Q294*S294)</f>
        <v>1.3145261800000001</v>
      </c>
      <c r="P295" s="795"/>
      <c r="Q295" s="192" t="s">
        <v>333</v>
      </c>
      <c r="V295" s="185"/>
    </row>
    <row r="296" spans="1:22" ht="18" hidden="1" customHeight="1">
      <c r="A296" s="184"/>
      <c r="B296" s="47"/>
      <c r="C296" s="47"/>
      <c r="D296" s="47"/>
      <c r="E296" s="47"/>
      <c r="H296" s="27"/>
      <c r="I296" s="28"/>
      <c r="J296" s="199"/>
      <c r="L296" s="47"/>
      <c r="O296" s="27"/>
      <c r="P296" s="211"/>
      <c r="Q296" s="211"/>
      <c r="R296" s="192"/>
      <c r="V296" s="185"/>
    </row>
    <row r="297" spans="1:22" ht="18" hidden="1" customHeight="1">
      <c r="A297" s="184"/>
      <c r="B297" s="47" t="s">
        <v>668</v>
      </c>
      <c r="C297" s="47"/>
      <c r="D297" s="47"/>
      <c r="E297" s="47"/>
      <c r="H297" s="27"/>
      <c r="I297" s="28"/>
      <c r="J297" s="199"/>
      <c r="L297" s="28" t="s">
        <v>127</v>
      </c>
      <c r="M297" s="795">
        <f>D295</f>
        <v>0.1</v>
      </c>
      <c r="N297" s="795"/>
      <c r="O297" s="27" t="s">
        <v>347</v>
      </c>
      <c r="P297" s="795">
        <f>O295</f>
        <v>1.3145261800000001</v>
      </c>
      <c r="Q297" s="795"/>
      <c r="R297" s="211" t="s">
        <v>127</v>
      </c>
      <c r="S297" s="795">
        <f>M297+P297</f>
        <v>1.4145261800000002</v>
      </c>
      <c r="T297" s="795"/>
      <c r="U297" s="192" t="s">
        <v>333</v>
      </c>
      <c r="V297" s="185"/>
    </row>
    <row r="298" spans="1:22" s="14" customFormat="1" ht="18" hidden="1" customHeight="1">
      <c r="A298" s="193" t="s">
        <v>600</v>
      </c>
      <c r="B298" s="5"/>
      <c r="C298" s="5"/>
      <c r="D298" s="5"/>
      <c r="E298" s="5"/>
      <c r="F298" s="5"/>
      <c r="G298" s="5"/>
      <c r="H298" s="212"/>
      <c r="I298" s="212"/>
      <c r="J298" s="5"/>
      <c r="K298" s="5"/>
      <c r="L298" s="5"/>
      <c r="M298" s="5"/>
      <c r="N298" s="5"/>
      <c r="O298" s="5"/>
      <c r="P298" s="103"/>
      <c r="Q298" s="212"/>
      <c r="R298" s="213"/>
      <c r="S298" s="214"/>
      <c r="T298" s="18"/>
      <c r="U298" s="18"/>
      <c r="V298" s="97"/>
    </row>
    <row r="299" spans="1:22" s="14" customFormat="1" ht="18" hidden="1" customHeight="1">
      <c r="A299" s="96"/>
      <c r="B299" s="47" t="s">
        <v>601</v>
      </c>
      <c r="C299" s="5"/>
      <c r="D299" s="5"/>
      <c r="E299" s="5"/>
      <c r="I299" s="215"/>
      <c r="M299" s="5"/>
      <c r="N299" s="103" t="s">
        <v>127</v>
      </c>
      <c r="O299" s="1154">
        <f>O155</f>
        <v>100</v>
      </c>
      <c r="P299" s="831"/>
      <c r="Q299" s="14" t="s">
        <v>602</v>
      </c>
      <c r="S299" s="214"/>
      <c r="T299" s="18"/>
      <c r="U299" s="18"/>
      <c r="V299" s="97"/>
    </row>
    <row r="300" spans="1:22" s="14" customFormat="1" ht="18" hidden="1" customHeight="1">
      <c r="A300" s="96"/>
      <c r="B300" s="47" t="s">
        <v>603</v>
      </c>
      <c r="C300" s="5"/>
      <c r="D300" s="5"/>
      <c r="E300" s="5"/>
      <c r="I300" s="215"/>
      <c r="M300" s="5"/>
      <c r="N300" s="103" t="s">
        <v>127</v>
      </c>
      <c r="O300" s="1154">
        <f>O156</f>
        <v>25</v>
      </c>
      <c r="P300" s="831"/>
      <c r="Q300" s="14" t="s">
        <v>604</v>
      </c>
      <c r="S300" s="214"/>
      <c r="T300" s="18"/>
      <c r="U300" s="18"/>
      <c r="V300" s="97"/>
    </row>
    <row r="301" spans="1:22" s="14" customFormat="1" ht="18" hidden="1" customHeight="1">
      <c r="A301" s="96"/>
      <c r="B301" s="47" t="s">
        <v>605</v>
      </c>
      <c r="C301" s="5"/>
      <c r="D301" s="5"/>
      <c r="E301" s="5"/>
      <c r="M301" s="120" t="s">
        <v>606</v>
      </c>
      <c r="N301" s="103" t="s">
        <v>607</v>
      </c>
      <c r="O301" s="1154">
        <f>O157</f>
        <v>132</v>
      </c>
      <c r="P301" s="831"/>
      <c r="Q301" s="14" t="s">
        <v>163</v>
      </c>
      <c r="S301" s="214"/>
      <c r="T301" s="18"/>
      <c r="U301" s="18"/>
      <c r="V301" s="97"/>
    </row>
    <row r="302" spans="1:22" s="14" customFormat="1" ht="18" hidden="1" customHeight="1">
      <c r="A302" s="216"/>
      <c r="B302" s="212"/>
      <c r="C302" s="212"/>
      <c r="D302" s="212"/>
      <c r="E302" s="212"/>
      <c r="T302" s="18"/>
      <c r="U302" s="18"/>
      <c r="V302" s="97"/>
    </row>
    <row r="303" spans="1:22" s="14" customFormat="1" ht="18" hidden="1" customHeight="1">
      <c r="A303" s="272" t="s">
        <v>608</v>
      </c>
      <c r="B303" s="213"/>
      <c r="C303" s="213"/>
      <c r="D303" s="213"/>
      <c r="E303" s="213"/>
      <c r="H303" s="120" t="s">
        <v>609</v>
      </c>
      <c r="I303" s="28" t="s">
        <v>127</v>
      </c>
      <c r="J303" s="689" t="s">
        <v>610</v>
      </c>
      <c r="K303" s="689"/>
      <c r="L303" s="28" t="s">
        <v>315</v>
      </c>
      <c r="M303" s="217">
        <v>1000</v>
      </c>
      <c r="N303" s="102" t="s">
        <v>342</v>
      </c>
      <c r="O303" s="28" t="s">
        <v>611</v>
      </c>
      <c r="P303" s="28" t="s">
        <v>315</v>
      </c>
      <c r="Q303" s="28" t="s">
        <v>606</v>
      </c>
      <c r="R303" s="47" t="s">
        <v>350</v>
      </c>
      <c r="T303" s="18"/>
      <c r="U303" s="18"/>
      <c r="V303" s="97"/>
    </row>
    <row r="304" spans="1:22" s="14" customFormat="1" ht="18" hidden="1" customHeight="1">
      <c r="A304" s="216"/>
      <c r="B304" s="213"/>
      <c r="C304" s="213"/>
      <c r="D304" s="213"/>
      <c r="E304" s="213"/>
      <c r="F304" s="212"/>
      <c r="G304" s="212"/>
      <c r="H304" s="28"/>
      <c r="I304" s="28" t="s">
        <v>127</v>
      </c>
      <c r="J304" s="689">
        <f>O299</f>
        <v>100</v>
      </c>
      <c r="K304" s="689"/>
      <c r="L304" s="28" t="s">
        <v>315</v>
      </c>
      <c r="M304" s="217">
        <v>1000</v>
      </c>
      <c r="N304" s="102" t="s">
        <v>342</v>
      </c>
      <c r="O304" s="28" t="s">
        <v>611</v>
      </c>
      <c r="P304" s="28" t="s">
        <v>315</v>
      </c>
      <c r="Q304" s="28">
        <f>O301</f>
        <v>132</v>
      </c>
      <c r="R304" s="47" t="s">
        <v>350</v>
      </c>
      <c r="T304" s="18"/>
      <c r="U304" s="18"/>
      <c r="V304" s="97"/>
    </row>
    <row r="305" spans="1:22" s="14" customFormat="1" ht="18" hidden="1" customHeight="1">
      <c r="A305" s="216"/>
      <c r="B305" s="212"/>
      <c r="C305" s="212"/>
      <c r="D305" s="212"/>
      <c r="E305" s="212"/>
      <c r="F305" s="212"/>
      <c r="G305" s="212"/>
      <c r="I305" s="28" t="s">
        <v>127</v>
      </c>
      <c r="J305" s="692">
        <f>(O299*1000)/(SQRT(3)*O301)</f>
        <v>437.38656756789834</v>
      </c>
      <c r="K305" s="692"/>
      <c r="L305" s="14" t="s">
        <v>8</v>
      </c>
      <c r="M305" s="120"/>
      <c r="N305" s="120"/>
      <c r="O305" s="120"/>
      <c r="T305" s="18"/>
      <c r="U305" s="18"/>
      <c r="V305" s="97"/>
    </row>
    <row r="306" spans="1:22" s="14" customFormat="1" ht="18" hidden="1" customHeight="1">
      <c r="A306" s="216"/>
      <c r="B306" s="212"/>
      <c r="C306" s="212"/>
      <c r="D306" s="212"/>
      <c r="E306" s="212"/>
      <c r="G306" s="212"/>
      <c r="H306" s="28"/>
      <c r="I306" s="103"/>
      <c r="J306" s="28"/>
      <c r="M306" s="212"/>
      <c r="N306" s="219"/>
      <c r="O306" s="212"/>
      <c r="T306" s="18"/>
      <c r="U306" s="18"/>
      <c r="V306" s="97"/>
    </row>
    <row r="307" spans="1:22" s="14" customFormat="1" ht="18" hidden="1" customHeight="1">
      <c r="A307" s="147" t="s">
        <v>629</v>
      </c>
      <c r="B307" s="5"/>
      <c r="C307" s="5"/>
      <c r="D307" s="5"/>
      <c r="E307" s="5"/>
      <c r="F307" s="212"/>
      <c r="G307" s="212"/>
      <c r="H307" s="5"/>
      <c r="I307" s="5"/>
      <c r="J307" s="5"/>
      <c r="K307" s="5"/>
      <c r="L307" s="103"/>
      <c r="M307" s="103"/>
      <c r="N307" s="103"/>
      <c r="O307" s="103"/>
      <c r="P307" s="212"/>
      <c r="Q307" s="213"/>
      <c r="S307" s="220"/>
      <c r="T307" s="18"/>
      <c r="U307" s="18"/>
      <c r="V307" s="97"/>
    </row>
    <row r="308" spans="1:22" s="14" customFormat="1" ht="18" hidden="1" customHeight="1">
      <c r="A308" s="147"/>
      <c r="B308" s="5"/>
      <c r="C308" s="5"/>
      <c r="D308" s="5"/>
      <c r="E308" s="5"/>
      <c r="F308" s="212"/>
      <c r="G308" s="212"/>
      <c r="H308" s="5"/>
      <c r="I308" s="5"/>
      <c r="J308" s="5"/>
      <c r="K308" s="5"/>
      <c r="L308" s="103"/>
      <c r="M308" s="103"/>
      <c r="N308" s="103"/>
      <c r="O308" s="103"/>
      <c r="P308" s="212"/>
      <c r="Q308" s="213"/>
      <c r="S308" s="214"/>
      <c r="T308" s="18"/>
      <c r="U308" s="18"/>
      <c r="V308" s="97"/>
    </row>
    <row r="309" spans="1:22" ht="18" hidden="1" customHeight="1">
      <c r="A309" s="96" t="s">
        <v>632</v>
      </c>
      <c r="B309" s="14"/>
      <c r="C309" s="14"/>
      <c r="D309" s="14"/>
      <c r="E309" s="14"/>
      <c r="M309" s="120" t="s">
        <v>613</v>
      </c>
      <c r="N309" s="28" t="s">
        <v>127</v>
      </c>
      <c r="O309" s="689" t="s">
        <v>609</v>
      </c>
      <c r="P309" s="716"/>
      <c r="Q309" s="221" t="s">
        <v>630</v>
      </c>
      <c r="R309" s="221">
        <v>16</v>
      </c>
      <c r="S309" s="214"/>
      <c r="V309" s="185"/>
    </row>
    <row r="310" spans="1:22" ht="18" hidden="1" customHeight="1">
      <c r="A310" s="96"/>
      <c r="B310" s="5"/>
      <c r="C310" s="5"/>
      <c r="D310" s="5"/>
      <c r="E310" s="5"/>
      <c r="M310" s="250"/>
      <c r="N310" s="28" t="s">
        <v>127</v>
      </c>
      <c r="O310" s="689">
        <f>+J305</f>
        <v>437.38656756789834</v>
      </c>
      <c r="P310" s="716"/>
      <c r="Q310" s="221" t="s">
        <v>630</v>
      </c>
      <c r="R310" s="221">
        <v>16</v>
      </c>
      <c r="S310" s="214"/>
      <c r="V310" s="185"/>
    </row>
    <row r="311" spans="1:22" ht="18" hidden="1" customHeight="1">
      <c r="A311" s="96"/>
      <c r="B311" s="5"/>
      <c r="C311" s="5"/>
      <c r="D311" s="5"/>
      <c r="E311" s="5"/>
      <c r="M311" s="120" t="s">
        <v>613</v>
      </c>
      <c r="N311" s="28" t="s">
        <v>127</v>
      </c>
      <c r="O311" s="689">
        <f>O310*R310</f>
        <v>6998.1850810863734</v>
      </c>
      <c r="P311" s="716"/>
      <c r="Q311" s="241" t="s">
        <v>8</v>
      </c>
      <c r="R311" s="14"/>
      <c r="S311" s="214"/>
      <c r="V311" s="185"/>
    </row>
    <row r="312" spans="1:22" ht="18" hidden="1" customHeight="1">
      <c r="A312" s="96"/>
      <c r="B312" s="5"/>
      <c r="C312" s="5"/>
      <c r="D312" s="5"/>
      <c r="E312" s="5"/>
      <c r="M312" s="120"/>
      <c r="N312" s="28"/>
      <c r="O312" s="28"/>
      <c r="P312" s="14"/>
      <c r="Q312" s="241"/>
      <c r="R312" s="14"/>
      <c r="S312" s="214"/>
      <c r="V312" s="185"/>
    </row>
    <row r="313" spans="1:22" ht="18" hidden="1" customHeight="1">
      <c r="A313" s="96"/>
      <c r="B313" s="5"/>
      <c r="C313" s="5"/>
      <c r="D313" s="5"/>
      <c r="E313" s="5"/>
      <c r="M313" s="120"/>
      <c r="N313" s="28"/>
      <c r="O313" s="28"/>
      <c r="P313" s="14"/>
      <c r="Q313" s="241"/>
      <c r="R313" s="14"/>
      <c r="S313" s="214"/>
      <c r="V313" s="185"/>
    </row>
    <row r="314" spans="1:22" ht="18" hidden="1" customHeight="1">
      <c r="A314" s="96"/>
      <c r="B314" s="5"/>
      <c r="C314" s="5"/>
      <c r="D314" s="5"/>
      <c r="E314" s="5"/>
      <c r="M314" s="120"/>
      <c r="N314" s="28"/>
      <c r="O314" s="28"/>
      <c r="P314" s="14"/>
      <c r="Q314" s="241"/>
      <c r="R314" s="14"/>
      <c r="S314" s="214"/>
      <c r="V314" s="185"/>
    </row>
    <row r="315" spans="1:22" ht="18" hidden="1" customHeight="1">
      <c r="A315" s="96"/>
      <c r="B315" s="5"/>
      <c r="C315" s="5"/>
      <c r="D315" s="5"/>
      <c r="E315" s="5"/>
      <c r="M315" s="120"/>
      <c r="N315" s="28"/>
      <c r="O315" s="28"/>
      <c r="P315" s="14"/>
      <c r="Q315" s="241"/>
      <c r="R315" s="14"/>
      <c r="S315" s="214"/>
      <c r="V315" s="185"/>
    </row>
    <row r="316" spans="1:22" ht="18" hidden="1" customHeight="1">
      <c r="A316" s="96"/>
      <c r="B316" s="5"/>
      <c r="C316" s="5"/>
      <c r="D316" s="5"/>
      <c r="E316" s="5"/>
      <c r="M316" s="120"/>
      <c r="N316" s="28"/>
      <c r="O316" s="28"/>
      <c r="P316" s="14"/>
      <c r="Q316" s="241"/>
      <c r="R316" s="14"/>
      <c r="S316" s="214"/>
      <c r="V316" s="185"/>
    </row>
    <row r="317" spans="1:22" s="14" customFormat="1" ht="18" hidden="1" customHeight="1">
      <c r="A317" s="194"/>
      <c r="B317" s="195"/>
      <c r="C317" s="195"/>
      <c r="D317" s="195"/>
      <c r="E317" s="195"/>
      <c r="F317" s="195"/>
      <c r="G317" s="195"/>
      <c r="H317" s="195"/>
      <c r="I317" s="195"/>
      <c r="J317" s="195"/>
      <c r="K317" s="195"/>
      <c r="L317" s="195"/>
      <c r="M317" s="195"/>
      <c r="N317" s="195"/>
      <c r="O317" s="195"/>
      <c r="P317" s="195"/>
      <c r="Q317" s="224"/>
      <c r="R317" s="182"/>
      <c r="S317" s="225"/>
      <c r="T317" s="195"/>
      <c r="U317" s="195"/>
      <c r="V317" s="134" t="s">
        <v>552</v>
      </c>
    </row>
    <row r="318" spans="1:22" s="14" customFormat="1" ht="18" hidden="1" customHeight="1">
      <c r="A318" s="135"/>
      <c r="B318" s="273"/>
      <c r="C318" s="273"/>
      <c r="D318" s="273"/>
      <c r="E318" s="273"/>
      <c r="F318" s="273"/>
      <c r="G318" s="273"/>
      <c r="H318" s="273"/>
      <c r="I318" s="273"/>
      <c r="J318" s="273"/>
      <c r="K318" s="273"/>
      <c r="L318" s="273"/>
      <c r="M318" s="273"/>
      <c r="N318" s="273"/>
      <c r="O318" s="273"/>
      <c r="P318" s="273"/>
      <c r="Q318" s="274"/>
      <c r="R318" s="138"/>
      <c r="S318" s="275"/>
      <c r="T318" s="273"/>
      <c r="U318" s="273"/>
      <c r="V318" s="276"/>
    </row>
    <row r="319" spans="1:22" ht="18" hidden="1" customHeight="1">
      <c r="A319" s="96" t="s">
        <v>686</v>
      </c>
      <c r="V319" s="185"/>
    </row>
    <row r="320" spans="1:22" ht="18" hidden="1" customHeight="1">
      <c r="A320" s="184"/>
      <c r="V320" s="185"/>
    </row>
    <row r="321" spans="1:22" s="279" customFormat="1" ht="18" hidden="1" customHeight="1">
      <c r="A321" s="277"/>
      <c r="B321" s="689" t="s">
        <v>473</v>
      </c>
      <c r="C321" s="1150" t="s">
        <v>652</v>
      </c>
      <c r="G321" s="802" t="s">
        <v>687</v>
      </c>
      <c r="H321" s="1153" t="s">
        <v>315</v>
      </c>
      <c r="I321" s="708" t="s">
        <v>688</v>
      </c>
      <c r="J321" s="1147"/>
      <c r="K321" s="1147"/>
      <c r="L321" s="1147"/>
      <c r="M321" s="1147"/>
      <c r="N321" s="689" t="s">
        <v>672</v>
      </c>
      <c r="O321" s="708" t="s">
        <v>420</v>
      </c>
      <c r="P321" s="689" t="s">
        <v>347</v>
      </c>
      <c r="Q321" s="708" t="s">
        <v>689</v>
      </c>
      <c r="R321" s="708" t="s">
        <v>674</v>
      </c>
      <c r="S321" s="708" t="s">
        <v>411</v>
      </c>
      <c r="T321" s="14"/>
      <c r="U321" s="729" t="s">
        <v>653</v>
      </c>
      <c r="V321" s="185"/>
    </row>
    <row r="322" spans="1:22" s="279" customFormat="1" ht="18" hidden="1" customHeight="1">
      <c r="A322" s="277"/>
      <c r="B322" s="689"/>
      <c r="C322" s="689"/>
      <c r="G322" s="802"/>
      <c r="H322" s="689"/>
      <c r="I322" s="689">
        <v>1.3</v>
      </c>
      <c r="J322" s="689"/>
      <c r="K322" s="28" t="s">
        <v>315</v>
      </c>
      <c r="L322" s="689" t="s">
        <v>423</v>
      </c>
      <c r="M322" s="689"/>
      <c r="N322" s="689"/>
      <c r="O322" s="689"/>
      <c r="P322" s="689"/>
      <c r="Q322" s="689"/>
      <c r="R322" s="689"/>
      <c r="S322" s="689"/>
      <c r="T322" s="14"/>
      <c r="U322" s="689"/>
      <c r="V322" s="185"/>
    </row>
    <row r="323" spans="1:22" ht="18" hidden="1" customHeight="1">
      <c r="A323" s="184"/>
      <c r="V323" s="185"/>
    </row>
    <row r="324" spans="1:22" ht="18" hidden="1" customHeight="1">
      <c r="A324" s="184"/>
      <c r="B324" s="47" t="s">
        <v>654</v>
      </c>
      <c r="C324" s="14"/>
      <c r="D324" s="14"/>
      <c r="E324" s="14"/>
      <c r="F324" s="18"/>
      <c r="G324" s="18"/>
      <c r="H324" s="14"/>
      <c r="I324" s="120"/>
      <c r="J324" s="14"/>
      <c r="K324" s="14"/>
      <c r="M324" s="14"/>
      <c r="N324" s="14"/>
      <c r="P324" s="14" t="s">
        <v>423</v>
      </c>
      <c r="R324" s="234" t="s">
        <v>127</v>
      </c>
      <c r="S324" s="684" t="str">
        <f>L278</f>
        <v>-</v>
      </c>
      <c r="T324" s="684"/>
      <c r="U324" s="30" t="s">
        <v>8</v>
      </c>
      <c r="V324" s="185"/>
    </row>
    <row r="325" spans="1:22" ht="18" hidden="1" customHeight="1">
      <c r="A325" s="184"/>
      <c r="B325" s="47" t="s">
        <v>655</v>
      </c>
      <c r="C325" s="14"/>
      <c r="D325" s="14"/>
      <c r="E325" s="14"/>
      <c r="F325" s="18"/>
      <c r="G325" s="18"/>
      <c r="H325" s="14"/>
      <c r="I325" s="120"/>
      <c r="J325" s="14"/>
      <c r="K325" s="14"/>
      <c r="M325" s="14"/>
      <c r="N325" s="14"/>
      <c r="P325" s="14" t="s">
        <v>420</v>
      </c>
      <c r="R325" s="234" t="s">
        <v>127</v>
      </c>
      <c r="S325" s="684">
        <f>L280</f>
        <v>3</v>
      </c>
      <c r="T325" s="684"/>
      <c r="U325" s="192" t="s">
        <v>333</v>
      </c>
      <c r="V325" s="185"/>
    </row>
    <row r="326" spans="1:22" ht="18" hidden="1" customHeight="1">
      <c r="A326" s="184"/>
      <c r="B326" s="47" t="s">
        <v>676</v>
      </c>
      <c r="C326" s="14"/>
      <c r="D326" s="14"/>
      <c r="E326" s="14"/>
      <c r="F326" s="18"/>
      <c r="G326" s="18"/>
      <c r="H326" s="14"/>
      <c r="I326" s="120"/>
      <c r="J326" s="14"/>
      <c r="K326" s="14"/>
      <c r="M326" s="14"/>
      <c r="N326" s="14"/>
      <c r="P326" s="14" t="s">
        <v>689</v>
      </c>
      <c r="R326" s="234" t="s">
        <v>127</v>
      </c>
      <c r="S326" s="795">
        <f>S297</f>
        <v>1.4145261800000002</v>
      </c>
      <c r="T326" s="795"/>
      <c r="U326" s="192" t="s">
        <v>333</v>
      </c>
      <c r="V326" s="185"/>
    </row>
    <row r="327" spans="1:22" ht="18" hidden="1" customHeight="1">
      <c r="A327" s="184"/>
      <c r="B327" s="47" t="s">
        <v>691</v>
      </c>
      <c r="C327" s="14"/>
      <c r="D327" s="14"/>
      <c r="E327" s="14"/>
      <c r="F327" s="14"/>
      <c r="G327" s="14"/>
      <c r="H327" s="14"/>
      <c r="I327" s="120"/>
      <c r="J327" s="14"/>
      <c r="K327" s="14"/>
      <c r="M327" s="14"/>
      <c r="N327" s="14"/>
      <c r="P327" s="14" t="s">
        <v>411</v>
      </c>
      <c r="R327" s="234" t="s">
        <v>127</v>
      </c>
      <c r="S327" s="684">
        <f>O278</f>
        <v>1</v>
      </c>
      <c r="T327" s="684"/>
      <c r="U327" s="30" t="s">
        <v>8</v>
      </c>
      <c r="V327" s="185"/>
    </row>
    <row r="328" spans="1:22" ht="18" hidden="1" customHeight="1">
      <c r="A328" s="184"/>
      <c r="B328" s="47" t="s">
        <v>678</v>
      </c>
      <c r="C328" s="14"/>
      <c r="D328" s="14"/>
      <c r="E328" s="14"/>
      <c r="F328" s="14"/>
      <c r="G328" s="14"/>
      <c r="H328" s="14"/>
      <c r="I328" s="120"/>
      <c r="J328" s="14"/>
      <c r="K328" s="14"/>
      <c r="M328" s="14"/>
      <c r="N328" s="14"/>
      <c r="P328" s="120" t="s">
        <v>688</v>
      </c>
      <c r="R328" s="234" t="s">
        <v>127</v>
      </c>
      <c r="S328" s="684">
        <f>O311</f>
        <v>6998.1850810863734</v>
      </c>
      <c r="T328" s="684"/>
      <c r="U328" s="30" t="s">
        <v>8</v>
      </c>
      <c r="V328" s="185"/>
    </row>
    <row r="329" spans="1:22" ht="18" hidden="1" customHeight="1">
      <c r="A329" s="184"/>
      <c r="B329" s="47" t="s">
        <v>692</v>
      </c>
      <c r="C329" s="14"/>
      <c r="D329" s="14"/>
      <c r="E329" s="14"/>
      <c r="F329" s="14"/>
      <c r="G329" s="14"/>
      <c r="H329" s="14"/>
      <c r="I329" s="120"/>
      <c r="J329" s="14"/>
      <c r="K329" s="14"/>
      <c r="M329" s="14"/>
      <c r="N329" s="14"/>
      <c r="P329" s="120" t="s">
        <v>680</v>
      </c>
      <c r="R329" s="234" t="s">
        <v>127</v>
      </c>
      <c r="S329" s="795">
        <f>J305</f>
        <v>437.38656756789834</v>
      </c>
      <c r="T329" s="684"/>
      <c r="U329" s="30" t="s">
        <v>8</v>
      </c>
      <c r="V329" s="185"/>
    </row>
    <row r="330" spans="1:22" ht="18" hidden="1" customHeight="1">
      <c r="A330" s="184"/>
      <c r="B330" s="47" t="s">
        <v>659</v>
      </c>
      <c r="C330" s="14"/>
      <c r="D330" s="14"/>
      <c r="E330" s="14"/>
      <c r="F330" s="14"/>
      <c r="G330" s="14"/>
      <c r="H330" s="14"/>
      <c r="I330" s="120"/>
      <c r="J330" s="14"/>
      <c r="K330" s="14"/>
      <c r="M330" s="14"/>
      <c r="N330" s="14"/>
      <c r="P330" s="120" t="s">
        <v>660</v>
      </c>
      <c r="R330" s="234" t="s">
        <v>127</v>
      </c>
      <c r="S330" s="684">
        <f>S242</f>
        <v>1</v>
      </c>
      <c r="T330" s="684"/>
      <c r="U330" s="30" t="s">
        <v>8</v>
      </c>
      <c r="V330" s="185"/>
    </row>
    <row r="331" spans="1:22" ht="18" hidden="1" customHeight="1">
      <c r="A331" s="96"/>
      <c r="B331" s="14"/>
      <c r="C331" s="14"/>
      <c r="D331" s="235"/>
      <c r="E331" s="14"/>
      <c r="F331" s="28"/>
      <c r="G331" s="249"/>
      <c r="H331" s="28"/>
      <c r="I331" s="251"/>
      <c r="J331" s="14"/>
      <c r="K331" s="280"/>
      <c r="M331" s="47"/>
      <c r="N331" s="268"/>
      <c r="P331" s="281"/>
      <c r="R331" s="234"/>
      <c r="S331" s="1148"/>
      <c r="T331" s="723"/>
      <c r="V331" s="185"/>
    </row>
    <row r="332" spans="1:22" ht="18" hidden="1" customHeight="1">
      <c r="A332" s="272" t="s">
        <v>693</v>
      </c>
      <c r="B332" s="14"/>
      <c r="C332" s="14"/>
      <c r="D332" s="14"/>
      <c r="E332" s="14"/>
      <c r="F332" s="14"/>
      <c r="G332" s="14"/>
      <c r="H332" s="28">
        <v>3</v>
      </c>
      <c r="I332" s="47" t="s">
        <v>694</v>
      </c>
      <c r="J332" s="14"/>
      <c r="K332" s="14"/>
      <c r="M332" s="14" t="s">
        <v>337</v>
      </c>
      <c r="N332" s="14"/>
      <c r="P332" s="120"/>
      <c r="R332" s="234"/>
      <c r="S332" s="1149"/>
      <c r="T332" s="723"/>
      <c r="V332" s="185"/>
    </row>
    <row r="333" spans="1:22" ht="18" hidden="1" customHeight="1">
      <c r="A333" s="272"/>
      <c r="B333" s="14"/>
      <c r="C333" s="14"/>
      <c r="D333" s="14"/>
      <c r="E333" s="14"/>
      <c r="F333" s="14"/>
      <c r="G333" s="14"/>
      <c r="H333" s="28"/>
      <c r="I333" s="47"/>
      <c r="J333" s="14"/>
      <c r="K333" s="14"/>
      <c r="M333" s="14"/>
      <c r="N333" s="14"/>
      <c r="P333" s="120"/>
      <c r="R333" s="234"/>
      <c r="S333" s="282"/>
      <c r="V333" s="185"/>
    </row>
    <row r="334" spans="1:22" s="279" customFormat="1" ht="18" hidden="1" customHeight="1">
      <c r="A334" s="277"/>
      <c r="B334" s="689" t="s">
        <v>703</v>
      </c>
      <c r="C334" s="1150" t="s">
        <v>652</v>
      </c>
      <c r="G334" s="802">
        <f>H332</f>
        <v>3</v>
      </c>
      <c r="H334" s="1151" t="s">
        <v>315</v>
      </c>
      <c r="I334" s="829">
        <f>S328</f>
        <v>6998.1850810863734</v>
      </c>
      <c r="J334" s="1152"/>
      <c r="K334" s="1152"/>
      <c r="L334" s="1152"/>
      <c r="M334" s="1152"/>
      <c r="N334" s="689" t="s">
        <v>672</v>
      </c>
      <c r="O334" s="708">
        <f>S325</f>
        <v>3</v>
      </c>
      <c r="P334" s="689" t="s">
        <v>347</v>
      </c>
      <c r="Q334" s="829">
        <f>S326</f>
        <v>1.4145261800000002</v>
      </c>
      <c r="R334" s="708" t="s">
        <v>674</v>
      </c>
      <c r="S334" s="708">
        <f>S327</f>
        <v>1</v>
      </c>
      <c r="T334" s="14"/>
      <c r="U334" s="729" t="s">
        <v>653</v>
      </c>
      <c r="V334" s="185"/>
    </row>
    <row r="335" spans="1:22" s="279" customFormat="1" ht="18" hidden="1" customHeight="1">
      <c r="A335" s="277"/>
      <c r="B335" s="689"/>
      <c r="C335" s="689"/>
      <c r="G335" s="802"/>
      <c r="H335" s="684"/>
      <c r="I335" s="689">
        <v>1.3</v>
      </c>
      <c r="J335" s="684"/>
      <c r="K335" s="28" t="s">
        <v>315</v>
      </c>
      <c r="L335" s="689" t="str">
        <f>S324</f>
        <v>-</v>
      </c>
      <c r="M335" s="684"/>
      <c r="N335" s="689"/>
      <c r="O335" s="689"/>
      <c r="P335" s="689"/>
      <c r="Q335" s="689"/>
      <c r="R335" s="689"/>
      <c r="S335" s="689"/>
      <c r="T335" s="14"/>
      <c r="U335" s="689"/>
      <c r="V335" s="185"/>
    </row>
    <row r="336" spans="1:22" ht="18" hidden="1" customHeight="1">
      <c r="A336" s="96"/>
      <c r="B336" s="14"/>
      <c r="C336" s="27" t="s">
        <v>127</v>
      </c>
      <c r="D336" s="812" t="e">
        <f>G334*(I334/(I335*L335)*(O334+Q334)*S334)</f>
        <v>#VALUE!</v>
      </c>
      <c r="E336" s="813"/>
      <c r="F336" s="30" t="s">
        <v>305</v>
      </c>
      <c r="G336" s="14"/>
      <c r="H336" s="14"/>
      <c r="I336" s="14"/>
      <c r="J336" s="14"/>
      <c r="K336" s="14"/>
      <c r="L336" s="14"/>
      <c r="M336" s="14"/>
      <c r="N336" s="14"/>
      <c r="R336" s="234"/>
      <c r="S336" s="204"/>
      <c r="V336" s="185"/>
    </row>
    <row r="337" spans="1:22" ht="18" hidden="1" customHeight="1">
      <c r="A337" s="96"/>
      <c r="B337" s="14"/>
      <c r="G337" s="14"/>
      <c r="H337" s="14"/>
      <c r="I337" s="14"/>
      <c r="J337" s="14"/>
      <c r="K337" s="14"/>
      <c r="L337" s="14"/>
      <c r="M337" s="14"/>
      <c r="N337" s="14"/>
      <c r="R337" s="234"/>
      <c r="S337" s="204"/>
      <c r="V337" s="185"/>
    </row>
    <row r="338" spans="1:22" ht="18" hidden="1" customHeight="1">
      <c r="A338" s="96"/>
      <c r="B338" s="14"/>
      <c r="D338" s="30" t="s">
        <v>475</v>
      </c>
      <c r="G338" s="27" t="e">
        <f>IF(E339&gt;H339,"&gt;","&lt;")</f>
        <v>#VALUE!</v>
      </c>
      <c r="H338" s="30" t="s">
        <v>477</v>
      </c>
      <c r="M338" s="14"/>
      <c r="N338" s="14"/>
      <c r="R338" s="234"/>
      <c r="S338" s="204"/>
      <c r="V338" s="185"/>
    </row>
    <row r="339" spans="1:22" ht="18" hidden="1" customHeight="1">
      <c r="A339" s="96"/>
      <c r="B339" s="14"/>
      <c r="E339" s="684">
        <f>L281</f>
        <v>200</v>
      </c>
      <c r="F339" s="684"/>
      <c r="G339" s="27" t="e">
        <f>G338</f>
        <v>#VALUE!</v>
      </c>
      <c r="H339" s="795" t="e">
        <f>D336</f>
        <v>#VALUE!</v>
      </c>
      <c r="I339" s="684"/>
      <c r="M339" s="14"/>
      <c r="N339" s="14"/>
      <c r="R339" s="234"/>
      <c r="S339" s="204"/>
      <c r="V339" s="185"/>
    </row>
    <row r="340" spans="1:22" ht="18" hidden="1" customHeight="1">
      <c r="A340" s="96"/>
      <c r="B340" s="14"/>
      <c r="F340" s="244" t="s">
        <v>478</v>
      </c>
      <c r="H340" s="18" t="e">
        <f>IF(G338="&gt;","Suitably Dimentioned","Under Dimentioned")</f>
        <v>#VALUE!</v>
      </c>
      <c r="M340" s="14"/>
      <c r="N340" s="14"/>
      <c r="R340" s="234"/>
      <c r="S340" s="204"/>
      <c r="V340" s="185"/>
    </row>
    <row r="341" spans="1:22" ht="18" hidden="1" customHeight="1">
      <c r="A341" s="96"/>
      <c r="B341" s="14"/>
      <c r="G341" s="14"/>
      <c r="H341" s="14"/>
      <c r="I341" s="14"/>
      <c r="J341" s="14"/>
      <c r="K341" s="14"/>
      <c r="L341" s="14"/>
      <c r="M341" s="14"/>
      <c r="N341" s="14"/>
      <c r="R341" s="234"/>
      <c r="S341" s="204"/>
      <c r="V341" s="185"/>
    </row>
    <row r="342" spans="1:22" ht="18" hidden="1" customHeight="1">
      <c r="A342" s="193" t="s">
        <v>695</v>
      </c>
      <c r="B342" s="14"/>
      <c r="G342" s="14"/>
      <c r="H342" s="14"/>
      <c r="I342" s="14"/>
      <c r="J342" s="14"/>
      <c r="K342" s="14"/>
      <c r="L342" s="14"/>
      <c r="M342" s="14"/>
      <c r="N342" s="14"/>
      <c r="R342" s="234"/>
      <c r="S342" s="204"/>
      <c r="V342" s="185"/>
    </row>
    <row r="343" spans="1:22" ht="18" hidden="1" customHeight="1">
      <c r="A343" s="96"/>
      <c r="B343" s="14"/>
      <c r="D343" s="802" t="s">
        <v>696</v>
      </c>
      <c r="E343" s="716"/>
      <c r="F343" s="689" t="s">
        <v>127</v>
      </c>
      <c r="G343" s="708" t="s">
        <v>423</v>
      </c>
      <c r="H343" s="1147"/>
      <c r="I343" s="689" t="s">
        <v>315</v>
      </c>
      <c r="J343" s="708" t="s">
        <v>697</v>
      </c>
      <c r="K343" s="1147"/>
      <c r="L343" s="14"/>
      <c r="M343" s="14"/>
      <c r="N343" s="14"/>
      <c r="R343" s="234"/>
      <c r="S343" s="204"/>
      <c r="V343" s="185"/>
    </row>
    <row r="344" spans="1:22" ht="18" hidden="1" customHeight="1">
      <c r="A344" s="96"/>
      <c r="B344" s="14"/>
      <c r="D344" s="716"/>
      <c r="E344" s="716"/>
      <c r="F344" s="689"/>
      <c r="G344" s="689" t="s">
        <v>680</v>
      </c>
      <c r="H344" s="716"/>
      <c r="I344" s="689"/>
      <c r="J344" s="689" t="s">
        <v>411</v>
      </c>
      <c r="K344" s="716"/>
      <c r="L344" s="14"/>
      <c r="M344" s="14"/>
      <c r="N344" s="14"/>
      <c r="R344" s="234"/>
      <c r="S344" s="204"/>
      <c r="V344" s="185"/>
    </row>
    <row r="345" spans="1:22" ht="18" hidden="1" customHeight="1">
      <c r="A345" s="96"/>
      <c r="B345" s="14"/>
      <c r="D345" s="14"/>
      <c r="E345" s="14"/>
      <c r="F345" s="14"/>
      <c r="G345" s="14"/>
      <c r="H345" s="14"/>
      <c r="I345" s="14"/>
      <c r="J345" s="14"/>
      <c r="K345" s="14"/>
      <c r="L345" s="14"/>
      <c r="M345" s="14"/>
      <c r="N345" s="14"/>
      <c r="R345" s="234"/>
      <c r="S345" s="204"/>
      <c r="V345" s="185"/>
    </row>
    <row r="346" spans="1:22" ht="18" hidden="1" customHeight="1">
      <c r="A346" s="96"/>
      <c r="B346" s="14"/>
      <c r="D346" s="14"/>
      <c r="E346" s="14"/>
      <c r="F346" s="689" t="s">
        <v>127</v>
      </c>
      <c r="G346" s="708" t="str">
        <f>S324</f>
        <v>-</v>
      </c>
      <c r="H346" s="1147"/>
      <c r="I346" s="689" t="s">
        <v>315</v>
      </c>
      <c r="J346" s="708">
        <f>S330</f>
        <v>1</v>
      </c>
      <c r="K346" s="1147"/>
      <c r="L346" s="14"/>
      <c r="M346" s="14"/>
      <c r="N346" s="14"/>
      <c r="R346" s="234"/>
      <c r="S346" s="204"/>
      <c r="V346" s="185"/>
    </row>
    <row r="347" spans="1:22" ht="18" hidden="1" customHeight="1">
      <c r="A347" s="96"/>
      <c r="B347" s="14"/>
      <c r="D347" s="14"/>
      <c r="E347" s="14"/>
      <c r="F347" s="689"/>
      <c r="G347" s="692">
        <f>J305</f>
        <v>437.38656756789834</v>
      </c>
      <c r="H347" s="716"/>
      <c r="I347" s="689"/>
      <c r="J347" s="689">
        <f>S327</f>
        <v>1</v>
      </c>
      <c r="K347" s="716"/>
      <c r="L347" s="14"/>
      <c r="M347" s="14"/>
      <c r="N347" s="14"/>
      <c r="R347" s="234"/>
      <c r="S347" s="204"/>
      <c r="V347" s="185"/>
    </row>
    <row r="348" spans="1:22" ht="18" hidden="1" customHeight="1">
      <c r="A348" s="96"/>
      <c r="B348" s="14"/>
      <c r="D348" s="14"/>
      <c r="E348" s="14"/>
      <c r="F348" s="14"/>
      <c r="G348" s="14"/>
      <c r="H348" s="14"/>
      <c r="I348" s="14"/>
      <c r="J348" s="14"/>
      <c r="K348" s="14"/>
      <c r="L348" s="14"/>
      <c r="M348" s="14"/>
      <c r="N348" s="14"/>
      <c r="R348" s="234"/>
      <c r="S348" s="204"/>
      <c r="V348" s="185"/>
    </row>
    <row r="349" spans="1:22" ht="18" hidden="1" customHeight="1">
      <c r="A349" s="96"/>
      <c r="B349" s="14"/>
      <c r="D349" s="14"/>
      <c r="E349" s="14"/>
      <c r="F349" s="28" t="s">
        <v>127</v>
      </c>
      <c r="G349" s="716" t="e">
        <f>(G346/G347)*(J346/J347)</f>
        <v>#VALUE!</v>
      </c>
      <c r="H349" s="716"/>
      <c r="I349" s="14"/>
      <c r="J349" s="14"/>
      <c r="K349" s="14"/>
      <c r="L349" s="14"/>
      <c r="M349" s="14"/>
      <c r="N349" s="14"/>
      <c r="R349" s="234"/>
      <c r="S349" s="204"/>
      <c r="V349" s="185"/>
    </row>
    <row r="350" spans="1:22" ht="18" hidden="1" customHeight="1">
      <c r="A350" s="96"/>
      <c r="B350" s="14"/>
      <c r="G350" s="14"/>
      <c r="H350" s="14"/>
      <c r="I350" s="14"/>
      <c r="J350" s="14"/>
      <c r="K350" s="14"/>
      <c r="L350" s="14"/>
      <c r="M350" s="14"/>
      <c r="N350" s="14"/>
      <c r="R350" s="234"/>
      <c r="S350" s="204"/>
      <c r="V350" s="185"/>
    </row>
    <row r="351" spans="1:22" ht="18" hidden="1" customHeight="1">
      <c r="A351" s="96"/>
      <c r="B351" s="14"/>
      <c r="D351" s="283" t="s">
        <v>698</v>
      </c>
      <c r="E351" s="284" t="s">
        <v>699</v>
      </c>
      <c r="F351" s="689" t="s">
        <v>696</v>
      </c>
      <c r="G351" s="716"/>
      <c r="H351" s="716"/>
      <c r="I351" s="284" t="s">
        <v>699</v>
      </c>
      <c r="J351" s="28">
        <v>4</v>
      </c>
      <c r="L351" s="279"/>
      <c r="M351" s="120" t="s">
        <v>700</v>
      </c>
      <c r="N351" s="47" t="s">
        <v>701</v>
      </c>
      <c r="O351" s="279"/>
      <c r="P351" s="236"/>
      <c r="Q351" s="236"/>
      <c r="R351" s="234"/>
      <c r="S351" s="204"/>
      <c r="V351" s="185"/>
    </row>
    <row r="352" spans="1:22" ht="18" hidden="1" customHeight="1">
      <c r="A352" s="96"/>
      <c r="B352" s="14"/>
      <c r="D352" s="218">
        <v>0.25</v>
      </c>
      <c r="E352" s="284" t="e">
        <f>IF(D352&lt;=G349,"≤","&gt;")</f>
        <v>#VALUE!</v>
      </c>
      <c r="F352" s="688" t="e">
        <f>G349</f>
        <v>#VALUE!</v>
      </c>
      <c r="G352" s="1145"/>
      <c r="H352" s="688"/>
      <c r="I352" s="284" t="e">
        <f>IF(G349&lt;=J351,"≤","&gt;")</f>
        <v>#VALUE!</v>
      </c>
      <c r="J352" s="28">
        <f>J351</f>
        <v>4</v>
      </c>
      <c r="L352" s="279"/>
      <c r="M352" s="120"/>
      <c r="N352" s="213"/>
      <c r="O352" s="279"/>
      <c r="P352" s="236"/>
      <c r="Q352" s="236"/>
      <c r="R352" s="234"/>
      <c r="S352" s="204"/>
      <c r="V352" s="185"/>
    </row>
    <row r="353" spans="1:22" ht="18" hidden="1" customHeight="1">
      <c r="A353" s="96"/>
      <c r="B353" s="14"/>
      <c r="G353" s="14"/>
      <c r="H353" s="14"/>
      <c r="I353" s="14"/>
      <c r="J353" s="14"/>
      <c r="K353" s="14"/>
      <c r="L353" s="14"/>
      <c r="M353" s="14"/>
      <c r="N353" s="14"/>
      <c r="R353" s="234"/>
      <c r="S353" s="204"/>
      <c r="V353" s="185"/>
    </row>
    <row r="354" spans="1:22" ht="18" hidden="1" customHeight="1">
      <c r="A354" s="96"/>
      <c r="B354" s="14" t="s">
        <v>702</v>
      </c>
      <c r="G354" s="14"/>
      <c r="H354" s="18" t="e">
        <f>IF(AND(E352="≤",I352="≤")=TRUE,"OK","Not OK")</f>
        <v>#VALUE!</v>
      </c>
      <c r="I354" s="14"/>
      <c r="J354" s="14"/>
      <c r="K354" s="14"/>
      <c r="L354" s="14"/>
      <c r="M354" s="14"/>
      <c r="N354" s="14"/>
      <c r="R354" s="234"/>
      <c r="S354" s="204"/>
      <c r="V354" s="185"/>
    </row>
    <row r="355" spans="1:22" ht="18" hidden="1" customHeight="1">
      <c r="A355" s="96"/>
      <c r="B355" s="14"/>
      <c r="G355" s="14"/>
      <c r="H355" s="18"/>
      <c r="I355" s="14"/>
      <c r="J355" s="14"/>
      <c r="K355" s="14"/>
      <c r="L355" s="14"/>
      <c r="M355" s="14"/>
      <c r="N355" s="14"/>
      <c r="R355" s="234"/>
      <c r="S355" s="204"/>
      <c r="V355" s="185"/>
    </row>
    <row r="356" spans="1:22" ht="18" hidden="1" customHeight="1">
      <c r="A356" s="96"/>
      <c r="B356" s="14"/>
      <c r="G356" s="14"/>
      <c r="H356" s="18"/>
      <c r="I356" s="14"/>
      <c r="J356" s="14"/>
      <c r="K356" s="14"/>
      <c r="L356" s="14"/>
      <c r="M356" s="14"/>
      <c r="N356" s="14"/>
      <c r="R356" s="234"/>
      <c r="S356" s="204"/>
      <c r="V356" s="185"/>
    </row>
    <row r="357" spans="1:22" ht="18" hidden="1" customHeight="1">
      <c r="A357" s="96"/>
      <c r="B357" s="14"/>
      <c r="G357" s="14"/>
      <c r="H357" s="18"/>
      <c r="I357" s="14"/>
      <c r="J357" s="14"/>
      <c r="K357" s="14"/>
      <c r="L357" s="14"/>
      <c r="M357" s="14"/>
      <c r="N357" s="14"/>
      <c r="R357" s="234"/>
      <c r="S357" s="204"/>
      <c r="V357" s="185"/>
    </row>
    <row r="358" spans="1:22" ht="18" hidden="1" customHeight="1">
      <c r="A358" s="96"/>
      <c r="B358" s="14"/>
      <c r="G358" s="14"/>
      <c r="H358" s="18"/>
      <c r="I358" s="14"/>
      <c r="J358" s="14"/>
      <c r="K358" s="14"/>
      <c r="L358" s="14"/>
      <c r="M358" s="14"/>
      <c r="N358" s="14"/>
      <c r="R358" s="234"/>
      <c r="S358" s="204"/>
      <c r="V358" s="185"/>
    </row>
    <row r="359" spans="1:22" ht="18" hidden="1" customHeight="1">
      <c r="A359" s="96"/>
      <c r="B359" s="14"/>
      <c r="G359" s="14"/>
      <c r="H359" s="18"/>
      <c r="I359" s="14"/>
      <c r="J359" s="14"/>
      <c r="K359" s="14"/>
      <c r="L359" s="14"/>
      <c r="M359" s="14"/>
      <c r="N359" s="14"/>
      <c r="R359" s="234"/>
      <c r="S359" s="204"/>
      <c r="V359" s="185"/>
    </row>
    <row r="360" spans="1:22" ht="18" hidden="1" customHeight="1">
      <c r="A360" s="96"/>
      <c r="B360" s="14"/>
      <c r="G360" s="14"/>
      <c r="H360" s="14"/>
      <c r="I360" s="14"/>
      <c r="J360" s="14"/>
      <c r="K360" s="14"/>
      <c r="L360" s="14"/>
      <c r="M360" s="14"/>
      <c r="N360" s="14"/>
      <c r="R360" s="234"/>
      <c r="S360" s="204"/>
      <c r="V360" s="185"/>
    </row>
    <row r="361" spans="1:22" s="14" customFormat="1" ht="18" customHeight="1">
      <c r="A361" s="96"/>
      <c r="Q361" s="120"/>
      <c r="R361" s="28"/>
      <c r="S361" s="204"/>
      <c r="T361" s="204"/>
      <c r="V361" s="381"/>
    </row>
    <row r="362" spans="1:22" s="14" customFormat="1" ht="18" customHeight="1">
      <c r="A362" s="96"/>
      <c r="Q362" s="120"/>
      <c r="R362" s="28"/>
      <c r="S362" s="204"/>
      <c r="T362" s="204"/>
      <c r="V362" s="381"/>
    </row>
    <row r="363" spans="1:22" ht="18" customHeight="1">
      <c r="A363" s="96"/>
      <c r="B363" s="14"/>
      <c r="C363" s="14"/>
      <c r="D363" s="120"/>
      <c r="E363" s="120"/>
      <c r="F363" s="18"/>
      <c r="G363" s="18"/>
      <c r="H363" s="14"/>
      <c r="I363" s="14"/>
      <c r="J363" s="14"/>
      <c r="K363" s="14"/>
      <c r="L363" s="14"/>
      <c r="M363" s="14"/>
      <c r="N363" s="14"/>
      <c r="O363" s="14"/>
      <c r="P363" s="28"/>
      <c r="Q363" s="120"/>
      <c r="R363" s="47"/>
      <c r="S363" s="47"/>
      <c r="T363" s="14"/>
      <c r="U363" s="14"/>
      <c r="V363" s="97"/>
    </row>
    <row r="364" spans="1:22" ht="18" customHeight="1">
      <c r="A364" s="1125"/>
      <c r="B364" s="983"/>
      <c r="C364" s="1135"/>
      <c r="D364" s="983"/>
      <c r="E364" s="983"/>
      <c r="F364" s="983"/>
      <c r="G364" s="983"/>
      <c r="H364" s="983"/>
      <c r="I364" s="983"/>
      <c r="J364" s="983"/>
      <c r="K364" s="983"/>
      <c r="L364" s="983"/>
      <c r="M364" s="983"/>
      <c r="N364" s="983"/>
      <c r="O364" s="983"/>
      <c r="P364" s="983"/>
      <c r="Q364" s="983"/>
      <c r="R364" s="983"/>
      <c r="S364" s="983"/>
      <c r="T364" s="983"/>
      <c r="U364" s="983"/>
      <c r="V364" s="1126"/>
    </row>
    <row r="365" spans="1:22" ht="18" customHeight="1">
      <c r="A365" s="1125"/>
      <c r="B365" s="983"/>
      <c r="C365" s="1135"/>
      <c r="D365" s="983"/>
      <c r="E365" s="983"/>
      <c r="F365" s="983"/>
      <c r="G365" s="983"/>
      <c r="H365" s="983"/>
      <c r="I365" s="983"/>
      <c r="J365" s="983"/>
      <c r="K365" s="983"/>
      <c r="L365" s="983"/>
      <c r="M365" s="983"/>
      <c r="N365" s="983"/>
      <c r="O365" s="983"/>
      <c r="P365" s="983"/>
      <c r="Q365" s="983"/>
      <c r="R365" s="983"/>
      <c r="S365" s="983"/>
      <c r="T365" s="983"/>
      <c r="U365" s="983"/>
      <c r="V365" s="1126"/>
    </row>
    <row r="366" spans="1:22" ht="18" customHeight="1">
      <c r="A366" s="1125"/>
      <c r="B366" s="983"/>
      <c r="C366" s="1135"/>
      <c r="D366" s="983"/>
      <c r="E366" s="983"/>
      <c r="F366" s="983"/>
      <c r="G366" s="983"/>
      <c r="H366" s="983"/>
      <c r="I366" s="983"/>
      <c r="J366" s="983"/>
      <c r="K366" s="983"/>
      <c r="L366" s="983"/>
      <c r="M366" s="983"/>
      <c r="N366" s="983"/>
      <c r="O366" s="983"/>
      <c r="P366" s="983"/>
      <c r="Q366" s="983"/>
      <c r="R366" s="983"/>
      <c r="S366" s="983"/>
      <c r="T366" s="983"/>
      <c r="U366" s="983"/>
      <c r="V366" s="1126"/>
    </row>
    <row r="367" spans="1:22" ht="18" customHeight="1">
      <c r="A367" s="1125"/>
      <c r="B367" s="983"/>
      <c r="C367" s="1135"/>
      <c r="D367" s="983"/>
      <c r="E367" s="983"/>
      <c r="F367" s="983"/>
      <c r="G367" s="983"/>
      <c r="H367" s="983"/>
      <c r="I367" s="983"/>
      <c r="J367" s="983"/>
      <c r="K367" s="983"/>
      <c r="L367" s="983"/>
      <c r="M367" s="983"/>
      <c r="N367" s="983"/>
      <c r="O367" s="983"/>
      <c r="P367" s="983"/>
      <c r="Q367" s="983"/>
      <c r="R367" s="983"/>
      <c r="S367" s="983"/>
      <c r="T367" s="983"/>
      <c r="U367" s="983"/>
      <c r="V367" s="1126"/>
    </row>
    <row r="368" spans="1:22" ht="18" customHeight="1">
      <c r="A368" s="837"/>
      <c r="B368" s="689"/>
      <c r="C368" s="689"/>
      <c r="D368" s="805"/>
      <c r="E368" s="805"/>
      <c r="F368" s="805"/>
      <c r="G368" s="805"/>
      <c r="H368" s="1184"/>
      <c r="I368" s="1184"/>
      <c r="J368" s="1184"/>
      <c r="K368" s="1135"/>
      <c r="L368" s="1135"/>
      <c r="M368" s="1135"/>
      <c r="N368" s="1135"/>
      <c r="O368" s="805"/>
      <c r="P368" s="805"/>
      <c r="Q368" s="980"/>
      <c r="R368" s="980"/>
      <c r="S368" s="993"/>
      <c r="T368" s="805"/>
      <c r="U368" s="805"/>
      <c r="V368" s="968"/>
    </row>
    <row r="369" spans="1:22" ht="18" customHeight="1">
      <c r="A369" s="837"/>
      <c r="B369" s="689"/>
      <c r="C369" s="689"/>
      <c r="D369" s="993"/>
      <c r="E369" s="805"/>
      <c r="F369" s="805"/>
      <c r="G369" s="805"/>
      <c r="H369" s="805"/>
      <c r="I369" s="1184"/>
      <c r="J369" s="1184"/>
      <c r="K369" s="727"/>
      <c r="L369" s="1135"/>
      <c r="M369" s="727"/>
      <c r="N369" s="1135"/>
      <c r="O369" s="993"/>
      <c r="P369" s="805"/>
      <c r="Q369" s="980"/>
      <c r="R369" s="980"/>
      <c r="S369" s="993"/>
      <c r="T369" s="805"/>
      <c r="U369" s="805"/>
      <c r="V369" s="968"/>
    </row>
    <row r="370" spans="1:22" ht="18" customHeight="1">
      <c r="A370" s="837"/>
      <c r="B370" s="689"/>
      <c r="C370" s="689"/>
      <c r="D370" s="993"/>
      <c r="E370" s="805"/>
      <c r="F370" s="805"/>
      <c r="G370" s="805"/>
      <c r="H370" s="805"/>
      <c r="I370" s="1184"/>
      <c r="J370" s="1184"/>
      <c r="K370" s="727"/>
      <c r="L370" s="1135"/>
      <c r="M370" s="727"/>
      <c r="N370" s="1135"/>
      <c r="O370" s="993"/>
      <c r="P370" s="805"/>
      <c r="Q370" s="980"/>
      <c r="R370" s="980"/>
      <c r="S370" s="805"/>
      <c r="T370" s="805"/>
      <c r="U370" s="805"/>
      <c r="V370" s="968"/>
    </row>
    <row r="371" spans="1:22" ht="18" customHeight="1">
      <c r="A371" s="184"/>
      <c r="V371" s="185"/>
    </row>
    <row r="372" spans="1:22" ht="18" customHeight="1">
      <c r="A372" s="184"/>
      <c r="V372" s="185"/>
    </row>
    <row r="373" spans="1:22" ht="18" customHeight="1">
      <c r="A373" s="184"/>
      <c r="V373" s="185"/>
    </row>
    <row r="374" spans="1:22" ht="18" customHeight="1">
      <c r="A374" s="184"/>
      <c r="V374" s="185"/>
    </row>
    <row r="375" spans="1:22" ht="18" customHeight="1">
      <c r="A375" s="184"/>
      <c r="V375" s="185"/>
    </row>
    <row r="376" spans="1:22" ht="18" customHeight="1">
      <c r="A376" s="184"/>
      <c r="V376" s="185"/>
    </row>
    <row r="377" spans="1:22" ht="18" customHeight="1">
      <c r="A377" s="184"/>
      <c r="V377" s="185"/>
    </row>
    <row r="378" spans="1:22" ht="18" customHeight="1">
      <c r="A378" s="184"/>
      <c r="V378" s="185"/>
    </row>
    <row r="379" spans="1:22" ht="18" customHeight="1">
      <c r="A379" s="184"/>
      <c r="V379" s="185"/>
    </row>
    <row r="380" spans="1:22" ht="18" customHeight="1">
      <c r="A380" s="184"/>
      <c r="V380" s="185"/>
    </row>
    <row r="381" spans="1:22" ht="18" customHeight="1">
      <c r="A381" s="184"/>
      <c r="V381" s="185"/>
    </row>
    <row r="382" spans="1:22" ht="18" customHeight="1">
      <c r="A382" s="184"/>
      <c r="V382" s="185"/>
    </row>
    <row r="383" spans="1:22" ht="18" customHeight="1">
      <c r="A383" s="184"/>
      <c r="V383" s="185"/>
    </row>
    <row r="384" spans="1:22" ht="18" customHeight="1">
      <c r="A384" s="184"/>
      <c r="V384" s="185"/>
    </row>
    <row r="385" spans="1:29" ht="18" customHeight="1">
      <c r="A385" s="184"/>
      <c r="V385" s="185"/>
    </row>
    <row r="386" spans="1:29" ht="18" customHeight="1">
      <c r="A386" s="290"/>
      <c r="B386" s="196"/>
      <c r="C386" s="196"/>
      <c r="D386" s="196"/>
      <c r="E386" s="196"/>
      <c r="F386" s="196"/>
      <c r="G386" s="196"/>
      <c r="H386" s="196"/>
      <c r="I386" s="196"/>
      <c r="J386" s="196"/>
      <c r="K386" s="196"/>
      <c r="L386" s="196"/>
      <c r="M386" s="196"/>
      <c r="N386" s="196"/>
      <c r="O386" s="196"/>
      <c r="P386" s="196"/>
      <c r="Q386" s="196"/>
      <c r="R386" s="196"/>
      <c r="S386" s="196"/>
      <c r="T386" s="196"/>
      <c r="U386" s="196"/>
      <c r="V386" s="291"/>
    </row>
    <row r="387" spans="1:29" s="14" customFormat="1" ht="18" hidden="1" customHeight="1">
      <c r="A387" s="194"/>
      <c r="B387" s="195"/>
      <c r="C387" s="195"/>
      <c r="D387" s="195"/>
      <c r="E387" s="195"/>
      <c r="F387" s="195"/>
      <c r="G387" s="195"/>
      <c r="H387" s="195"/>
      <c r="I387" s="195"/>
      <c r="J387" s="195"/>
      <c r="K387" s="195"/>
      <c r="L387" s="195"/>
      <c r="M387" s="195"/>
      <c r="N387" s="195"/>
      <c r="O387" s="195"/>
      <c r="P387" s="195"/>
      <c r="Q387" s="224"/>
      <c r="R387" s="182"/>
      <c r="S387" s="225"/>
      <c r="T387" s="195"/>
      <c r="U387" s="195"/>
      <c r="V387" s="134"/>
    </row>
    <row r="388" spans="1:29" ht="18" hidden="1" customHeight="1">
      <c r="A388" s="1178" t="str">
        <f>A1</f>
        <v>HITACHI</v>
      </c>
      <c r="B388" s="1179"/>
      <c r="C388" s="1179"/>
      <c r="D388" s="1179"/>
      <c r="E388" s="1179"/>
      <c r="F388" s="1179"/>
      <c r="G388" s="1180"/>
      <c r="H388" s="906" t="str">
        <f>H1</f>
        <v>CT / VT</v>
      </c>
      <c r="I388" s="929"/>
      <c r="J388" s="929"/>
      <c r="K388" s="929"/>
      <c r="L388" s="929"/>
      <c r="M388" s="929"/>
      <c r="N388" s="930"/>
      <c r="O388" s="885" t="str">
        <f>O1</f>
        <v>Contract No.</v>
      </c>
      <c r="P388" s="886"/>
      <c r="Q388" s="887"/>
      <c r="R388" s="1166" t="str">
        <f>R1</f>
        <v>N-19957.2-DF4W</v>
      </c>
      <c r="S388" s="1167"/>
      <c r="T388" s="1167"/>
      <c r="U388" s="1167"/>
      <c r="V388" s="1168"/>
    </row>
    <row r="389" spans="1:29" ht="18" hidden="1" customHeight="1">
      <c r="A389" s="1181"/>
      <c r="B389" s="1182"/>
      <c r="C389" s="1182"/>
      <c r="D389" s="1182"/>
      <c r="E389" s="1182"/>
      <c r="F389" s="1182"/>
      <c r="G389" s="1183"/>
      <c r="H389" s="909" t="str">
        <f>H2</f>
        <v>CALCULATION</v>
      </c>
      <c r="I389" s="934"/>
      <c r="J389" s="934"/>
      <c r="K389" s="934"/>
      <c r="L389" s="934"/>
      <c r="M389" s="934"/>
      <c r="N389" s="935"/>
      <c r="O389" s="885" t="str">
        <f>O2</f>
        <v>Date</v>
      </c>
      <c r="P389" s="886"/>
      <c r="Q389" s="887"/>
      <c r="R389" s="1166">
        <f>R2</f>
        <v>46134</v>
      </c>
      <c r="S389" s="1167"/>
      <c r="T389" s="1167"/>
      <c r="U389" s="1167"/>
      <c r="V389" s="1168"/>
    </row>
    <row r="390" spans="1:29" ht="18" hidden="1" customHeight="1">
      <c r="A390" s="955">
        <f>A3</f>
        <v>0</v>
      </c>
      <c r="B390" s="956"/>
      <c r="C390" s="956"/>
      <c r="D390" s="956"/>
      <c r="E390" s="956"/>
      <c r="F390" s="956"/>
      <c r="G390" s="957"/>
      <c r="H390" s="1172" t="str">
        <f>H3</f>
        <v xml:space="preserve">132/33kV SUBSTATION DF4W    AT AL DHAFRA AREA </v>
      </c>
      <c r="I390" s="1173"/>
      <c r="J390" s="1173"/>
      <c r="K390" s="1173"/>
      <c r="L390" s="1173"/>
      <c r="M390" s="1173"/>
      <c r="N390" s="1174"/>
      <c r="O390" s="885" t="str">
        <f>O3</f>
        <v>Document No.</v>
      </c>
      <c r="P390" s="886"/>
      <c r="Q390" s="887"/>
      <c r="R390" s="1166" t="str">
        <f>R3</f>
        <v>-</v>
      </c>
      <c r="S390" s="1167"/>
      <c r="T390" s="1167"/>
      <c r="U390" s="1167"/>
      <c r="V390" s="1168"/>
    </row>
    <row r="391" spans="1:29" ht="18" hidden="1" customHeight="1">
      <c r="A391" s="1047"/>
      <c r="B391" s="1048"/>
      <c r="C391" s="1048"/>
      <c r="D391" s="1048"/>
      <c r="E391" s="1048"/>
      <c r="F391" s="1048"/>
      <c r="G391" s="1049"/>
      <c r="H391" s="1175"/>
      <c r="I391" s="1176"/>
      <c r="J391" s="1176"/>
      <c r="K391" s="1176"/>
      <c r="L391" s="1176"/>
      <c r="M391" s="1176"/>
      <c r="N391" s="1177"/>
      <c r="O391" s="885" t="str">
        <f>O4</f>
        <v>Revision No.</v>
      </c>
      <c r="P391" s="886"/>
      <c r="Q391" s="887"/>
      <c r="R391" s="1166" t="str">
        <f>R4</f>
        <v>A</v>
      </c>
      <c r="S391" s="1167"/>
      <c r="T391" s="1167"/>
      <c r="U391" s="1167"/>
      <c r="V391" s="1168"/>
    </row>
    <row r="392" spans="1:29" ht="18" hidden="1" customHeight="1">
      <c r="A392" s="880" t="str">
        <f>A5</f>
        <v>Prep. By</v>
      </c>
      <c r="B392" s="943"/>
      <c r="C392" s="292" t="str">
        <f>C5</f>
        <v>PK</v>
      </c>
      <c r="D392" s="880" t="str">
        <f>D5</f>
        <v>Checked By</v>
      </c>
      <c r="E392" s="881"/>
      <c r="F392" s="943"/>
      <c r="G392" s="292" t="str">
        <f>G5</f>
        <v>RN</v>
      </c>
      <c r="H392" s="1163" t="str">
        <f>H5</f>
        <v>132kV_IBT INCOMER FEEDERS</v>
      </c>
      <c r="I392" s="1164"/>
      <c r="J392" s="1164"/>
      <c r="K392" s="1164"/>
      <c r="L392" s="1164"/>
      <c r="M392" s="1164"/>
      <c r="N392" s="1165"/>
      <c r="O392" s="947" t="str">
        <f>O5</f>
        <v>Contractor</v>
      </c>
      <c r="P392" s="948"/>
      <c r="Q392" s="949"/>
      <c r="R392" s="1166" t="str">
        <f>R5</f>
        <v>HITACHI</v>
      </c>
      <c r="S392" s="1167"/>
      <c r="T392" s="1167"/>
      <c r="U392" s="1167"/>
      <c r="V392" s="1168"/>
    </row>
    <row r="393" spans="1:29" ht="18" hidden="1" customHeight="1">
      <c r="A393" s="226"/>
      <c r="B393" s="227"/>
      <c r="C393" s="227"/>
      <c r="D393" s="227"/>
      <c r="E393" s="227"/>
      <c r="F393" s="227"/>
      <c r="G393" s="227"/>
      <c r="H393" s="227"/>
      <c r="I393" s="227"/>
      <c r="J393" s="227"/>
      <c r="K393" s="227"/>
      <c r="L393" s="227"/>
      <c r="M393" s="227"/>
      <c r="N393" s="227"/>
      <c r="O393" s="227"/>
      <c r="P393" s="227"/>
      <c r="Q393" s="227"/>
      <c r="R393" s="227"/>
      <c r="S393" s="227"/>
      <c r="T393" s="227"/>
      <c r="U393" s="227"/>
      <c r="V393" s="228"/>
    </row>
    <row r="394" spans="1:29" ht="18" hidden="1" customHeight="1">
      <c r="A394" s="184"/>
      <c r="B394" s="781" t="s">
        <v>663</v>
      </c>
      <c r="C394" s="782"/>
      <c r="D394" s="1099" t="s">
        <v>109</v>
      </c>
      <c r="E394" s="1169"/>
      <c r="F394" s="186" t="s">
        <v>636</v>
      </c>
      <c r="H394" s="684" t="str">
        <f>H275</f>
        <v>(Transformer Differential)</v>
      </c>
      <c r="I394" s="684"/>
      <c r="J394" s="684"/>
      <c r="K394" s="684"/>
      <c r="L394" s="684"/>
      <c r="M394" s="684"/>
      <c r="P394" s="186"/>
      <c r="S394" s="187" t="s">
        <v>387</v>
      </c>
      <c r="T394" s="1161" t="str">
        <f>T275</f>
        <v>7UT85</v>
      </c>
      <c r="U394" s="1162"/>
      <c r="V394" s="185"/>
    </row>
    <row r="395" spans="1:29" ht="18" hidden="1" customHeight="1">
      <c r="A395" s="184"/>
      <c r="B395" s="743" t="s">
        <v>664</v>
      </c>
      <c r="C395" s="743"/>
      <c r="D395" s="1170"/>
      <c r="E395" s="1171"/>
      <c r="F395" s="255"/>
      <c r="T395" s="1161"/>
      <c r="U395" s="1162"/>
      <c r="V395" s="185"/>
    </row>
    <row r="396" spans="1:29" ht="18" hidden="1" customHeight="1">
      <c r="A396" s="184"/>
      <c r="H396" s="789" t="s">
        <v>390</v>
      </c>
      <c r="I396" s="789"/>
      <c r="J396" s="708" t="s">
        <v>391</v>
      </c>
      <c r="K396" s="708"/>
      <c r="L396" s="708" t="s">
        <v>392</v>
      </c>
      <c r="M396" s="708"/>
      <c r="T396" s="1161"/>
      <c r="U396" s="1162"/>
      <c r="V396" s="185"/>
    </row>
    <row r="397" spans="1:29" ht="18" hidden="1" customHeight="1">
      <c r="A397" s="184"/>
      <c r="B397" s="47" t="s">
        <v>393</v>
      </c>
      <c r="H397" s="791">
        <v>5000</v>
      </c>
      <c r="I397" s="792"/>
      <c r="J397" s="781">
        <v>4000</v>
      </c>
      <c r="K397" s="782"/>
      <c r="L397" s="781">
        <v>3000</v>
      </c>
      <c r="M397" s="782"/>
      <c r="N397" s="191" t="s">
        <v>342</v>
      </c>
      <c r="O397" s="125">
        <v>1</v>
      </c>
      <c r="P397" s="27" t="s">
        <v>8</v>
      </c>
      <c r="V397" s="185"/>
    </row>
    <row r="398" spans="1:29" ht="18" hidden="1" customHeight="1">
      <c r="A398" s="184"/>
      <c r="B398" s="47" t="s">
        <v>394</v>
      </c>
      <c r="H398" s="781" t="s">
        <v>395</v>
      </c>
      <c r="I398" s="788"/>
      <c r="V398" s="185"/>
    </row>
    <row r="399" spans="1:29" ht="18" hidden="1" customHeight="1">
      <c r="A399" s="184"/>
      <c r="B399" s="47" t="s">
        <v>396</v>
      </c>
      <c r="G399" s="120" t="s">
        <v>497</v>
      </c>
      <c r="H399" s="781">
        <v>20</v>
      </c>
      <c r="I399" s="782"/>
      <c r="J399" s="192" t="s">
        <v>333</v>
      </c>
      <c r="V399" s="185"/>
    </row>
    <row r="400" spans="1:29" ht="18" hidden="1" customHeight="1">
      <c r="A400" s="184"/>
      <c r="B400" s="47" t="s">
        <v>398</v>
      </c>
      <c r="G400" s="120" t="s">
        <v>498</v>
      </c>
      <c r="H400" s="781">
        <v>1000</v>
      </c>
      <c r="I400" s="782"/>
      <c r="J400" s="14" t="s">
        <v>305</v>
      </c>
      <c r="V400" s="185"/>
      <c r="W400" s="30" t="s">
        <v>400</v>
      </c>
      <c r="AB400" s="785">
        <f>D450</f>
        <v>68.980118260018415</v>
      </c>
      <c r="AC400" s="786"/>
    </row>
    <row r="401" spans="1:22" ht="18" hidden="1" customHeight="1">
      <c r="A401" s="184"/>
      <c r="B401" s="14" t="s">
        <v>401</v>
      </c>
      <c r="G401" s="120" t="s">
        <v>402</v>
      </c>
      <c r="H401" s="781">
        <v>20</v>
      </c>
      <c r="I401" s="782"/>
      <c r="J401" s="30" t="s">
        <v>403</v>
      </c>
      <c r="V401" s="185"/>
    </row>
    <row r="402" spans="1:22" ht="18" hidden="1" customHeight="1">
      <c r="A402" s="96"/>
      <c r="V402" s="185"/>
    </row>
    <row r="403" spans="1:22" ht="18" hidden="1" customHeight="1">
      <c r="A403" s="193" t="s">
        <v>404</v>
      </c>
      <c r="V403" s="185"/>
    </row>
    <row r="404" spans="1:22" ht="18" hidden="1" customHeight="1">
      <c r="A404" s="184"/>
      <c r="V404" s="185"/>
    </row>
    <row r="405" spans="1:22" ht="18" hidden="1" customHeight="1">
      <c r="A405" s="184"/>
      <c r="B405" s="194" t="s">
        <v>405</v>
      </c>
      <c r="C405" s="195"/>
      <c r="D405" s="195" t="str">
        <f>T394</f>
        <v>7UT85</v>
      </c>
      <c r="E405" s="196"/>
      <c r="F405" s="196"/>
      <c r="G405" s="196"/>
      <c r="H405" s="182" t="s">
        <v>406</v>
      </c>
      <c r="I405" s="183" t="s">
        <v>127</v>
      </c>
      <c r="J405" s="1159">
        <f>J286</f>
        <v>0.1</v>
      </c>
      <c r="K405" s="1160"/>
      <c r="L405" s="3" t="s">
        <v>157</v>
      </c>
      <c r="V405" s="185"/>
    </row>
    <row r="406" spans="1:22" ht="18" hidden="1" customHeight="1">
      <c r="A406" s="184"/>
      <c r="B406" s="184" t="s">
        <v>405</v>
      </c>
      <c r="D406" s="30">
        <f>T395</f>
        <v>0</v>
      </c>
      <c r="H406" s="27"/>
      <c r="I406" s="177" t="s">
        <v>127</v>
      </c>
      <c r="J406" s="793"/>
      <c r="K406" s="1156"/>
      <c r="L406" s="198" t="s">
        <v>157</v>
      </c>
      <c r="V406" s="185"/>
    </row>
    <row r="407" spans="1:22" ht="18" hidden="1" customHeight="1">
      <c r="A407" s="184"/>
      <c r="B407" s="184" t="s">
        <v>405</v>
      </c>
      <c r="D407" s="30">
        <f>T396</f>
        <v>0</v>
      </c>
      <c r="E407" s="14"/>
      <c r="G407" s="199"/>
      <c r="H407" s="27"/>
      <c r="I407" s="177" t="s">
        <v>127</v>
      </c>
      <c r="J407" s="1157"/>
      <c r="K407" s="1158"/>
      <c r="L407" s="202" t="s">
        <v>157</v>
      </c>
      <c r="V407" s="185"/>
    </row>
    <row r="408" spans="1:22" ht="18" hidden="1" customHeight="1">
      <c r="A408" s="184"/>
      <c r="B408" s="184" t="s">
        <v>412</v>
      </c>
      <c r="H408" s="27" t="s">
        <v>599</v>
      </c>
      <c r="I408" s="177" t="s">
        <v>127</v>
      </c>
      <c r="J408" s="861">
        <f>J289</f>
        <v>1.25652618</v>
      </c>
      <c r="K408" s="989"/>
      <c r="L408" s="203" t="s">
        <v>157</v>
      </c>
      <c r="V408" s="185"/>
    </row>
    <row r="409" spans="1:22" ht="18" hidden="1" customHeight="1">
      <c r="A409" s="184"/>
      <c r="B409" s="205" t="s">
        <v>413</v>
      </c>
      <c r="C409" s="206"/>
      <c r="D409" s="206"/>
      <c r="E409" s="206"/>
      <c r="F409" s="207"/>
      <c r="G409" s="207"/>
      <c r="H409" s="190" t="s">
        <v>409</v>
      </c>
      <c r="I409" s="208" t="s">
        <v>127</v>
      </c>
      <c r="J409" s="766">
        <f>J406+J408</f>
        <v>1.25652618</v>
      </c>
      <c r="K409" s="958"/>
      <c r="L409" s="210" t="s">
        <v>157</v>
      </c>
      <c r="V409" s="185"/>
    </row>
    <row r="410" spans="1:22" ht="18" hidden="1" customHeight="1">
      <c r="A410" s="184"/>
      <c r="B410" s="47"/>
      <c r="C410" s="47"/>
      <c r="D410" s="47"/>
      <c r="E410" s="47"/>
      <c r="H410" s="27"/>
      <c r="I410" s="28"/>
      <c r="J410" s="199"/>
      <c r="L410" s="47"/>
      <c r="O410" s="27"/>
      <c r="P410" s="211"/>
      <c r="Q410" s="211"/>
      <c r="R410" s="192"/>
      <c r="V410" s="185"/>
    </row>
    <row r="411" spans="1:22" ht="18" hidden="1" customHeight="1">
      <c r="A411" s="184"/>
      <c r="B411" s="197" t="s">
        <v>648</v>
      </c>
      <c r="L411" s="47"/>
      <c r="M411" s="197" t="s">
        <v>407</v>
      </c>
      <c r="V411" s="185"/>
    </row>
    <row r="412" spans="1:22" s="14" customFormat="1" ht="18" hidden="1" customHeight="1">
      <c r="A412" s="184"/>
      <c r="B412" s="27" t="s">
        <v>649</v>
      </c>
      <c r="C412" s="27" t="s">
        <v>127</v>
      </c>
      <c r="D412" s="30" t="s">
        <v>406</v>
      </c>
      <c r="E412" s="271" t="s">
        <v>410</v>
      </c>
      <c r="F412" s="27" t="s">
        <v>146</v>
      </c>
      <c r="G412" s="28" t="s">
        <v>315</v>
      </c>
      <c r="H412" s="218" t="s">
        <v>146</v>
      </c>
      <c r="I412" s="30" t="s">
        <v>350</v>
      </c>
      <c r="J412" s="199"/>
      <c r="K412" s="30"/>
      <c r="L412" s="47"/>
      <c r="M412" s="30" t="s">
        <v>408</v>
      </c>
      <c r="N412" s="27" t="s">
        <v>127</v>
      </c>
      <c r="O412" s="30" t="s">
        <v>409</v>
      </c>
      <c r="P412" s="191" t="s">
        <v>410</v>
      </c>
      <c r="Q412" s="244" t="s">
        <v>411</v>
      </c>
      <c r="R412" s="27" t="s">
        <v>315</v>
      </c>
      <c r="S412" s="30" t="s">
        <v>411</v>
      </c>
      <c r="T412" s="30" t="s">
        <v>350</v>
      </c>
      <c r="U412" s="30"/>
      <c r="V412" s="185"/>
    </row>
    <row r="413" spans="1:22" s="14" customFormat="1" ht="18" hidden="1" customHeight="1">
      <c r="A413" s="184"/>
      <c r="B413" s="47"/>
      <c r="C413" s="27" t="s">
        <v>127</v>
      </c>
      <c r="D413" s="204">
        <f>J405</f>
        <v>0.1</v>
      </c>
      <c r="E413" s="191" t="s">
        <v>410</v>
      </c>
      <c r="F413" s="27">
        <f>F150</f>
        <v>1</v>
      </c>
      <c r="G413" s="27" t="s">
        <v>315</v>
      </c>
      <c r="H413" s="27">
        <f>H150</f>
        <v>1</v>
      </c>
      <c r="I413" s="30" t="s">
        <v>350</v>
      </c>
      <c r="J413" s="199"/>
      <c r="K413" s="30"/>
      <c r="L413" s="47"/>
      <c r="M413" s="30"/>
      <c r="N413" s="27" t="s">
        <v>127</v>
      </c>
      <c r="O413" s="204">
        <f>J409</f>
        <v>1.25652618</v>
      </c>
      <c r="P413" s="191" t="s">
        <v>410</v>
      </c>
      <c r="Q413" s="27">
        <f>O397</f>
        <v>1</v>
      </c>
      <c r="R413" s="27" t="s">
        <v>315</v>
      </c>
      <c r="S413" s="27">
        <f>O397</f>
        <v>1</v>
      </c>
      <c r="T413" s="30" t="s">
        <v>350</v>
      </c>
      <c r="U413" s="30"/>
      <c r="V413" s="185"/>
    </row>
    <row r="414" spans="1:22" s="14" customFormat="1" ht="18" hidden="1" customHeight="1">
      <c r="A414" s="184"/>
      <c r="B414" s="47"/>
      <c r="C414" s="27" t="s">
        <v>127</v>
      </c>
      <c r="D414" s="795">
        <f>D413/(F413*H413)</f>
        <v>0.1</v>
      </c>
      <c r="E414" s="795"/>
      <c r="F414" s="192" t="s">
        <v>333</v>
      </c>
      <c r="G414" s="30"/>
      <c r="H414" s="30"/>
      <c r="I414" s="30"/>
      <c r="J414" s="199"/>
      <c r="K414" s="30"/>
      <c r="L414" s="47"/>
      <c r="M414" s="30"/>
      <c r="N414" s="27" t="s">
        <v>127</v>
      </c>
      <c r="O414" s="795">
        <f>O413/(Q413*S413)</f>
        <v>1.25652618</v>
      </c>
      <c r="P414" s="795"/>
      <c r="Q414" s="192" t="s">
        <v>333</v>
      </c>
      <c r="R414" s="30"/>
      <c r="S414" s="30"/>
      <c r="T414" s="30"/>
      <c r="U414" s="30"/>
      <c r="V414" s="185"/>
    </row>
    <row r="415" spans="1:22" s="14" customFormat="1" ht="18" hidden="1" customHeight="1">
      <c r="A415" s="184"/>
      <c r="B415" s="47"/>
      <c r="C415" s="47"/>
      <c r="D415" s="47"/>
      <c r="E415" s="47"/>
      <c r="F415" s="30"/>
      <c r="G415" s="30"/>
      <c r="H415" s="27"/>
      <c r="I415" s="28"/>
      <c r="J415" s="199"/>
      <c r="K415" s="30"/>
      <c r="L415" s="47"/>
      <c r="M415" s="30"/>
      <c r="N415" s="30"/>
      <c r="O415" s="27"/>
      <c r="P415" s="211"/>
      <c r="Q415" s="211"/>
      <c r="R415" s="192"/>
      <c r="S415" s="30"/>
      <c r="T415" s="30"/>
      <c r="U415" s="30"/>
      <c r="V415" s="185"/>
    </row>
    <row r="416" spans="1:22" s="14" customFormat="1" ht="18" hidden="1" customHeight="1">
      <c r="A416" s="184"/>
      <c r="B416" s="47" t="s">
        <v>668</v>
      </c>
      <c r="C416" s="47"/>
      <c r="D416" s="47"/>
      <c r="E416" s="47"/>
      <c r="F416" s="30"/>
      <c r="G416" s="30"/>
      <c r="H416" s="27"/>
      <c r="I416" s="28"/>
      <c r="J416" s="199"/>
      <c r="K416" s="30"/>
      <c r="L416" s="47" t="s">
        <v>127</v>
      </c>
      <c r="M416" s="204">
        <f>D414</f>
        <v>0.1</v>
      </c>
      <c r="N416" s="27" t="s">
        <v>347</v>
      </c>
      <c r="O416" s="211">
        <f>O414</f>
        <v>1.25652618</v>
      </c>
      <c r="P416" s="211" t="s">
        <v>127</v>
      </c>
      <c r="Q416" s="211">
        <f>M416+O416</f>
        <v>1.3565261800000001</v>
      </c>
      <c r="R416" s="192" t="s">
        <v>333</v>
      </c>
      <c r="S416" s="30"/>
      <c r="T416" s="30"/>
      <c r="U416" s="30"/>
      <c r="V416" s="185"/>
    </row>
    <row r="417" spans="1:22" s="14" customFormat="1" ht="18" hidden="1" customHeight="1">
      <c r="A417" s="193" t="s">
        <v>600</v>
      </c>
      <c r="B417" s="5"/>
      <c r="C417" s="5"/>
      <c r="D417" s="5"/>
      <c r="E417" s="5"/>
      <c r="F417" s="5"/>
      <c r="G417" s="5"/>
      <c r="H417" s="212"/>
      <c r="I417" s="212"/>
      <c r="J417" s="5"/>
      <c r="K417" s="5"/>
      <c r="L417" s="5"/>
      <c r="M417" s="5"/>
      <c r="N417" s="5"/>
      <c r="O417" s="5"/>
      <c r="P417" s="103"/>
      <c r="Q417" s="212"/>
      <c r="R417" s="213"/>
      <c r="S417" s="214"/>
      <c r="T417" s="18"/>
      <c r="U417" s="18"/>
      <c r="V417" s="97"/>
    </row>
    <row r="418" spans="1:22" s="14" customFormat="1" ht="18" hidden="1" customHeight="1">
      <c r="A418" s="96"/>
      <c r="B418" s="47" t="s">
        <v>601</v>
      </c>
      <c r="C418" s="5"/>
      <c r="D418" s="5"/>
      <c r="E418" s="5"/>
      <c r="I418" s="215"/>
      <c r="M418" s="5"/>
      <c r="N418" s="103" t="s">
        <v>127</v>
      </c>
      <c r="O418" s="1154">
        <f>O155</f>
        <v>100</v>
      </c>
      <c r="P418" s="831"/>
      <c r="Q418" s="14" t="s">
        <v>602</v>
      </c>
      <c r="S418" s="214"/>
      <c r="T418" s="18"/>
      <c r="U418" s="18"/>
      <c r="V418" s="97"/>
    </row>
    <row r="419" spans="1:22" s="14" customFormat="1" ht="18" hidden="1" customHeight="1">
      <c r="A419" s="96"/>
      <c r="B419" s="47" t="s">
        <v>603</v>
      </c>
      <c r="C419" s="5"/>
      <c r="D419" s="5"/>
      <c r="E419" s="5"/>
      <c r="I419" s="215"/>
      <c r="M419" s="5"/>
      <c r="N419" s="103" t="s">
        <v>127</v>
      </c>
      <c r="O419" s="1154">
        <f>O156</f>
        <v>25</v>
      </c>
      <c r="P419" s="831"/>
      <c r="Q419" s="14" t="s">
        <v>604</v>
      </c>
      <c r="S419" s="214"/>
      <c r="T419" s="18"/>
      <c r="U419" s="18"/>
      <c r="V419" s="97"/>
    </row>
    <row r="420" spans="1:22" s="14" customFormat="1" ht="18" hidden="1" customHeight="1">
      <c r="A420" s="96"/>
      <c r="B420" s="47" t="s">
        <v>605</v>
      </c>
      <c r="C420" s="5"/>
      <c r="D420" s="5"/>
      <c r="E420" s="5"/>
      <c r="M420" s="120" t="s">
        <v>606</v>
      </c>
      <c r="N420" s="103" t="s">
        <v>607</v>
      </c>
      <c r="O420" s="1154">
        <f>'[3]Parameters &amp; Fault Cal.'!Q12</f>
        <v>132</v>
      </c>
      <c r="P420" s="831"/>
      <c r="Q420" s="14" t="s">
        <v>163</v>
      </c>
      <c r="S420" s="214"/>
      <c r="T420" s="18"/>
      <c r="U420" s="18"/>
      <c r="V420" s="97"/>
    </row>
    <row r="421" spans="1:22" s="14" customFormat="1" ht="18" hidden="1" customHeight="1">
      <c r="A421" s="216"/>
      <c r="B421" s="212"/>
      <c r="C421" s="212"/>
      <c r="D421" s="212"/>
      <c r="E421" s="212"/>
      <c r="T421" s="18"/>
      <c r="U421" s="18"/>
      <c r="V421" s="97"/>
    </row>
    <row r="422" spans="1:22" s="14" customFormat="1" ht="18" hidden="1" customHeight="1">
      <c r="A422" s="272" t="s">
        <v>608</v>
      </c>
      <c r="B422" s="213"/>
      <c r="C422" s="213"/>
      <c r="D422" s="213"/>
      <c r="E422" s="213"/>
      <c r="H422" s="120" t="s">
        <v>609</v>
      </c>
      <c r="I422" s="28" t="s">
        <v>127</v>
      </c>
      <c r="J422" s="689" t="s">
        <v>610</v>
      </c>
      <c r="K422" s="689"/>
      <c r="L422" s="28" t="s">
        <v>315</v>
      </c>
      <c r="M422" s="217">
        <v>1000</v>
      </c>
      <c r="N422" s="102" t="s">
        <v>342</v>
      </c>
      <c r="O422" s="28" t="s">
        <v>611</v>
      </c>
      <c r="P422" s="28" t="s">
        <v>315</v>
      </c>
      <c r="Q422" s="28" t="s">
        <v>606</v>
      </c>
      <c r="R422" s="47" t="s">
        <v>350</v>
      </c>
      <c r="T422" s="18"/>
      <c r="U422" s="18"/>
      <c r="V422" s="97"/>
    </row>
    <row r="423" spans="1:22" ht="18" hidden="1" customHeight="1">
      <c r="A423" s="216"/>
      <c r="B423" s="213"/>
      <c r="C423" s="213"/>
      <c r="D423" s="213"/>
      <c r="E423" s="213"/>
      <c r="F423" s="212"/>
      <c r="G423" s="212"/>
      <c r="H423" s="28"/>
      <c r="I423" s="28" t="s">
        <v>127</v>
      </c>
      <c r="J423" s="689">
        <f>O418</f>
        <v>100</v>
      </c>
      <c r="K423" s="689"/>
      <c r="L423" s="28" t="s">
        <v>315</v>
      </c>
      <c r="M423" s="217">
        <v>1000</v>
      </c>
      <c r="N423" s="102" t="s">
        <v>342</v>
      </c>
      <c r="O423" s="28" t="s">
        <v>611</v>
      </c>
      <c r="P423" s="28" t="s">
        <v>315</v>
      </c>
      <c r="Q423" s="28">
        <f>O420</f>
        <v>132</v>
      </c>
      <c r="R423" s="47" t="s">
        <v>350</v>
      </c>
      <c r="S423" s="14"/>
      <c r="T423" s="18"/>
      <c r="U423" s="18"/>
      <c r="V423" s="97"/>
    </row>
    <row r="424" spans="1:22" ht="18" hidden="1" customHeight="1">
      <c r="A424" s="216"/>
      <c r="B424" s="212"/>
      <c r="C424" s="212"/>
      <c r="D424" s="212"/>
      <c r="E424" s="212"/>
      <c r="F424" s="212"/>
      <c r="G424" s="212"/>
      <c r="H424" s="14"/>
      <c r="I424" s="28" t="s">
        <v>127</v>
      </c>
      <c r="J424" s="692">
        <f>(O418*1000)/(SQRT(3)*O420)</f>
        <v>437.38656756789834</v>
      </c>
      <c r="K424" s="692"/>
      <c r="L424" s="14" t="s">
        <v>8</v>
      </c>
      <c r="M424" s="120"/>
      <c r="N424" s="120"/>
      <c r="O424" s="120"/>
      <c r="P424" s="14"/>
      <c r="Q424" s="14"/>
      <c r="R424" s="14"/>
      <c r="S424" s="14"/>
      <c r="T424" s="18"/>
      <c r="U424" s="18"/>
      <c r="V424" s="97"/>
    </row>
    <row r="425" spans="1:22" ht="18" hidden="1" customHeight="1">
      <c r="A425" s="216"/>
      <c r="B425" s="212"/>
      <c r="C425" s="212"/>
      <c r="D425" s="212"/>
      <c r="E425" s="212"/>
      <c r="F425" s="14"/>
      <c r="G425" s="212"/>
      <c r="H425" s="28"/>
      <c r="I425" s="103"/>
      <c r="J425" s="28"/>
      <c r="K425" s="14"/>
      <c r="L425" s="14"/>
      <c r="M425" s="212"/>
      <c r="N425" s="219"/>
      <c r="O425" s="212"/>
      <c r="P425" s="14"/>
      <c r="Q425" s="14"/>
      <c r="R425" s="14"/>
      <c r="S425" s="14"/>
      <c r="T425" s="18"/>
      <c r="U425" s="18"/>
      <c r="V425" s="97"/>
    </row>
    <row r="426" spans="1:22" s="14" customFormat="1" ht="18" hidden="1" customHeight="1">
      <c r="A426" s="147" t="s">
        <v>629</v>
      </c>
      <c r="B426" s="5"/>
      <c r="C426" s="5"/>
      <c r="D426" s="5"/>
      <c r="E426" s="5"/>
      <c r="F426" s="212"/>
      <c r="G426" s="212"/>
      <c r="H426" s="5"/>
      <c r="I426" s="5"/>
      <c r="J426" s="5"/>
      <c r="K426" s="5"/>
      <c r="L426" s="103"/>
      <c r="M426" s="103"/>
      <c r="N426" s="103"/>
      <c r="O426" s="103"/>
      <c r="P426" s="212"/>
      <c r="Q426" s="213"/>
      <c r="S426" s="220"/>
      <c r="T426" s="18"/>
      <c r="U426" s="18"/>
      <c r="V426" s="97"/>
    </row>
    <row r="427" spans="1:22" s="14" customFormat="1" ht="18" hidden="1" customHeight="1">
      <c r="A427" s="147"/>
      <c r="B427" s="5"/>
      <c r="C427" s="5"/>
      <c r="D427" s="5"/>
      <c r="E427" s="5"/>
      <c r="F427" s="212"/>
      <c r="G427" s="212"/>
      <c r="H427" s="5"/>
      <c r="I427" s="5"/>
      <c r="J427" s="5"/>
      <c r="K427" s="5"/>
      <c r="L427" s="103"/>
      <c r="M427" s="103"/>
      <c r="N427" s="103"/>
      <c r="O427" s="103"/>
      <c r="P427" s="212"/>
      <c r="Q427" s="213"/>
      <c r="S427" s="214"/>
      <c r="T427" s="18"/>
      <c r="U427" s="18"/>
      <c r="V427" s="97"/>
    </row>
    <row r="428" spans="1:22" ht="18" hidden="1" customHeight="1">
      <c r="A428" s="96" t="s">
        <v>612</v>
      </c>
      <c r="B428" s="14"/>
      <c r="C428" s="14"/>
      <c r="D428" s="14"/>
      <c r="E428" s="14"/>
      <c r="M428" s="120" t="s">
        <v>613</v>
      </c>
      <c r="N428" s="28" t="s">
        <v>127</v>
      </c>
      <c r="O428" s="689" t="s">
        <v>609</v>
      </c>
      <c r="P428" s="716"/>
      <c r="Q428" s="221" t="s">
        <v>630</v>
      </c>
      <c r="R428" s="221">
        <v>16</v>
      </c>
      <c r="S428" s="186"/>
      <c r="V428" s="185"/>
    </row>
    <row r="429" spans="1:22" ht="18" hidden="1" customHeight="1">
      <c r="A429" s="96"/>
      <c r="B429" s="5"/>
      <c r="C429" s="5"/>
      <c r="D429" s="5"/>
      <c r="E429" s="5"/>
      <c r="M429" s="250"/>
      <c r="N429" s="28" t="s">
        <v>127</v>
      </c>
      <c r="O429" s="689">
        <f>+J424</f>
        <v>437.38656756789834</v>
      </c>
      <c r="P429" s="716"/>
      <c r="Q429" s="221" t="s">
        <v>630</v>
      </c>
      <c r="R429" s="221">
        <v>16</v>
      </c>
      <c r="S429" s="186"/>
      <c r="V429" s="185"/>
    </row>
    <row r="430" spans="1:22" s="279" customFormat="1" ht="18" hidden="1" customHeight="1">
      <c r="A430" s="96"/>
      <c r="B430" s="5"/>
      <c r="C430" s="5"/>
      <c r="D430" s="5"/>
      <c r="E430" s="5"/>
      <c r="F430" s="30"/>
      <c r="G430" s="30"/>
      <c r="H430" s="30"/>
      <c r="I430" s="30"/>
      <c r="J430" s="30"/>
      <c r="K430" s="30"/>
      <c r="L430" s="30"/>
      <c r="M430" s="120" t="s">
        <v>613</v>
      </c>
      <c r="N430" s="28" t="s">
        <v>127</v>
      </c>
      <c r="O430" s="689">
        <f>O429*R429</f>
        <v>6998.1850810863734</v>
      </c>
      <c r="P430" s="716"/>
      <c r="Q430" s="241" t="s">
        <v>8</v>
      </c>
      <c r="R430" s="14"/>
      <c r="S430" s="186"/>
      <c r="T430" s="30"/>
      <c r="U430" s="30"/>
      <c r="V430" s="185"/>
    </row>
    <row r="431" spans="1:22" s="279" customFormat="1" ht="18" hidden="1" customHeight="1">
      <c r="A431" s="194"/>
      <c r="B431" s="195"/>
      <c r="C431" s="195"/>
      <c r="D431" s="195"/>
      <c r="E431" s="195"/>
      <c r="F431" s="195"/>
      <c r="G431" s="195"/>
      <c r="H431" s="195"/>
      <c r="I431" s="195"/>
      <c r="J431" s="195"/>
      <c r="K431" s="195"/>
      <c r="L431" s="195"/>
      <c r="M431" s="195"/>
      <c r="N431" s="195"/>
      <c r="O431" s="195"/>
      <c r="P431" s="195"/>
      <c r="Q431" s="224"/>
      <c r="R431" s="182"/>
      <c r="S431" s="225"/>
      <c r="T431" s="195"/>
      <c r="U431" s="195"/>
      <c r="V431" s="134" t="s">
        <v>552</v>
      </c>
    </row>
    <row r="432" spans="1:22" ht="18" hidden="1" customHeight="1">
      <c r="A432" s="135"/>
      <c r="B432" s="273"/>
      <c r="C432" s="273"/>
      <c r="D432" s="273"/>
      <c r="E432" s="273"/>
      <c r="F432" s="273"/>
      <c r="G432" s="273"/>
      <c r="H432" s="273"/>
      <c r="I432" s="273"/>
      <c r="J432" s="273"/>
      <c r="K432" s="273"/>
      <c r="L432" s="273"/>
      <c r="M432" s="273"/>
      <c r="N432" s="273"/>
      <c r="O432" s="273"/>
      <c r="P432" s="273"/>
      <c r="Q432" s="274"/>
      <c r="R432" s="138"/>
      <c r="S432" s="275"/>
      <c r="T432" s="273"/>
      <c r="U432" s="273"/>
      <c r="V432" s="276"/>
    </row>
    <row r="433" spans="1:22" ht="18" hidden="1" customHeight="1">
      <c r="A433" s="96" t="s">
        <v>686</v>
      </c>
      <c r="V433" s="185"/>
    </row>
    <row r="434" spans="1:22" ht="18" hidden="1" customHeight="1">
      <c r="A434" s="184"/>
      <c r="V434" s="185"/>
    </row>
    <row r="435" spans="1:22" ht="18" hidden="1" customHeight="1">
      <c r="A435" s="277"/>
      <c r="B435" s="689" t="s">
        <v>473</v>
      </c>
      <c r="C435" s="1150" t="s">
        <v>652</v>
      </c>
      <c r="D435" s="279"/>
      <c r="E435" s="279"/>
      <c r="F435" s="279"/>
      <c r="G435" s="802" t="s">
        <v>687</v>
      </c>
      <c r="H435" s="1153" t="s">
        <v>315</v>
      </c>
      <c r="I435" s="708" t="s">
        <v>688</v>
      </c>
      <c r="J435" s="1147"/>
      <c r="K435" s="1147"/>
      <c r="L435" s="1147"/>
      <c r="M435" s="1147"/>
      <c r="N435" s="689" t="s">
        <v>672</v>
      </c>
      <c r="O435" s="708" t="s">
        <v>420</v>
      </c>
      <c r="P435" s="689" t="s">
        <v>347</v>
      </c>
      <c r="Q435" s="708" t="s">
        <v>689</v>
      </c>
      <c r="R435" s="708" t="s">
        <v>674</v>
      </c>
      <c r="S435" s="708" t="s">
        <v>411</v>
      </c>
      <c r="T435" s="14"/>
      <c r="U435" s="729" t="s">
        <v>653</v>
      </c>
      <c r="V435" s="185"/>
    </row>
    <row r="436" spans="1:22" ht="18" hidden="1" customHeight="1">
      <c r="A436" s="277"/>
      <c r="B436" s="689"/>
      <c r="C436" s="689"/>
      <c r="D436" s="279"/>
      <c r="E436" s="279"/>
      <c r="F436" s="279"/>
      <c r="G436" s="802"/>
      <c r="H436" s="689"/>
      <c r="I436" s="689">
        <v>1.3</v>
      </c>
      <c r="J436" s="689"/>
      <c r="K436" s="28" t="s">
        <v>315</v>
      </c>
      <c r="L436" s="689" t="s">
        <v>423</v>
      </c>
      <c r="M436" s="689"/>
      <c r="N436" s="689"/>
      <c r="O436" s="689"/>
      <c r="P436" s="689"/>
      <c r="Q436" s="689"/>
      <c r="R436" s="689"/>
      <c r="S436" s="689"/>
      <c r="T436" s="14"/>
      <c r="U436" s="689"/>
      <c r="V436" s="185"/>
    </row>
    <row r="437" spans="1:22" ht="18" hidden="1" customHeight="1">
      <c r="A437" s="184"/>
      <c r="V437" s="185"/>
    </row>
    <row r="438" spans="1:22" ht="18" hidden="1" customHeight="1">
      <c r="A438" s="184"/>
      <c r="B438" s="47" t="s">
        <v>654</v>
      </c>
      <c r="C438" s="14"/>
      <c r="D438" s="14"/>
      <c r="E438" s="14"/>
      <c r="F438" s="18"/>
      <c r="G438" s="18"/>
      <c r="H438" s="14"/>
      <c r="I438" s="120"/>
      <c r="J438" s="14"/>
      <c r="K438" s="14"/>
      <c r="M438" s="14"/>
      <c r="N438" s="14"/>
      <c r="P438" s="14" t="s">
        <v>423</v>
      </c>
      <c r="R438" s="234" t="s">
        <v>127</v>
      </c>
      <c r="S438" s="684">
        <f>H397</f>
        <v>5000</v>
      </c>
      <c r="T438" s="684"/>
      <c r="U438" s="30" t="s">
        <v>8</v>
      </c>
      <c r="V438" s="185"/>
    </row>
    <row r="439" spans="1:22" ht="18" hidden="1" customHeight="1">
      <c r="A439" s="184"/>
      <c r="B439" s="47" t="s">
        <v>655</v>
      </c>
      <c r="C439" s="14"/>
      <c r="D439" s="14"/>
      <c r="E439" s="14"/>
      <c r="F439" s="18"/>
      <c r="G439" s="18"/>
      <c r="H439" s="14"/>
      <c r="I439" s="120"/>
      <c r="J439" s="14"/>
      <c r="K439" s="14"/>
      <c r="M439" s="14"/>
      <c r="N439" s="14"/>
      <c r="P439" s="14" t="s">
        <v>420</v>
      </c>
      <c r="R439" s="234" t="s">
        <v>127</v>
      </c>
      <c r="S439" s="684">
        <f>H399</f>
        <v>20</v>
      </c>
      <c r="T439" s="684"/>
      <c r="U439" s="192" t="s">
        <v>333</v>
      </c>
      <c r="V439" s="185"/>
    </row>
    <row r="440" spans="1:22" ht="18" hidden="1" customHeight="1">
      <c r="A440" s="184"/>
      <c r="B440" s="47" t="s">
        <v>676</v>
      </c>
      <c r="C440" s="14"/>
      <c r="D440" s="14"/>
      <c r="E440" s="14"/>
      <c r="F440" s="18"/>
      <c r="G440" s="18"/>
      <c r="H440" s="14"/>
      <c r="I440" s="120"/>
      <c r="J440" s="14"/>
      <c r="K440" s="14"/>
      <c r="M440" s="14"/>
      <c r="N440" s="14"/>
      <c r="P440" s="14" t="s">
        <v>690</v>
      </c>
      <c r="R440" s="234" t="s">
        <v>127</v>
      </c>
      <c r="S440" s="795">
        <f>Q416</f>
        <v>1.3565261800000001</v>
      </c>
      <c r="T440" s="795"/>
      <c r="U440" s="192" t="s">
        <v>333</v>
      </c>
      <c r="V440" s="185"/>
    </row>
    <row r="441" spans="1:22" ht="18" hidden="1" customHeight="1">
      <c r="A441" s="184"/>
      <c r="B441" s="47" t="s">
        <v>691</v>
      </c>
      <c r="C441" s="14"/>
      <c r="D441" s="14"/>
      <c r="E441" s="14"/>
      <c r="F441" s="14"/>
      <c r="G441" s="14"/>
      <c r="H441" s="14"/>
      <c r="I441" s="120"/>
      <c r="J441" s="14"/>
      <c r="K441" s="14"/>
      <c r="M441" s="14"/>
      <c r="N441" s="14"/>
      <c r="P441" s="14" t="s">
        <v>411</v>
      </c>
      <c r="R441" s="234" t="s">
        <v>127</v>
      </c>
      <c r="S441" s="684">
        <f>O397</f>
        <v>1</v>
      </c>
      <c r="T441" s="684"/>
      <c r="U441" s="30" t="s">
        <v>8</v>
      </c>
      <c r="V441" s="185"/>
    </row>
    <row r="442" spans="1:22" ht="18" hidden="1" customHeight="1">
      <c r="A442" s="184"/>
      <c r="B442" s="47" t="s">
        <v>678</v>
      </c>
      <c r="C442" s="14"/>
      <c r="D442" s="14"/>
      <c r="E442" s="14"/>
      <c r="F442" s="14"/>
      <c r="G442" s="14"/>
      <c r="H442" s="14"/>
      <c r="I442" s="120"/>
      <c r="J442" s="14"/>
      <c r="K442" s="14"/>
      <c r="M442" s="14"/>
      <c r="N442" s="14"/>
      <c r="P442" s="120" t="s">
        <v>688</v>
      </c>
      <c r="R442" s="234" t="s">
        <v>127</v>
      </c>
      <c r="S442" s="684">
        <f>O430</f>
        <v>6998.1850810863734</v>
      </c>
      <c r="T442" s="684"/>
      <c r="U442" s="30" t="s">
        <v>8</v>
      </c>
      <c r="V442" s="185"/>
    </row>
    <row r="443" spans="1:22" s="279" customFormat="1" ht="18" hidden="1" customHeight="1">
      <c r="A443" s="184"/>
      <c r="B443" s="47" t="s">
        <v>692</v>
      </c>
      <c r="C443" s="14"/>
      <c r="D443" s="14"/>
      <c r="E443" s="14"/>
      <c r="F443" s="14"/>
      <c r="G443" s="14"/>
      <c r="H443" s="14"/>
      <c r="I443" s="120"/>
      <c r="J443" s="14"/>
      <c r="K443" s="14"/>
      <c r="L443" s="30"/>
      <c r="M443" s="14"/>
      <c r="N443" s="14"/>
      <c r="O443" s="30"/>
      <c r="P443" s="120" t="s">
        <v>680</v>
      </c>
      <c r="Q443" s="30"/>
      <c r="R443" s="234" t="s">
        <v>127</v>
      </c>
      <c r="S443" s="795">
        <f>J424</f>
        <v>437.38656756789834</v>
      </c>
      <c r="T443" s="684"/>
      <c r="U443" s="30" t="s">
        <v>8</v>
      </c>
      <c r="V443" s="185"/>
    </row>
    <row r="444" spans="1:22" s="279" customFormat="1" ht="18" hidden="1" customHeight="1">
      <c r="A444" s="184"/>
      <c r="B444" s="47" t="s">
        <v>659</v>
      </c>
      <c r="C444" s="14"/>
      <c r="D444" s="14"/>
      <c r="E444" s="14"/>
      <c r="F444" s="14"/>
      <c r="G444" s="14"/>
      <c r="H444" s="14"/>
      <c r="I444" s="120"/>
      <c r="J444" s="14"/>
      <c r="K444" s="14"/>
      <c r="L444" s="30"/>
      <c r="M444" s="14"/>
      <c r="N444" s="14"/>
      <c r="O444" s="30"/>
      <c r="P444" s="120" t="s">
        <v>660</v>
      </c>
      <c r="Q444" s="30"/>
      <c r="R444" s="234" t="s">
        <v>127</v>
      </c>
      <c r="S444" s="684">
        <f>S242</f>
        <v>1</v>
      </c>
      <c r="T444" s="684"/>
      <c r="U444" s="30" t="s">
        <v>8</v>
      </c>
      <c r="V444" s="185"/>
    </row>
    <row r="445" spans="1:22" ht="18" hidden="1" customHeight="1">
      <c r="A445" s="96"/>
      <c r="B445" s="14"/>
      <c r="C445" s="14"/>
      <c r="D445" s="235"/>
      <c r="E445" s="14"/>
      <c r="F445" s="28"/>
      <c r="G445" s="249"/>
      <c r="H445" s="28"/>
      <c r="I445" s="251"/>
      <c r="J445" s="14"/>
      <c r="K445" s="280"/>
      <c r="M445" s="47"/>
      <c r="N445" s="268"/>
      <c r="P445" s="281"/>
      <c r="R445" s="234"/>
      <c r="S445" s="1148"/>
      <c r="T445" s="723"/>
      <c r="V445" s="185"/>
    </row>
    <row r="446" spans="1:22" ht="18" hidden="1" customHeight="1">
      <c r="A446" s="272" t="s">
        <v>693</v>
      </c>
      <c r="B446" s="14"/>
      <c r="C446" s="14"/>
      <c r="D446" s="14"/>
      <c r="E446" s="14"/>
      <c r="F446" s="14"/>
      <c r="G446" s="14"/>
      <c r="H446" s="28">
        <v>3</v>
      </c>
      <c r="I446" s="47" t="s">
        <v>694</v>
      </c>
      <c r="J446" s="14"/>
      <c r="K446" s="14"/>
      <c r="M446" s="14" t="s">
        <v>337</v>
      </c>
      <c r="N446" s="14"/>
      <c r="P446" s="120"/>
      <c r="R446" s="234"/>
      <c r="S446" s="1149"/>
      <c r="T446" s="723"/>
      <c r="V446" s="185"/>
    </row>
    <row r="447" spans="1:22" ht="18" hidden="1" customHeight="1">
      <c r="A447" s="272"/>
      <c r="B447" s="14"/>
      <c r="C447" s="14"/>
      <c r="D447" s="14"/>
      <c r="E447" s="14"/>
      <c r="F447" s="14"/>
      <c r="G447" s="14"/>
      <c r="H447" s="28"/>
      <c r="I447" s="47"/>
      <c r="J447" s="14"/>
      <c r="K447" s="14"/>
      <c r="M447" s="14"/>
      <c r="N447" s="14"/>
      <c r="P447" s="120"/>
      <c r="R447" s="234"/>
      <c r="S447" s="282"/>
      <c r="V447" s="185"/>
    </row>
    <row r="448" spans="1:22" ht="18" hidden="1" customHeight="1">
      <c r="A448" s="277"/>
      <c r="B448" s="689" t="s">
        <v>703</v>
      </c>
      <c r="C448" s="1150" t="s">
        <v>652</v>
      </c>
      <c r="D448" s="279"/>
      <c r="E448" s="279"/>
      <c r="F448" s="279"/>
      <c r="G448" s="802">
        <f>H446</f>
        <v>3</v>
      </c>
      <c r="H448" s="1151" t="s">
        <v>315</v>
      </c>
      <c r="I448" s="829">
        <f>S442</f>
        <v>6998.1850810863734</v>
      </c>
      <c r="J448" s="1152"/>
      <c r="K448" s="1152"/>
      <c r="L448" s="1152"/>
      <c r="M448" s="1152"/>
      <c r="N448" s="689" t="s">
        <v>672</v>
      </c>
      <c r="O448" s="708">
        <f>S439</f>
        <v>20</v>
      </c>
      <c r="P448" s="689" t="s">
        <v>347</v>
      </c>
      <c r="Q448" s="829">
        <f>S440</f>
        <v>1.3565261800000001</v>
      </c>
      <c r="R448" s="708" t="s">
        <v>674</v>
      </c>
      <c r="S448" s="708">
        <f>S441</f>
        <v>1</v>
      </c>
      <c r="T448" s="14"/>
      <c r="U448" s="729" t="s">
        <v>653</v>
      </c>
      <c r="V448" s="185"/>
    </row>
    <row r="449" spans="1:22" ht="18" hidden="1" customHeight="1">
      <c r="A449" s="277"/>
      <c r="B449" s="689"/>
      <c r="C449" s="689"/>
      <c r="D449" s="279"/>
      <c r="E449" s="279"/>
      <c r="F449" s="279"/>
      <c r="G449" s="802"/>
      <c r="H449" s="684"/>
      <c r="I449" s="689">
        <v>1.3</v>
      </c>
      <c r="J449" s="684"/>
      <c r="K449" s="28" t="s">
        <v>315</v>
      </c>
      <c r="L449" s="689">
        <f>S438</f>
        <v>5000</v>
      </c>
      <c r="M449" s="684"/>
      <c r="N449" s="689"/>
      <c r="O449" s="689"/>
      <c r="P449" s="689"/>
      <c r="Q449" s="689"/>
      <c r="R449" s="689"/>
      <c r="S449" s="689"/>
      <c r="T449" s="14"/>
      <c r="U449" s="689"/>
      <c r="V449" s="185"/>
    </row>
    <row r="450" spans="1:22" ht="18" hidden="1" customHeight="1">
      <c r="A450" s="96"/>
      <c r="B450" s="14"/>
      <c r="C450" s="27" t="s">
        <v>127</v>
      </c>
      <c r="D450" s="812">
        <f>G448*(I448/(I449*L449)*(O448+Q448)*S448)</f>
        <v>68.980118260018415</v>
      </c>
      <c r="E450" s="813"/>
      <c r="F450" s="30" t="s">
        <v>305</v>
      </c>
      <c r="G450" s="14"/>
      <c r="H450" s="14"/>
      <c r="I450" s="14"/>
      <c r="J450" s="14"/>
      <c r="K450" s="14"/>
      <c r="L450" s="14"/>
      <c r="M450" s="14"/>
      <c r="N450" s="14"/>
      <c r="R450" s="234"/>
      <c r="S450" s="204"/>
      <c r="V450" s="185"/>
    </row>
    <row r="451" spans="1:22" ht="18" hidden="1" customHeight="1">
      <c r="A451" s="96"/>
      <c r="B451" s="14"/>
      <c r="G451" s="14"/>
      <c r="H451" s="14"/>
      <c r="I451" s="14"/>
      <c r="J451" s="14"/>
      <c r="K451" s="14"/>
      <c r="L451" s="14"/>
      <c r="M451" s="14"/>
      <c r="N451" s="14"/>
      <c r="R451" s="234"/>
      <c r="S451" s="204"/>
      <c r="V451" s="185"/>
    </row>
    <row r="452" spans="1:22" ht="18" hidden="1" customHeight="1">
      <c r="A452" s="96"/>
      <c r="B452" s="14"/>
      <c r="D452" s="30" t="s">
        <v>475</v>
      </c>
      <c r="G452" s="27" t="str">
        <f>IF(E453&gt;H453,"&gt;","&lt;")</f>
        <v>&gt;</v>
      </c>
      <c r="H452" s="30" t="s">
        <v>477</v>
      </c>
      <c r="M452" s="14"/>
      <c r="N452" s="14"/>
      <c r="R452" s="234"/>
      <c r="S452" s="204"/>
      <c r="V452" s="185"/>
    </row>
    <row r="453" spans="1:22" ht="18" hidden="1" customHeight="1">
      <c r="A453" s="96"/>
      <c r="B453" s="14"/>
      <c r="E453" s="684">
        <f>H400</f>
        <v>1000</v>
      </c>
      <c r="F453" s="684"/>
      <c r="G453" s="27" t="str">
        <f>G452</f>
        <v>&gt;</v>
      </c>
      <c r="H453" s="795">
        <f>D450</f>
        <v>68.980118260018415</v>
      </c>
      <c r="I453" s="684"/>
      <c r="M453" s="14"/>
      <c r="N453" s="14"/>
      <c r="R453" s="234"/>
      <c r="S453" s="204"/>
      <c r="V453" s="185"/>
    </row>
    <row r="454" spans="1:22" ht="18" hidden="1" customHeight="1">
      <c r="A454" s="96"/>
      <c r="B454" s="14"/>
      <c r="F454" s="244" t="s">
        <v>478</v>
      </c>
      <c r="H454" s="18" t="str">
        <f>IF(G452="&gt;","Suitably Dimentioned","Under Dimentioned")</f>
        <v>Suitably Dimentioned</v>
      </c>
      <c r="M454" s="14"/>
      <c r="N454" s="14"/>
      <c r="R454" s="234"/>
      <c r="S454" s="204"/>
      <c r="V454" s="185"/>
    </row>
    <row r="455" spans="1:22" ht="18" hidden="1" customHeight="1">
      <c r="A455" s="96"/>
      <c r="B455" s="14"/>
      <c r="G455" s="14"/>
      <c r="H455" s="14"/>
      <c r="I455" s="14"/>
      <c r="J455" s="14"/>
      <c r="K455" s="14"/>
      <c r="L455" s="14"/>
      <c r="M455" s="14"/>
      <c r="N455" s="14"/>
      <c r="R455" s="234"/>
      <c r="S455" s="204"/>
      <c r="V455" s="185"/>
    </row>
    <row r="456" spans="1:22" ht="18" hidden="1" customHeight="1">
      <c r="A456" s="193" t="s">
        <v>695</v>
      </c>
      <c r="B456" s="14"/>
      <c r="G456" s="14"/>
      <c r="H456" s="14"/>
      <c r="I456" s="14"/>
      <c r="J456" s="14"/>
      <c r="K456" s="14"/>
      <c r="L456" s="14"/>
      <c r="M456" s="14"/>
      <c r="N456" s="14"/>
      <c r="R456" s="234"/>
      <c r="S456" s="204"/>
      <c r="V456" s="185"/>
    </row>
    <row r="457" spans="1:22" ht="18" hidden="1" customHeight="1">
      <c r="A457" s="96"/>
      <c r="B457" s="14"/>
      <c r="D457" s="802" t="s">
        <v>696</v>
      </c>
      <c r="E457" s="716"/>
      <c r="F457" s="689" t="s">
        <v>127</v>
      </c>
      <c r="G457" s="708" t="s">
        <v>423</v>
      </c>
      <c r="H457" s="1147"/>
      <c r="I457" s="689" t="s">
        <v>315</v>
      </c>
      <c r="J457" s="708" t="s">
        <v>697</v>
      </c>
      <c r="K457" s="1147"/>
      <c r="L457" s="14"/>
      <c r="M457" s="14"/>
      <c r="N457" s="14"/>
      <c r="R457" s="234"/>
      <c r="S457" s="204"/>
      <c r="V457" s="185"/>
    </row>
    <row r="458" spans="1:22" ht="18" hidden="1" customHeight="1">
      <c r="A458" s="96"/>
      <c r="B458" s="14"/>
      <c r="D458" s="716"/>
      <c r="E458" s="716"/>
      <c r="F458" s="689"/>
      <c r="G458" s="689" t="s">
        <v>680</v>
      </c>
      <c r="H458" s="716"/>
      <c r="I458" s="689"/>
      <c r="J458" s="689" t="s">
        <v>411</v>
      </c>
      <c r="K458" s="716"/>
      <c r="L458" s="14"/>
      <c r="M458" s="14"/>
      <c r="N458" s="14"/>
      <c r="R458" s="234"/>
      <c r="S458" s="204"/>
      <c r="V458" s="185"/>
    </row>
    <row r="459" spans="1:22" ht="18" hidden="1" customHeight="1">
      <c r="A459" s="96"/>
      <c r="B459" s="14"/>
      <c r="D459" s="14"/>
      <c r="E459" s="14"/>
      <c r="F459" s="14"/>
      <c r="G459" s="14"/>
      <c r="H459" s="14"/>
      <c r="I459" s="14"/>
      <c r="J459" s="14"/>
      <c r="K459" s="14"/>
      <c r="L459" s="14"/>
      <c r="M459" s="14"/>
      <c r="N459" s="14"/>
      <c r="R459" s="234"/>
      <c r="S459" s="204"/>
      <c r="V459" s="185"/>
    </row>
    <row r="460" spans="1:22" ht="18" hidden="1" customHeight="1">
      <c r="A460" s="96"/>
      <c r="B460" s="14"/>
      <c r="D460" s="14"/>
      <c r="E460" s="14"/>
      <c r="F460" s="689" t="s">
        <v>127</v>
      </c>
      <c r="G460" s="708">
        <f>S438</f>
        <v>5000</v>
      </c>
      <c r="H460" s="1147"/>
      <c r="I460" s="689" t="s">
        <v>315</v>
      </c>
      <c r="J460" s="708">
        <f>S444</f>
        <v>1</v>
      </c>
      <c r="K460" s="1147"/>
      <c r="L460" s="14"/>
      <c r="M460" s="14"/>
      <c r="N460" s="14"/>
      <c r="R460" s="234"/>
      <c r="S460" s="204"/>
      <c r="V460" s="185"/>
    </row>
    <row r="461" spans="1:22" ht="18" hidden="1" customHeight="1">
      <c r="A461" s="96"/>
      <c r="B461" s="14"/>
      <c r="D461" s="14"/>
      <c r="E461" s="14"/>
      <c r="F461" s="689"/>
      <c r="G461" s="692">
        <f>J424</f>
        <v>437.38656756789834</v>
      </c>
      <c r="H461" s="716"/>
      <c r="I461" s="689"/>
      <c r="J461" s="689">
        <f>S441</f>
        <v>1</v>
      </c>
      <c r="K461" s="716"/>
      <c r="L461" s="14"/>
      <c r="M461" s="14"/>
      <c r="N461" s="14"/>
      <c r="R461" s="234"/>
      <c r="S461" s="204"/>
      <c r="V461" s="185"/>
    </row>
    <row r="462" spans="1:22" ht="18" hidden="1" customHeight="1">
      <c r="A462" s="96"/>
      <c r="B462" s="14"/>
      <c r="D462" s="14"/>
      <c r="E462" s="14"/>
      <c r="F462" s="14"/>
      <c r="G462" s="14"/>
      <c r="H462" s="14"/>
      <c r="I462" s="14"/>
      <c r="J462" s="14"/>
      <c r="K462" s="14"/>
      <c r="L462" s="14"/>
      <c r="M462" s="14"/>
      <c r="N462" s="14"/>
      <c r="R462" s="234"/>
      <c r="S462" s="204"/>
      <c r="V462" s="185"/>
    </row>
    <row r="463" spans="1:22" ht="18" hidden="1" customHeight="1">
      <c r="A463" s="96"/>
      <c r="B463" s="14"/>
      <c r="D463" s="14"/>
      <c r="E463" s="14"/>
      <c r="F463" s="28" t="s">
        <v>127</v>
      </c>
      <c r="G463" s="716">
        <f>(G460/G461)*(J460/J461)</f>
        <v>11.43153532995459</v>
      </c>
      <c r="H463" s="716"/>
      <c r="I463" s="14"/>
      <c r="J463" s="14"/>
      <c r="K463" s="14"/>
      <c r="L463" s="14"/>
      <c r="M463" s="14"/>
      <c r="N463" s="14"/>
      <c r="R463" s="234"/>
      <c r="S463" s="204"/>
      <c r="V463" s="185"/>
    </row>
    <row r="464" spans="1:22" ht="18" hidden="1" customHeight="1">
      <c r="A464" s="96"/>
      <c r="B464" s="14"/>
      <c r="G464" s="14"/>
      <c r="H464" s="14"/>
      <c r="I464" s="14"/>
      <c r="J464" s="14"/>
      <c r="K464" s="14"/>
      <c r="L464" s="14"/>
      <c r="M464" s="14"/>
      <c r="N464" s="14"/>
      <c r="R464" s="234"/>
      <c r="S464" s="204"/>
      <c r="V464" s="185"/>
    </row>
    <row r="465" spans="1:22" s="14" customFormat="1" ht="18" hidden="1" customHeight="1">
      <c r="A465" s="96"/>
      <c r="C465" s="30"/>
      <c r="D465" s="283" t="s">
        <v>698</v>
      </c>
      <c r="E465" s="284" t="s">
        <v>699</v>
      </c>
      <c r="F465" s="689" t="s">
        <v>696</v>
      </c>
      <c r="G465" s="716"/>
      <c r="H465" s="716"/>
      <c r="I465" s="284" t="s">
        <v>699</v>
      </c>
      <c r="J465" s="28">
        <v>4</v>
      </c>
      <c r="K465" s="30"/>
      <c r="L465" s="279"/>
      <c r="M465" s="120" t="s">
        <v>700</v>
      </c>
      <c r="N465" s="47" t="s">
        <v>701</v>
      </c>
      <c r="O465" s="279"/>
      <c r="P465" s="236"/>
      <c r="Q465" s="236"/>
      <c r="R465" s="234"/>
      <c r="S465" s="204"/>
      <c r="T465" s="30"/>
      <c r="U465" s="30"/>
      <c r="V465" s="185"/>
    </row>
    <row r="466" spans="1:22" ht="18" hidden="1" customHeight="1">
      <c r="A466" s="96"/>
      <c r="B466" s="14"/>
      <c r="D466" s="218">
        <v>0.25</v>
      </c>
      <c r="E466" s="284" t="str">
        <f>IF(D466&lt;=G463,"≤","&gt;")</f>
        <v>≤</v>
      </c>
      <c r="F466" s="688">
        <f>G463</f>
        <v>11.43153532995459</v>
      </c>
      <c r="G466" s="1145"/>
      <c r="H466" s="688"/>
      <c r="I466" s="284" t="str">
        <f>IF(G463&lt;=J465,"≤","&gt;")</f>
        <v>&gt;</v>
      </c>
      <c r="J466" s="28">
        <f>J465</f>
        <v>4</v>
      </c>
      <c r="L466" s="279"/>
      <c r="M466" s="120"/>
      <c r="N466" s="213"/>
      <c r="O466" s="279"/>
      <c r="P466" s="236"/>
      <c r="Q466" s="236"/>
      <c r="R466" s="234"/>
      <c r="S466" s="204"/>
      <c r="V466" s="185"/>
    </row>
    <row r="467" spans="1:22" ht="18" hidden="1" customHeight="1">
      <c r="A467" s="96"/>
      <c r="B467" s="14"/>
      <c r="G467" s="14"/>
      <c r="H467" s="14"/>
      <c r="I467" s="14"/>
      <c r="J467" s="14"/>
      <c r="K467" s="14"/>
      <c r="L467" s="14"/>
      <c r="M467" s="14"/>
      <c r="N467" s="14"/>
      <c r="R467" s="234"/>
      <c r="S467" s="204"/>
      <c r="V467" s="185"/>
    </row>
    <row r="468" spans="1:22" ht="18" hidden="1" customHeight="1">
      <c r="A468" s="96"/>
      <c r="B468" s="14" t="s">
        <v>702</v>
      </c>
      <c r="G468" s="14"/>
      <c r="H468" s="18" t="str">
        <f>IF(AND(E466="≤",I466="≤")=TRUE,"OK","Not OK")</f>
        <v>Not OK</v>
      </c>
      <c r="I468" s="14"/>
      <c r="J468" s="14"/>
      <c r="K468" s="14"/>
      <c r="L468" s="14"/>
      <c r="M468" s="14"/>
      <c r="N468" s="14"/>
      <c r="R468" s="234"/>
      <c r="S468" s="204"/>
      <c r="V468" s="185"/>
    </row>
    <row r="469" spans="1:22" ht="18" hidden="1" customHeight="1">
      <c r="A469" s="96"/>
      <c r="B469" s="14"/>
      <c r="G469" s="14"/>
      <c r="H469" s="18"/>
      <c r="I469" s="14"/>
      <c r="J469" s="14"/>
      <c r="K469" s="14"/>
      <c r="L469" s="14"/>
      <c r="M469" s="14"/>
      <c r="N469" s="14"/>
      <c r="R469" s="234"/>
      <c r="S469" s="204"/>
      <c r="V469" s="185"/>
    </row>
    <row r="470" spans="1:22" ht="18" hidden="1" customHeight="1">
      <c r="A470" s="96"/>
      <c r="B470" s="14"/>
      <c r="G470" s="14"/>
      <c r="H470" s="18"/>
      <c r="I470" s="14"/>
      <c r="J470" s="14"/>
      <c r="K470" s="14"/>
      <c r="L470" s="14"/>
      <c r="M470" s="14"/>
      <c r="N470" s="14"/>
      <c r="R470" s="234"/>
      <c r="S470" s="204"/>
      <c r="V470" s="185"/>
    </row>
    <row r="471" spans="1:22" ht="18" hidden="1" customHeight="1">
      <c r="A471" s="96"/>
      <c r="B471" s="14"/>
      <c r="G471" s="14"/>
      <c r="H471" s="18"/>
      <c r="I471" s="14"/>
      <c r="J471" s="14"/>
      <c r="K471" s="14"/>
      <c r="L471" s="14"/>
      <c r="M471" s="14"/>
      <c r="N471" s="14"/>
      <c r="R471" s="234"/>
      <c r="S471" s="204"/>
      <c r="V471" s="185"/>
    </row>
    <row r="472" spans="1:22" ht="18" hidden="1" customHeight="1">
      <c r="A472" s="96"/>
      <c r="B472" s="14"/>
      <c r="G472" s="14"/>
      <c r="H472" s="18"/>
      <c r="I472" s="14"/>
      <c r="J472" s="14"/>
      <c r="K472" s="14"/>
      <c r="L472" s="14"/>
      <c r="M472" s="14"/>
      <c r="N472" s="14"/>
      <c r="R472" s="234"/>
      <c r="S472" s="204"/>
      <c r="V472" s="185"/>
    </row>
    <row r="473" spans="1:22" ht="18" hidden="1" customHeight="1">
      <c r="A473" s="96"/>
      <c r="B473" s="14"/>
      <c r="G473" s="14"/>
      <c r="H473" s="18"/>
      <c r="I473" s="14"/>
      <c r="J473" s="14"/>
      <c r="K473" s="14"/>
      <c r="L473" s="14"/>
      <c r="M473" s="14"/>
      <c r="N473" s="14"/>
      <c r="R473" s="234"/>
      <c r="S473" s="204"/>
      <c r="V473" s="185"/>
    </row>
    <row r="474" spans="1:22" ht="18" hidden="1" customHeight="1">
      <c r="A474" s="96"/>
      <c r="B474" s="14"/>
      <c r="G474" s="14"/>
      <c r="H474" s="14"/>
      <c r="I474" s="14"/>
      <c r="J474" s="14"/>
      <c r="K474" s="14"/>
      <c r="L474" s="14"/>
      <c r="M474" s="14"/>
      <c r="N474" s="14"/>
      <c r="R474" s="234"/>
      <c r="S474" s="204"/>
      <c r="V474" s="185"/>
    </row>
    <row r="475" spans="1:22" ht="18" hidden="1" customHeight="1">
      <c r="A475" s="194"/>
      <c r="B475" s="195"/>
      <c r="C475" s="195"/>
      <c r="D475" s="195"/>
      <c r="E475" s="195"/>
      <c r="F475" s="195"/>
      <c r="G475" s="195"/>
      <c r="H475" s="195"/>
      <c r="I475" s="195"/>
      <c r="J475" s="195"/>
      <c r="K475" s="195"/>
      <c r="L475" s="195"/>
      <c r="M475" s="195"/>
      <c r="N475" s="195"/>
      <c r="O475" s="195"/>
      <c r="P475" s="195"/>
      <c r="Q475" s="224"/>
      <c r="R475" s="182"/>
      <c r="S475" s="225"/>
      <c r="T475" s="195"/>
      <c r="U475" s="195"/>
      <c r="V475" s="134" t="s">
        <v>552</v>
      </c>
    </row>
    <row r="476" spans="1:22" ht="18" hidden="1" customHeight="1">
      <c r="A476" s="226"/>
      <c r="B476" s="227"/>
      <c r="C476" s="227"/>
      <c r="D476" s="227"/>
      <c r="E476" s="227"/>
      <c r="F476" s="227"/>
      <c r="G476" s="227"/>
      <c r="H476" s="227"/>
      <c r="I476" s="227"/>
      <c r="J476" s="227"/>
      <c r="K476" s="227"/>
      <c r="L476" s="227"/>
      <c r="M476" s="227"/>
      <c r="N476" s="227"/>
      <c r="O476" s="227"/>
      <c r="P476" s="227"/>
      <c r="Q476" s="227"/>
      <c r="R476" s="227"/>
      <c r="S476" s="227"/>
      <c r="T476" s="227"/>
      <c r="U476" s="227"/>
      <c r="V476" s="228"/>
    </row>
    <row r="477" spans="1:22" ht="18" hidden="1" customHeight="1">
      <c r="A477" s="184"/>
      <c r="B477" s="854" t="str">
        <f>B394</f>
        <v>CT1L1</v>
      </c>
      <c r="C477" s="831"/>
      <c r="D477" s="855" t="str">
        <f>D394</f>
        <v>Core3</v>
      </c>
      <c r="E477" s="856"/>
      <c r="F477" s="186" t="s">
        <v>636</v>
      </c>
      <c r="H477" s="684" t="str">
        <f>H394</f>
        <v>(Transformer Differential)</v>
      </c>
      <c r="I477" s="684"/>
      <c r="J477" s="684"/>
      <c r="K477" s="684"/>
      <c r="L477" s="684"/>
      <c r="M477" s="684"/>
      <c r="P477" s="186"/>
      <c r="S477" s="187" t="s">
        <v>387</v>
      </c>
      <c r="T477" s="1154" t="str">
        <f>T394</f>
        <v>7UT85</v>
      </c>
      <c r="U477" s="1155"/>
      <c r="V477" s="185"/>
    </row>
    <row r="478" spans="1:22" ht="18" hidden="1" customHeight="1">
      <c r="A478" s="184"/>
      <c r="B478" s="853" t="str">
        <f>B395</f>
        <v>CT1L2</v>
      </c>
      <c r="C478" s="853"/>
      <c r="D478" s="857"/>
      <c r="E478" s="858"/>
      <c r="F478" s="255"/>
      <c r="T478" s="1154">
        <f>T395</f>
        <v>0</v>
      </c>
      <c r="U478" s="1155"/>
      <c r="V478" s="185"/>
    </row>
    <row r="479" spans="1:22" ht="18" hidden="1" customHeight="1">
      <c r="A479" s="184"/>
      <c r="H479" s="708" t="s">
        <v>390</v>
      </c>
      <c r="I479" s="708"/>
      <c r="J479" s="789" t="s">
        <v>391</v>
      </c>
      <c r="K479" s="789"/>
      <c r="L479" s="708" t="s">
        <v>392</v>
      </c>
      <c r="M479" s="708"/>
      <c r="T479" s="1154">
        <f>T396</f>
        <v>0</v>
      </c>
      <c r="U479" s="1155"/>
      <c r="V479" s="185"/>
    </row>
    <row r="480" spans="1:22" ht="18" hidden="1" customHeight="1">
      <c r="A480" s="184"/>
      <c r="B480" s="47" t="s">
        <v>393</v>
      </c>
      <c r="H480" s="854">
        <f>H397</f>
        <v>5000</v>
      </c>
      <c r="I480" s="831"/>
      <c r="J480" s="863">
        <f>J397</f>
        <v>4000</v>
      </c>
      <c r="K480" s="864"/>
      <c r="L480" s="854">
        <f>L397</f>
        <v>3000</v>
      </c>
      <c r="M480" s="831"/>
      <c r="N480" s="102" t="s">
        <v>342</v>
      </c>
      <c r="O480" s="256">
        <f>O397</f>
        <v>1</v>
      </c>
      <c r="P480" s="27" t="s">
        <v>8</v>
      </c>
      <c r="V480" s="185"/>
    </row>
    <row r="481" spans="1:29" ht="18" hidden="1" customHeight="1">
      <c r="A481" s="184"/>
      <c r="B481" s="47" t="s">
        <v>394</v>
      </c>
      <c r="H481" s="14"/>
      <c r="I481" s="14"/>
      <c r="J481" s="854" t="str">
        <f>H398</f>
        <v>PX</v>
      </c>
      <c r="K481" s="776"/>
      <c r="L481" s="14"/>
      <c r="M481" s="14"/>
      <c r="V481" s="185"/>
    </row>
    <row r="482" spans="1:29" ht="18" hidden="1" customHeight="1">
      <c r="A482" s="184"/>
      <c r="B482" s="47" t="s">
        <v>396</v>
      </c>
      <c r="I482" s="120" t="s">
        <v>497</v>
      </c>
      <c r="J482" s="781">
        <v>15</v>
      </c>
      <c r="K482" s="782"/>
      <c r="L482" s="192" t="s">
        <v>333</v>
      </c>
      <c r="V482" s="185"/>
    </row>
    <row r="483" spans="1:29" ht="18" hidden="1" customHeight="1">
      <c r="A483" s="184"/>
      <c r="B483" s="47" t="s">
        <v>398</v>
      </c>
      <c r="I483" s="120" t="s">
        <v>498</v>
      </c>
      <c r="J483" s="781">
        <v>800</v>
      </c>
      <c r="K483" s="782"/>
      <c r="L483" s="14" t="s">
        <v>305</v>
      </c>
      <c r="V483" s="185"/>
      <c r="W483" s="30" t="s">
        <v>400</v>
      </c>
      <c r="AB483" s="785">
        <f>D538</f>
        <v>66.038075475735397</v>
      </c>
      <c r="AC483" s="786"/>
    </row>
    <row r="484" spans="1:29" ht="18" hidden="1" customHeight="1">
      <c r="A484" s="184"/>
      <c r="B484" s="14" t="s">
        <v>401</v>
      </c>
      <c r="I484" s="120" t="s">
        <v>402</v>
      </c>
      <c r="J484" s="781">
        <v>40</v>
      </c>
      <c r="K484" s="782"/>
      <c r="L484" s="30" t="s">
        <v>403</v>
      </c>
      <c r="V484" s="185"/>
    </row>
    <row r="485" spans="1:29" ht="18" hidden="1" customHeight="1">
      <c r="A485" s="96"/>
      <c r="V485" s="185"/>
    </row>
    <row r="486" spans="1:29" ht="18" hidden="1" customHeight="1">
      <c r="A486" s="193" t="s">
        <v>404</v>
      </c>
      <c r="V486" s="185"/>
    </row>
    <row r="487" spans="1:29" ht="18" hidden="1" customHeight="1">
      <c r="A487" s="184"/>
      <c r="V487" s="185"/>
    </row>
    <row r="488" spans="1:29" ht="18" hidden="1" customHeight="1">
      <c r="A488" s="184"/>
      <c r="B488" s="194" t="s">
        <v>405</v>
      </c>
      <c r="C488" s="195"/>
      <c r="D488" s="195" t="str">
        <f>T477</f>
        <v>7UT85</v>
      </c>
      <c r="E488" s="196"/>
      <c r="F488" s="196"/>
      <c r="G488" s="196"/>
      <c r="H488" s="182" t="s">
        <v>406</v>
      </c>
      <c r="I488" s="183" t="s">
        <v>127</v>
      </c>
      <c r="J488" s="766">
        <f>J405</f>
        <v>0.1</v>
      </c>
      <c r="K488" s="958"/>
      <c r="L488" s="3" t="s">
        <v>157</v>
      </c>
      <c r="V488" s="185"/>
    </row>
    <row r="489" spans="1:29" ht="18" hidden="1" customHeight="1">
      <c r="A489" s="184"/>
      <c r="B489" s="184" t="s">
        <v>405</v>
      </c>
      <c r="D489" s="30">
        <f>T478</f>
        <v>0</v>
      </c>
      <c r="H489" s="27"/>
      <c r="I489" s="177" t="s">
        <v>127</v>
      </c>
      <c r="J489" s="766">
        <f>J406</f>
        <v>0</v>
      </c>
      <c r="K489" s="958"/>
      <c r="L489" s="198" t="s">
        <v>157</v>
      </c>
      <c r="V489" s="185"/>
    </row>
    <row r="490" spans="1:29" ht="18" hidden="1" customHeight="1">
      <c r="A490" s="184"/>
      <c r="B490" s="184" t="s">
        <v>405</v>
      </c>
      <c r="D490" s="30">
        <f>T479</f>
        <v>0</v>
      </c>
      <c r="E490" s="14"/>
      <c r="G490" s="199"/>
      <c r="H490" s="27"/>
      <c r="I490" s="177" t="s">
        <v>127</v>
      </c>
      <c r="J490" s="766">
        <f>J407</f>
        <v>0</v>
      </c>
      <c r="K490" s="958"/>
      <c r="L490" s="202" t="s">
        <v>157</v>
      </c>
      <c r="V490" s="185"/>
    </row>
    <row r="491" spans="1:29" ht="18" hidden="1" customHeight="1">
      <c r="A491" s="184"/>
      <c r="B491" s="184" t="s">
        <v>412</v>
      </c>
      <c r="H491" s="27" t="s">
        <v>599</v>
      </c>
      <c r="I491" s="177" t="s">
        <v>127</v>
      </c>
      <c r="J491" s="766">
        <f>J408</f>
        <v>1.25652618</v>
      </c>
      <c r="K491" s="958"/>
      <c r="L491" s="203" t="s">
        <v>157</v>
      </c>
      <c r="V491" s="185"/>
    </row>
    <row r="492" spans="1:29" ht="18" hidden="1" customHeight="1">
      <c r="A492" s="184"/>
      <c r="B492" s="205" t="s">
        <v>413</v>
      </c>
      <c r="C492" s="206"/>
      <c r="D492" s="206"/>
      <c r="E492" s="206"/>
      <c r="F492" s="207"/>
      <c r="G492" s="207"/>
      <c r="H492" s="190" t="s">
        <v>409</v>
      </c>
      <c r="I492" s="208" t="s">
        <v>127</v>
      </c>
      <c r="J492" s="766">
        <f>J489+J491</f>
        <v>1.25652618</v>
      </c>
      <c r="K492" s="958"/>
      <c r="L492" s="210" t="s">
        <v>157</v>
      </c>
      <c r="V492" s="185"/>
    </row>
    <row r="493" spans="1:29" ht="18" hidden="1" customHeight="1">
      <c r="A493" s="184"/>
      <c r="B493" s="47"/>
      <c r="C493" s="47"/>
      <c r="D493" s="47"/>
      <c r="E493" s="47"/>
      <c r="H493" s="27"/>
      <c r="I493" s="28"/>
      <c r="J493" s="199"/>
      <c r="L493" s="47"/>
      <c r="O493" s="27"/>
      <c r="P493" s="211"/>
      <c r="Q493" s="211"/>
      <c r="R493" s="192"/>
      <c r="V493" s="185"/>
    </row>
    <row r="494" spans="1:29" ht="18" hidden="1" customHeight="1">
      <c r="A494" s="184"/>
      <c r="B494" s="197" t="s">
        <v>648</v>
      </c>
      <c r="L494" s="47"/>
      <c r="M494" s="197" t="s">
        <v>407</v>
      </c>
      <c r="V494" s="185"/>
    </row>
    <row r="495" spans="1:29" s="14" customFormat="1" ht="18" hidden="1" customHeight="1">
      <c r="A495" s="184"/>
      <c r="B495" s="27" t="s">
        <v>649</v>
      </c>
      <c r="C495" s="27" t="s">
        <v>127</v>
      </c>
      <c r="D495" s="30" t="s">
        <v>406</v>
      </c>
      <c r="E495" s="271" t="s">
        <v>410</v>
      </c>
      <c r="F495" s="27" t="s">
        <v>146</v>
      </c>
      <c r="G495" s="28" t="s">
        <v>315</v>
      </c>
      <c r="H495" s="218" t="s">
        <v>146</v>
      </c>
      <c r="I495" s="30" t="s">
        <v>350</v>
      </c>
      <c r="J495" s="199"/>
      <c r="K495" s="30"/>
      <c r="L495" s="47"/>
      <c r="M495" s="30" t="s">
        <v>408</v>
      </c>
      <c r="N495" s="27" t="s">
        <v>127</v>
      </c>
      <c r="O495" s="30" t="s">
        <v>409</v>
      </c>
      <c r="P495" s="191" t="s">
        <v>410</v>
      </c>
      <c r="Q495" s="244" t="s">
        <v>411</v>
      </c>
      <c r="R495" s="27" t="s">
        <v>315</v>
      </c>
      <c r="S495" s="30" t="s">
        <v>411</v>
      </c>
      <c r="T495" s="30" t="s">
        <v>350</v>
      </c>
      <c r="U495" s="30"/>
      <c r="V495" s="185"/>
    </row>
    <row r="496" spans="1:29" s="14" customFormat="1" ht="18" hidden="1" customHeight="1">
      <c r="A496" s="184"/>
      <c r="B496" s="47"/>
      <c r="C496" s="27" t="s">
        <v>127</v>
      </c>
      <c r="D496" s="204">
        <f>J488</f>
        <v>0.1</v>
      </c>
      <c r="E496" s="191" t="s">
        <v>410</v>
      </c>
      <c r="F496" s="27">
        <f>F413</f>
        <v>1</v>
      </c>
      <c r="G496" s="27" t="s">
        <v>315</v>
      </c>
      <c r="H496" s="27">
        <f>H413</f>
        <v>1</v>
      </c>
      <c r="I496" s="30" t="s">
        <v>350</v>
      </c>
      <c r="J496" s="199"/>
      <c r="K496" s="30"/>
      <c r="L496" s="47"/>
      <c r="M496" s="30"/>
      <c r="N496" s="27" t="s">
        <v>127</v>
      </c>
      <c r="O496" s="204">
        <f>J492</f>
        <v>1.25652618</v>
      </c>
      <c r="P496" s="191" t="s">
        <v>410</v>
      </c>
      <c r="Q496" s="27">
        <f>O480</f>
        <v>1</v>
      </c>
      <c r="R496" s="27" t="s">
        <v>315</v>
      </c>
      <c r="S496" s="27">
        <f>O480</f>
        <v>1</v>
      </c>
      <c r="T496" s="30" t="s">
        <v>350</v>
      </c>
      <c r="U496" s="30"/>
      <c r="V496" s="185"/>
    </row>
    <row r="497" spans="1:22" s="14" customFormat="1" ht="18" hidden="1" customHeight="1">
      <c r="A497" s="184"/>
      <c r="B497" s="47"/>
      <c r="C497" s="27" t="s">
        <v>127</v>
      </c>
      <c r="D497" s="795">
        <f>D496/(F496*H496)</f>
        <v>0.1</v>
      </c>
      <c r="E497" s="795"/>
      <c r="F497" s="192" t="s">
        <v>333</v>
      </c>
      <c r="G497" s="30"/>
      <c r="H497" s="30"/>
      <c r="I497" s="30"/>
      <c r="J497" s="199"/>
      <c r="K497" s="30"/>
      <c r="L497" s="47"/>
      <c r="M497" s="30"/>
      <c r="N497" s="27" t="s">
        <v>127</v>
      </c>
      <c r="O497" s="795">
        <f>O496/(Q496*S496)</f>
        <v>1.25652618</v>
      </c>
      <c r="P497" s="795"/>
      <c r="Q497" s="192" t="s">
        <v>333</v>
      </c>
      <c r="R497" s="30"/>
      <c r="S497" s="30"/>
      <c r="T497" s="30"/>
      <c r="U497" s="30"/>
      <c r="V497" s="185"/>
    </row>
    <row r="498" spans="1:22" s="14" customFormat="1" ht="18" hidden="1" customHeight="1">
      <c r="A498" s="184"/>
      <c r="B498" s="47"/>
      <c r="C498" s="47"/>
      <c r="D498" s="47"/>
      <c r="E498" s="47"/>
      <c r="F498" s="30"/>
      <c r="G498" s="30"/>
      <c r="H498" s="27"/>
      <c r="I498" s="28"/>
      <c r="J498" s="199"/>
      <c r="K498" s="30"/>
      <c r="L498" s="47"/>
      <c r="M498" s="30"/>
      <c r="N498" s="30"/>
      <c r="O498" s="27"/>
      <c r="P498" s="211"/>
      <c r="Q498" s="211"/>
      <c r="R498" s="192"/>
      <c r="S498" s="30"/>
      <c r="T498" s="30"/>
      <c r="U498" s="30"/>
      <c r="V498" s="185"/>
    </row>
    <row r="499" spans="1:22" s="14" customFormat="1" ht="18" hidden="1" customHeight="1">
      <c r="A499" s="184"/>
      <c r="B499" s="47" t="s">
        <v>668</v>
      </c>
      <c r="C499" s="47"/>
      <c r="D499" s="47"/>
      <c r="E499" s="47"/>
      <c r="F499" s="30"/>
      <c r="G499" s="30"/>
      <c r="H499" s="27"/>
      <c r="I499" s="28"/>
      <c r="J499" s="199"/>
      <c r="K499" s="30"/>
      <c r="L499" s="47" t="s">
        <v>127</v>
      </c>
      <c r="M499" s="204">
        <f>D497</f>
        <v>0.1</v>
      </c>
      <c r="N499" s="27" t="s">
        <v>347</v>
      </c>
      <c r="O499" s="211">
        <f>O497</f>
        <v>1.25652618</v>
      </c>
      <c r="P499" s="211" t="s">
        <v>127</v>
      </c>
      <c r="Q499" s="211">
        <f>M499+O499</f>
        <v>1.3565261800000001</v>
      </c>
      <c r="R499" s="192" t="s">
        <v>333</v>
      </c>
      <c r="S499" s="30"/>
      <c r="T499" s="30"/>
      <c r="U499" s="30"/>
      <c r="V499" s="185"/>
    </row>
    <row r="500" spans="1:22" s="14" customFormat="1" ht="18" hidden="1" customHeight="1">
      <c r="A500" s="193" t="s">
        <v>600</v>
      </c>
      <c r="B500" s="5"/>
      <c r="C500" s="5"/>
      <c r="D500" s="5"/>
      <c r="E500" s="5"/>
      <c r="F500" s="5"/>
      <c r="G500" s="5"/>
      <c r="H500" s="212"/>
      <c r="I500" s="212"/>
      <c r="J500" s="5"/>
      <c r="K500" s="5"/>
      <c r="L500" s="5"/>
      <c r="M500" s="5"/>
      <c r="N500" s="5"/>
      <c r="O500" s="5"/>
      <c r="P500" s="103"/>
      <c r="Q500" s="212"/>
      <c r="R500" s="213"/>
      <c r="S500" s="214"/>
      <c r="T500" s="18"/>
      <c r="U500" s="18"/>
      <c r="V500" s="97"/>
    </row>
    <row r="501" spans="1:22" s="14" customFormat="1" ht="18" hidden="1" customHeight="1">
      <c r="A501" s="96"/>
      <c r="B501" s="47" t="s">
        <v>601</v>
      </c>
      <c r="C501" s="5"/>
      <c r="D501" s="5"/>
      <c r="E501" s="5"/>
      <c r="I501" s="215"/>
      <c r="M501" s="5"/>
      <c r="N501" s="103" t="s">
        <v>127</v>
      </c>
      <c r="O501" s="1154">
        <f>O418</f>
        <v>100</v>
      </c>
      <c r="P501" s="831"/>
      <c r="Q501" s="14" t="s">
        <v>602</v>
      </c>
      <c r="S501" s="214"/>
      <c r="T501" s="18"/>
      <c r="U501" s="18"/>
      <c r="V501" s="97"/>
    </row>
    <row r="502" spans="1:22" s="14" customFormat="1" ht="18" hidden="1" customHeight="1">
      <c r="A502" s="96"/>
      <c r="B502" s="47" t="s">
        <v>603</v>
      </c>
      <c r="C502" s="5"/>
      <c r="D502" s="5"/>
      <c r="E502" s="5"/>
      <c r="I502" s="215"/>
      <c r="M502" s="5"/>
      <c r="N502" s="103" t="s">
        <v>127</v>
      </c>
      <c r="O502" s="1154">
        <f>O419</f>
        <v>25</v>
      </c>
      <c r="P502" s="831"/>
      <c r="Q502" s="14" t="s">
        <v>604</v>
      </c>
      <c r="S502" s="214"/>
      <c r="T502" s="18"/>
      <c r="U502" s="18"/>
      <c r="V502" s="97"/>
    </row>
    <row r="503" spans="1:22" s="14" customFormat="1" ht="18" hidden="1" customHeight="1">
      <c r="A503" s="96"/>
      <c r="B503" s="47" t="s">
        <v>605</v>
      </c>
      <c r="C503" s="5"/>
      <c r="D503" s="5"/>
      <c r="E503" s="5"/>
      <c r="M503" s="120" t="s">
        <v>606</v>
      </c>
      <c r="N503" s="103" t="s">
        <v>607</v>
      </c>
      <c r="O503" s="1154">
        <f>O420</f>
        <v>132</v>
      </c>
      <c r="P503" s="831"/>
      <c r="Q503" s="14" t="s">
        <v>163</v>
      </c>
      <c r="S503" s="214"/>
      <c r="T503" s="18"/>
      <c r="U503" s="18"/>
      <c r="V503" s="97"/>
    </row>
    <row r="504" spans="1:22" s="14" customFormat="1" ht="18" hidden="1" customHeight="1">
      <c r="A504" s="216"/>
      <c r="B504" s="212"/>
      <c r="C504" s="212"/>
      <c r="D504" s="212"/>
      <c r="E504" s="212"/>
      <c r="T504" s="18"/>
      <c r="U504" s="18"/>
      <c r="V504" s="97"/>
    </row>
    <row r="505" spans="1:22" s="14" customFormat="1" ht="18" hidden="1" customHeight="1">
      <c r="A505" s="272" t="s">
        <v>608</v>
      </c>
      <c r="B505" s="213"/>
      <c r="C505" s="213"/>
      <c r="D505" s="213"/>
      <c r="E505" s="213"/>
      <c r="H505" s="120" t="s">
        <v>609</v>
      </c>
      <c r="I505" s="28" t="s">
        <v>127</v>
      </c>
      <c r="J505" s="689" t="s">
        <v>610</v>
      </c>
      <c r="K505" s="689"/>
      <c r="L505" s="28" t="s">
        <v>315</v>
      </c>
      <c r="M505" s="217">
        <v>1000</v>
      </c>
      <c r="N505" s="102" t="s">
        <v>342</v>
      </c>
      <c r="O505" s="28" t="s">
        <v>611</v>
      </c>
      <c r="P505" s="28" t="s">
        <v>315</v>
      </c>
      <c r="Q505" s="28" t="s">
        <v>606</v>
      </c>
      <c r="R505" s="47" t="s">
        <v>350</v>
      </c>
      <c r="T505" s="18"/>
      <c r="U505" s="18"/>
      <c r="V505" s="97"/>
    </row>
    <row r="506" spans="1:22" ht="18" hidden="1" customHeight="1">
      <c r="A506" s="216"/>
      <c r="B506" s="213"/>
      <c r="C506" s="213"/>
      <c r="D506" s="213"/>
      <c r="E506" s="213"/>
      <c r="F506" s="212"/>
      <c r="G506" s="212"/>
      <c r="H506" s="28"/>
      <c r="I506" s="28" t="s">
        <v>127</v>
      </c>
      <c r="J506" s="689">
        <f>O501</f>
        <v>100</v>
      </c>
      <c r="K506" s="689"/>
      <c r="L506" s="28" t="s">
        <v>315</v>
      </c>
      <c r="M506" s="217">
        <v>1000</v>
      </c>
      <c r="N506" s="102" t="s">
        <v>342</v>
      </c>
      <c r="O506" s="28" t="s">
        <v>611</v>
      </c>
      <c r="P506" s="28" t="s">
        <v>315</v>
      </c>
      <c r="Q506" s="28">
        <f>O503</f>
        <v>132</v>
      </c>
      <c r="R506" s="47" t="s">
        <v>350</v>
      </c>
      <c r="S506" s="14"/>
      <c r="T506" s="18"/>
      <c r="U506" s="18"/>
      <c r="V506" s="97"/>
    </row>
    <row r="507" spans="1:22" ht="18" hidden="1" customHeight="1">
      <c r="A507" s="216"/>
      <c r="B507" s="212"/>
      <c r="C507" s="212"/>
      <c r="D507" s="212"/>
      <c r="E507" s="212"/>
      <c r="F507" s="212"/>
      <c r="G507" s="212"/>
      <c r="H507" s="14"/>
      <c r="I507" s="28" t="s">
        <v>127</v>
      </c>
      <c r="J507" s="692">
        <f>(O501*1000)/(SQRT(3)*O503)</f>
        <v>437.38656756789834</v>
      </c>
      <c r="K507" s="692"/>
      <c r="L507" s="14" t="s">
        <v>8</v>
      </c>
      <c r="M507" s="120"/>
      <c r="N507" s="120"/>
      <c r="O507" s="120"/>
      <c r="P507" s="14"/>
      <c r="Q507" s="14"/>
      <c r="R507" s="14"/>
      <c r="S507" s="14"/>
      <c r="T507" s="18"/>
      <c r="U507" s="18"/>
      <c r="V507" s="97"/>
    </row>
    <row r="508" spans="1:22" ht="18" hidden="1" customHeight="1">
      <c r="A508" s="216"/>
      <c r="B508" s="212"/>
      <c r="C508" s="212"/>
      <c r="D508" s="212"/>
      <c r="E508" s="212"/>
      <c r="F508" s="14"/>
      <c r="G508" s="212"/>
      <c r="H508" s="28"/>
      <c r="I508" s="103"/>
      <c r="J508" s="28"/>
      <c r="K508" s="14"/>
      <c r="L508" s="14"/>
      <c r="M508" s="212"/>
      <c r="N508" s="219"/>
      <c r="O508" s="212"/>
      <c r="P508" s="14"/>
      <c r="Q508" s="14"/>
      <c r="R508" s="14"/>
      <c r="S508" s="14"/>
      <c r="T508" s="18"/>
      <c r="U508" s="18"/>
      <c r="V508" s="97"/>
    </row>
    <row r="509" spans="1:22" s="14" customFormat="1" ht="18" hidden="1" customHeight="1">
      <c r="A509" s="147" t="s">
        <v>629</v>
      </c>
      <c r="B509" s="5"/>
      <c r="C509" s="5"/>
      <c r="D509" s="5"/>
      <c r="E509" s="5"/>
      <c r="F509" s="212"/>
      <c r="G509" s="212"/>
      <c r="H509" s="5"/>
      <c r="I509" s="5"/>
      <c r="J509" s="5"/>
      <c r="K509" s="5"/>
      <c r="L509" s="103"/>
      <c r="M509" s="103"/>
      <c r="N509" s="103"/>
      <c r="O509" s="103"/>
      <c r="P509" s="212"/>
      <c r="Q509" s="213"/>
      <c r="S509" s="220"/>
      <c r="T509" s="18"/>
      <c r="U509" s="18"/>
      <c r="V509" s="97"/>
    </row>
    <row r="510" spans="1:22" s="14" customFormat="1" ht="18" hidden="1" customHeight="1">
      <c r="A510" s="147"/>
      <c r="B510" s="5"/>
      <c r="C510" s="5"/>
      <c r="D510" s="5"/>
      <c r="E510" s="5"/>
      <c r="F510" s="212"/>
      <c r="G510" s="212"/>
      <c r="H510" s="5"/>
      <c r="I510" s="5"/>
      <c r="J510" s="5"/>
      <c r="K510" s="5"/>
      <c r="L510" s="103"/>
      <c r="M510" s="103"/>
      <c r="N510" s="103"/>
      <c r="O510" s="103"/>
      <c r="P510" s="212"/>
      <c r="Q510" s="213"/>
      <c r="S510" s="214"/>
      <c r="T510" s="18"/>
      <c r="U510" s="18"/>
      <c r="V510" s="97"/>
    </row>
    <row r="511" spans="1:22" ht="18" hidden="1" customHeight="1">
      <c r="A511" s="96" t="s">
        <v>612</v>
      </c>
      <c r="B511" s="14"/>
      <c r="C511" s="14"/>
      <c r="D511" s="14"/>
      <c r="E511" s="14"/>
      <c r="M511" s="120" t="s">
        <v>613</v>
      </c>
      <c r="N511" s="28" t="s">
        <v>127</v>
      </c>
      <c r="O511" s="689" t="s">
        <v>609</v>
      </c>
      <c r="P511" s="716"/>
      <c r="Q511" s="221" t="s">
        <v>630</v>
      </c>
      <c r="R511" s="221">
        <v>16</v>
      </c>
      <c r="S511" s="214"/>
      <c r="V511" s="185"/>
    </row>
    <row r="512" spans="1:22" ht="18" hidden="1" customHeight="1">
      <c r="A512" s="96"/>
      <c r="B512" s="5"/>
      <c r="C512" s="5"/>
      <c r="D512" s="5"/>
      <c r="E512" s="5"/>
      <c r="M512" s="250"/>
      <c r="N512" s="28" t="s">
        <v>127</v>
      </c>
      <c r="O512" s="689">
        <f>+J507</f>
        <v>437.38656756789834</v>
      </c>
      <c r="P512" s="716"/>
      <c r="Q512" s="221" t="s">
        <v>630</v>
      </c>
      <c r="R512" s="221">
        <v>16</v>
      </c>
      <c r="S512" s="214"/>
      <c r="V512" s="185"/>
    </row>
    <row r="513" spans="1:22" s="279" customFormat="1" ht="18" hidden="1" customHeight="1">
      <c r="A513" s="96"/>
      <c r="B513" s="5"/>
      <c r="C513" s="5"/>
      <c r="D513" s="5"/>
      <c r="E513" s="5"/>
      <c r="F513" s="30"/>
      <c r="G513" s="30"/>
      <c r="H513" s="30"/>
      <c r="I513" s="30"/>
      <c r="J513" s="30"/>
      <c r="K513" s="30"/>
      <c r="L513" s="30"/>
      <c r="M513" s="120" t="s">
        <v>613</v>
      </c>
      <c r="N513" s="28" t="s">
        <v>127</v>
      </c>
      <c r="O513" s="689">
        <f>O512*R512</f>
        <v>6998.1850810863734</v>
      </c>
      <c r="P513" s="716"/>
      <c r="Q513" s="241" t="s">
        <v>8</v>
      </c>
      <c r="R513" s="14"/>
      <c r="S513" s="214"/>
      <c r="T513" s="30"/>
      <c r="U513" s="30"/>
      <c r="V513" s="185"/>
    </row>
    <row r="514" spans="1:22" s="279" customFormat="1" ht="18" hidden="1" customHeight="1">
      <c r="A514" s="96"/>
      <c r="B514" s="5"/>
      <c r="C514" s="5"/>
      <c r="D514" s="5"/>
      <c r="E514" s="5"/>
      <c r="F514" s="30"/>
      <c r="G514" s="30"/>
      <c r="H514" s="30"/>
      <c r="I514" s="30"/>
      <c r="J514" s="30"/>
      <c r="K514" s="30"/>
      <c r="L514" s="30"/>
      <c r="M514" s="120"/>
      <c r="N514" s="28"/>
      <c r="O514" s="28"/>
      <c r="P514" s="14"/>
      <c r="Q514" s="241"/>
      <c r="R514" s="14"/>
      <c r="S514" s="214"/>
      <c r="T514" s="30"/>
      <c r="U514" s="30"/>
      <c r="V514" s="185"/>
    </row>
    <row r="515" spans="1:22" s="279" customFormat="1" ht="18" hidden="1" customHeight="1">
      <c r="A515" s="96"/>
      <c r="B515" s="5"/>
      <c r="C515" s="5"/>
      <c r="D515" s="5"/>
      <c r="E515" s="5"/>
      <c r="F515" s="30"/>
      <c r="G515" s="30"/>
      <c r="H515" s="30"/>
      <c r="I515" s="30"/>
      <c r="J515" s="30"/>
      <c r="K515" s="30"/>
      <c r="L515" s="30"/>
      <c r="M515" s="120"/>
      <c r="N515" s="28"/>
      <c r="O515" s="28"/>
      <c r="P515" s="14"/>
      <c r="Q515" s="241"/>
      <c r="R515" s="14"/>
      <c r="S515" s="214"/>
      <c r="T515" s="30"/>
      <c r="U515" s="30"/>
      <c r="V515" s="185"/>
    </row>
    <row r="516" spans="1:22" s="279" customFormat="1" ht="18" hidden="1" customHeight="1">
      <c r="A516" s="96"/>
      <c r="B516" s="5"/>
      <c r="C516" s="5"/>
      <c r="D516" s="5"/>
      <c r="E516" s="5"/>
      <c r="F516" s="30"/>
      <c r="G516" s="30"/>
      <c r="H516" s="30"/>
      <c r="I516" s="30"/>
      <c r="J516" s="30"/>
      <c r="K516" s="30"/>
      <c r="L516" s="30"/>
      <c r="M516" s="120"/>
      <c r="N516" s="28"/>
      <c r="O516" s="28"/>
      <c r="P516" s="14"/>
      <c r="Q516" s="241"/>
      <c r="R516" s="14"/>
      <c r="S516" s="214"/>
      <c r="T516" s="30"/>
      <c r="U516" s="30"/>
      <c r="V516" s="185"/>
    </row>
    <row r="517" spans="1:22" s="279" customFormat="1" ht="18" hidden="1" customHeight="1">
      <c r="A517" s="96"/>
      <c r="B517" s="5"/>
      <c r="C517" s="5"/>
      <c r="D517" s="5"/>
      <c r="E517" s="5"/>
      <c r="F517" s="30"/>
      <c r="G517" s="30"/>
      <c r="H517" s="30"/>
      <c r="I517" s="30"/>
      <c r="J517" s="30"/>
      <c r="K517" s="30"/>
      <c r="L517" s="30"/>
      <c r="M517" s="120"/>
      <c r="N517" s="28"/>
      <c r="O517" s="28"/>
      <c r="P517" s="14"/>
      <c r="Q517" s="241"/>
      <c r="R517" s="14"/>
      <c r="S517" s="214"/>
      <c r="T517" s="30"/>
      <c r="U517" s="30"/>
      <c r="V517" s="185"/>
    </row>
    <row r="518" spans="1:22" s="279" customFormat="1" ht="18" hidden="1" customHeight="1">
      <c r="A518" s="96"/>
      <c r="B518" s="5"/>
      <c r="C518" s="5"/>
      <c r="D518" s="5"/>
      <c r="E518" s="5"/>
      <c r="F518" s="30"/>
      <c r="G518" s="30"/>
      <c r="H518" s="30"/>
      <c r="I518" s="30"/>
      <c r="J518" s="30"/>
      <c r="K518" s="30"/>
      <c r="L518" s="30"/>
      <c r="M518" s="120"/>
      <c r="N518" s="28"/>
      <c r="O518" s="28"/>
      <c r="P518" s="14"/>
      <c r="Q518" s="241"/>
      <c r="R518" s="14"/>
      <c r="S518" s="214"/>
      <c r="T518" s="30"/>
      <c r="U518" s="30"/>
      <c r="V518" s="185"/>
    </row>
    <row r="519" spans="1:22" s="279" customFormat="1" ht="18" hidden="1" customHeight="1">
      <c r="A519" s="194"/>
      <c r="B519" s="195"/>
      <c r="C519" s="195"/>
      <c r="D519" s="195"/>
      <c r="E519" s="195"/>
      <c r="F519" s="195"/>
      <c r="G519" s="195"/>
      <c r="H519" s="195"/>
      <c r="I519" s="195"/>
      <c r="J519" s="195"/>
      <c r="K519" s="195"/>
      <c r="L519" s="195"/>
      <c r="M519" s="195"/>
      <c r="N519" s="195"/>
      <c r="O519" s="195"/>
      <c r="P519" s="195"/>
      <c r="Q519" s="224"/>
      <c r="R519" s="182"/>
      <c r="S519" s="225"/>
      <c r="T519" s="195"/>
      <c r="U519" s="195"/>
      <c r="V519" s="134" t="s">
        <v>552</v>
      </c>
    </row>
    <row r="520" spans="1:22" ht="18" hidden="1" customHeight="1">
      <c r="A520" s="135"/>
      <c r="B520" s="273"/>
      <c r="C520" s="273"/>
      <c r="D520" s="273"/>
      <c r="E520" s="273"/>
      <c r="F520" s="273"/>
      <c r="G520" s="273"/>
      <c r="H520" s="273"/>
      <c r="I520" s="273"/>
      <c r="J520" s="273"/>
      <c r="K520" s="273"/>
      <c r="L520" s="273"/>
      <c r="M520" s="273"/>
      <c r="N520" s="273"/>
      <c r="O520" s="273"/>
      <c r="P520" s="273"/>
      <c r="Q520" s="274"/>
      <c r="R520" s="138"/>
      <c r="S520" s="275"/>
      <c r="T520" s="273"/>
      <c r="U520" s="273"/>
      <c r="V520" s="276"/>
    </row>
    <row r="521" spans="1:22" ht="18" hidden="1" customHeight="1">
      <c r="A521" s="96" t="s">
        <v>686</v>
      </c>
      <c r="V521" s="185"/>
    </row>
    <row r="522" spans="1:22" ht="18" hidden="1" customHeight="1">
      <c r="A522" s="184"/>
      <c r="V522" s="185"/>
    </row>
    <row r="523" spans="1:22" ht="18" hidden="1" customHeight="1">
      <c r="A523" s="277"/>
      <c r="B523" s="689" t="s">
        <v>473</v>
      </c>
      <c r="C523" s="1150" t="s">
        <v>652</v>
      </c>
      <c r="D523" s="279"/>
      <c r="E523" s="279"/>
      <c r="F523" s="279"/>
      <c r="G523" s="802" t="s">
        <v>687</v>
      </c>
      <c r="H523" s="1153" t="s">
        <v>315</v>
      </c>
      <c r="I523" s="708" t="s">
        <v>688</v>
      </c>
      <c r="J523" s="1147"/>
      <c r="K523" s="1147"/>
      <c r="L523" s="1147"/>
      <c r="M523" s="1147"/>
      <c r="N523" s="689" t="s">
        <v>672</v>
      </c>
      <c r="O523" s="708" t="s">
        <v>420</v>
      </c>
      <c r="P523" s="689" t="s">
        <v>347</v>
      </c>
      <c r="Q523" s="708" t="s">
        <v>689</v>
      </c>
      <c r="R523" s="708" t="s">
        <v>674</v>
      </c>
      <c r="S523" s="708" t="s">
        <v>411</v>
      </c>
      <c r="T523" s="14"/>
      <c r="U523" s="729" t="s">
        <v>653</v>
      </c>
      <c r="V523" s="185"/>
    </row>
    <row r="524" spans="1:22" ht="18" hidden="1" customHeight="1">
      <c r="A524" s="277"/>
      <c r="B524" s="689"/>
      <c r="C524" s="689"/>
      <c r="D524" s="279"/>
      <c r="E524" s="279"/>
      <c r="F524" s="279"/>
      <c r="G524" s="802"/>
      <c r="H524" s="689"/>
      <c r="I524" s="689">
        <v>1.3</v>
      </c>
      <c r="J524" s="689"/>
      <c r="K524" s="28" t="s">
        <v>315</v>
      </c>
      <c r="L524" s="689" t="s">
        <v>423</v>
      </c>
      <c r="M524" s="689"/>
      <c r="N524" s="689"/>
      <c r="O524" s="689"/>
      <c r="P524" s="689"/>
      <c r="Q524" s="689"/>
      <c r="R524" s="689"/>
      <c r="S524" s="689"/>
      <c r="T524" s="14"/>
      <c r="U524" s="689"/>
      <c r="V524" s="185"/>
    </row>
    <row r="525" spans="1:22" ht="18" hidden="1" customHeight="1">
      <c r="A525" s="184"/>
      <c r="V525" s="185"/>
    </row>
    <row r="526" spans="1:22" ht="18" hidden="1" customHeight="1">
      <c r="A526" s="184"/>
      <c r="B526" s="47" t="s">
        <v>654</v>
      </c>
      <c r="C526" s="14"/>
      <c r="D526" s="14"/>
      <c r="E526" s="14"/>
      <c r="F526" s="18"/>
      <c r="G526" s="18"/>
      <c r="H526" s="14"/>
      <c r="I526" s="120"/>
      <c r="J526" s="14"/>
      <c r="K526" s="14"/>
      <c r="M526" s="14"/>
      <c r="N526" s="14"/>
      <c r="P526" s="14" t="s">
        <v>423</v>
      </c>
      <c r="R526" s="234" t="s">
        <v>127</v>
      </c>
      <c r="S526" s="684">
        <f>J480</f>
        <v>4000</v>
      </c>
      <c r="T526" s="684"/>
      <c r="U526" s="30" t="s">
        <v>8</v>
      </c>
      <c r="V526" s="185"/>
    </row>
    <row r="527" spans="1:22" ht="18" hidden="1" customHeight="1">
      <c r="A527" s="184"/>
      <c r="B527" s="47" t="s">
        <v>655</v>
      </c>
      <c r="C527" s="14"/>
      <c r="D527" s="14"/>
      <c r="E527" s="14"/>
      <c r="F527" s="18"/>
      <c r="G527" s="18"/>
      <c r="H527" s="14"/>
      <c r="I527" s="120"/>
      <c r="J527" s="14"/>
      <c r="K527" s="14"/>
      <c r="M527" s="14"/>
      <c r="N527" s="14"/>
      <c r="P527" s="14" t="s">
        <v>420</v>
      </c>
      <c r="R527" s="234" t="s">
        <v>127</v>
      </c>
      <c r="S527" s="684">
        <f>J482</f>
        <v>15</v>
      </c>
      <c r="T527" s="684"/>
      <c r="U527" s="192" t="s">
        <v>333</v>
      </c>
      <c r="V527" s="185"/>
    </row>
    <row r="528" spans="1:22" ht="18" hidden="1" customHeight="1">
      <c r="A528" s="184"/>
      <c r="B528" s="47" t="s">
        <v>676</v>
      </c>
      <c r="C528" s="14"/>
      <c r="D528" s="14"/>
      <c r="E528" s="14"/>
      <c r="F528" s="18"/>
      <c r="G528" s="18"/>
      <c r="H528" s="14"/>
      <c r="I528" s="120"/>
      <c r="J528" s="14"/>
      <c r="K528" s="14"/>
      <c r="M528" s="14"/>
      <c r="N528" s="14"/>
      <c r="P528" s="14" t="s">
        <v>690</v>
      </c>
      <c r="R528" s="234" t="s">
        <v>127</v>
      </c>
      <c r="S528" s="795">
        <f>Q499</f>
        <v>1.3565261800000001</v>
      </c>
      <c r="T528" s="795"/>
      <c r="U528" s="192" t="s">
        <v>333</v>
      </c>
      <c r="V528" s="185"/>
    </row>
    <row r="529" spans="1:22" ht="18" hidden="1" customHeight="1">
      <c r="A529" s="184"/>
      <c r="B529" s="47" t="s">
        <v>691</v>
      </c>
      <c r="C529" s="14"/>
      <c r="D529" s="14"/>
      <c r="E529" s="14"/>
      <c r="F529" s="14"/>
      <c r="G529" s="14"/>
      <c r="H529" s="14"/>
      <c r="I529" s="120"/>
      <c r="J529" s="14"/>
      <c r="K529" s="14"/>
      <c r="M529" s="14"/>
      <c r="N529" s="14"/>
      <c r="P529" s="14" t="s">
        <v>411</v>
      </c>
      <c r="R529" s="234" t="s">
        <v>127</v>
      </c>
      <c r="S529" s="684">
        <f>O480</f>
        <v>1</v>
      </c>
      <c r="T529" s="684"/>
      <c r="U529" s="30" t="s">
        <v>8</v>
      </c>
      <c r="V529" s="185"/>
    </row>
    <row r="530" spans="1:22" ht="18" hidden="1" customHeight="1">
      <c r="A530" s="184"/>
      <c r="B530" s="47" t="s">
        <v>678</v>
      </c>
      <c r="C530" s="14"/>
      <c r="D530" s="14"/>
      <c r="E530" s="14"/>
      <c r="F530" s="14"/>
      <c r="G530" s="14"/>
      <c r="H530" s="14"/>
      <c r="I530" s="120"/>
      <c r="J530" s="14"/>
      <c r="K530" s="14"/>
      <c r="M530" s="14"/>
      <c r="N530" s="14"/>
      <c r="P530" s="120" t="s">
        <v>688</v>
      </c>
      <c r="R530" s="234" t="s">
        <v>127</v>
      </c>
      <c r="S530" s="684">
        <f>O513</f>
        <v>6998.1850810863734</v>
      </c>
      <c r="T530" s="684"/>
      <c r="U530" s="30" t="s">
        <v>8</v>
      </c>
      <c r="V530" s="185"/>
    </row>
    <row r="531" spans="1:22" s="279" customFormat="1" ht="18" hidden="1" customHeight="1">
      <c r="A531" s="184"/>
      <c r="B531" s="47" t="s">
        <v>692</v>
      </c>
      <c r="C531" s="14"/>
      <c r="D531" s="14"/>
      <c r="E531" s="14"/>
      <c r="F531" s="14"/>
      <c r="G531" s="14"/>
      <c r="H531" s="14"/>
      <c r="I531" s="120"/>
      <c r="J531" s="14"/>
      <c r="K531" s="14"/>
      <c r="L531" s="30"/>
      <c r="M531" s="14"/>
      <c r="N531" s="14"/>
      <c r="O531" s="30"/>
      <c r="P531" s="120" t="s">
        <v>680</v>
      </c>
      <c r="Q531" s="30"/>
      <c r="R531" s="234" t="s">
        <v>127</v>
      </c>
      <c r="S531" s="795">
        <f>J507</f>
        <v>437.38656756789834</v>
      </c>
      <c r="T531" s="684"/>
      <c r="U531" s="30" t="s">
        <v>8</v>
      </c>
      <c r="V531" s="185"/>
    </row>
    <row r="532" spans="1:22" s="279" customFormat="1" ht="18" hidden="1" customHeight="1">
      <c r="A532" s="184"/>
      <c r="B532" s="47" t="s">
        <v>659</v>
      </c>
      <c r="C532" s="14"/>
      <c r="D532" s="14"/>
      <c r="E532" s="14"/>
      <c r="F532" s="14"/>
      <c r="G532" s="14"/>
      <c r="H532" s="14"/>
      <c r="I532" s="120"/>
      <c r="J532" s="14"/>
      <c r="K532" s="14"/>
      <c r="L532" s="30"/>
      <c r="M532" s="14"/>
      <c r="N532" s="14"/>
      <c r="O532" s="30"/>
      <c r="P532" s="120" t="s">
        <v>660</v>
      </c>
      <c r="Q532" s="30"/>
      <c r="R532" s="234" t="s">
        <v>127</v>
      </c>
      <c r="S532" s="684">
        <f>S444</f>
        <v>1</v>
      </c>
      <c r="T532" s="684"/>
      <c r="U532" s="30" t="s">
        <v>8</v>
      </c>
      <c r="V532" s="185"/>
    </row>
    <row r="533" spans="1:22" ht="18" hidden="1" customHeight="1">
      <c r="A533" s="96"/>
      <c r="B533" s="14"/>
      <c r="C533" s="14"/>
      <c r="D533" s="235"/>
      <c r="E533" s="14"/>
      <c r="F533" s="28"/>
      <c r="G533" s="249"/>
      <c r="H533" s="28"/>
      <c r="I533" s="251"/>
      <c r="J533" s="14"/>
      <c r="K533" s="280"/>
      <c r="M533" s="47"/>
      <c r="N533" s="268"/>
      <c r="P533" s="281"/>
      <c r="R533" s="234"/>
      <c r="S533" s="1148"/>
      <c r="T533" s="723"/>
      <c r="V533" s="185"/>
    </row>
    <row r="534" spans="1:22" ht="18" hidden="1" customHeight="1">
      <c r="A534" s="272" t="s">
        <v>693</v>
      </c>
      <c r="B534" s="14"/>
      <c r="C534" s="14"/>
      <c r="D534" s="14"/>
      <c r="E534" s="14"/>
      <c r="F534" s="14"/>
      <c r="G534" s="14"/>
      <c r="H534" s="28">
        <v>3</v>
      </c>
      <c r="I534" s="47" t="s">
        <v>694</v>
      </c>
      <c r="J534" s="14"/>
      <c r="K534" s="14"/>
      <c r="M534" s="14" t="s">
        <v>337</v>
      </c>
      <c r="N534" s="14"/>
      <c r="P534" s="120"/>
      <c r="R534" s="234"/>
      <c r="S534" s="1149"/>
      <c r="T534" s="723"/>
      <c r="V534" s="185"/>
    </row>
    <row r="535" spans="1:22" ht="18" hidden="1" customHeight="1">
      <c r="A535" s="272"/>
      <c r="B535" s="14"/>
      <c r="C535" s="14"/>
      <c r="D535" s="14"/>
      <c r="E535" s="14"/>
      <c r="F535" s="14"/>
      <c r="G535" s="14"/>
      <c r="H535" s="28"/>
      <c r="I535" s="47"/>
      <c r="J535" s="14"/>
      <c r="K535" s="14"/>
      <c r="M535" s="14"/>
      <c r="N535" s="14"/>
      <c r="P535" s="120"/>
      <c r="R535" s="234"/>
      <c r="S535" s="282"/>
      <c r="V535" s="185"/>
    </row>
    <row r="536" spans="1:22" ht="18" hidden="1" customHeight="1">
      <c r="A536" s="277"/>
      <c r="B536" s="689" t="s">
        <v>473</v>
      </c>
      <c r="C536" s="1150" t="s">
        <v>652</v>
      </c>
      <c r="D536" s="279"/>
      <c r="E536" s="279"/>
      <c r="F536" s="279"/>
      <c r="G536" s="802">
        <f>H534</f>
        <v>3</v>
      </c>
      <c r="H536" s="1151" t="s">
        <v>315</v>
      </c>
      <c r="I536" s="829">
        <f>S530</f>
        <v>6998.1850810863734</v>
      </c>
      <c r="J536" s="1152"/>
      <c r="K536" s="1152"/>
      <c r="L536" s="1152"/>
      <c r="M536" s="1152"/>
      <c r="N536" s="689" t="s">
        <v>672</v>
      </c>
      <c r="O536" s="708">
        <f>S527</f>
        <v>15</v>
      </c>
      <c r="P536" s="689" t="s">
        <v>347</v>
      </c>
      <c r="Q536" s="829">
        <f>S528</f>
        <v>1.3565261800000001</v>
      </c>
      <c r="R536" s="708" t="s">
        <v>674</v>
      </c>
      <c r="S536" s="708">
        <f>S529</f>
        <v>1</v>
      </c>
      <c r="T536" s="14"/>
      <c r="U536" s="729" t="s">
        <v>653</v>
      </c>
      <c r="V536" s="185"/>
    </row>
    <row r="537" spans="1:22" ht="18" hidden="1" customHeight="1">
      <c r="A537" s="277"/>
      <c r="B537" s="689"/>
      <c r="C537" s="689"/>
      <c r="D537" s="279"/>
      <c r="E537" s="279"/>
      <c r="F537" s="279"/>
      <c r="G537" s="802"/>
      <c r="H537" s="684"/>
      <c r="I537" s="689">
        <v>1.3</v>
      </c>
      <c r="J537" s="684"/>
      <c r="K537" s="28" t="s">
        <v>315</v>
      </c>
      <c r="L537" s="689">
        <f>S526</f>
        <v>4000</v>
      </c>
      <c r="M537" s="684"/>
      <c r="N537" s="689"/>
      <c r="O537" s="689"/>
      <c r="P537" s="689"/>
      <c r="Q537" s="689"/>
      <c r="R537" s="689"/>
      <c r="S537" s="689"/>
      <c r="T537" s="14"/>
      <c r="U537" s="689"/>
      <c r="V537" s="185"/>
    </row>
    <row r="538" spans="1:22" ht="18" hidden="1" customHeight="1">
      <c r="A538" s="96"/>
      <c r="B538" s="14"/>
      <c r="C538" s="27" t="s">
        <v>127</v>
      </c>
      <c r="D538" s="812">
        <f>G536*(I536/(I537*L537)*(O536+Q536)*S536)</f>
        <v>66.038075475735397</v>
      </c>
      <c r="E538" s="813"/>
      <c r="F538" s="30" t="s">
        <v>305</v>
      </c>
      <c r="G538" s="14"/>
      <c r="H538" s="14"/>
      <c r="I538" s="14"/>
      <c r="J538" s="14"/>
      <c r="K538" s="14"/>
      <c r="L538" s="14"/>
      <c r="M538" s="14"/>
      <c r="N538" s="14"/>
      <c r="R538" s="234"/>
      <c r="S538" s="204"/>
      <c r="V538" s="185"/>
    </row>
    <row r="539" spans="1:22" ht="18" hidden="1" customHeight="1">
      <c r="A539" s="96"/>
      <c r="B539" s="14"/>
      <c r="G539" s="14"/>
      <c r="H539" s="14"/>
      <c r="I539" s="14"/>
      <c r="J539" s="14"/>
      <c r="K539" s="14"/>
      <c r="L539" s="14"/>
      <c r="M539" s="14"/>
      <c r="N539" s="14"/>
      <c r="R539" s="234"/>
      <c r="S539" s="204"/>
      <c r="V539" s="185"/>
    </row>
    <row r="540" spans="1:22" ht="18" hidden="1" customHeight="1">
      <c r="A540" s="96"/>
      <c r="B540" s="14"/>
      <c r="D540" s="30" t="s">
        <v>475</v>
      </c>
      <c r="G540" s="27" t="str">
        <f>IF(E541&gt;H541,"&gt;","&lt;")</f>
        <v>&gt;</v>
      </c>
      <c r="H540" s="30" t="s">
        <v>477</v>
      </c>
      <c r="M540" s="14"/>
      <c r="N540" s="14"/>
      <c r="R540" s="234"/>
      <c r="S540" s="204"/>
      <c r="V540" s="185"/>
    </row>
    <row r="541" spans="1:22" ht="18" hidden="1" customHeight="1">
      <c r="A541" s="96"/>
      <c r="B541" s="14"/>
      <c r="E541" s="684">
        <f>J483</f>
        <v>800</v>
      </c>
      <c r="F541" s="684"/>
      <c r="G541" s="27" t="str">
        <f>G540</f>
        <v>&gt;</v>
      </c>
      <c r="H541" s="795">
        <f>D538</f>
        <v>66.038075475735397</v>
      </c>
      <c r="I541" s="684"/>
      <c r="M541" s="14"/>
      <c r="N541" s="14"/>
      <c r="R541" s="234"/>
      <c r="S541" s="204"/>
      <c r="V541" s="185"/>
    </row>
    <row r="542" spans="1:22" ht="18" hidden="1" customHeight="1">
      <c r="A542" s="96"/>
      <c r="B542" s="14"/>
      <c r="F542" s="244" t="s">
        <v>478</v>
      </c>
      <c r="H542" s="18" t="str">
        <f>IF(G540="&gt;","Suitably Dimentioned","Under Dimentioned")</f>
        <v>Suitably Dimentioned</v>
      </c>
      <c r="M542" s="14"/>
      <c r="N542" s="14"/>
      <c r="R542" s="234"/>
      <c r="S542" s="204"/>
      <c r="V542" s="185"/>
    </row>
    <row r="543" spans="1:22" ht="18" hidden="1" customHeight="1">
      <c r="A543" s="96"/>
      <c r="B543" s="14"/>
      <c r="G543" s="14"/>
      <c r="H543" s="14"/>
      <c r="I543" s="14"/>
      <c r="J543" s="14"/>
      <c r="K543" s="14"/>
      <c r="L543" s="14"/>
      <c r="M543" s="14"/>
      <c r="N543" s="14"/>
      <c r="R543" s="234"/>
      <c r="S543" s="204"/>
      <c r="V543" s="185"/>
    </row>
    <row r="544" spans="1:22" ht="18" hidden="1" customHeight="1">
      <c r="A544" s="193" t="s">
        <v>695</v>
      </c>
      <c r="B544" s="14"/>
      <c r="G544" s="14"/>
      <c r="H544" s="14"/>
      <c r="I544" s="14"/>
      <c r="J544" s="14"/>
      <c r="K544" s="14"/>
      <c r="L544" s="14"/>
      <c r="M544" s="14"/>
      <c r="N544" s="14"/>
      <c r="R544" s="234"/>
      <c r="S544" s="204"/>
      <c r="V544" s="185"/>
    </row>
    <row r="545" spans="1:22" ht="18" hidden="1" customHeight="1">
      <c r="A545" s="96"/>
      <c r="B545" s="14"/>
      <c r="D545" s="802" t="s">
        <v>696</v>
      </c>
      <c r="E545" s="716"/>
      <c r="F545" s="689" t="s">
        <v>127</v>
      </c>
      <c r="G545" s="708" t="s">
        <v>423</v>
      </c>
      <c r="H545" s="1147"/>
      <c r="I545" s="689" t="s">
        <v>315</v>
      </c>
      <c r="J545" s="708" t="s">
        <v>697</v>
      </c>
      <c r="K545" s="1147"/>
      <c r="L545" s="14"/>
      <c r="M545" s="14"/>
      <c r="N545" s="14"/>
      <c r="R545" s="234"/>
      <c r="S545" s="204"/>
      <c r="V545" s="185"/>
    </row>
    <row r="546" spans="1:22" ht="18" hidden="1" customHeight="1">
      <c r="A546" s="96"/>
      <c r="B546" s="14"/>
      <c r="D546" s="716"/>
      <c r="E546" s="716"/>
      <c r="F546" s="689"/>
      <c r="G546" s="689" t="s">
        <v>680</v>
      </c>
      <c r="H546" s="716"/>
      <c r="I546" s="689"/>
      <c r="J546" s="689" t="s">
        <v>411</v>
      </c>
      <c r="K546" s="716"/>
      <c r="L546" s="14"/>
      <c r="M546" s="14"/>
      <c r="N546" s="14"/>
      <c r="R546" s="234"/>
      <c r="S546" s="204"/>
      <c r="V546" s="185"/>
    </row>
    <row r="547" spans="1:22" ht="18" hidden="1" customHeight="1">
      <c r="A547" s="96"/>
      <c r="B547" s="14"/>
      <c r="D547" s="14"/>
      <c r="E547" s="14"/>
      <c r="F547" s="14"/>
      <c r="G547" s="14"/>
      <c r="H547" s="14"/>
      <c r="I547" s="14"/>
      <c r="J547" s="14"/>
      <c r="K547" s="14"/>
      <c r="L547" s="14"/>
      <c r="M547" s="14"/>
      <c r="N547" s="14"/>
      <c r="R547" s="234"/>
      <c r="S547" s="204"/>
      <c r="V547" s="185"/>
    </row>
    <row r="548" spans="1:22" ht="18" hidden="1" customHeight="1">
      <c r="A548" s="96"/>
      <c r="B548" s="14"/>
      <c r="D548" s="14"/>
      <c r="E548" s="14"/>
      <c r="F548" s="689" t="s">
        <v>127</v>
      </c>
      <c r="G548" s="708">
        <f>S526</f>
        <v>4000</v>
      </c>
      <c r="H548" s="1147"/>
      <c r="I548" s="689" t="s">
        <v>315</v>
      </c>
      <c r="J548" s="708">
        <f>S532</f>
        <v>1</v>
      </c>
      <c r="K548" s="1147"/>
      <c r="L548" s="14"/>
      <c r="M548" s="14"/>
      <c r="N548" s="14"/>
      <c r="R548" s="234"/>
      <c r="S548" s="204"/>
      <c r="V548" s="185"/>
    </row>
    <row r="549" spans="1:22" ht="18" hidden="1" customHeight="1">
      <c r="A549" s="96"/>
      <c r="B549" s="14"/>
      <c r="D549" s="14"/>
      <c r="E549" s="14"/>
      <c r="F549" s="689"/>
      <c r="G549" s="692">
        <f>J507</f>
        <v>437.38656756789834</v>
      </c>
      <c r="H549" s="716"/>
      <c r="I549" s="689"/>
      <c r="J549" s="689">
        <f>S529</f>
        <v>1</v>
      </c>
      <c r="K549" s="716"/>
      <c r="L549" s="14"/>
      <c r="M549" s="14"/>
      <c r="N549" s="14"/>
      <c r="R549" s="234"/>
      <c r="S549" s="204"/>
      <c r="V549" s="185"/>
    </row>
    <row r="550" spans="1:22" ht="18" hidden="1" customHeight="1">
      <c r="A550" s="96"/>
      <c r="B550" s="14"/>
      <c r="D550" s="14"/>
      <c r="E550" s="14"/>
      <c r="F550" s="14"/>
      <c r="G550" s="14"/>
      <c r="H550" s="14"/>
      <c r="I550" s="14"/>
      <c r="J550" s="14"/>
      <c r="K550" s="14"/>
      <c r="L550" s="14"/>
      <c r="M550" s="14"/>
      <c r="N550" s="14"/>
      <c r="R550" s="234"/>
      <c r="S550" s="204"/>
      <c r="V550" s="185"/>
    </row>
    <row r="551" spans="1:22" ht="18" hidden="1" customHeight="1">
      <c r="A551" s="96"/>
      <c r="B551" s="14"/>
      <c r="D551" s="14"/>
      <c r="E551" s="14"/>
      <c r="F551" s="28" t="s">
        <v>127</v>
      </c>
      <c r="G551" s="716">
        <f>(G548/G549)*(J548/J549)</f>
        <v>9.1452282639636717</v>
      </c>
      <c r="H551" s="716"/>
      <c r="I551" s="14"/>
      <c r="J551" s="14"/>
      <c r="K551" s="14"/>
      <c r="L551" s="14"/>
      <c r="M551" s="14"/>
      <c r="N551" s="14"/>
      <c r="R551" s="234"/>
      <c r="S551" s="204"/>
      <c r="V551" s="185"/>
    </row>
    <row r="552" spans="1:22" ht="18" hidden="1" customHeight="1">
      <c r="A552" s="96"/>
      <c r="B552" s="14"/>
      <c r="G552" s="14"/>
      <c r="H552" s="14"/>
      <c r="I552" s="14"/>
      <c r="J552" s="14"/>
      <c r="K552" s="14"/>
      <c r="L552" s="14"/>
      <c r="M552" s="14"/>
      <c r="N552" s="14"/>
      <c r="R552" s="234"/>
      <c r="S552" s="204"/>
      <c r="V552" s="185"/>
    </row>
    <row r="553" spans="1:22" s="14" customFormat="1" ht="18" hidden="1" customHeight="1">
      <c r="A553" s="96"/>
      <c r="C553" s="30"/>
      <c r="D553" s="283" t="s">
        <v>698</v>
      </c>
      <c r="E553" s="284" t="s">
        <v>699</v>
      </c>
      <c r="F553" s="689" t="s">
        <v>696</v>
      </c>
      <c r="G553" s="716"/>
      <c r="H553" s="716"/>
      <c r="I553" s="284" t="s">
        <v>699</v>
      </c>
      <c r="J553" s="28">
        <v>4</v>
      </c>
      <c r="K553" s="30"/>
      <c r="L553" s="279"/>
      <c r="M553" s="120" t="s">
        <v>700</v>
      </c>
      <c r="N553" s="47" t="s">
        <v>701</v>
      </c>
      <c r="O553" s="279"/>
      <c r="P553" s="236"/>
      <c r="Q553" s="236"/>
      <c r="R553" s="234"/>
      <c r="S553" s="204"/>
      <c r="T553" s="30"/>
      <c r="U553" s="30"/>
      <c r="V553" s="185"/>
    </row>
    <row r="554" spans="1:22" ht="18" hidden="1" customHeight="1">
      <c r="A554" s="96"/>
      <c r="B554" s="14"/>
      <c r="D554" s="218">
        <v>0.25</v>
      </c>
      <c r="E554" s="284" t="str">
        <f>IF(D554&lt;=G551,"≤","&gt;")</f>
        <v>≤</v>
      </c>
      <c r="F554" s="688">
        <f>G551</f>
        <v>9.1452282639636717</v>
      </c>
      <c r="G554" s="1145"/>
      <c r="H554" s="688"/>
      <c r="I554" s="284" t="str">
        <f>IF(G551&lt;=J553,"≤","&gt;")</f>
        <v>&gt;</v>
      </c>
      <c r="J554" s="28">
        <f>J553</f>
        <v>4</v>
      </c>
      <c r="L554" s="279"/>
      <c r="M554" s="120"/>
      <c r="N554" s="213"/>
      <c r="O554" s="279"/>
      <c r="P554" s="236"/>
      <c r="Q554" s="236"/>
      <c r="R554" s="234"/>
      <c r="S554" s="204"/>
      <c r="V554" s="185"/>
    </row>
    <row r="555" spans="1:22" ht="18" hidden="1" customHeight="1">
      <c r="A555" s="96"/>
      <c r="B555" s="14"/>
      <c r="G555" s="14"/>
      <c r="H555" s="14"/>
      <c r="I555" s="14"/>
      <c r="J555" s="14"/>
      <c r="K555" s="14"/>
      <c r="L555" s="14"/>
      <c r="M555" s="14"/>
      <c r="N555" s="14"/>
      <c r="R555" s="234"/>
      <c r="S555" s="204"/>
      <c r="V555" s="185"/>
    </row>
    <row r="556" spans="1:22" ht="18" hidden="1" customHeight="1">
      <c r="A556" s="96"/>
      <c r="B556" s="14" t="s">
        <v>702</v>
      </c>
      <c r="G556" s="14"/>
      <c r="H556" s="18" t="str">
        <f>IF(AND(E554="≤",I554="≤")=TRUE,"OK","Not OK")</f>
        <v>Not OK</v>
      </c>
      <c r="I556" s="14"/>
      <c r="J556" s="14"/>
      <c r="K556" s="14"/>
      <c r="L556" s="14"/>
      <c r="M556" s="14"/>
      <c r="N556" s="14"/>
      <c r="R556" s="234"/>
      <c r="S556" s="204"/>
      <c r="V556" s="185"/>
    </row>
    <row r="557" spans="1:22" ht="18" hidden="1" customHeight="1">
      <c r="A557" s="96"/>
      <c r="B557" s="14"/>
      <c r="G557" s="14"/>
      <c r="H557" s="18"/>
      <c r="I557" s="14"/>
      <c r="J557" s="14"/>
      <c r="K557" s="14"/>
      <c r="L557" s="14"/>
      <c r="M557" s="14"/>
      <c r="N557" s="14"/>
      <c r="R557" s="234"/>
      <c r="S557" s="204"/>
      <c r="V557" s="185"/>
    </row>
    <row r="558" spans="1:22" ht="18" hidden="1" customHeight="1">
      <c r="A558" s="96"/>
      <c r="B558" s="14"/>
      <c r="G558" s="14"/>
      <c r="H558" s="18"/>
      <c r="I558" s="14"/>
      <c r="J558" s="14"/>
      <c r="K558" s="14"/>
      <c r="L558" s="14"/>
      <c r="M558" s="14"/>
      <c r="N558" s="14"/>
      <c r="R558" s="234"/>
      <c r="S558" s="204"/>
      <c r="V558" s="185"/>
    </row>
    <row r="559" spans="1:22" ht="18" hidden="1" customHeight="1">
      <c r="A559" s="96"/>
      <c r="B559" s="14"/>
      <c r="G559" s="14"/>
      <c r="H559" s="18"/>
      <c r="I559" s="14"/>
      <c r="J559" s="14"/>
      <c r="K559" s="14"/>
      <c r="L559" s="14"/>
      <c r="M559" s="14"/>
      <c r="N559" s="14"/>
      <c r="R559" s="234"/>
      <c r="S559" s="204"/>
      <c r="V559" s="185"/>
    </row>
    <row r="560" spans="1:22" ht="18" hidden="1" customHeight="1">
      <c r="A560" s="96"/>
      <c r="B560" s="14"/>
      <c r="G560" s="14"/>
      <c r="H560" s="18"/>
      <c r="I560" s="14"/>
      <c r="J560" s="14"/>
      <c r="K560" s="14"/>
      <c r="L560" s="14"/>
      <c r="M560" s="14"/>
      <c r="N560" s="14"/>
      <c r="R560" s="234"/>
      <c r="S560" s="204"/>
      <c r="V560" s="185"/>
    </row>
    <row r="561" spans="1:29" ht="18" hidden="1" customHeight="1">
      <c r="A561" s="96"/>
      <c r="B561" s="14"/>
      <c r="G561" s="14"/>
      <c r="H561" s="18"/>
      <c r="I561" s="14"/>
      <c r="J561" s="14"/>
      <c r="K561" s="14"/>
      <c r="L561" s="14"/>
      <c r="M561" s="14"/>
      <c r="N561" s="14"/>
      <c r="R561" s="234"/>
      <c r="S561" s="204"/>
      <c r="V561" s="185"/>
    </row>
    <row r="562" spans="1:29" ht="18" hidden="1" customHeight="1">
      <c r="A562" s="96"/>
      <c r="B562" s="14"/>
      <c r="G562" s="14"/>
      <c r="H562" s="14"/>
      <c r="I562" s="14"/>
      <c r="J562" s="14"/>
      <c r="K562" s="14"/>
      <c r="L562" s="14"/>
      <c r="M562" s="14"/>
      <c r="N562" s="14"/>
      <c r="R562" s="234"/>
      <c r="S562" s="204"/>
      <c r="V562" s="185"/>
    </row>
    <row r="563" spans="1:29" ht="18" hidden="1" customHeight="1">
      <c r="A563" s="194"/>
      <c r="B563" s="195"/>
      <c r="C563" s="195"/>
      <c r="D563" s="195"/>
      <c r="E563" s="195"/>
      <c r="F563" s="195"/>
      <c r="G563" s="195"/>
      <c r="H563" s="195"/>
      <c r="I563" s="195"/>
      <c r="J563" s="195"/>
      <c r="K563" s="195"/>
      <c r="L563" s="195"/>
      <c r="M563" s="195"/>
      <c r="N563" s="195"/>
      <c r="O563" s="195"/>
      <c r="P563" s="195"/>
      <c r="Q563" s="224"/>
      <c r="R563" s="182"/>
      <c r="S563" s="225"/>
      <c r="T563" s="195"/>
      <c r="U563" s="195"/>
      <c r="V563" s="134" t="s">
        <v>552</v>
      </c>
    </row>
    <row r="564" spans="1:29" ht="18" hidden="1" customHeight="1">
      <c r="A564" s="226"/>
      <c r="B564" s="227"/>
      <c r="C564" s="227"/>
      <c r="D564" s="227"/>
      <c r="E564" s="227"/>
      <c r="F564" s="227"/>
      <c r="G564" s="227"/>
      <c r="H564" s="227"/>
      <c r="I564" s="227"/>
      <c r="J564" s="227"/>
      <c r="K564" s="227"/>
      <c r="L564" s="227"/>
      <c r="M564" s="227"/>
      <c r="N564" s="227"/>
      <c r="O564" s="227"/>
      <c r="P564" s="227"/>
      <c r="Q564" s="227"/>
      <c r="R564" s="227"/>
      <c r="S564" s="227"/>
      <c r="T564" s="227"/>
      <c r="U564" s="227"/>
      <c r="V564" s="228"/>
    </row>
    <row r="565" spans="1:29" ht="18" hidden="1" customHeight="1">
      <c r="A565" s="184"/>
      <c r="B565" s="854" t="str">
        <f>B477</f>
        <v>CT1L1</v>
      </c>
      <c r="C565" s="831"/>
      <c r="D565" s="855" t="str">
        <f>D477</f>
        <v>Core3</v>
      </c>
      <c r="E565" s="856"/>
      <c r="F565" s="186" t="s">
        <v>636</v>
      </c>
      <c r="H565" s="684" t="str">
        <f>H477</f>
        <v>(Transformer Differential)</v>
      </c>
      <c r="I565" s="684"/>
      <c r="J565" s="684"/>
      <c r="K565" s="684"/>
      <c r="L565" s="684"/>
      <c r="M565" s="684"/>
      <c r="P565" s="186"/>
      <c r="S565" s="187" t="s">
        <v>387</v>
      </c>
      <c r="T565" s="1154" t="str">
        <f>T477</f>
        <v>7UT85</v>
      </c>
      <c r="U565" s="1155"/>
      <c r="V565" s="185"/>
    </row>
    <row r="566" spans="1:29" ht="18" hidden="1" customHeight="1">
      <c r="A566" s="184"/>
      <c r="B566" s="853" t="str">
        <f>B478</f>
        <v>CT1L2</v>
      </c>
      <c r="C566" s="853"/>
      <c r="D566" s="857"/>
      <c r="E566" s="858"/>
      <c r="F566" s="255"/>
      <c r="T566" s="1154">
        <f>T478</f>
        <v>0</v>
      </c>
      <c r="U566" s="1155"/>
      <c r="V566" s="185"/>
    </row>
    <row r="567" spans="1:29" ht="18" hidden="1" customHeight="1">
      <c r="A567" s="184"/>
      <c r="H567" s="708" t="s">
        <v>390</v>
      </c>
      <c r="I567" s="708"/>
      <c r="J567" s="708" t="s">
        <v>391</v>
      </c>
      <c r="K567" s="708"/>
      <c r="L567" s="789" t="s">
        <v>392</v>
      </c>
      <c r="M567" s="789"/>
      <c r="T567" s="1154">
        <f>T479</f>
        <v>0</v>
      </c>
      <c r="U567" s="1155"/>
      <c r="V567" s="185"/>
    </row>
    <row r="568" spans="1:29" ht="18" hidden="1" customHeight="1">
      <c r="A568" s="184"/>
      <c r="B568" s="47" t="s">
        <v>393</v>
      </c>
      <c r="H568" s="854">
        <f>H480</f>
        <v>5000</v>
      </c>
      <c r="I568" s="831"/>
      <c r="J568" s="854">
        <f>J480</f>
        <v>4000</v>
      </c>
      <c r="K568" s="831"/>
      <c r="L568" s="863">
        <f>L480</f>
        <v>3000</v>
      </c>
      <c r="M568" s="864"/>
      <c r="N568" s="102" t="s">
        <v>342</v>
      </c>
      <c r="O568" s="256">
        <f>O480</f>
        <v>1</v>
      </c>
      <c r="P568" s="27" t="s">
        <v>8</v>
      </c>
      <c r="V568" s="185"/>
    </row>
    <row r="569" spans="1:29" ht="18" hidden="1" customHeight="1">
      <c r="A569" s="184"/>
      <c r="B569" s="47" t="s">
        <v>394</v>
      </c>
      <c r="H569" s="14"/>
      <c r="I569" s="14"/>
      <c r="L569" s="854" t="str">
        <f>J481</f>
        <v>PX</v>
      </c>
      <c r="M569" s="776"/>
      <c r="V569" s="185"/>
    </row>
    <row r="570" spans="1:29" ht="18" hidden="1" customHeight="1">
      <c r="A570" s="184"/>
      <c r="B570" s="47" t="s">
        <v>396</v>
      </c>
      <c r="K570" s="120" t="s">
        <v>497</v>
      </c>
      <c r="L570" s="781">
        <v>10</v>
      </c>
      <c r="M570" s="782"/>
      <c r="N570" s="192" t="s">
        <v>333</v>
      </c>
      <c r="V570" s="185"/>
    </row>
    <row r="571" spans="1:29" ht="18" hidden="1" customHeight="1">
      <c r="A571" s="184"/>
      <c r="B571" s="47" t="s">
        <v>398</v>
      </c>
      <c r="K571" s="120" t="s">
        <v>498</v>
      </c>
      <c r="L571" s="781">
        <v>800</v>
      </c>
      <c r="M571" s="782"/>
      <c r="N571" s="14" t="s">
        <v>305</v>
      </c>
      <c r="V571" s="185"/>
      <c r="W571" s="30" t="s">
        <v>400</v>
      </c>
      <c r="AB571" s="785">
        <f>D626</f>
        <v>61.134670835263712</v>
      </c>
      <c r="AC571" s="786"/>
    </row>
    <row r="572" spans="1:29" ht="18" hidden="1" customHeight="1">
      <c r="A572" s="184"/>
      <c r="B572" s="14" t="s">
        <v>401</v>
      </c>
      <c r="K572" s="120" t="s">
        <v>402</v>
      </c>
      <c r="L572" s="781">
        <v>50</v>
      </c>
      <c r="M572" s="782"/>
      <c r="N572" s="30" t="s">
        <v>403</v>
      </c>
      <c r="V572" s="185"/>
    </row>
    <row r="573" spans="1:29" ht="18" hidden="1" customHeight="1">
      <c r="A573" s="96"/>
      <c r="V573" s="185"/>
    </row>
    <row r="574" spans="1:29" ht="18" hidden="1" customHeight="1">
      <c r="A574" s="193" t="s">
        <v>404</v>
      </c>
      <c r="V574" s="185"/>
    </row>
    <row r="575" spans="1:29" ht="18" hidden="1" customHeight="1">
      <c r="A575" s="184"/>
      <c r="V575" s="185"/>
    </row>
    <row r="576" spans="1:29" ht="18" hidden="1" customHeight="1">
      <c r="A576" s="184"/>
      <c r="B576" s="194" t="s">
        <v>405</v>
      </c>
      <c r="C576" s="195"/>
      <c r="D576" s="195" t="str">
        <f>T565</f>
        <v>7UT85</v>
      </c>
      <c r="E576" s="196"/>
      <c r="F576" s="196"/>
      <c r="G576" s="196"/>
      <c r="H576" s="182" t="s">
        <v>406</v>
      </c>
      <c r="I576" s="183" t="s">
        <v>127</v>
      </c>
      <c r="J576" s="766">
        <f>J488</f>
        <v>0.1</v>
      </c>
      <c r="K576" s="958"/>
      <c r="L576" s="3" t="s">
        <v>157</v>
      </c>
      <c r="V576" s="185"/>
    </row>
    <row r="577" spans="1:22" ht="18" hidden="1" customHeight="1">
      <c r="A577" s="184"/>
      <c r="B577" s="184" t="s">
        <v>405</v>
      </c>
      <c r="D577" s="30">
        <f>T566</f>
        <v>0</v>
      </c>
      <c r="H577" s="27"/>
      <c r="I577" s="177" t="s">
        <v>127</v>
      </c>
      <c r="J577" s="766">
        <f>J489</f>
        <v>0</v>
      </c>
      <c r="K577" s="958"/>
      <c r="L577" s="198" t="s">
        <v>157</v>
      </c>
      <c r="V577" s="185"/>
    </row>
    <row r="578" spans="1:22" ht="18" hidden="1" customHeight="1">
      <c r="A578" s="184"/>
      <c r="B578" s="184" t="s">
        <v>405</v>
      </c>
      <c r="D578" s="30">
        <f>T567</f>
        <v>0</v>
      </c>
      <c r="E578" s="14"/>
      <c r="G578" s="199"/>
      <c r="H578" s="27"/>
      <c r="I578" s="177" t="s">
        <v>127</v>
      </c>
      <c r="J578" s="766">
        <f>J490</f>
        <v>0</v>
      </c>
      <c r="K578" s="958"/>
      <c r="L578" s="202" t="s">
        <v>157</v>
      </c>
      <c r="V578" s="185"/>
    </row>
    <row r="579" spans="1:22" ht="18" hidden="1" customHeight="1">
      <c r="A579" s="184"/>
      <c r="B579" s="184" t="s">
        <v>412</v>
      </c>
      <c r="H579" s="27" t="s">
        <v>599</v>
      </c>
      <c r="I579" s="177" t="s">
        <v>127</v>
      </c>
      <c r="J579" s="766">
        <f>J491</f>
        <v>1.25652618</v>
      </c>
      <c r="K579" s="958"/>
      <c r="L579" s="203" t="s">
        <v>157</v>
      </c>
      <c r="V579" s="185"/>
    </row>
    <row r="580" spans="1:22" ht="18" hidden="1" customHeight="1">
      <c r="A580" s="184"/>
      <c r="B580" s="205" t="s">
        <v>413</v>
      </c>
      <c r="C580" s="206"/>
      <c r="D580" s="206"/>
      <c r="E580" s="206"/>
      <c r="F580" s="207"/>
      <c r="G580" s="207"/>
      <c r="H580" s="190" t="s">
        <v>409</v>
      </c>
      <c r="I580" s="208" t="s">
        <v>127</v>
      </c>
      <c r="J580" s="766">
        <f>J577+J579</f>
        <v>1.25652618</v>
      </c>
      <c r="K580" s="958"/>
      <c r="L580" s="210" t="s">
        <v>157</v>
      </c>
      <c r="V580" s="185"/>
    </row>
    <row r="581" spans="1:22" ht="18" hidden="1" customHeight="1">
      <c r="A581" s="184"/>
      <c r="B581" s="47"/>
      <c r="C581" s="47"/>
      <c r="D581" s="47"/>
      <c r="E581" s="47"/>
      <c r="H581" s="27"/>
      <c r="I581" s="28"/>
      <c r="J581" s="199"/>
      <c r="L581" s="47"/>
      <c r="O581" s="27"/>
      <c r="P581" s="211"/>
      <c r="Q581" s="211"/>
      <c r="R581" s="192"/>
      <c r="V581" s="185"/>
    </row>
    <row r="582" spans="1:22" ht="18" hidden="1" customHeight="1">
      <c r="A582" s="184"/>
      <c r="B582" s="197" t="s">
        <v>648</v>
      </c>
      <c r="L582" s="47"/>
      <c r="M582" s="197" t="s">
        <v>407</v>
      </c>
      <c r="V582" s="185"/>
    </row>
    <row r="583" spans="1:22" s="14" customFormat="1" ht="18" hidden="1" customHeight="1">
      <c r="A583" s="184"/>
      <c r="B583" s="27" t="s">
        <v>649</v>
      </c>
      <c r="C583" s="27" t="s">
        <v>127</v>
      </c>
      <c r="D583" s="30" t="s">
        <v>406</v>
      </c>
      <c r="E583" s="271" t="s">
        <v>410</v>
      </c>
      <c r="F583" s="27" t="s">
        <v>146</v>
      </c>
      <c r="G583" s="28" t="s">
        <v>315</v>
      </c>
      <c r="H583" s="218" t="s">
        <v>146</v>
      </c>
      <c r="I583" s="30" t="s">
        <v>350</v>
      </c>
      <c r="J583" s="199"/>
      <c r="K583" s="30"/>
      <c r="L583" s="47"/>
      <c r="M583" s="30" t="s">
        <v>408</v>
      </c>
      <c r="N583" s="27" t="s">
        <v>127</v>
      </c>
      <c r="O583" s="30" t="s">
        <v>409</v>
      </c>
      <c r="P583" s="191" t="s">
        <v>410</v>
      </c>
      <c r="Q583" s="244" t="s">
        <v>411</v>
      </c>
      <c r="R583" s="27" t="s">
        <v>315</v>
      </c>
      <c r="S583" s="30" t="s">
        <v>411</v>
      </c>
      <c r="T583" s="30" t="s">
        <v>350</v>
      </c>
      <c r="U583" s="30"/>
      <c r="V583" s="185"/>
    </row>
    <row r="584" spans="1:22" s="14" customFormat="1" ht="18" hidden="1" customHeight="1">
      <c r="A584" s="184"/>
      <c r="B584" s="47"/>
      <c r="C584" s="27" t="s">
        <v>127</v>
      </c>
      <c r="D584" s="204">
        <f>J576</f>
        <v>0.1</v>
      </c>
      <c r="E584" s="191" t="s">
        <v>410</v>
      </c>
      <c r="F584" s="27">
        <f>F496</f>
        <v>1</v>
      </c>
      <c r="G584" s="27" t="s">
        <v>315</v>
      </c>
      <c r="H584" s="27">
        <f>H496</f>
        <v>1</v>
      </c>
      <c r="I584" s="30" t="s">
        <v>350</v>
      </c>
      <c r="J584" s="199"/>
      <c r="K584" s="30"/>
      <c r="L584" s="47"/>
      <c r="M584" s="30"/>
      <c r="N584" s="27" t="s">
        <v>127</v>
      </c>
      <c r="O584" s="204">
        <f>J580</f>
        <v>1.25652618</v>
      </c>
      <c r="P584" s="191" t="s">
        <v>410</v>
      </c>
      <c r="Q584" s="27">
        <f>O568</f>
        <v>1</v>
      </c>
      <c r="R584" s="27" t="s">
        <v>315</v>
      </c>
      <c r="S584" s="27">
        <f>O568</f>
        <v>1</v>
      </c>
      <c r="T584" s="30" t="s">
        <v>350</v>
      </c>
      <c r="U584" s="30"/>
      <c r="V584" s="185"/>
    </row>
    <row r="585" spans="1:22" s="14" customFormat="1" ht="18" hidden="1" customHeight="1">
      <c r="A585" s="184"/>
      <c r="B585" s="47"/>
      <c r="C585" s="27" t="s">
        <v>127</v>
      </c>
      <c r="D585" s="795">
        <f>D584/(F584*H584)</f>
        <v>0.1</v>
      </c>
      <c r="E585" s="795"/>
      <c r="F585" s="192" t="s">
        <v>333</v>
      </c>
      <c r="G585" s="30"/>
      <c r="H585" s="30"/>
      <c r="I585" s="30"/>
      <c r="J585" s="199"/>
      <c r="K585" s="30"/>
      <c r="L585" s="47"/>
      <c r="M585" s="30"/>
      <c r="N585" s="27" t="s">
        <v>127</v>
      </c>
      <c r="O585" s="795">
        <f>O584/(Q584*S584)</f>
        <v>1.25652618</v>
      </c>
      <c r="P585" s="795"/>
      <c r="Q585" s="192" t="s">
        <v>333</v>
      </c>
      <c r="R585" s="30"/>
      <c r="S585" s="30"/>
      <c r="T585" s="30"/>
      <c r="U585" s="30"/>
      <c r="V585" s="185"/>
    </row>
    <row r="586" spans="1:22" s="14" customFormat="1" ht="18" hidden="1" customHeight="1">
      <c r="A586" s="184"/>
      <c r="B586" s="47"/>
      <c r="C586" s="47"/>
      <c r="D586" s="47"/>
      <c r="E586" s="47"/>
      <c r="F586" s="30"/>
      <c r="G586" s="30"/>
      <c r="H586" s="27"/>
      <c r="I586" s="28"/>
      <c r="J586" s="199"/>
      <c r="K586" s="30"/>
      <c r="L586" s="47"/>
      <c r="M586" s="30"/>
      <c r="N586" s="30"/>
      <c r="O586" s="27"/>
      <c r="P586" s="211"/>
      <c r="Q586" s="211"/>
      <c r="R586" s="192"/>
      <c r="S586" s="30"/>
      <c r="T586" s="30"/>
      <c r="U586" s="30"/>
      <c r="V586" s="185"/>
    </row>
    <row r="587" spans="1:22" s="14" customFormat="1" ht="18" hidden="1" customHeight="1">
      <c r="A587" s="184"/>
      <c r="B587" s="47" t="s">
        <v>668</v>
      </c>
      <c r="C587" s="47"/>
      <c r="D587" s="47"/>
      <c r="E587" s="47"/>
      <c r="F587" s="30"/>
      <c r="G587" s="30"/>
      <c r="H587" s="27"/>
      <c r="I587" s="28"/>
      <c r="J587" s="199"/>
      <c r="K587" s="30"/>
      <c r="L587" s="47" t="s">
        <v>127</v>
      </c>
      <c r="M587" s="204">
        <f>D585</f>
        <v>0.1</v>
      </c>
      <c r="N587" s="27" t="s">
        <v>347</v>
      </c>
      <c r="O587" s="211">
        <f>O585</f>
        <v>1.25652618</v>
      </c>
      <c r="P587" s="211" t="s">
        <v>127</v>
      </c>
      <c r="Q587" s="211">
        <f>M587+O587</f>
        <v>1.3565261800000001</v>
      </c>
      <c r="R587" s="192" t="s">
        <v>333</v>
      </c>
      <c r="S587" s="30"/>
      <c r="T587" s="30"/>
      <c r="U587" s="30"/>
      <c r="V587" s="185"/>
    </row>
    <row r="588" spans="1:22" s="14" customFormat="1" ht="18" hidden="1" customHeight="1">
      <c r="A588" s="193" t="s">
        <v>600</v>
      </c>
      <c r="B588" s="5"/>
      <c r="C588" s="5"/>
      <c r="D588" s="5"/>
      <c r="E588" s="5"/>
      <c r="F588" s="5"/>
      <c r="G588" s="5"/>
      <c r="H588" s="212"/>
      <c r="I588" s="212"/>
      <c r="J588" s="5"/>
      <c r="K588" s="5"/>
      <c r="L588" s="5"/>
      <c r="M588" s="5"/>
      <c r="N588" s="5"/>
      <c r="O588" s="5"/>
      <c r="P588" s="103"/>
      <c r="Q588" s="212"/>
      <c r="R588" s="213"/>
      <c r="S588" s="214"/>
      <c r="T588" s="18"/>
      <c r="U588" s="18"/>
      <c r="V588" s="97"/>
    </row>
    <row r="589" spans="1:22" s="14" customFormat="1" ht="18" hidden="1" customHeight="1">
      <c r="A589" s="96"/>
      <c r="B589" s="47" t="s">
        <v>601</v>
      </c>
      <c r="C589" s="5"/>
      <c r="D589" s="5"/>
      <c r="E589" s="5"/>
      <c r="I589" s="215"/>
      <c r="M589" s="5"/>
      <c r="N589" s="103" t="s">
        <v>127</v>
      </c>
      <c r="O589" s="1154">
        <f>O501</f>
        <v>100</v>
      </c>
      <c r="P589" s="831"/>
      <c r="Q589" s="14" t="s">
        <v>602</v>
      </c>
      <c r="S589" s="214"/>
      <c r="T589" s="18"/>
      <c r="U589" s="18"/>
      <c r="V589" s="97"/>
    </row>
    <row r="590" spans="1:22" s="14" customFormat="1" ht="18" hidden="1" customHeight="1">
      <c r="A590" s="96"/>
      <c r="B590" s="47" t="s">
        <v>603</v>
      </c>
      <c r="C590" s="5"/>
      <c r="D590" s="5"/>
      <c r="E590" s="5"/>
      <c r="I590" s="215"/>
      <c r="M590" s="5"/>
      <c r="N590" s="103" t="s">
        <v>127</v>
      </c>
      <c r="O590" s="1154">
        <f>O502</f>
        <v>25</v>
      </c>
      <c r="P590" s="831"/>
      <c r="Q590" s="14" t="s">
        <v>604</v>
      </c>
      <c r="S590" s="214"/>
      <c r="T590" s="18"/>
      <c r="U590" s="18"/>
      <c r="V590" s="97"/>
    </row>
    <row r="591" spans="1:22" s="14" customFormat="1" ht="18" hidden="1" customHeight="1">
      <c r="A591" s="96"/>
      <c r="B591" s="47" t="s">
        <v>605</v>
      </c>
      <c r="C591" s="5"/>
      <c r="D591" s="5"/>
      <c r="E591" s="5"/>
      <c r="M591" s="120" t="s">
        <v>606</v>
      </c>
      <c r="N591" s="103" t="s">
        <v>607</v>
      </c>
      <c r="O591" s="1154">
        <f>O503</f>
        <v>132</v>
      </c>
      <c r="P591" s="831"/>
      <c r="Q591" s="14" t="s">
        <v>163</v>
      </c>
      <c r="S591" s="214"/>
      <c r="T591" s="18"/>
      <c r="U591" s="18"/>
      <c r="V591" s="97"/>
    </row>
    <row r="592" spans="1:22" s="14" customFormat="1" ht="18" hidden="1" customHeight="1">
      <c r="A592" s="216"/>
      <c r="B592" s="212"/>
      <c r="C592" s="212"/>
      <c r="D592" s="212"/>
      <c r="E592" s="212"/>
      <c r="T592" s="18"/>
      <c r="U592" s="18"/>
      <c r="V592" s="97"/>
    </row>
    <row r="593" spans="1:22" s="14" customFormat="1" ht="18" hidden="1" customHeight="1">
      <c r="A593" s="272" t="s">
        <v>608</v>
      </c>
      <c r="B593" s="213"/>
      <c r="C593" s="213"/>
      <c r="D593" s="213"/>
      <c r="E593" s="213"/>
      <c r="H593" s="120" t="s">
        <v>609</v>
      </c>
      <c r="I593" s="28" t="s">
        <v>127</v>
      </c>
      <c r="J593" s="689" t="s">
        <v>610</v>
      </c>
      <c r="K593" s="689"/>
      <c r="L593" s="28" t="s">
        <v>315</v>
      </c>
      <c r="M593" s="217">
        <v>1000</v>
      </c>
      <c r="N593" s="102" t="s">
        <v>342</v>
      </c>
      <c r="O593" s="28" t="s">
        <v>611</v>
      </c>
      <c r="P593" s="28" t="s">
        <v>315</v>
      </c>
      <c r="Q593" s="28" t="s">
        <v>606</v>
      </c>
      <c r="R593" s="47" t="s">
        <v>350</v>
      </c>
      <c r="T593" s="18"/>
      <c r="U593" s="18"/>
      <c r="V593" s="97"/>
    </row>
    <row r="594" spans="1:22" ht="18" hidden="1" customHeight="1">
      <c r="A594" s="216"/>
      <c r="B594" s="213"/>
      <c r="C594" s="213"/>
      <c r="D594" s="213"/>
      <c r="E594" s="213"/>
      <c r="F594" s="212"/>
      <c r="G594" s="212"/>
      <c r="H594" s="28"/>
      <c r="I594" s="28" t="s">
        <v>127</v>
      </c>
      <c r="J594" s="689">
        <f>O589</f>
        <v>100</v>
      </c>
      <c r="K594" s="689"/>
      <c r="L594" s="28" t="s">
        <v>315</v>
      </c>
      <c r="M594" s="217">
        <v>1000</v>
      </c>
      <c r="N594" s="102" t="s">
        <v>342</v>
      </c>
      <c r="O594" s="28" t="s">
        <v>611</v>
      </c>
      <c r="P594" s="28" t="s">
        <v>315</v>
      </c>
      <c r="Q594" s="28">
        <f>O591</f>
        <v>132</v>
      </c>
      <c r="R594" s="47" t="s">
        <v>350</v>
      </c>
      <c r="S594" s="14"/>
      <c r="T594" s="18"/>
      <c r="U594" s="18"/>
      <c r="V594" s="97"/>
    </row>
    <row r="595" spans="1:22" ht="18" hidden="1" customHeight="1">
      <c r="A595" s="216"/>
      <c r="B595" s="212"/>
      <c r="C595" s="212"/>
      <c r="D595" s="212"/>
      <c r="E595" s="212"/>
      <c r="F595" s="212"/>
      <c r="G595" s="212"/>
      <c r="H595" s="14"/>
      <c r="I595" s="28" t="s">
        <v>127</v>
      </c>
      <c r="J595" s="692">
        <f>(O589*1000)/(SQRT(3)*O591)</f>
        <v>437.38656756789834</v>
      </c>
      <c r="K595" s="692"/>
      <c r="L595" s="14" t="s">
        <v>8</v>
      </c>
      <c r="M595" s="120"/>
      <c r="N595" s="120"/>
      <c r="O595" s="120"/>
      <c r="P595" s="14"/>
      <c r="Q595" s="14"/>
      <c r="R595" s="14"/>
      <c r="S595" s="14"/>
      <c r="T595" s="18"/>
      <c r="U595" s="18"/>
      <c r="V595" s="97"/>
    </row>
    <row r="596" spans="1:22" ht="18" hidden="1" customHeight="1">
      <c r="A596" s="216"/>
      <c r="B596" s="212"/>
      <c r="C596" s="212"/>
      <c r="D596" s="212"/>
      <c r="E596" s="212"/>
      <c r="F596" s="14"/>
      <c r="G596" s="212"/>
      <c r="H596" s="28"/>
      <c r="I596" s="103"/>
      <c r="J596" s="28"/>
      <c r="K596" s="14"/>
      <c r="L596" s="14"/>
      <c r="M596" s="212"/>
      <c r="N596" s="219"/>
      <c r="O596" s="212"/>
      <c r="P596" s="14"/>
      <c r="Q596" s="14"/>
      <c r="R596" s="14"/>
      <c r="S596" s="14"/>
      <c r="T596" s="18"/>
      <c r="U596" s="18"/>
      <c r="V596" s="97"/>
    </row>
    <row r="597" spans="1:22" s="14" customFormat="1" ht="18" hidden="1" customHeight="1">
      <c r="A597" s="147" t="s">
        <v>629</v>
      </c>
      <c r="B597" s="5"/>
      <c r="C597" s="5"/>
      <c r="D597" s="5"/>
      <c r="E597" s="5"/>
      <c r="F597" s="212"/>
      <c r="G597" s="212"/>
      <c r="H597" s="5"/>
      <c r="I597" s="5"/>
      <c r="J597" s="5"/>
      <c r="K597" s="5"/>
      <c r="L597" s="103"/>
      <c r="M597" s="103"/>
      <c r="N597" s="103"/>
      <c r="O597" s="103"/>
      <c r="P597" s="212"/>
      <c r="Q597" s="213"/>
      <c r="S597" s="220"/>
      <c r="T597" s="18"/>
      <c r="U597" s="18"/>
      <c r="V597" s="97"/>
    </row>
    <row r="598" spans="1:22" s="14" customFormat="1" ht="18" hidden="1" customHeight="1">
      <c r="A598" s="147"/>
      <c r="B598" s="5"/>
      <c r="C598" s="5"/>
      <c r="D598" s="5"/>
      <c r="E598" s="5"/>
      <c r="F598" s="212"/>
      <c r="G598" s="212"/>
      <c r="H598" s="5"/>
      <c r="I598" s="5"/>
      <c r="J598" s="5"/>
      <c r="K598" s="5"/>
      <c r="L598" s="103"/>
      <c r="M598" s="103"/>
      <c r="N598" s="103"/>
      <c r="O598" s="103"/>
      <c r="P598" s="212"/>
      <c r="Q598" s="213"/>
      <c r="S598" s="214"/>
      <c r="T598" s="18"/>
      <c r="U598" s="18"/>
      <c r="V598" s="97"/>
    </row>
    <row r="599" spans="1:22" ht="18" hidden="1" customHeight="1">
      <c r="A599" s="96" t="s">
        <v>612</v>
      </c>
      <c r="B599" s="14"/>
      <c r="C599" s="14"/>
      <c r="D599" s="14"/>
      <c r="E599" s="14"/>
      <c r="M599" s="120" t="s">
        <v>613</v>
      </c>
      <c r="N599" s="28" t="s">
        <v>127</v>
      </c>
      <c r="O599" s="689" t="s">
        <v>609</v>
      </c>
      <c r="P599" s="716"/>
      <c r="Q599" s="221" t="s">
        <v>630</v>
      </c>
      <c r="R599" s="221">
        <v>16</v>
      </c>
      <c r="S599" s="186"/>
      <c r="V599" s="185"/>
    </row>
    <row r="600" spans="1:22" ht="18" hidden="1" customHeight="1">
      <c r="A600" s="96"/>
      <c r="B600" s="5"/>
      <c r="C600" s="5"/>
      <c r="D600" s="5"/>
      <c r="E600" s="5"/>
      <c r="M600" s="250"/>
      <c r="N600" s="28" t="s">
        <v>127</v>
      </c>
      <c r="O600" s="689">
        <f>+J595</f>
        <v>437.38656756789834</v>
      </c>
      <c r="P600" s="716"/>
      <c r="Q600" s="221" t="s">
        <v>630</v>
      </c>
      <c r="R600" s="221">
        <v>16</v>
      </c>
      <c r="S600" s="186"/>
      <c r="V600" s="185"/>
    </row>
    <row r="601" spans="1:22" s="279" customFormat="1" ht="18" hidden="1" customHeight="1">
      <c r="A601" s="96"/>
      <c r="B601" s="5"/>
      <c r="C601" s="5"/>
      <c r="D601" s="5"/>
      <c r="E601" s="5"/>
      <c r="F601" s="30"/>
      <c r="G601" s="30"/>
      <c r="H601" s="30"/>
      <c r="I601" s="30"/>
      <c r="J601" s="30"/>
      <c r="K601" s="30"/>
      <c r="L601" s="30"/>
      <c r="M601" s="120" t="s">
        <v>613</v>
      </c>
      <c r="N601" s="28" t="s">
        <v>127</v>
      </c>
      <c r="O601" s="689">
        <f>O600*R600</f>
        <v>6998.1850810863734</v>
      </c>
      <c r="P601" s="716"/>
      <c r="Q601" s="241" t="s">
        <v>8</v>
      </c>
      <c r="R601" s="14"/>
      <c r="S601" s="186"/>
      <c r="T601" s="30"/>
      <c r="U601" s="30"/>
      <c r="V601" s="185"/>
    </row>
    <row r="602" spans="1:22" s="279" customFormat="1" ht="18" hidden="1" customHeight="1">
      <c r="A602" s="96"/>
      <c r="B602" s="5"/>
      <c r="C602" s="5"/>
      <c r="D602" s="5"/>
      <c r="E602" s="5"/>
      <c r="F602" s="30"/>
      <c r="G602" s="30"/>
      <c r="H602" s="30"/>
      <c r="I602" s="30"/>
      <c r="J602" s="30"/>
      <c r="K602" s="30"/>
      <c r="L602" s="30"/>
      <c r="M602" s="120"/>
      <c r="N602" s="28"/>
      <c r="O602" s="28"/>
      <c r="P602" s="14"/>
      <c r="Q602" s="241"/>
      <c r="R602" s="14"/>
      <c r="S602" s="186"/>
      <c r="T602" s="30"/>
      <c r="U602" s="30"/>
      <c r="V602" s="185"/>
    </row>
    <row r="603" spans="1:22" s="279" customFormat="1" ht="18" hidden="1" customHeight="1">
      <c r="A603" s="96"/>
      <c r="B603" s="5"/>
      <c r="C603" s="5"/>
      <c r="D603" s="5"/>
      <c r="E603" s="5"/>
      <c r="F603" s="30"/>
      <c r="G603" s="30"/>
      <c r="H603" s="30"/>
      <c r="I603" s="30"/>
      <c r="J603" s="30"/>
      <c r="K603" s="30"/>
      <c r="L603" s="30"/>
      <c r="M603" s="120"/>
      <c r="N603" s="28"/>
      <c r="O603" s="28"/>
      <c r="P603" s="14"/>
      <c r="Q603" s="241"/>
      <c r="R603" s="14"/>
      <c r="S603" s="186"/>
      <c r="T603" s="30"/>
      <c r="U603" s="30"/>
      <c r="V603" s="185"/>
    </row>
    <row r="604" spans="1:22" s="279" customFormat="1" ht="18" hidden="1" customHeight="1">
      <c r="A604" s="96"/>
      <c r="B604" s="5"/>
      <c r="C604" s="5"/>
      <c r="D604" s="5"/>
      <c r="E604" s="5"/>
      <c r="F604" s="30"/>
      <c r="G604" s="30"/>
      <c r="H604" s="30"/>
      <c r="I604" s="30"/>
      <c r="J604" s="30"/>
      <c r="K604" s="30"/>
      <c r="L604" s="30"/>
      <c r="M604" s="120"/>
      <c r="N604" s="28"/>
      <c r="O604" s="28"/>
      <c r="P604" s="14"/>
      <c r="Q604" s="241"/>
      <c r="R604" s="14"/>
      <c r="S604" s="186"/>
      <c r="T604" s="30"/>
      <c r="U604" s="30"/>
      <c r="V604" s="185"/>
    </row>
    <row r="605" spans="1:22" s="279" customFormat="1" ht="18" hidden="1" customHeight="1">
      <c r="A605" s="96"/>
      <c r="B605" s="5"/>
      <c r="C605" s="5"/>
      <c r="D605" s="5"/>
      <c r="E605" s="5"/>
      <c r="F605" s="30"/>
      <c r="G605" s="30"/>
      <c r="H605" s="30"/>
      <c r="I605" s="30"/>
      <c r="J605" s="30"/>
      <c r="K605" s="30"/>
      <c r="L605" s="30"/>
      <c r="M605" s="120"/>
      <c r="N605" s="28"/>
      <c r="O605" s="28"/>
      <c r="P605" s="14"/>
      <c r="Q605" s="241"/>
      <c r="R605" s="14"/>
      <c r="S605" s="186"/>
      <c r="T605" s="30"/>
      <c r="U605" s="30"/>
      <c r="V605" s="185"/>
    </row>
    <row r="606" spans="1:22" s="279" customFormat="1" ht="18" hidden="1" customHeight="1">
      <c r="A606" s="96"/>
      <c r="B606" s="5"/>
      <c r="C606" s="5"/>
      <c r="D606" s="5"/>
      <c r="E606" s="5"/>
      <c r="F606" s="30"/>
      <c r="G606" s="30"/>
      <c r="H606" s="30"/>
      <c r="I606" s="30"/>
      <c r="J606" s="30"/>
      <c r="K606" s="30"/>
      <c r="L606" s="30"/>
      <c r="M606" s="120"/>
      <c r="N606" s="28"/>
      <c r="O606" s="28"/>
      <c r="P606" s="14"/>
      <c r="Q606" s="241"/>
      <c r="R606" s="14"/>
      <c r="S606" s="186"/>
      <c r="T606" s="30"/>
      <c r="U606" s="30"/>
      <c r="V606" s="185"/>
    </row>
    <row r="607" spans="1:22" s="279" customFormat="1" ht="18" hidden="1" customHeight="1">
      <c r="A607" s="194"/>
      <c r="B607" s="195"/>
      <c r="C607" s="195"/>
      <c r="D607" s="195"/>
      <c r="E607" s="195"/>
      <c r="F607" s="195"/>
      <c r="G607" s="195"/>
      <c r="H607" s="195"/>
      <c r="I607" s="195"/>
      <c r="J607" s="195"/>
      <c r="K607" s="195"/>
      <c r="L607" s="195"/>
      <c r="M607" s="195"/>
      <c r="N607" s="195"/>
      <c r="O607" s="195"/>
      <c r="P607" s="195"/>
      <c r="Q607" s="224"/>
      <c r="R607" s="182"/>
      <c r="S607" s="225"/>
      <c r="T607" s="195"/>
      <c r="U607" s="195"/>
      <c r="V607" s="134" t="s">
        <v>552</v>
      </c>
    </row>
    <row r="608" spans="1:22" ht="18" hidden="1" customHeight="1">
      <c r="A608" s="135"/>
      <c r="B608" s="273"/>
      <c r="C608" s="273"/>
      <c r="D608" s="273"/>
      <c r="E608" s="273"/>
      <c r="F608" s="273"/>
      <c r="G608" s="273"/>
      <c r="H608" s="273"/>
      <c r="I608" s="273"/>
      <c r="J608" s="273"/>
      <c r="K608" s="273"/>
      <c r="L608" s="273"/>
      <c r="M608" s="273"/>
      <c r="N608" s="273"/>
      <c r="O608" s="273"/>
      <c r="P608" s="273"/>
      <c r="Q608" s="274"/>
      <c r="R608" s="138"/>
      <c r="S608" s="275"/>
      <c r="T608" s="273"/>
      <c r="U608" s="273"/>
      <c r="V608" s="276"/>
    </row>
    <row r="609" spans="1:22" ht="18" hidden="1" customHeight="1">
      <c r="A609" s="96" t="s">
        <v>686</v>
      </c>
      <c r="V609" s="185"/>
    </row>
    <row r="610" spans="1:22" ht="18" hidden="1" customHeight="1">
      <c r="A610" s="184"/>
      <c r="V610" s="185"/>
    </row>
    <row r="611" spans="1:22" ht="18" hidden="1" customHeight="1">
      <c r="A611" s="277"/>
      <c r="B611" s="689" t="s">
        <v>473</v>
      </c>
      <c r="C611" s="1150" t="s">
        <v>652</v>
      </c>
      <c r="D611" s="279"/>
      <c r="E611" s="279"/>
      <c r="F611" s="279"/>
      <c r="G611" s="802" t="s">
        <v>687</v>
      </c>
      <c r="H611" s="1153" t="s">
        <v>315</v>
      </c>
      <c r="I611" s="708" t="s">
        <v>688</v>
      </c>
      <c r="J611" s="1147"/>
      <c r="K611" s="1147"/>
      <c r="L611" s="1147"/>
      <c r="M611" s="1147"/>
      <c r="N611" s="689" t="s">
        <v>672</v>
      </c>
      <c r="O611" s="708" t="s">
        <v>420</v>
      </c>
      <c r="P611" s="689" t="s">
        <v>347</v>
      </c>
      <c r="Q611" s="708" t="s">
        <v>689</v>
      </c>
      <c r="R611" s="708" t="s">
        <v>674</v>
      </c>
      <c r="S611" s="708" t="s">
        <v>411</v>
      </c>
      <c r="T611" s="14"/>
      <c r="U611" s="729" t="s">
        <v>653</v>
      </c>
      <c r="V611" s="185"/>
    </row>
    <row r="612" spans="1:22" ht="18" hidden="1" customHeight="1">
      <c r="A612" s="277"/>
      <c r="B612" s="689"/>
      <c r="C612" s="689"/>
      <c r="D612" s="279"/>
      <c r="E612" s="279"/>
      <c r="F612" s="279"/>
      <c r="G612" s="802"/>
      <c r="H612" s="689"/>
      <c r="I612" s="689">
        <v>1.3</v>
      </c>
      <c r="J612" s="689"/>
      <c r="K612" s="28" t="s">
        <v>315</v>
      </c>
      <c r="L612" s="689" t="s">
        <v>423</v>
      </c>
      <c r="M612" s="689"/>
      <c r="N612" s="689"/>
      <c r="O612" s="689"/>
      <c r="P612" s="689"/>
      <c r="Q612" s="689"/>
      <c r="R612" s="689"/>
      <c r="S612" s="689"/>
      <c r="T612" s="14"/>
      <c r="U612" s="689"/>
      <c r="V612" s="185"/>
    </row>
    <row r="613" spans="1:22" ht="18" hidden="1" customHeight="1">
      <c r="A613" s="184"/>
      <c r="V613" s="185"/>
    </row>
    <row r="614" spans="1:22" ht="18" hidden="1" customHeight="1">
      <c r="A614" s="184"/>
      <c r="B614" s="47" t="s">
        <v>654</v>
      </c>
      <c r="C614" s="14"/>
      <c r="D614" s="14"/>
      <c r="E614" s="14"/>
      <c r="F614" s="18"/>
      <c r="G614" s="18"/>
      <c r="H614" s="14"/>
      <c r="I614" s="120"/>
      <c r="J614" s="14"/>
      <c r="K614" s="14"/>
      <c r="M614" s="14"/>
      <c r="N614" s="14"/>
      <c r="P614" s="14" t="s">
        <v>423</v>
      </c>
      <c r="R614" s="234" t="s">
        <v>127</v>
      </c>
      <c r="S614" s="684">
        <f>L568</f>
        <v>3000</v>
      </c>
      <c r="T614" s="684"/>
      <c r="U614" s="30" t="s">
        <v>8</v>
      </c>
      <c r="V614" s="185"/>
    </row>
    <row r="615" spans="1:22" ht="18" hidden="1" customHeight="1">
      <c r="A615" s="184"/>
      <c r="B615" s="47" t="s">
        <v>655</v>
      </c>
      <c r="C615" s="14"/>
      <c r="D615" s="14"/>
      <c r="E615" s="14"/>
      <c r="F615" s="18"/>
      <c r="G615" s="18"/>
      <c r="H615" s="14"/>
      <c r="I615" s="120"/>
      <c r="J615" s="14"/>
      <c r="K615" s="14"/>
      <c r="M615" s="14"/>
      <c r="N615" s="14"/>
      <c r="P615" s="14" t="s">
        <v>420</v>
      </c>
      <c r="R615" s="234" t="s">
        <v>127</v>
      </c>
      <c r="S615" s="684">
        <f>L570</f>
        <v>10</v>
      </c>
      <c r="T615" s="684"/>
      <c r="U615" s="192" t="s">
        <v>333</v>
      </c>
      <c r="V615" s="185"/>
    </row>
    <row r="616" spans="1:22" ht="18" hidden="1" customHeight="1">
      <c r="A616" s="184"/>
      <c r="B616" s="47" t="s">
        <v>676</v>
      </c>
      <c r="C616" s="14"/>
      <c r="D616" s="14"/>
      <c r="E616" s="14"/>
      <c r="F616" s="18"/>
      <c r="G616" s="18"/>
      <c r="H616" s="14"/>
      <c r="I616" s="120"/>
      <c r="J616" s="14"/>
      <c r="K616" s="14"/>
      <c r="M616" s="14"/>
      <c r="N616" s="14"/>
      <c r="P616" s="14" t="s">
        <v>690</v>
      </c>
      <c r="R616" s="234" t="s">
        <v>127</v>
      </c>
      <c r="S616" s="795">
        <f>Q587</f>
        <v>1.3565261800000001</v>
      </c>
      <c r="T616" s="795"/>
      <c r="U616" s="192" t="s">
        <v>333</v>
      </c>
      <c r="V616" s="185"/>
    </row>
    <row r="617" spans="1:22" ht="18" hidden="1" customHeight="1">
      <c r="A617" s="184"/>
      <c r="B617" s="47" t="s">
        <v>691</v>
      </c>
      <c r="C617" s="14"/>
      <c r="D617" s="14"/>
      <c r="E617" s="14"/>
      <c r="F617" s="14"/>
      <c r="G617" s="14"/>
      <c r="H617" s="14"/>
      <c r="I617" s="120"/>
      <c r="J617" s="14"/>
      <c r="K617" s="14"/>
      <c r="M617" s="14"/>
      <c r="N617" s="14"/>
      <c r="P617" s="14" t="s">
        <v>411</v>
      </c>
      <c r="R617" s="234" t="s">
        <v>127</v>
      </c>
      <c r="S617" s="684">
        <f>O568</f>
        <v>1</v>
      </c>
      <c r="T617" s="684"/>
      <c r="U617" s="30" t="s">
        <v>8</v>
      </c>
      <c r="V617" s="185"/>
    </row>
    <row r="618" spans="1:22" ht="18" hidden="1" customHeight="1">
      <c r="A618" s="184"/>
      <c r="B618" s="47" t="s">
        <v>678</v>
      </c>
      <c r="C618" s="14"/>
      <c r="D618" s="14"/>
      <c r="E618" s="14"/>
      <c r="F618" s="14"/>
      <c r="G618" s="14"/>
      <c r="H618" s="14"/>
      <c r="I618" s="120"/>
      <c r="J618" s="14"/>
      <c r="K618" s="14"/>
      <c r="M618" s="14"/>
      <c r="N618" s="14"/>
      <c r="P618" s="120" t="s">
        <v>688</v>
      </c>
      <c r="R618" s="234" t="s">
        <v>127</v>
      </c>
      <c r="S618" s="684">
        <f>O601</f>
        <v>6998.1850810863734</v>
      </c>
      <c r="T618" s="684"/>
      <c r="U618" s="30" t="s">
        <v>8</v>
      </c>
      <c r="V618" s="185"/>
    </row>
    <row r="619" spans="1:22" s="279" customFormat="1" ht="18" hidden="1" customHeight="1">
      <c r="A619" s="184"/>
      <c r="B619" s="47" t="s">
        <v>692</v>
      </c>
      <c r="C619" s="14"/>
      <c r="D619" s="14"/>
      <c r="E619" s="14"/>
      <c r="F619" s="14"/>
      <c r="G619" s="14"/>
      <c r="H619" s="14"/>
      <c r="I619" s="120"/>
      <c r="J619" s="14"/>
      <c r="K619" s="14"/>
      <c r="L619" s="30"/>
      <c r="M619" s="14"/>
      <c r="N619" s="14"/>
      <c r="O619" s="30"/>
      <c r="P619" s="120" t="s">
        <v>680</v>
      </c>
      <c r="Q619" s="30"/>
      <c r="R619" s="234" t="s">
        <v>127</v>
      </c>
      <c r="S619" s="795">
        <f>J595</f>
        <v>437.38656756789834</v>
      </c>
      <c r="T619" s="684"/>
      <c r="U619" s="30" t="s">
        <v>8</v>
      </c>
      <c r="V619" s="185"/>
    </row>
    <row r="620" spans="1:22" s="279" customFormat="1" ht="18" hidden="1" customHeight="1">
      <c r="A620" s="184"/>
      <c r="B620" s="47" t="s">
        <v>659</v>
      </c>
      <c r="C620" s="14"/>
      <c r="D620" s="14"/>
      <c r="E620" s="14"/>
      <c r="F620" s="14"/>
      <c r="G620" s="14"/>
      <c r="H620" s="14"/>
      <c r="I620" s="120"/>
      <c r="J620" s="14"/>
      <c r="K620" s="14"/>
      <c r="L620" s="30"/>
      <c r="M620" s="14"/>
      <c r="N620" s="14"/>
      <c r="O620" s="30"/>
      <c r="P620" s="120" t="s">
        <v>660</v>
      </c>
      <c r="Q620" s="30"/>
      <c r="R620" s="234" t="s">
        <v>127</v>
      </c>
      <c r="S620" s="684">
        <f>S532</f>
        <v>1</v>
      </c>
      <c r="T620" s="684"/>
      <c r="U620" s="30" t="s">
        <v>8</v>
      </c>
      <c r="V620" s="185"/>
    </row>
    <row r="621" spans="1:22" ht="18" hidden="1" customHeight="1">
      <c r="A621" s="96"/>
      <c r="B621" s="14"/>
      <c r="C621" s="14"/>
      <c r="D621" s="235"/>
      <c r="E621" s="14"/>
      <c r="F621" s="28"/>
      <c r="G621" s="249"/>
      <c r="H621" s="28"/>
      <c r="I621" s="251"/>
      <c r="J621" s="14"/>
      <c r="K621" s="280"/>
      <c r="M621" s="47"/>
      <c r="N621" s="268"/>
      <c r="P621" s="281"/>
      <c r="R621" s="234"/>
      <c r="S621" s="1148"/>
      <c r="T621" s="723"/>
      <c r="V621" s="185"/>
    </row>
    <row r="622" spans="1:22" ht="18" hidden="1" customHeight="1">
      <c r="A622" s="272" t="s">
        <v>693</v>
      </c>
      <c r="B622" s="14"/>
      <c r="C622" s="14"/>
      <c r="D622" s="14"/>
      <c r="E622" s="14"/>
      <c r="F622" s="14"/>
      <c r="G622" s="14"/>
      <c r="H622" s="28">
        <v>3</v>
      </c>
      <c r="I622" s="47" t="s">
        <v>694</v>
      </c>
      <c r="J622" s="14"/>
      <c r="K622" s="14"/>
      <c r="M622" s="14" t="s">
        <v>337</v>
      </c>
      <c r="N622" s="14"/>
      <c r="P622" s="120"/>
      <c r="R622" s="234"/>
      <c r="S622" s="1149"/>
      <c r="T622" s="723"/>
      <c r="V622" s="185"/>
    </row>
    <row r="623" spans="1:22" ht="18" hidden="1" customHeight="1">
      <c r="A623" s="272"/>
      <c r="B623" s="14"/>
      <c r="C623" s="14"/>
      <c r="D623" s="14"/>
      <c r="E623" s="14"/>
      <c r="F623" s="14"/>
      <c r="G623" s="14"/>
      <c r="H623" s="28"/>
      <c r="I623" s="47"/>
      <c r="J623" s="14"/>
      <c r="K623" s="14"/>
      <c r="M623" s="14"/>
      <c r="N623" s="14"/>
      <c r="P623" s="120"/>
      <c r="R623" s="234"/>
      <c r="S623" s="282"/>
      <c r="V623" s="185"/>
    </row>
    <row r="624" spans="1:22" ht="18" hidden="1" customHeight="1">
      <c r="A624" s="277"/>
      <c r="B624" s="689" t="s">
        <v>703</v>
      </c>
      <c r="C624" s="1150" t="s">
        <v>652</v>
      </c>
      <c r="D624" s="279"/>
      <c r="E624" s="279"/>
      <c r="F624" s="279"/>
      <c r="G624" s="802">
        <f>H622</f>
        <v>3</v>
      </c>
      <c r="H624" s="1151" t="s">
        <v>315</v>
      </c>
      <c r="I624" s="829">
        <f>S618</f>
        <v>6998.1850810863734</v>
      </c>
      <c r="J624" s="1152"/>
      <c r="K624" s="1152"/>
      <c r="L624" s="1152"/>
      <c r="M624" s="1152"/>
      <c r="N624" s="689" t="s">
        <v>672</v>
      </c>
      <c r="O624" s="708">
        <f>S615</f>
        <v>10</v>
      </c>
      <c r="P624" s="689" t="s">
        <v>347</v>
      </c>
      <c r="Q624" s="829">
        <f>S616</f>
        <v>1.3565261800000001</v>
      </c>
      <c r="R624" s="708" t="s">
        <v>674</v>
      </c>
      <c r="S624" s="708">
        <f>S617</f>
        <v>1</v>
      </c>
      <c r="T624" s="14"/>
      <c r="U624" s="729" t="s">
        <v>653</v>
      </c>
      <c r="V624" s="185"/>
    </row>
    <row r="625" spans="1:22" ht="18" hidden="1" customHeight="1">
      <c r="A625" s="277"/>
      <c r="B625" s="689"/>
      <c r="C625" s="689"/>
      <c r="D625" s="279"/>
      <c r="E625" s="279"/>
      <c r="F625" s="279"/>
      <c r="G625" s="802"/>
      <c r="H625" s="684"/>
      <c r="I625" s="689">
        <v>1.3</v>
      </c>
      <c r="J625" s="684"/>
      <c r="K625" s="28" t="s">
        <v>315</v>
      </c>
      <c r="L625" s="689">
        <f>S614</f>
        <v>3000</v>
      </c>
      <c r="M625" s="684"/>
      <c r="N625" s="689"/>
      <c r="O625" s="689"/>
      <c r="P625" s="689"/>
      <c r="Q625" s="689"/>
      <c r="R625" s="689"/>
      <c r="S625" s="689"/>
      <c r="T625" s="14"/>
      <c r="U625" s="689"/>
      <c r="V625" s="185"/>
    </row>
    <row r="626" spans="1:22" ht="18" hidden="1" customHeight="1">
      <c r="A626" s="96"/>
      <c r="B626" s="14"/>
      <c r="C626" s="27" t="s">
        <v>127</v>
      </c>
      <c r="D626" s="812">
        <f>G624*(I624/(I625*L625)*(O624+Q624)*S624)</f>
        <v>61.134670835263712</v>
      </c>
      <c r="E626" s="813"/>
      <c r="F626" s="30" t="s">
        <v>305</v>
      </c>
      <c r="G626" s="14"/>
      <c r="H626" s="14"/>
      <c r="I626" s="14"/>
      <c r="J626" s="14"/>
      <c r="K626" s="14"/>
      <c r="L626" s="14"/>
      <c r="M626" s="14"/>
      <c r="N626" s="14"/>
      <c r="R626" s="234"/>
      <c r="S626" s="204"/>
      <c r="V626" s="185"/>
    </row>
    <row r="627" spans="1:22" ht="18" hidden="1" customHeight="1">
      <c r="A627" s="96"/>
      <c r="B627" s="14"/>
      <c r="G627" s="14"/>
      <c r="H627" s="14"/>
      <c r="I627" s="14"/>
      <c r="J627" s="14"/>
      <c r="K627" s="14"/>
      <c r="L627" s="14"/>
      <c r="M627" s="14"/>
      <c r="N627" s="14"/>
      <c r="R627" s="234"/>
      <c r="S627" s="204"/>
      <c r="V627" s="185"/>
    </row>
    <row r="628" spans="1:22" ht="18" hidden="1" customHeight="1">
      <c r="A628" s="96"/>
      <c r="B628" s="14"/>
      <c r="D628" s="30" t="s">
        <v>475</v>
      </c>
      <c r="G628" s="27" t="str">
        <f>IF(E629&gt;H629,"&gt;","&lt;")</f>
        <v>&gt;</v>
      </c>
      <c r="H628" s="30" t="s">
        <v>477</v>
      </c>
      <c r="M628" s="14"/>
      <c r="N628" s="14"/>
      <c r="R628" s="234"/>
      <c r="S628" s="204"/>
      <c r="V628" s="185"/>
    </row>
    <row r="629" spans="1:22" ht="18" hidden="1" customHeight="1">
      <c r="A629" s="96"/>
      <c r="B629" s="14"/>
      <c r="E629" s="684">
        <f>L571</f>
        <v>800</v>
      </c>
      <c r="F629" s="684"/>
      <c r="G629" s="27" t="str">
        <f>G628</f>
        <v>&gt;</v>
      </c>
      <c r="H629" s="795">
        <f>D626</f>
        <v>61.134670835263712</v>
      </c>
      <c r="I629" s="684"/>
      <c r="M629" s="14"/>
      <c r="N629" s="14"/>
      <c r="R629" s="234"/>
      <c r="S629" s="204"/>
      <c r="V629" s="185"/>
    </row>
    <row r="630" spans="1:22" ht="18" hidden="1" customHeight="1">
      <c r="A630" s="96"/>
      <c r="B630" s="14"/>
      <c r="F630" s="244" t="s">
        <v>478</v>
      </c>
      <c r="H630" s="18" t="str">
        <f>IF(G628="&gt;","Suitably Dimentioned","Under Dimentioned")</f>
        <v>Suitably Dimentioned</v>
      </c>
      <c r="M630" s="14"/>
      <c r="N630" s="14"/>
      <c r="R630" s="234"/>
      <c r="S630" s="204"/>
      <c r="V630" s="185"/>
    </row>
    <row r="631" spans="1:22" ht="18" hidden="1" customHeight="1">
      <c r="A631" s="96"/>
      <c r="B631" s="14"/>
      <c r="G631" s="14"/>
      <c r="H631" s="14"/>
      <c r="I631" s="14"/>
      <c r="J631" s="14"/>
      <c r="K631" s="14"/>
      <c r="L631" s="14"/>
      <c r="M631" s="14"/>
      <c r="N631" s="14"/>
      <c r="R631" s="234"/>
      <c r="S631" s="204"/>
      <c r="V631" s="185"/>
    </row>
    <row r="632" spans="1:22" ht="18" hidden="1" customHeight="1">
      <c r="A632" s="193" t="s">
        <v>695</v>
      </c>
      <c r="B632" s="14"/>
      <c r="G632" s="14"/>
      <c r="H632" s="14"/>
      <c r="I632" s="14"/>
      <c r="J632" s="14"/>
      <c r="K632" s="14"/>
      <c r="L632" s="14"/>
      <c r="M632" s="14"/>
      <c r="N632" s="14"/>
      <c r="R632" s="234"/>
      <c r="S632" s="204"/>
      <c r="V632" s="185"/>
    </row>
    <row r="633" spans="1:22" ht="18" hidden="1" customHeight="1">
      <c r="A633" s="96"/>
      <c r="B633" s="14"/>
      <c r="D633" s="802" t="s">
        <v>696</v>
      </c>
      <c r="E633" s="716"/>
      <c r="F633" s="689" t="s">
        <v>127</v>
      </c>
      <c r="G633" s="708" t="s">
        <v>423</v>
      </c>
      <c r="H633" s="1147"/>
      <c r="I633" s="689" t="s">
        <v>315</v>
      </c>
      <c r="J633" s="708" t="s">
        <v>697</v>
      </c>
      <c r="K633" s="1147"/>
      <c r="L633" s="14"/>
      <c r="M633" s="14"/>
      <c r="N633" s="14"/>
      <c r="R633" s="234"/>
      <c r="S633" s="204"/>
      <c r="V633" s="185"/>
    </row>
    <row r="634" spans="1:22" ht="18" hidden="1" customHeight="1">
      <c r="A634" s="96"/>
      <c r="B634" s="14"/>
      <c r="D634" s="716"/>
      <c r="E634" s="716"/>
      <c r="F634" s="689"/>
      <c r="G634" s="689" t="s">
        <v>680</v>
      </c>
      <c r="H634" s="716"/>
      <c r="I634" s="689"/>
      <c r="J634" s="689" t="s">
        <v>411</v>
      </c>
      <c r="K634" s="716"/>
      <c r="L634" s="14"/>
      <c r="M634" s="14"/>
      <c r="N634" s="14"/>
      <c r="R634" s="234"/>
      <c r="S634" s="204"/>
      <c r="V634" s="185"/>
    </row>
    <row r="635" spans="1:22" ht="18" hidden="1" customHeight="1">
      <c r="A635" s="96"/>
      <c r="B635" s="14"/>
      <c r="D635" s="14"/>
      <c r="E635" s="14"/>
      <c r="F635" s="14"/>
      <c r="G635" s="14"/>
      <c r="H635" s="14"/>
      <c r="I635" s="14"/>
      <c r="J635" s="14"/>
      <c r="K635" s="14"/>
      <c r="L635" s="14"/>
      <c r="M635" s="14"/>
      <c r="N635" s="14"/>
      <c r="R635" s="234"/>
      <c r="S635" s="204"/>
      <c r="V635" s="185"/>
    </row>
    <row r="636" spans="1:22" ht="18" hidden="1" customHeight="1">
      <c r="A636" s="96"/>
      <c r="B636" s="14"/>
      <c r="D636" s="14"/>
      <c r="E636" s="14"/>
      <c r="F636" s="689" t="s">
        <v>127</v>
      </c>
      <c r="G636" s="708">
        <f>S614</f>
        <v>3000</v>
      </c>
      <c r="H636" s="1147"/>
      <c r="I636" s="689" t="s">
        <v>315</v>
      </c>
      <c r="J636" s="708">
        <f>S620</f>
        <v>1</v>
      </c>
      <c r="K636" s="1147"/>
      <c r="L636" s="14"/>
      <c r="M636" s="14"/>
      <c r="N636" s="14"/>
      <c r="R636" s="234"/>
      <c r="S636" s="204"/>
      <c r="V636" s="185"/>
    </row>
    <row r="637" spans="1:22" ht="18" hidden="1" customHeight="1">
      <c r="A637" s="96"/>
      <c r="B637" s="14"/>
      <c r="D637" s="14"/>
      <c r="E637" s="14"/>
      <c r="F637" s="689"/>
      <c r="G637" s="692">
        <f>J595</f>
        <v>437.38656756789834</v>
      </c>
      <c r="H637" s="716"/>
      <c r="I637" s="689"/>
      <c r="J637" s="689">
        <f>S617</f>
        <v>1</v>
      </c>
      <c r="K637" s="716"/>
      <c r="L637" s="14"/>
      <c r="M637" s="14"/>
      <c r="N637" s="14"/>
      <c r="R637" s="234"/>
      <c r="S637" s="204"/>
      <c r="V637" s="185"/>
    </row>
    <row r="638" spans="1:22" ht="18" hidden="1" customHeight="1">
      <c r="A638" s="96"/>
      <c r="B638" s="14"/>
      <c r="D638" s="14"/>
      <c r="E638" s="14"/>
      <c r="F638" s="14"/>
      <c r="G638" s="14"/>
      <c r="H638" s="14"/>
      <c r="I638" s="14"/>
      <c r="J638" s="14"/>
      <c r="K638" s="14"/>
      <c r="L638" s="14"/>
      <c r="M638" s="14"/>
      <c r="N638" s="14"/>
      <c r="R638" s="234"/>
      <c r="S638" s="204"/>
      <c r="V638" s="185"/>
    </row>
    <row r="639" spans="1:22" ht="18" hidden="1" customHeight="1">
      <c r="A639" s="96"/>
      <c r="B639" s="14"/>
      <c r="D639" s="14"/>
      <c r="E639" s="14"/>
      <c r="F639" s="28" t="s">
        <v>127</v>
      </c>
      <c r="G639" s="689">
        <f>(G636/G637)*(J636/J637)</f>
        <v>6.8589211979727533</v>
      </c>
      <c r="H639" s="689"/>
      <c r="I639" s="14"/>
      <c r="J639" s="14"/>
      <c r="K639" s="14"/>
      <c r="L639" s="14"/>
      <c r="M639" s="14"/>
      <c r="N639" s="14"/>
      <c r="R639" s="234"/>
      <c r="S639" s="204"/>
      <c r="V639" s="185"/>
    </row>
    <row r="640" spans="1:22" ht="18" hidden="1" customHeight="1">
      <c r="A640" s="96"/>
      <c r="B640" s="14"/>
      <c r="G640" s="14"/>
      <c r="H640" s="14"/>
      <c r="I640" s="14"/>
      <c r="J640" s="14"/>
      <c r="K640" s="14"/>
      <c r="L640" s="14"/>
      <c r="M640" s="14"/>
      <c r="N640" s="14"/>
      <c r="R640" s="234"/>
      <c r="S640" s="204"/>
      <c r="V640" s="185"/>
    </row>
    <row r="641" spans="1:22" s="14" customFormat="1" ht="18" hidden="1" customHeight="1">
      <c r="A641" s="96"/>
      <c r="C641" s="30"/>
      <c r="D641" s="283" t="s">
        <v>698</v>
      </c>
      <c r="E641" s="284" t="s">
        <v>699</v>
      </c>
      <c r="F641" s="689" t="s">
        <v>696</v>
      </c>
      <c r="G641" s="716"/>
      <c r="H641" s="716"/>
      <c r="I641" s="284" t="s">
        <v>699</v>
      </c>
      <c r="J641" s="28">
        <v>4</v>
      </c>
      <c r="K641" s="30"/>
      <c r="L641" s="279"/>
      <c r="M641" s="120" t="s">
        <v>700</v>
      </c>
      <c r="N641" s="47" t="s">
        <v>701</v>
      </c>
      <c r="O641" s="279"/>
      <c r="P641" s="236"/>
      <c r="Q641" s="236"/>
      <c r="R641" s="234"/>
      <c r="S641" s="204"/>
      <c r="T641" s="30"/>
      <c r="U641" s="30"/>
      <c r="V641" s="185"/>
    </row>
    <row r="642" spans="1:22" ht="18" hidden="1" customHeight="1">
      <c r="A642" s="96"/>
      <c r="B642" s="14"/>
      <c r="D642" s="218">
        <v>0.25</v>
      </c>
      <c r="E642" s="284" t="str">
        <f>IF(D642&lt;=G639,"≤","&gt;")</f>
        <v>≤</v>
      </c>
      <c r="F642" s="688">
        <f>G639</f>
        <v>6.8589211979727533</v>
      </c>
      <c r="G642" s="1145"/>
      <c r="H642" s="688"/>
      <c r="I642" s="284" t="str">
        <f>IF(G639&lt;=J641,"≤","&gt;")</f>
        <v>&gt;</v>
      </c>
      <c r="J642" s="28">
        <f>J641</f>
        <v>4</v>
      </c>
      <c r="L642" s="279"/>
      <c r="M642" s="120"/>
      <c r="N642" s="213"/>
      <c r="O642" s="279"/>
      <c r="P642" s="236"/>
      <c r="Q642" s="236"/>
      <c r="R642" s="234"/>
      <c r="S642" s="204"/>
      <c r="V642" s="185"/>
    </row>
    <row r="643" spans="1:22" ht="18" hidden="1" customHeight="1">
      <c r="A643" s="96"/>
      <c r="B643" s="14"/>
      <c r="G643" s="14"/>
      <c r="H643" s="14"/>
      <c r="I643" s="14"/>
      <c r="J643" s="14"/>
      <c r="K643" s="14"/>
      <c r="L643" s="14"/>
      <c r="M643" s="14"/>
      <c r="N643" s="14"/>
      <c r="R643" s="234"/>
      <c r="S643" s="204"/>
      <c r="V643" s="185"/>
    </row>
    <row r="644" spans="1:22" ht="18" hidden="1" customHeight="1">
      <c r="A644" s="96"/>
      <c r="B644" s="14" t="s">
        <v>702</v>
      </c>
      <c r="G644" s="14"/>
      <c r="H644" s="18" t="str">
        <f>IF(AND(E642="≤",I642="≤")=TRUE,"OK","Not OK")</f>
        <v>Not OK</v>
      </c>
      <c r="I644" s="14"/>
      <c r="J644" s="14"/>
      <c r="K644" s="14"/>
      <c r="L644" s="14"/>
      <c r="M644" s="14"/>
      <c r="N644" s="14"/>
      <c r="R644" s="234"/>
      <c r="S644" s="204"/>
      <c r="V644" s="185"/>
    </row>
    <row r="645" spans="1:22" ht="18" hidden="1" customHeight="1">
      <c r="A645" s="96"/>
      <c r="B645" s="14"/>
      <c r="G645" s="14"/>
      <c r="H645" s="18"/>
      <c r="I645" s="14"/>
      <c r="J645" s="14"/>
      <c r="K645" s="14"/>
      <c r="L645" s="14"/>
      <c r="M645" s="14"/>
      <c r="N645" s="14"/>
      <c r="R645" s="234"/>
      <c r="S645" s="204"/>
      <c r="V645" s="185"/>
    </row>
    <row r="646" spans="1:22" ht="18" hidden="1" customHeight="1">
      <c r="A646" s="96"/>
      <c r="B646" s="14"/>
      <c r="G646" s="14"/>
      <c r="H646" s="18"/>
      <c r="I646" s="14"/>
      <c r="J646" s="14"/>
      <c r="K646" s="14"/>
      <c r="L646" s="14"/>
      <c r="M646" s="14"/>
      <c r="N646" s="14"/>
      <c r="R646" s="234"/>
      <c r="S646" s="204"/>
      <c r="V646" s="185"/>
    </row>
    <row r="647" spans="1:22" ht="18" hidden="1" customHeight="1">
      <c r="A647" s="96"/>
      <c r="B647" s="14"/>
      <c r="G647" s="14"/>
      <c r="H647" s="18"/>
      <c r="I647" s="14"/>
      <c r="J647" s="14"/>
      <c r="K647" s="14"/>
      <c r="L647" s="14"/>
      <c r="M647" s="14"/>
      <c r="N647" s="14"/>
      <c r="R647" s="234"/>
      <c r="S647" s="204"/>
      <c r="V647" s="185"/>
    </row>
    <row r="648" spans="1:22" ht="18" hidden="1" customHeight="1">
      <c r="A648" s="96"/>
      <c r="B648" s="14"/>
      <c r="G648" s="14"/>
      <c r="H648" s="18"/>
      <c r="I648" s="14"/>
      <c r="J648" s="14"/>
      <c r="K648" s="14"/>
      <c r="L648" s="14"/>
      <c r="M648" s="14"/>
      <c r="N648" s="14"/>
      <c r="R648" s="234"/>
      <c r="S648" s="204"/>
      <c r="V648" s="185"/>
    </row>
    <row r="649" spans="1:22" ht="18" hidden="1" customHeight="1">
      <c r="A649" s="96"/>
      <c r="B649" s="14"/>
      <c r="G649" s="14"/>
      <c r="H649" s="18"/>
      <c r="I649" s="14"/>
      <c r="J649" s="14"/>
      <c r="K649" s="14"/>
      <c r="L649" s="14"/>
      <c r="M649" s="14"/>
      <c r="N649" s="14"/>
      <c r="R649" s="234"/>
      <c r="S649" s="204"/>
      <c r="V649" s="185"/>
    </row>
    <row r="650" spans="1:22" ht="18" hidden="1" customHeight="1">
      <c r="A650" s="96"/>
      <c r="B650" s="14"/>
      <c r="G650" s="14"/>
      <c r="H650" s="14"/>
      <c r="I650" s="14"/>
      <c r="J650" s="14"/>
      <c r="K650" s="14"/>
      <c r="L650" s="14"/>
      <c r="M650" s="14"/>
      <c r="N650" s="14"/>
      <c r="R650" s="234"/>
      <c r="S650" s="204"/>
      <c r="V650" s="185"/>
    </row>
    <row r="651" spans="1:22" ht="18" hidden="1" customHeight="1">
      <c r="A651" s="194"/>
      <c r="B651" s="195"/>
      <c r="C651" s="195"/>
      <c r="D651" s="195"/>
      <c r="E651" s="195"/>
      <c r="F651" s="195"/>
      <c r="G651" s="195"/>
      <c r="H651" s="195"/>
      <c r="I651" s="195"/>
      <c r="J651" s="195"/>
      <c r="K651" s="195"/>
      <c r="L651" s="195"/>
      <c r="M651" s="195"/>
      <c r="N651" s="195"/>
      <c r="O651" s="195"/>
      <c r="P651" s="195"/>
      <c r="Q651" s="224"/>
      <c r="R651" s="182"/>
      <c r="S651" s="225"/>
      <c r="T651" s="195"/>
      <c r="U651" s="195"/>
      <c r="V651" s="134" t="s">
        <v>552</v>
      </c>
    </row>
    <row r="652" spans="1:22" ht="18" hidden="1" customHeight="1">
      <c r="A652" s="226"/>
      <c r="B652" s="227"/>
      <c r="C652" s="227"/>
      <c r="D652" s="227"/>
      <c r="E652" s="227"/>
      <c r="F652" s="227"/>
      <c r="G652" s="227"/>
      <c r="H652" s="227"/>
      <c r="I652" s="227"/>
      <c r="J652" s="227"/>
      <c r="K652" s="227"/>
      <c r="L652" s="227"/>
      <c r="M652" s="227"/>
      <c r="N652" s="227"/>
      <c r="O652" s="227"/>
      <c r="P652" s="227"/>
      <c r="Q652" s="227"/>
      <c r="R652" s="227"/>
      <c r="S652" s="227"/>
      <c r="T652" s="227"/>
      <c r="U652" s="227"/>
      <c r="V652" s="228"/>
    </row>
    <row r="653" spans="1:22" ht="18" hidden="1" customHeight="1">
      <c r="A653" s="262" t="s">
        <v>532</v>
      </c>
      <c r="B653" s="14"/>
      <c r="C653" s="14"/>
      <c r="D653" s="120"/>
      <c r="E653" s="120"/>
      <c r="F653" s="18"/>
      <c r="G653" s="18"/>
      <c r="H653" s="14"/>
      <c r="I653" s="14"/>
      <c r="J653" s="14"/>
      <c r="K653" s="14"/>
      <c r="L653" s="14"/>
      <c r="M653" s="14"/>
      <c r="N653" s="14"/>
      <c r="O653" s="14"/>
      <c r="P653" s="28"/>
      <c r="Q653" s="120"/>
      <c r="R653" s="47"/>
      <c r="S653" s="206"/>
      <c r="T653" s="259"/>
      <c r="U653" s="14"/>
      <c r="V653" s="97"/>
    </row>
    <row r="654" spans="1:22" ht="18" hidden="1" customHeight="1">
      <c r="A654" s="955" t="s">
        <v>85</v>
      </c>
      <c r="B654" s="956"/>
      <c r="C654" s="1132"/>
      <c r="D654" s="955" t="s">
        <v>86</v>
      </c>
      <c r="E654" s="1146"/>
      <c r="F654" s="1146"/>
      <c r="G654" s="1132"/>
      <c r="H654" s="955" t="s">
        <v>87</v>
      </c>
      <c r="I654" s="957"/>
      <c r="J654" s="955" t="s">
        <v>88</v>
      </c>
      <c r="K654" s="1132"/>
      <c r="L654" s="955" t="s">
        <v>502</v>
      </c>
      <c r="M654" s="956"/>
      <c r="N654" s="957" t="s">
        <v>556</v>
      </c>
      <c r="O654" s="955" t="s">
        <v>557</v>
      </c>
      <c r="P654" s="956"/>
      <c r="Q654" s="1132"/>
      <c r="R654" s="955" t="s">
        <v>558</v>
      </c>
      <c r="S654" s="1135"/>
      <c r="T654" s="1133"/>
      <c r="U654" s="955" t="s">
        <v>505</v>
      </c>
      <c r="V654" s="1139"/>
    </row>
    <row r="655" spans="1:22" ht="18" hidden="1" customHeight="1">
      <c r="A655" s="1125"/>
      <c r="B655" s="983"/>
      <c r="C655" s="1133"/>
      <c r="D655" s="1136"/>
      <c r="E655" s="1135"/>
      <c r="F655" s="1135"/>
      <c r="G655" s="1133"/>
      <c r="H655" s="1125"/>
      <c r="I655" s="1126"/>
      <c r="J655" s="1136"/>
      <c r="K655" s="1133"/>
      <c r="L655" s="1125"/>
      <c r="M655" s="983"/>
      <c r="N655" s="1126"/>
      <c r="O655" s="1125"/>
      <c r="P655" s="983"/>
      <c r="Q655" s="1133"/>
      <c r="R655" s="1136"/>
      <c r="S655" s="1135"/>
      <c r="T655" s="1133"/>
      <c r="U655" s="1140"/>
      <c r="V655" s="1141"/>
    </row>
    <row r="656" spans="1:22" ht="18" hidden="1" customHeight="1">
      <c r="A656" s="1047"/>
      <c r="B656" s="1048"/>
      <c r="C656" s="1134"/>
      <c r="D656" s="1137"/>
      <c r="E656" s="1138"/>
      <c r="F656" s="1138"/>
      <c r="G656" s="1134"/>
      <c r="H656" s="1047"/>
      <c r="I656" s="1049"/>
      <c r="J656" s="1137"/>
      <c r="K656" s="1134"/>
      <c r="L656" s="1047"/>
      <c r="M656" s="1048"/>
      <c r="N656" s="1049"/>
      <c r="O656" s="1047"/>
      <c r="P656" s="1048"/>
      <c r="Q656" s="1134"/>
      <c r="R656" s="1137"/>
      <c r="S656" s="1138"/>
      <c r="T656" s="1134"/>
      <c r="U656" s="1142"/>
      <c r="V656" s="1143"/>
    </row>
    <row r="657" spans="1:22" ht="18" hidden="1" customHeight="1">
      <c r="A657" s="765" t="str">
        <f>B565</f>
        <v>CT1L1</v>
      </c>
      <c r="B657" s="1144" t="str">
        <f>B566</f>
        <v>CT1L2</v>
      </c>
      <c r="C657" s="871" t="str">
        <f>D565</f>
        <v>Core3</v>
      </c>
      <c r="D657" s="871">
        <f>H480</f>
        <v>5000</v>
      </c>
      <c r="E657" s="871">
        <f>J480</f>
        <v>4000</v>
      </c>
      <c r="F657" s="871">
        <f>L568</f>
        <v>3000</v>
      </c>
      <c r="G657" s="871">
        <f>O480</f>
        <v>1</v>
      </c>
      <c r="H657" s="871">
        <f>'[3]CT-VT Burdens'!S19</f>
        <v>100</v>
      </c>
      <c r="I657" s="1036">
        <f>'[3]CT-VT Burdens'!S10</f>
        <v>4</v>
      </c>
      <c r="J657" s="869" t="str">
        <f>J481</f>
        <v>PX</v>
      </c>
      <c r="K657" s="869"/>
      <c r="L657" s="871">
        <f>H399</f>
        <v>20</v>
      </c>
      <c r="M657" s="871">
        <f>J482</f>
        <v>15</v>
      </c>
      <c r="N657" s="871">
        <f>L570</f>
        <v>10</v>
      </c>
      <c r="O657" s="871">
        <f>H400</f>
        <v>1000</v>
      </c>
      <c r="P657" s="871">
        <f>J483</f>
        <v>800</v>
      </c>
      <c r="Q657" s="871">
        <f>L571</f>
        <v>800</v>
      </c>
      <c r="R657" s="871">
        <f>H401</f>
        <v>20</v>
      </c>
      <c r="S657" s="871">
        <f>J484</f>
        <v>40</v>
      </c>
      <c r="T657" s="871">
        <f>L572</f>
        <v>50</v>
      </c>
      <c r="U657" s="775" t="str">
        <f>D488</f>
        <v>7UT85</v>
      </c>
      <c r="V657" s="776"/>
    </row>
    <row r="658" spans="1:22" ht="18" hidden="1" customHeight="1">
      <c r="A658" s="765" t="str">
        <f>B566</f>
        <v>CT1L2</v>
      </c>
      <c r="B658" s="1144">
        <f>A567</f>
        <v>0</v>
      </c>
      <c r="C658" s="1130"/>
      <c r="D658" s="1130"/>
      <c r="E658" s="1130"/>
      <c r="F658" s="1130"/>
      <c r="G658" s="1130"/>
      <c r="H658" s="1130"/>
      <c r="I658" s="1130"/>
      <c r="J658" s="1129"/>
      <c r="K658" s="1129"/>
      <c r="L658" s="1130"/>
      <c r="M658" s="1130"/>
      <c r="N658" s="1130"/>
      <c r="O658" s="1130"/>
      <c r="P658" s="1130"/>
      <c r="Q658" s="1130"/>
      <c r="R658" s="1130"/>
      <c r="S658" s="1130"/>
      <c r="T658" s="1130"/>
      <c r="U658" s="775"/>
      <c r="V658" s="776"/>
    </row>
    <row r="659" spans="1:22" ht="18" hidden="1" customHeight="1">
      <c r="A659" s="765">
        <f>A567</f>
        <v>0</v>
      </c>
      <c r="B659" s="1144" t="str">
        <f>B568</f>
        <v>CT Ratio:</v>
      </c>
      <c r="C659" s="1131"/>
      <c r="D659" s="1131"/>
      <c r="E659" s="1131"/>
      <c r="F659" s="1131"/>
      <c r="G659" s="1131"/>
      <c r="H659" s="1131"/>
      <c r="I659" s="1131"/>
      <c r="J659" s="1129"/>
      <c r="K659" s="1129"/>
      <c r="L659" s="1131"/>
      <c r="M659" s="1131"/>
      <c r="N659" s="1131"/>
      <c r="O659" s="1131"/>
      <c r="P659" s="1131"/>
      <c r="Q659" s="1131"/>
      <c r="R659" s="1131"/>
      <c r="S659" s="1131"/>
      <c r="T659" s="1131"/>
      <c r="U659" s="775"/>
      <c r="V659" s="776"/>
    </row>
    <row r="660" spans="1:22" ht="18" hidden="1" customHeight="1">
      <c r="A660" s="184"/>
      <c r="V660" s="185"/>
    </row>
    <row r="661" spans="1:22" ht="18" hidden="1" customHeight="1">
      <c r="A661" s="184"/>
      <c r="V661" s="185"/>
    </row>
    <row r="662" spans="1:22" ht="18" hidden="1" customHeight="1">
      <c r="A662" s="184"/>
      <c r="V662" s="185"/>
    </row>
    <row r="663" spans="1:22" ht="18" hidden="1" customHeight="1">
      <c r="A663" s="184"/>
      <c r="V663" s="185"/>
    </row>
    <row r="664" spans="1:22" ht="18" hidden="1" customHeight="1">
      <c r="A664" s="184"/>
      <c r="V664" s="185"/>
    </row>
    <row r="665" spans="1:22" ht="18" hidden="1" customHeight="1">
      <c r="A665" s="184"/>
      <c r="V665" s="185"/>
    </row>
    <row r="666" spans="1:22" ht="18" hidden="1" customHeight="1">
      <c r="A666" s="184"/>
      <c r="V666" s="185"/>
    </row>
    <row r="667" spans="1:22" ht="18" hidden="1" customHeight="1">
      <c r="A667" s="184"/>
      <c r="V667" s="185"/>
    </row>
    <row r="668" spans="1:22" ht="18" hidden="1" customHeight="1">
      <c r="A668" s="184"/>
      <c r="V668" s="185"/>
    </row>
    <row r="669" spans="1:22" ht="18" hidden="1" customHeight="1">
      <c r="A669" s="184"/>
      <c r="V669" s="185"/>
    </row>
    <row r="670" spans="1:22" ht="18" hidden="1" customHeight="1">
      <c r="A670" s="184"/>
      <c r="V670" s="185"/>
    </row>
    <row r="671" spans="1:22" ht="18" hidden="1" customHeight="1">
      <c r="A671" s="184"/>
      <c r="V671" s="185"/>
    </row>
    <row r="672" spans="1:22" ht="18" hidden="1" customHeight="1">
      <c r="A672" s="184"/>
      <c r="V672" s="185"/>
    </row>
    <row r="673" spans="1:22" ht="18" hidden="1" customHeight="1">
      <c r="A673" s="184"/>
      <c r="V673" s="185"/>
    </row>
    <row r="674" spans="1:22" ht="18" hidden="1" customHeight="1">
      <c r="A674" s="184"/>
      <c r="V674" s="185"/>
    </row>
    <row r="675" spans="1:22" ht="18" hidden="1" customHeight="1">
      <c r="A675" s="184"/>
      <c r="V675" s="185"/>
    </row>
    <row r="676" spans="1:22" ht="18" hidden="1" customHeight="1">
      <c r="A676" s="184"/>
      <c r="V676" s="185"/>
    </row>
    <row r="677" spans="1:22" ht="18" hidden="1" customHeight="1">
      <c r="A677" s="184"/>
      <c r="V677" s="185"/>
    </row>
    <row r="678" spans="1:22" ht="18" hidden="1" customHeight="1">
      <c r="A678" s="184"/>
      <c r="V678" s="185"/>
    </row>
    <row r="679" spans="1:22" ht="18" hidden="1" customHeight="1">
      <c r="A679" s="184"/>
      <c r="V679" s="185"/>
    </row>
    <row r="680" spans="1:22" ht="18" hidden="1" customHeight="1">
      <c r="A680" s="184"/>
      <c r="V680" s="185"/>
    </row>
    <row r="681" spans="1:22" ht="18" hidden="1" customHeight="1">
      <c r="A681" s="184"/>
      <c r="V681" s="185"/>
    </row>
    <row r="682" spans="1:22" ht="18" hidden="1" customHeight="1">
      <c r="A682" s="184"/>
      <c r="V682" s="185"/>
    </row>
    <row r="683" spans="1:22" ht="18" hidden="1" customHeight="1">
      <c r="A683" s="184"/>
      <c r="V683" s="185"/>
    </row>
    <row r="684" spans="1:22" ht="18" hidden="1" customHeight="1">
      <c r="A684" s="184"/>
      <c r="V684" s="185"/>
    </row>
    <row r="685" spans="1:22" ht="18" hidden="1" customHeight="1">
      <c r="A685" s="184"/>
      <c r="V685" s="185"/>
    </row>
    <row r="686" spans="1:22" ht="18" hidden="1" customHeight="1">
      <c r="A686" s="184"/>
      <c r="V686" s="185"/>
    </row>
    <row r="687" spans="1:22" ht="18" hidden="1" customHeight="1">
      <c r="A687" s="184"/>
      <c r="V687" s="185"/>
    </row>
    <row r="688" spans="1:22" ht="18" hidden="1" customHeight="1">
      <c r="A688" s="184"/>
      <c r="V688" s="185"/>
    </row>
    <row r="689" spans="1:22" ht="18" hidden="1" customHeight="1">
      <c r="A689" s="184"/>
      <c r="V689" s="185"/>
    </row>
    <row r="690" spans="1:22" s="14" customFormat="1" ht="18" hidden="1" customHeight="1">
      <c r="A690" s="184"/>
      <c r="B690" s="30"/>
      <c r="C690" s="30"/>
      <c r="D690" s="30"/>
      <c r="E690" s="30"/>
      <c r="F690" s="30"/>
      <c r="G690" s="30"/>
      <c r="H690" s="30"/>
      <c r="I690" s="30"/>
      <c r="J690" s="30"/>
      <c r="K690" s="30"/>
      <c r="L690" s="30"/>
      <c r="M690" s="30"/>
      <c r="N690" s="30"/>
      <c r="O690" s="30"/>
      <c r="P690" s="30"/>
      <c r="Q690" s="30"/>
      <c r="R690" s="30"/>
      <c r="S690" s="30"/>
      <c r="T690" s="30"/>
      <c r="U690" s="30"/>
      <c r="V690" s="185"/>
    </row>
    <row r="691" spans="1:22" ht="18" hidden="1" customHeight="1">
      <c r="A691" s="184"/>
      <c r="V691" s="185"/>
    </row>
    <row r="692" spans="1:22" ht="18" hidden="1" customHeight="1">
      <c r="A692" s="184"/>
      <c r="V692" s="185"/>
    </row>
    <row r="693" spans="1:22" ht="18" hidden="1" customHeight="1">
      <c r="A693" s="184"/>
      <c r="V693" s="185"/>
    </row>
    <row r="694" spans="1:22" ht="18" hidden="1" customHeight="1">
      <c r="A694" s="184"/>
      <c r="V694" s="185"/>
    </row>
    <row r="695" spans="1:22" ht="18" hidden="1" customHeight="1">
      <c r="A695" s="194"/>
      <c r="B695" s="195"/>
      <c r="C695" s="195"/>
      <c r="D695" s="195"/>
      <c r="E695" s="195"/>
      <c r="F695" s="195"/>
      <c r="G695" s="195"/>
      <c r="H695" s="195"/>
      <c r="I695" s="195"/>
      <c r="J695" s="195"/>
      <c r="K695" s="195"/>
      <c r="L695" s="195"/>
      <c r="M695" s="195"/>
      <c r="N695" s="195"/>
      <c r="O695" s="195"/>
      <c r="P695" s="195"/>
      <c r="Q695" s="224"/>
      <c r="R695" s="182"/>
      <c r="S695" s="225"/>
      <c r="T695" s="195"/>
      <c r="U695" s="195"/>
      <c r="V695" s="134" t="s">
        <v>552</v>
      </c>
    </row>
    <row r="696" spans="1:22" ht="18" customHeight="1">
      <c r="A696" s="226"/>
      <c r="B696" s="227"/>
      <c r="C696" s="227"/>
      <c r="D696" s="227"/>
      <c r="E696" s="227"/>
      <c r="F696" s="227"/>
      <c r="G696" s="227"/>
      <c r="H696" s="227"/>
      <c r="I696" s="227"/>
      <c r="J696" s="227"/>
      <c r="K696" s="227"/>
      <c r="L696" s="227"/>
      <c r="M696" s="227"/>
      <c r="N696" s="227"/>
      <c r="O696" s="227"/>
      <c r="P696" s="227"/>
      <c r="Q696" s="227"/>
      <c r="R696" s="227"/>
      <c r="S696" s="227"/>
      <c r="T696" s="227"/>
      <c r="U696" s="227"/>
      <c r="V696" s="228"/>
    </row>
    <row r="697" spans="1:22" ht="18" customHeight="1">
      <c r="A697" s="262" t="s">
        <v>532</v>
      </c>
      <c r="B697" s="14"/>
      <c r="C697" s="14"/>
      <c r="D697" s="120"/>
      <c r="E697" s="120"/>
      <c r="F697" s="18"/>
      <c r="G697" s="18"/>
      <c r="H697" s="14"/>
      <c r="I697" s="14"/>
      <c r="J697" s="14"/>
      <c r="K697" s="14"/>
      <c r="L697" s="14"/>
      <c r="M697" s="14"/>
      <c r="N697" s="14"/>
      <c r="O697" s="14"/>
      <c r="P697" s="28"/>
      <c r="Q697" s="120"/>
      <c r="R697" s="47"/>
      <c r="S697" s="206"/>
      <c r="T697" s="259"/>
      <c r="U697" s="14"/>
      <c r="V697" s="97"/>
    </row>
    <row r="698" spans="1:22" ht="18" customHeight="1">
      <c r="A698" s="868" t="s">
        <v>85</v>
      </c>
      <c r="B698" s="868"/>
      <c r="C698" s="869"/>
      <c r="D698" s="868" t="s">
        <v>86</v>
      </c>
      <c r="E698" s="868"/>
      <c r="F698" s="868"/>
      <c r="G698" s="868" t="s">
        <v>87</v>
      </c>
      <c r="H698" s="868"/>
      <c r="I698" s="868" t="s">
        <v>88</v>
      </c>
      <c r="J698" s="868"/>
      <c r="K698" s="868" t="s">
        <v>502</v>
      </c>
      <c r="L698" s="868"/>
      <c r="M698" s="868" t="s">
        <v>503</v>
      </c>
      <c r="N698" s="868"/>
      <c r="O698" s="868" t="s">
        <v>504</v>
      </c>
      <c r="P698" s="868"/>
      <c r="Q698" s="868" t="s">
        <v>505</v>
      </c>
      <c r="R698" s="868"/>
      <c r="S698" s="868" t="s">
        <v>93</v>
      </c>
      <c r="T698" s="868"/>
      <c r="U698" s="868"/>
      <c r="V698" s="868"/>
    </row>
    <row r="699" spans="1:22" ht="18" customHeight="1">
      <c r="A699" s="868"/>
      <c r="B699" s="868"/>
      <c r="C699" s="869"/>
      <c r="D699" s="868"/>
      <c r="E699" s="868"/>
      <c r="F699" s="868"/>
      <c r="G699" s="868"/>
      <c r="H699" s="868"/>
      <c r="I699" s="868"/>
      <c r="J699" s="868"/>
      <c r="K699" s="868"/>
      <c r="L699" s="868"/>
      <c r="M699" s="868"/>
      <c r="N699" s="868"/>
      <c r="O699" s="868"/>
      <c r="P699" s="868"/>
      <c r="Q699" s="868"/>
      <c r="R699" s="868"/>
      <c r="S699" s="868"/>
      <c r="T699" s="868"/>
      <c r="U699" s="868"/>
      <c r="V699" s="868"/>
    </row>
    <row r="700" spans="1:22" ht="18" customHeight="1">
      <c r="A700" s="868"/>
      <c r="B700" s="868"/>
      <c r="C700" s="869"/>
      <c r="D700" s="868"/>
      <c r="E700" s="868"/>
      <c r="F700" s="868"/>
      <c r="G700" s="868"/>
      <c r="H700" s="868"/>
      <c r="I700" s="868"/>
      <c r="J700" s="868"/>
      <c r="K700" s="868"/>
      <c r="L700" s="868"/>
      <c r="M700" s="868"/>
      <c r="N700" s="868"/>
      <c r="O700" s="868"/>
      <c r="P700" s="868"/>
      <c r="Q700" s="868"/>
      <c r="R700" s="868"/>
      <c r="S700" s="868"/>
      <c r="T700" s="868"/>
      <c r="U700" s="868"/>
      <c r="V700" s="868"/>
    </row>
    <row r="701" spans="1:22" ht="18" customHeight="1">
      <c r="A701" s="868"/>
      <c r="B701" s="868"/>
      <c r="C701" s="869"/>
      <c r="D701" s="868"/>
      <c r="E701" s="868"/>
      <c r="F701" s="868"/>
      <c r="G701" s="868"/>
      <c r="H701" s="868"/>
      <c r="I701" s="868"/>
      <c r="J701" s="868"/>
      <c r="K701" s="868"/>
      <c r="L701" s="868"/>
      <c r="M701" s="868"/>
      <c r="N701" s="868"/>
      <c r="O701" s="868"/>
      <c r="P701" s="868"/>
      <c r="Q701" s="868"/>
      <c r="R701" s="868"/>
      <c r="S701" s="868"/>
      <c r="T701" s="868"/>
      <c r="U701" s="868"/>
      <c r="V701" s="868"/>
    </row>
    <row r="702" spans="1:22" ht="18" customHeight="1">
      <c r="A702" s="765" t="str">
        <f>B7</f>
        <v>T1</v>
      </c>
      <c r="B702" s="765" t="str">
        <f>D7</f>
        <v>Core2</v>
      </c>
      <c r="C702" s="765"/>
      <c r="D702" s="870">
        <f>H10</f>
        <v>2800</v>
      </c>
      <c r="E702" s="870"/>
      <c r="F702" s="871">
        <f>O10</f>
        <v>1</v>
      </c>
      <c r="G702" s="870">
        <f>'CT-VT Burdens'!S21</f>
        <v>120</v>
      </c>
      <c r="H702" s="874">
        <f>'CT-VT Burdens'!S10</f>
        <v>6</v>
      </c>
      <c r="I702" s="874" t="str">
        <f>H11</f>
        <v>PX</v>
      </c>
      <c r="J702" s="874"/>
      <c r="K702" s="869">
        <f>H12</f>
        <v>4</v>
      </c>
      <c r="L702" s="869"/>
      <c r="M702" s="869">
        <f>H13</f>
        <v>500</v>
      </c>
      <c r="N702" s="869"/>
      <c r="O702" s="870">
        <f>H14</f>
        <v>20</v>
      </c>
      <c r="P702" s="870"/>
      <c r="Q702" s="879" t="str">
        <f>CONCATENATE(T7," ",T8," ",T9," ",T10)</f>
        <v xml:space="preserve">7UT85 IDM+ REF615 </v>
      </c>
      <c r="R702" s="879"/>
      <c r="S702" s="876" t="str">
        <f>H95</f>
        <v>Suitably Dimensioned</v>
      </c>
      <c r="T702" s="870"/>
      <c r="U702" s="870"/>
      <c r="V702" s="870"/>
    </row>
    <row r="703" spans="1:22" ht="18" customHeight="1">
      <c r="A703" s="765"/>
      <c r="B703" s="765"/>
      <c r="C703" s="765"/>
      <c r="D703" s="870">
        <f>J134</f>
        <v>3200</v>
      </c>
      <c r="E703" s="870"/>
      <c r="F703" s="872"/>
      <c r="G703" s="870"/>
      <c r="H703" s="870"/>
      <c r="I703" s="874"/>
      <c r="J703" s="874"/>
      <c r="K703" s="875">
        <f>J136</f>
        <v>5</v>
      </c>
      <c r="L703" s="869"/>
      <c r="M703" s="875">
        <f>J137</f>
        <v>600</v>
      </c>
      <c r="N703" s="869"/>
      <c r="O703" s="876">
        <f>J138</f>
        <v>10</v>
      </c>
      <c r="P703" s="870"/>
      <c r="Q703" s="879"/>
      <c r="R703" s="879"/>
      <c r="S703" s="876" t="str">
        <f>H220</f>
        <v>Suitably Dimensioned</v>
      </c>
      <c r="T703" s="870"/>
      <c r="U703" s="870"/>
      <c r="V703" s="870"/>
    </row>
    <row r="704" spans="1:22" ht="18" customHeight="1">
      <c r="A704" s="765"/>
      <c r="B704" s="765"/>
      <c r="C704" s="765"/>
      <c r="D704" s="876" t="s">
        <v>6</v>
      </c>
      <c r="E704" s="870"/>
      <c r="F704" s="873"/>
      <c r="G704" s="870"/>
      <c r="H704" s="870"/>
      <c r="I704" s="874"/>
      <c r="J704" s="874"/>
      <c r="K704" s="875" t="s">
        <v>6</v>
      </c>
      <c r="L704" s="869"/>
      <c r="M704" s="875" t="s">
        <v>6</v>
      </c>
      <c r="N704" s="869"/>
      <c r="O704" s="876" t="s">
        <v>6</v>
      </c>
      <c r="P704" s="870"/>
      <c r="Q704" s="879"/>
      <c r="R704" s="879"/>
      <c r="S704" s="870" t="s">
        <v>6</v>
      </c>
      <c r="T704" s="870"/>
      <c r="U704" s="870"/>
      <c r="V704" s="870"/>
    </row>
    <row r="705" spans="1:22" ht="18" customHeight="1">
      <c r="A705" s="184"/>
      <c r="V705" s="185"/>
    </row>
    <row r="706" spans="1:22" ht="18" customHeight="1">
      <c r="A706" s="184"/>
      <c r="V706" s="185"/>
    </row>
    <row r="707" spans="1:22" ht="18" customHeight="1">
      <c r="A707" s="184"/>
      <c r="V707" s="185"/>
    </row>
    <row r="708" spans="1:22" ht="18" customHeight="1">
      <c r="A708" s="184"/>
      <c r="V708" s="185"/>
    </row>
    <row r="709" spans="1:22" ht="18" customHeight="1">
      <c r="A709" s="184"/>
      <c r="V709" s="185"/>
    </row>
    <row r="710" spans="1:22" ht="18" customHeight="1">
      <c r="A710" s="184"/>
      <c r="V710" s="185"/>
    </row>
    <row r="711" spans="1:22" ht="18" customHeight="1">
      <c r="A711" s="184"/>
      <c r="V711" s="185"/>
    </row>
    <row r="712" spans="1:22" ht="18" customHeight="1">
      <c r="A712" s="184"/>
      <c r="V712" s="185"/>
    </row>
    <row r="713" spans="1:22" ht="18" customHeight="1">
      <c r="A713" s="184"/>
      <c r="V713" s="185"/>
    </row>
    <row r="714" spans="1:22" ht="18" customHeight="1">
      <c r="A714" s="184"/>
      <c r="V714" s="185"/>
    </row>
    <row r="715" spans="1:22" ht="18" customHeight="1">
      <c r="A715" s="184"/>
      <c r="V715" s="185"/>
    </row>
    <row r="716" spans="1:22" ht="18" customHeight="1">
      <c r="A716" s="184"/>
      <c r="V716" s="185"/>
    </row>
    <row r="717" spans="1:22" ht="18" customHeight="1">
      <c r="A717" s="184"/>
      <c r="V717" s="185"/>
    </row>
    <row r="718" spans="1:22" ht="18" customHeight="1">
      <c r="A718" s="184"/>
      <c r="V718" s="185"/>
    </row>
    <row r="719" spans="1:22" ht="18" customHeight="1">
      <c r="A719" s="184"/>
      <c r="V719" s="185"/>
    </row>
    <row r="720" spans="1:22" ht="18" customHeight="1">
      <c r="A720" s="184"/>
      <c r="V720" s="185"/>
    </row>
    <row r="721" spans="1:22" ht="18" customHeight="1">
      <c r="A721" s="184"/>
      <c r="V721" s="185"/>
    </row>
    <row r="722" spans="1:22" ht="18" customHeight="1">
      <c r="A722" s="184"/>
      <c r="V722" s="185"/>
    </row>
    <row r="723" spans="1:22" ht="18" customHeight="1">
      <c r="A723" s="184"/>
      <c r="V723" s="185"/>
    </row>
    <row r="724" spans="1:22" ht="18" customHeight="1">
      <c r="A724" s="184"/>
      <c r="V724" s="185"/>
    </row>
    <row r="725" spans="1:22" ht="18" customHeight="1">
      <c r="A725" s="184"/>
      <c r="V725" s="185"/>
    </row>
    <row r="726" spans="1:22" ht="18" customHeight="1">
      <c r="A726" s="184"/>
      <c r="V726" s="185"/>
    </row>
    <row r="727" spans="1:22" ht="18" customHeight="1">
      <c r="A727" s="184"/>
      <c r="V727" s="185"/>
    </row>
    <row r="728" spans="1:22" ht="18" customHeight="1">
      <c r="A728" s="184"/>
      <c r="V728" s="185"/>
    </row>
    <row r="729" spans="1:22" ht="18" customHeight="1">
      <c r="A729" s="184"/>
      <c r="V729" s="185"/>
    </row>
    <row r="730" spans="1:22" ht="18" customHeight="1">
      <c r="A730" s="184"/>
      <c r="V730" s="185"/>
    </row>
    <row r="731" spans="1:22" ht="18" customHeight="1">
      <c r="A731" s="184"/>
      <c r="V731" s="185"/>
    </row>
    <row r="732" spans="1:22" ht="18" customHeight="1">
      <c r="A732" s="184"/>
      <c r="V732" s="185"/>
    </row>
    <row r="733" spans="1:22" ht="18" customHeight="1">
      <c r="A733" s="184"/>
      <c r="V733" s="185"/>
    </row>
    <row r="734" spans="1:22" ht="18" customHeight="1">
      <c r="A734" s="184"/>
      <c r="V734" s="185"/>
    </row>
    <row r="735" spans="1:22" ht="18" customHeight="1">
      <c r="A735" s="290"/>
      <c r="B735" s="196"/>
      <c r="C735" s="196"/>
      <c r="D735" s="196"/>
      <c r="E735" s="196"/>
      <c r="F735" s="196"/>
      <c r="G735" s="196"/>
      <c r="H735" s="196"/>
      <c r="I735" s="196"/>
      <c r="J735" s="196"/>
      <c r="K735" s="196"/>
      <c r="L735" s="196"/>
      <c r="M735" s="196"/>
      <c r="N735" s="196"/>
      <c r="O735" s="196"/>
      <c r="P735" s="196"/>
      <c r="Q735" s="196"/>
      <c r="R735" s="196"/>
      <c r="S735" s="196"/>
      <c r="T735" s="196"/>
      <c r="U735" s="196"/>
      <c r="V735" s="291"/>
    </row>
  </sheetData>
  <mergeCells count="786">
    <mergeCell ref="O704:P704"/>
    <mergeCell ref="S704:V704"/>
    <mergeCell ref="T9:U9"/>
    <mergeCell ref="T133:U133"/>
    <mergeCell ref="K702:L702"/>
    <mergeCell ref="M702:N702"/>
    <mergeCell ref="O702:P702"/>
    <mergeCell ref="Q702:R704"/>
    <mergeCell ref="S702:V702"/>
    <mergeCell ref="K703:L703"/>
    <mergeCell ref="M703:N703"/>
    <mergeCell ref="O703:P703"/>
    <mergeCell ref="S703:V703"/>
    <mergeCell ref="O698:P701"/>
    <mergeCell ref="Q698:R701"/>
    <mergeCell ref="S698:V701"/>
    <mergeCell ref="K698:L701"/>
    <mergeCell ref="M698:N701"/>
    <mergeCell ref="T657:T659"/>
    <mergeCell ref="U657:V657"/>
    <mergeCell ref="M657:M659"/>
    <mergeCell ref="K704:L704"/>
    <mergeCell ref="M704:N704"/>
    <mergeCell ref="L654:N656"/>
    <mergeCell ref="A702:A704"/>
    <mergeCell ref="B702:C704"/>
    <mergeCell ref="D702:E702"/>
    <mergeCell ref="F702:F704"/>
    <mergeCell ref="G702:G704"/>
    <mergeCell ref="H702:H704"/>
    <mergeCell ref="I702:J704"/>
    <mergeCell ref="A698:C701"/>
    <mergeCell ref="D698:F701"/>
    <mergeCell ref="G698:H701"/>
    <mergeCell ref="I698:J701"/>
    <mergeCell ref="D704:E704"/>
    <mergeCell ref="D703:E703"/>
    <mergeCell ref="O654:Q656"/>
    <mergeCell ref="R654:T656"/>
    <mergeCell ref="U654:V656"/>
    <mergeCell ref="A657:B657"/>
    <mergeCell ref="C657:C659"/>
    <mergeCell ref="D657:D659"/>
    <mergeCell ref="E657:E659"/>
    <mergeCell ref="F657:F659"/>
    <mergeCell ref="A658:B658"/>
    <mergeCell ref="U658:V658"/>
    <mergeCell ref="A659:B659"/>
    <mergeCell ref="U659:V659"/>
    <mergeCell ref="N657:N659"/>
    <mergeCell ref="O657:O659"/>
    <mergeCell ref="P657:P659"/>
    <mergeCell ref="Q657:Q659"/>
    <mergeCell ref="R657:R659"/>
    <mergeCell ref="S657:S659"/>
    <mergeCell ref="G657:G659"/>
    <mergeCell ref="H657:H659"/>
    <mergeCell ref="I657:I659"/>
    <mergeCell ref="J657:K659"/>
    <mergeCell ref="L657:L659"/>
    <mergeCell ref="G639:H639"/>
    <mergeCell ref="F641:H641"/>
    <mergeCell ref="F642:H642"/>
    <mergeCell ref="A654:C656"/>
    <mergeCell ref="D654:G656"/>
    <mergeCell ref="H654:I656"/>
    <mergeCell ref="J633:K633"/>
    <mergeCell ref="G634:H634"/>
    <mergeCell ref="J634:K634"/>
    <mergeCell ref="F636:F637"/>
    <mergeCell ref="G636:H636"/>
    <mergeCell ref="I636:I637"/>
    <mergeCell ref="J636:K636"/>
    <mergeCell ref="G637:H637"/>
    <mergeCell ref="J637:K637"/>
    <mergeCell ref="J654:K656"/>
    <mergeCell ref="D626:E626"/>
    <mergeCell ref="E629:F629"/>
    <mergeCell ref="H629:I629"/>
    <mergeCell ref="D633:E634"/>
    <mergeCell ref="F633:F634"/>
    <mergeCell ref="G633:H633"/>
    <mergeCell ref="I633:I634"/>
    <mergeCell ref="P624:P625"/>
    <mergeCell ref="Q624:Q625"/>
    <mergeCell ref="R624:R625"/>
    <mergeCell ref="S624:S625"/>
    <mergeCell ref="U624:U625"/>
    <mergeCell ref="I625:J625"/>
    <mergeCell ref="L625:M625"/>
    <mergeCell ref="S620:T620"/>
    <mergeCell ref="S621:T621"/>
    <mergeCell ref="S622:T622"/>
    <mergeCell ref="B624:B625"/>
    <mergeCell ref="C624:C625"/>
    <mergeCell ref="G624:G625"/>
    <mergeCell ref="H624:H625"/>
    <mergeCell ref="I624:M624"/>
    <mergeCell ref="N624:N625"/>
    <mergeCell ref="O624:O625"/>
    <mergeCell ref="S614:T614"/>
    <mergeCell ref="S615:T615"/>
    <mergeCell ref="S616:T616"/>
    <mergeCell ref="S617:T617"/>
    <mergeCell ref="S618:T618"/>
    <mergeCell ref="S619:T619"/>
    <mergeCell ref="O611:O612"/>
    <mergeCell ref="P611:P612"/>
    <mergeCell ref="Q611:Q612"/>
    <mergeCell ref="R611:R612"/>
    <mergeCell ref="S611:S612"/>
    <mergeCell ref="U611:U612"/>
    <mergeCell ref="B611:B612"/>
    <mergeCell ref="C611:C612"/>
    <mergeCell ref="G611:G612"/>
    <mergeCell ref="H611:H612"/>
    <mergeCell ref="I611:M611"/>
    <mergeCell ref="N611:N612"/>
    <mergeCell ref="I612:J612"/>
    <mergeCell ref="L612:M612"/>
    <mergeCell ref="J593:K593"/>
    <mergeCell ref="J594:K594"/>
    <mergeCell ref="J595:K595"/>
    <mergeCell ref="O599:P599"/>
    <mergeCell ref="O600:P600"/>
    <mergeCell ref="O601:P601"/>
    <mergeCell ref="J580:K580"/>
    <mergeCell ref="D585:E585"/>
    <mergeCell ref="O585:P585"/>
    <mergeCell ref="O589:P589"/>
    <mergeCell ref="O590:P590"/>
    <mergeCell ref="O591:P591"/>
    <mergeCell ref="AB571:AC571"/>
    <mergeCell ref="L572:M572"/>
    <mergeCell ref="J576:K576"/>
    <mergeCell ref="J577:K577"/>
    <mergeCell ref="J578:K578"/>
    <mergeCell ref="J579:K579"/>
    <mergeCell ref="H568:I568"/>
    <mergeCell ref="J568:K568"/>
    <mergeCell ref="L568:M568"/>
    <mergeCell ref="L569:M569"/>
    <mergeCell ref="L570:M570"/>
    <mergeCell ref="L571:M571"/>
    <mergeCell ref="H567:I567"/>
    <mergeCell ref="J567:K567"/>
    <mergeCell ref="L567:M567"/>
    <mergeCell ref="T567:U567"/>
    <mergeCell ref="G551:H551"/>
    <mergeCell ref="F553:H553"/>
    <mergeCell ref="F554:H554"/>
    <mergeCell ref="B565:C565"/>
    <mergeCell ref="D565:E566"/>
    <mergeCell ref="H565:M565"/>
    <mergeCell ref="F548:F549"/>
    <mergeCell ref="G548:H548"/>
    <mergeCell ref="I548:I549"/>
    <mergeCell ref="J548:K548"/>
    <mergeCell ref="G549:H549"/>
    <mergeCell ref="J549:K549"/>
    <mergeCell ref="T565:U565"/>
    <mergeCell ref="B566:C566"/>
    <mergeCell ref="T566:U566"/>
    <mergeCell ref="D538:E538"/>
    <mergeCell ref="E541:F541"/>
    <mergeCell ref="H541:I541"/>
    <mergeCell ref="D545:E546"/>
    <mergeCell ref="F545:F546"/>
    <mergeCell ref="G545:H545"/>
    <mergeCell ref="I545:I546"/>
    <mergeCell ref="P536:P537"/>
    <mergeCell ref="Q536:Q537"/>
    <mergeCell ref="J545:K545"/>
    <mergeCell ref="G546:H546"/>
    <mergeCell ref="J546:K546"/>
    <mergeCell ref="R536:R537"/>
    <mergeCell ref="S536:S537"/>
    <mergeCell ref="U536:U537"/>
    <mergeCell ref="I537:J537"/>
    <mergeCell ref="L537:M537"/>
    <mergeCell ref="S532:T532"/>
    <mergeCell ref="S533:T533"/>
    <mergeCell ref="S534:T534"/>
    <mergeCell ref="B536:B537"/>
    <mergeCell ref="C536:C537"/>
    <mergeCell ref="G536:G537"/>
    <mergeCell ref="H536:H537"/>
    <mergeCell ref="I536:M536"/>
    <mergeCell ref="N536:N537"/>
    <mergeCell ref="O536:O537"/>
    <mergeCell ref="S526:T526"/>
    <mergeCell ref="S527:T527"/>
    <mergeCell ref="S528:T528"/>
    <mergeCell ref="S529:T529"/>
    <mergeCell ref="S530:T530"/>
    <mergeCell ref="S531:T531"/>
    <mergeCell ref="O523:O524"/>
    <mergeCell ref="P523:P524"/>
    <mergeCell ref="Q523:Q524"/>
    <mergeCell ref="R523:R524"/>
    <mergeCell ref="S523:S524"/>
    <mergeCell ref="U523:U524"/>
    <mergeCell ref="B523:B524"/>
    <mergeCell ref="C523:C524"/>
    <mergeCell ref="G523:G524"/>
    <mergeCell ref="H523:H524"/>
    <mergeCell ref="I523:M523"/>
    <mergeCell ref="N523:N524"/>
    <mergeCell ref="I524:J524"/>
    <mergeCell ref="L524:M524"/>
    <mergeCell ref="J505:K505"/>
    <mergeCell ref="J506:K506"/>
    <mergeCell ref="J507:K507"/>
    <mergeCell ref="O511:P511"/>
    <mergeCell ref="O512:P512"/>
    <mergeCell ref="O513:P513"/>
    <mergeCell ref="J492:K492"/>
    <mergeCell ref="D497:E497"/>
    <mergeCell ref="O497:P497"/>
    <mergeCell ref="O501:P501"/>
    <mergeCell ref="O502:P502"/>
    <mergeCell ref="O503:P503"/>
    <mergeCell ref="AB483:AC483"/>
    <mergeCell ref="J484:K484"/>
    <mergeCell ref="J488:K488"/>
    <mergeCell ref="J489:K489"/>
    <mergeCell ref="J490:K490"/>
    <mergeCell ref="J491:K491"/>
    <mergeCell ref="H480:I480"/>
    <mergeCell ref="J480:K480"/>
    <mergeCell ref="L480:M480"/>
    <mergeCell ref="J481:K481"/>
    <mergeCell ref="J482:K482"/>
    <mergeCell ref="J483:K483"/>
    <mergeCell ref="H479:I479"/>
    <mergeCell ref="J479:K479"/>
    <mergeCell ref="L479:M479"/>
    <mergeCell ref="T479:U479"/>
    <mergeCell ref="G463:H463"/>
    <mergeCell ref="F465:H465"/>
    <mergeCell ref="F466:H466"/>
    <mergeCell ref="B477:C477"/>
    <mergeCell ref="D477:E478"/>
    <mergeCell ref="H477:M477"/>
    <mergeCell ref="F460:F461"/>
    <mergeCell ref="G460:H460"/>
    <mergeCell ref="I460:I461"/>
    <mergeCell ref="J460:K460"/>
    <mergeCell ref="G461:H461"/>
    <mergeCell ref="J461:K461"/>
    <mergeCell ref="T477:U477"/>
    <mergeCell ref="B478:C478"/>
    <mergeCell ref="T478:U478"/>
    <mergeCell ref="D450:E450"/>
    <mergeCell ref="E453:F453"/>
    <mergeCell ref="H453:I453"/>
    <mergeCell ref="D457:E458"/>
    <mergeCell ref="F457:F458"/>
    <mergeCell ref="G457:H457"/>
    <mergeCell ref="I457:I458"/>
    <mergeCell ref="P448:P449"/>
    <mergeCell ref="Q448:Q449"/>
    <mergeCell ref="J457:K457"/>
    <mergeCell ref="G458:H458"/>
    <mergeCell ref="J458:K458"/>
    <mergeCell ref="R448:R449"/>
    <mergeCell ref="S448:S449"/>
    <mergeCell ref="U448:U449"/>
    <mergeCell ref="I449:J449"/>
    <mergeCell ref="L449:M449"/>
    <mergeCell ref="S444:T444"/>
    <mergeCell ref="S445:T445"/>
    <mergeCell ref="S446:T446"/>
    <mergeCell ref="B448:B449"/>
    <mergeCell ref="C448:C449"/>
    <mergeCell ref="G448:G449"/>
    <mergeCell ref="H448:H449"/>
    <mergeCell ref="I448:M448"/>
    <mergeCell ref="N448:N449"/>
    <mergeCell ref="O448:O449"/>
    <mergeCell ref="S438:T438"/>
    <mergeCell ref="S439:T439"/>
    <mergeCell ref="S440:T440"/>
    <mergeCell ref="S441:T441"/>
    <mergeCell ref="S442:T442"/>
    <mergeCell ref="S443:T443"/>
    <mergeCell ref="P435:P436"/>
    <mergeCell ref="Q435:Q436"/>
    <mergeCell ref="R435:R436"/>
    <mergeCell ref="S435:S436"/>
    <mergeCell ref="U435:U436"/>
    <mergeCell ref="I436:J436"/>
    <mergeCell ref="L436:M436"/>
    <mergeCell ref="O428:P428"/>
    <mergeCell ref="O429:P429"/>
    <mergeCell ref="O430:P430"/>
    <mergeCell ref="B435:B436"/>
    <mergeCell ref="C435:C436"/>
    <mergeCell ref="G435:G436"/>
    <mergeCell ref="H435:H436"/>
    <mergeCell ref="I435:M435"/>
    <mergeCell ref="N435:N436"/>
    <mergeCell ref="O435:O436"/>
    <mergeCell ref="O418:P418"/>
    <mergeCell ref="O419:P419"/>
    <mergeCell ref="O420:P420"/>
    <mergeCell ref="J422:K422"/>
    <mergeCell ref="J423:K423"/>
    <mergeCell ref="J424:K424"/>
    <mergeCell ref="J406:K406"/>
    <mergeCell ref="J407:K407"/>
    <mergeCell ref="J408:K408"/>
    <mergeCell ref="J409:K409"/>
    <mergeCell ref="D414:E414"/>
    <mergeCell ref="O414:P414"/>
    <mergeCell ref="H398:I398"/>
    <mergeCell ref="H399:I399"/>
    <mergeCell ref="H400:I400"/>
    <mergeCell ref="AB400:AC400"/>
    <mergeCell ref="H401:I401"/>
    <mergeCell ref="J405:K405"/>
    <mergeCell ref="T395:U395"/>
    <mergeCell ref="H396:I396"/>
    <mergeCell ref="J396:K396"/>
    <mergeCell ref="L396:M396"/>
    <mergeCell ref="T396:U396"/>
    <mergeCell ref="H397:I397"/>
    <mergeCell ref="J397:K397"/>
    <mergeCell ref="L397:M397"/>
    <mergeCell ref="A392:B392"/>
    <mergeCell ref="D392:F392"/>
    <mergeCell ref="H392:N392"/>
    <mergeCell ref="O392:Q392"/>
    <mergeCell ref="R392:V392"/>
    <mergeCell ref="B394:C394"/>
    <mergeCell ref="D394:E395"/>
    <mergeCell ref="H394:M394"/>
    <mergeCell ref="T394:U394"/>
    <mergeCell ref="B395:C395"/>
    <mergeCell ref="R389:V389"/>
    <mergeCell ref="M364:N367"/>
    <mergeCell ref="O364:P367"/>
    <mergeCell ref="Q364:R367"/>
    <mergeCell ref="S364:V367"/>
    <mergeCell ref="A390:G391"/>
    <mergeCell ref="H390:N391"/>
    <mergeCell ref="O390:Q390"/>
    <mergeCell ref="R390:V390"/>
    <mergeCell ref="O391:Q391"/>
    <mergeCell ref="R391:V391"/>
    <mergeCell ref="K370:L370"/>
    <mergeCell ref="M370:N370"/>
    <mergeCell ref="O370:P370"/>
    <mergeCell ref="S370:V370"/>
    <mergeCell ref="A388:G389"/>
    <mergeCell ref="H388:N388"/>
    <mergeCell ref="O388:Q388"/>
    <mergeCell ref="R388:V388"/>
    <mergeCell ref="H389:N389"/>
    <mergeCell ref="O389:Q389"/>
    <mergeCell ref="I368:J370"/>
    <mergeCell ref="K368:L368"/>
    <mergeCell ref="M368:N368"/>
    <mergeCell ref="M369:N369"/>
    <mergeCell ref="O369:P369"/>
    <mergeCell ref="S369:V369"/>
    <mergeCell ref="A364:C367"/>
    <mergeCell ref="D364:F367"/>
    <mergeCell ref="G364:H367"/>
    <mergeCell ref="I364:J367"/>
    <mergeCell ref="K364:L367"/>
    <mergeCell ref="B368:C370"/>
    <mergeCell ref="D368:E368"/>
    <mergeCell ref="F368:F370"/>
    <mergeCell ref="G368:G370"/>
    <mergeCell ref="H368:H370"/>
    <mergeCell ref="D369:E369"/>
    <mergeCell ref="D370:E370"/>
    <mergeCell ref="O368:P368"/>
    <mergeCell ref="Q368:R370"/>
    <mergeCell ref="S368:V368"/>
    <mergeCell ref="K369:L369"/>
    <mergeCell ref="A368:A370"/>
    <mergeCell ref="F346:F347"/>
    <mergeCell ref="G346:H346"/>
    <mergeCell ref="I346:I347"/>
    <mergeCell ref="J346:K346"/>
    <mergeCell ref="G347:H347"/>
    <mergeCell ref="J347:K347"/>
    <mergeCell ref="G349:H349"/>
    <mergeCell ref="F351:H351"/>
    <mergeCell ref="F352:H352"/>
    <mergeCell ref="D336:E336"/>
    <mergeCell ref="E339:F339"/>
    <mergeCell ref="H339:I339"/>
    <mergeCell ref="D343:E344"/>
    <mergeCell ref="F343:F344"/>
    <mergeCell ref="G343:H343"/>
    <mergeCell ref="I343:I344"/>
    <mergeCell ref="P334:P335"/>
    <mergeCell ref="Q334:Q335"/>
    <mergeCell ref="J343:K343"/>
    <mergeCell ref="G344:H344"/>
    <mergeCell ref="J344:K344"/>
    <mergeCell ref="R334:R335"/>
    <mergeCell ref="S334:S335"/>
    <mergeCell ref="U334:U335"/>
    <mergeCell ref="I335:J335"/>
    <mergeCell ref="L335:M335"/>
    <mergeCell ref="S330:T330"/>
    <mergeCell ref="S331:T331"/>
    <mergeCell ref="S332:T332"/>
    <mergeCell ref="B334:B335"/>
    <mergeCell ref="C334:C335"/>
    <mergeCell ref="G334:G335"/>
    <mergeCell ref="H334:H335"/>
    <mergeCell ref="I334:M334"/>
    <mergeCell ref="N334:N335"/>
    <mergeCell ref="O334:O335"/>
    <mergeCell ref="S324:T324"/>
    <mergeCell ref="S325:T325"/>
    <mergeCell ref="S326:T326"/>
    <mergeCell ref="S327:T327"/>
    <mergeCell ref="S328:T328"/>
    <mergeCell ref="S329:T329"/>
    <mergeCell ref="P321:P322"/>
    <mergeCell ref="Q321:Q322"/>
    <mergeCell ref="R321:R322"/>
    <mergeCell ref="S321:S322"/>
    <mergeCell ref="U321:U322"/>
    <mergeCell ref="I322:J322"/>
    <mergeCell ref="L322:M322"/>
    <mergeCell ref="O309:P309"/>
    <mergeCell ref="O310:P310"/>
    <mergeCell ref="O311:P311"/>
    <mergeCell ref="B321:B322"/>
    <mergeCell ref="C321:C322"/>
    <mergeCell ref="G321:G322"/>
    <mergeCell ref="H321:H322"/>
    <mergeCell ref="I321:M321"/>
    <mergeCell ref="N321:N322"/>
    <mergeCell ref="O321:O322"/>
    <mergeCell ref="O299:P299"/>
    <mergeCell ref="O300:P300"/>
    <mergeCell ref="O301:P301"/>
    <mergeCell ref="J303:K303"/>
    <mergeCell ref="J304:K304"/>
    <mergeCell ref="J305:K305"/>
    <mergeCell ref="J290:K290"/>
    <mergeCell ref="D295:E295"/>
    <mergeCell ref="O295:P295"/>
    <mergeCell ref="M297:N297"/>
    <mergeCell ref="P297:Q297"/>
    <mergeCell ref="S297:T297"/>
    <mergeCell ref="AB281:AC281"/>
    <mergeCell ref="L282:M282"/>
    <mergeCell ref="J286:K286"/>
    <mergeCell ref="J287:K287"/>
    <mergeCell ref="J288:K288"/>
    <mergeCell ref="J289:K289"/>
    <mergeCell ref="H278:I278"/>
    <mergeCell ref="J278:K278"/>
    <mergeCell ref="L278:M278"/>
    <mergeCell ref="L279:M279"/>
    <mergeCell ref="L280:M280"/>
    <mergeCell ref="L281:M281"/>
    <mergeCell ref="H277:I277"/>
    <mergeCell ref="J277:K277"/>
    <mergeCell ref="L277:M277"/>
    <mergeCell ref="T277:U277"/>
    <mergeCell ref="G261:H261"/>
    <mergeCell ref="F263:H263"/>
    <mergeCell ref="F264:H264"/>
    <mergeCell ref="B275:C275"/>
    <mergeCell ref="D275:E276"/>
    <mergeCell ref="H275:M275"/>
    <mergeCell ref="F258:F259"/>
    <mergeCell ref="G258:H258"/>
    <mergeCell ref="I258:I259"/>
    <mergeCell ref="J258:K258"/>
    <mergeCell ref="G259:H259"/>
    <mergeCell ref="J259:K259"/>
    <mergeCell ref="T275:U275"/>
    <mergeCell ref="B276:C276"/>
    <mergeCell ref="T276:U276"/>
    <mergeCell ref="D248:E248"/>
    <mergeCell ref="E251:F251"/>
    <mergeCell ref="H251:I251"/>
    <mergeCell ref="D255:E256"/>
    <mergeCell ref="F255:F256"/>
    <mergeCell ref="G255:H255"/>
    <mergeCell ref="I255:I256"/>
    <mergeCell ref="P246:P247"/>
    <mergeCell ref="Q246:Q247"/>
    <mergeCell ref="J255:K255"/>
    <mergeCell ref="G256:H256"/>
    <mergeCell ref="J256:K256"/>
    <mergeCell ref="R246:R247"/>
    <mergeCell ref="S246:S247"/>
    <mergeCell ref="U246:U247"/>
    <mergeCell ref="I247:J247"/>
    <mergeCell ref="L247:M247"/>
    <mergeCell ref="S242:T242"/>
    <mergeCell ref="S243:T243"/>
    <mergeCell ref="S244:T244"/>
    <mergeCell ref="B246:B247"/>
    <mergeCell ref="C246:C247"/>
    <mergeCell ref="G246:G247"/>
    <mergeCell ref="H246:H247"/>
    <mergeCell ref="I246:M246"/>
    <mergeCell ref="N246:N247"/>
    <mergeCell ref="O246:O247"/>
    <mergeCell ref="S236:T236"/>
    <mergeCell ref="S237:T237"/>
    <mergeCell ref="S238:T238"/>
    <mergeCell ref="S239:T239"/>
    <mergeCell ref="S240:T240"/>
    <mergeCell ref="S241:T241"/>
    <mergeCell ref="O233:O234"/>
    <mergeCell ref="P233:P234"/>
    <mergeCell ref="Q233:Q234"/>
    <mergeCell ref="R233:R234"/>
    <mergeCell ref="S233:S234"/>
    <mergeCell ref="U233:U234"/>
    <mergeCell ref="B233:B234"/>
    <mergeCell ref="C233:C234"/>
    <mergeCell ref="G233:G234"/>
    <mergeCell ref="H233:H234"/>
    <mergeCell ref="I233:M233"/>
    <mergeCell ref="N233:N234"/>
    <mergeCell ref="I234:J234"/>
    <mergeCell ref="L234:M234"/>
    <mergeCell ref="K218:L218"/>
    <mergeCell ref="N218:O218"/>
    <mergeCell ref="O221:P221"/>
    <mergeCell ref="R221:V221"/>
    <mergeCell ref="O222:P222"/>
    <mergeCell ref="O223:P223"/>
    <mergeCell ref="U206:U207"/>
    <mergeCell ref="S208:T208"/>
    <mergeCell ref="S209:T209"/>
    <mergeCell ref="S210:T210"/>
    <mergeCell ref="G213:H213"/>
    <mergeCell ref="N217:O217"/>
    <mergeCell ref="Q202:Q203"/>
    <mergeCell ref="R202:R203"/>
    <mergeCell ref="S202:S203"/>
    <mergeCell ref="U202:U203"/>
    <mergeCell ref="I203:M203"/>
    <mergeCell ref="D204:E204"/>
    <mergeCell ref="S200:T200"/>
    <mergeCell ref="S201:T201"/>
    <mergeCell ref="B202:B203"/>
    <mergeCell ref="C202:C203"/>
    <mergeCell ref="G202:G203"/>
    <mergeCell ref="H202:H203"/>
    <mergeCell ref="I202:M202"/>
    <mergeCell ref="N202:N203"/>
    <mergeCell ref="O202:O203"/>
    <mergeCell ref="P202:P203"/>
    <mergeCell ref="S194:T194"/>
    <mergeCell ref="S195:T195"/>
    <mergeCell ref="S196:T196"/>
    <mergeCell ref="S197:T197"/>
    <mergeCell ref="S198:T198"/>
    <mergeCell ref="S199:T199"/>
    <mergeCell ref="O191:O192"/>
    <mergeCell ref="P191:P192"/>
    <mergeCell ref="Q191:Q192"/>
    <mergeCell ref="R191:R192"/>
    <mergeCell ref="S191:S192"/>
    <mergeCell ref="U191:U192"/>
    <mergeCell ref="B191:B192"/>
    <mergeCell ref="C191:C192"/>
    <mergeCell ref="G191:G192"/>
    <mergeCell ref="H191:H192"/>
    <mergeCell ref="I191:M191"/>
    <mergeCell ref="N191:N192"/>
    <mergeCell ref="I192:M192"/>
    <mergeCell ref="D181:E181"/>
    <mergeCell ref="O187:P187"/>
    <mergeCell ref="R187:V187"/>
    <mergeCell ref="O188:P188"/>
    <mergeCell ref="O189:P189"/>
    <mergeCell ref="O179:O180"/>
    <mergeCell ref="P179:P180"/>
    <mergeCell ref="Q179:Q180"/>
    <mergeCell ref="R179:R180"/>
    <mergeCell ref="S179:S180"/>
    <mergeCell ref="U179:U180"/>
    <mergeCell ref="S175:T175"/>
    <mergeCell ref="S176:T176"/>
    <mergeCell ref="S177:T177"/>
    <mergeCell ref="S178:T178"/>
    <mergeCell ref="B179:B180"/>
    <mergeCell ref="C179:C180"/>
    <mergeCell ref="G179:G180"/>
    <mergeCell ref="H179:H180"/>
    <mergeCell ref="I179:M179"/>
    <mergeCell ref="N179:N180"/>
    <mergeCell ref="I180:M180"/>
    <mergeCell ref="O169:P169"/>
    <mergeCell ref="S171:T171"/>
    <mergeCell ref="S172:T172"/>
    <mergeCell ref="S173:T173"/>
    <mergeCell ref="S174:T174"/>
    <mergeCell ref="O167:O168"/>
    <mergeCell ref="P167:P168"/>
    <mergeCell ref="Q167:Q168"/>
    <mergeCell ref="R167:R168"/>
    <mergeCell ref="S167:S168"/>
    <mergeCell ref="U167:U168"/>
    <mergeCell ref="J159:K159"/>
    <mergeCell ref="J160:K160"/>
    <mergeCell ref="J161:K161"/>
    <mergeCell ref="O165:P165"/>
    <mergeCell ref="B167:B168"/>
    <mergeCell ref="C167:C168"/>
    <mergeCell ref="G167:G168"/>
    <mergeCell ref="H167:H168"/>
    <mergeCell ref="I167:M167"/>
    <mergeCell ref="N167:N168"/>
    <mergeCell ref="I168:M168"/>
    <mergeCell ref="M153:N153"/>
    <mergeCell ref="P153:Q153"/>
    <mergeCell ref="S153:T153"/>
    <mergeCell ref="O155:P155"/>
    <mergeCell ref="O156:P156"/>
    <mergeCell ref="O157:P157"/>
    <mergeCell ref="J143:K143"/>
    <mergeCell ref="J144:K144"/>
    <mergeCell ref="J145:K145"/>
    <mergeCell ref="J146:K146"/>
    <mergeCell ref="D151:E151"/>
    <mergeCell ref="O151:P151"/>
    <mergeCell ref="J135:K135"/>
    <mergeCell ref="J136:K136"/>
    <mergeCell ref="J137:K137"/>
    <mergeCell ref="AB137:AC137"/>
    <mergeCell ref="J138:K138"/>
    <mergeCell ref="J142:K142"/>
    <mergeCell ref="T132:U132"/>
    <mergeCell ref="H133:I133"/>
    <mergeCell ref="J133:K133"/>
    <mergeCell ref="L133:M133"/>
    <mergeCell ref="H134:I134"/>
    <mergeCell ref="J134:K134"/>
    <mergeCell ref="L134:M134"/>
    <mergeCell ref="I79:M79"/>
    <mergeCell ref="S75:T75"/>
    <mergeCell ref="S76:T76"/>
    <mergeCell ref="S77:T77"/>
    <mergeCell ref="N92:O92"/>
    <mergeCell ref="K93:L93"/>
    <mergeCell ref="N93:O93"/>
    <mergeCell ref="B131:C131"/>
    <mergeCell ref="H131:M131"/>
    <mergeCell ref="T131:U131"/>
    <mergeCell ref="D80:E80"/>
    <mergeCell ref="U81:U82"/>
    <mergeCell ref="S83:T83"/>
    <mergeCell ref="S84:T84"/>
    <mergeCell ref="S85:T85"/>
    <mergeCell ref="G88:H88"/>
    <mergeCell ref="B78:B79"/>
    <mergeCell ref="C78:C79"/>
    <mergeCell ref="G78:G79"/>
    <mergeCell ref="H78:H79"/>
    <mergeCell ref="I78:M78"/>
    <mergeCell ref="N78:N79"/>
    <mergeCell ref="O78:O79"/>
    <mergeCell ref="P78:P79"/>
    <mergeCell ref="Q78:Q79"/>
    <mergeCell ref="R78:R79"/>
    <mergeCell ref="S78:S79"/>
    <mergeCell ref="U67:U68"/>
    <mergeCell ref="O63:P63"/>
    <mergeCell ref="R63:V63"/>
    <mergeCell ref="O64:P64"/>
    <mergeCell ref="O65:P65"/>
    <mergeCell ref="S70:T70"/>
    <mergeCell ref="S71:T71"/>
    <mergeCell ref="S72:T72"/>
    <mergeCell ref="S73:T73"/>
    <mergeCell ref="S74:T74"/>
    <mergeCell ref="O67:O68"/>
    <mergeCell ref="P67:P68"/>
    <mergeCell ref="Q67:Q68"/>
    <mergeCell ref="R67:R68"/>
    <mergeCell ref="S67:S68"/>
    <mergeCell ref="U78:U79"/>
    <mergeCell ref="B67:B68"/>
    <mergeCell ref="C67:C68"/>
    <mergeCell ref="G67:G68"/>
    <mergeCell ref="H67:H68"/>
    <mergeCell ref="I67:M67"/>
    <mergeCell ref="N67:N68"/>
    <mergeCell ref="Q55:Q56"/>
    <mergeCell ref="R55:R56"/>
    <mergeCell ref="S55:S56"/>
    <mergeCell ref="I68:M68"/>
    <mergeCell ref="U55:U56"/>
    <mergeCell ref="I56:M56"/>
    <mergeCell ref="D57:E57"/>
    <mergeCell ref="S53:T53"/>
    <mergeCell ref="S54:T54"/>
    <mergeCell ref="B55:B56"/>
    <mergeCell ref="C55:C56"/>
    <mergeCell ref="G55:G56"/>
    <mergeCell ref="H55:H56"/>
    <mergeCell ref="I55:M55"/>
    <mergeCell ref="N55:N56"/>
    <mergeCell ref="O55:O56"/>
    <mergeCell ref="P55:P56"/>
    <mergeCell ref="S47:T47"/>
    <mergeCell ref="S48:T48"/>
    <mergeCell ref="S49:T49"/>
    <mergeCell ref="S50:T50"/>
    <mergeCell ref="S51:T51"/>
    <mergeCell ref="S52:T52"/>
    <mergeCell ref="Q42:Q43"/>
    <mergeCell ref="R42:R43"/>
    <mergeCell ref="S42:S43"/>
    <mergeCell ref="U42:U43"/>
    <mergeCell ref="I43:M43"/>
    <mergeCell ref="O44:P44"/>
    <mergeCell ref="O40:P40"/>
    <mergeCell ref="B42:B43"/>
    <mergeCell ref="C42:C43"/>
    <mergeCell ref="G42:G43"/>
    <mergeCell ref="H42:H43"/>
    <mergeCell ref="I42:M42"/>
    <mergeCell ref="N42:N43"/>
    <mergeCell ref="O42:O43"/>
    <mergeCell ref="P42:P43"/>
    <mergeCell ref="O31:P31"/>
    <mergeCell ref="O32:P32"/>
    <mergeCell ref="O33:P33"/>
    <mergeCell ref="J35:K35"/>
    <mergeCell ref="J36:K36"/>
    <mergeCell ref="J37:K37"/>
    <mergeCell ref="J22:K22"/>
    <mergeCell ref="D27:E27"/>
    <mergeCell ref="O27:P27"/>
    <mergeCell ref="M29:N29"/>
    <mergeCell ref="P29:Q29"/>
    <mergeCell ref="S29:T29"/>
    <mergeCell ref="AB13:AC13"/>
    <mergeCell ref="H14:I14"/>
    <mergeCell ref="J18:K18"/>
    <mergeCell ref="J19:K19"/>
    <mergeCell ref="J20:K20"/>
    <mergeCell ref="J21:K21"/>
    <mergeCell ref="H10:I10"/>
    <mergeCell ref="J10:K10"/>
    <mergeCell ref="L10:M10"/>
    <mergeCell ref="H11:I11"/>
    <mergeCell ref="H12:I12"/>
    <mergeCell ref="H13:I13"/>
    <mergeCell ref="B7:C7"/>
    <mergeCell ref="D7:E7"/>
    <mergeCell ref="H7:N7"/>
    <mergeCell ref="T7:U7"/>
    <mergeCell ref="T8:U8"/>
    <mergeCell ref="A9:B9"/>
    <mergeCell ref="C9:D9"/>
    <mergeCell ref="H9:I9"/>
    <mergeCell ref="J9:K9"/>
    <mergeCell ref="L9:M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61 H95:H129 H252 H340 H454 H542 H630">
    <cfRule type="cellIs" dxfId="133" priority="3" stopIfTrue="1" operator="equal">
      <formula>"Under Dimentioned"</formula>
    </cfRule>
  </conditionalFormatting>
  <conditionalFormatting sqref="H185">
    <cfRule type="cellIs" dxfId="132" priority="2" stopIfTrue="1" operator="equal">
      <formula>"Under Dimentioned"</formula>
    </cfRule>
  </conditionalFormatting>
  <conditionalFormatting sqref="H220">
    <cfRule type="cellIs" dxfId="131" priority="1" stopIfTrue="1" operator="equal">
      <formula>"Under Dimentioned"</formula>
    </cfRule>
  </conditionalFormatting>
  <conditionalFormatting sqref="H266:H271 H354:H359 H468:H473 H556:H561 H644:H649">
    <cfRule type="cellIs" dxfId="130" priority="4" stopIfTrue="1" operator="equal">
      <formula>"Not OK"</formula>
    </cfRule>
  </conditionalFormatting>
  <dataValidations count="1">
    <dataValidation type="list" allowBlank="1" showInputMessage="1" showErrorMessage="1" sqref="D565 IZ565 SV565 ACR565 AMN565 AWJ565 BGF565 BQB565 BZX565 CJT565 CTP565 DDL565 DNH565 DXD565 EGZ565 EQV565 FAR565 FKN565 FUJ565 GEF565 GOB565 GXX565 HHT565 HRP565 IBL565 ILH565 IVD565 JEZ565 JOV565 JYR565 KIN565 KSJ565 LCF565 LMB565 LVX565 MFT565 MPP565 MZL565 NJH565 NTD565 OCZ565 OMV565 OWR565 PGN565 PQJ565 QAF565 QKB565 QTX565 RDT565 RNP565 RXL565 SHH565 SRD565 TAZ565 TKV565 TUR565 UEN565 UOJ565 UYF565 VIB565 VRX565 WBT565 WLP565 WVL565 D66104 IZ66104 SV66104 ACR66104 AMN66104 AWJ66104 BGF66104 BQB66104 BZX66104 CJT66104 CTP66104 DDL66104 DNH66104 DXD66104 EGZ66104 EQV66104 FAR66104 FKN66104 FUJ66104 GEF66104 GOB66104 GXX66104 HHT66104 HRP66104 IBL66104 ILH66104 IVD66104 JEZ66104 JOV66104 JYR66104 KIN66104 KSJ66104 LCF66104 LMB66104 LVX66104 MFT66104 MPP66104 MZL66104 NJH66104 NTD66104 OCZ66104 OMV66104 OWR66104 PGN66104 PQJ66104 QAF66104 QKB66104 QTX66104 RDT66104 RNP66104 RXL66104 SHH66104 SRD66104 TAZ66104 TKV66104 TUR66104 UEN66104 UOJ66104 UYF66104 VIB66104 VRX66104 WBT66104 WLP66104 WVL66104 D131640 IZ131640 SV131640 ACR131640 AMN131640 AWJ131640 BGF131640 BQB131640 BZX131640 CJT131640 CTP131640 DDL131640 DNH131640 DXD131640 EGZ131640 EQV131640 FAR131640 FKN131640 FUJ131640 GEF131640 GOB131640 GXX131640 HHT131640 HRP131640 IBL131640 ILH131640 IVD131640 JEZ131640 JOV131640 JYR131640 KIN131640 KSJ131640 LCF131640 LMB131640 LVX131640 MFT131640 MPP131640 MZL131640 NJH131640 NTD131640 OCZ131640 OMV131640 OWR131640 PGN131640 PQJ131640 QAF131640 QKB131640 QTX131640 RDT131640 RNP131640 RXL131640 SHH131640 SRD131640 TAZ131640 TKV131640 TUR131640 UEN131640 UOJ131640 UYF131640 VIB131640 VRX131640 WBT131640 WLP131640 WVL131640 D197176 IZ197176 SV197176 ACR197176 AMN197176 AWJ197176 BGF197176 BQB197176 BZX197176 CJT197176 CTP197176 DDL197176 DNH197176 DXD197176 EGZ197176 EQV197176 FAR197176 FKN197176 FUJ197176 GEF197176 GOB197176 GXX197176 HHT197176 HRP197176 IBL197176 ILH197176 IVD197176 JEZ197176 JOV197176 JYR197176 KIN197176 KSJ197176 LCF197176 LMB197176 LVX197176 MFT197176 MPP197176 MZL197176 NJH197176 NTD197176 OCZ197176 OMV197176 OWR197176 PGN197176 PQJ197176 QAF197176 QKB197176 QTX197176 RDT197176 RNP197176 RXL197176 SHH197176 SRD197176 TAZ197176 TKV197176 TUR197176 UEN197176 UOJ197176 UYF197176 VIB197176 VRX197176 WBT197176 WLP197176 WVL197176 D262712 IZ262712 SV262712 ACR262712 AMN262712 AWJ262712 BGF262712 BQB262712 BZX262712 CJT262712 CTP262712 DDL262712 DNH262712 DXD262712 EGZ262712 EQV262712 FAR262712 FKN262712 FUJ262712 GEF262712 GOB262712 GXX262712 HHT262712 HRP262712 IBL262712 ILH262712 IVD262712 JEZ262712 JOV262712 JYR262712 KIN262712 KSJ262712 LCF262712 LMB262712 LVX262712 MFT262712 MPP262712 MZL262712 NJH262712 NTD262712 OCZ262712 OMV262712 OWR262712 PGN262712 PQJ262712 QAF262712 QKB262712 QTX262712 RDT262712 RNP262712 RXL262712 SHH262712 SRD262712 TAZ262712 TKV262712 TUR262712 UEN262712 UOJ262712 UYF262712 VIB262712 VRX262712 WBT262712 WLP262712 WVL262712 D328248 IZ328248 SV328248 ACR328248 AMN328248 AWJ328248 BGF328248 BQB328248 BZX328248 CJT328248 CTP328248 DDL328248 DNH328248 DXD328248 EGZ328248 EQV328248 FAR328248 FKN328248 FUJ328248 GEF328248 GOB328248 GXX328248 HHT328248 HRP328248 IBL328248 ILH328248 IVD328248 JEZ328248 JOV328248 JYR328248 KIN328248 KSJ328248 LCF328248 LMB328248 LVX328248 MFT328248 MPP328248 MZL328248 NJH328248 NTD328248 OCZ328248 OMV328248 OWR328248 PGN328248 PQJ328248 QAF328248 QKB328248 QTX328248 RDT328248 RNP328248 RXL328248 SHH328248 SRD328248 TAZ328248 TKV328248 TUR328248 UEN328248 UOJ328248 UYF328248 VIB328248 VRX328248 WBT328248 WLP328248 WVL328248 D393784 IZ393784 SV393784 ACR393784 AMN393784 AWJ393784 BGF393784 BQB393784 BZX393784 CJT393784 CTP393784 DDL393784 DNH393784 DXD393784 EGZ393784 EQV393784 FAR393784 FKN393784 FUJ393784 GEF393784 GOB393784 GXX393784 HHT393784 HRP393784 IBL393784 ILH393784 IVD393784 JEZ393784 JOV393784 JYR393784 KIN393784 KSJ393784 LCF393784 LMB393784 LVX393784 MFT393784 MPP393784 MZL393784 NJH393784 NTD393784 OCZ393784 OMV393784 OWR393784 PGN393784 PQJ393784 QAF393784 QKB393784 QTX393784 RDT393784 RNP393784 RXL393784 SHH393784 SRD393784 TAZ393784 TKV393784 TUR393784 UEN393784 UOJ393784 UYF393784 VIB393784 VRX393784 WBT393784 WLP393784 WVL393784 D459320 IZ459320 SV459320 ACR459320 AMN459320 AWJ459320 BGF459320 BQB459320 BZX459320 CJT459320 CTP459320 DDL459320 DNH459320 DXD459320 EGZ459320 EQV459320 FAR459320 FKN459320 FUJ459320 GEF459320 GOB459320 GXX459320 HHT459320 HRP459320 IBL459320 ILH459320 IVD459320 JEZ459320 JOV459320 JYR459320 KIN459320 KSJ459320 LCF459320 LMB459320 LVX459320 MFT459320 MPP459320 MZL459320 NJH459320 NTD459320 OCZ459320 OMV459320 OWR459320 PGN459320 PQJ459320 QAF459320 QKB459320 QTX459320 RDT459320 RNP459320 RXL459320 SHH459320 SRD459320 TAZ459320 TKV459320 TUR459320 UEN459320 UOJ459320 UYF459320 VIB459320 VRX459320 WBT459320 WLP459320 WVL459320 D524856 IZ524856 SV524856 ACR524856 AMN524856 AWJ524856 BGF524856 BQB524856 BZX524856 CJT524856 CTP524856 DDL524856 DNH524856 DXD524856 EGZ524856 EQV524856 FAR524856 FKN524856 FUJ524856 GEF524856 GOB524856 GXX524856 HHT524856 HRP524856 IBL524856 ILH524856 IVD524856 JEZ524856 JOV524856 JYR524856 KIN524856 KSJ524856 LCF524856 LMB524856 LVX524856 MFT524856 MPP524856 MZL524856 NJH524856 NTD524856 OCZ524856 OMV524856 OWR524856 PGN524856 PQJ524856 QAF524856 QKB524856 QTX524856 RDT524856 RNP524856 RXL524856 SHH524856 SRD524856 TAZ524856 TKV524856 TUR524856 UEN524856 UOJ524856 UYF524856 VIB524856 VRX524856 WBT524856 WLP524856 WVL524856 D590392 IZ590392 SV590392 ACR590392 AMN590392 AWJ590392 BGF590392 BQB590392 BZX590392 CJT590392 CTP590392 DDL590392 DNH590392 DXD590392 EGZ590392 EQV590392 FAR590392 FKN590392 FUJ590392 GEF590392 GOB590392 GXX590392 HHT590392 HRP590392 IBL590392 ILH590392 IVD590392 JEZ590392 JOV590392 JYR590392 KIN590392 KSJ590392 LCF590392 LMB590392 LVX590392 MFT590392 MPP590392 MZL590392 NJH590392 NTD590392 OCZ590392 OMV590392 OWR590392 PGN590392 PQJ590392 QAF590392 QKB590392 QTX590392 RDT590392 RNP590392 RXL590392 SHH590392 SRD590392 TAZ590392 TKV590392 TUR590392 UEN590392 UOJ590392 UYF590392 VIB590392 VRX590392 WBT590392 WLP590392 WVL590392 D655928 IZ655928 SV655928 ACR655928 AMN655928 AWJ655928 BGF655928 BQB655928 BZX655928 CJT655928 CTP655928 DDL655928 DNH655928 DXD655928 EGZ655928 EQV655928 FAR655928 FKN655928 FUJ655928 GEF655928 GOB655928 GXX655928 HHT655928 HRP655928 IBL655928 ILH655928 IVD655928 JEZ655928 JOV655928 JYR655928 KIN655928 KSJ655928 LCF655928 LMB655928 LVX655928 MFT655928 MPP655928 MZL655928 NJH655928 NTD655928 OCZ655928 OMV655928 OWR655928 PGN655928 PQJ655928 QAF655928 QKB655928 QTX655928 RDT655928 RNP655928 RXL655928 SHH655928 SRD655928 TAZ655928 TKV655928 TUR655928 UEN655928 UOJ655928 UYF655928 VIB655928 VRX655928 WBT655928 WLP655928 WVL655928 D721464 IZ721464 SV721464 ACR721464 AMN721464 AWJ721464 BGF721464 BQB721464 BZX721464 CJT721464 CTP721464 DDL721464 DNH721464 DXD721464 EGZ721464 EQV721464 FAR721464 FKN721464 FUJ721464 GEF721464 GOB721464 GXX721464 HHT721464 HRP721464 IBL721464 ILH721464 IVD721464 JEZ721464 JOV721464 JYR721464 KIN721464 KSJ721464 LCF721464 LMB721464 LVX721464 MFT721464 MPP721464 MZL721464 NJH721464 NTD721464 OCZ721464 OMV721464 OWR721464 PGN721464 PQJ721464 QAF721464 QKB721464 QTX721464 RDT721464 RNP721464 RXL721464 SHH721464 SRD721464 TAZ721464 TKV721464 TUR721464 UEN721464 UOJ721464 UYF721464 VIB721464 VRX721464 WBT721464 WLP721464 WVL721464 D787000 IZ787000 SV787000 ACR787000 AMN787000 AWJ787000 BGF787000 BQB787000 BZX787000 CJT787000 CTP787000 DDL787000 DNH787000 DXD787000 EGZ787000 EQV787000 FAR787000 FKN787000 FUJ787000 GEF787000 GOB787000 GXX787000 HHT787000 HRP787000 IBL787000 ILH787000 IVD787000 JEZ787000 JOV787000 JYR787000 KIN787000 KSJ787000 LCF787000 LMB787000 LVX787000 MFT787000 MPP787000 MZL787000 NJH787000 NTD787000 OCZ787000 OMV787000 OWR787000 PGN787000 PQJ787000 QAF787000 QKB787000 QTX787000 RDT787000 RNP787000 RXL787000 SHH787000 SRD787000 TAZ787000 TKV787000 TUR787000 UEN787000 UOJ787000 UYF787000 VIB787000 VRX787000 WBT787000 WLP787000 WVL787000 D852536 IZ852536 SV852536 ACR852536 AMN852536 AWJ852536 BGF852536 BQB852536 BZX852536 CJT852536 CTP852536 DDL852536 DNH852536 DXD852536 EGZ852536 EQV852536 FAR852536 FKN852536 FUJ852536 GEF852536 GOB852536 GXX852536 HHT852536 HRP852536 IBL852536 ILH852536 IVD852536 JEZ852536 JOV852536 JYR852536 KIN852536 KSJ852536 LCF852536 LMB852536 LVX852536 MFT852536 MPP852536 MZL852536 NJH852536 NTD852536 OCZ852536 OMV852536 OWR852536 PGN852536 PQJ852536 QAF852536 QKB852536 QTX852536 RDT852536 RNP852536 RXL852536 SHH852536 SRD852536 TAZ852536 TKV852536 TUR852536 UEN852536 UOJ852536 UYF852536 VIB852536 VRX852536 WBT852536 WLP852536 WVL852536 D918072 IZ918072 SV918072 ACR918072 AMN918072 AWJ918072 BGF918072 BQB918072 BZX918072 CJT918072 CTP918072 DDL918072 DNH918072 DXD918072 EGZ918072 EQV918072 FAR918072 FKN918072 FUJ918072 GEF918072 GOB918072 GXX918072 HHT918072 HRP918072 IBL918072 ILH918072 IVD918072 JEZ918072 JOV918072 JYR918072 KIN918072 KSJ918072 LCF918072 LMB918072 LVX918072 MFT918072 MPP918072 MZL918072 NJH918072 NTD918072 OCZ918072 OMV918072 OWR918072 PGN918072 PQJ918072 QAF918072 QKB918072 QTX918072 RDT918072 RNP918072 RXL918072 SHH918072 SRD918072 TAZ918072 TKV918072 TUR918072 UEN918072 UOJ918072 UYF918072 VIB918072 VRX918072 WBT918072 WLP918072 WVL918072 D983608 IZ983608 SV983608 ACR983608 AMN983608 AWJ983608 BGF983608 BQB983608 BZX983608 CJT983608 CTP983608 DDL983608 DNH983608 DXD983608 EGZ983608 EQV983608 FAR983608 FKN983608 FUJ983608 GEF983608 GOB983608 GXX983608 HHT983608 HRP983608 IBL983608 ILH983608 IVD983608 JEZ983608 JOV983608 JYR983608 KIN983608 KSJ983608 LCF983608 LMB983608 LVX983608 MFT983608 MPP983608 MZL983608 NJH983608 NTD983608 OCZ983608 OMV983608 OWR983608 PGN983608 PQJ983608 QAF983608 QKB983608 QTX983608 RDT983608 RNP983608 RXL983608 SHH983608 SRD983608 TAZ983608 TKV983608 TUR983608 UEN983608 UOJ983608 UYF983608 VIB983608 VRX983608 WBT983608 WLP983608 WVL983608 D477 IZ477 SV477 ACR477 AMN477 AWJ477 BGF477 BQB477 BZX477 CJT477 CTP477 DDL477 DNH477 DXD477 EGZ477 EQV477 FAR477 FKN477 FUJ477 GEF477 GOB477 GXX477 HHT477 HRP477 IBL477 ILH477 IVD477 JEZ477 JOV477 JYR477 KIN477 KSJ477 LCF477 LMB477 LVX477 MFT477 MPP477 MZL477 NJH477 NTD477 OCZ477 OMV477 OWR477 PGN477 PQJ477 QAF477 QKB477 QTX477 RDT477 RNP477 RXL477 SHH477 SRD477 TAZ477 TKV477 TUR477 UEN477 UOJ477 UYF477 VIB477 VRX477 WBT477 WLP477 WVL477 D66016 IZ66016 SV66016 ACR66016 AMN66016 AWJ66016 BGF66016 BQB66016 BZX66016 CJT66016 CTP66016 DDL66016 DNH66016 DXD66016 EGZ66016 EQV66016 FAR66016 FKN66016 FUJ66016 GEF66016 GOB66016 GXX66016 HHT66016 HRP66016 IBL66016 ILH66016 IVD66016 JEZ66016 JOV66016 JYR66016 KIN66016 KSJ66016 LCF66016 LMB66016 LVX66016 MFT66016 MPP66016 MZL66016 NJH66016 NTD66016 OCZ66016 OMV66016 OWR66016 PGN66016 PQJ66016 QAF66016 QKB66016 QTX66016 RDT66016 RNP66016 RXL66016 SHH66016 SRD66016 TAZ66016 TKV66016 TUR66016 UEN66016 UOJ66016 UYF66016 VIB66016 VRX66016 WBT66016 WLP66016 WVL66016 D131552 IZ131552 SV131552 ACR131552 AMN131552 AWJ131552 BGF131552 BQB131552 BZX131552 CJT131552 CTP131552 DDL131552 DNH131552 DXD131552 EGZ131552 EQV131552 FAR131552 FKN131552 FUJ131552 GEF131552 GOB131552 GXX131552 HHT131552 HRP131552 IBL131552 ILH131552 IVD131552 JEZ131552 JOV131552 JYR131552 KIN131552 KSJ131552 LCF131552 LMB131552 LVX131552 MFT131552 MPP131552 MZL131552 NJH131552 NTD131552 OCZ131552 OMV131552 OWR131552 PGN131552 PQJ131552 QAF131552 QKB131552 QTX131552 RDT131552 RNP131552 RXL131552 SHH131552 SRD131552 TAZ131552 TKV131552 TUR131552 UEN131552 UOJ131552 UYF131552 VIB131552 VRX131552 WBT131552 WLP131552 WVL131552 D197088 IZ197088 SV197088 ACR197088 AMN197088 AWJ197088 BGF197088 BQB197088 BZX197088 CJT197088 CTP197088 DDL197088 DNH197088 DXD197088 EGZ197088 EQV197088 FAR197088 FKN197088 FUJ197088 GEF197088 GOB197088 GXX197088 HHT197088 HRP197088 IBL197088 ILH197088 IVD197088 JEZ197088 JOV197088 JYR197088 KIN197088 KSJ197088 LCF197088 LMB197088 LVX197088 MFT197088 MPP197088 MZL197088 NJH197088 NTD197088 OCZ197088 OMV197088 OWR197088 PGN197088 PQJ197088 QAF197088 QKB197088 QTX197088 RDT197088 RNP197088 RXL197088 SHH197088 SRD197088 TAZ197088 TKV197088 TUR197088 UEN197088 UOJ197088 UYF197088 VIB197088 VRX197088 WBT197088 WLP197088 WVL197088 D262624 IZ262624 SV262624 ACR262624 AMN262624 AWJ262624 BGF262624 BQB262624 BZX262624 CJT262624 CTP262624 DDL262624 DNH262624 DXD262624 EGZ262624 EQV262624 FAR262624 FKN262624 FUJ262624 GEF262624 GOB262624 GXX262624 HHT262624 HRP262624 IBL262624 ILH262624 IVD262624 JEZ262624 JOV262624 JYR262624 KIN262624 KSJ262624 LCF262624 LMB262624 LVX262624 MFT262624 MPP262624 MZL262624 NJH262624 NTD262624 OCZ262624 OMV262624 OWR262624 PGN262624 PQJ262624 QAF262624 QKB262624 QTX262624 RDT262624 RNP262624 RXL262624 SHH262624 SRD262624 TAZ262624 TKV262624 TUR262624 UEN262624 UOJ262624 UYF262624 VIB262624 VRX262624 WBT262624 WLP262624 WVL262624 D328160 IZ328160 SV328160 ACR328160 AMN328160 AWJ328160 BGF328160 BQB328160 BZX328160 CJT328160 CTP328160 DDL328160 DNH328160 DXD328160 EGZ328160 EQV328160 FAR328160 FKN328160 FUJ328160 GEF328160 GOB328160 GXX328160 HHT328160 HRP328160 IBL328160 ILH328160 IVD328160 JEZ328160 JOV328160 JYR328160 KIN328160 KSJ328160 LCF328160 LMB328160 LVX328160 MFT328160 MPP328160 MZL328160 NJH328160 NTD328160 OCZ328160 OMV328160 OWR328160 PGN328160 PQJ328160 QAF328160 QKB328160 QTX328160 RDT328160 RNP328160 RXL328160 SHH328160 SRD328160 TAZ328160 TKV328160 TUR328160 UEN328160 UOJ328160 UYF328160 VIB328160 VRX328160 WBT328160 WLP328160 WVL328160 D393696 IZ393696 SV393696 ACR393696 AMN393696 AWJ393696 BGF393696 BQB393696 BZX393696 CJT393696 CTP393696 DDL393696 DNH393696 DXD393696 EGZ393696 EQV393696 FAR393696 FKN393696 FUJ393696 GEF393696 GOB393696 GXX393696 HHT393696 HRP393696 IBL393696 ILH393696 IVD393696 JEZ393696 JOV393696 JYR393696 KIN393696 KSJ393696 LCF393696 LMB393696 LVX393696 MFT393696 MPP393696 MZL393696 NJH393696 NTD393696 OCZ393696 OMV393696 OWR393696 PGN393696 PQJ393696 QAF393696 QKB393696 QTX393696 RDT393696 RNP393696 RXL393696 SHH393696 SRD393696 TAZ393696 TKV393696 TUR393696 UEN393696 UOJ393696 UYF393696 VIB393696 VRX393696 WBT393696 WLP393696 WVL393696 D459232 IZ459232 SV459232 ACR459232 AMN459232 AWJ459232 BGF459232 BQB459232 BZX459232 CJT459232 CTP459232 DDL459232 DNH459232 DXD459232 EGZ459232 EQV459232 FAR459232 FKN459232 FUJ459232 GEF459232 GOB459232 GXX459232 HHT459232 HRP459232 IBL459232 ILH459232 IVD459232 JEZ459232 JOV459232 JYR459232 KIN459232 KSJ459232 LCF459232 LMB459232 LVX459232 MFT459232 MPP459232 MZL459232 NJH459232 NTD459232 OCZ459232 OMV459232 OWR459232 PGN459232 PQJ459232 QAF459232 QKB459232 QTX459232 RDT459232 RNP459232 RXL459232 SHH459232 SRD459232 TAZ459232 TKV459232 TUR459232 UEN459232 UOJ459232 UYF459232 VIB459232 VRX459232 WBT459232 WLP459232 WVL459232 D524768 IZ524768 SV524768 ACR524768 AMN524768 AWJ524768 BGF524768 BQB524768 BZX524768 CJT524768 CTP524768 DDL524768 DNH524768 DXD524768 EGZ524768 EQV524768 FAR524768 FKN524768 FUJ524768 GEF524768 GOB524768 GXX524768 HHT524768 HRP524768 IBL524768 ILH524768 IVD524768 JEZ524768 JOV524768 JYR524768 KIN524768 KSJ524768 LCF524768 LMB524768 LVX524768 MFT524768 MPP524768 MZL524768 NJH524768 NTD524768 OCZ524768 OMV524768 OWR524768 PGN524768 PQJ524768 QAF524768 QKB524768 QTX524768 RDT524768 RNP524768 RXL524768 SHH524768 SRD524768 TAZ524768 TKV524768 TUR524768 UEN524768 UOJ524768 UYF524768 VIB524768 VRX524768 WBT524768 WLP524768 WVL524768 D590304 IZ590304 SV590304 ACR590304 AMN590304 AWJ590304 BGF590304 BQB590304 BZX590304 CJT590304 CTP590304 DDL590304 DNH590304 DXD590304 EGZ590304 EQV590304 FAR590304 FKN590304 FUJ590304 GEF590304 GOB590304 GXX590304 HHT590304 HRP590304 IBL590304 ILH590304 IVD590304 JEZ590304 JOV590304 JYR590304 KIN590304 KSJ590304 LCF590304 LMB590304 LVX590304 MFT590304 MPP590304 MZL590304 NJH590304 NTD590304 OCZ590304 OMV590304 OWR590304 PGN590304 PQJ590304 QAF590304 QKB590304 QTX590304 RDT590304 RNP590304 RXL590304 SHH590304 SRD590304 TAZ590304 TKV590304 TUR590304 UEN590304 UOJ590304 UYF590304 VIB590304 VRX590304 WBT590304 WLP590304 WVL590304 D655840 IZ655840 SV655840 ACR655840 AMN655840 AWJ655840 BGF655840 BQB655840 BZX655840 CJT655840 CTP655840 DDL655840 DNH655840 DXD655840 EGZ655840 EQV655840 FAR655840 FKN655840 FUJ655840 GEF655840 GOB655840 GXX655840 HHT655840 HRP655840 IBL655840 ILH655840 IVD655840 JEZ655840 JOV655840 JYR655840 KIN655840 KSJ655840 LCF655840 LMB655840 LVX655840 MFT655840 MPP655840 MZL655840 NJH655840 NTD655840 OCZ655840 OMV655840 OWR655840 PGN655840 PQJ655840 QAF655840 QKB655840 QTX655840 RDT655840 RNP655840 RXL655840 SHH655840 SRD655840 TAZ655840 TKV655840 TUR655840 UEN655840 UOJ655840 UYF655840 VIB655840 VRX655840 WBT655840 WLP655840 WVL655840 D721376 IZ721376 SV721376 ACR721376 AMN721376 AWJ721376 BGF721376 BQB721376 BZX721376 CJT721376 CTP721376 DDL721376 DNH721376 DXD721376 EGZ721376 EQV721376 FAR721376 FKN721376 FUJ721376 GEF721376 GOB721376 GXX721376 HHT721376 HRP721376 IBL721376 ILH721376 IVD721376 JEZ721376 JOV721376 JYR721376 KIN721376 KSJ721376 LCF721376 LMB721376 LVX721376 MFT721376 MPP721376 MZL721376 NJH721376 NTD721376 OCZ721376 OMV721376 OWR721376 PGN721376 PQJ721376 QAF721376 QKB721376 QTX721376 RDT721376 RNP721376 RXL721376 SHH721376 SRD721376 TAZ721376 TKV721376 TUR721376 UEN721376 UOJ721376 UYF721376 VIB721376 VRX721376 WBT721376 WLP721376 WVL721376 D786912 IZ786912 SV786912 ACR786912 AMN786912 AWJ786912 BGF786912 BQB786912 BZX786912 CJT786912 CTP786912 DDL786912 DNH786912 DXD786912 EGZ786912 EQV786912 FAR786912 FKN786912 FUJ786912 GEF786912 GOB786912 GXX786912 HHT786912 HRP786912 IBL786912 ILH786912 IVD786912 JEZ786912 JOV786912 JYR786912 KIN786912 KSJ786912 LCF786912 LMB786912 LVX786912 MFT786912 MPP786912 MZL786912 NJH786912 NTD786912 OCZ786912 OMV786912 OWR786912 PGN786912 PQJ786912 QAF786912 QKB786912 QTX786912 RDT786912 RNP786912 RXL786912 SHH786912 SRD786912 TAZ786912 TKV786912 TUR786912 UEN786912 UOJ786912 UYF786912 VIB786912 VRX786912 WBT786912 WLP786912 WVL786912 D852448 IZ852448 SV852448 ACR852448 AMN852448 AWJ852448 BGF852448 BQB852448 BZX852448 CJT852448 CTP852448 DDL852448 DNH852448 DXD852448 EGZ852448 EQV852448 FAR852448 FKN852448 FUJ852448 GEF852448 GOB852448 GXX852448 HHT852448 HRP852448 IBL852448 ILH852448 IVD852448 JEZ852448 JOV852448 JYR852448 KIN852448 KSJ852448 LCF852448 LMB852448 LVX852448 MFT852448 MPP852448 MZL852448 NJH852448 NTD852448 OCZ852448 OMV852448 OWR852448 PGN852448 PQJ852448 QAF852448 QKB852448 QTX852448 RDT852448 RNP852448 RXL852448 SHH852448 SRD852448 TAZ852448 TKV852448 TUR852448 UEN852448 UOJ852448 UYF852448 VIB852448 VRX852448 WBT852448 WLP852448 WVL852448 D917984 IZ917984 SV917984 ACR917984 AMN917984 AWJ917984 BGF917984 BQB917984 BZX917984 CJT917984 CTP917984 DDL917984 DNH917984 DXD917984 EGZ917984 EQV917984 FAR917984 FKN917984 FUJ917984 GEF917984 GOB917984 GXX917984 HHT917984 HRP917984 IBL917984 ILH917984 IVD917984 JEZ917984 JOV917984 JYR917984 KIN917984 KSJ917984 LCF917984 LMB917984 LVX917984 MFT917984 MPP917984 MZL917984 NJH917984 NTD917984 OCZ917984 OMV917984 OWR917984 PGN917984 PQJ917984 QAF917984 QKB917984 QTX917984 RDT917984 RNP917984 RXL917984 SHH917984 SRD917984 TAZ917984 TKV917984 TUR917984 UEN917984 UOJ917984 UYF917984 VIB917984 VRX917984 WBT917984 WLP917984 WVL917984 D983520 IZ983520 SV983520 ACR983520 AMN983520 AWJ983520 BGF983520 BQB983520 BZX983520 CJT983520 CTP983520 DDL983520 DNH983520 DXD983520 EGZ983520 EQV983520 FAR983520 FKN983520 FUJ983520 GEF983520 GOB983520 GXX983520 HHT983520 HRP983520 IBL983520 ILH983520 IVD983520 JEZ983520 JOV983520 JYR983520 KIN983520 KSJ983520 LCF983520 LMB983520 LVX983520 MFT983520 MPP983520 MZL983520 NJH983520 NTD983520 OCZ983520 OMV983520 OWR983520 PGN983520 PQJ983520 QAF983520 QKB983520 QTX983520 RDT983520 RNP983520 RXL983520 SHH983520 SRD983520 TAZ983520 TKV983520 TUR983520 UEN983520 UOJ983520 UYF983520 VIB983520 VRX983520 WBT983520 WLP983520 WVL983520 D394 IZ394 SV394 ACR394 AMN394 AWJ394 BGF394 BQB394 BZX394 CJT394 CTP394 DDL394 DNH394 DXD394 EGZ394 EQV394 FAR394 FKN394 FUJ394 GEF394 GOB394 GXX394 HHT394 HRP394 IBL394 ILH394 IVD394 JEZ394 JOV394 JYR394 KIN394 KSJ394 LCF394 LMB394 LVX394 MFT394 MPP394 MZL394 NJH394 NTD394 OCZ394 OMV394 OWR394 PGN394 PQJ394 QAF394 QKB394 QTX394 RDT394 RNP394 RXL394 SHH394 SRD394 TAZ394 TKV394 TUR394 UEN394 UOJ394 UYF394 VIB394 VRX394 WBT394 WLP394 WVL394 D65933 IZ65933 SV65933 ACR65933 AMN65933 AWJ65933 BGF65933 BQB65933 BZX65933 CJT65933 CTP65933 DDL65933 DNH65933 DXD65933 EGZ65933 EQV65933 FAR65933 FKN65933 FUJ65933 GEF65933 GOB65933 GXX65933 HHT65933 HRP65933 IBL65933 ILH65933 IVD65933 JEZ65933 JOV65933 JYR65933 KIN65933 KSJ65933 LCF65933 LMB65933 LVX65933 MFT65933 MPP65933 MZL65933 NJH65933 NTD65933 OCZ65933 OMV65933 OWR65933 PGN65933 PQJ65933 QAF65933 QKB65933 QTX65933 RDT65933 RNP65933 RXL65933 SHH65933 SRD65933 TAZ65933 TKV65933 TUR65933 UEN65933 UOJ65933 UYF65933 VIB65933 VRX65933 WBT65933 WLP65933 WVL65933 D131469 IZ131469 SV131469 ACR131469 AMN131469 AWJ131469 BGF131469 BQB131469 BZX131469 CJT131469 CTP131469 DDL131469 DNH131469 DXD131469 EGZ131469 EQV131469 FAR131469 FKN131469 FUJ131469 GEF131469 GOB131469 GXX131469 HHT131469 HRP131469 IBL131469 ILH131469 IVD131469 JEZ131469 JOV131469 JYR131469 KIN131469 KSJ131469 LCF131469 LMB131469 LVX131469 MFT131469 MPP131469 MZL131469 NJH131469 NTD131469 OCZ131469 OMV131469 OWR131469 PGN131469 PQJ131469 QAF131469 QKB131469 QTX131469 RDT131469 RNP131469 RXL131469 SHH131469 SRD131469 TAZ131469 TKV131469 TUR131469 UEN131469 UOJ131469 UYF131469 VIB131469 VRX131469 WBT131469 WLP131469 WVL131469 D197005 IZ197005 SV197005 ACR197005 AMN197005 AWJ197005 BGF197005 BQB197005 BZX197005 CJT197005 CTP197005 DDL197005 DNH197005 DXD197005 EGZ197005 EQV197005 FAR197005 FKN197005 FUJ197005 GEF197005 GOB197005 GXX197005 HHT197005 HRP197005 IBL197005 ILH197005 IVD197005 JEZ197005 JOV197005 JYR197005 KIN197005 KSJ197005 LCF197005 LMB197005 LVX197005 MFT197005 MPP197005 MZL197005 NJH197005 NTD197005 OCZ197005 OMV197005 OWR197005 PGN197005 PQJ197005 QAF197005 QKB197005 QTX197005 RDT197005 RNP197005 RXL197005 SHH197005 SRD197005 TAZ197005 TKV197005 TUR197005 UEN197005 UOJ197005 UYF197005 VIB197005 VRX197005 WBT197005 WLP197005 WVL197005 D262541 IZ262541 SV262541 ACR262541 AMN262541 AWJ262541 BGF262541 BQB262541 BZX262541 CJT262541 CTP262541 DDL262541 DNH262541 DXD262541 EGZ262541 EQV262541 FAR262541 FKN262541 FUJ262541 GEF262541 GOB262541 GXX262541 HHT262541 HRP262541 IBL262541 ILH262541 IVD262541 JEZ262541 JOV262541 JYR262541 KIN262541 KSJ262541 LCF262541 LMB262541 LVX262541 MFT262541 MPP262541 MZL262541 NJH262541 NTD262541 OCZ262541 OMV262541 OWR262541 PGN262541 PQJ262541 QAF262541 QKB262541 QTX262541 RDT262541 RNP262541 RXL262541 SHH262541 SRD262541 TAZ262541 TKV262541 TUR262541 UEN262541 UOJ262541 UYF262541 VIB262541 VRX262541 WBT262541 WLP262541 WVL262541 D328077 IZ328077 SV328077 ACR328077 AMN328077 AWJ328077 BGF328077 BQB328077 BZX328077 CJT328077 CTP328077 DDL328077 DNH328077 DXD328077 EGZ328077 EQV328077 FAR328077 FKN328077 FUJ328077 GEF328077 GOB328077 GXX328077 HHT328077 HRP328077 IBL328077 ILH328077 IVD328077 JEZ328077 JOV328077 JYR328077 KIN328077 KSJ328077 LCF328077 LMB328077 LVX328077 MFT328077 MPP328077 MZL328077 NJH328077 NTD328077 OCZ328077 OMV328077 OWR328077 PGN328077 PQJ328077 QAF328077 QKB328077 QTX328077 RDT328077 RNP328077 RXL328077 SHH328077 SRD328077 TAZ328077 TKV328077 TUR328077 UEN328077 UOJ328077 UYF328077 VIB328077 VRX328077 WBT328077 WLP328077 WVL328077 D393613 IZ393613 SV393613 ACR393613 AMN393613 AWJ393613 BGF393613 BQB393613 BZX393613 CJT393613 CTP393613 DDL393613 DNH393613 DXD393613 EGZ393613 EQV393613 FAR393613 FKN393613 FUJ393613 GEF393613 GOB393613 GXX393613 HHT393613 HRP393613 IBL393613 ILH393613 IVD393613 JEZ393613 JOV393613 JYR393613 KIN393613 KSJ393613 LCF393613 LMB393613 LVX393613 MFT393613 MPP393613 MZL393613 NJH393613 NTD393613 OCZ393613 OMV393613 OWR393613 PGN393613 PQJ393613 QAF393613 QKB393613 QTX393613 RDT393613 RNP393613 RXL393613 SHH393613 SRD393613 TAZ393613 TKV393613 TUR393613 UEN393613 UOJ393613 UYF393613 VIB393613 VRX393613 WBT393613 WLP393613 WVL393613 D459149 IZ459149 SV459149 ACR459149 AMN459149 AWJ459149 BGF459149 BQB459149 BZX459149 CJT459149 CTP459149 DDL459149 DNH459149 DXD459149 EGZ459149 EQV459149 FAR459149 FKN459149 FUJ459149 GEF459149 GOB459149 GXX459149 HHT459149 HRP459149 IBL459149 ILH459149 IVD459149 JEZ459149 JOV459149 JYR459149 KIN459149 KSJ459149 LCF459149 LMB459149 LVX459149 MFT459149 MPP459149 MZL459149 NJH459149 NTD459149 OCZ459149 OMV459149 OWR459149 PGN459149 PQJ459149 QAF459149 QKB459149 QTX459149 RDT459149 RNP459149 RXL459149 SHH459149 SRD459149 TAZ459149 TKV459149 TUR459149 UEN459149 UOJ459149 UYF459149 VIB459149 VRX459149 WBT459149 WLP459149 WVL459149 D524685 IZ524685 SV524685 ACR524685 AMN524685 AWJ524685 BGF524685 BQB524685 BZX524685 CJT524685 CTP524685 DDL524685 DNH524685 DXD524685 EGZ524685 EQV524685 FAR524685 FKN524685 FUJ524685 GEF524685 GOB524685 GXX524685 HHT524685 HRP524685 IBL524685 ILH524685 IVD524685 JEZ524685 JOV524685 JYR524685 KIN524685 KSJ524685 LCF524685 LMB524685 LVX524685 MFT524685 MPP524685 MZL524685 NJH524685 NTD524685 OCZ524685 OMV524685 OWR524685 PGN524685 PQJ524685 QAF524685 QKB524685 QTX524685 RDT524685 RNP524685 RXL524685 SHH524685 SRD524685 TAZ524685 TKV524685 TUR524685 UEN524685 UOJ524685 UYF524685 VIB524685 VRX524685 WBT524685 WLP524685 WVL524685 D590221 IZ590221 SV590221 ACR590221 AMN590221 AWJ590221 BGF590221 BQB590221 BZX590221 CJT590221 CTP590221 DDL590221 DNH590221 DXD590221 EGZ590221 EQV590221 FAR590221 FKN590221 FUJ590221 GEF590221 GOB590221 GXX590221 HHT590221 HRP590221 IBL590221 ILH590221 IVD590221 JEZ590221 JOV590221 JYR590221 KIN590221 KSJ590221 LCF590221 LMB590221 LVX590221 MFT590221 MPP590221 MZL590221 NJH590221 NTD590221 OCZ590221 OMV590221 OWR590221 PGN590221 PQJ590221 QAF590221 QKB590221 QTX590221 RDT590221 RNP590221 RXL590221 SHH590221 SRD590221 TAZ590221 TKV590221 TUR590221 UEN590221 UOJ590221 UYF590221 VIB590221 VRX590221 WBT590221 WLP590221 WVL590221 D655757 IZ655757 SV655757 ACR655757 AMN655757 AWJ655757 BGF655757 BQB655757 BZX655757 CJT655757 CTP655757 DDL655757 DNH655757 DXD655757 EGZ655757 EQV655757 FAR655757 FKN655757 FUJ655757 GEF655757 GOB655757 GXX655757 HHT655757 HRP655757 IBL655757 ILH655757 IVD655757 JEZ655757 JOV655757 JYR655757 KIN655757 KSJ655757 LCF655757 LMB655757 LVX655757 MFT655757 MPP655757 MZL655757 NJH655757 NTD655757 OCZ655757 OMV655757 OWR655757 PGN655757 PQJ655757 QAF655757 QKB655757 QTX655757 RDT655757 RNP655757 RXL655757 SHH655757 SRD655757 TAZ655757 TKV655757 TUR655757 UEN655757 UOJ655757 UYF655757 VIB655757 VRX655757 WBT655757 WLP655757 WVL655757 D721293 IZ721293 SV721293 ACR721293 AMN721293 AWJ721293 BGF721293 BQB721293 BZX721293 CJT721293 CTP721293 DDL721293 DNH721293 DXD721293 EGZ721293 EQV721293 FAR721293 FKN721293 FUJ721293 GEF721293 GOB721293 GXX721293 HHT721293 HRP721293 IBL721293 ILH721293 IVD721293 JEZ721293 JOV721293 JYR721293 KIN721293 KSJ721293 LCF721293 LMB721293 LVX721293 MFT721293 MPP721293 MZL721293 NJH721293 NTD721293 OCZ721293 OMV721293 OWR721293 PGN721293 PQJ721293 QAF721293 QKB721293 QTX721293 RDT721293 RNP721293 RXL721293 SHH721293 SRD721293 TAZ721293 TKV721293 TUR721293 UEN721293 UOJ721293 UYF721293 VIB721293 VRX721293 WBT721293 WLP721293 WVL721293 D786829 IZ786829 SV786829 ACR786829 AMN786829 AWJ786829 BGF786829 BQB786829 BZX786829 CJT786829 CTP786829 DDL786829 DNH786829 DXD786829 EGZ786829 EQV786829 FAR786829 FKN786829 FUJ786829 GEF786829 GOB786829 GXX786829 HHT786829 HRP786829 IBL786829 ILH786829 IVD786829 JEZ786829 JOV786829 JYR786829 KIN786829 KSJ786829 LCF786829 LMB786829 LVX786829 MFT786829 MPP786829 MZL786829 NJH786829 NTD786829 OCZ786829 OMV786829 OWR786829 PGN786829 PQJ786829 QAF786829 QKB786829 QTX786829 RDT786829 RNP786829 RXL786829 SHH786829 SRD786829 TAZ786829 TKV786829 TUR786829 UEN786829 UOJ786829 UYF786829 VIB786829 VRX786829 WBT786829 WLP786829 WVL786829 D852365 IZ852365 SV852365 ACR852365 AMN852365 AWJ852365 BGF852365 BQB852365 BZX852365 CJT852365 CTP852365 DDL852365 DNH852365 DXD852365 EGZ852365 EQV852365 FAR852365 FKN852365 FUJ852365 GEF852365 GOB852365 GXX852365 HHT852365 HRP852365 IBL852365 ILH852365 IVD852365 JEZ852365 JOV852365 JYR852365 KIN852365 KSJ852365 LCF852365 LMB852365 LVX852365 MFT852365 MPP852365 MZL852365 NJH852365 NTD852365 OCZ852365 OMV852365 OWR852365 PGN852365 PQJ852365 QAF852365 QKB852365 QTX852365 RDT852365 RNP852365 RXL852365 SHH852365 SRD852365 TAZ852365 TKV852365 TUR852365 UEN852365 UOJ852365 UYF852365 VIB852365 VRX852365 WBT852365 WLP852365 WVL852365 D917901 IZ917901 SV917901 ACR917901 AMN917901 AWJ917901 BGF917901 BQB917901 BZX917901 CJT917901 CTP917901 DDL917901 DNH917901 DXD917901 EGZ917901 EQV917901 FAR917901 FKN917901 FUJ917901 GEF917901 GOB917901 GXX917901 HHT917901 HRP917901 IBL917901 ILH917901 IVD917901 JEZ917901 JOV917901 JYR917901 KIN917901 KSJ917901 LCF917901 LMB917901 LVX917901 MFT917901 MPP917901 MZL917901 NJH917901 NTD917901 OCZ917901 OMV917901 OWR917901 PGN917901 PQJ917901 QAF917901 QKB917901 QTX917901 RDT917901 RNP917901 RXL917901 SHH917901 SRD917901 TAZ917901 TKV917901 TUR917901 UEN917901 UOJ917901 UYF917901 VIB917901 VRX917901 WBT917901 WLP917901 WVL917901 D983437 IZ983437 SV983437 ACR983437 AMN983437 AWJ983437 BGF983437 BQB983437 BZX983437 CJT983437 CTP983437 DDL983437 DNH983437 DXD983437 EGZ983437 EQV983437 FAR983437 FKN983437 FUJ983437 GEF983437 GOB983437 GXX983437 HHT983437 HRP983437 IBL983437 ILH983437 IVD983437 JEZ983437 JOV983437 JYR983437 KIN983437 KSJ983437 LCF983437 LMB983437 LVX983437 MFT983437 MPP983437 MZL983437 NJH983437 NTD983437 OCZ983437 OMV983437 OWR983437 PGN983437 PQJ983437 QAF983437 QKB983437 QTX983437 RDT983437 RNP983437 RXL983437 SHH983437 SRD983437 TAZ983437 TKV983437 TUR983437 UEN983437 UOJ983437 UYF983437 VIB983437 VRX983437 WBT983437 WLP983437 WVL983437 D275 IZ275 SV275 ACR275 AMN275 AWJ275 BGF275 BQB275 BZX275 CJT275 CTP275 DDL275 DNH275 DXD275 EGZ275 EQV275 FAR275 FKN275 FUJ275 GEF275 GOB275 GXX275 HHT275 HRP275 IBL275 ILH275 IVD275 JEZ275 JOV275 JYR275 KIN275 KSJ275 LCF275 LMB275 LVX275 MFT275 MPP275 MZL275 NJH275 NTD275 OCZ275 OMV275 OWR275 PGN275 PQJ275 QAF275 QKB275 QTX275 RDT275 RNP275 RXL275 SHH275 SRD275 TAZ275 TKV275 TUR275 UEN275 UOJ275 UYF275 VIB275 VRX275 WBT275 WLP275 WVL275 D65796 IZ65796 SV65796 ACR65796 AMN65796 AWJ65796 BGF65796 BQB65796 BZX65796 CJT65796 CTP65796 DDL65796 DNH65796 DXD65796 EGZ65796 EQV65796 FAR65796 FKN65796 FUJ65796 GEF65796 GOB65796 GXX65796 HHT65796 HRP65796 IBL65796 ILH65796 IVD65796 JEZ65796 JOV65796 JYR65796 KIN65796 KSJ65796 LCF65796 LMB65796 LVX65796 MFT65796 MPP65796 MZL65796 NJH65796 NTD65796 OCZ65796 OMV65796 OWR65796 PGN65796 PQJ65796 QAF65796 QKB65796 QTX65796 RDT65796 RNP65796 RXL65796 SHH65796 SRD65796 TAZ65796 TKV65796 TUR65796 UEN65796 UOJ65796 UYF65796 VIB65796 VRX65796 WBT65796 WLP65796 WVL65796 D131332 IZ131332 SV131332 ACR131332 AMN131332 AWJ131332 BGF131332 BQB131332 BZX131332 CJT131332 CTP131332 DDL131332 DNH131332 DXD131332 EGZ131332 EQV131332 FAR131332 FKN131332 FUJ131332 GEF131332 GOB131332 GXX131332 HHT131332 HRP131332 IBL131332 ILH131332 IVD131332 JEZ131332 JOV131332 JYR131332 KIN131332 KSJ131332 LCF131332 LMB131332 LVX131332 MFT131332 MPP131332 MZL131332 NJH131332 NTD131332 OCZ131332 OMV131332 OWR131332 PGN131332 PQJ131332 QAF131332 QKB131332 QTX131332 RDT131332 RNP131332 RXL131332 SHH131332 SRD131332 TAZ131332 TKV131332 TUR131332 UEN131332 UOJ131332 UYF131332 VIB131332 VRX131332 WBT131332 WLP131332 WVL131332 D196868 IZ196868 SV196868 ACR196868 AMN196868 AWJ196868 BGF196868 BQB196868 BZX196868 CJT196868 CTP196868 DDL196868 DNH196868 DXD196868 EGZ196868 EQV196868 FAR196868 FKN196868 FUJ196868 GEF196868 GOB196868 GXX196868 HHT196868 HRP196868 IBL196868 ILH196868 IVD196868 JEZ196868 JOV196868 JYR196868 KIN196868 KSJ196868 LCF196868 LMB196868 LVX196868 MFT196868 MPP196868 MZL196868 NJH196868 NTD196868 OCZ196868 OMV196868 OWR196868 PGN196868 PQJ196868 QAF196868 QKB196868 QTX196868 RDT196868 RNP196868 RXL196868 SHH196868 SRD196868 TAZ196868 TKV196868 TUR196868 UEN196868 UOJ196868 UYF196868 VIB196868 VRX196868 WBT196868 WLP196868 WVL196868 D262404 IZ262404 SV262404 ACR262404 AMN262404 AWJ262404 BGF262404 BQB262404 BZX262404 CJT262404 CTP262404 DDL262404 DNH262404 DXD262404 EGZ262404 EQV262404 FAR262404 FKN262404 FUJ262404 GEF262404 GOB262404 GXX262404 HHT262404 HRP262404 IBL262404 ILH262404 IVD262404 JEZ262404 JOV262404 JYR262404 KIN262404 KSJ262404 LCF262404 LMB262404 LVX262404 MFT262404 MPP262404 MZL262404 NJH262404 NTD262404 OCZ262404 OMV262404 OWR262404 PGN262404 PQJ262404 QAF262404 QKB262404 QTX262404 RDT262404 RNP262404 RXL262404 SHH262404 SRD262404 TAZ262404 TKV262404 TUR262404 UEN262404 UOJ262404 UYF262404 VIB262404 VRX262404 WBT262404 WLP262404 WVL262404 D327940 IZ327940 SV327940 ACR327940 AMN327940 AWJ327940 BGF327940 BQB327940 BZX327940 CJT327940 CTP327940 DDL327940 DNH327940 DXD327940 EGZ327940 EQV327940 FAR327940 FKN327940 FUJ327940 GEF327940 GOB327940 GXX327940 HHT327940 HRP327940 IBL327940 ILH327940 IVD327940 JEZ327940 JOV327940 JYR327940 KIN327940 KSJ327940 LCF327940 LMB327940 LVX327940 MFT327940 MPP327940 MZL327940 NJH327940 NTD327940 OCZ327940 OMV327940 OWR327940 PGN327940 PQJ327940 QAF327940 QKB327940 QTX327940 RDT327940 RNP327940 RXL327940 SHH327940 SRD327940 TAZ327940 TKV327940 TUR327940 UEN327940 UOJ327940 UYF327940 VIB327940 VRX327940 WBT327940 WLP327940 WVL327940 D393476 IZ393476 SV393476 ACR393476 AMN393476 AWJ393476 BGF393476 BQB393476 BZX393476 CJT393476 CTP393476 DDL393476 DNH393476 DXD393476 EGZ393476 EQV393476 FAR393476 FKN393476 FUJ393476 GEF393476 GOB393476 GXX393476 HHT393476 HRP393476 IBL393476 ILH393476 IVD393476 JEZ393476 JOV393476 JYR393476 KIN393476 KSJ393476 LCF393476 LMB393476 LVX393476 MFT393476 MPP393476 MZL393476 NJH393476 NTD393476 OCZ393476 OMV393476 OWR393476 PGN393476 PQJ393476 QAF393476 QKB393476 QTX393476 RDT393476 RNP393476 RXL393476 SHH393476 SRD393476 TAZ393476 TKV393476 TUR393476 UEN393476 UOJ393476 UYF393476 VIB393476 VRX393476 WBT393476 WLP393476 WVL393476 D459012 IZ459012 SV459012 ACR459012 AMN459012 AWJ459012 BGF459012 BQB459012 BZX459012 CJT459012 CTP459012 DDL459012 DNH459012 DXD459012 EGZ459012 EQV459012 FAR459012 FKN459012 FUJ459012 GEF459012 GOB459012 GXX459012 HHT459012 HRP459012 IBL459012 ILH459012 IVD459012 JEZ459012 JOV459012 JYR459012 KIN459012 KSJ459012 LCF459012 LMB459012 LVX459012 MFT459012 MPP459012 MZL459012 NJH459012 NTD459012 OCZ459012 OMV459012 OWR459012 PGN459012 PQJ459012 QAF459012 QKB459012 QTX459012 RDT459012 RNP459012 RXL459012 SHH459012 SRD459012 TAZ459012 TKV459012 TUR459012 UEN459012 UOJ459012 UYF459012 VIB459012 VRX459012 WBT459012 WLP459012 WVL459012 D524548 IZ524548 SV524548 ACR524548 AMN524548 AWJ524548 BGF524548 BQB524548 BZX524548 CJT524548 CTP524548 DDL524548 DNH524548 DXD524548 EGZ524548 EQV524548 FAR524548 FKN524548 FUJ524548 GEF524548 GOB524548 GXX524548 HHT524548 HRP524548 IBL524548 ILH524548 IVD524548 JEZ524548 JOV524548 JYR524548 KIN524548 KSJ524548 LCF524548 LMB524548 LVX524548 MFT524548 MPP524548 MZL524548 NJH524548 NTD524548 OCZ524548 OMV524548 OWR524548 PGN524548 PQJ524548 QAF524548 QKB524548 QTX524548 RDT524548 RNP524548 RXL524548 SHH524548 SRD524548 TAZ524548 TKV524548 TUR524548 UEN524548 UOJ524548 UYF524548 VIB524548 VRX524548 WBT524548 WLP524548 WVL524548 D590084 IZ590084 SV590084 ACR590084 AMN590084 AWJ590084 BGF590084 BQB590084 BZX590084 CJT590084 CTP590084 DDL590084 DNH590084 DXD590084 EGZ590084 EQV590084 FAR590084 FKN590084 FUJ590084 GEF590084 GOB590084 GXX590084 HHT590084 HRP590084 IBL590084 ILH590084 IVD590084 JEZ590084 JOV590084 JYR590084 KIN590084 KSJ590084 LCF590084 LMB590084 LVX590084 MFT590084 MPP590084 MZL590084 NJH590084 NTD590084 OCZ590084 OMV590084 OWR590084 PGN590084 PQJ590084 QAF590084 QKB590084 QTX590084 RDT590084 RNP590084 RXL590084 SHH590084 SRD590084 TAZ590084 TKV590084 TUR590084 UEN590084 UOJ590084 UYF590084 VIB590084 VRX590084 WBT590084 WLP590084 WVL590084 D655620 IZ655620 SV655620 ACR655620 AMN655620 AWJ655620 BGF655620 BQB655620 BZX655620 CJT655620 CTP655620 DDL655620 DNH655620 DXD655620 EGZ655620 EQV655620 FAR655620 FKN655620 FUJ655620 GEF655620 GOB655620 GXX655620 HHT655620 HRP655620 IBL655620 ILH655620 IVD655620 JEZ655620 JOV655620 JYR655620 KIN655620 KSJ655620 LCF655620 LMB655620 LVX655620 MFT655620 MPP655620 MZL655620 NJH655620 NTD655620 OCZ655620 OMV655620 OWR655620 PGN655620 PQJ655620 QAF655620 QKB655620 QTX655620 RDT655620 RNP655620 RXL655620 SHH655620 SRD655620 TAZ655620 TKV655620 TUR655620 UEN655620 UOJ655620 UYF655620 VIB655620 VRX655620 WBT655620 WLP655620 WVL655620 D721156 IZ721156 SV721156 ACR721156 AMN721156 AWJ721156 BGF721156 BQB721156 BZX721156 CJT721156 CTP721156 DDL721156 DNH721156 DXD721156 EGZ721156 EQV721156 FAR721156 FKN721156 FUJ721156 GEF721156 GOB721156 GXX721156 HHT721156 HRP721156 IBL721156 ILH721156 IVD721156 JEZ721156 JOV721156 JYR721156 KIN721156 KSJ721156 LCF721156 LMB721156 LVX721156 MFT721156 MPP721156 MZL721156 NJH721156 NTD721156 OCZ721156 OMV721156 OWR721156 PGN721156 PQJ721156 QAF721156 QKB721156 QTX721156 RDT721156 RNP721156 RXL721156 SHH721156 SRD721156 TAZ721156 TKV721156 TUR721156 UEN721156 UOJ721156 UYF721156 VIB721156 VRX721156 WBT721156 WLP721156 WVL721156 D786692 IZ786692 SV786692 ACR786692 AMN786692 AWJ786692 BGF786692 BQB786692 BZX786692 CJT786692 CTP786692 DDL786692 DNH786692 DXD786692 EGZ786692 EQV786692 FAR786692 FKN786692 FUJ786692 GEF786692 GOB786692 GXX786692 HHT786692 HRP786692 IBL786692 ILH786692 IVD786692 JEZ786692 JOV786692 JYR786692 KIN786692 KSJ786692 LCF786692 LMB786692 LVX786692 MFT786692 MPP786692 MZL786692 NJH786692 NTD786692 OCZ786692 OMV786692 OWR786692 PGN786692 PQJ786692 QAF786692 QKB786692 QTX786692 RDT786692 RNP786692 RXL786692 SHH786692 SRD786692 TAZ786692 TKV786692 TUR786692 UEN786692 UOJ786692 UYF786692 VIB786692 VRX786692 WBT786692 WLP786692 WVL786692 D852228 IZ852228 SV852228 ACR852228 AMN852228 AWJ852228 BGF852228 BQB852228 BZX852228 CJT852228 CTP852228 DDL852228 DNH852228 DXD852228 EGZ852228 EQV852228 FAR852228 FKN852228 FUJ852228 GEF852228 GOB852228 GXX852228 HHT852228 HRP852228 IBL852228 ILH852228 IVD852228 JEZ852228 JOV852228 JYR852228 KIN852228 KSJ852228 LCF852228 LMB852228 LVX852228 MFT852228 MPP852228 MZL852228 NJH852228 NTD852228 OCZ852228 OMV852228 OWR852228 PGN852228 PQJ852228 QAF852228 QKB852228 QTX852228 RDT852228 RNP852228 RXL852228 SHH852228 SRD852228 TAZ852228 TKV852228 TUR852228 UEN852228 UOJ852228 UYF852228 VIB852228 VRX852228 WBT852228 WLP852228 WVL852228 D917764 IZ917764 SV917764 ACR917764 AMN917764 AWJ917764 BGF917764 BQB917764 BZX917764 CJT917764 CTP917764 DDL917764 DNH917764 DXD917764 EGZ917764 EQV917764 FAR917764 FKN917764 FUJ917764 GEF917764 GOB917764 GXX917764 HHT917764 HRP917764 IBL917764 ILH917764 IVD917764 JEZ917764 JOV917764 JYR917764 KIN917764 KSJ917764 LCF917764 LMB917764 LVX917764 MFT917764 MPP917764 MZL917764 NJH917764 NTD917764 OCZ917764 OMV917764 OWR917764 PGN917764 PQJ917764 QAF917764 QKB917764 QTX917764 RDT917764 RNP917764 RXL917764 SHH917764 SRD917764 TAZ917764 TKV917764 TUR917764 UEN917764 UOJ917764 UYF917764 VIB917764 VRX917764 WBT917764 WLP917764 WVL917764 D983300 IZ983300 SV983300 ACR983300 AMN983300 AWJ983300 BGF983300 BQB983300 BZX983300 CJT983300 CTP983300 DDL983300 DNH983300 DXD983300 EGZ983300 EQV983300 FAR983300 FKN983300 FUJ983300 GEF983300 GOB983300 GXX983300 HHT983300 HRP983300 IBL983300 ILH983300 IVD983300 JEZ983300 JOV983300 JYR983300 KIN983300 KSJ983300 LCF983300 LMB983300 LVX983300 MFT983300 MPP983300 MZL983300 NJH983300 NTD983300 OCZ983300 OMV983300 OWR983300 PGN983300 PQJ983300 QAF983300 QKB983300 QTX983300 RDT983300 RNP983300 RXL983300 SHH983300 SRD983300 TAZ983300 TKV983300 TUR983300 UEN983300 UOJ983300 UYF983300 VIB983300 VRX983300 WBT983300 WLP983300 WVL983300 D131 IZ131 SV131 ACR131 AMN131 AWJ131 BGF131 BQB131 BZX131 CJT131 CTP131 DDL131 DNH131 DXD131 EGZ131 EQV131 FAR131 FKN131 FUJ131 GEF131 GOB131 GXX131 HHT131 HRP131 IBL131 ILH131 IVD131 JEZ131 JOV131 JYR131 KIN131 KSJ131 LCF131 LMB131 LVX131 MFT131 MPP131 MZL131 NJH131 NTD131 OCZ131 OMV131 OWR131 PGN131 PQJ131 QAF131 QKB131 QTX131 RDT131 RNP131 RXL131 SHH131 SRD131 TAZ131 TKV131 TUR131 UEN131 UOJ131 UYF131 VIB131 VRX131 WBT131 WLP131 WVL131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WVK983131:WVL983131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627:D65627 IY65627:IZ65627 SU65627:SV65627 ACQ65627:ACR65627 AMM65627:AMN65627 AWI65627:AWJ65627 BGE65627:BGF65627 BQA65627:BQB65627 BZW65627:BZX65627 CJS65627:CJT65627 CTO65627:CTP65627 DDK65627:DDL65627 DNG65627:DNH65627 DXC65627:DXD65627 EGY65627:EGZ65627 EQU65627:EQV65627 FAQ65627:FAR65627 FKM65627:FKN65627 FUI65627:FUJ65627 GEE65627:GEF65627 GOA65627:GOB65627 GXW65627:GXX65627 HHS65627:HHT65627 HRO65627:HRP65627 IBK65627:IBL65627 ILG65627:ILH65627 IVC65627:IVD65627 JEY65627:JEZ65627 JOU65627:JOV65627 JYQ65627:JYR65627 KIM65627:KIN65627 KSI65627:KSJ65627 LCE65627:LCF65627 LMA65627:LMB65627 LVW65627:LVX65627 MFS65627:MFT65627 MPO65627:MPP65627 MZK65627:MZL65627 NJG65627:NJH65627 NTC65627:NTD65627 OCY65627:OCZ65627 OMU65627:OMV65627 OWQ65627:OWR65627 PGM65627:PGN65627 PQI65627:PQJ65627 QAE65627:QAF65627 QKA65627:QKB65627 QTW65627:QTX65627 RDS65627:RDT65627 RNO65627:RNP65627 RXK65627:RXL65627 SHG65627:SHH65627 SRC65627:SRD65627 TAY65627:TAZ65627 TKU65627:TKV65627 TUQ65627:TUR65627 UEM65627:UEN65627 UOI65627:UOJ65627 UYE65627:UYF65627 VIA65627:VIB65627 VRW65627:VRX65627 WBS65627:WBT65627 WLO65627:WLP65627 WVK65627:WVL65627 C131163:D131163 IY131163:IZ131163 SU131163:SV131163 ACQ131163:ACR131163 AMM131163:AMN131163 AWI131163:AWJ131163 BGE131163:BGF131163 BQA131163:BQB131163 BZW131163:BZX131163 CJS131163:CJT131163 CTO131163:CTP131163 DDK131163:DDL131163 DNG131163:DNH131163 DXC131163:DXD131163 EGY131163:EGZ131163 EQU131163:EQV131163 FAQ131163:FAR131163 FKM131163:FKN131163 FUI131163:FUJ131163 GEE131163:GEF131163 GOA131163:GOB131163 GXW131163:GXX131163 HHS131163:HHT131163 HRO131163:HRP131163 IBK131163:IBL131163 ILG131163:ILH131163 IVC131163:IVD131163 JEY131163:JEZ131163 JOU131163:JOV131163 JYQ131163:JYR131163 KIM131163:KIN131163 KSI131163:KSJ131163 LCE131163:LCF131163 LMA131163:LMB131163 LVW131163:LVX131163 MFS131163:MFT131163 MPO131163:MPP131163 MZK131163:MZL131163 NJG131163:NJH131163 NTC131163:NTD131163 OCY131163:OCZ131163 OMU131163:OMV131163 OWQ131163:OWR131163 PGM131163:PGN131163 PQI131163:PQJ131163 QAE131163:QAF131163 QKA131163:QKB131163 QTW131163:QTX131163 RDS131163:RDT131163 RNO131163:RNP131163 RXK131163:RXL131163 SHG131163:SHH131163 SRC131163:SRD131163 TAY131163:TAZ131163 TKU131163:TKV131163 TUQ131163:TUR131163 UEM131163:UEN131163 UOI131163:UOJ131163 UYE131163:UYF131163 VIA131163:VIB131163 VRW131163:VRX131163 WBS131163:WBT131163 WLO131163:WLP131163 WVK131163:WVL131163 C196699:D196699 IY196699:IZ196699 SU196699:SV196699 ACQ196699:ACR196699 AMM196699:AMN196699 AWI196699:AWJ196699 BGE196699:BGF196699 BQA196699:BQB196699 BZW196699:BZX196699 CJS196699:CJT196699 CTO196699:CTP196699 DDK196699:DDL196699 DNG196699:DNH196699 DXC196699:DXD196699 EGY196699:EGZ196699 EQU196699:EQV196699 FAQ196699:FAR196699 FKM196699:FKN196699 FUI196699:FUJ196699 GEE196699:GEF196699 GOA196699:GOB196699 GXW196699:GXX196699 HHS196699:HHT196699 HRO196699:HRP196699 IBK196699:IBL196699 ILG196699:ILH196699 IVC196699:IVD196699 JEY196699:JEZ196699 JOU196699:JOV196699 JYQ196699:JYR196699 KIM196699:KIN196699 KSI196699:KSJ196699 LCE196699:LCF196699 LMA196699:LMB196699 LVW196699:LVX196699 MFS196699:MFT196699 MPO196699:MPP196699 MZK196699:MZL196699 NJG196699:NJH196699 NTC196699:NTD196699 OCY196699:OCZ196699 OMU196699:OMV196699 OWQ196699:OWR196699 PGM196699:PGN196699 PQI196699:PQJ196699 QAE196699:QAF196699 QKA196699:QKB196699 QTW196699:QTX196699 RDS196699:RDT196699 RNO196699:RNP196699 RXK196699:RXL196699 SHG196699:SHH196699 SRC196699:SRD196699 TAY196699:TAZ196699 TKU196699:TKV196699 TUQ196699:TUR196699 UEM196699:UEN196699 UOI196699:UOJ196699 UYE196699:UYF196699 VIA196699:VIB196699 VRW196699:VRX196699 WBS196699:WBT196699 WLO196699:WLP196699 WVK196699:WVL196699 C262235:D262235 IY262235:IZ262235 SU262235:SV262235 ACQ262235:ACR262235 AMM262235:AMN262235 AWI262235:AWJ262235 BGE262235:BGF262235 BQA262235:BQB262235 BZW262235:BZX262235 CJS262235:CJT262235 CTO262235:CTP262235 DDK262235:DDL262235 DNG262235:DNH262235 DXC262235:DXD262235 EGY262235:EGZ262235 EQU262235:EQV262235 FAQ262235:FAR262235 FKM262235:FKN262235 FUI262235:FUJ262235 GEE262235:GEF262235 GOA262235:GOB262235 GXW262235:GXX262235 HHS262235:HHT262235 HRO262235:HRP262235 IBK262235:IBL262235 ILG262235:ILH262235 IVC262235:IVD262235 JEY262235:JEZ262235 JOU262235:JOV262235 JYQ262235:JYR262235 KIM262235:KIN262235 KSI262235:KSJ262235 LCE262235:LCF262235 LMA262235:LMB262235 LVW262235:LVX262235 MFS262235:MFT262235 MPO262235:MPP262235 MZK262235:MZL262235 NJG262235:NJH262235 NTC262235:NTD262235 OCY262235:OCZ262235 OMU262235:OMV262235 OWQ262235:OWR262235 PGM262235:PGN262235 PQI262235:PQJ262235 QAE262235:QAF262235 QKA262235:QKB262235 QTW262235:QTX262235 RDS262235:RDT262235 RNO262235:RNP262235 RXK262235:RXL262235 SHG262235:SHH262235 SRC262235:SRD262235 TAY262235:TAZ262235 TKU262235:TKV262235 TUQ262235:TUR262235 UEM262235:UEN262235 UOI262235:UOJ262235 UYE262235:UYF262235 VIA262235:VIB262235 VRW262235:VRX262235 WBS262235:WBT262235 WLO262235:WLP262235 WVK262235:WVL262235 C327771:D327771 IY327771:IZ327771 SU327771:SV327771 ACQ327771:ACR327771 AMM327771:AMN327771 AWI327771:AWJ327771 BGE327771:BGF327771 BQA327771:BQB327771 BZW327771:BZX327771 CJS327771:CJT327771 CTO327771:CTP327771 DDK327771:DDL327771 DNG327771:DNH327771 DXC327771:DXD327771 EGY327771:EGZ327771 EQU327771:EQV327771 FAQ327771:FAR327771 FKM327771:FKN327771 FUI327771:FUJ327771 GEE327771:GEF327771 GOA327771:GOB327771 GXW327771:GXX327771 HHS327771:HHT327771 HRO327771:HRP327771 IBK327771:IBL327771 ILG327771:ILH327771 IVC327771:IVD327771 JEY327771:JEZ327771 JOU327771:JOV327771 JYQ327771:JYR327771 KIM327771:KIN327771 KSI327771:KSJ327771 LCE327771:LCF327771 LMA327771:LMB327771 LVW327771:LVX327771 MFS327771:MFT327771 MPO327771:MPP327771 MZK327771:MZL327771 NJG327771:NJH327771 NTC327771:NTD327771 OCY327771:OCZ327771 OMU327771:OMV327771 OWQ327771:OWR327771 PGM327771:PGN327771 PQI327771:PQJ327771 QAE327771:QAF327771 QKA327771:QKB327771 QTW327771:QTX327771 RDS327771:RDT327771 RNO327771:RNP327771 RXK327771:RXL327771 SHG327771:SHH327771 SRC327771:SRD327771 TAY327771:TAZ327771 TKU327771:TKV327771 TUQ327771:TUR327771 UEM327771:UEN327771 UOI327771:UOJ327771 UYE327771:UYF327771 VIA327771:VIB327771 VRW327771:VRX327771 WBS327771:WBT327771 WLO327771:WLP327771 WVK327771:WVL327771 C393307:D393307 IY393307:IZ393307 SU393307:SV393307 ACQ393307:ACR393307 AMM393307:AMN393307 AWI393307:AWJ393307 BGE393307:BGF393307 BQA393307:BQB393307 BZW393307:BZX393307 CJS393307:CJT393307 CTO393307:CTP393307 DDK393307:DDL393307 DNG393307:DNH393307 DXC393307:DXD393307 EGY393307:EGZ393307 EQU393307:EQV393307 FAQ393307:FAR393307 FKM393307:FKN393307 FUI393307:FUJ393307 GEE393307:GEF393307 GOA393307:GOB393307 GXW393307:GXX393307 HHS393307:HHT393307 HRO393307:HRP393307 IBK393307:IBL393307 ILG393307:ILH393307 IVC393307:IVD393307 JEY393307:JEZ393307 JOU393307:JOV393307 JYQ393307:JYR393307 KIM393307:KIN393307 KSI393307:KSJ393307 LCE393307:LCF393307 LMA393307:LMB393307 LVW393307:LVX393307 MFS393307:MFT393307 MPO393307:MPP393307 MZK393307:MZL393307 NJG393307:NJH393307 NTC393307:NTD393307 OCY393307:OCZ393307 OMU393307:OMV393307 OWQ393307:OWR393307 PGM393307:PGN393307 PQI393307:PQJ393307 QAE393307:QAF393307 QKA393307:QKB393307 QTW393307:QTX393307 RDS393307:RDT393307 RNO393307:RNP393307 RXK393307:RXL393307 SHG393307:SHH393307 SRC393307:SRD393307 TAY393307:TAZ393307 TKU393307:TKV393307 TUQ393307:TUR393307 UEM393307:UEN393307 UOI393307:UOJ393307 UYE393307:UYF393307 VIA393307:VIB393307 VRW393307:VRX393307 WBS393307:WBT393307 WLO393307:WLP393307 WVK393307:WVL393307 C458843:D458843 IY458843:IZ458843 SU458843:SV458843 ACQ458843:ACR458843 AMM458843:AMN458843 AWI458843:AWJ458843 BGE458843:BGF458843 BQA458843:BQB458843 BZW458843:BZX458843 CJS458843:CJT458843 CTO458843:CTP458843 DDK458843:DDL458843 DNG458843:DNH458843 DXC458843:DXD458843 EGY458843:EGZ458843 EQU458843:EQV458843 FAQ458843:FAR458843 FKM458843:FKN458843 FUI458843:FUJ458843 GEE458843:GEF458843 GOA458843:GOB458843 GXW458843:GXX458843 HHS458843:HHT458843 HRO458843:HRP458843 IBK458843:IBL458843 ILG458843:ILH458843 IVC458843:IVD458843 JEY458843:JEZ458843 JOU458843:JOV458843 JYQ458843:JYR458843 KIM458843:KIN458843 KSI458843:KSJ458843 LCE458843:LCF458843 LMA458843:LMB458843 LVW458843:LVX458843 MFS458843:MFT458843 MPO458843:MPP458843 MZK458843:MZL458843 NJG458843:NJH458843 NTC458843:NTD458843 OCY458843:OCZ458843 OMU458843:OMV458843 OWQ458843:OWR458843 PGM458843:PGN458843 PQI458843:PQJ458843 QAE458843:QAF458843 QKA458843:QKB458843 QTW458843:QTX458843 RDS458843:RDT458843 RNO458843:RNP458843 RXK458843:RXL458843 SHG458843:SHH458843 SRC458843:SRD458843 TAY458843:TAZ458843 TKU458843:TKV458843 TUQ458843:TUR458843 UEM458843:UEN458843 UOI458843:UOJ458843 UYE458843:UYF458843 VIA458843:VIB458843 VRW458843:VRX458843 WBS458843:WBT458843 WLO458843:WLP458843 WVK458843:WVL458843 C524379:D524379 IY524379:IZ524379 SU524379:SV524379 ACQ524379:ACR524379 AMM524379:AMN524379 AWI524379:AWJ524379 BGE524379:BGF524379 BQA524379:BQB524379 BZW524379:BZX524379 CJS524379:CJT524379 CTO524379:CTP524379 DDK524379:DDL524379 DNG524379:DNH524379 DXC524379:DXD524379 EGY524379:EGZ524379 EQU524379:EQV524379 FAQ524379:FAR524379 FKM524379:FKN524379 FUI524379:FUJ524379 GEE524379:GEF524379 GOA524379:GOB524379 GXW524379:GXX524379 HHS524379:HHT524379 HRO524379:HRP524379 IBK524379:IBL524379 ILG524379:ILH524379 IVC524379:IVD524379 JEY524379:JEZ524379 JOU524379:JOV524379 JYQ524379:JYR524379 KIM524379:KIN524379 KSI524379:KSJ524379 LCE524379:LCF524379 LMA524379:LMB524379 LVW524379:LVX524379 MFS524379:MFT524379 MPO524379:MPP524379 MZK524379:MZL524379 NJG524379:NJH524379 NTC524379:NTD524379 OCY524379:OCZ524379 OMU524379:OMV524379 OWQ524379:OWR524379 PGM524379:PGN524379 PQI524379:PQJ524379 QAE524379:QAF524379 QKA524379:QKB524379 QTW524379:QTX524379 RDS524379:RDT524379 RNO524379:RNP524379 RXK524379:RXL524379 SHG524379:SHH524379 SRC524379:SRD524379 TAY524379:TAZ524379 TKU524379:TKV524379 TUQ524379:TUR524379 UEM524379:UEN524379 UOI524379:UOJ524379 UYE524379:UYF524379 VIA524379:VIB524379 VRW524379:VRX524379 WBS524379:WBT524379 WLO524379:WLP524379 WVK524379:WVL524379 C589915:D589915 IY589915:IZ589915 SU589915:SV589915 ACQ589915:ACR589915 AMM589915:AMN589915 AWI589915:AWJ589915 BGE589915:BGF589915 BQA589915:BQB589915 BZW589915:BZX589915 CJS589915:CJT589915 CTO589915:CTP589915 DDK589915:DDL589915 DNG589915:DNH589915 DXC589915:DXD589915 EGY589915:EGZ589915 EQU589915:EQV589915 FAQ589915:FAR589915 FKM589915:FKN589915 FUI589915:FUJ589915 GEE589915:GEF589915 GOA589915:GOB589915 GXW589915:GXX589915 HHS589915:HHT589915 HRO589915:HRP589915 IBK589915:IBL589915 ILG589915:ILH589915 IVC589915:IVD589915 JEY589915:JEZ589915 JOU589915:JOV589915 JYQ589915:JYR589915 KIM589915:KIN589915 KSI589915:KSJ589915 LCE589915:LCF589915 LMA589915:LMB589915 LVW589915:LVX589915 MFS589915:MFT589915 MPO589915:MPP589915 MZK589915:MZL589915 NJG589915:NJH589915 NTC589915:NTD589915 OCY589915:OCZ589915 OMU589915:OMV589915 OWQ589915:OWR589915 PGM589915:PGN589915 PQI589915:PQJ589915 QAE589915:QAF589915 QKA589915:QKB589915 QTW589915:QTX589915 RDS589915:RDT589915 RNO589915:RNP589915 RXK589915:RXL589915 SHG589915:SHH589915 SRC589915:SRD589915 TAY589915:TAZ589915 TKU589915:TKV589915 TUQ589915:TUR589915 UEM589915:UEN589915 UOI589915:UOJ589915 UYE589915:UYF589915 VIA589915:VIB589915 VRW589915:VRX589915 WBS589915:WBT589915 WLO589915:WLP589915 WVK589915:WVL589915 C655451:D655451 IY655451:IZ655451 SU655451:SV655451 ACQ655451:ACR655451 AMM655451:AMN655451 AWI655451:AWJ655451 BGE655451:BGF655451 BQA655451:BQB655451 BZW655451:BZX655451 CJS655451:CJT655451 CTO655451:CTP655451 DDK655451:DDL655451 DNG655451:DNH655451 DXC655451:DXD655451 EGY655451:EGZ655451 EQU655451:EQV655451 FAQ655451:FAR655451 FKM655451:FKN655451 FUI655451:FUJ655451 GEE655451:GEF655451 GOA655451:GOB655451 GXW655451:GXX655451 HHS655451:HHT655451 HRO655451:HRP655451 IBK655451:IBL655451 ILG655451:ILH655451 IVC655451:IVD655451 JEY655451:JEZ655451 JOU655451:JOV655451 JYQ655451:JYR655451 KIM655451:KIN655451 KSI655451:KSJ655451 LCE655451:LCF655451 LMA655451:LMB655451 LVW655451:LVX655451 MFS655451:MFT655451 MPO655451:MPP655451 MZK655451:MZL655451 NJG655451:NJH655451 NTC655451:NTD655451 OCY655451:OCZ655451 OMU655451:OMV655451 OWQ655451:OWR655451 PGM655451:PGN655451 PQI655451:PQJ655451 QAE655451:QAF655451 QKA655451:QKB655451 QTW655451:QTX655451 RDS655451:RDT655451 RNO655451:RNP655451 RXK655451:RXL655451 SHG655451:SHH655451 SRC655451:SRD655451 TAY655451:TAZ655451 TKU655451:TKV655451 TUQ655451:TUR655451 UEM655451:UEN655451 UOI655451:UOJ655451 UYE655451:UYF655451 VIA655451:VIB655451 VRW655451:VRX655451 WBS655451:WBT655451 WLO655451:WLP655451 WVK655451:WVL655451 C720987:D720987 IY720987:IZ720987 SU720987:SV720987 ACQ720987:ACR720987 AMM720987:AMN720987 AWI720987:AWJ720987 BGE720987:BGF720987 BQA720987:BQB720987 BZW720987:BZX720987 CJS720987:CJT720987 CTO720987:CTP720987 DDK720987:DDL720987 DNG720987:DNH720987 DXC720987:DXD720987 EGY720987:EGZ720987 EQU720987:EQV720987 FAQ720987:FAR720987 FKM720987:FKN720987 FUI720987:FUJ720987 GEE720987:GEF720987 GOA720987:GOB720987 GXW720987:GXX720987 HHS720987:HHT720987 HRO720987:HRP720987 IBK720987:IBL720987 ILG720987:ILH720987 IVC720987:IVD720987 JEY720987:JEZ720987 JOU720987:JOV720987 JYQ720987:JYR720987 KIM720987:KIN720987 KSI720987:KSJ720987 LCE720987:LCF720987 LMA720987:LMB720987 LVW720987:LVX720987 MFS720987:MFT720987 MPO720987:MPP720987 MZK720987:MZL720987 NJG720987:NJH720987 NTC720987:NTD720987 OCY720987:OCZ720987 OMU720987:OMV720987 OWQ720987:OWR720987 PGM720987:PGN720987 PQI720987:PQJ720987 QAE720987:QAF720987 QKA720987:QKB720987 QTW720987:QTX720987 RDS720987:RDT720987 RNO720987:RNP720987 RXK720987:RXL720987 SHG720987:SHH720987 SRC720987:SRD720987 TAY720987:TAZ720987 TKU720987:TKV720987 TUQ720987:TUR720987 UEM720987:UEN720987 UOI720987:UOJ720987 UYE720987:UYF720987 VIA720987:VIB720987 VRW720987:VRX720987 WBS720987:WBT720987 WLO720987:WLP720987 WVK720987:WVL720987 C786523:D786523 IY786523:IZ786523 SU786523:SV786523 ACQ786523:ACR786523 AMM786523:AMN786523 AWI786523:AWJ786523 BGE786523:BGF786523 BQA786523:BQB786523 BZW786523:BZX786523 CJS786523:CJT786523 CTO786523:CTP786523 DDK786523:DDL786523 DNG786523:DNH786523 DXC786523:DXD786523 EGY786523:EGZ786523 EQU786523:EQV786523 FAQ786523:FAR786523 FKM786523:FKN786523 FUI786523:FUJ786523 GEE786523:GEF786523 GOA786523:GOB786523 GXW786523:GXX786523 HHS786523:HHT786523 HRO786523:HRP786523 IBK786523:IBL786523 ILG786523:ILH786523 IVC786523:IVD786523 JEY786523:JEZ786523 JOU786523:JOV786523 JYQ786523:JYR786523 KIM786523:KIN786523 KSI786523:KSJ786523 LCE786523:LCF786523 LMA786523:LMB786523 LVW786523:LVX786523 MFS786523:MFT786523 MPO786523:MPP786523 MZK786523:MZL786523 NJG786523:NJH786523 NTC786523:NTD786523 OCY786523:OCZ786523 OMU786523:OMV786523 OWQ786523:OWR786523 PGM786523:PGN786523 PQI786523:PQJ786523 QAE786523:QAF786523 QKA786523:QKB786523 QTW786523:QTX786523 RDS786523:RDT786523 RNO786523:RNP786523 RXK786523:RXL786523 SHG786523:SHH786523 SRC786523:SRD786523 TAY786523:TAZ786523 TKU786523:TKV786523 TUQ786523:TUR786523 UEM786523:UEN786523 UOI786523:UOJ786523 UYE786523:UYF786523 VIA786523:VIB786523 VRW786523:VRX786523 WBS786523:WBT786523 WLO786523:WLP786523 WVK786523:WVL786523 C852059:D852059 IY852059:IZ852059 SU852059:SV852059 ACQ852059:ACR852059 AMM852059:AMN852059 AWI852059:AWJ852059 BGE852059:BGF852059 BQA852059:BQB852059 BZW852059:BZX852059 CJS852059:CJT852059 CTO852059:CTP852059 DDK852059:DDL852059 DNG852059:DNH852059 DXC852059:DXD852059 EGY852059:EGZ852059 EQU852059:EQV852059 FAQ852059:FAR852059 FKM852059:FKN852059 FUI852059:FUJ852059 GEE852059:GEF852059 GOA852059:GOB852059 GXW852059:GXX852059 HHS852059:HHT852059 HRO852059:HRP852059 IBK852059:IBL852059 ILG852059:ILH852059 IVC852059:IVD852059 JEY852059:JEZ852059 JOU852059:JOV852059 JYQ852059:JYR852059 KIM852059:KIN852059 KSI852059:KSJ852059 LCE852059:LCF852059 LMA852059:LMB852059 LVW852059:LVX852059 MFS852059:MFT852059 MPO852059:MPP852059 MZK852059:MZL852059 NJG852059:NJH852059 NTC852059:NTD852059 OCY852059:OCZ852059 OMU852059:OMV852059 OWQ852059:OWR852059 PGM852059:PGN852059 PQI852059:PQJ852059 QAE852059:QAF852059 QKA852059:QKB852059 QTW852059:QTX852059 RDS852059:RDT852059 RNO852059:RNP852059 RXK852059:RXL852059 SHG852059:SHH852059 SRC852059:SRD852059 TAY852059:TAZ852059 TKU852059:TKV852059 TUQ852059:TUR852059 UEM852059:UEN852059 UOI852059:UOJ852059 UYE852059:UYF852059 VIA852059:VIB852059 VRW852059:VRX852059 WBS852059:WBT852059 WLO852059:WLP852059 WVK852059:WVL852059 C917595:D917595 IY917595:IZ917595 SU917595:SV917595 ACQ917595:ACR917595 AMM917595:AMN917595 AWI917595:AWJ917595 BGE917595:BGF917595 BQA917595:BQB917595 BZW917595:BZX917595 CJS917595:CJT917595 CTO917595:CTP917595 DDK917595:DDL917595 DNG917595:DNH917595 DXC917595:DXD917595 EGY917595:EGZ917595 EQU917595:EQV917595 FAQ917595:FAR917595 FKM917595:FKN917595 FUI917595:FUJ917595 GEE917595:GEF917595 GOA917595:GOB917595 GXW917595:GXX917595 HHS917595:HHT917595 HRO917595:HRP917595 IBK917595:IBL917595 ILG917595:ILH917595 IVC917595:IVD917595 JEY917595:JEZ917595 JOU917595:JOV917595 JYQ917595:JYR917595 KIM917595:KIN917595 KSI917595:KSJ917595 LCE917595:LCF917595 LMA917595:LMB917595 LVW917595:LVX917595 MFS917595:MFT917595 MPO917595:MPP917595 MZK917595:MZL917595 NJG917595:NJH917595 NTC917595:NTD917595 OCY917595:OCZ917595 OMU917595:OMV917595 OWQ917595:OWR917595 PGM917595:PGN917595 PQI917595:PQJ917595 QAE917595:QAF917595 QKA917595:QKB917595 QTW917595:QTX917595 RDS917595:RDT917595 RNO917595:RNP917595 RXK917595:RXL917595 SHG917595:SHH917595 SRC917595:SRD917595 TAY917595:TAZ917595 TKU917595:TKV917595 TUQ917595:TUR917595 UEM917595:UEN917595 UOI917595:UOJ917595 UYE917595:UYF917595 VIA917595:VIB917595 VRW917595:VRX917595 WBS917595:WBT917595 WLO917595:WLP917595 WVK917595:WVL917595 C983131:D983131 IY983131:IZ983131 SU983131:SV983131 ACQ983131:ACR983131 AMM983131:AMN983131 AWI983131:AWJ983131 BGE983131:BGF983131 BQA983131:BQB983131 BZW983131:BZX983131 CJS983131:CJT983131 CTO983131:CTP983131 DDK983131:DDL983131 DNG983131:DNH983131 DXC983131:DXD983131 EGY983131:EGZ983131 EQU983131:EQV983131 FAQ983131:FAR983131 FKM983131:FKN983131 FUI983131:FUJ983131 GEE983131:GEF983131 GOA983131:GOB983131 GXW983131:GXX983131 HHS983131:HHT983131 HRO983131:HRP983131 IBK983131:IBL983131 ILG983131:ILH983131 IVC983131:IVD983131 JEY983131:JEZ983131 JOU983131:JOV983131 JYQ983131:JYR983131 KIM983131:KIN983131 KSI983131:KSJ983131 LCE983131:LCF983131 LMA983131:LMB983131 LVW983131:LVX983131 MFS983131:MFT983131 MPO983131:MPP983131 MZK983131:MZL983131 NJG983131:NJH983131 NTC983131:NTD983131 OCY983131:OCZ983131 OMU983131:OMV983131 OWQ983131:OWR983131 PGM983131:PGN983131 PQI983131:PQJ983131 QAE983131:QAF983131 QKA983131:QKB983131 QTW983131:QTX983131 RDS983131:RDT983131 RNO983131:RNP983131 RXK983131:RXL983131 SHG983131:SHH983131 SRC983131:SRD983131 TAY983131:TAZ983131 TKU983131:TKV983131 TUQ983131:TUR983131 UEM983131:UEN983131 UOI983131:UOJ983131 UYE983131:UYF983131 VIA983131:VIB983131 VRW983131:VRX983131 WBS983131:WBT983131 WLO983131:WLP983131 D7:D8" xr:uid="{E984AEE9-FDAB-4C21-B4E8-06DDDA106DA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6" manualBreakCount="6">
    <brk id="45" max="21" man="1"/>
    <brk id="89" max="21" man="1"/>
    <brk id="129" max="21" man="1"/>
    <brk id="170" max="21" man="1"/>
    <brk id="214" max="21" man="1"/>
    <brk id="386"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D9C4-B223-4B64-B69F-4102D7F1D783}">
  <sheetPr>
    <tabColor rgb="FF00B050"/>
  </sheetPr>
  <dimension ref="A1:AA581"/>
  <sheetViews>
    <sheetView showZeros="0" view="pageBreakPreview" zoomScale="115" zoomScaleNormal="100" zoomScaleSheetLayoutView="115" workbookViewId="0">
      <selection activeCell="T41" sqref="T41"/>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22" width="4.33203125" style="30"/>
    <col min="23" max="23" width="6.109375" style="30" bestFit="1" customWidth="1"/>
    <col min="24" max="16384" width="4.33203125" style="30"/>
  </cols>
  <sheetData>
    <row r="1" spans="1:24" ht="18" customHeight="1">
      <c r="A1" s="920" t="s">
        <v>0</v>
      </c>
      <c r="B1" s="921"/>
      <c r="C1" s="921"/>
      <c r="D1" s="921"/>
      <c r="E1" s="921"/>
      <c r="F1" s="921"/>
      <c r="G1" s="922"/>
      <c r="H1" s="906" t="str">
        <f>[7]Title!H1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[7]Title!H2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[7]Title!A5</f>
        <v>Prep. By</v>
      </c>
      <c r="B5" s="943"/>
      <c r="C5" s="25" t="str">
        <f>[7]Title!C5</f>
        <v>AP</v>
      </c>
      <c r="D5" s="880" t="str">
        <f>[7]Title!D5</f>
        <v>Checked By</v>
      </c>
      <c r="E5" s="881"/>
      <c r="F5" s="943"/>
      <c r="G5" s="25" t="str">
        <f>[7]Title!G5</f>
        <v>RB</v>
      </c>
      <c r="H5" s="944" t="s">
        <v>1023</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92" t="s">
        <v>506</v>
      </c>
      <c r="E7" s="1093"/>
      <c r="F7" s="455"/>
      <c r="H7" s="684" t="s">
        <v>507</v>
      </c>
      <c r="I7" s="684"/>
      <c r="J7" s="684"/>
      <c r="K7" s="684"/>
      <c r="L7" s="684"/>
      <c r="M7" s="684"/>
      <c r="P7" s="186"/>
      <c r="S7" s="187" t="s">
        <v>387</v>
      </c>
      <c r="T7" s="1075" t="s">
        <v>509</v>
      </c>
      <c r="U7" s="1076"/>
      <c r="V7" s="185"/>
    </row>
    <row r="8" spans="1:24" ht="18" customHeight="1">
      <c r="A8" s="456"/>
      <c r="F8" s="455"/>
      <c r="T8" s="1075" t="s">
        <v>896</v>
      </c>
      <c r="U8" s="1076"/>
      <c r="V8" s="185"/>
    </row>
    <row r="9" spans="1:24" ht="18" customHeight="1">
      <c r="A9" s="184"/>
      <c r="H9" s="789" t="s">
        <v>390</v>
      </c>
      <c r="I9" s="789"/>
      <c r="J9" s="790" t="s">
        <v>391</v>
      </c>
      <c r="K9" s="790"/>
      <c r="L9" s="790" t="s">
        <v>392</v>
      </c>
      <c r="M9" s="790"/>
      <c r="T9" s="1075" t="s">
        <v>1010</v>
      </c>
      <c r="U9" s="1076"/>
      <c r="V9" s="185"/>
    </row>
    <row r="10" spans="1:24" ht="18" customHeight="1">
      <c r="A10" s="184"/>
      <c r="B10" s="47" t="s">
        <v>393</v>
      </c>
      <c r="H10" s="1090">
        <v>2800</v>
      </c>
      <c r="I10" s="1091"/>
      <c r="J10" s="1075">
        <v>3200</v>
      </c>
      <c r="K10" s="1076"/>
      <c r="L10" s="1075" t="s">
        <v>6</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4</v>
      </c>
      <c r="I12" s="1076"/>
      <c r="J12" s="192" t="s">
        <v>333</v>
      </c>
      <c r="V12" s="185"/>
    </row>
    <row r="13" spans="1:24" ht="18" customHeight="1">
      <c r="A13" s="184"/>
      <c r="B13" s="47" t="s">
        <v>398</v>
      </c>
      <c r="G13" s="120" t="s">
        <v>498</v>
      </c>
      <c r="H13" s="1075">
        <v>500</v>
      </c>
      <c r="I13" s="1076"/>
      <c r="J13" s="14" t="s">
        <v>305</v>
      </c>
      <c r="T13" s="295"/>
      <c r="U13" s="18"/>
      <c r="V13" s="185"/>
      <c r="W13" s="30" t="e">
        <f>#REF!</f>
        <v>#REF!</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REF615</v>
      </c>
      <c r="E18" s="227"/>
      <c r="F18" s="227"/>
      <c r="G18" s="227"/>
      <c r="H18" s="138"/>
      <c r="I18" s="260" t="s">
        <v>127</v>
      </c>
      <c r="J18" s="1077">
        <f>'CT-VT Burdens'!Q111</f>
        <v>0.02</v>
      </c>
      <c r="K18" s="1078"/>
      <c r="L18" s="3" t="s">
        <v>157</v>
      </c>
      <c r="N18" s="197" t="s">
        <v>510</v>
      </c>
      <c r="V18" s="185"/>
    </row>
    <row r="19" spans="1:25" ht="18" customHeight="1">
      <c r="A19" s="184"/>
      <c r="B19" s="96" t="s">
        <v>405</v>
      </c>
      <c r="C19" s="14"/>
      <c r="D19" s="47" t="str">
        <f>T8</f>
        <v>IDM+</v>
      </c>
      <c r="H19" s="28"/>
      <c r="I19" s="101" t="s">
        <v>127</v>
      </c>
      <c r="J19" s="1077">
        <f>'CT-VT Burdens'!Q149</f>
        <v>5.8000000000000003E-2</v>
      </c>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t="str">
        <f>T9</f>
        <v>7UT86</v>
      </c>
      <c r="H20" s="28"/>
      <c r="I20" s="101" t="s">
        <v>127</v>
      </c>
      <c r="J20" s="1077">
        <f>'CT-VT Burdens'!Q119</f>
        <v>0.1</v>
      </c>
      <c r="K20" s="1078"/>
      <c r="L20" s="3" t="s">
        <v>157</v>
      </c>
      <c r="N20" s="27"/>
      <c r="O20" s="27" t="s">
        <v>127</v>
      </c>
      <c r="P20" s="27">
        <f>O10</f>
        <v>1</v>
      </c>
      <c r="Q20" s="27" t="s">
        <v>315</v>
      </c>
      <c r="R20" s="27">
        <f>O10</f>
        <v>1</v>
      </c>
      <c r="S20" s="27" t="s">
        <v>315</v>
      </c>
      <c r="T20" s="27">
        <f>H12</f>
        <v>4</v>
      </c>
      <c r="V20" s="185"/>
    </row>
    <row r="21" spans="1:25" ht="18" customHeight="1">
      <c r="A21" s="184"/>
      <c r="B21" s="452" t="s">
        <v>412</v>
      </c>
      <c r="C21" s="259"/>
      <c r="D21" s="259"/>
      <c r="E21" s="259"/>
      <c r="F21" s="207"/>
      <c r="G21" s="207"/>
      <c r="H21" s="190"/>
      <c r="I21" s="208" t="s">
        <v>127</v>
      </c>
      <c r="J21" s="1081">
        <f>'CT-VT Burdens'!S36</f>
        <v>1.25652618</v>
      </c>
      <c r="K21" s="1082"/>
      <c r="L21" s="297" t="s">
        <v>157</v>
      </c>
      <c r="O21" s="27" t="s">
        <v>127</v>
      </c>
      <c r="P21" s="795">
        <f>P20*R20*T20</f>
        <v>4</v>
      </c>
      <c r="Q21" s="684"/>
      <c r="R21" s="27" t="s">
        <v>157</v>
      </c>
      <c r="V21" s="185"/>
    </row>
    <row r="22" spans="1:25" ht="18" customHeight="1">
      <c r="A22" s="184"/>
      <c r="B22" s="1" t="s">
        <v>413</v>
      </c>
      <c r="C22" s="2"/>
      <c r="D22" s="2"/>
      <c r="E22" s="2"/>
      <c r="F22" s="196"/>
      <c r="G22" s="196"/>
      <c r="H22" s="224" t="s">
        <v>512</v>
      </c>
      <c r="I22" s="183" t="s">
        <v>127</v>
      </c>
      <c r="J22" s="722">
        <f>SUM(J18:J21)</f>
        <v>1.43452618</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R28" s="27" t="s">
        <v>127</v>
      </c>
      <c r="S28" s="684">
        <v>6</v>
      </c>
      <c r="T28" s="684"/>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S28*S30</f>
        <v>16800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2800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4</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1.43452618</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16800</v>
      </c>
      <c r="G37" s="689"/>
      <c r="H37" s="684" t="s">
        <v>315</v>
      </c>
      <c r="I37" s="790">
        <f>S31</f>
        <v>1</v>
      </c>
      <c r="J37" s="790"/>
      <c r="K37" s="684" t="s">
        <v>315</v>
      </c>
      <c r="L37" s="684" t="s">
        <v>419</v>
      </c>
      <c r="M37" s="1317">
        <f>S33</f>
        <v>4</v>
      </c>
      <c r="N37" s="684" t="s">
        <v>347</v>
      </c>
      <c r="O37" s="795">
        <f>S34</f>
        <v>1.43452618</v>
      </c>
      <c r="P37" s="684" t="s">
        <v>347</v>
      </c>
      <c r="Q37" s="1071">
        <f>S35</f>
        <v>0.02</v>
      </c>
      <c r="R37" s="790"/>
      <c r="S37" s="790"/>
      <c r="T37" s="684" t="s">
        <v>350</v>
      </c>
      <c r="V37" s="185"/>
    </row>
    <row r="38" spans="1:25" ht="18" customHeight="1">
      <c r="A38" s="184"/>
      <c r="B38" s="684"/>
      <c r="C38" s="684"/>
      <c r="D38" s="689"/>
      <c r="E38" s="684"/>
      <c r="F38" s="689"/>
      <c r="G38" s="689"/>
      <c r="H38" s="684"/>
      <c r="I38" s="684">
        <f>S30</f>
        <v>2800</v>
      </c>
      <c r="J38" s="684"/>
      <c r="K38" s="684"/>
      <c r="L38" s="684"/>
      <c r="M38" s="1317"/>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49.1</v>
      </c>
      <c r="E40" s="1072"/>
      <c r="F40" s="286" t="s">
        <v>305</v>
      </c>
      <c r="G40" s="27"/>
      <c r="V40" s="185"/>
    </row>
    <row r="41" spans="1:25" ht="18" customHeight="1">
      <c r="A41" s="184"/>
      <c r="V41" s="185"/>
    </row>
    <row r="42" spans="1:25" ht="18" customHeight="1">
      <c r="A42" s="184"/>
      <c r="V42" s="185"/>
    </row>
    <row r="43" spans="1:25" ht="18" customHeight="1">
      <c r="A43" s="184"/>
      <c r="V43" s="185"/>
    </row>
    <row r="44" spans="1:25" ht="18" customHeight="1">
      <c r="A44" s="452"/>
      <c r="B44" s="207"/>
      <c r="C44" s="207"/>
      <c r="D44" s="207"/>
      <c r="E44" s="207"/>
      <c r="F44" s="207"/>
      <c r="G44" s="207"/>
      <c r="H44" s="207"/>
      <c r="I44" s="207"/>
      <c r="J44" s="207"/>
      <c r="K44" s="207"/>
      <c r="L44" s="207"/>
      <c r="M44" s="207"/>
      <c r="N44" s="207"/>
      <c r="O44" s="207"/>
      <c r="P44" s="207"/>
      <c r="Q44" s="207"/>
      <c r="R44" s="207"/>
      <c r="S44" s="207"/>
      <c r="T44" s="207"/>
      <c r="U44" s="207"/>
      <c r="V44" s="453"/>
    </row>
    <row r="45" spans="1:25" ht="18" customHeight="1">
      <c r="A45" s="290"/>
      <c r="B45" s="196"/>
      <c r="C45" s="196"/>
      <c r="D45" s="196"/>
      <c r="E45" s="196"/>
      <c r="F45" s="196"/>
      <c r="G45" s="196"/>
      <c r="H45" s="196"/>
      <c r="I45" s="196"/>
      <c r="J45" s="196"/>
      <c r="K45" s="196"/>
      <c r="L45" s="196"/>
      <c r="M45" s="196"/>
      <c r="N45" s="196"/>
      <c r="O45" s="196"/>
      <c r="P45" s="196"/>
      <c r="Q45" s="196"/>
      <c r="R45" s="196"/>
      <c r="S45" s="196"/>
      <c r="T45" s="196"/>
      <c r="U45" s="196"/>
      <c r="V45" s="291"/>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184"/>
      <c r="B47" s="117" t="s">
        <v>525</v>
      </c>
      <c r="V47" s="185"/>
    </row>
    <row r="48" spans="1:25" ht="18" customHeight="1">
      <c r="A48" s="184"/>
      <c r="V48" s="185"/>
    </row>
    <row r="49" spans="1:25" ht="18" customHeight="1">
      <c r="A49" s="184"/>
      <c r="B49" s="1074" t="s">
        <v>417</v>
      </c>
      <c r="C49" s="800"/>
      <c r="D49" s="800"/>
      <c r="E49" s="689">
        <v>20</v>
      </c>
      <c r="F49" s="689" t="s">
        <v>315</v>
      </c>
      <c r="G49" s="790" t="s">
        <v>481</v>
      </c>
      <c r="H49" s="790" t="s">
        <v>482</v>
      </c>
      <c r="I49" s="803"/>
      <c r="J49" s="689" t="s">
        <v>315</v>
      </c>
      <c r="K49" s="689" t="s">
        <v>419</v>
      </c>
      <c r="L49" s="689" t="s">
        <v>440</v>
      </c>
      <c r="M49" s="729" t="s">
        <v>347</v>
      </c>
      <c r="N49" s="689" t="s">
        <v>447</v>
      </c>
      <c r="O49" s="689" t="s">
        <v>347</v>
      </c>
      <c r="P49" s="759" t="s">
        <v>448</v>
      </c>
      <c r="Q49" s="759"/>
      <c r="R49" s="759"/>
      <c r="S49" s="798" t="s">
        <v>350</v>
      </c>
      <c r="T49" s="1073" t="s">
        <v>422</v>
      </c>
      <c r="V49" s="185"/>
    </row>
    <row r="50" spans="1:25" ht="18" customHeight="1">
      <c r="A50" s="184"/>
      <c r="B50" s="800"/>
      <c r="C50" s="800"/>
      <c r="D50" s="800"/>
      <c r="E50" s="689"/>
      <c r="F50" s="689"/>
      <c r="G50" s="689"/>
      <c r="H50" s="684" t="s">
        <v>483</v>
      </c>
      <c r="I50" s="804"/>
      <c r="J50" s="689"/>
      <c r="K50" s="689"/>
      <c r="L50" s="689"/>
      <c r="M50" s="729"/>
      <c r="N50" s="689"/>
      <c r="O50" s="689"/>
      <c r="P50" s="28" t="s">
        <v>438</v>
      </c>
      <c r="Q50" s="28" t="s">
        <v>315</v>
      </c>
      <c r="R50" s="28" t="s">
        <v>438</v>
      </c>
      <c r="S50" s="798"/>
      <c r="T50" s="1073"/>
      <c r="V50" s="112"/>
    </row>
    <row r="51" spans="1:25" ht="18" customHeight="1">
      <c r="A51" s="184"/>
      <c r="C51" s="28"/>
      <c r="D51" s="28"/>
      <c r="E51" s="28"/>
      <c r="F51" s="28"/>
      <c r="G51" s="28"/>
      <c r="H51" s="689"/>
      <c r="I51" s="716"/>
      <c r="J51" s="28"/>
      <c r="K51" s="28"/>
      <c r="L51" s="28"/>
      <c r="M51" s="28"/>
      <c r="N51" s="47"/>
      <c r="O51" s="28"/>
      <c r="V51" s="185"/>
    </row>
    <row r="52" spans="1:25" ht="18" customHeight="1">
      <c r="A52" s="184"/>
      <c r="C52" s="30" t="s">
        <v>526</v>
      </c>
      <c r="R52" s="27" t="s">
        <v>127</v>
      </c>
      <c r="S52" s="684">
        <v>1.2</v>
      </c>
      <c r="T52" s="684"/>
      <c r="V52" s="185"/>
    </row>
    <row r="53" spans="1:25" ht="18" customHeight="1">
      <c r="A53" s="168"/>
      <c r="B53" s="5"/>
      <c r="C53" s="296" t="s">
        <v>515</v>
      </c>
      <c r="D53" s="14"/>
      <c r="E53" s="14"/>
      <c r="F53" s="14"/>
      <c r="G53" s="14"/>
      <c r="H53" s="279"/>
      <c r="I53" s="120"/>
      <c r="J53" s="279"/>
      <c r="K53" s="279"/>
      <c r="L53" s="14"/>
      <c r="M53" s="14"/>
      <c r="N53" s="14"/>
      <c r="O53" s="14"/>
      <c r="P53" s="14"/>
      <c r="Q53" s="244" t="s">
        <v>481</v>
      </c>
      <c r="R53" s="102" t="s">
        <v>127</v>
      </c>
      <c r="S53" s="689">
        <f>S52*S54</f>
        <v>3360</v>
      </c>
      <c r="T53" s="689"/>
      <c r="U53" s="47" t="s">
        <v>8</v>
      </c>
      <c r="V53" s="185"/>
    </row>
    <row r="54" spans="1:25" ht="18" customHeight="1">
      <c r="A54" s="168"/>
      <c r="B54" s="5"/>
      <c r="C54" s="47" t="s">
        <v>516</v>
      </c>
      <c r="D54" s="14"/>
      <c r="E54" s="14"/>
      <c r="F54" s="18"/>
      <c r="G54" s="18"/>
      <c r="H54" s="279"/>
      <c r="I54" s="120"/>
      <c r="J54" s="279"/>
      <c r="K54" s="279"/>
      <c r="L54" s="14"/>
      <c r="M54" s="14"/>
      <c r="N54" s="14"/>
      <c r="O54" s="14"/>
      <c r="P54" s="14"/>
      <c r="Q54" s="244" t="s">
        <v>483</v>
      </c>
      <c r="R54" s="102" t="s">
        <v>127</v>
      </c>
      <c r="S54" s="689">
        <f>H10</f>
        <v>2800</v>
      </c>
      <c r="T54" s="689"/>
      <c r="U54" s="14" t="s">
        <v>8</v>
      </c>
      <c r="V54" s="185"/>
    </row>
    <row r="55" spans="1:25" ht="18" customHeight="1">
      <c r="A55" s="168"/>
      <c r="B55" s="5"/>
      <c r="C55" s="47" t="s">
        <v>517</v>
      </c>
      <c r="D55" s="14"/>
      <c r="E55" s="14"/>
      <c r="F55" s="18"/>
      <c r="G55" s="18"/>
      <c r="H55" s="279"/>
      <c r="I55" s="120"/>
      <c r="J55" s="279"/>
      <c r="K55" s="279"/>
      <c r="L55" s="14"/>
      <c r="M55" s="14"/>
      <c r="N55" s="14"/>
      <c r="O55" s="14"/>
      <c r="P55" s="14"/>
      <c r="Q55" s="244" t="s">
        <v>482</v>
      </c>
      <c r="R55" s="102" t="s">
        <v>127</v>
      </c>
      <c r="S55" s="689">
        <f>O10</f>
        <v>1</v>
      </c>
      <c r="T55" s="689"/>
      <c r="U55" s="30" t="s">
        <v>8</v>
      </c>
      <c r="V55" s="185"/>
    </row>
    <row r="56" spans="1:25" ht="18" customHeight="1">
      <c r="A56" s="168"/>
      <c r="B56" s="5"/>
      <c r="C56" s="47" t="s">
        <v>518</v>
      </c>
      <c r="D56" s="14"/>
      <c r="E56" s="14"/>
      <c r="F56" s="18"/>
      <c r="G56" s="18"/>
      <c r="H56" s="279"/>
      <c r="I56" s="120"/>
      <c r="J56" s="279"/>
      <c r="K56" s="279"/>
      <c r="L56" s="14"/>
      <c r="M56" s="14"/>
      <c r="N56" s="14"/>
      <c r="O56" s="14"/>
      <c r="P56" s="14"/>
      <c r="Q56" s="244" t="s">
        <v>146</v>
      </c>
      <c r="R56" s="102" t="s">
        <v>127</v>
      </c>
      <c r="S56" s="834">
        <f>S32</f>
        <v>1</v>
      </c>
      <c r="T56" s="834"/>
      <c r="U56" s="30" t="s">
        <v>8</v>
      </c>
      <c r="V56" s="185"/>
      <c r="W56" s="279"/>
      <c r="X56" s="279"/>
      <c r="Y56" s="279"/>
    </row>
    <row r="57" spans="1:25" ht="18" customHeight="1">
      <c r="A57" s="168"/>
      <c r="B57" s="5"/>
      <c r="C57" s="296" t="s">
        <v>519</v>
      </c>
      <c r="D57" s="14"/>
      <c r="E57" s="14"/>
      <c r="F57" s="18"/>
      <c r="G57" s="18"/>
      <c r="H57" s="279"/>
      <c r="I57" s="120"/>
      <c r="J57" s="279"/>
      <c r="K57" s="279"/>
      <c r="L57" s="14"/>
      <c r="M57" s="14"/>
      <c r="N57" s="14"/>
      <c r="O57" s="14"/>
      <c r="P57" s="14"/>
      <c r="Q57" s="244" t="s">
        <v>420</v>
      </c>
      <c r="R57" s="102" t="s">
        <v>127</v>
      </c>
      <c r="S57" s="692">
        <f>H12</f>
        <v>4</v>
      </c>
      <c r="T57" s="689"/>
      <c r="U57" s="30" t="s">
        <v>520</v>
      </c>
      <c r="V57" s="185"/>
      <c r="X57" s="279"/>
      <c r="Y57" s="279"/>
    </row>
    <row r="58" spans="1:25" ht="18" customHeight="1">
      <c r="A58" s="168"/>
      <c r="B58" s="5"/>
      <c r="C58" s="296" t="s">
        <v>521</v>
      </c>
      <c r="D58" s="14"/>
      <c r="E58" s="14"/>
      <c r="F58" s="14"/>
      <c r="G58" s="14"/>
      <c r="H58" s="279"/>
      <c r="I58" s="120"/>
      <c r="J58" s="279"/>
      <c r="K58" s="279"/>
      <c r="L58" s="14"/>
      <c r="M58" s="14"/>
      <c r="N58" s="14"/>
      <c r="O58" s="14"/>
      <c r="P58" s="14"/>
      <c r="Q58" s="244" t="s">
        <v>522</v>
      </c>
      <c r="R58" s="102" t="s">
        <v>127</v>
      </c>
      <c r="S58" s="692">
        <f>J22</f>
        <v>1.43452618</v>
      </c>
      <c r="T58" s="689"/>
      <c r="U58" s="30" t="s">
        <v>520</v>
      </c>
      <c r="V58" s="185"/>
      <c r="X58" s="279"/>
      <c r="Y58" s="279"/>
    </row>
    <row r="59" spans="1:25" ht="18" customHeight="1">
      <c r="A59" s="168"/>
      <c r="B59" s="5"/>
      <c r="C59" s="296" t="s">
        <v>523</v>
      </c>
      <c r="D59" s="14"/>
      <c r="E59" s="14"/>
      <c r="F59" s="14"/>
      <c r="G59" s="14"/>
      <c r="H59" s="279"/>
      <c r="I59" s="120"/>
      <c r="J59" s="279"/>
      <c r="K59" s="279"/>
      <c r="L59" s="14"/>
      <c r="M59" s="14"/>
      <c r="N59" s="14"/>
      <c r="O59" s="14"/>
      <c r="P59" s="14"/>
      <c r="Q59" s="244" t="s">
        <v>524</v>
      </c>
      <c r="R59" s="102" t="s">
        <v>127</v>
      </c>
      <c r="S59" s="795">
        <f>J18</f>
        <v>0.02</v>
      </c>
      <c r="T59" s="689"/>
      <c r="U59" s="296" t="s">
        <v>157</v>
      </c>
      <c r="V59" s="185"/>
    </row>
    <row r="60" spans="1:25" ht="18" customHeight="1">
      <c r="A60" s="299"/>
      <c r="B60" s="279"/>
      <c r="C60" s="47"/>
      <c r="D60" s="14"/>
      <c r="E60" s="14"/>
      <c r="F60" s="14"/>
      <c r="G60" s="14"/>
      <c r="H60" s="279"/>
      <c r="I60" s="120"/>
      <c r="J60" s="279"/>
      <c r="K60" s="279"/>
      <c r="L60" s="14"/>
      <c r="M60" s="14"/>
      <c r="N60" s="279"/>
      <c r="O60" s="279"/>
      <c r="P60" s="14"/>
      <c r="Q60" s="120"/>
      <c r="R60" s="14"/>
      <c r="S60" s="279"/>
      <c r="T60" s="279"/>
      <c r="U60" s="279"/>
      <c r="V60" s="300"/>
      <c r="W60" s="279"/>
      <c r="X60" s="279"/>
      <c r="Y60" s="279"/>
    </row>
    <row r="61" spans="1:25" ht="18" customHeight="1">
      <c r="A61" s="184"/>
      <c r="B61" s="684" t="s">
        <v>417</v>
      </c>
      <c r="C61" s="684"/>
      <c r="D61" s="689">
        <f>E49</f>
        <v>20</v>
      </c>
      <c r="E61" s="684" t="s">
        <v>315</v>
      </c>
      <c r="F61" s="689">
        <f>S53</f>
        <v>3360</v>
      </c>
      <c r="G61" s="689"/>
      <c r="H61" s="684" t="s">
        <v>315</v>
      </c>
      <c r="I61" s="790">
        <f>S55</f>
        <v>1</v>
      </c>
      <c r="J61" s="790"/>
      <c r="K61" s="684" t="s">
        <v>315</v>
      </c>
      <c r="L61" s="684" t="s">
        <v>419</v>
      </c>
      <c r="M61" s="1316">
        <f>S57</f>
        <v>4</v>
      </c>
      <c r="N61" s="684" t="s">
        <v>347</v>
      </c>
      <c r="O61" s="795">
        <f>S58</f>
        <v>1.43452618</v>
      </c>
      <c r="P61" s="684" t="s">
        <v>347</v>
      </c>
      <c r="Q61" s="1071">
        <f>S59</f>
        <v>0.02</v>
      </c>
      <c r="R61" s="790"/>
      <c r="S61" s="790"/>
      <c r="T61" s="684" t="s">
        <v>350</v>
      </c>
      <c r="V61" s="185"/>
    </row>
    <row r="62" spans="1:25" ht="18" customHeight="1">
      <c r="A62" s="184"/>
      <c r="B62" s="684"/>
      <c r="C62" s="684"/>
      <c r="D62" s="689"/>
      <c r="E62" s="684"/>
      <c r="F62" s="689"/>
      <c r="G62" s="689"/>
      <c r="H62" s="684"/>
      <c r="I62" s="684">
        <f>S54</f>
        <v>2800</v>
      </c>
      <c r="J62" s="684"/>
      <c r="K62" s="684"/>
      <c r="L62" s="684"/>
      <c r="M62" s="1316"/>
      <c r="N62" s="684"/>
      <c r="O62" s="684"/>
      <c r="P62" s="684"/>
      <c r="Q62" s="503">
        <f>S56</f>
        <v>1</v>
      </c>
      <c r="R62" s="27" t="s">
        <v>315</v>
      </c>
      <c r="S62" s="503">
        <f>S56</f>
        <v>1</v>
      </c>
      <c r="T62" s="684"/>
      <c r="V62" s="185"/>
    </row>
    <row r="63" spans="1:25" ht="18" customHeight="1">
      <c r="A63" s="184"/>
      <c r="C63" s="120"/>
      <c r="D63" s="28"/>
      <c r="E63" s="28"/>
      <c r="F63" s="28"/>
      <c r="G63" s="28"/>
      <c r="H63" s="14"/>
      <c r="I63" s="14"/>
      <c r="J63" s="28"/>
      <c r="K63" s="28"/>
      <c r="L63" s="28"/>
      <c r="M63" s="28"/>
      <c r="N63" s="47"/>
      <c r="O63" s="502"/>
      <c r="V63" s="185"/>
    </row>
    <row r="64" spans="1:25" ht="18" customHeight="1">
      <c r="A64" s="184"/>
      <c r="C64" s="27" t="s">
        <v>127</v>
      </c>
      <c r="D64" s="1072">
        <f>ROUNDUP(D61*F61*(I61/I62)*(M61+O61+(Q61/(Q62*S62))),2)</f>
        <v>130.91</v>
      </c>
      <c r="E64" s="1072"/>
      <c r="F64" s="286" t="s">
        <v>305</v>
      </c>
      <c r="G64" s="27"/>
      <c r="V64" s="185"/>
    </row>
    <row r="65" spans="1:27" ht="18" customHeight="1">
      <c r="A65" s="184"/>
      <c r="V65" s="185"/>
    </row>
    <row r="66" spans="1:27" ht="18" customHeight="1">
      <c r="A66" s="184"/>
      <c r="D66" s="30" t="s">
        <v>527</v>
      </c>
      <c r="L66" s="30" t="s">
        <v>528</v>
      </c>
      <c r="M66" s="505" t="s">
        <v>529</v>
      </c>
      <c r="N66" s="30" t="str">
        <f>CONCATENATE(Y66,X66,D40,Z66,D64,AA66)</f>
        <v>max(49.1,130.91)</v>
      </c>
      <c r="V66" s="185"/>
      <c r="X66" s="30" t="s">
        <v>419</v>
      </c>
      <c r="Y66" s="30" t="s">
        <v>530</v>
      </c>
      <c r="Z66" s="30" t="s">
        <v>531</v>
      </c>
      <c r="AA66" s="30" t="s">
        <v>350</v>
      </c>
    </row>
    <row r="67" spans="1:27" ht="18" customHeight="1">
      <c r="A67" s="184"/>
      <c r="D67" s="14"/>
      <c r="E67"/>
      <c r="F67"/>
      <c r="G67" s="27"/>
      <c r="H67" s="14"/>
      <c r="I67"/>
      <c r="J67"/>
      <c r="K67"/>
      <c r="L67" s="30" t="s">
        <v>528</v>
      </c>
      <c r="M67" s="505" t="s">
        <v>529</v>
      </c>
      <c r="N67" s="795">
        <f>MAX(D64,D40)</f>
        <v>130.91</v>
      </c>
      <c r="O67" s="795"/>
      <c r="V67" s="185"/>
    </row>
    <row r="68" spans="1:27" ht="18" customHeight="1">
      <c r="A68" s="184"/>
      <c r="D68"/>
      <c r="E68" s="1089"/>
      <c r="F68" s="684"/>
      <c r="G68" s="27"/>
      <c r="H68" s="795"/>
      <c r="I68" s="684"/>
      <c r="J68"/>
      <c r="K68"/>
      <c r="L68" s="296">
        <f>H13</f>
        <v>500</v>
      </c>
      <c r="M68" s="505" t="s">
        <v>529</v>
      </c>
      <c r="N68" s="795">
        <f>N67</f>
        <v>130.91</v>
      </c>
      <c r="O68" s="795"/>
      <c r="V68" s="185"/>
    </row>
    <row r="69" spans="1:27" ht="18" customHeight="1">
      <c r="A69" s="184"/>
      <c r="D69"/>
      <c r="E69" s="504"/>
      <c r="F69" s="27"/>
      <c r="G69" s="27"/>
      <c r="H69" s="211"/>
      <c r="I69" s="27"/>
      <c r="J69"/>
      <c r="K69"/>
      <c r="L69" s="296"/>
      <c r="M69" s="505"/>
      <c r="N69" s="476"/>
      <c r="V69" s="185"/>
    </row>
    <row r="70" spans="1:27" ht="18" customHeight="1">
      <c r="A70" s="184"/>
      <c r="D70"/>
      <c r="E70"/>
      <c r="F70" s="244" t="s">
        <v>478</v>
      </c>
      <c r="G70"/>
      <c r="H70" s="18" t="str">
        <f>IF(L68&gt;N68,"Suitably Dimensioned","Under Dimensioned")</f>
        <v>Suitably Dimensioned</v>
      </c>
      <c r="I70"/>
      <c r="J70"/>
      <c r="K70"/>
      <c r="L70"/>
      <c r="V70" s="185"/>
    </row>
    <row r="71" spans="1:27" ht="18" customHeight="1">
      <c r="A71" s="184"/>
      <c r="V71" s="185"/>
    </row>
    <row r="72" spans="1:27" ht="18" customHeight="1">
      <c r="A72" s="184"/>
      <c r="V72" s="185"/>
    </row>
    <row r="73" spans="1:27" ht="18" customHeight="1">
      <c r="A73" s="184"/>
      <c r="V73" s="185"/>
    </row>
    <row r="74" spans="1:27" ht="18" customHeight="1">
      <c r="A74" s="184"/>
      <c r="V74" s="185"/>
    </row>
    <row r="75" spans="1:27" ht="18" customHeight="1">
      <c r="A75" s="184"/>
      <c r="V75" s="185"/>
    </row>
    <row r="76" spans="1:27" ht="18" customHeight="1">
      <c r="A76" s="184"/>
      <c r="V76" s="185"/>
    </row>
    <row r="77" spans="1:27" ht="18" customHeight="1">
      <c r="A77" s="184"/>
      <c r="V77" s="185"/>
    </row>
    <row r="78" spans="1:27" ht="18" customHeight="1">
      <c r="A78" s="184"/>
      <c r="V78" s="185"/>
    </row>
    <row r="79" spans="1:27" ht="18" customHeight="1">
      <c r="A79" s="184"/>
      <c r="V79" s="185"/>
    </row>
    <row r="80" spans="1:27"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452"/>
      <c r="B84" s="207"/>
      <c r="C84" s="207"/>
      <c r="D84" s="207"/>
      <c r="E84" s="207"/>
      <c r="F84" s="207"/>
      <c r="G84" s="207"/>
      <c r="H84" s="207"/>
      <c r="I84" s="207"/>
      <c r="J84" s="207"/>
      <c r="K84" s="207"/>
      <c r="L84" s="207"/>
      <c r="M84" s="207"/>
      <c r="N84" s="207"/>
      <c r="O84" s="207"/>
      <c r="P84" s="207"/>
      <c r="Q84" s="207"/>
      <c r="R84" s="207"/>
      <c r="S84" s="207"/>
      <c r="T84" s="207"/>
      <c r="U84" s="207"/>
      <c r="V84" s="453"/>
    </row>
    <row r="85" spans="1:22" ht="18" hidden="1" customHeight="1">
      <c r="A85" s="184"/>
      <c r="V85" s="185"/>
    </row>
    <row r="86" spans="1:22" ht="18" hidden="1" customHeight="1">
      <c r="A86" s="184"/>
      <c r="V86" s="185"/>
    </row>
    <row r="87" spans="1:22" ht="18" hidden="1" customHeight="1">
      <c r="A87" s="184"/>
      <c r="V87" s="185"/>
    </row>
    <row r="88" spans="1:22" ht="18" hidden="1" customHeight="1">
      <c r="A88" s="184"/>
      <c r="V88" s="185"/>
    </row>
    <row r="89" spans="1:22" ht="18" hidden="1" customHeight="1">
      <c r="A89" s="184"/>
      <c r="V89" s="185"/>
    </row>
    <row r="90" spans="1:22" ht="18" hidden="1" customHeight="1">
      <c r="A90" s="184"/>
      <c r="V90" s="185"/>
    </row>
    <row r="91" spans="1:22" ht="18" hidden="1" customHeight="1">
      <c r="A91" s="184"/>
      <c r="V91" s="185"/>
    </row>
    <row r="92" spans="1:22" ht="18" hidden="1" customHeight="1">
      <c r="A92" s="184"/>
      <c r="V92" s="185"/>
    </row>
    <row r="93" spans="1:22" ht="18" hidden="1" customHeight="1">
      <c r="A93" s="184"/>
      <c r="V93" s="185"/>
    </row>
    <row r="94" spans="1:22" ht="18" hidden="1" customHeight="1">
      <c r="A94" s="184"/>
      <c r="V94" s="185"/>
    </row>
    <row r="95" spans="1:22" ht="18" hidden="1" customHeight="1">
      <c r="A95" s="184"/>
      <c r="V95" s="185"/>
    </row>
    <row r="96" spans="1:22" ht="18" hidden="1" customHeight="1">
      <c r="A96" s="184"/>
      <c r="V96" s="185"/>
    </row>
    <row r="97" spans="1:23" s="14" customFormat="1" ht="18" hidden="1" customHeight="1">
      <c r="A97" s="194"/>
      <c r="B97" s="195"/>
      <c r="C97" s="195"/>
      <c r="D97" s="195"/>
      <c r="E97" s="195"/>
      <c r="F97" s="195"/>
      <c r="G97" s="195"/>
      <c r="H97" s="195"/>
      <c r="I97" s="195"/>
      <c r="J97" s="195"/>
      <c r="K97" s="195"/>
      <c r="L97" s="195"/>
      <c r="M97" s="195"/>
      <c r="N97" s="195"/>
      <c r="O97" s="195"/>
      <c r="P97" s="195"/>
      <c r="Q97" s="224"/>
      <c r="R97" s="182"/>
      <c r="S97" s="225"/>
      <c r="T97" s="195"/>
      <c r="U97" s="195"/>
      <c r="V97" s="134" t="s">
        <v>552</v>
      </c>
    </row>
    <row r="98" spans="1:23" ht="18" hidden="1" customHeight="1">
      <c r="A98" s="226"/>
      <c r="B98" s="227"/>
      <c r="C98" s="227"/>
      <c r="D98" s="227"/>
      <c r="E98" s="227"/>
      <c r="F98" s="227"/>
      <c r="G98" s="227"/>
      <c r="H98" s="227"/>
      <c r="I98" s="227"/>
      <c r="J98" s="227"/>
      <c r="K98" s="227"/>
      <c r="L98" s="227"/>
      <c r="M98" s="227"/>
      <c r="N98" s="227"/>
      <c r="O98" s="227"/>
      <c r="P98" s="227"/>
      <c r="Q98" s="227"/>
      <c r="R98" s="227"/>
      <c r="S98" s="227"/>
      <c r="T98" s="227"/>
      <c r="U98" s="227"/>
      <c r="V98" s="228"/>
    </row>
    <row r="99" spans="1:23" ht="18" hidden="1" customHeight="1">
      <c r="A99" s="184"/>
      <c r="B99" s="854" t="str">
        <f>B7</f>
        <v>T1</v>
      </c>
      <c r="C99" s="831"/>
      <c r="D99" s="853" t="str">
        <f>D7</f>
        <v>Core2</v>
      </c>
      <c r="E99" s="765"/>
      <c r="F99" s="455"/>
      <c r="H99" s="684" t="str">
        <f>H7</f>
        <v>(OC+BCPU+FMS)</v>
      </c>
      <c r="I99" s="684"/>
      <c r="J99" s="684"/>
      <c r="K99" s="684"/>
      <c r="L99" s="684"/>
      <c r="M99" s="684"/>
      <c r="P99" s="186"/>
      <c r="S99" s="187" t="s">
        <v>387</v>
      </c>
      <c r="T99" s="1123" t="str">
        <f>T7</f>
        <v>REF615</v>
      </c>
      <c r="U99" s="1124"/>
      <c r="V99" s="185"/>
    </row>
    <row r="100" spans="1:23" ht="18" hidden="1" customHeight="1">
      <c r="A100" s="456"/>
      <c r="F100" s="455"/>
      <c r="T100" s="1123" t="str">
        <f>T8</f>
        <v>IDM+</v>
      </c>
      <c r="U100" s="1124"/>
      <c r="V100" s="185"/>
    </row>
    <row r="101" spans="1:23" ht="18" hidden="1" customHeight="1">
      <c r="A101" s="184"/>
      <c r="H101" s="708" t="s">
        <v>390</v>
      </c>
      <c r="I101" s="708"/>
      <c r="J101" s="789" t="s">
        <v>391</v>
      </c>
      <c r="K101" s="789"/>
      <c r="L101" s="790" t="s">
        <v>392</v>
      </c>
      <c r="M101" s="790"/>
      <c r="T101" s="1123" t="str">
        <f>T9</f>
        <v>7UT86</v>
      </c>
      <c r="U101" s="1124"/>
      <c r="V101" s="185"/>
    </row>
    <row r="102" spans="1:23" ht="18" hidden="1" customHeight="1">
      <c r="A102" s="184"/>
      <c r="B102" s="47" t="s">
        <v>393</v>
      </c>
      <c r="H102" s="854">
        <f>H10</f>
        <v>2800</v>
      </c>
      <c r="I102" s="831"/>
      <c r="J102" s="863">
        <f>J10</f>
        <v>3200</v>
      </c>
      <c r="K102" s="864"/>
      <c r="L102" s="854" t="str">
        <f>L10</f>
        <v>-</v>
      </c>
      <c r="M102" s="831"/>
      <c r="N102" s="191" t="s">
        <v>342</v>
      </c>
      <c r="O102" s="256">
        <f>O10</f>
        <v>1</v>
      </c>
      <c r="P102" s="27" t="s">
        <v>8</v>
      </c>
      <c r="R102" s="255"/>
      <c r="S102" s="255"/>
      <c r="V102" s="185"/>
    </row>
    <row r="103" spans="1:23" ht="18" hidden="1" customHeight="1">
      <c r="A103" s="184"/>
      <c r="B103" s="47" t="s">
        <v>394</v>
      </c>
      <c r="J103" s="854" t="str">
        <f>H11</f>
        <v>PX</v>
      </c>
      <c r="K103" s="831"/>
      <c r="V103" s="185"/>
    </row>
    <row r="104" spans="1:23" ht="18" hidden="1" customHeight="1">
      <c r="A104" s="184"/>
      <c r="B104" s="47" t="s">
        <v>396</v>
      </c>
      <c r="I104" s="120" t="s">
        <v>497</v>
      </c>
      <c r="J104" s="1075">
        <v>12</v>
      </c>
      <c r="K104" s="1076"/>
      <c r="L104" s="192" t="s">
        <v>333</v>
      </c>
      <c r="V104" s="185"/>
    </row>
    <row r="105" spans="1:23" ht="18" hidden="1" customHeight="1">
      <c r="A105" s="184"/>
      <c r="B105" s="47" t="s">
        <v>398</v>
      </c>
      <c r="I105" s="120" t="s">
        <v>498</v>
      </c>
      <c r="J105" s="1075">
        <v>1200</v>
      </c>
      <c r="K105" s="1076"/>
      <c r="L105" s="14" t="s">
        <v>305</v>
      </c>
      <c r="T105" s="295"/>
      <c r="U105" s="18"/>
      <c r="V105" s="185"/>
      <c r="W105" s="30" t="str">
        <f>G153</f>
        <v>Suitably Dimentioned</v>
      </c>
    </row>
    <row r="106" spans="1:23" ht="18" hidden="1" customHeight="1">
      <c r="A106" s="184"/>
      <c r="B106" s="14" t="s">
        <v>401</v>
      </c>
      <c r="I106" s="120" t="s">
        <v>402</v>
      </c>
      <c r="J106" s="1075">
        <v>50</v>
      </c>
      <c r="K106" s="1076"/>
      <c r="L106" s="14" t="s">
        <v>403</v>
      </c>
      <c r="V106" s="185"/>
    </row>
    <row r="107" spans="1:23" ht="18" hidden="1" customHeight="1">
      <c r="A107" s="184"/>
      <c r="V107" s="185"/>
    </row>
    <row r="108" spans="1:23" ht="18" hidden="1" customHeight="1">
      <c r="A108" s="193" t="s">
        <v>404</v>
      </c>
      <c r="V108" s="185"/>
    </row>
    <row r="109" spans="1:23" ht="18" hidden="1" customHeight="1">
      <c r="A109" s="184"/>
      <c r="V109" s="185"/>
    </row>
    <row r="110" spans="1:23" ht="18" hidden="1" customHeight="1">
      <c r="A110" s="184"/>
      <c r="B110" s="135" t="s">
        <v>405</v>
      </c>
      <c r="C110" s="273"/>
      <c r="D110" s="139" t="str">
        <f>T99</f>
        <v>REF615</v>
      </c>
      <c r="E110" s="227"/>
      <c r="F110" s="227"/>
      <c r="G110" s="227"/>
      <c r="H110" s="138"/>
      <c r="I110" s="260" t="s">
        <v>127</v>
      </c>
      <c r="J110" s="722">
        <f>J18</f>
        <v>0.02</v>
      </c>
      <c r="K110" s="958"/>
      <c r="L110" s="3" t="s">
        <v>157</v>
      </c>
      <c r="N110" s="197" t="s">
        <v>510</v>
      </c>
      <c r="V110" s="185"/>
    </row>
    <row r="111" spans="1:23" ht="18" hidden="1" customHeight="1">
      <c r="A111" s="184"/>
      <c r="B111" s="96" t="s">
        <v>405</v>
      </c>
      <c r="C111" s="14"/>
      <c r="D111" s="47" t="str">
        <f>T100</f>
        <v>IDM+</v>
      </c>
      <c r="H111" s="28"/>
      <c r="I111" s="101" t="s">
        <v>127</v>
      </c>
      <c r="J111" s="722">
        <f>J19</f>
        <v>5.8000000000000003E-2</v>
      </c>
      <c r="K111" s="958"/>
      <c r="L111" s="3" t="s">
        <v>157</v>
      </c>
      <c r="N111" s="120" t="s">
        <v>491</v>
      </c>
      <c r="O111" s="27" t="s">
        <v>127</v>
      </c>
      <c r="P111" s="27" t="s">
        <v>511</v>
      </c>
      <c r="Q111" s="27" t="s">
        <v>315</v>
      </c>
      <c r="R111" s="27" t="s">
        <v>511</v>
      </c>
      <c r="S111" s="27" t="s">
        <v>315</v>
      </c>
      <c r="T111" s="27" t="s">
        <v>420</v>
      </c>
      <c r="V111" s="185"/>
    </row>
    <row r="112" spans="1:23" ht="18" hidden="1" customHeight="1">
      <c r="A112" s="184"/>
      <c r="B112" s="96" t="s">
        <v>405</v>
      </c>
      <c r="C112" s="14"/>
      <c r="D112" s="47" t="str">
        <f>T101</f>
        <v>7UT86</v>
      </c>
      <c r="H112" s="28"/>
      <c r="I112" s="101" t="s">
        <v>127</v>
      </c>
      <c r="J112" s="722">
        <f>J20</f>
        <v>0.1</v>
      </c>
      <c r="K112" s="958"/>
      <c r="L112" s="3" t="s">
        <v>157</v>
      </c>
      <c r="N112" s="27"/>
      <c r="O112" s="27" t="s">
        <v>127</v>
      </c>
      <c r="P112" s="27">
        <f>O102</f>
        <v>1</v>
      </c>
      <c r="Q112" s="27" t="s">
        <v>315</v>
      </c>
      <c r="R112" s="27">
        <f>O102</f>
        <v>1</v>
      </c>
      <c r="S112" s="27" t="s">
        <v>315</v>
      </c>
      <c r="T112" s="27">
        <f>J104</f>
        <v>12</v>
      </c>
      <c r="V112" s="185"/>
    </row>
    <row r="113" spans="1:25" ht="18" hidden="1" customHeight="1">
      <c r="A113" s="184"/>
      <c r="B113" s="452" t="s">
        <v>412</v>
      </c>
      <c r="C113" s="259"/>
      <c r="D113" s="259"/>
      <c r="E113" s="259"/>
      <c r="F113" s="207"/>
      <c r="G113" s="207"/>
      <c r="H113" s="190"/>
      <c r="I113" s="208" t="s">
        <v>127</v>
      </c>
      <c r="J113" s="1120">
        <f>J21</f>
        <v>1.25652618</v>
      </c>
      <c r="K113" s="987"/>
      <c r="L113" s="297" t="s">
        <v>157</v>
      </c>
      <c r="O113" s="27" t="s">
        <v>127</v>
      </c>
      <c r="P113" s="795">
        <f>P112*R112*T112</f>
        <v>12</v>
      </c>
      <c r="Q113" s="684"/>
      <c r="R113" s="27" t="s">
        <v>157</v>
      </c>
      <c r="V113" s="185"/>
    </row>
    <row r="114" spans="1:25" ht="18" hidden="1" customHeight="1">
      <c r="A114" s="184"/>
      <c r="B114" s="1" t="s">
        <v>413</v>
      </c>
      <c r="C114" s="2"/>
      <c r="D114" s="2"/>
      <c r="E114" s="2"/>
      <c r="F114" s="196"/>
      <c r="G114" s="196"/>
      <c r="H114" s="224" t="s">
        <v>512</v>
      </c>
      <c r="I114" s="183" t="s">
        <v>127</v>
      </c>
      <c r="J114" s="722">
        <f>SUM(J110:J113)</f>
        <v>1.43452618</v>
      </c>
      <c r="K114" s="958"/>
      <c r="L114" s="3" t="s">
        <v>157</v>
      </c>
      <c r="V114" s="185"/>
    </row>
    <row r="115" spans="1:25" ht="18" hidden="1" customHeight="1">
      <c r="A115" s="184"/>
      <c r="B115" s="47"/>
      <c r="C115" s="47"/>
      <c r="D115" s="47"/>
      <c r="E115" s="47"/>
      <c r="H115" s="27"/>
      <c r="I115" s="28"/>
      <c r="J115" s="199"/>
      <c r="L115" s="47"/>
      <c r="S115" s="27"/>
      <c r="V115" s="185"/>
    </row>
    <row r="116" spans="1:25" ht="18" hidden="1" customHeight="1">
      <c r="A116" s="1206" t="s">
        <v>536</v>
      </c>
      <c r="B116" s="1207"/>
      <c r="C116" s="1207"/>
      <c r="D116" s="1207"/>
      <c r="E116" s="1207"/>
      <c r="F116" s="1207"/>
      <c r="G116" s="1207"/>
      <c r="H116" s="1207"/>
      <c r="I116" s="1207"/>
      <c r="J116" s="1207"/>
      <c r="K116" s="1207"/>
      <c r="L116" s="1207"/>
      <c r="M116" s="1207"/>
      <c r="N116" s="1207"/>
      <c r="O116" s="1207"/>
      <c r="P116" s="1207"/>
      <c r="Q116" s="1207"/>
      <c r="R116" s="1207"/>
      <c r="S116" s="1207"/>
      <c r="T116" s="1207"/>
      <c r="U116" s="1207"/>
      <c r="V116" s="1208"/>
    </row>
    <row r="117" spans="1:25" ht="18" hidden="1" customHeight="1">
      <c r="A117" s="1209"/>
      <c r="B117" s="1207"/>
      <c r="C117" s="1207"/>
      <c r="D117" s="1207"/>
      <c r="E117" s="1207"/>
      <c r="F117" s="1207"/>
      <c r="G117" s="1207"/>
      <c r="H117" s="1207"/>
      <c r="I117" s="1207"/>
      <c r="J117" s="1207"/>
      <c r="K117" s="1207"/>
      <c r="L117" s="1207"/>
      <c r="M117" s="1207"/>
      <c r="N117" s="1207"/>
      <c r="O117" s="1207"/>
      <c r="P117" s="1207"/>
      <c r="Q117" s="1207"/>
      <c r="R117" s="1207"/>
      <c r="S117" s="1207"/>
      <c r="T117" s="1207"/>
      <c r="U117" s="1207"/>
      <c r="V117" s="1208"/>
    </row>
    <row r="118" spans="1:25" ht="18" hidden="1" customHeight="1">
      <c r="A118" s="184"/>
      <c r="Q118" s="211"/>
      <c r="R118" s="192"/>
      <c r="V118" s="185"/>
    </row>
    <row r="119" spans="1:25" ht="18" hidden="1" customHeight="1">
      <c r="A119" s="184"/>
      <c r="C119" s="14" t="s">
        <v>473</v>
      </c>
      <c r="D119" s="28" t="s">
        <v>127</v>
      </c>
      <c r="E119" s="28" t="s">
        <v>537</v>
      </c>
      <c r="F119" s="120" t="s">
        <v>493</v>
      </c>
      <c r="G119" s="28" t="s">
        <v>347</v>
      </c>
      <c r="H119" s="120" t="s">
        <v>491</v>
      </c>
      <c r="I119" s="28" t="s">
        <v>538</v>
      </c>
      <c r="J119" s="28" t="s">
        <v>495</v>
      </c>
      <c r="K119" s="28" t="s">
        <v>539</v>
      </c>
      <c r="L119" s="28" t="s">
        <v>511</v>
      </c>
      <c r="M119" s="28" t="s">
        <v>315</v>
      </c>
      <c r="N119" s="28">
        <v>1.3</v>
      </c>
      <c r="O119" s="47" t="s">
        <v>350</v>
      </c>
      <c r="V119" s="185"/>
    </row>
    <row r="120" spans="1:25" ht="18" hidden="1" customHeight="1">
      <c r="A120" s="184" t="s">
        <v>540</v>
      </c>
      <c r="C120" s="14"/>
      <c r="D120" s="28"/>
      <c r="E120" s="14"/>
      <c r="F120" s="14"/>
      <c r="G120" s="14"/>
      <c r="H120" s="14"/>
      <c r="I120" s="14"/>
      <c r="J120" s="14"/>
      <c r="K120" s="14"/>
      <c r="L120" s="14"/>
      <c r="M120" s="14"/>
      <c r="N120" s="14"/>
      <c r="O120" s="14"/>
      <c r="V120" s="185"/>
    </row>
    <row r="121" spans="1:25" ht="18" hidden="1" customHeight="1">
      <c r="A121" s="184"/>
      <c r="C121" s="120" t="s">
        <v>493</v>
      </c>
      <c r="D121" s="28" t="s">
        <v>127</v>
      </c>
      <c r="E121" s="28" t="s">
        <v>537</v>
      </c>
      <c r="F121" s="28">
        <v>1.3</v>
      </c>
      <c r="G121" s="28" t="s">
        <v>315</v>
      </c>
      <c r="H121" s="689" t="s">
        <v>473</v>
      </c>
      <c r="I121" s="716"/>
      <c r="J121" s="28" t="s">
        <v>315</v>
      </c>
      <c r="K121" s="28" t="s">
        <v>511</v>
      </c>
      <c r="L121" s="28" t="s">
        <v>541</v>
      </c>
      <c r="M121" s="28" t="s">
        <v>495</v>
      </c>
      <c r="N121" s="47" t="s">
        <v>542</v>
      </c>
      <c r="O121" s="120" t="s">
        <v>491</v>
      </c>
      <c r="V121" s="185"/>
    </row>
    <row r="122" spans="1:25" ht="18" hidden="1" customHeight="1">
      <c r="A122" s="184"/>
      <c r="V122" s="185"/>
    </row>
    <row r="123" spans="1:25" ht="18" hidden="1" customHeight="1">
      <c r="A123" s="168"/>
      <c r="B123" s="5"/>
      <c r="C123" s="47" t="s">
        <v>543</v>
      </c>
      <c r="D123" s="14"/>
      <c r="E123" s="14"/>
      <c r="F123" s="14"/>
      <c r="G123" s="14"/>
      <c r="H123" s="279"/>
      <c r="I123" s="120"/>
      <c r="J123" s="279"/>
      <c r="K123" s="279"/>
      <c r="L123" s="14"/>
      <c r="M123" s="14"/>
      <c r="N123" s="14"/>
      <c r="O123" s="14"/>
      <c r="P123" s="14"/>
      <c r="Q123" s="120" t="s">
        <v>544</v>
      </c>
      <c r="R123" s="102" t="s">
        <v>127</v>
      </c>
      <c r="S123" s="689">
        <f>S29</f>
        <v>16800</v>
      </c>
      <c r="T123" s="689"/>
      <c r="U123" s="47" t="s">
        <v>8</v>
      </c>
      <c r="V123" s="185"/>
    </row>
    <row r="124" spans="1:25" ht="18" hidden="1" customHeight="1">
      <c r="A124" s="168"/>
      <c r="B124" s="5"/>
      <c r="C124" s="47" t="s">
        <v>545</v>
      </c>
      <c r="D124" s="14"/>
      <c r="E124" s="14"/>
      <c r="F124" s="18"/>
      <c r="G124" s="18"/>
      <c r="H124" s="279"/>
      <c r="I124" s="120"/>
      <c r="J124" s="279"/>
      <c r="K124" s="279"/>
      <c r="L124" s="14"/>
      <c r="M124" s="14"/>
      <c r="N124" s="14"/>
      <c r="O124" s="14"/>
      <c r="P124" s="14"/>
      <c r="Q124" s="120" t="s">
        <v>423</v>
      </c>
      <c r="R124" s="102" t="s">
        <v>127</v>
      </c>
      <c r="S124" s="689">
        <f>J102</f>
        <v>3200</v>
      </c>
      <c r="T124" s="689"/>
      <c r="U124" s="14" t="s">
        <v>8</v>
      </c>
      <c r="V124" s="185"/>
    </row>
    <row r="125" spans="1:25" ht="18" hidden="1" customHeight="1">
      <c r="A125" s="168"/>
      <c r="B125" s="5"/>
      <c r="C125" s="47" t="s">
        <v>546</v>
      </c>
      <c r="D125" s="14"/>
      <c r="E125" s="14"/>
      <c r="F125" s="18"/>
      <c r="G125" s="18"/>
      <c r="H125" s="279"/>
      <c r="I125" s="120"/>
      <c r="J125" s="279"/>
      <c r="K125" s="279"/>
      <c r="L125" s="14"/>
      <c r="M125" s="14"/>
      <c r="N125" s="14"/>
      <c r="O125" s="14"/>
      <c r="P125" s="14"/>
      <c r="Q125" s="120" t="s">
        <v>473</v>
      </c>
      <c r="R125" s="102" t="s">
        <v>127</v>
      </c>
      <c r="S125" s="689">
        <f>J105</f>
        <v>1200</v>
      </c>
      <c r="T125" s="689"/>
      <c r="U125" s="14" t="s">
        <v>305</v>
      </c>
      <c r="V125" s="185"/>
    </row>
    <row r="126" spans="1:25" ht="18" hidden="1" customHeight="1">
      <c r="A126" s="168"/>
      <c r="B126" s="5"/>
      <c r="C126" s="47" t="s">
        <v>547</v>
      </c>
      <c r="D126" s="14"/>
      <c r="E126" s="14"/>
      <c r="F126" s="18"/>
      <c r="G126" s="18"/>
      <c r="H126" s="279"/>
      <c r="I126" s="120"/>
      <c r="J126" s="279"/>
      <c r="K126" s="279"/>
      <c r="L126" s="14"/>
      <c r="M126" s="14"/>
      <c r="N126" s="14"/>
      <c r="O126" s="14"/>
      <c r="P126" s="14"/>
      <c r="Q126" s="120" t="s">
        <v>491</v>
      </c>
      <c r="R126" s="102" t="s">
        <v>127</v>
      </c>
      <c r="S126" s="692">
        <f>P113</f>
        <v>12</v>
      </c>
      <c r="T126" s="689"/>
      <c r="U126" s="14" t="s">
        <v>157</v>
      </c>
      <c r="V126" s="185"/>
      <c r="W126" s="279"/>
      <c r="X126" s="279"/>
      <c r="Y126" s="279"/>
    </row>
    <row r="127" spans="1:25" ht="18" hidden="1" customHeight="1">
      <c r="A127" s="168"/>
      <c r="B127" s="5"/>
      <c r="C127" s="47" t="s">
        <v>548</v>
      </c>
      <c r="D127" s="14"/>
      <c r="E127" s="14"/>
      <c r="F127" s="18"/>
      <c r="G127" s="18"/>
      <c r="H127" s="279"/>
      <c r="I127" s="120"/>
      <c r="J127" s="279"/>
      <c r="K127" s="279"/>
      <c r="L127" s="14"/>
      <c r="M127" s="14"/>
      <c r="N127" s="14"/>
      <c r="O127" s="14"/>
      <c r="P127" s="14"/>
      <c r="Q127" s="120" t="s">
        <v>512</v>
      </c>
      <c r="R127" s="102" t="s">
        <v>127</v>
      </c>
      <c r="S127" s="692">
        <f>J114</f>
        <v>1.43452618</v>
      </c>
      <c r="T127" s="689"/>
      <c r="U127" s="14" t="s">
        <v>157</v>
      </c>
      <c r="V127" s="185"/>
      <c r="X127" s="279"/>
      <c r="Y127" s="279"/>
    </row>
    <row r="128" spans="1:25" ht="18" hidden="1" customHeight="1">
      <c r="A128" s="168"/>
      <c r="B128" s="5"/>
      <c r="C128" s="47" t="s">
        <v>549</v>
      </c>
      <c r="D128" s="14"/>
      <c r="E128" s="14"/>
      <c r="F128" s="14"/>
      <c r="G128" s="14"/>
      <c r="H128" s="279"/>
      <c r="I128" s="120"/>
      <c r="J128" s="279"/>
      <c r="K128" s="279"/>
      <c r="L128" s="14"/>
      <c r="M128" s="14"/>
      <c r="N128" s="14"/>
      <c r="O128" s="14"/>
      <c r="P128" s="14"/>
      <c r="Q128" s="120" t="s">
        <v>511</v>
      </c>
      <c r="R128" s="102" t="s">
        <v>127</v>
      </c>
      <c r="S128" s="689">
        <f>O102</f>
        <v>1</v>
      </c>
      <c r="T128" s="689"/>
      <c r="U128" s="14" t="s">
        <v>8</v>
      </c>
      <c r="V128" s="185"/>
      <c r="X128" s="279"/>
      <c r="Y128" s="279"/>
    </row>
    <row r="129" spans="1:25" ht="18" hidden="1" customHeight="1">
      <c r="A129" s="168"/>
      <c r="B129" s="5"/>
      <c r="C129" s="47" t="s">
        <v>550</v>
      </c>
      <c r="D129" s="14"/>
      <c r="E129" s="14"/>
      <c r="F129" s="14"/>
      <c r="G129" s="14"/>
      <c r="H129" s="279"/>
      <c r="I129" s="120"/>
      <c r="J129" s="279"/>
      <c r="K129" s="279"/>
      <c r="L129" s="14"/>
      <c r="M129" s="14"/>
      <c r="N129" s="14"/>
      <c r="O129" s="14"/>
      <c r="P129" s="14"/>
      <c r="Q129" s="120" t="s">
        <v>495</v>
      </c>
      <c r="R129" s="102" t="s">
        <v>127</v>
      </c>
      <c r="S129" s="689">
        <v>20</v>
      </c>
      <c r="T129" s="689"/>
      <c r="U129" s="47"/>
      <c r="V129" s="185"/>
    </row>
    <row r="130" spans="1:25" ht="18" hidden="1" customHeight="1">
      <c r="A130" s="299"/>
      <c r="B130" s="279"/>
      <c r="C130" s="47" t="s">
        <v>551</v>
      </c>
      <c r="D130" s="14"/>
      <c r="E130" s="14"/>
      <c r="F130" s="14"/>
      <c r="G130" s="14"/>
      <c r="H130" s="279"/>
      <c r="I130" s="120"/>
      <c r="J130" s="279"/>
      <c r="K130" s="279"/>
      <c r="L130" s="14"/>
      <c r="M130" s="14"/>
      <c r="N130" s="279"/>
      <c r="O130" s="279"/>
      <c r="P130" s="14"/>
      <c r="Q130" s="120" t="s">
        <v>493</v>
      </c>
      <c r="R130" s="14"/>
      <c r="S130" s="279"/>
      <c r="T130" s="279"/>
      <c r="U130" s="279"/>
      <c r="V130" s="300"/>
      <c r="W130" s="279"/>
      <c r="X130" s="279"/>
      <c r="Y130" s="279"/>
    </row>
    <row r="131" spans="1:25" ht="18" hidden="1" customHeight="1">
      <c r="A131" s="184"/>
      <c r="V131" s="185"/>
    </row>
    <row r="132" spans="1:25" ht="18" hidden="1" customHeight="1">
      <c r="A132" s="184"/>
      <c r="C132" s="120" t="s">
        <v>493</v>
      </c>
      <c r="D132" s="28" t="s">
        <v>127</v>
      </c>
      <c r="E132" s="28" t="s">
        <v>537</v>
      </c>
      <c r="F132" s="28">
        <v>1.3</v>
      </c>
      <c r="G132" s="28" t="s">
        <v>315</v>
      </c>
      <c r="H132" s="689" t="s">
        <v>473</v>
      </c>
      <c r="I132" s="716"/>
      <c r="J132" s="28" t="s">
        <v>315</v>
      </c>
      <c r="K132" s="28" t="s">
        <v>511</v>
      </c>
      <c r="L132" s="28" t="s">
        <v>541</v>
      </c>
      <c r="M132" s="28" t="s">
        <v>495</v>
      </c>
      <c r="N132" s="47" t="s">
        <v>542</v>
      </c>
      <c r="O132" s="120" t="s">
        <v>491</v>
      </c>
      <c r="V132" s="185"/>
    </row>
    <row r="133" spans="1:25" ht="18" hidden="1" customHeight="1">
      <c r="A133" s="184"/>
      <c r="C133" s="120" t="s">
        <v>493</v>
      </c>
      <c r="D133" s="28" t="s">
        <v>127</v>
      </c>
      <c r="E133" s="28" t="s">
        <v>537</v>
      </c>
      <c r="F133" s="28">
        <v>1.3</v>
      </c>
      <c r="G133" s="28" t="s">
        <v>315</v>
      </c>
      <c r="H133" s="689">
        <f>S125</f>
        <v>1200</v>
      </c>
      <c r="I133" s="716"/>
      <c r="J133" s="28" t="s">
        <v>315</v>
      </c>
      <c r="K133" s="28">
        <f>S128</f>
        <v>1</v>
      </c>
      <c r="L133" s="28" t="s">
        <v>541</v>
      </c>
      <c r="M133" s="28">
        <f>S129</f>
        <v>20</v>
      </c>
      <c r="N133" s="47" t="s">
        <v>542</v>
      </c>
      <c r="O133" s="502">
        <f>S126</f>
        <v>12</v>
      </c>
      <c r="V133" s="185"/>
    </row>
    <row r="134" spans="1:25" ht="18" hidden="1" customHeight="1">
      <c r="A134" s="184"/>
      <c r="D134" s="27" t="s">
        <v>127</v>
      </c>
      <c r="E134" s="684">
        <f>((F133*H133*K133)/M133)-O133</f>
        <v>66</v>
      </c>
      <c r="F134" s="684"/>
      <c r="G134" s="27" t="s">
        <v>157</v>
      </c>
      <c r="V134" s="185"/>
    </row>
    <row r="135" spans="1:25" ht="18" hidden="1" customHeight="1">
      <c r="A135" s="184"/>
      <c r="D135" s="27"/>
      <c r="E135" s="27"/>
      <c r="F135" s="27"/>
      <c r="G135" s="27"/>
      <c r="V135" s="185"/>
    </row>
    <row r="136" spans="1:25" ht="18" hidden="1" customHeight="1">
      <c r="A136" s="184"/>
      <c r="D136" s="27"/>
      <c r="E136" s="27"/>
      <c r="F136" s="27"/>
      <c r="G136" s="27"/>
      <c r="V136" s="185"/>
    </row>
    <row r="137" spans="1:25" ht="18" hidden="1" customHeight="1">
      <c r="A137" s="184"/>
      <c r="D137" s="27"/>
      <c r="E137" s="27"/>
      <c r="F137" s="27"/>
      <c r="G137" s="27"/>
      <c r="V137" s="185"/>
    </row>
    <row r="138" spans="1:25" ht="18" hidden="1" customHeight="1">
      <c r="A138" s="184"/>
      <c r="D138" s="27"/>
      <c r="E138" s="27"/>
      <c r="F138" s="27"/>
      <c r="G138" s="27"/>
      <c r="V138" s="185"/>
    </row>
    <row r="139" spans="1:25" ht="18" hidden="1" customHeight="1">
      <c r="A139" s="184"/>
      <c r="D139" s="27"/>
      <c r="E139" s="27"/>
      <c r="F139" s="27"/>
      <c r="G139" s="27"/>
      <c r="V139" s="185"/>
    </row>
    <row r="140" spans="1:25" ht="18" hidden="1" customHeight="1">
      <c r="A140" s="184"/>
      <c r="V140" s="185"/>
    </row>
    <row r="141" spans="1:25" s="14" customFormat="1" ht="18" hidden="1" customHeight="1">
      <c r="A141" s="194"/>
      <c r="B141" s="195"/>
      <c r="C141" s="195"/>
      <c r="D141" s="195"/>
      <c r="E141" s="195"/>
      <c r="F141" s="195"/>
      <c r="G141" s="195"/>
      <c r="H141" s="195"/>
      <c r="I141" s="195"/>
      <c r="J141" s="195"/>
      <c r="K141" s="195"/>
      <c r="L141" s="195"/>
      <c r="M141" s="195"/>
      <c r="N141" s="195"/>
      <c r="O141" s="195"/>
      <c r="P141" s="195"/>
      <c r="Q141" s="224"/>
      <c r="R141" s="182"/>
      <c r="S141" s="225"/>
      <c r="T141" s="195"/>
      <c r="U141" s="195"/>
      <c r="V141" s="134" t="s">
        <v>552</v>
      </c>
    </row>
    <row r="142" spans="1:25" ht="18" hidden="1" customHeight="1">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8"/>
    </row>
    <row r="143" spans="1:25" ht="18" hidden="1" customHeight="1">
      <c r="A143" s="184"/>
      <c r="E143" s="244" t="s">
        <v>111</v>
      </c>
      <c r="F143" s="27" t="s">
        <v>127</v>
      </c>
      <c r="G143" s="689" t="s">
        <v>544</v>
      </c>
      <c r="H143" s="689"/>
      <c r="I143" s="191" t="s">
        <v>342</v>
      </c>
      <c r="J143" s="684" t="s">
        <v>423</v>
      </c>
      <c r="K143" s="684"/>
      <c r="V143" s="185"/>
    </row>
    <row r="144" spans="1:25" ht="18" hidden="1" customHeight="1">
      <c r="A144" s="184"/>
      <c r="F144" s="27" t="s">
        <v>127</v>
      </c>
      <c r="G144" s="684">
        <f>S123</f>
        <v>16800</v>
      </c>
      <c r="H144" s="684"/>
      <c r="I144" s="191" t="s">
        <v>342</v>
      </c>
      <c r="J144" s="684">
        <f>S124</f>
        <v>3200</v>
      </c>
      <c r="K144" s="684"/>
      <c r="V144" s="185"/>
    </row>
    <row r="145" spans="1:22" ht="18" hidden="1" customHeight="1">
      <c r="A145" s="184"/>
      <c r="F145" s="27" t="s">
        <v>127</v>
      </c>
      <c r="G145" s="795">
        <f>G144/J144</f>
        <v>5.25</v>
      </c>
      <c r="H145" s="795"/>
      <c r="I145" s="27"/>
      <c r="J145" s="27"/>
      <c r="K145" s="27"/>
      <c r="V145" s="185"/>
    </row>
    <row r="146" spans="1:22" ht="18" hidden="1" customHeight="1">
      <c r="A146" s="184"/>
      <c r="V146" s="185"/>
    </row>
    <row r="147" spans="1:22" ht="18" hidden="1" customHeight="1">
      <c r="A147" s="184"/>
      <c r="E147" s="244" t="s">
        <v>553</v>
      </c>
      <c r="F147" s="27" t="s">
        <v>127</v>
      </c>
      <c r="G147" s="27" t="s">
        <v>495</v>
      </c>
      <c r="H147" s="27" t="s">
        <v>554</v>
      </c>
      <c r="I147" s="120" t="s">
        <v>491</v>
      </c>
      <c r="J147" s="28" t="s">
        <v>347</v>
      </c>
      <c r="K147" s="120" t="s">
        <v>493</v>
      </c>
      <c r="L147" s="28" t="s">
        <v>539</v>
      </c>
      <c r="M147" s="120" t="s">
        <v>491</v>
      </c>
      <c r="N147" s="28" t="s">
        <v>347</v>
      </c>
      <c r="O147" s="120" t="s">
        <v>512</v>
      </c>
      <c r="P147" s="296" t="s">
        <v>350</v>
      </c>
      <c r="V147" s="185"/>
    </row>
    <row r="148" spans="1:22" ht="18" hidden="1" customHeight="1">
      <c r="A148" s="184"/>
      <c r="F148" s="27" t="s">
        <v>127</v>
      </c>
      <c r="G148" s="242">
        <f>S129</f>
        <v>20</v>
      </c>
      <c r="H148" s="245" t="s">
        <v>554</v>
      </c>
      <c r="I148" s="301">
        <f>S126</f>
        <v>12</v>
      </c>
      <c r="J148" s="245" t="s">
        <v>347</v>
      </c>
      <c r="K148" s="301">
        <f>E134</f>
        <v>66</v>
      </c>
      <c r="L148" s="245" t="s">
        <v>539</v>
      </c>
      <c r="M148" s="301">
        <f>S126</f>
        <v>12</v>
      </c>
      <c r="N148" s="245" t="s">
        <v>347</v>
      </c>
      <c r="O148" s="301">
        <f>S127</f>
        <v>1.43452618</v>
      </c>
      <c r="P148" s="461" t="s">
        <v>350</v>
      </c>
      <c r="V148" s="185"/>
    </row>
    <row r="149" spans="1:22" ht="18" hidden="1" customHeight="1">
      <c r="A149" s="184"/>
      <c r="F149" s="27" t="s">
        <v>127</v>
      </c>
      <c r="G149" s="795">
        <f>G148*((I148+K148)/(M148+O148))</f>
        <v>116.11872120375739</v>
      </c>
      <c r="H149" s="795"/>
      <c r="V149" s="185"/>
    </row>
    <row r="150" spans="1:22" ht="18" hidden="1" customHeight="1">
      <c r="A150" s="184"/>
      <c r="V150" s="185"/>
    </row>
    <row r="151" spans="1:22" ht="18" hidden="1" customHeight="1">
      <c r="A151" s="184"/>
      <c r="E151" s="244" t="s">
        <v>555</v>
      </c>
      <c r="F151" s="27" t="str">
        <f>IF(D152&gt;G152,"&gt;","&lt;")</f>
        <v>&gt;</v>
      </c>
      <c r="G151" s="296" t="s">
        <v>111</v>
      </c>
      <c r="V151" s="185"/>
    </row>
    <row r="152" spans="1:22" ht="18" hidden="1" customHeight="1">
      <c r="A152" s="184"/>
      <c r="D152" s="795">
        <f>G149</f>
        <v>116.11872120375739</v>
      </c>
      <c r="E152" s="795"/>
      <c r="F152" s="27" t="str">
        <f>F151</f>
        <v>&gt;</v>
      </c>
      <c r="G152" s="795">
        <f>G145</f>
        <v>5.25</v>
      </c>
      <c r="H152" s="795"/>
      <c r="V152" s="185"/>
    </row>
    <row r="153" spans="1:22" ht="18" hidden="1" customHeight="1">
      <c r="A153" s="184"/>
      <c r="E153" s="244" t="s">
        <v>478</v>
      </c>
      <c r="G153" s="18" t="str">
        <f>IF(F151="&gt;","Suitably Dimentioned","Under Dimentioned")</f>
        <v>Suitably Dimentioned</v>
      </c>
      <c r="V153" s="185"/>
    </row>
    <row r="154" spans="1:22" ht="18" hidden="1" customHeight="1">
      <c r="A154" s="184"/>
      <c r="V154" s="185"/>
    </row>
    <row r="155" spans="1:22" ht="18" hidden="1" customHeight="1">
      <c r="A155" s="184"/>
      <c r="V155" s="185"/>
    </row>
    <row r="156" spans="1:22" ht="18" hidden="1" customHeight="1">
      <c r="A156" s="184"/>
      <c r="V156" s="185"/>
    </row>
    <row r="157" spans="1:22" ht="18" hidden="1" customHeight="1">
      <c r="A157" s="184"/>
      <c r="V157" s="185"/>
    </row>
    <row r="158" spans="1:22" ht="18" hidden="1" customHeight="1">
      <c r="A158" s="184"/>
      <c r="V158" s="185"/>
    </row>
    <row r="159" spans="1:22" ht="18" hidden="1" customHeight="1">
      <c r="A159" s="184"/>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ht="18" hidden="1" customHeight="1">
      <c r="A173" s="184"/>
      <c r="V173" s="185"/>
    </row>
    <row r="174" spans="1:22" ht="18" hidden="1" customHeight="1">
      <c r="A174" s="184"/>
      <c r="V174" s="185"/>
    </row>
    <row r="175" spans="1:22" ht="18" hidden="1" customHeight="1">
      <c r="A175" s="184"/>
      <c r="V175" s="185"/>
    </row>
    <row r="176" spans="1:22" ht="18" hidden="1" customHeight="1">
      <c r="A176" s="184"/>
      <c r="V176" s="185"/>
    </row>
    <row r="177" spans="1:22" ht="18" hidden="1" customHeight="1">
      <c r="A177" s="184"/>
      <c r="V177" s="185"/>
    </row>
    <row r="178" spans="1:22" ht="18" hidden="1" customHeight="1">
      <c r="A178" s="184"/>
      <c r="V178" s="185"/>
    </row>
    <row r="179" spans="1:22" ht="18" hidden="1" customHeight="1">
      <c r="A179" s="184"/>
      <c r="V179" s="185"/>
    </row>
    <row r="180" spans="1:22" ht="18" hidden="1" customHeight="1">
      <c r="A180" s="184"/>
      <c r="V180" s="185"/>
    </row>
    <row r="181" spans="1:22" ht="18" hidden="1" customHeight="1">
      <c r="A181" s="184"/>
      <c r="V181" s="185"/>
    </row>
    <row r="182" spans="1:22" ht="18" hidden="1" customHeight="1">
      <c r="A182" s="184"/>
      <c r="V182" s="185"/>
    </row>
    <row r="183" spans="1:22" ht="18" hidden="1" customHeight="1">
      <c r="A183" s="184"/>
      <c r="V183" s="185"/>
    </row>
    <row r="184" spans="1:22" ht="18" hidden="1" customHeight="1">
      <c r="A184" s="184"/>
      <c r="V184" s="185"/>
    </row>
    <row r="185" spans="1:22" s="14" customFormat="1" ht="18" hidden="1" customHeight="1">
      <c r="A185" s="194"/>
      <c r="B185" s="195"/>
      <c r="C185" s="195"/>
      <c r="D185" s="195"/>
      <c r="E185" s="195"/>
      <c r="F185" s="195"/>
      <c r="G185" s="195"/>
      <c r="H185" s="195"/>
      <c r="I185" s="195"/>
      <c r="J185" s="195"/>
      <c r="K185" s="195"/>
      <c r="L185" s="195"/>
      <c r="M185" s="195"/>
      <c r="N185" s="195"/>
      <c r="O185" s="195"/>
      <c r="P185" s="195"/>
      <c r="Q185" s="224"/>
      <c r="R185" s="182"/>
      <c r="S185" s="225"/>
      <c r="T185" s="195"/>
      <c r="U185" s="195"/>
      <c r="V185" s="134" t="s">
        <v>552</v>
      </c>
    </row>
    <row r="186" spans="1:22" ht="18" hidden="1" customHeight="1">
      <c r="A186" s="226"/>
      <c r="B186" s="227"/>
      <c r="C186" s="227"/>
      <c r="D186" s="227"/>
      <c r="E186" s="227"/>
      <c r="F186" s="227"/>
      <c r="G186" s="227"/>
      <c r="H186" s="227"/>
      <c r="I186" s="227"/>
      <c r="J186" s="227"/>
      <c r="K186" s="227"/>
      <c r="L186" s="227"/>
      <c r="M186" s="227"/>
      <c r="N186" s="227"/>
      <c r="O186" s="227"/>
      <c r="P186" s="227"/>
      <c r="Q186" s="227"/>
      <c r="R186" s="227"/>
      <c r="S186" s="227"/>
      <c r="T186" s="227"/>
      <c r="U186" s="227"/>
      <c r="V186" s="228"/>
    </row>
    <row r="187" spans="1:22" ht="18" hidden="1" customHeight="1">
      <c r="A187" s="184"/>
      <c r="B187" s="854" t="str">
        <f>B99</f>
        <v>T1</v>
      </c>
      <c r="C187" s="831"/>
      <c r="D187" s="853" t="str">
        <f>D99</f>
        <v>Core2</v>
      </c>
      <c r="E187" s="765"/>
      <c r="F187" s="455"/>
      <c r="H187" s="684" t="str">
        <f>H99</f>
        <v>(OC+BCPU+FMS)</v>
      </c>
      <c r="I187" s="684"/>
      <c r="J187" s="684"/>
      <c r="K187" s="684"/>
      <c r="L187" s="684"/>
      <c r="M187" s="684"/>
      <c r="P187" s="186"/>
      <c r="S187" s="187" t="s">
        <v>387</v>
      </c>
      <c r="T187" s="1123" t="str">
        <f>T99</f>
        <v>REF615</v>
      </c>
      <c r="U187" s="1124"/>
      <c r="V187" s="185"/>
    </row>
    <row r="188" spans="1:22" ht="18" hidden="1" customHeight="1">
      <c r="A188" s="456"/>
      <c r="F188" s="455"/>
      <c r="T188" s="1123" t="str">
        <f>T100</f>
        <v>IDM+</v>
      </c>
      <c r="U188" s="1124"/>
      <c r="V188" s="185"/>
    </row>
    <row r="189" spans="1:22" ht="18" hidden="1" customHeight="1">
      <c r="A189" s="184"/>
      <c r="H189" s="708" t="s">
        <v>390</v>
      </c>
      <c r="I189" s="708"/>
      <c r="J189" s="708" t="s">
        <v>391</v>
      </c>
      <c r="K189" s="708"/>
      <c r="L189" s="789" t="s">
        <v>392</v>
      </c>
      <c r="M189" s="789"/>
      <c r="T189" s="1123" t="str">
        <f>T101</f>
        <v>7UT86</v>
      </c>
      <c r="U189" s="1124"/>
      <c r="V189" s="185"/>
    </row>
    <row r="190" spans="1:22" ht="18" hidden="1" customHeight="1">
      <c r="A190" s="184"/>
      <c r="B190" s="47" t="s">
        <v>393</v>
      </c>
      <c r="H190" s="854">
        <f>H102</f>
        <v>2800</v>
      </c>
      <c r="I190" s="831"/>
      <c r="J190" s="854">
        <f>J102</f>
        <v>3200</v>
      </c>
      <c r="K190" s="831"/>
      <c r="L190" s="863" t="str">
        <f>L102</f>
        <v>-</v>
      </c>
      <c r="M190" s="864"/>
      <c r="N190" s="191" t="s">
        <v>342</v>
      </c>
      <c r="O190" s="256">
        <f>O102</f>
        <v>1</v>
      </c>
      <c r="P190" s="27" t="s">
        <v>8</v>
      </c>
      <c r="R190" s="255"/>
      <c r="S190" s="255"/>
      <c r="V190" s="185"/>
    </row>
    <row r="191" spans="1:22" ht="18" hidden="1" customHeight="1">
      <c r="A191" s="184"/>
      <c r="B191" s="47" t="s">
        <v>394</v>
      </c>
      <c r="L191" s="854" t="str">
        <f>J103</f>
        <v>PX</v>
      </c>
      <c r="M191" s="831"/>
      <c r="V191" s="185"/>
    </row>
    <row r="192" spans="1:22" ht="18" hidden="1" customHeight="1">
      <c r="A192" s="184"/>
      <c r="B192" s="47" t="s">
        <v>396</v>
      </c>
      <c r="K192" s="120" t="s">
        <v>497</v>
      </c>
      <c r="L192" s="1075">
        <v>8</v>
      </c>
      <c r="M192" s="1076"/>
      <c r="N192" s="192" t="s">
        <v>333</v>
      </c>
      <c r="V192" s="185"/>
    </row>
    <row r="193" spans="1:23" ht="18" hidden="1" customHeight="1">
      <c r="A193" s="184"/>
      <c r="B193" s="47" t="s">
        <v>398</v>
      </c>
      <c r="K193" s="120" t="s">
        <v>498</v>
      </c>
      <c r="L193" s="1075">
        <v>800</v>
      </c>
      <c r="M193" s="1076"/>
      <c r="N193" s="14" t="s">
        <v>305</v>
      </c>
      <c r="V193" s="185"/>
      <c r="W193" s="30" t="e">
        <f>G241</f>
        <v>#VALUE!</v>
      </c>
    </row>
    <row r="194" spans="1:23" ht="18" hidden="1" customHeight="1">
      <c r="A194" s="184"/>
      <c r="B194" s="14" t="s">
        <v>401</v>
      </c>
      <c r="K194" s="120" t="s">
        <v>402</v>
      </c>
      <c r="L194" s="1075">
        <v>75</v>
      </c>
      <c r="M194" s="1076"/>
      <c r="N194" s="14" t="s">
        <v>403</v>
      </c>
      <c r="V194" s="185"/>
    </row>
    <row r="195" spans="1:23" ht="18" hidden="1" customHeight="1">
      <c r="A195" s="184"/>
      <c r="V195" s="185"/>
    </row>
    <row r="196" spans="1:23" ht="18" hidden="1" customHeight="1">
      <c r="A196" s="193" t="s">
        <v>404</v>
      </c>
      <c r="V196" s="185"/>
    </row>
    <row r="197" spans="1:23" ht="18" hidden="1" customHeight="1">
      <c r="A197" s="184"/>
      <c r="V197" s="185"/>
    </row>
    <row r="198" spans="1:23" ht="18" hidden="1" customHeight="1">
      <c r="A198" s="184"/>
      <c r="B198" s="135" t="s">
        <v>405</v>
      </c>
      <c r="C198" s="273"/>
      <c r="D198" s="139" t="str">
        <f>T187</f>
        <v>REF615</v>
      </c>
      <c r="E198" s="227"/>
      <c r="F198" s="227"/>
      <c r="G198" s="227"/>
      <c r="H198" s="138"/>
      <c r="I198" s="260" t="s">
        <v>127</v>
      </c>
      <c r="J198" s="722">
        <f>J110</f>
        <v>0.02</v>
      </c>
      <c r="K198" s="958"/>
      <c r="L198" s="3" t="s">
        <v>157</v>
      </c>
      <c r="N198" s="197" t="s">
        <v>510</v>
      </c>
      <c r="V198" s="185"/>
    </row>
    <row r="199" spans="1:23" ht="18" hidden="1" customHeight="1">
      <c r="A199" s="184"/>
      <c r="B199" s="96" t="s">
        <v>405</v>
      </c>
      <c r="C199" s="14"/>
      <c r="D199" s="47" t="str">
        <f>T188</f>
        <v>IDM+</v>
      </c>
      <c r="H199" s="28"/>
      <c r="I199" s="101" t="s">
        <v>127</v>
      </c>
      <c r="J199" s="722">
        <f>J111</f>
        <v>5.8000000000000003E-2</v>
      </c>
      <c r="K199" s="958"/>
      <c r="L199" s="3" t="s">
        <v>157</v>
      </c>
      <c r="N199" s="120" t="s">
        <v>491</v>
      </c>
      <c r="O199" s="27" t="s">
        <v>127</v>
      </c>
      <c r="P199" s="27" t="s">
        <v>511</v>
      </c>
      <c r="Q199" s="27" t="s">
        <v>315</v>
      </c>
      <c r="R199" s="27" t="s">
        <v>511</v>
      </c>
      <c r="S199" s="27" t="s">
        <v>315</v>
      </c>
      <c r="T199" s="27" t="s">
        <v>420</v>
      </c>
      <c r="V199" s="185"/>
    </row>
    <row r="200" spans="1:23" ht="18" hidden="1" customHeight="1">
      <c r="A200" s="184"/>
      <c r="B200" s="96" t="s">
        <v>405</v>
      </c>
      <c r="C200" s="14"/>
      <c r="D200" s="47" t="str">
        <f>T189</f>
        <v>7UT86</v>
      </c>
      <c r="H200" s="28"/>
      <c r="I200" s="101" t="s">
        <v>127</v>
      </c>
      <c r="J200" s="722">
        <f>J112</f>
        <v>0.1</v>
      </c>
      <c r="K200" s="958"/>
      <c r="L200" s="3" t="s">
        <v>157</v>
      </c>
      <c r="N200" s="27"/>
      <c r="O200" s="27" t="s">
        <v>127</v>
      </c>
      <c r="P200" s="27">
        <f>O190</f>
        <v>1</v>
      </c>
      <c r="Q200" s="27" t="s">
        <v>315</v>
      </c>
      <c r="R200" s="27">
        <f>O190</f>
        <v>1</v>
      </c>
      <c r="S200" s="27" t="s">
        <v>315</v>
      </c>
      <c r="T200" s="27">
        <f>L192</f>
        <v>8</v>
      </c>
      <c r="V200" s="185"/>
    </row>
    <row r="201" spans="1:23" ht="18" hidden="1" customHeight="1">
      <c r="A201" s="184"/>
      <c r="B201" s="452" t="s">
        <v>412</v>
      </c>
      <c r="C201" s="259"/>
      <c r="D201" s="259"/>
      <c r="E201" s="259"/>
      <c r="F201" s="207"/>
      <c r="G201" s="207"/>
      <c r="H201" s="190"/>
      <c r="I201" s="208" t="s">
        <v>127</v>
      </c>
      <c r="J201" s="1120">
        <f>J113</f>
        <v>1.25652618</v>
      </c>
      <c r="K201" s="987"/>
      <c r="L201" s="297" t="s">
        <v>157</v>
      </c>
      <c r="O201" s="27" t="s">
        <v>127</v>
      </c>
      <c r="P201" s="795">
        <f>P200*R200*T200</f>
        <v>8</v>
      </c>
      <c r="Q201" s="684"/>
      <c r="R201" s="27" t="s">
        <v>157</v>
      </c>
      <c r="V201" s="185"/>
    </row>
    <row r="202" spans="1:23" ht="18" hidden="1" customHeight="1">
      <c r="A202" s="184"/>
      <c r="B202" s="1" t="s">
        <v>413</v>
      </c>
      <c r="C202" s="2"/>
      <c r="D202" s="2"/>
      <c r="E202" s="2"/>
      <c r="F202" s="196"/>
      <c r="G202" s="196"/>
      <c r="H202" s="224" t="s">
        <v>512</v>
      </c>
      <c r="I202" s="183" t="s">
        <v>127</v>
      </c>
      <c r="J202" s="722">
        <f>SUM(J198:J201)</f>
        <v>1.43452618</v>
      </c>
      <c r="K202" s="958"/>
      <c r="L202" s="3" t="s">
        <v>157</v>
      </c>
      <c r="V202" s="185"/>
    </row>
    <row r="203" spans="1:23" ht="18" hidden="1" customHeight="1">
      <c r="A203" s="184"/>
      <c r="B203" s="47"/>
      <c r="C203" s="47"/>
      <c r="D203" s="47"/>
      <c r="E203" s="47"/>
      <c r="H203" s="27"/>
      <c r="I203" s="28"/>
      <c r="J203" s="199"/>
      <c r="L203" s="47"/>
      <c r="S203" s="27"/>
      <c r="V203" s="185"/>
    </row>
    <row r="204" spans="1:23" ht="18" hidden="1" customHeight="1">
      <c r="A204" s="1206" t="s">
        <v>536</v>
      </c>
      <c r="B204" s="1207"/>
      <c r="C204" s="1207"/>
      <c r="D204" s="1207"/>
      <c r="E204" s="1207"/>
      <c r="F204" s="1207"/>
      <c r="G204" s="1207"/>
      <c r="H204" s="1207"/>
      <c r="I204" s="1207"/>
      <c r="J204" s="1207"/>
      <c r="K204" s="1207"/>
      <c r="L204" s="1207"/>
      <c r="M204" s="1207"/>
      <c r="N204" s="1207"/>
      <c r="O204" s="1207"/>
      <c r="P204" s="1207"/>
      <c r="Q204" s="1207"/>
      <c r="R204" s="1207"/>
      <c r="S204" s="1207"/>
      <c r="T204" s="1207"/>
      <c r="U204" s="1207"/>
      <c r="V204" s="1208"/>
    </row>
    <row r="205" spans="1:23" ht="18" hidden="1" customHeight="1">
      <c r="A205" s="1209"/>
      <c r="B205" s="1207"/>
      <c r="C205" s="1207"/>
      <c r="D205" s="1207"/>
      <c r="E205" s="1207"/>
      <c r="F205" s="1207"/>
      <c r="G205" s="1207"/>
      <c r="H205" s="1207"/>
      <c r="I205" s="1207"/>
      <c r="J205" s="1207"/>
      <c r="K205" s="1207"/>
      <c r="L205" s="1207"/>
      <c r="M205" s="1207"/>
      <c r="N205" s="1207"/>
      <c r="O205" s="1207"/>
      <c r="P205" s="1207"/>
      <c r="Q205" s="1207"/>
      <c r="R205" s="1207"/>
      <c r="S205" s="1207"/>
      <c r="T205" s="1207"/>
      <c r="U205" s="1207"/>
      <c r="V205" s="1208"/>
    </row>
    <row r="206" spans="1:23" ht="18" hidden="1" customHeight="1">
      <c r="A206" s="184"/>
      <c r="Q206" s="211"/>
      <c r="R206" s="192"/>
      <c r="V206" s="185"/>
    </row>
    <row r="207" spans="1:23" ht="18" hidden="1" customHeight="1">
      <c r="A207" s="184"/>
      <c r="C207" s="14" t="s">
        <v>473</v>
      </c>
      <c r="D207" s="28" t="s">
        <v>127</v>
      </c>
      <c r="E207" s="28" t="s">
        <v>537</v>
      </c>
      <c r="F207" s="120" t="s">
        <v>493</v>
      </c>
      <c r="G207" s="28" t="s">
        <v>347</v>
      </c>
      <c r="H207" s="120" t="s">
        <v>491</v>
      </c>
      <c r="I207" s="28" t="s">
        <v>538</v>
      </c>
      <c r="J207" s="28" t="s">
        <v>495</v>
      </c>
      <c r="K207" s="28" t="s">
        <v>539</v>
      </c>
      <c r="L207" s="28" t="s">
        <v>511</v>
      </c>
      <c r="M207" s="28" t="s">
        <v>315</v>
      </c>
      <c r="N207" s="28">
        <v>1.3</v>
      </c>
      <c r="O207" s="47" t="s">
        <v>350</v>
      </c>
      <c r="V207" s="185"/>
    </row>
    <row r="208" spans="1:23" ht="18" hidden="1" customHeight="1">
      <c r="A208" s="184" t="s">
        <v>540</v>
      </c>
      <c r="C208" s="14"/>
      <c r="D208" s="28"/>
      <c r="E208" s="14"/>
      <c r="F208" s="14"/>
      <c r="G208" s="14"/>
      <c r="H208" s="14"/>
      <c r="I208" s="14"/>
      <c r="J208" s="14"/>
      <c r="K208" s="14"/>
      <c r="L208" s="14"/>
      <c r="M208" s="14"/>
      <c r="N208" s="14"/>
      <c r="O208" s="14"/>
      <c r="V208" s="185"/>
    </row>
    <row r="209" spans="1:25" ht="18" hidden="1" customHeight="1">
      <c r="A209" s="184"/>
      <c r="C209" s="120" t="s">
        <v>493</v>
      </c>
      <c r="D209" s="28" t="s">
        <v>127</v>
      </c>
      <c r="E209" s="28" t="s">
        <v>537</v>
      </c>
      <c r="F209" s="28">
        <v>1.3</v>
      </c>
      <c r="G209" s="28" t="s">
        <v>315</v>
      </c>
      <c r="H209" s="689" t="s">
        <v>473</v>
      </c>
      <c r="I209" s="716"/>
      <c r="J209" s="28" t="s">
        <v>315</v>
      </c>
      <c r="K209" s="28" t="s">
        <v>511</v>
      </c>
      <c r="L209" s="28" t="s">
        <v>541</v>
      </c>
      <c r="M209" s="28" t="s">
        <v>495</v>
      </c>
      <c r="N209" s="47" t="s">
        <v>542</v>
      </c>
      <c r="O209" s="120" t="s">
        <v>491</v>
      </c>
      <c r="V209" s="185"/>
    </row>
    <row r="210" spans="1:25" ht="18" hidden="1" customHeight="1">
      <c r="A210" s="184"/>
      <c r="V210" s="185"/>
    </row>
    <row r="211" spans="1:25" ht="18" hidden="1" customHeight="1">
      <c r="A211" s="168"/>
      <c r="B211" s="5"/>
      <c r="C211" s="47" t="s">
        <v>543</v>
      </c>
      <c r="D211" s="14"/>
      <c r="E211" s="14"/>
      <c r="F211" s="14"/>
      <c r="G211" s="14"/>
      <c r="H211" s="279"/>
      <c r="I211" s="120"/>
      <c r="J211" s="279"/>
      <c r="K211" s="279"/>
      <c r="L211" s="14"/>
      <c r="M211" s="14"/>
      <c r="N211" s="14"/>
      <c r="O211" s="14"/>
      <c r="P211" s="14"/>
      <c r="Q211" s="120" t="s">
        <v>544</v>
      </c>
      <c r="R211" s="102" t="s">
        <v>127</v>
      </c>
      <c r="S211" s="689">
        <f>S123</f>
        <v>16800</v>
      </c>
      <c r="T211" s="689"/>
      <c r="U211" s="47" t="s">
        <v>8</v>
      </c>
      <c r="V211" s="185"/>
    </row>
    <row r="212" spans="1:25" ht="18" hidden="1" customHeight="1">
      <c r="A212" s="168"/>
      <c r="B212" s="5"/>
      <c r="C212" s="47" t="s">
        <v>545</v>
      </c>
      <c r="D212" s="14"/>
      <c r="E212" s="14"/>
      <c r="F212" s="18"/>
      <c r="G212" s="18"/>
      <c r="H212" s="279"/>
      <c r="I212" s="120"/>
      <c r="J212" s="279"/>
      <c r="K212" s="279"/>
      <c r="L212" s="14"/>
      <c r="M212" s="14"/>
      <c r="N212" s="14"/>
      <c r="O212" s="14"/>
      <c r="P212" s="14"/>
      <c r="Q212" s="120" t="s">
        <v>423</v>
      </c>
      <c r="R212" s="102" t="s">
        <v>127</v>
      </c>
      <c r="S212" s="689" t="str">
        <f>L190</f>
        <v>-</v>
      </c>
      <c r="T212" s="689"/>
      <c r="U212" s="14" t="s">
        <v>8</v>
      </c>
      <c r="V212" s="185"/>
    </row>
    <row r="213" spans="1:25" ht="18" hidden="1" customHeight="1">
      <c r="A213" s="168"/>
      <c r="B213" s="5"/>
      <c r="C213" s="47" t="s">
        <v>546</v>
      </c>
      <c r="D213" s="14"/>
      <c r="E213" s="14"/>
      <c r="F213" s="18"/>
      <c r="G213" s="18"/>
      <c r="H213" s="279"/>
      <c r="I213" s="120"/>
      <c r="J213" s="279"/>
      <c r="K213" s="279"/>
      <c r="L213" s="14"/>
      <c r="M213" s="14"/>
      <c r="N213" s="14"/>
      <c r="O213" s="14"/>
      <c r="P213" s="14"/>
      <c r="Q213" s="120" t="s">
        <v>473</v>
      </c>
      <c r="R213" s="102" t="s">
        <v>127</v>
      </c>
      <c r="S213" s="689">
        <f>L193</f>
        <v>800</v>
      </c>
      <c r="T213" s="689"/>
      <c r="U213" s="14" t="s">
        <v>305</v>
      </c>
      <c r="V213" s="185"/>
    </row>
    <row r="214" spans="1:25" ht="18" hidden="1" customHeight="1">
      <c r="A214" s="168"/>
      <c r="B214" s="5"/>
      <c r="C214" s="47" t="s">
        <v>547</v>
      </c>
      <c r="D214" s="14"/>
      <c r="E214" s="14"/>
      <c r="F214" s="18"/>
      <c r="G214" s="18"/>
      <c r="H214" s="279"/>
      <c r="I214" s="120"/>
      <c r="J214" s="279"/>
      <c r="K214" s="279"/>
      <c r="L214" s="14"/>
      <c r="M214" s="14"/>
      <c r="N214" s="14"/>
      <c r="O214" s="14"/>
      <c r="P214" s="14"/>
      <c r="Q214" s="120" t="s">
        <v>491</v>
      </c>
      <c r="R214" s="102" t="s">
        <v>127</v>
      </c>
      <c r="S214" s="692">
        <f>P201</f>
        <v>8</v>
      </c>
      <c r="T214" s="689"/>
      <c r="U214" s="14" t="s">
        <v>157</v>
      </c>
      <c r="V214" s="185"/>
      <c r="W214" s="279"/>
      <c r="X214" s="279"/>
      <c r="Y214" s="279"/>
    </row>
    <row r="215" spans="1:25" ht="18" hidden="1" customHeight="1">
      <c r="A215" s="168"/>
      <c r="B215" s="5"/>
      <c r="C215" s="47" t="s">
        <v>548</v>
      </c>
      <c r="D215" s="14"/>
      <c r="E215" s="14"/>
      <c r="F215" s="18"/>
      <c r="G215" s="18"/>
      <c r="H215" s="279"/>
      <c r="I215" s="120"/>
      <c r="J215" s="279"/>
      <c r="K215" s="279"/>
      <c r="L215" s="14"/>
      <c r="M215" s="14"/>
      <c r="N215" s="14"/>
      <c r="O215" s="14"/>
      <c r="P215" s="14"/>
      <c r="Q215" s="120" t="s">
        <v>512</v>
      </c>
      <c r="R215" s="102" t="s">
        <v>127</v>
      </c>
      <c r="S215" s="692">
        <f>J202</f>
        <v>1.43452618</v>
      </c>
      <c r="T215" s="689"/>
      <c r="U215" s="14" t="s">
        <v>157</v>
      </c>
      <c r="V215" s="185"/>
      <c r="X215" s="279"/>
      <c r="Y215" s="279"/>
    </row>
    <row r="216" spans="1:25" ht="18" hidden="1" customHeight="1">
      <c r="A216" s="168"/>
      <c r="B216" s="5"/>
      <c r="C216" s="47" t="s">
        <v>549</v>
      </c>
      <c r="D216" s="14"/>
      <c r="E216" s="14"/>
      <c r="F216" s="14"/>
      <c r="G216" s="14"/>
      <c r="H216" s="279"/>
      <c r="I216" s="120"/>
      <c r="J216" s="279"/>
      <c r="K216" s="279"/>
      <c r="L216" s="14"/>
      <c r="M216" s="14"/>
      <c r="N216" s="14"/>
      <c r="O216" s="14"/>
      <c r="P216" s="14"/>
      <c r="Q216" s="120" t="s">
        <v>511</v>
      </c>
      <c r="R216" s="102" t="s">
        <v>127</v>
      </c>
      <c r="S216" s="689">
        <f>O190</f>
        <v>1</v>
      </c>
      <c r="T216" s="689"/>
      <c r="U216" s="14" t="s">
        <v>8</v>
      </c>
      <c r="V216" s="185"/>
      <c r="X216" s="279"/>
      <c r="Y216" s="279"/>
    </row>
    <row r="217" spans="1:25" ht="18" hidden="1" customHeight="1">
      <c r="A217" s="168"/>
      <c r="B217" s="5"/>
      <c r="C217" s="47" t="s">
        <v>550</v>
      </c>
      <c r="D217" s="14"/>
      <c r="E217" s="14"/>
      <c r="F217" s="14"/>
      <c r="G217" s="14"/>
      <c r="H217" s="279"/>
      <c r="I217" s="120"/>
      <c r="J217" s="279"/>
      <c r="K217" s="279"/>
      <c r="L217" s="14"/>
      <c r="M217" s="14"/>
      <c r="N217" s="14"/>
      <c r="O217" s="14"/>
      <c r="P217" s="14"/>
      <c r="Q217" s="120" t="s">
        <v>495</v>
      </c>
      <c r="R217" s="102" t="s">
        <v>127</v>
      </c>
      <c r="S217" s="689">
        <v>20</v>
      </c>
      <c r="T217" s="689"/>
      <c r="U217" s="47"/>
      <c r="V217" s="185"/>
    </row>
    <row r="218" spans="1:25" ht="18" hidden="1" customHeight="1">
      <c r="A218" s="299"/>
      <c r="B218" s="279"/>
      <c r="C218" s="47" t="s">
        <v>551</v>
      </c>
      <c r="D218" s="14"/>
      <c r="E218" s="14"/>
      <c r="F218" s="14"/>
      <c r="G218" s="14"/>
      <c r="H218" s="279"/>
      <c r="I218" s="120"/>
      <c r="J218" s="279"/>
      <c r="K218" s="279"/>
      <c r="L218" s="14"/>
      <c r="M218" s="14"/>
      <c r="N218" s="279"/>
      <c r="O218" s="279"/>
      <c r="P218" s="14"/>
      <c r="Q218" s="120" t="s">
        <v>493</v>
      </c>
      <c r="R218" s="14"/>
      <c r="S218" s="279"/>
      <c r="T218" s="279"/>
      <c r="U218" s="279"/>
      <c r="V218" s="300"/>
      <c r="W218" s="279"/>
      <c r="X218" s="279"/>
      <c r="Y218" s="279"/>
    </row>
    <row r="219" spans="1:25" ht="18" hidden="1" customHeight="1">
      <c r="A219" s="184"/>
      <c r="V219" s="185"/>
    </row>
    <row r="220" spans="1:25" ht="18" hidden="1" customHeight="1">
      <c r="A220" s="184"/>
      <c r="C220" s="120" t="s">
        <v>493</v>
      </c>
      <c r="D220" s="28" t="s">
        <v>127</v>
      </c>
      <c r="E220" s="28" t="s">
        <v>537</v>
      </c>
      <c r="F220" s="28">
        <v>1.3</v>
      </c>
      <c r="G220" s="28" t="s">
        <v>315</v>
      </c>
      <c r="H220" s="689" t="s">
        <v>473</v>
      </c>
      <c r="I220" s="716"/>
      <c r="J220" s="28" t="s">
        <v>315</v>
      </c>
      <c r="K220" s="28" t="s">
        <v>511</v>
      </c>
      <c r="L220" s="28" t="s">
        <v>541</v>
      </c>
      <c r="M220" s="28" t="s">
        <v>495</v>
      </c>
      <c r="N220" s="47" t="s">
        <v>542</v>
      </c>
      <c r="O220" s="120" t="s">
        <v>491</v>
      </c>
      <c r="V220" s="185"/>
    </row>
    <row r="221" spans="1:25" ht="18" hidden="1" customHeight="1">
      <c r="A221" s="184"/>
      <c r="C221" s="120" t="s">
        <v>493</v>
      </c>
      <c r="D221" s="28" t="s">
        <v>127</v>
      </c>
      <c r="E221" s="28" t="s">
        <v>537</v>
      </c>
      <c r="F221" s="28">
        <v>1.3</v>
      </c>
      <c r="G221" s="28" t="s">
        <v>315</v>
      </c>
      <c r="H221" s="689">
        <f>S213</f>
        <v>800</v>
      </c>
      <c r="I221" s="716"/>
      <c r="J221" s="28" t="s">
        <v>315</v>
      </c>
      <c r="K221" s="28">
        <f>S216</f>
        <v>1</v>
      </c>
      <c r="L221" s="28" t="s">
        <v>541</v>
      </c>
      <c r="M221" s="28">
        <f>S217</f>
        <v>20</v>
      </c>
      <c r="N221" s="47" t="s">
        <v>542</v>
      </c>
      <c r="O221" s="502">
        <f>S214</f>
        <v>8</v>
      </c>
      <c r="V221" s="185"/>
    </row>
    <row r="222" spans="1:25" ht="18" hidden="1" customHeight="1">
      <c r="A222" s="184"/>
      <c r="D222" s="27" t="s">
        <v>127</v>
      </c>
      <c r="E222" s="684">
        <f>((F221*H221*K221)/M221)-O221</f>
        <v>44</v>
      </c>
      <c r="F222" s="684"/>
      <c r="G222" s="27" t="s">
        <v>157</v>
      </c>
      <c r="V222" s="185"/>
    </row>
    <row r="223" spans="1:25" ht="18" hidden="1" customHeight="1">
      <c r="A223" s="184"/>
      <c r="D223" s="27"/>
      <c r="E223" s="27"/>
      <c r="F223" s="27"/>
      <c r="G223" s="27"/>
      <c r="V223" s="185"/>
    </row>
    <row r="224" spans="1:25" ht="18" hidden="1" customHeight="1">
      <c r="A224" s="184"/>
      <c r="D224" s="27"/>
      <c r="E224" s="27"/>
      <c r="F224" s="27"/>
      <c r="G224" s="27"/>
      <c r="V224" s="185"/>
    </row>
    <row r="225" spans="1:22" ht="18" hidden="1" customHeight="1">
      <c r="A225" s="184"/>
      <c r="D225" s="27"/>
      <c r="E225" s="27"/>
      <c r="F225" s="27"/>
      <c r="G225" s="27"/>
      <c r="V225" s="185"/>
    </row>
    <row r="226" spans="1:22" ht="18" hidden="1" customHeight="1">
      <c r="A226" s="184"/>
      <c r="D226" s="27"/>
      <c r="E226" s="27"/>
      <c r="F226" s="27"/>
      <c r="G226" s="27"/>
      <c r="V226" s="185"/>
    </row>
    <row r="227" spans="1:22" ht="18" hidden="1" customHeight="1">
      <c r="A227" s="184"/>
      <c r="D227" s="27"/>
      <c r="E227" s="27"/>
      <c r="F227" s="27"/>
      <c r="G227" s="27"/>
      <c r="V227" s="185"/>
    </row>
    <row r="228" spans="1:22" ht="18" hidden="1" customHeight="1">
      <c r="A228" s="184"/>
      <c r="V228" s="185"/>
    </row>
    <row r="229" spans="1:22" s="14" customFormat="1" ht="18" hidden="1" customHeight="1">
      <c r="A229" s="194"/>
      <c r="B229" s="195"/>
      <c r="C229" s="195"/>
      <c r="D229" s="195"/>
      <c r="E229" s="195"/>
      <c r="F229" s="195"/>
      <c r="G229" s="195"/>
      <c r="H229" s="195"/>
      <c r="I229" s="195"/>
      <c r="J229" s="195"/>
      <c r="K229" s="195"/>
      <c r="L229" s="195"/>
      <c r="M229" s="195"/>
      <c r="N229" s="195"/>
      <c r="O229" s="195"/>
      <c r="P229" s="195"/>
      <c r="Q229" s="224"/>
      <c r="R229" s="182"/>
      <c r="S229" s="225"/>
      <c r="T229" s="195"/>
      <c r="U229" s="195"/>
      <c r="V229" s="134" t="s">
        <v>552</v>
      </c>
    </row>
    <row r="230" spans="1:22" ht="18" hidden="1" customHeight="1">
      <c r="A230" s="226"/>
      <c r="B230" s="227"/>
      <c r="C230" s="227"/>
      <c r="D230" s="227"/>
      <c r="E230" s="227"/>
      <c r="F230" s="227"/>
      <c r="G230" s="227"/>
      <c r="H230" s="227"/>
      <c r="I230" s="227"/>
      <c r="J230" s="227"/>
      <c r="K230" s="227"/>
      <c r="L230" s="227"/>
      <c r="M230" s="227"/>
      <c r="N230" s="227"/>
      <c r="O230" s="227"/>
      <c r="P230" s="227"/>
      <c r="Q230" s="227"/>
      <c r="R230" s="227"/>
      <c r="S230" s="227"/>
      <c r="T230" s="227"/>
      <c r="U230" s="227"/>
      <c r="V230" s="228"/>
    </row>
    <row r="231" spans="1:22" ht="18" hidden="1" customHeight="1">
      <c r="A231" s="184"/>
      <c r="E231" s="244" t="s">
        <v>111</v>
      </c>
      <c r="F231" s="27" t="s">
        <v>127</v>
      </c>
      <c r="G231" s="689" t="s">
        <v>544</v>
      </c>
      <c r="H231" s="689"/>
      <c r="I231" s="191" t="s">
        <v>342</v>
      </c>
      <c r="J231" s="684" t="s">
        <v>423</v>
      </c>
      <c r="K231" s="684"/>
      <c r="V231" s="185"/>
    </row>
    <row r="232" spans="1:22" ht="18" hidden="1" customHeight="1">
      <c r="A232" s="184"/>
      <c r="F232" s="27" t="s">
        <v>127</v>
      </c>
      <c r="G232" s="684">
        <f>S211</f>
        <v>16800</v>
      </c>
      <c r="H232" s="684"/>
      <c r="I232" s="191" t="s">
        <v>342</v>
      </c>
      <c r="J232" s="684" t="str">
        <f>S212</f>
        <v>-</v>
      </c>
      <c r="K232" s="684"/>
      <c r="V232" s="185"/>
    </row>
    <row r="233" spans="1:22" ht="18" hidden="1" customHeight="1">
      <c r="A233" s="184"/>
      <c r="F233" s="27" t="s">
        <v>127</v>
      </c>
      <c r="G233" s="795" t="e">
        <f>G232/J232</f>
        <v>#VALUE!</v>
      </c>
      <c r="H233" s="795"/>
      <c r="I233" s="27"/>
      <c r="J233" s="27"/>
      <c r="K233" s="27"/>
      <c r="V233" s="185"/>
    </row>
    <row r="234" spans="1:22" ht="18" hidden="1" customHeight="1">
      <c r="A234" s="184"/>
      <c r="V234" s="185"/>
    </row>
    <row r="235" spans="1:22" ht="18" hidden="1" customHeight="1">
      <c r="A235" s="184"/>
      <c r="E235" s="244" t="s">
        <v>553</v>
      </c>
      <c r="F235" s="27" t="s">
        <v>127</v>
      </c>
      <c r="G235" s="27" t="s">
        <v>495</v>
      </c>
      <c r="H235" s="27" t="s">
        <v>554</v>
      </c>
      <c r="I235" s="120" t="s">
        <v>491</v>
      </c>
      <c r="J235" s="28" t="s">
        <v>347</v>
      </c>
      <c r="K235" s="120" t="s">
        <v>493</v>
      </c>
      <c r="L235" s="28" t="s">
        <v>539</v>
      </c>
      <c r="M235" s="120" t="s">
        <v>491</v>
      </c>
      <c r="N235" s="28" t="s">
        <v>347</v>
      </c>
      <c r="O235" s="120" t="s">
        <v>512</v>
      </c>
      <c r="P235" s="296" t="s">
        <v>350</v>
      </c>
      <c r="V235" s="185"/>
    </row>
    <row r="236" spans="1:22" ht="18" hidden="1" customHeight="1">
      <c r="A236" s="184"/>
      <c r="F236" s="27" t="s">
        <v>127</v>
      </c>
      <c r="G236" s="242">
        <f>S217</f>
        <v>20</v>
      </c>
      <c r="H236" s="245" t="s">
        <v>554</v>
      </c>
      <c r="I236" s="301">
        <f>S214</f>
        <v>8</v>
      </c>
      <c r="J236" s="245" t="s">
        <v>347</v>
      </c>
      <c r="K236" s="301">
        <f>E222</f>
        <v>44</v>
      </c>
      <c r="L236" s="245" t="s">
        <v>539</v>
      </c>
      <c r="M236" s="301">
        <f>S214</f>
        <v>8</v>
      </c>
      <c r="N236" s="245" t="s">
        <v>347</v>
      </c>
      <c r="O236" s="301">
        <f>S215</f>
        <v>1.43452618</v>
      </c>
      <c r="P236" s="461" t="s">
        <v>350</v>
      </c>
      <c r="V236" s="185"/>
    </row>
    <row r="237" spans="1:22" ht="18" hidden="1" customHeight="1">
      <c r="A237" s="184"/>
      <c r="F237" s="27" t="s">
        <v>127</v>
      </c>
      <c r="G237" s="795">
        <f>G236*((I236+K236)/(M236+O236))</f>
        <v>110.2334107890514</v>
      </c>
      <c r="H237" s="795"/>
      <c r="V237" s="185"/>
    </row>
    <row r="238" spans="1:22" ht="18" hidden="1" customHeight="1">
      <c r="A238" s="184"/>
      <c r="V238" s="185"/>
    </row>
    <row r="239" spans="1:22" ht="18" hidden="1" customHeight="1">
      <c r="A239" s="184"/>
      <c r="E239" s="244" t="s">
        <v>555</v>
      </c>
      <c r="F239" s="27" t="e">
        <f>IF(D240&gt;G240,"&gt;","&lt;")</f>
        <v>#VALUE!</v>
      </c>
      <c r="G239" s="296" t="s">
        <v>111</v>
      </c>
      <c r="V239" s="185"/>
    </row>
    <row r="240" spans="1:22" ht="18" hidden="1" customHeight="1">
      <c r="A240" s="184"/>
      <c r="D240" s="795">
        <f>G237</f>
        <v>110.2334107890514</v>
      </c>
      <c r="E240" s="795"/>
      <c r="F240" s="27" t="e">
        <f>F239</f>
        <v>#VALUE!</v>
      </c>
      <c r="G240" s="795" t="e">
        <f>G233</f>
        <v>#VALUE!</v>
      </c>
      <c r="H240" s="795"/>
      <c r="V240" s="185"/>
    </row>
    <row r="241" spans="1:22" ht="18" hidden="1" customHeight="1">
      <c r="A241" s="184"/>
      <c r="E241" s="244" t="s">
        <v>478</v>
      </c>
      <c r="G241" s="18" t="e">
        <f>IF(F239="&gt;","Suitably Dimentioned","Under Dimentioned")</f>
        <v>#VALUE!</v>
      </c>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ht="18" hidden="1" customHeight="1">
      <c r="A266" s="184"/>
      <c r="V266" s="185"/>
    </row>
    <row r="267" spans="1:22" ht="18" hidden="1" customHeight="1">
      <c r="A267" s="184"/>
      <c r="V267" s="185"/>
    </row>
    <row r="268" spans="1:22" ht="18" hidden="1" customHeight="1">
      <c r="A268" s="184"/>
      <c r="V268" s="185"/>
    </row>
    <row r="269" spans="1:22" ht="18" hidden="1" customHeight="1">
      <c r="A269" s="184"/>
      <c r="V269" s="185"/>
    </row>
    <row r="270" spans="1:22" ht="18" hidden="1" customHeight="1">
      <c r="A270" s="184"/>
      <c r="V270" s="185"/>
    </row>
    <row r="271" spans="1:22" ht="18" hidden="1" customHeight="1">
      <c r="A271" s="184"/>
      <c r="V271" s="185"/>
    </row>
    <row r="272" spans="1:22" ht="18" hidden="1" customHeight="1">
      <c r="A272" s="184"/>
      <c r="V272" s="185"/>
    </row>
    <row r="273" spans="1:25" s="14" customFormat="1" ht="18" customHeight="1">
      <c r="A273" s="194"/>
      <c r="B273" s="195"/>
      <c r="C273" s="195"/>
      <c r="D273" s="195"/>
      <c r="E273" s="195"/>
      <c r="F273" s="195"/>
      <c r="G273" s="195"/>
      <c r="H273" s="195"/>
      <c r="I273" s="195"/>
      <c r="J273" s="195"/>
      <c r="K273" s="195"/>
      <c r="L273" s="195"/>
      <c r="M273" s="195"/>
      <c r="N273" s="195"/>
      <c r="O273" s="195"/>
      <c r="P273" s="195"/>
      <c r="Q273" s="224"/>
      <c r="R273" s="182"/>
      <c r="S273" s="225"/>
      <c r="T273" s="195"/>
      <c r="U273" s="195"/>
      <c r="V273" s="134"/>
    </row>
    <row r="274" spans="1:25" ht="18" customHeight="1">
      <c r="A274" s="226"/>
      <c r="B274" s="227"/>
      <c r="C274" s="227"/>
      <c r="D274" s="227"/>
      <c r="E274" s="227"/>
      <c r="F274" s="227"/>
      <c r="G274" s="227"/>
      <c r="H274" s="227"/>
      <c r="I274" s="227"/>
      <c r="J274" s="227"/>
      <c r="K274" s="227"/>
      <c r="L274" s="227"/>
      <c r="M274" s="227"/>
      <c r="N274" s="227"/>
      <c r="O274" s="227"/>
      <c r="P274" s="227"/>
      <c r="Q274" s="227"/>
      <c r="R274" s="227"/>
      <c r="S274" s="227"/>
      <c r="T274" s="227"/>
      <c r="U274" s="227"/>
      <c r="V274" s="228"/>
    </row>
    <row r="275" spans="1:25" ht="18" customHeight="1">
      <c r="A275" s="184"/>
      <c r="B275" s="1075" t="s">
        <v>108</v>
      </c>
      <c r="C275" s="1076"/>
      <c r="D275" s="1092" t="s">
        <v>109</v>
      </c>
      <c r="E275" s="1093"/>
      <c r="F275" s="455"/>
      <c r="H275" s="684" t="s">
        <v>507</v>
      </c>
      <c r="I275" s="684"/>
      <c r="J275" s="684"/>
      <c r="K275" s="684"/>
      <c r="L275" s="684"/>
      <c r="M275" s="684"/>
      <c r="P275" s="186"/>
      <c r="S275" s="187" t="s">
        <v>387</v>
      </c>
      <c r="T275" s="1075" t="s">
        <v>509</v>
      </c>
      <c r="U275" s="1076"/>
      <c r="V275" s="185"/>
    </row>
    <row r="276" spans="1:25" ht="18" customHeight="1">
      <c r="A276" s="456"/>
      <c r="F276" s="455"/>
      <c r="T276" s="1075" t="s">
        <v>896</v>
      </c>
      <c r="U276" s="1076"/>
      <c r="V276" s="185"/>
    </row>
    <row r="277" spans="1:25" ht="18" customHeight="1">
      <c r="A277" s="184"/>
      <c r="H277" s="790" t="s">
        <v>390</v>
      </c>
      <c r="I277" s="790"/>
      <c r="J277" s="789" t="s">
        <v>391</v>
      </c>
      <c r="K277" s="789"/>
      <c r="L277" s="790" t="s">
        <v>392</v>
      </c>
      <c r="M277" s="790"/>
      <c r="T277" s="1075" t="s">
        <v>1010</v>
      </c>
      <c r="U277" s="1076"/>
      <c r="V277" s="185"/>
    </row>
    <row r="278" spans="1:25" ht="18" customHeight="1">
      <c r="A278" s="184"/>
      <c r="B278" s="47" t="s">
        <v>393</v>
      </c>
      <c r="H278" s="1075">
        <v>2800</v>
      </c>
      <c r="I278" s="1076"/>
      <c r="J278" s="1090">
        <v>3200</v>
      </c>
      <c r="K278" s="1091"/>
      <c r="L278" s="1075" t="s">
        <v>6</v>
      </c>
      <c r="M278" s="1076"/>
      <c r="N278" s="191" t="s">
        <v>342</v>
      </c>
      <c r="O278" s="501">
        <v>1</v>
      </c>
      <c r="P278" s="27" t="s">
        <v>8</v>
      </c>
      <c r="R278" s="255"/>
      <c r="S278" s="255"/>
      <c r="V278" s="185"/>
    </row>
    <row r="279" spans="1:25" ht="18" customHeight="1">
      <c r="A279" s="184"/>
      <c r="B279" s="47" t="s">
        <v>394</v>
      </c>
      <c r="J279" s="1075" t="s">
        <v>395</v>
      </c>
      <c r="K279" s="1076"/>
      <c r="V279" s="185"/>
      <c r="X279" s="185"/>
    </row>
    <row r="280" spans="1:25" ht="18" customHeight="1">
      <c r="A280" s="184"/>
      <c r="B280" s="47" t="s">
        <v>396</v>
      </c>
      <c r="I280" s="120" t="s">
        <v>497</v>
      </c>
      <c r="J280" s="1075">
        <v>5</v>
      </c>
      <c r="K280" s="1076"/>
      <c r="L280" s="192" t="s">
        <v>333</v>
      </c>
      <c r="V280" s="185"/>
      <c r="X280" s="185"/>
    </row>
    <row r="281" spans="1:25" ht="18" customHeight="1">
      <c r="A281" s="184"/>
      <c r="B281" s="47" t="s">
        <v>398</v>
      </c>
      <c r="I281" s="120" t="s">
        <v>498</v>
      </c>
      <c r="J281" s="1075">
        <v>600</v>
      </c>
      <c r="K281" s="1076"/>
      <c r="L281" s="14" t="s">
        <v>305</v>
      </c>
      <c r="V281" s="636"/>
      <c r="W281" s="18"/>
      <c r="X281" s="185"/>
      <c r="Y281" s="30" t="e">
        <f>#REF!</f>
        <v>#REF!</v>
      </c>
    </row>
    <row r="282" spans="1:25" ht="18" customHeight="1">
      <c r="A282" s="184"/>
      <c r="B282" s="14" t="s">
        <v>401</v>
      </c>
      <c r="I282" s="120" t="s">
        <v>402</v>
      </c>
      <c r="J282" s="1075">
        <v>10</v>
      </c>
      <c r="K282" s="1076"/>
      <c r="L282" s="14" t="s">
        <v>403</v>
      </c>
      <c r="V282" s="185"/>
      <c r="X282" s="185"/>
    </row>
    <row r="283" spans="1:25" ht="18" customHeight="1">
      <c r="A283" s="184"/>
      <c r="V283" s="185"/>
    </row>
    <row r="284" spans="1:25" ht="18" customHeight="1">
      <c r="A284" s="193" t="s">
        <v>404</v>
      </c>
      <c r="V284" s="185"/>
    </row>
    <row r="285" spans="1:25" ht="18" customHeight="1">
      <c r="A285" s="184"/>
      <c r="V285" s="185"/>
    </row>
    <row r="286" spans="1:25" ht="18" customHeight="1">
      <c r="A286" s="184"/>
      <c r="B286" s="135" t="s">
        <v>405</v>
      </c>
      <c r="C286" s="273"/>
      <c r="D286" s="139" t="str">
        <f>T275</f>
        <v>REF615</v>
      </c>
      <c r="E286" s="227"/>
      <c r="F286" s="227"/>
      <c r="G286" s="227"/>
      <c r="H286" s="138"/>
      <c r="I286" s="260" t="s">
        <v>127</v>
      </c>
      <c r="J286" s="1077">
        <f>'[7]CT-VT Burdens'!Q57</f>
        <v>0.02</v>
      </c>
      <c r="K286" s="1078"/>
      <c r="L286" s="3" t="s">
        <v>157</v>
      </c>
      <c r="N286" s="197" t="s">
        <v>510</v>
      </c>
      <c r="V286" s="185"/>
    </row>
    <row r="287" spans="1:25" ht="18" customHeight="1">
      <c r="A287" s="184"/>
      <c r="B287" s="96" t="s">
        <v>405</v>
      </c>
      <c r="C287" s="14"/>
      <c r="D287" s="47" t="str">
        <f>T276</f>
        <v>IDM+</v>
      </c>
      <c r="H287" s="28"/>
      <c r="I287" s="101" t="s">
        <v>127</v>
      </c>
      <c r="J287" s="1077">
        <f>J19</f>
        <v>5.8000000000000003E-2</v>
      </c>
      <c r="K287" s="1078"/>
      <c r="L287" s="3" t="s">
        <v>157</v>
      </c>
      <c r="N287" s="120" t="s">
        <v>491</v>
      </c>
      <c r="O287" s="27" t="s">
        <v>127</v>
      </c>
      <c r="P287" s="27" t="s">
        <v>511</v>
      </c>
      <c r="Q287" s="27" t="s">
        <v>315</v>
      </c>
      <c r="R287" s="27" t="s">
        <v>511</v>
      </c>
      <c r="S287" s="27" t="s">
        <v>315</v>
      </c>
      <c r="T287" s="27" t="s">
        <v>420</v>
      </c>
      <c r="V287" s="185"/>
    </row>
    <row r="288" spans="1:25" ht="18" customHeight="1">
      <c r="A288" s="184"/>
      <c r="B288" s="96" t="s">
        <v>405</v>
      </c>
      <c r="C288" s="14"/>
      <c r="D288" s="47" t="str">
        <f>T277</f>
        <v>7UT86</v>
      </c>
      <c r="H288" s="28"/>
      <c r="I288" s="101" t="s">
        <v>127</v>
      </c>
      <c r="J288" s="1077">
        <f>J20</f>
        <v>0.1</v>
      </c>
      <c r="K288" s="1078"/>
      <c r="L288" s="3" t="s">
        <v>157</v>
      </c>
      <c r="N288" s="27"/>
      <c r="O288" s="27" t="s">
        <v>127</v>
      </c>
      <c r="P288" s="27">
        <f>O278</f>
        <v>1</v>
      </c>
      <c r="Q288" s="27" t="s">
        <v>315</v>
      </c>
      <c r="R288" s="27">
        <f>O278</f>
        <v>1</v>
      </c>
      <c r="S288" s="27" t="s">
        <v>315</v>
      </c>
      <c r="T288" s="27">
        <f>J280</f>
        <v>5</v>
      </c>
      <c r="V288" s="185"/>
    </row>
    <row r="289" spans="1:25" ht="18" customHeight="1">
      <c r="A289" s="184"/>
      <c r="B289" s="452" t="s">
        <v>412</v>
      </c>
      <c r="C289" s="259"/>
      <c r="D289" s="259"/>
      <c r="E289" s="259"/>
      <c r="F289" s="207"/>
      <c r="G289" s="207"/>
      <c r="H289" s="190"/>
      <c r="I289" s="208" t="s">
        <v>127</v>
      </c>
      <c r="J289" s="1081">
        <f>J21</f>
        <v>1.25652618</v>
      </c>
      <c r="K289" s="1082"/>
      <c r="L289" s="297" t="s">
        <v>157</v>
      </c>
      <c r="O289" s="27" t="s">
        <v>127</v>
      </c>
      <c r="P289" s="795">
        <f>P288*R288*T288</f>
        <v>5</v>
      </c>
      <c r="Q289" s="684"/>
      <c r="R289" s="27" t="s">
        <v>157</v>
      </c>
      <c r="V289" s="185"/>
    </row>
    <row r="290" spans="1:25" ht="18" customHeight="1">
      <c r="A290" s="184"/>
      <c r="B290" s="1" t="s">
        <v>413</v>
      </c>
      <c r="C290" s="2"/>
      <c r="D290" s="2"/>
      <c r="E290" s="2"/>
      <c r="F290" s="196"/>
      <c r="G290" s="196"/>
      <c r="H290" s="224" t="s">
        <v>512</v>
      </c>
      <c r="I290" s="183" t="s">
        <v>127</v>
      </c>
      <c r="J290" s="722">
        <f>SUM(J286:J289)</f>
        <v>1.43452618</v>
      </c>
      <c r="K290" s="958"/>
      <c r="L290" s="3" t="s">
        <v>157</v>
      </c>
      <c r="V290" s="185"/>
    </row>
    <row r="291" spans="1:25" ht="18" customHeight="1">
      <c r="A291" s="184"/>
      <c r="B291" s="47"/>
      <c r="C291" s="47"/>
      <c r="D291" s="47"/>
      <c r="E291" s="47"/>
      <c r="H291" s="27"/>
      <c r="I291" s="28"/>
      <c r="J291" s="199"/>
      <c r="L291" s="47"/>
      <c r="S291" s="27"/>
      <c r="V291" s="185"/>
    </row>
    <row r="292" spans="1:25" ht="18" customHeight="1">
      <c r="A292" s="184"/>
      <c r="B292" s="117" t="s">
        <v>513</v>
      </c>
      <c r="Q292" s="211"/>
      <c r="R292" s="192"/>
      <c r="V292" s="185"/>
    </row>
    <row r="293" spans="1:25" ht="18" customHeight="1">
      <c r="A293" s="184"/>
      <c r="B293" s="1074" t="s">
        <v>417</v>
      </c>
      <c r="C293" s="800"/>
      <c r="D293" s="800"/>
      <c r="E293" s="689">
        <v>1.5</v>
      </c>
      <c r="F293" s="689" t="s">
        <v>315</v>
      </c>
      <c r="G293" s="790" t="s">
        <v>481</v>
      </c>
      <c r="H293" s="790" t="s">
        <v>482</v>
      </c>
      <c r="I293" s="803"/>
      <c r="J293" s="689" t="s">
        <v>315</v>
      </c>
      <c r="K293" s="689" t="s">
        <v>419</v>
      </c>
      <c r="L293" s="689" t="s">
        <v>440</v>
      </c>
      <c r="M293" s="729" t="s">
        <v>347</v>
      </c>
      <c r="N293" s="689" t="s">
        <v>447</v>
      </c>
      <c r="O293" s="689" t="s">
        <v>347</v>
      </c>
      <c r="P293" s="759" t="s">
        <v>448</v>
      </c>
      <c r="Q293" s="759"/>
      <c r="R293" s="759"/>
      <c r="S293" s="798" t="s">
        <v>350</v>
      </c>
      <c r="T293" s="1073" t="s">
        <v>422</v>
      </c>
      <c r="V293" s="185"/>
    </row>
    <row r="294" spans="1:25" ht="18" customHeight="1">
      <c r="A294" s="184"/>
      <c r="B294" s="800"/>
      <c r="C294" s="800"/>
      <c r="D294" s="800"/>
      <c r="E294" s="689"/>
      <c r="F294" s="689"/>
      <c r="G294" s="689"/>
      <c r="H294" s="684" t="s">
        <v>483</v>
      </c>
      <c r="I294" s="804"/>
      <c r="J294" s="689"/>
      <c r="K294" s="689"/>
      <c r="L294" s="689"/>
      <c r="M294" s="729"/>
      <c r="N294" s="689"/>
      <c r="O294" s="689"/>
      <c r="P294" s="28" t="s">
        <v>438</v>
      </c>
      <c r="Q294" s="28" t="s">
        <v>315</v>
      </c>
      <c r="R294" s="28" t="s">
        <v>438</v>
      </c>
      <c r="S294" s="798"/>
      <c r="T294" s="1073"/>
      <c r="V294" s="112"/>
    </row>
    <row r="295" spans="1:25" ht="18" customHeight="1">
      <c r="A295" s="184"/>
      <c r="C295" s="28"/>
      <c r="D295" s="28"/>
      <c r="E295" s="28"/>
      <c r="F295" s="28"/>
      <c r="G295" s="28"/>
      <c r="H295" s="689"/>
      <c r="I295" s="716"/>
      <c r="J295" s="28"/>
      <c r="K295" s="28"/>
      <c r="L295" s="28"/>
      <c r="M295" s="28"/>
      <c r="N295" s="47"/>
      <c r="O295" s="28"/>
      <c r="V295" s="185"/>
    </row>
    <row r="296" spans="1:25" ht="18" customHeight="1">
      <c r="A296" s="184"/>
      <c r="C296" s="30" t="s">
        <v>514</v>
      </c>
      <c r="R296" s="27" t="s">
        <v>127</v>
      </c>
      <c r="S296" s="684">
        <v>6</v>
      </c>
      <c r="T296" s="684"/>
      <c r="V296" s="185"/>
    </row>
    <row r="297" spans="1:25" ht="18" customHeight="1">
      <c r="A297" s="168"/>
      <c r="B297" s="5"/>
      <c r="C297" s="296" t="s">
        <v>515</v>
      </c>
      <c r="D297" s="14"/>
      <c r="E297" s="14"/>
      <c r="F297" s="14"/>
      <c r="G297" s="14"/>
      <c r="H297" s="279"/>
      <c r="I297" s="120"/>
      <c r="J297" s="279"/>
      <c r="K297" s="279"/>
      <c r="L297" s="14"/>
      <c r="M297" s="14"/>
      <c r="N297" s="14"/>
      <c r="O297" s="14"/>
      <c r="P297" s="14"/>
      <c r="Q297" s="244" t="s">
        <v>481</v>
      </c>
      <c r="R297" s="102" t="s">
        <v>127</v>
      </c>
      <c r="S297" s="689">
        <f>S296*S298</f>
        <v>16800</v>
      </c>
      <c r="T297" s="689"/>
      <c r="U297" s="47" t="s">
        <v>8</v>
      </c>
      <c r="V297" s="185"/>
    </row>
    <row r="298" spans="1:25" ht="18" customHeight="1">
      <c r="A298" s="168"/>
      <c r="B298" s="5"/>
      <c r="C298" s="47" t="s">
        <v>516</v>
      </c>
      <c r="D298" s="14"/>
      <c r="E298" s="14"/>
      <c r="F298" s="18"/>
      <c r="G298" s="18"/>
      <c r="H298" s="279"/>
      <c r="I298" s="120"/>
      <c r="J298" s="279"/>
      <c r="K298" s="279"/>
      <c r="L298" s="14"/>
      <c r="M298" s="14"/>
      <c r="N298" s="14"/>
      <c r="O298" s="14"/>
      <c r="P298" s="14"/>
      <c r="Q298" s="244" t="s">
        <v>483</v>
      </c>
      <c r="R298" s="102" t="s">
        <v>127</v>
      </c>
      <c r="S298" s="689">
        <f>H278</f>
        <v>2800</v>
      </c>
      <c r="T298" s="689"/>
      <c r="U298" s="14" t="s">
        <v>8</v>
      </c>
      <c r="V298" s="185"/>
    </row>
    <row r="299" spans="1:25" ht="18" customHeight="1">
      <c r="A299" s="168"/>
      <c r="B299" s="5"/>
      <c r="C299" s="47" t="s">
        <v>517</v>
      </c>
      <c r="D299" s="14"/>
      <c r="E299" s="14"/>
      <c r="F299" s="18"/>
      <c r="G299" s="18"/>
      <c r="H299" s="279"/>
      <c r="I299" s="120"/>
      <c r="J299" s="279"/>
      <c r="K299" s="279"/>
      <c r="L299" s="14"/>
      <c r="M299" s="14"/>
      <c r="N299" s="14"/>
      <c r="O299" s="14"/>
      <c r="P299" s="14"/>
      <c r="Q299" s="244" t="s">
        <v>482</v>
      </c>
      <c r="R299" s="102" t="s">
        <v>127</v>
      </c>
      <c r="S299" s="689">
        <f>O278</f>
        <v>1</v>
      </c>
      <c r="T299" s="689"/>
      <c r="U299" s="30" t="s">
        <v>8</v>
      </c>
      <c r="V299" s="185"/>
    </row>
    <row r="300" spans="1:25" ht="18" customHeight="1">
      <c r="A300" s="168"/>
      <c r="B300" s="5"/>
      <c r="C300" s="47" t="s">
        <v>518</v>
      </c>
      <c r="D300" s="14"/>
      <c r="E300" s="14"/>
      <c r="F300" s="18"/>
      <c r="G300" s="18"/>
      <c r="H300" s="279"/>
      <c r="I300" s="120"/>
      <c r="J300" s="279"/>
      <c r="K300" s="279"/>
      <c r="L300" s="14"/>
      <c r="M300" s="14"/>
      <c r="N300" s="14"/>
      <c r="O300" s="14"/>
      <c r="P300" s="14"/>
      <c r="Q300" s="244" t="s">
        <v>146</v>
      </c>
      <c r="R300" s="102" t="s">
        <v>127</v>
      </c>
      <c r="S300" s="834">
        <f>O278</f>
        <v>1</v>
      </c>
      <c r="T300" s="834"/>
      <c r="U300" s="30" t="s">
        <v>8</v>
      </c>
      <c r="V300" s="185"/>
      <c r="W300" s="279"/>
      <c r="X300" s="279"/>
      <c r="Y300" s="279"/>
    </row>
    <row r="301" spans="1:25" ht="18" customHeight="1">
      <c r="A301" s="168"/>
      <c r="B301" s="5"/>
      <c r="C301" s="296" t="s">
        <v>519</v>
      </c>
      <c r="D301" s="14"/>
      <c r="E301" s="14"/>
      <c r="F301" s="18"/>
      <c r="G301" s="18"/>
      <c r="H301" s="279"/>
      <c r="I301" s="120"/>
      <c r="J301" s="279"/>
      <c r="K301" s="279"/>
      <c r="L301" s="14"/>
      <c r="M301" s="14"/>
      <c r="N301" s="14"/>
      <c r="O301" s="14"/>
      <c r="P301" s="14"/>
      <c r="Q301" s="244" t="s">
        <v>420</v>
      </c>
      <c r="R301" s="102" t="s">
        <v>127</v>
      </c>
      <c r="S301" s="692">
        <f>J280</f>
        <v>5</v>
      </c>
      <c r="T301" s="689"/>
      <c r="U301" s="30" t="s">
        <v>520</v>
      </c>
      <c r="V301" s="185"/>
      <c r="X301" s="279"/>
      <c r="Y301" s="279"/>
    </row>
    <row r="302" spans="1:25" ht="18" customHeight="1">
      <c r="A302" s="168"/>
      <c r="B302" s="5"/>
      <c r="C302" s="296" t="s">
        <v>521</v>
      </c>
      <c r="D302" s="14"/>
      <c r="E302" s="14"/>
      <c r="F302" s="14"/>
      <c r="G302" s="14"/>
      <c r="H302" s="279"/>
      <c r="I302" s="120"/>
      <c r="J302" s="279"/>
      <c r="K302" s="279"/>
      <c r="L302" s="14"/>
      <c r="M302" s="14"/>
      <c r="N302" s="14"/>
      <c r="O302" s="14"/>
      <c r="P302" s="14"/>
      <c r="Q302" s="244" t="s">
        <v>522</v>
      </c>
      <c r="R302" s="102" t="s">
        <v>127</v>
      </c>
      <c r="S302" s="692">
        <f>J290</f>
        <v>1.43452618</v>
      </c>
      <c r="T302" s="689"/>
      <c r="U302" s="30" t="s">
        <v>520</v>
      </c>
      <c r="V302" s="185"/>
      <c r="X302" s="279"/>
      <c r="Y302" s="279"/>
    </row>
    <row r="303" spans="1:25" ht="18" customHeight="1">
      <c r="A303" s="168"/>
      <c r="B303" s="5"/>
      <c r="C303" s="296" t="s">
        <v>523</v>
      </c>
      <c r="D303" s="14"/>
      <c r="E303" s="14"/>
      <c r="F303" s="14"/>
      <c r="G303" s="14"/>
      <c r="H303" s="279"/>
      <c r="I303" s="120"/>
      <c r="J303" s="279"/>
      <c r="K303" s="279"/>
      <c r="L303" s="14"/>
      <c r="M303" s="14"/>
      <c r="N303" s="14"/>
      <c r="O303" s="14"/>
      <c r="P303" s="14"/>
      <c r="Q303" s="244" t="s">
        <v>524</v>
      </c>
      <c r="R303" s="102" t="s">
        <v>127</v>
      </c>
      <c r="S303" s="692">
        <f>J286</f>
        <v>0.02</v>
      </c>
      <c r="T303" s="689"/>
      <c r="U303" s="296" t="s">
        <v>157</v>
      </c>
      <c r="V303" s="185"/>
    </row>
    <row r="304" spans="1:25" ht="18" customHeight="1">
      <c r="A304" s="299"/>
      <c r="B304" s="279"/>
      <c r="C304" s="47"/>
      <c r="D304" s="14"/>
      <c r="E304" s="14"/>
      <c r="F304" s="14"/>
      <c r="G304" s="14"/>
      <c r="H304" s="279"/>
      <c r="I304" s="120"/>
      <c r="J304" s="279"/>
      <c r="K304" s="279"/>
      <c r="L304" s="14"/>
      <c r="M304" s="14"/>
      <c r="N304" s="279"/>
      <c r="O304" s="279"/>
      <c r="P304" s="14"/>
      <c r="Q304" s="120"/>
      <c r="R304" s="14"/>
      <c r="S304" s="279"/>
      <c r="T304" s="279"/>
      <c r="U304" s="279"/>
      <c r="V304" s="300"/>
      <c r="W304" s="279"/>
      <c r="X304" s="279"/>
      <c r="Y304" s="279"/>
    </row>
    <row r="305" spans="1:22" ht="18" customHeight="1">
      <c r="A305" s="184"/>
      <c r="B305" s="684" t="s">
        <v>417</v>
      </c>
      <c r="C305" s="684"/>
      <c r="D305" s="689">
        <v>1.5</v>
      </c>
      <c r="E305" s="684" t="s">
        <v>315</v>
      </c>
      <c r="F305" s="689">
        <f>S297</f>
        <v>16800</v>
      </c>
      <c r="G305" s="689"/>
      <c r="H305" s="684" t="s">
        <v>315</v>
      </c>
      <c r="I305" s="790">
        <f>S299</f>
        <v>1</v>
      </c>
      <c r="J305" s="790"/>
      <c r="K305" s="684" t="s">
        <v>315</v>
      </c>
      <c r="L305" s="684" t="s">
        <v>419</v>
      </c>
      <c r="M305" s="1317">
        <f>S301</f>
        <v>5</v>
      </c>
      <c r="N305" s="684" t="s">
        <v>347</v>
      </c>
      <c r="O305" s="795">
        <f>S302</f>
        <v>1.43452618</v>
      </c>
      <c r="P305" s="684" t="s">
        <v>347</v>
      </c>
      <c r="Q305" s="1071">
        <f>S303</f>
        <v>0.02</v>
      </c>
      <c r="R305" s="790"/>
      <c r="S305" s="790"/>
      <c r="T305" s="684" t="s">
        <v>350</v>
      </c>
      <c r="V305" s="185"/>
    </row>
    <row r="306" spans="1:22" ht="18" customHeight="1">
      <c r="A306" s="184"/>
      <c r="B306" s="684"/>
      <c r="C306" s="684"/>
      <c r="D306" s="689"/>
      <c r="E306" s="684"/>
      <c r="F306" s="689"/>
      <c r="G306" s="689"/>
      <c r="H306" s="684"/>
      <c r="I306" s="684">
        <f>S298</f>
        <v>2800</v>
      </c>
      <c r="J306" s="684"/>
      <c r="K306" s="684"/>
      <c r="L306" s="684"/>
      <c r="M306" s="1317"/>
      <c r="N306" s="684"/>
      <c r="O306" s="684"/>
      <c r="P306" s="684"/>
      <c r="Q306" s="503">
        <f>S300</f>
        <v>1</v>
      </c>
      <c r="R306" s="27" t="s">
        <v>315</v>
      </c>
      <c r="S306" s="503">
        <f>S300</f>
        <v>1</v>
      </c>
      <c r="T306" s="684"/>
      <c r="V306" s="185"/>
    </row>
    <row r="307" spans="1:22" ht="18" customHeight="1">
      <c r="A307" s="184"/>
      <c r="C307" s="120"/>
      <c r="D307" s="28"/>
      <c r="E307" s="28"/>
      <c r="F307" s="28"/>
      <c r="G307" s="28"/>
      <c r="H307" s="14"/>
      <c r="I307" s="14"/>
      <c r="J307" s="28"/>
      <c r="K307" s="28"/>
      <c r="L307" s="28"/>
      <c r="M307" s="28"/>
      <c r="N307" s="47"/>
      <c r="O307" s="502"/>
      <c r="V307" s="185"/>
    </row>
    <row r="308" spans="1:22" ht="18" customHeight="1">
      <c r="A308" s="184"/>
      <c r="C308" s="27" t="s">
        <v>127</v>
      </c>
      <c r="D308" s="1072">
        <f>ROUNDUP(D305*F305*(I305/I306)*(M305+O305+(Q305/(Q306*S306))),2)</f>
        <v>58.1</v>
      </c>
      <c r="E308" s="1072"/>
      <c r="F308" s="286" t="s">
        <v>305</v>
      </c>
      <c r="G308" s="27"/>
      <c r="V308" s="185"/>
    </row>
    <row r="309" spans="1:22" ht="18" customHeight="1">
      <c r="A309" s="184"/>
      <c r="V309" s="185"/>
    </row>
    <row r="310" spans="1:22" ht="18" customHeight="1">
      <c r="A310" s="184"/>
      <c r="V310" s="185"/>
    </row>
    <row r="311" spans="1:22" ht="18" customHeight="1">
      <c r="A311" s="184"/>
      <c r="V311" s="185"/>
    </row>
    <row r="312" spans="1:22" ht="18" customHeight="1">
      <c r="A312" s="452"/>
      <c r="B312" s="207"/>
      <c r="C312" s="207"/>
      <c r="D312" s="207"/>
      <c r="E312" s="207"/>
      <c r="F312" s="207"/>
      <c r="G312" s="207"/>
      <c r="H312" s="207"/>
      <c r="I312" s="207"/>
      <c r="J312" s="207"/>
      <c r="K312" s="207"/>
      <c r="L312" s="207"/>
      <c r="M312" s="207"/>
      <c r="N312" s="207"/>
      <c r="O312" s="207"/>
      <c r="P312" s="207"/>
      <c r="Q312" s="207"/>
      <c r="R312" s="207"/>
      <c r="S312" s="207"/>
      <c r="T312" s="207"/>
      <c r="U312" s="207"/>
      <c r="V312" s="453"/>
    </row>
    <row r="313" spans="1:22" ht="18" customHeight="1">
      <c r="A313" s="290"/>
      <c r="B313" s="196"/>
      <c r="C313" s="196"/>
      <c r="D313" s="196"/>
      <c r="E313" s="196"/>
      <c r="F313" s="196"/>
      <c r="G313" s="196"/>
      <c r="H313" s="196"/>
      <c r="I313" s="196"/>
      <c r="J313" s="196"/>
      <c r="K313" s="196"/>
      <c r="L313" s="196"/>
      <c r="M313" s="196"/>
      <c r="N313" s="196"/>
      <c r="O313" s="196"/>
      <c r="P313" s="196"/>
      <c r="Q313" s="196"/>
      <c r="R313" s="196"/>
      <c r="S313" s="196"/>
      <c r="T313" s="196"/>
      <c r="U313" s="196"/>
      <c r="V313" s="291"/>
    </row>
    <row r="314" spans="1:22" ht="18" customHeight="1">
      <c r="A314" s="226"/>
      <c r="B314" s="227"/>
      <c r="C314" s="227"/>
      <c r="D314" s="227"/>
      <c r="E314" s="227"/>
      <c r="F314" s="227"/>
      <c r="G314" s="227"/>
      <c r="H314" s="227"/>
      <c r="I314" s="227"/>
      <c r="J314" s="227"/>
      <c r="K314" s="227"/>
      <c r="L314" s="227"/>
      <c r="M314" s="227"/>
      <c r="N314" s="227"/>
      <c r="O314" s="227"/>
      <c r="P314" s="227"/>
      <c r="Q314" s="227"/>
      <c r="R314" s="227"/>
      <c r="S314" s="227"/>
      <c r="T314" s="227"/>
      <c r="U314" s="227"/>
      <c r="V314" s="228"/>
    </row>
    <row r="315" spans="1:22" ht="18" customHeight="1">
      <c r="A315" s="184"/>
      <c r="B315" s="117" t="s">
        <v>525</v>
      </c>
      <c r="V315" s="185"/>
    </row>
    <row r="316" spans="1:22" ht="18" customHeight="1">
      <c r="A316" s="184"/>
      <c r="V316" s="185"/>
    </row>
    <row r="317" spans="1:22" ht="18" customHeight="1">
      <c r="A317" s="184"/>
      <c r="B317" s="1074" t="s">
        <v>417</v>
      </c>
      <c r="C317" s="800"/>
      <c r="D317" s="800"/>
      <c r="E317" s="689">
        <v>20</v>
      </c>
      <c r="F317" s="689" t="s">
        <v>315</v>
      </c>
      <c r="G317" s="790" t="s">
        <v>481</v>
      </c>
      <c r="H317" s="790" t="s">
        <v>482</v>
      </c>
      <c r="I317" s="803"/>
      <c r="J317" s="689" t="s">
        <v>315</v>
      </c>
      <c r="K317" s="689" t="s">
        <v>419</v>
      </c>
      <c r="L317" s="689" t="s">
        <v>440</v>
      </c>
      <c r="M317" s="729" t="s">
        <v>347</v>
      </c>
      <c r="N317" s="689" t="s">
        <v>447</v>
      </c>
      <c r="O317" s="689" t="s">
        <v>347</v>
      </c>
      <c r="P317" s="759" t="s">
        <v>448</v>
      </c>
      <c r="Q317" s="759"/>
      <c r="R317" s="759"/>
      <c r="S317" s="798" t="s">
        <v>350</v>
      </c>
      <c r="T317" s="1073" t="s">
        <v>422</v>
      </c>
      <c r="V317" s="185"/>
    </row>
    <row r="318" spans="1:22" ht="18" customHeight="1">
      <c r="A318" s="184"/>
      <c r="B318" s="800"/>
      <c r="C318" s="800"/>
      <c r="D318" s="800"/>
      <c r="E318" s="689"/>
      <c r="F318" s="689"/>
      <c r="G318" s="689"/>
      <c r="H318" s="684" t="s">
        <v>483</v>
      </c>
      <c r="I318" s="804"/>
      <c r="J318" s="689"/>
      <c r="K318" s="689"/>
      <c r="L318" s="689"/>
      <c r="M318" s="729"/>
      <c r="N318" s="689"/>
      <c r="O318" s="689"/>
      <c r="P318" s="28" t="s">
        <v>438</v>
      </c>
      <c r="Q318" s="28" t="s">
        <v>315</v>
      </c>
      <c r="R318" s="28" t="s">
        <v>438</v>
      </c>
      <c r="S318" s="798"/>
      <c r="T318" s="1073"/>
      <c r="V318" s="112"/>
    </row>
    <row r="319" spans="1:22" ht="18" customHeight="1">
      <c r="A319" s="184"/>
      <c r="C319" s="28"/>
      <c r="D319" s="28"/>
      <c r="E319" s="28"/>
      <c r="F319" s="28"/>
      <c r="G319" s="28"/>
      <c r="H319" s="689"/>
      <c r="I319" s="716"/>
      <c r="J319" s="28"/>
      <c r="K319" s="28"/>
      <c r="L319" s="28"/>
      <c r="M319" s="28"/>
      <c r="N319" s="47"/>
      <c r="O319" s="28"/>
      <c r="V319" s="185"/>
    </row>
    <row r="320" spans="1:22" ht="18" customHeight="1">
      <c r="A320" s="184"/>
      <c r="C320" s="30" t="s">
        <v>526</v>
      </c>
      <c r="R320" s="27" t="s">
        <v>127</v>
      </c>
      <c r="S320" s="684">
        <v>1.2</v>
      </c>
      <c r="T320" s="684"/>
      <c r="V320" s="185"/>
    </row>
    <row r="321" spans="1:27" ht="18" customHeight="1">
      <c r="A321" s="168"/>
      <c r="B321" s="5"/>
      <c r="C321" s="296" t="s">
        <v>515</v>
      </c>
      <c r="D321" s="14"/>
      <c r="E321" s="14"/>
      <c r="F321" s="14"/>
      <c r="G321" s="14"/>
      <c r="H321" s="279"/>
      <c r="I321" s="120"/>
      <c r="J321" s="279"/>
      <c r="K321" s="279"/>
      <c r="L321" s="14"/>
      <c r="M321" s="14"/>
      <c r="N321" s="14"/>
      <c r="O321" s="14"/>
      <c r="P321" s="14"/>
      <c r="Q321" s="244" t="s">
        <v>481</v>
      </c>
      <c r="R321" s="102" t="s">
        <v>127</v>
      </c>
      <c r="S321" s="689">
        <f>S320*S322</f>
        <v>3360</v>
      </c>
      <c r="T321" s="689"/>
      <c r="U321" s="47" t="s">
        <v>8</v>
      </c>
      <c r="V321" s="185"/>
    </row>
    <row r="322" spans="1:27" ht="18" customHeight="1">
      <c r="A322" s="168"/>
      <c r="B322" s="5"/>
      <c r="C322" s="47" t="s">
        <v>516</v>
      </c>
      <c r="D322" s="14"/>
      <c r="E322" s="14"/>
      <c r="F322" s="18"/>
      <c r="G322" s="18"/>
      <c r="H322" s="279"/>
      <c r="I322" s="120"/>
      <c r="J322" s="279"/>
      <c r="K322" s="279"/>
      <c r="L322" s="14"/>
      <c r="M322" s="14"/>
      <c r="N322" s="14"/>
      <c r="O322" s="14"/>
      <c r="P322" s="14"/>
      <c r="Q322" s="244" t="s">
        <v>483</v>
      </c>
      <c r="R322" s="102" t="s">
        <v>127</v>
      </c>
      <c r="S322" s="689">
        <f>H278</f>
        <v>2800</v>
      </c>
      <c r="T322" s="689"/>
      <c r="U322" s="14" t="s">
        <v>8</v>
      </c>
      <c r="V322" s="185"/>
    </row>
    <row r="323" spans="1:27" ht="18" customHeight="1">
      <c r="A323" s="168"/>
      <c r="B323" s="5"/>
      <c r="C323" s="47" t="s">
        <v>517</v>
      </c>
      <c r="D323" s="14"/>
      <c r="E323" s="14"/>
      <c r="F323" s="18"/>
      <c r="G323" s="18"/>
      <c r="H323" s="279"/>
      <c r="I323" s="120"/>
      <c r="J323" s="279"/>
      <c r="K323" s="279"/>
      <c r="L323" s="14"/>
      <c r="M323" s="14"/>
      <c r="N323" s="14"/>
      <c r="O323" s="14"/>
      <c r="P323" s="14"/>
      <c r="Q323" s="244" t="s">
        <v>482</v>
      </c>
      <c r="R323" s="102" t="s">
        <v>127</v>
      </c>
      <c r="S323" s="689">
        <f>O278</f>
        <v>1</v>
      </c>
      <c r="T323" s="689"/>
      <c r="U323" s="30" t="s">
        <v>8</v>
      </c>
      <c r="V323" s="185"/>
    </row>
    <row r="324" spans="1:27" ht="18" customHeight="1">
      <c r="A324" s="168"/>
      <c r="B324" s="5"/>
      <c r="C324" s="47" t="s">
        <v>518</v>
      </c>
      <c r="D324" s="14"/>
      <c r="E324" s="14"/>
      <c r="F324" s="18"/>
      <c r="G324" s="18"/>
      <c r="H324" s="279"/>
      <c r="I324" s="120"/>
      <c r="J324" s="279"/>
      <c r="K324" s="279"/>
      <c r="L324" s="14"/>
      <c r="M324" s="14"/>
      <c r="N324" s="14"/>
      <c r="O324" s="14"/>
      <c r="P324" s="14"/>
      <c r="Q324" s="244" t="s">
        <v>146</v>
      </c>
      <c r="R324" s="102" t="s">
        <v>127</v>
      </c>
      <c r="S324" s="834">
        <f>S300</f>
        <v>1</v>
      </c>
      <c r="T324" s="834"/>
      <c r="U324" s="30" t="s">
        <v>8</v>
      </c>
      <c r="V324" s="185"/>
      <c r="W324" s="279"/>
      <c r="X324" s="279"/>
      <c r="Y324" s="279"/>
    </row>
    <row r="325" spans="1:27" ht="18" customHeight="1">
      <c r="A325" s="168"/>
      <c r="B325" s="5"/>
      <c r="C325" s="296" t="s">
        <v>519</v>
      </c>
      <c r="D325" s="14"/>
      <c r="E325" s="14"/>
      <c r="F325" s="18"/>
      <c r="G325" s="18"/>
      <c r="H325" s="279"/>
      <c r="I325" s="120"/>
      <c r="J325" s="279"/>
      <c r="K325" s="279"/>
      <c r="L325" s="14"/>
      <c r="M325" s="14"/>
      <c r="N325" s="14"/>
      <c r="O325" s="14"/>
      <c r="P325" s="14"/>
      <c r="Q325" s="244" t="s">
        <v>420</v>
      </c>
      <c r="R325" s="102" t="s">
        <v>127</v>
      </c>
      <c r="S325" s="692">
        <f>J280</f>
        <v>5</v>
      </c>
      <c r="T325" s="689"/>
      <c r="U325" s="30" t="s">
        <v>520</v>
      </c>
      <c r="V325" s="185"/>
      <c r="X325" s="279"/>
      <c r="Y325" s="279"/>
    </row>
    <row r="326" spans="1:27" ht="18" customHeight="1">
      <c r="A326" s="168"/>
      <c r="B326" s="5"/>
      <c r="C326" s="296" t="s">
        <v>521</v>
      </c>
      <c r="D326" s="14"/>
      <c r="E326" s="14"/>
      <c r="F326" s="14"/>
      <c r="G326" s="14"/>
      <c r="H326" s="279"/>
      <c r="I326" s="120"/>
      <c r="J326" s="279"/>
      <c r="K326" s="279"/>
      <c r="L326" s="14"/>
      <c r="M326" s="14"/>
      <c r="N326" s="14"/>
      <c r="O326" s="14"/>
      <c r="P326" s="14"/>
      <c r="Q326" s="244" t="s">
        <v>522</v>
      </c>
      <c r="R326" s="102" t="s">
        <v>127</v>
      </c>
      <c r="S326" s="692">
        <f>J290</f>
        <v>1.43452618</v>
      </c>
      <c r="T326" s="689"/>
      <c r="U326" s="30" t="s">
        <v>520</v>
      </c>
      <c r="V326" s="185"/>
      <c r="X326" s="279"/>
      <c r="Y326" s="279"/>
    </row>
    <row r="327" spans="1:27" ht="18" customHeight="1">
      <c r="A327" s="168"/>
      <c r="B327" s="5"/>
      <c r="C327" s="296" t="s">
        <v>523</v>
      </c>
      <c r="D327" s="14"/>
      <c r="E327" s="14"/>
      <c r="F327" s="14"/>
      <c r="G327" s="14"/>
      <c r="H327" s="279"/>
      <c r="I327" s="120"/>
      <c r="J327" s="279"/>
      <c r="K327" s="279"/>
      <c r="L327" s="14"/>
      <c r="M327" s="14"/>
      <c r="N327" s="14"/>
      <c r="O327" s="14"/>
      <c r="P327" s="14"/>
      <c r="Q327" s="244" t="s">
        <v>524</v>
      </c>
      <c r="R327" s="102" t="s">
        <v>127</v>
      </c>
      <c r="S327" s="795">
        <f>J286</f>
        <v>0.02</v>
      </c>
      <c r="T327" s="689"/>
      <c r="U327" s="296" t="s">
        <v>157</v>
      </c>
      <c r="V327" s="185"/>
    </row>
    <row r="328" spans="1:27" ht="18" customHeight="1">
      <c r="A328" s="299"/>
      <c r="B328" s="279"/>
      <c r="C328" s="47"/>
      <c r="D328" s="14"/>
      <c r="E328" s="14"/>
      <c r="F328" s="14"/>
      <c r="G328" s="14"/>
      <c r="H328" s="279"/>
      <c r="I328" s="120"/>
      <c r="J328" s="279"/>
      <c r="K328" s="279"/>
      <c r="L328" s="14"/>
      <c r="M328" s="14"/>
      <c r="N328" s="279"/>
      <c r="O328" s="279"/>
      <c r="P328" s="14"/>
      <c r="Q328" s="120"/>
      <c r="R328" s="14"/>
      <c r="S328" s="279"/>
      <c r="T328" s="279"/>
      <c r="U328" s="279"/>
      <c r="V328" s="300"/>
      <c r="W328" s="279"/>
      <c r="X328" s="279"/>
      <c r="Y328" s="279"/>
    </row>
    <row r="329" spans="1:27" ht="18" customHeight="1">
      <c r="A329" s="184"/>
      <c r="B329" s="684" t="s">
        <v>417</v>
      </c>
      <c r="C329" s="684"/>
      <c r="D329" s="689">
        <f>E317</f>
        <v>20</v>
      </c>
      <c r="E329" s="684" t="s">
        <v>315</v>
      </c>
      <c r="F329" s="689">
        <f>S321</f>
        <v>3360</v>
      </c>
      <c r="G329" s="689"/>
      <c r="H329" s="684" t="s">
        <v>315</v>
      </c>
      <c r="I329" s="790">
        <f>S323</f>
        <v>1</v>
      </c>
      <c r="J329" s="790"/>
      <c r="K329" s="684" t="s">
        <v>315</v>
      </c>
      <c r="L329" s="684" t="s">
        <v>419</v>
      </c>
      <c r="M329" s="1316">
        <f>S325</f>
        <v>5</v>
      </c>
      <c r="N329" s="684" t="s">
        <v>347</v>
      </c>
      <c r="O329" s="795">
        <f>S326</f>
        <v>1.43452618</v>
      </c>
      <c r="P329" s="684" t="s">
        <v>347</v>
      </c>
      <c r="Q329" s="1071">
        <f>S327</f>
        <v>0.02</v>
      </c>
      <c r="R329" s="790"/>
      <c r="S329" s="790"/>
      <c r="T329" s="684" t="s">
        <v>350</v>
      </c>
      <c r="V329" s="185"/>
    </row>
    <row r="330" spans="1:27" ht="18" customHeight="1">
      <c r="A330" s="184"/>
      <c r="B330" s="684"/>
      <c r="C330" s="684"/>
      <c r="D330" s="689"/>
      <c r="E330" s="684"/>
      <c r="F330" s="689"/>
      <c r="G330" s="689"/>
      <c r="H330" s="684"/>
      <c r="I330" s="684">
        <f>S322</f>
        <v>2800</v>
      </c>
      <c r="J330" s="684"/>
      <c r="K330" s="684"/>
      <c r="L330" s="684"/>
      <c r="M330" s="1316"/>
      <c r="N330" s="684"/>
      <c r="O330" s="684"/>
      <c r="P330" s="684"/>
      <c r="Q330" s="503">
        <f>S324</f>
        <v>1</v>
      </c>
      <c r="R330" s="27" t="s">
        <v>315</v>
      </c>
      <c r="S330" s="503">
        <f>S324</f>
        <v>1</v>
      </c>
      <c r="T330" s="684"/>
      <c r="V330" s="185"/>
    </row>
    <row r="331" spans="1:27" ht="18" customHeight="1">
      <c r="A331" s="184"/>
      <c r="C331" s="120"/>
      <c r="D331" s="28"/>
      <c r="E331" s="28"/>
      <c r="F331" s="28"/>
      <c r="G331" s="28"/>
      <c r="H331" s="14"/>
      <c r="I331" s="14"/>
      <c r="J331" s="28"/>
      <c r="K331" s="28"/>
      <c r="L331" s="28"/>
      <c r="M331" s="28"/>
      <c r="N331" s="47"/>
      <c r="O331" s="502"/>
      <c r="V331" s="185"/>
    </row>
    <row r="332" spans="1:27" ht="18" customHeight="1">
      <c r="A332" s="184"/>
      <c r="C332" s="27" t="s">
        <v>127</v>
      </c>
      <c r="D332" s="1072">
        <f>ROUNDUP(D329*F329*(I329/I330)*(M329+O329+(Q329/(Q330*S330))),2)</f>
        <v>154.91</v>
      </c>
      <c r="E332" s="1072"/>
      <c r="F332" s="286" t="s">
        <v>305</v>
      </c>
      <c r="G332" s="27"/>
      <c r="V332" s="185"/>
    </row>
    <row r="333" spans="1:27" ht="18" customHeight="1">
      <c r="A333" s="184"/>
      <c r="V333" s="185"/>
    </row>
    <row r="334" spans="1:27" ht="18" customHeight="1">
      <c r="A334" s="184"/>
      <c r="D334" s="30" t="s">
        <v>527</v>
      </c>
      <c r="L334" s="30" t="s">
        <v>528</v>
      </c>
      <c r="M334" s="505" t="s">
        <v>529</v>
      </c>
      <c r="N334" s="30" t="str">
        <f>CONCATENATE(Y334,X334,D308,Z334,D332,AA334)</f>
        <v>max(58.1,154.91)</v>
      </c>
      <c r="V334" s="185"/>
      <c r="X334" s="30" t="s">
        <v>419</v>
      </c>
      <c r="Y334" s="30" t="s">
        <v>530</v>
      </c>
      <c r="Z334" s="30" t="s">
        <v>531</v>
      </c>
      <c r="AA334" s="30" t="s">
        <v>350</v>
      </c>
    </row>
    <row r="335" spans="1:27" ht="18" customHeight="1">
      <c r="A335" s="184"/>
      <c r="D335" s="14"/>
      <c r="E335"/>
      <c r="F335"/>
      <c r="G335" s="27"/>
      <c r="H335" s="14"/>
      <c r="I335"/>
      <c r="J335"/>
      <c r="K335"/>
      <c r="L335" s="30" t="s">
        <v>528</v>
      </c>
      <c r="M335" s="505" t="s">
        <v>529</v>
      </c>
      <c r="N335" s="795">
        <f>MAX(D332,D308)</f>
        <v>154.91</v>
      </c>
      <c r="O335" s="795"/>
      <c r="V335" s="185"/>
    </row>
    <row r="336" spans="1:27" ht="18" customHeight="1">
      <c r="A336" s="184"/>
      <c r="D336"/>
      <c r="E336" s="1089"/>
      <c r="F336" s="684"/>
      <c r="G336" s="27"/>
      <c r="H336" s="795"/>
      <c r="I336" s="684"/>
      <c r="J336"/>
      <c r="K336"/>
      <c r="L336" s="296">
        <f>J281</f>
        <v>600</v>
      </c>
      <c r="M336" s="505" t="s">
        <v>529</v>
      </c>
      <c r="N336" s="795">
        <f>N335</f>
        <v>154.91</v>
      </c>
      <c r="O336" s="795"/>
      <c r="V336" s="185"/>
    </row>
    <row r="337" spans="1:22" ht="18" customHeight="1">
      <c r="A337" s="184"/>
      <c r="D337"/>
      <c r="E337" s="504"/>
      <c r="F337" s="27"/>
      <c r="G337" s="27"/>
      <c r="H337" s="211"/>
      <c r="I337" s="27"/>
      <c r="J337"/>
      <c r="K337"/>
      <c r="L337" s="296"/>
      <c r="M337" s="505"/>
      <c r="N337" s="476"/>
      <c r="V337" s="185"/>
    </row>
    <row r="338" spans="1:22" ht="18" customHeight="1">
      <c r="A338" s="184"/>
      <c r="D338"/>
      <c r="E338"/>
      <c r="F338" s="244" t="s">
        <v>478</v>
      </c>
      <c r="G338"/>
      <c r="H338" s="18" t="str">
        <f>IF(L336&gt;N336,"Suitably Dimensioned","Under Dimensioned")</f>
        <v>Suitably Dimensioned</v>
      </c>
      <c r="I338"/>
      <c r="J338"/>
      <c r="K338"/>
      <c r="L338"/>
      <c r="V338" s="185"/>
    </row>
    <row r="339" spans="1:22" ht="18" customHeight="1">
      <c r="A339" s="184"/>
      <c r="V339" s="185"/>
    </row>
    <row r="340" spans="1:22" ht="18" customHeight="1">
      <c r="A340" s="184"/>
      <c r="V340" s="185"/>
    </row>
    <row r="341" spans="1:22" ht="18" customHeight="1">
      <c r="A341" s="184"/>
      <c r="V341" s="185"/>
    </row>
    <row r="342" spans="1:22" ht="18" customHeight="1">
      <c r="A342" s="184"/>
      <c r="V342" s="185"/>
    </row>
    <row r="343" spans="1:22" ht="18" customHeight="1">
      <c r="A343" s="184"/>
      <c r="V343" s="185"/>
    </row>
    <row r="344" spans="1:22" ht="18" customHeight="1">
      <c r="A344" s="184"/>
      <c r="V344" s="185"/>
    </row>
    <row r="345" spans="1:22" ht="18" customHeight="1">
      <c r="A345" s="184"/>
      <c r="V345" s="185"/>
    </row>
    <row r="346" spans="1:22" ht="18" customHeight="1">
      <c r="A346" s="184"/>
      <c r="V346" s="185"/>
    </row>
    <row r="347" spans="1:22" ht="18" customHeight="1">
      <c r="A347" s="184"/>
      <c r="V347" s="185"/>
    </row>
    <row r="348" spans="1:22" ht="18" customHeight="1">
      <c r="A348" s="184"/>
      <c r="V348" s="185"/>
    </row>
    <row r="349" spans="1:22" ht="18" customHeight="1">
      <c r="A349" s="184"/>
      <c r="V349" s="185"/>
    </row>
    <row r="350" spans="1:22" ht="18" customHeight="1">
      <c r="A350" s="184"/>
      <c r="V350" s="185"/>
    </row>
    <row r="351" spans="1:22" ht="18" customHeight="1">
      <c r="A351" s="184"/>
      <c r="V351" s="185"/>
    </row>
    <row r="352" spans="1:22" ht="18" customHeight="1">
      <c r="A352" s="452"/>
      <c r="B352" s="207"/>
      <c r="C352" s="207"/>
      <c r="D352" s="207"/>
      <c r="E352" s="207"/>
      <c r="F352" s="207"/>
      <c r="G352" s="207"/>
      <c r="H352" s="207"/>
      <c r="I352" s="207"/>
      <c r="J352" s="207"/>
      <c r="K352" s="207"/>
      <c r="L352" s="207"/>
      <c r="M352" s="207"/>
      <c r="N352" s="207"/>
      <c r="O352" s="207"/>
      <c r="P352" s="207"/>
      <c r="Q352" s="207"/>
      <c r="R352" s="207"/>
      <c r="S352" s="207"/>
      <c r="T352" s="207"/>
      <c r="U352" s="207"/>
      <c r="V352" s="453"/>
    </row>
    <row r="353" spans="1:22" ht="18" hidden="1" customHeight="1">
      <c r="A353" s="184"/>
      <c r="V353" s="185"/>
    </row>
    <row r="354" spans="1:22" ht="18" hidden="1" customHeight="1">
      <c r="A354" s="184"/>
      <c r="V354" s="185"/>
    </row>
    <row r="355" spans="1:22" ht="18" hidden="1" customHeight="1">
      <c r="A355" s="184"/>
      <c r="V355" s="185"/>
    </row>
    <row r="356" spans="1:22" ht="18" hidden="1" customHeight="1">
      <c r="A356" s="184"/>
      <c r="V356" s="185"/>
    </row>
    <row r="357" spans="1:22" ht="18" hidden="1" customHeight="1">
      <c r="A357" s="184"/>
      <c r="V357" s="185"/>
    </row>
    <row r="358" spans="1:22" ht="18" hidden="1" customHeight="1">
      <c r="A358" s="184"/>
      <c r="V358" s="185"/>
    </row>
    <row r="359" spans="1:22" ht="18" hidden="1" customHeight="1">
      <c r="A359" s="184"/>
      <c r="V359" s="185"/>
    </row>
    <row r="360" spans="1:22" ht="18" hidden="1" customHeight="1">
      <c r="A360" s="184"/>
      <c r="V360" s="185"/>
    </row>
    <row r="361" spans="1:22" ht="18" hidden="1" customHeight="1">
      <c r="A361" s="184"/>
      <c r="V361" s="185"/>
    </row>
    <row r="362" spans="1:22" ht="18" hidden="1" customHeight="1">
      <c r="A362" s="184"/>
      <c r="V362" s="185"/>
    </row>
    <row r="363" spans="1:22" ht="18" hidden="1" customHeight="1">
      <c r="A363" s="184"/>
      <c r="V363" s="185"/>
    </row>
    <row r="364" spans="1:22" ht="18" hidden="1" customHeight="1">
      <c r="A364" s="184"/>
      <c r="V364" s="185"/>
    </row>
    <row r="365" spans="1:22" s="14" customFormat="1" ht="18" hidden="1" customHeight="1">
      <c r="A365" s="194"/>
      <c r="B365" s="195"/>
      <c r="C365" s="195"/>
      <c r="D365" s="195"/>
      <c r="E365" s="195"/>
      <c r="F365" s="195"/>
      <c r="G365" s="195"/>
      <c r="H365" s="195"/>
      <c r="I365" s="195"/>
      <c r="J365" s="195"/>
      <c r="K365" s="195"/>
      <c r="L365" s="195"/>
      <c r="M365" s="195"/>
      <c r="N365" s="195"/>
      <c r="O365" s="195"/>
      <c r="P365" s="195"/>
      <c r="Q365" s="224"/>
      <c r="R365" s="182"/>
      <c r="S365" s="225"/>
      <c r="T365" s="195"/>
      <c r="U365" s="195"/>
      <c r="V365" s="134" t="s">
        <v>552</v>
      </c>
    </row>
    <row r="366" spans="1:22" ht="18" hidden="1" customHeight="1">
      <c r="A366" s="226"/>
      <c r="B366" s="227"/>
      <c r="C366" s="227"/>
      <c r="D366" s="227"/>
      <c r="E366" s="227"/>
      <c r="F366" s="227"/>
      <c r="G366" s="227"/>
      <c r="H366" s="227"/>
      <c r="I366" s="227"/>
      <c r="J366" s="227"/>
      <c r="K366" s="227"/>
      <c r="L366" s="227"/>
      <c r="M366" s="227"/>
      <c r="N366" s="227"/>
      <c r="O366" s="227"/>
      <c r="P366" s="227"/>
      <c r="Q366" s="227"/>
      <c r="R366" s="227"/>
      <c r="S366" s="227"/>
      <c r="T366" s="227"/>
      <c r="U366" s="227"/>
      <c r="V366" s="228"/>
    </row>
    <row r="367" spans="1:22" ht="18" hidden="1" customHeight="1">
      <c r="A367" s="184"/>
      <c r="B367" s="854" t="str">
        <f>B275</f>
        <v>T1</v>
      </c>
      <c r="C367" s="831"/>
      <c r="D367" s="853" t="str">
        <f>D275</f>
        <v>Core3</v>
      </c>
      <c r="E367" s="765"/>
      <c r="F367" s="455"/>
      <c r="H367" s="684" t="str">
        <f>H275</f>
        <v>(OC+BCPU+FMS)</v>
      </c>
      <c r="I367" s="684"/>
      <c r="J367" s="684"/>
      <c r="K367" s="684"/>
      <c r="L367" s="684"/>
      <c r="M367" s="684"/>
      <c r="P367" s="186"/>
      <c r="S367" s="187" t="s">
        <v>387</v>
      </c>
      <c r="T367" s="1123" t="str">
        <f>T275</f>
        <v>REF615</v>
      </c>
      <c r="U367" s="1124"/>
      <c r="V367" s="185"/>
    </row>
    <row r="368" spans="1:22" ht="18" hidden="1" customHeight="1">
      <c r="A368" s="456"/>
      <c r="F368" s="455"/>
      <c r="T368" s="1123" t="str">
        <f>T276</f>
        <v>IDM+</v>
      </c>
      <c r="U368" s="1124"/>
      <c r="V368" s="185"/>
    </row>
    <row r="369" spans="1:23" ht="18" hidden="1" customHeight="1">
      <c r="A369" s="184"/>
      <c r="H369" s="708" t="s">
        <v>390</v>
      </c>
      <c r="I369" s="708"/>
      <c r="J369" s="789" t="s">
        <v>391</v>
      </c>
      <c r="K369" s="789"/>
      <c r="L369" s="790" t="s">
        <v>392</v>
      </c>
      <c r="M369" s="790"/>
      <c r="T369" s="1123" t="str">
        <f>T277</f>
        <v>7UT86</v>
      </c>
      <c r="U369" s="1124"/>
      <c r="V369" s="185"/>
    </row>
    <row r="370" spans="1:23" ht="18" hidden="1" customHeight="1">
      <c r="A370" s="184"/>
      <c r="B370" s="47" t="s">
        <v>393</v>
      </c>
      <c r="H370" s="854">
        <f>H278</f>
        <v>2800</v>
      </c>
      <c r="I370" s="831"/>
      <c r="J370" s="863">
        <f>J278</f>
        <v>3200</v>
      </c>
      <c r="K370" s="864"/>
      <c r="L370" s="854" t="str">
        <f>L278</f>
        <v>-</v>
      </c>
      <c r="M370" s="831"/>
      <c r="N370" s="191" t="s">
        <v>342</v>
      </c>
      <c r="O370" s="256">
        <f>O278</f>
        <v>1</v>
      </c>
      <c r="P370" s="27" t="s">
        <v>8</v>
      </c>
      <c r="R370" s="255"/>
      <c r="S370" s="255"/>
      <c r="V370" s="185"/>
    </row>
    <row r="371" spans="1:23" ht="18" hidden="1" customHeight="1">
      <c r="A371" s="184"/>
      <c r="B371" s="47" t="s">
        <v>394</v>
      </c>
      <c r="J371" s="854" t="str">
        <f>J279</f>
        <v>PX</v>
      </c>
      <c r="K371" s="831"/>
      <c r="V371" s="185"/>
    </row>
    <row r="372" spans="1:23" ht="18" hidden="1" customHeight="1">
      <c r="A372" s="184"/>
      <c r="B372" s="47" t="s">
        <v>396</v>
      </c>
      <c r="I372" s="120" t="s">
        <v>497</v>
      </c>
      <c r="J372" s="1075">
        <v>12</v>
      </c>
      <c r="K372" s="1076"/>
      <c r="L372" s="192" t="s">
        <v>333</v>
      </c>
      <c r="V372" s="185"/>
    </row>
    <row r="373" spans="1:23" ht="18" hidden="1" customHeight="1">
      <c r="A373" s="184"/>
      <c r="B373" s="47" t="s">
        <v>398</v>
      </c>
      <c r="I373" s="120" t="s">
        <v>498</v>
      </c>
      <c r="J373" s="1075">
        <v>1200</v>
      </c>
      <c r="K373" s="1076"/>
      <c r="L373" s="14" t="s">
        <v>305</v>
      </c>
      <c r="T373" s="295"/>
      <c r="U373" s="18"/>
      <c r="V373" s="185"/>
      <c r="W373" s="30" t="str">
        <f>G421</f>
        <v>Suitably Dimentioned</v>
      </c>
    </row>
    <row r="374" spans="1:23" ht="18" hidden="1" customHeight="1">
      <c r="A374" s="184"/>
      <c r="B374" s="14" t="s">
        <v>401</v>
      </c>
      <c r="I374" s="120" t="s">
        <v>402</v>
      </c>
      <c r="J374" s="1075">
        <v>50</v>
      </c>
      <c r="K374" s="1076"/>
      <c r="L374" s="14" t="s">
        <v>403</v>
      </c>
      <c r="V374" s="185"/>
    </row>
    <row r="375" spans="1:23" ht="18" hidden="1" customHeight="1">
      <c r="A375" s="184"/>
      <c r="V375" s="185"/>
    </row>
    <row r="376" spans="1:23" ht="18" hidden="1" customHeight="1">
      <c r="A376" s="193" t="s">
        <v>404</v>
      </c>
      <c r="V376" s="185"/>
    </row>
    <row r="377" spans="1:23" ht="18" hidden="1" customHeight="1">
      <c r="A377" s="184"/>
      <c r="V377" s="185"/>
    </row>
    <row r="378" spans="1:23" ht="18" hidden="1" customHeight="1">
      <c r="A378" s="184"/>
      <c r="B378" s="135" t="s">
        <v>405</v>
      </c>
      <c r="C378" s="273"/>
      <c r="D378" s="139" t="str">
        <f>T367</f>
        <v>REF615</v>
      </c>
      <c r="E378" s="227"/>
      <c r="F378" s="227"/>
      <c r="G378" s="227"/>
      <c r="H378" s="138"/>
      <c r="I378" s="260" t="s">
        <v>127</v>
      </c>
      <c r="J378" s="722">
        <f>J286</f>
        <v>0.02</v>
      </c>
      <c r="K378" s="958"/>
      <c r="L378" s="3" t="s">
        <v>157</v>
      </c>
      <c r="N378" s="197" t="s">
        <v>510</v>
      </c>
      <c r="V378" s="185"/>
    </row>
    <row r="379" spans="1:23" ht="18" hidden="1" customHeight="1">
      <c r="A379" s="184"/>
      <c r="B379" s="96" t="s">
        <v>405</v>
      </c>
      <c r="C379" s="14"/>
      <c r="D379" s="47" t="str">
        <f>T368</f>
        <v>IDM+</v>
      </c>
      <c r="H379" s="28"/>
      <c r="I379" s="101" t="s">
        <v>127</v>
      </c>
      <c r="J379" s="722">
        <f>J287</f>
        <v>5.8000000000000003E-2</v>
      </c>
      <c r="K379" s="958"/>
      <c r="L379" s="3" t="s">
        <v>157</v>
      </c>
      <c r="N379" s="120" t="s">
        <v>491</v>
      </c>
      <c r="O379" s="27" t="s">
        <v>127</v>
      </c>
      <c r="P379" s="27" t="s">
        <v>511</v>
      </c>
      <c r="Q379" s="27" t="s">
        <v>315</v>
      </c>
      <c r="R379" s="27" t="s">
        <v>511</v>
      </c>
      <c r="S379" s="27" t="s">
        <v>315</v>
      </c>
      <c r="T379" s="27" t="s">
        <v>420</v>
      </c>
      <c r="V379" s="185"/>
    </row>
    <row r="380" spans="1:23" ht="18" hidden="1" customHeight="1">
      <c r="A380" s="184"/>
      <c r="B380" s="96" t="s">
        <v>405</v>
      </c>
      <c r="C380" s="14"/>
      <c r="D380" s="47" t="str">
        <f>T369</f>
        <v>7UT86</v>
      </c>
      <c r="H380" s="28"/>
      <c r="I380" s="101" t="s">
        <v>127</v>
      </c>
      <c r="J380" s="722">
        <f>J288</f>
        <v>0.1</v>
      </c>
      <c r="K380" s="958"/>
      <c r="L380" s="3" t="s">
        <v>157</v>
      </c>
      <c r="N380" s="27"/>
      <c r="O380" s="27" t="s">
        <v>127</v>
      </c>
      <c r="P380" s="27">
        <f>O370</f>
        <v>1</v>
      </c>
      <c r="Q380" s="27" t="s">
        <v>315</v>
      </c>
      <c r="R380" s="27">
        <f>O370</f>
        <v>1</v>
      </c>
      <c r="S380" s="27" t="s">
        <v>315</v>
      </c>
      <c r="T380" s="27">
        <f>J372</f>
        <v>12</v>
      </c>
      <c r="V380" s="185"/>
    </row>
    <row r="381" spans="1:23" ht="18" hidden="1" customHeight="1">
      <c r="A381" s="184"/>
      <c r="B381" s="452" t="s">
        <v>412</v>
      </c>
      <c r="C381" s="259"/>
      <c r="D381" s="259"/>
      <c r="E381" s="259"/>
      <c r="F381" s="207"/>
      <c r="G381" s="207"/>
      <c r="H381" s="190"/>
      <c r="I381" s="208" t="s">
        <v>127</v>
      </c>
      <c r="J381" s="1120">
        <f>J289</f>
        <v>1.25652618</v>
      </c>
      <c r="K381" s="987"/>
      <c r="L381" s="297" t="s">
        <v>157</v>
      </c>
      <c r="O381" s="27" t="s">
        <v>127</v>
      </c>
      <c r="P381" s="795">
        <f>P380*R380*T380</f>
        <v>12</v>
      </c>
      <c r="Q381" s="684"/>
      <c r="R381" s="27" t="s">
        <v>157</v>
      </c>
      <c r="V381" s="185"/>
    </row>
    <row r="382" spans="1:23" ht="18" hidden="1" customHeight="1">
      <c r="A382" s="184"/>
      <c r="B382" s="1" t="s">
        <v>413</v>
      </c>
      <c r="C382" s="2"/>
      <c r="D382" s="2"/>
      <c r="E382" s="2"/>
      <c r="F382" s="196"/>
      <c r="G382" s="196"/>
      <c r="H382" s="224" t="s">
        <v>512</v>
      </c>
      <c r="I382" s="183" t="s">
        <v>127</v>
      </c>
      <c r="J382" s="722">
        <f>SUM(J378:J381)</f>
        <v>1.43452618</v>
      </c>
      <c r="K382" s="958"/>
      <c r="L382" s="3" t="s">
        <v>157</v>
      </c>
      <c r="V382" s="185"/>
    </row>
    <row r="383" spans="1:23" ht="18" hidden="1" customHeight="1">
      <c r="A383" s="184"/>
      <c r="B383" s="47"/>
      <c r="C383" s="47"/>
      <c r="D383" s="47"/>
      <c r="E383" s="47"/>
      <c r="H383" s="27"/>
      <c r="I383" s="28"/>
      <c r="J383" s="199"/>
      <c r="L383" s="47"/>
      <c r="S383" s="27"/>
      <c r="V383" s="185"/>
    </row>
    <row r="384" spans="1:23" ht="18" hidden="1" customHeight="1">
      <c r="A384" s="1206" t="s">
        <v>536</v>
      </c>
      <c r="B384" s="1207"/>
      <c r="C384" s="1207"/>
      <c r="D384" s="1207"/>
      <c r="E384" s="1207"/>
      <c r="F384" s="1207"/>
      <c r="G384" s="1207"/>
      <c r="H384" s="1207"/>
      <c r="I384" s="1207"/>
      <c r="J384" s="1207"/>
      <c r="K384" s="1207"/>
      <c r="L384" s="1207"/>
      <c r="M384" s="1207"/>
      <c r="N384" s="1207"/>
      <c r="O384" s="1207"/>
      <c r="P384" s="1207"/>
      <c r="Q384" s="1207"/>
      <c r="R384" s="1207"/>
      <c r="S384" s="1207"/>
      <c r="T384" s="1207"/>
      <c r="U384" s="1207"/>
      <c r="V384" s="1208"/>
    </row>
    <row r="385" spans="1:25" ht="18" hidden="1" customHeight="1">
      <c r="A385" s="1209"/>
      <c r="B385" s="1207"/>
      <c r="C385" s="1207"/>
      <c r="D385" s="1207"/>
      <c r="E385" s="1207"/>
      <c r="F385" s="1207"/>
      <c r="G385" s="1207"/>
      <c r="H385" s="1207"/>
      <c r="I385" s="1207"/>
      <c r="J385" s="1207"/>
      <c r="K385" s="1207"/>
      <c r="L385" s="1207"/>
      <c r="M385" s="1207"/>
      <c r="N385" s="1207"/>
      <c r="O385" s="1207"/>
      <c r="P385" s="1207"/>
      <c r="Q385" s="1207"/>
      <c r="R385" s="1207"/>
      <c r="S385" s="1207"/>
      <c r="T385" s="1207"/>
      <c r="U385" s="1207"/>
      <c r="V385" s="1208"/>
    </row>
    <row r="386" spans="1:25" ht="18" hidden="1" customHeight="1">
      <c r="A386" s="184"/>
      <c r="Q386" s="211"/>
      <c r="R386" s="192"/>
      <c r="V386" s="185"/>
    </row>
    <row r="387" spans="1:25" ht="18" hidden="1" customHeight="1">
      <c r="A387" s="184"/>
      <c r="C387" s="14" t="s">
        <v>473</v>
      </c>
      <c r="D387" s="28" t="s">
        <v>127</v>
      </c>
      <c r="E387" s="28" t="s">
        <v>537</v>
      </c>
      <c r="F387" s="120" t="s">
        <v>493</v>
      </c>
      <c r="G387" s="28" t="s">
        <v>347</v>
      </c>
      <c r="H387" s="120" t="s">
        <v>491</v>
      </c>
      <c r="I387" s="28" t="s">
        <v>538</v>
      </c>
      <c r="J387" s="28" t="s">
        <v>495</v>
      </c>
      <c r="K387" s="28" t="s">
        <v>539</v>
      </c>
      <c r="L387" s="28" t="s">
        <v>511</v>
      </c>
      <c r="M387" s="28" t="s">
        <v>315</v>
      </c>
      <c r="N387" s="28">
        <v>1.3</v>
      </c>
      <c r="O387" s="47" t="s">
        <v>350</v>
      </c>
      <c r="V387" s="185"/>
    </row>
    <row r="388" spans="1:25" ht="18" hidden="1" customHeight="1">
      <c r="A388" s="184" t="s">
        <v>540</v>
      </c>
      <c r="C388" s="14"/>
      <c r="D388" s="28"/>
      <c r="E388" s="14"/>
      <c r="F388" s="14"/>
      <c r="G388" s="14"/>
      <c r="H388" s="14"/>
      <c r="I388" s="14"/>
      <c r="J388" s="14"/>
      <c r="K388" s="14"/>
      <c r="L388" s="14"/>
      <c r="M388" s="14"/>
      <c r="N388" s="14"/>
      <c r="O388" s="14"/>
      <c r="V388" s="185"/>
    </row>
    <row r="389" spans="1:25" ht="18" hidden="1" customHeight="1">
      <c r="A389" s="184"/>
      <c r="C389" s="120" t="s">
        <v>493</v>
      </c>
      <c r="D389" s="28" t="s">
        <v>127</v>
      </c>
      <c r="E389" s="28" t="s">
        <v>537</v>
      </c>
      <c r="F389" s="28">
        <v>1.3</v>
      </c>
      <c r="G389" s="28" t="s">
        <v>315</v>
      </c>
      <c r="H389" s="689" t="s">
        <v>473</v>
      </c>
      <c r="I389" s="716"/>
      <c r="J389" s="28" t="s">
        <v>315</v>
      </c>
      <c r="K389" s="28" t="s">
        <v>511</v>
      </c>
      <c r="L389" s="28" t="s">
        <v>541</v>
      </c>
      <c r="M389" s="28" t="s">
        <v>495</v>
      </c>
      <c r="N389" s="47" t="s">
        <v>542</v>
      </c>
      <c r="O389" s="120" t="s">
        <v>491</v>
      </c>
      <c r="V389" s="185"/>
    </row>
    <row r="390" spans="1:25" ht="18" hidden="1" customHeight="1">
      <c r="A390" s="184"/>
      <c r="V390" s="185"/>
    </row>
    <row r="391" spans="1:25" ht="18" hidden="1" customHeight="1">
      <c r="A391" s="168"/>
      <c r="B391" s="5"/>
      <c r="C391" s="47" t="s">
        <v>543</v>
      </c>
      <c r="D391" s="14"/>
      <c r="E391" s="14"/>
      <c r="F391" s="14"/>
      <c r="G391" s="14"/>
      <c r="H391" s="279"/>
      <c r="I391" s="120"/>
      <c r="J391" s="279"/>
      <c r="K391" s="279"/>
      <c r="L391" s="14"/>
      <c r="M391" s="14"/>
      <c r="N391" s="14"/>
      <c r="O391" s="14"/>
      <c r="P391" s="14"/>
      <c r="Q391" s="120" t="s">
        <v>544</v>
      </c>
      <c r="R391" s="102" t="s">
        <v>127</v>
      </c>
      <c r="S391" s="689">
        <f>S297</f>
        <v>16800</v>
      </c>
      <c r="T391" s="689"/>
      <c r="U391" s="47" t="s">
        <v>8</v>
      </c>
      <c r="V391" s="185"/>
    </row>
    <row r="392" spans="1:25" ht="18" hidden="1" customHeight="1">
      <c r="A392" s="168"/>
      <c r="B392" s="5"/>
      <c r="C392" s="47" t="s">
        <v>545</v>
      </c>
      <c r="D392" s="14"/>
      <c r="E392" s="14"/>
      <c r="F392" s="18"/>
      <c r="G392" s="18"/>
      <c r="H392" s="279"/>
      <c r="I392" s="120"/>
      <c r="J392" s="279"/>
      <c r="K392" s="279"/>
      <c r="L392" s="14"/>
      <c r="M392" s="14"/>
      <c r="N392" s="14"/>
      <c r="O392" s="14"/>
      <c r="P392" s="14"/>
      <c r="Q392" s="120" t="s">
        <v>423</v>
      </c>
      <c r="R392" s="102" t="s">
        <v>127</v>
      </c>
      <c r="S392" s="689">
        <f>J370</f>
        <v>3200</v>
      </c>
      <c r="T392" s="689"/>
      <c r="U392" s="14" t="s">
        <v>8</v>
      </c>
      <c r="V392" s="185"/>
    </row>
    <row r="393" spans="1:25" ht="18" hidden="1" customHeight="1">
      <c r="A393" s="168"/>
      <c r="B393" s="5"/>
      <c r="C393" s="47" t="s">
        <v>546</v>
      </c>
      <c r="D393" s="14"/>
      <c r="E393" s="14"/>
      <c r="F393" s="18"/>
      <c r="G393" s="18"/>
      <c r="H393" s="279"/>
      <c r="I393" s="120"/>
      <c r="J393" s="279"/>
      <c r="K393" s="279"/>
      <c r="L393" s="14"/>
      <c r="M393" s="14"/>
      <c r="N393" s="14"/>
      <c r="O393" s="14"/>
      <c r="P393" s="14"/>
      <c r="Q393" s="120" t="s">
        <v>473</v>
      </c>
      <c r="R393" s="102" t="s">
        <v>127</v>
      </c>
      <c r="S393" s="689">
        <f>J373</f>
        <v>1200</v>
      </c>
      <c r="T393" s="689"/>
      <c r="U393" s="14" t="s">
        <v>305</v>
      </c>
      <c r="V393" s="185"/>
    </row>
    <row r="394" spans="1:25" ht="18" hidden="1" customHeight="1">
      <c r="A394" s="168"/>
      <c r="B394" s="5"/>
      <c r="C394" s="47" t="s">
        <v>547</v>
      </c>
      <c r="D394" s="14"/>
      <c r="E394" s="14"/>
      <c r="F394" s="18"/>
      <c r="G394" s="18"/>
      <c r="H394" s="279"/>
      <c r="I394" s="120"/>
      <c r="J394" s="279"/>
      <c r="K394" s="279"/>
      <c r="L394" s="14"/>
      <c r="M394" s="14"/>
      <c r="N394" s="14"/>
      <c r="O394" s="14"/>
      <c r="P394" s="14"/>
      <c r="Q394" s="120" t="s">
        <v>491</v>
      </c>
      <c r="R394" s="102" t="s">
        <v>127</v>
      </c>
      <c r="S394" s="692">
        <f>P381</f>
        <v>12</v>
      </c>
      <c r="T394" s="689"/>
      <c r="U394" s="14" t="s">
        <v>157</v>
      </c>
      <c r="V394" s="185"/>
      <c r="W394" s="279"/>
      <c r="X394" s="279"/>
      <c r="Y394" s="279"/>
    </row>
    <row r="395" spans="1:25" ht="18" hidden="1" customHeight="1">
      <c r="A395" s="168"/>
      <c r="B395" s="5"/>
      <c r="C395" s="47" t="s">
        <v>548</v>
      </c>
      <c r="D395" s="14"/>
      <c r="E395" s="14"/>
      <c r="F395" s="18"/>
      <c r="G395" s="18"/>
      <c r="H395" s="279"/>
      <c r="I395" s="120"/>
      <c r="J395" s="279"/>
      <c r="K395" s="279"/>
      <c r="L395" s="14"/>
      <c r="M395" s="14"/>
      <c r="N395" s="14"/>
      <c r="O395" s="14"/>
      <c r="P395" s="14"/>
      <c r="Q395" s="120" t="s">
        <v>512</v>
      </c>
      <c r="R395" s="102" t="s">
        <v>127</v>
      </c>
      <c r="S395" s="692">
        <f>J382</f>
        <v>1.43452618</v>
      </c>
      <c r="T395" s="689"/>
      <c r="U395" s="14" t="s">
        <v>157</v>
      </c>
      <c r="V395" s="185"/>
      <c r="X395" s="279"/>
      <c r="Y395" s="279"/>
    </row>
    <row r="396" spans="1:25" ht="18" hidden="1" customHeight="1">
      <c r="A396" s="168"/>
      <c r="B396" s="5"/>
      <c r="C396" s="47" t="s">
        <v>549</v>
      </c>
      <c r="D396" s="14"/>
      <c r="E396" s="14"/>
      <c r="F396" s="14"/>
      <c r="G396" s="14"/>
      <c r="H396" s="279"/>
      <c r="I396" s="120"/>
      <c r="J396" s="279"/>
      <c r="K396" s="279"/>
      <c r="L396" s="14"/>
      <c r="M396" s="14"/>
      <c r="N396" s="14"/>
      <c r="O396" s="14"/>
      <c r="P396" s="14"/>
      <c r="Q396" s="120" t="s">
        <v>511</v>
      </c>
      <c r="R396" s="102" t="s">
        <v>127</v>
      </c>
      <c r="S396" s="689">
        <f>O370</f>
        <v>1</v>
      </c>
      <c r="T396" s="689"/>
      <c r="U396" s="14" t="s">
        <v>8</v>
      </c>
      <c r="V396" s="185"/>
      <c r="X396" s="279"/>
      <c r="Y396" s="279"/>
    </row>
    <row r="397" spans="1:25" ht="18" hidden="1" customHeight="1">
      <c r="A397" s="168"/>
      <c r="B397" s="5"/>
      <c r="C397" s="47" t="s">
        <v>550</v>
      </c>
      <c r="D397" s="14"/>
      <c r="E397" s="14"/>
      <c r="F397" s="14"/>
      <c r="G397" s="14"/>
      <c r="H397" s="279"/>
      <c r="I397" s="120"/>
      <c r="J397" s="279"/>
      <c r="K397" s="279"/>
      <c r="L397" s="14"/>
      <c r="M397" s="14"/>
      <c r="N397" s="14"/>
      <c r="O397" s="14"/>
      <c r="P397" s="14"/>
      <c r="Q397" s="120" t="s">
        <v>495</v>
      </c>
      <c r="R397" s="102" t="s">
        <v>127</v>
      </c>
      <c r="S397" s="689">
        <v>20</v>
      </c>
      <c r="T397" s="689"/>
      <c r="U397" s="47"/>
      <c r="V397" s="185"/>
    </row>
    <row r="398" spans="1:25" ht="18" hidden="1" customHeight="1">
      <c r="A398" s="299"/>
      <c r="B398" s="279"/>
      <c r="C398" s="47" t="s">
        <v>551</v>
      </c>
      <c r="D398" s="14"/>
      <c r="E398" s="14"/>
      <c r="F398" s="14"/>
      <c r="G398" s="14"/>
      <c r="H398" s="279"/>
      <c r="I398" s="120"/>
      <c r="J398" s="279"/>
      <c r="K398" s="279"/>
      <c r="L398" s="14"/>
      <c r="M398" s="14"/>
      <c r="N398" s="279"/>
      <c r="O398" s="279"/>
      <c r="P398" s="14"/>
      <c r="Q398" s="120" t="s">
        <v>493</v>
      </c>
      <c r="R398" s="14"/>
      <c r="S398" s="279"/>
      <c r="T398" s="279"/>
      <c r="U398" s="279"/>
      <c r="V398" s="300"/>
      <c r="W398" s="279"/>
      <c r="X398" s="279"/>
      <c r="Y398" s="279"/>
    </row>
    <row r="399" spans="1:25" ht="18" hidden="1" customHeight="1">
      <c r="A399" s="184"/>
      <c r="V399" s="185"/>
    </row>
    <row r="400" spans="1:25" ht="18" hidden="1" customHeight="1">
      <c r="A400" s="184"/>
      <c r="C400" s="120" t="s">
        <v>493</v>
      </c>
      <c r="D400" s="28" t="s">
        <v>127</v>
      </c>
      <c r="E400" s="28" t="s">
        <v>537</v>
      </c>
      <c r="F400" s="28">
        <v>1.3</v>
      </c>
      <c r="G400" s="28" t="s">
        <v>315</v>
      </c>
      <c r="H400" s="689" t="s">
        <v>473</v>
      </c>
      <c r="I400" s="716"/>
      <c r="J400" s="28" t="s">
        <v>315</v>
      </c>
      <c r="K400" s="28" t="s">
        <v>511</v>
      </c>
      <c r="L400" s="28" t="s">
        <v>541</v>
      </c>
      <c r="M400" s="28" t="s">
        <v>495</v>
      </c>
      <c r="N400" s="47" t="s">
        <v>542</v>
      </c>
      <c r="O400" s="120" t="s">
        <v>491</v>
      </c>
      <c r="V400" s="185"/>
    </row>
    <row r="401" spans="1:22" ht="18" hidden="1" customHeight="1">
      <c r="A401" s="184"/>
      <c r="C401" s="120" t="s">
        <v>493</v>
      </c>
      <c r="D401" s="28" t="s">
        <v>127</v>
      </c>
      <c r="E401" s="28" t="s">
        <v>537</v>
      </c>
      <c r="F401" s="28">
        <v>1.3</v>
      </c>
      <c r="G401" s="28" t="s">
        <v>315</v>
      </c>
      <c r="H401" s="689">
        <f>S393</f>
        <v>1200</v>
      </c>
      <c r="I401" s="716"/>
      <c r="J401" s="28" t="s">
        <v>315</v>
      </c>
      <c r="K401" s="28">
        <f>S396</f>
        <v>1</v>
      </c>
      <c r="L401" s="28" t="s">
        <v>541</v>
      </c>
      <c r="M401" s="28">
        <f>S397</f>
        <v>20</v>
      </c>
      <c r="N401" s="47" t="s">
        <v>542</v>
      </c>
      <c r="O401" s="502">
        <f>S394</f>
        <v>12</v>
      </c>
      <c r="V401" s="185"/>
    </row>
    <row r="402" spans="1:22" ht="18" hidden="1" customHeight="1">
      <c r="A402" s="184"/>
      <c r="D402" s="27" t="s">
        <v>127</v>
      </c>
      <c r="E402" s="684">
        <f>((F401*H401*K401)/M401)-O401</f>
        <v>66</v>
      </c>
      <c r="F402" s="684"/>
      <c r="G402" s="27" t="s">
        <v>157</v>
      </c>
      <c r="V402" s="185"/>
    </row>
    <row r="403" spans="1:22" ht="18" hidden="1" customHeight="1">
      <c r="A403" s="184"/>
      <c r="D403" s="27"/>
      <c r="E403" s="27"/>
      <c r="F403" s="27"/>
      <c r="G403" s="27"/>
      <c r="V403" s="185"/>
    </row>
    <row r="404" spans="1:22" ht="18" hidden="1" customHeight="1">
      <c r="A404" s="184"/>
      <c r="D404" s="27"/>
      <c r="E404" s="27"/>
      <c r="F404" s="27"/>
      <c r="G404" s="27"/>
      <c r="V404" s="185"/>
    </row>
    <row r="405" spans="1:22" ht="18" hidden="1" customHeight="1">
      <c r="A405" s="184"/>
      <c r="D405" s="27"/>
      <c r="E405" s="27"/>
      <c r="F405" s="27"/>
      <c r="G405" s="27"/>
      <c r="V405" s="185"/>
    </row>
    <row r="406" spans="1:22" ht="18" hidden="1" customHeight="1">
      <c r="A406" s="184"/>
      <c r="D406" s="27"/>
      <c r="E406" s="27"/>
      <c r="F406" s="27"/>
      <c r="G406" s="27"/>
      <c r="V406" s="185"/>
    </row>
    <row r="407" spans="1:22" ht="18" hidden="1" customHeight="1">
      <c r="A407" s="184"/>
      <c r="D407" s="27"/>
      <c r="E407" s="27"/>
      <c r="F407" s="27"/>
      <c r="G407" s="27"/>
      <c r="V407" s="185"/>
    </row>
    <row r="408" spans="1:22" ht="18" hidden="1" customHeight="1">
      <c r="A408" s="184"/>
      <c r="V408" s="185"/>
    </row>
    <row r="409" spans="1:22" s="14" customFormat="1" ht="18" hidden="1" customHeight="1">
      <c r="A409" s="194"/>
      <c r="B409" s="195"/>
      <c r="C409" s="195"/>
      <c r="D409" s="195"/>
      <c r="E409" s="195"/>
      <c r="F409" s="195"/>
      <c r="G409" s="195"/>
      <c r="H409" s="195"/>
      <c r="I409" s="195"/>
      <c r="J409" s="195"/>
      <c r="K409" s="195"/>
      <c r="L409" s="195"/>
      <c r="M409" s="195"/>
      <c r="N409" s="195"/>
      <c r="O409" s="195"/>
      <c r="P409" s="195"/>
      <c r="Q409" s="224"/>
      <c r="R409" s="182"/>
      <c r="S409" s="225"/>
      <c r="T409" s="195"/>
      <c r="U409" s="195"/>
      <c r="V409" s="134" t="s">
        <v>552</v>
      </c>
    </row>
    <row r="410" spans="1:22" ht="18" hidden="1" customHeight="1">
      <c r="A410" s="226"/>
      <c r="B410" s="227"/>
      <c r="C410" s="227"/>
      <c r="D410" s="227"/>
      <c r="E410" s="227"/>
      <c r="F410" s="227"/>
      <c r="G410" s="227"/>
      <c r="H410" s="227"/>
      <c r="I410" s="227"/>
      <c r="J410" s="227"/>
      <c r="K410" s="227"/>
      <c r="L410" s="227"/>
      <c r="M410" s="227"/>
      <c r="N410" s="227"/>
      <c r="O410" s="227"/>
      <c r="P410" s="227"/>
      <c r="Q410" s="227"/>
      <c r="R410" s="227"/>
      <c r="S410" s="227"/>
      <c r="T410" s="227"/>
      <c r="U410" s="227"/>
      <c r="V410" s="228"/>
    </row>
    <row r="411" spans="1:22" ht="18" hidden="1" customHeight="1">
      <c r="A411" s="184"/>
      <c r="E411" s="244" t="s">
        <v>111</v>
      </c>
      <c r="F411" s="27" t="s">
        <v>127</v>
      </c>
      <c r="G411" s="689" t="s">
        <v>544</v>
      </c>
      <c r="H411" s="689"/>
      <c r="I411" s="191" t="s">
        <v>342</v>
      </c>
      <c r="J411" s="684" t="s">
        <v>423</v>
      </c>
      <c r="K411" s="684"/>
      <c r="V411" s="185"/>
    </row>
    <row r="412" spans="1:22" ht="18" hidden="1" customHeight="1">
      <c r="A412" s="184"/>
      <c r="F412" s="27" t="s">
        <v>127</v>
      </c>
      <c r="G412" s="684">
        <f>S391</f>
        <v>16800</v>
      </c>
      <c r="H412" s="684"/>
      <c r="I412" s="191" t="s">
        <v>342</v>
      </c>
      <c r="J412" s="684">
        <f>S392</f>
        <v>3200</v>
      </c>
      <c r="K412" s="684"/>
      <c r="V412" s="185"/>
    </row>
    <row r="413" spans="1:22" ht="18" hidden="1" customHeight="1">
      <c r="A413" s="184"/>
      <c r="F413" s="27" t="s">
        <v>127</v>
      </c>
      <c r="G413" s="795">
        <f>G412/J412</f>
        <v>5.25</v>
      </c>
      <c r="H413" s="795"/>
      <c r="I413" s="27"/>
      <c r="J413" s="27"/>
      <c r="K413" s="27"/>
      <c r="V413" s="185"/>
    </row>
    <row r="414" spans="1:22" ht="18" hidden="1" customHeight="1">
      <c r="A414" s="184"/>
      <c r="V414" s="185"/>
    </row>
    <row r="415" spans="1:22" ht="18" hidden="1" customHeight="1">
      <c r="A415" s="184"/>
      <c r="E415" s="244" t="s">
        <v>553</v>
      </c>
      <c r="F415" s="27" t="s">
        <v>127</v>
      </c>
      <c r="G415" s="27" t="s">
        <v>495</v>
      </c>
      <c r="H415" s="27" t="s">
        <v>554</v>
      </c>
      <c r="I415" s="120" t="s">
        <v>491</v>
      </c>
      <c r="J415" s="28" t="s">
        <v>347</v>
      </c>
      <c r="K415" s="120" t="s">
        <v>493</v>
      </c>
      <c r="L415" s="28" t="s">
        <v>539</v>
      </c>
      <c r="M415" s="120" t="s">
        <v>491</v>
      </c>
      <c r="N415" s="28" t="s">
        <v>347</v>
      </c>
      <c r="O415" s="120" t="s">
        <v>512</v>
      </c>
      <c r="P415" s="296" t="s">
        <v>350</v>
      </c>
      <c r="V415" s="185"/>
    </row>
    <row r="416" spans="1:22" ht="18" hidden="1" customHeight="1">
      <c r="A416" s="184"/>
      <c r="F416" s="27" t="s">
        <v>127</v>
      </c>
      <c r="G416" s="242">
        <f>S397</f>
        <v>20</v>
      </c>
      <c r="H416" s="245" t="s">
        <v>554</v>
      </c>
      <c r="I416" s="301">
        <f>S394</f>
        <v>12</v>
      </c>
      <c r="J416" s="245" t="s">
        <v>347</v>
      </c>
      <c r="K416" s="301">
        <f>E402</f>
        <v>66</v>
      </c>
      <c r="L416" s="245" t="s">
        <v>539</v>
      </c>
      <c r="M416" s="301">
        <f>S394</f>
        <v>12</v>
      </c>
      <c r="N416" s="245" t="s">
        <v>347</v>
      </c>
      <c r="O416" s="301">
        <f>S395</f>
        <v>1.43452618</v>
      </c>
      <c r="P416" s="461" t="s">
        <v>350</v>
      </c>
      <c r="V416" s="185"/>
    </row>
    <row r="417" spans="1:22" ht="18" hidden="1" customHeight="1">
      <c r="A417" s="184"/>
      <c r="F417" s="27" t="s">
        <v>127</v>
      </c>
      <c r="G417" s="795">
        <f>G416*((I416+K416)/(M416+O416))</f>
        <v>116.11872120375739</v>
      </c>
      <c r="H417" s="795"/>
      <c r="V417" s="185"/>
    </row>
    <row r="418" spans="1:22" ht="18" hidden="1" customHeight="1">
      <c r="A418" s="184"/>
      <c r="V418" s="185"/>
    </row>
    <row r="419" spans="1:22" ht="18" hidden="1" customHeight="1">
      <c r="A419" s="184"/>
      <c r="E419" s="244" t="s">
        <v>555</v>
      </c>
      <c r="F419" s="27" t="str">
        <f>IF(D420&gt;G420,"&gt;","&lt;")</f>
        <v>&gt;</v>
      </c>
      <c r="G419" s="296" t="s">
        <v>111</v>
      </c>
      <c r="V419" s="185"/>
    </row>
    <row r="420" spans="1:22" ht="18" hidden="1" customHeight="1">
      <c r="A420" s="184"/>
      <c r="D420" s="795">
        <f>G417</f>
        <v>116.11872120375739</v>
      </c>
      <c r="E420" s="795"/>
      <c r="F420" s="27" t="str">
        <f>F419</f>
        <v>&gt;</v>
      </c>
      <c r="G420" s="795">
        <f>G413</f>
        <v>5.25</v>
      </c>
      <c r="H420" s="795"/>
      <c r="V420" s="185"/>
    </row>
    <row r="421" spans="1:22" ht="18" hidden="1" customHeight="1">
      <c r="A421" s="184"/>
      <c r="E421" s="244" t="s">
        <v>478</v>
      </c>
      <c r="G421" s="18" t="str">
        <f>IF(F419="&gt;","Suitably Dimentioned","Under Dimentioned")</f>
        <v>Suitably Dimentioned</v>
      </c>
      <c r="V421" s="185"/>
    </row>
    <row r="422" spans="1:22" ht="18" hidden="1" customHeight="1">
      <c r="A422" s="184"/>
      <c r="V422" s="185"/>
    </row>
    <row r="423" spans="1:22" ht="18" hidden="1" customHeight="1">
      <c r="A423" s="184"/>
      <c r="V423" s="185"/>
    </row>
    <row r="424" spans="1:22" ht="18" hidden="1" customHeight="1">
      <c r="A424" s="184"/>
      <c r="V424" s="185"/>
    </row>
    <row r="425" spans="1:22" ht="18" hidden="1" customHeight="1">
      <c r="A425" s="184"/>
      <c r="V425" s="185"/>
    </row>
    <row r="426" spans="1:22" ht="18" hidden="1" customHeight="1">
      <c r="A426" s="184"/>
      <c r="V426" s="185"/>
    </row>
    <row r="427" spans="1:22" ht="18" hidden="1" customHeight="1">
      <c r="A427" s="184"/>
      <c r="V427" s="185"/>
    </row>
    <row r="428" spans="1:22" ht="18" hidden="1" customHeight="1">
      <c r="A428" s="184"/>
      <c r="V428" s="185"/>
    </row>
    <row r="429" spans="1:22" ht="18" hidden="1" customHeight="1">
      <c r="A429" s="184"/>
      <c r="V429" s="185"/>
    </row>
    <row r="430" spans="1:22" ht="18" hidden="1" customHeight="1">
      <c r="A430" s="184"/>
      <c r="V430" s="185"/>
    </row>
    <row r="431" spans="1:22" ht="18" hidden="1" customHeight="1">
      <c r="A431" s="184"/>
      <c r="V431" s="185"/>
    </row>
    <row r="432" spans="1:22" ht="18" hidden="1" customHeight="1">
      <c r="A432" s="184"/>
      <c r="V432" s="185"/>
    </row>
    <row r="433" spans="1:22" ht="18" hidden="1" customHeight="1">
      <c r="A433" s="184"/>
      <c r="V433" s="185"/>
    </row>
    <row r="434" spans="1:22" ht="18" hidden="1" customHeight="1">
      <c r="A434" s="184"/>
      <c r="V434" s="185"/>
    </row>
    <row r="435" spans="1:22" ht="18" hidden="1" customHeight="1">
      <c r="A435" s="184"/>
      <c r="V435" s="185"/>
    </row>
    <row r="436" spans="1:22" ht="18" hidden="1" customHeight="1">
      <c r="A436" s="184"/>
      <c r="V436" s="185"/>
    </row>
    <row r="437" spans="1:22" ht="18" hidden="1" customHeight="1">
      <c r="A437" s="184"/>
      <c r="V437" s="185"/>
    </row>
    <row r="438" spans="1:22" ht="18" hidden="1" customHeight="1">
      <c r="A438" s="184"/>
      <c r="V438" s="185"/>
    </row>
    <row r="439" spans="1:22" ht="18" hidden="1" customHeight="1">
      <c r="A439" s="184"/>
      <c r="V439" s="185"/>
    </row>
    <row r="440" spans="1:22" ht="18" hidden="1" customHeight="1">
      <c r="A440" s="184"/>
      <c r="V440" s="185"/>
    </row>
    <row r="441" spans="1:22" ht="18" hidden="1" customHeight="1">
      <c r="A441" s="184"/>
      <c r="V441" s="185"/>
    </row>
    <row r="442" spans="1:22" ht="18" hidden="1" customHeight="1">
      <c r="A442" s="184"/>
      <c r="V442" s="185"/>
    </row>
    <row r="443" spans="1:22" ht="18" hidden="1" customHeight="1">
      <c r="A443" s="184"/>
      <c r="V443" s="185"/>
    </row>
    <row r="444" spans="1:22" ht="18" hidden="1" customHeight="1">
      <c r="A444" s="184"/>
      <c r="V444" s="185"/>
    </row>
    <row r="445" spans="1:22" ht="18" hidden="1" customHeight="1">
      <c r="A445" s="184"/>
      <c r="V445" s="185"/>
    </row>
    <row r="446" spans="1:22" ht="18" hidden="1" customHeight="1">
      <c r="A446" s="184"/>
      <c r="V446" s="185"/>
    </row>
    <row r="447" spans="1:22" ht="18" hidden="1" customHeight="1">
      <c r="A447" s="184"/>
      <c r="V447" s="185"/>
    </row>
    <row r="448" spans="1:22" ht="18" hidden="1" customHeight="1">
      <c r="A448" s="184"/>
      <c r="V448" s="185"/>
    </row>
    <row r="449" spans="1:23" ht="18" hidden="1" customHeight="1">
      <c r="A449" s="184"/>
      <c r="V449" s="185"/>
    </row>
    <row r="450" spans="1:23" ht="18" hidden="1" customHeight="1">
      <c r="A450" s="184"/>
      <c r="V450" s="185"/>
    </row>
    <row r="451" spans="1:23" ht="18" hidden="1" customHeight="1">
      <c r="A451" s="184"/>
      <c r="V451" s="185"/>
    </row>
    <row r="452" spans="1:23" ht="18" hidden="1" customHeight="1">
      <c r="A452" s="184"/>
      <c r="V452" s="185"/>
    </row>
    <row r="453" spans="1:23" s="14" customFormat="1" ht="18" hidden="1" customHeight="1">
      <c r="A453" s="194"/>
      <c r="B453" s="195"/>
      <c r="C453" s="195"/>
      <c r="D453" s="195"/>
      <c r="E453" s="195"/>
      <c r="F453" s="195"/>
      <c r="G453" s="195"/>
      <c r="H453" s="195"/>
      <c r="I453" s="195"/>
      <c r="J453" s="195"/>
      <c r="K453" s="195"/>
      <c r="L453" s="195"/>
      <c r="M453" s="195"/>
      <c r="N453" s="195"/>
      <c r="O453" s="195"/>
      <c r="P453" s="195"/>
      <c r="Q453" s="224"/>
      <c r="R453" s="182"/>
      <c r="S453" s="225"/>
      <c r="T453" s="195"/>
      <c r="U453" s="195"/>
      <c r="V453" s="134" t="s">
        <v>552</v>
      </c>
    </row>
    <row r="454" spans="1:23" ht="18" hidden="1" customHeight="1">
      <c r="A454" s="226"/>
      <c r="B454" s="227"/>
      <c r="C454" s="227"/>
      <c r="D454" s="227"/>
      <c r="E454" s="227"/>
      <c r="F454" s="227"/>
      <c r="G454" s="227"/>
      <c r="H454" s="227"/>
      <c r="I454" s="227"/>
      <c r="J454" s="227"/>
      <c r="K454" s="227"/>
      <c r="L454" s="227"/>
      <c r="M454" s="227"/>
      <c r="N454" s="227"/>
      <c r="O454" s="227"/>
      <c r="P454" s="227"/>
      <c r="Q454" s="227"/>
      <c r="R454" s="227"/>
      <c r="S454" s="227"/>
      <c r="T454" s="227"/>
      <c r="U454" s="227"/>
      <c r="V454" s="228"/>
    </row>
    <row r="455" spans="1:23" ht="18" hidden="1" customHeight="1">
      <c r="A455" s="184"/>
      <c r="B455" s="854" t="str">
        <f>B367</f>
        <v>T1</v>
      </c>
      <c r="C455" s="831"/>
      <c r="D455" s="853" t="str">
        <f>D367</f>
        <v>Core3</v>
      </c>
      <c r="E455" s="765"/>
      <c r="F455" s="455"/>
      <c r="H455" s="684" t="str">
        <f>H367</f>
        <v>(OC+BCPU+FMS)</v>
      </c>
      <c r="I455" s="684"/>
      <c r="J455" s="684"/>
      <c r="K455" s="684"/>
      <c r="L455" s="684"/>
      <c r="M455" s="684"/>
      <c r="P455" s="186"/>
      <c r="S455" s="187" t="s">
        <v>387</v>
      </c>
      <c r="T455" s="1123" t="str">
        <f>T367</f>
        <v>REF615</v>
      </c>
      <c r="U455" s="1124"/>
      <c r="V455" s="185"/>
    </row>
    <row r="456" spans="1:23" ht="18" hidden="1" customHeight="1">
      <c r="A456" s="456"/>
      <c r="F456" s="455"/>
      <c r="T456" s="1123" t="str">
        <f>T368</f>
        <v>IDM+</v>
      </c>
      <c r="U456" s="1124"/>
      <c r="V456" s="185"/>
    </row>
    <row r="457" spans="1:23" ht="18" hidden="1" customHeight="1">
      <c r="A457" s="184"/>
      <c r="H457" s="708" t="s">
        <v>390</v>
      </c>
      <c r="I457" s="708"/>
      <c r="J457" s="708" t="s">
        <v>391</v>
      </c>
      <c r="K457" s="708"/>
      <c r="L457" s="789" t="s">
        <v>392</v>
      </c>
      <c r="M457" s="789"/>
      <c r="T457" s="1123" t="str">
        <f>T369</f>
        <v>7UT86</v>
      </c>
      <c r="U457" s="1124"/>
      <c r="V457" s="185"/>
    </row>
    <row r="458" spans="1:23" ht="18" hidden="1" customHeight="1">
      <c r="A458" s="184"/>
      <c r="B458" s="47" t="s">
        <v>393</v>
      </c>
      <c r="H458" s="854">
        <f>H370</f>
        <v>2800</v>
      </c>
      <c r="I458" s="831"/>
      <c r="J458" s="854">
        <f>J370</f>
        <v>3200</v>
      </c>
      <c r="K458" s="831"/>
      <c r="L458" s="863" t="str">
        <f>L370</f>
        <v>-</v>
      </c>
      <c r="M458" s="864"/>
      <c r="N458" s="191" t="s">
        <v>342</v>
      </c>
      <c r="O458" s="256">
        <f>O370</f>
        <v>1</v>
      </c>
      <c r="P458" s="27" t="s">
        <v>8</v>
      </c>
      <c r="R458" s="255"/>
      <c r="S458" s="255"/>
      <c r="V458" s="185"/>
    </row>
    <row r="459" spans="1:23" ht="18" hidden="1" customHeight="1">
      <c r="A459" s="184"/>
      <c r="B459" s="47" t="s">
        <v>394</v>
      </c>
      <c r="L459" s="854" t="str">
        <f>J371</f>
        <v>PX</v>
      </c>
      <c r="M459" s="831"/>
      <c r="V459" s="185"/>
    </row>
    <row r="460" spans="1:23" ht="18" hidden="1" customHeight="1">
      <c r="A460" s="184"/>
      <c r="B460" s="47" t="s">
        <v>396</v>
      </c>
      <c r="K460" s="120" t="s">
        <v>497</v>
      </c>
      <c r="L460" s="1075">
        <v>8</v>
      </c>
      <c r="M460" s="1076"/>
      <c r="N460" s="192" t="s">
        <v>333</v>
      </c>
      <c r="V460" s="185"/>
    </row>
    <row r="461" spans="1:23" ht="18" hidden="1" customHeight="1">
      <c r="A461" s="184"/>
      <c r="B461" s="47" t="s">
        <v>398</v>
      </c>
      <c r="K461" s="120" t="s">
        <v>498</v>
      </c>
      <c r="L461" s="1075">
        <v>800</v>
      </c>
      <c r="M461" s="1076"/>
      <c r="N461" s="14" t="s">
        <v>305</v>
      </c>
      <c r="V461" s="185"/>
      <c r="W461" s="30" t="e">
        <f>G509</f>
        <v>#VALUE!</v>
      </c>
    </row>
    <row r="462" spans="1:23" ht="18" hidden="1" customHeight="1">
      <c r="A462" s="184"/>
      <c r="B462" s="14" t="s">
        <v>401</v>
      </c>
      <c r="K462" s="120" t="s">
        <v>402</v>
      </c>
      <c r="L462" s="1075">
        <v>75</v>
      </c>
      <c r="M462" s="1076"/>
      <c r="N462" s="14" t="s">
        <v>403</v>
      </c>
      <c r="V462" s="185"/>
    </row>
    <row r="463" spans="1:23" ht="18" hidden="1" customHeight="1">
      <c r="A463" s="184"/>
      <c r="V463" s="185"/>
    </row>
    <row r="464" spans="1:23" ht="18" hidden="1" customHeight="1">
      <c r="A464" s="193" t="s">
        <v>404</v>
      </c>
      <c r="V464" s="185"/>
    </row>
    <row r="465" spans="1:22" ht="18" hidden="1" customHeight="1">
      <c r="A465" s="184"/>
      <c r="V465" s="185"/>
    </row>
    <row r="466" spans="1:22" ht="18" hidden="1" customHeight="1">
      <c r="A466" s="184"/>
      <c r="B466" s="135" t="s">
        <v>405</v>
      </c>
      <c r="C466" s="273"/>
      <c r="D466" s="139" t="str">
        <f>T455</f>
        <v>REF615</v>
      </c>
      <c r="E466" s="227"/>
      <c r="F466" s="227"/>
      <c r="G466" s="227"/>
      <c r="H466" s="138"/>
      <c r="I466" s="260" t="s">
        <v>127</v>
      </c>
      <c r="J466" s="722">
        <f>J378</f>
        <v>0.02</v>
      </c>
      <c r="K466" s="958"/>
      <c r="L466" s="3" t="s">
        <v>157</v>
      </c>
      <c r="N466" s="197" t="s">
        <v>510</v>
      </c>
      <c r="V466" s="185"/>
    </row>
    <row r="467" spans="1:22" ht="18" hidden="1" customHeight="1">
      <c r="A467" s="184"/>
      <c r="B467" s="96" t="s">
        <v>405</v>
      </c>
      <c r="C467" s="14"/>
      <c r="D467" s="47" t="str">
        <f>T456</f>
        <v>IDM+</v>
      </c>
      <c r="H467" s="28"/>
      <c r="I467" s="101" t="s">
        <v>127</v>
      </c>
      <c r="J467" s="722">
        <f>J379</f>
        <v>5.8000000000000003E-2</v>
      </c>
      <c r="K467" s="958"/>
      <c r="L467" s="3" t="s">
        <v>157</v>
      </c>
      <c r="N467" s="120" t="s">
        <v>491</v>
      </c>
      <c r="O467" s="27" t="s">
        <v>127</v>
      </c>
      <c r="P467" s="27" t="s">
        <v>511</v>
      </c>
      <c r="Q467" s="27" t="s">
        <v>315</v>
      </c>
      <c r="R467" s="27" t="s">
        <v>511</v>
      </c>
      <c r="S467" s="27" t="s">
        <v>315</v>
      </c>
      <c r="T467" s="27" t="s">
        <v>420</v>
      </c>
      <c r="V467" s="185"/>
    </row>
    <row r="468" spans="1:22" ht="18" hidden="1" customHeight="1">
      <c r="A468" s="184"/>
      <c r="B468" s="96" t="s">
        <v>405</v>
      </c>
      <c r="C468" s="14"/>
      <c r="D468" s="47" t="str">
        <f>T457</f>
        <v>7UT86</v>
      </c>
      <c r="H468" s="28"/>
      <c r="I468" s="101" t="s">
        <v>127</v>
      </c>
      <c r="J468" s="722">
        <f>J380</f>
        <v>0.1</v>
      </c>
      <c r="K468" s="958"/>
      <c r="L468" s="3" t="s">
        <v>157</v>
      </c>
      <c r="N468" s="27"/>
      <c r="O468" s="27" t="s">
        <v>127</v>
      </c>
      <c r="P468" s="27">
        <f>O458</f>
        <v>1</v>
      </c>
      <c r="Q468" s="27" t="s">
        <v>315</v>
      </c>
      <c r="R468" s="27">
        <f>O458</f>
        <v>1</v>
      </c>
      <c r="S468" s="27" t="s">
        <v>315</v>
      </c>
      <c r="T468" s="27">
        <f>L460</f>
        <v>8</v>
      </c>
      <c r="V468" s="185"/>
    </row>
    <row r="469" spans="1:22" ht="18" hidden="1" customHeight="1">
      <c r="A469" s="184"/>
      <c r="B469" s="452" t="s">
        <v>412</v>
      </c>
      <c r="C469" s="259"/>
      <c r="D469" s="259"/>
      <c r="E469" s="259"/>
      <c r="F469" s="207"/>
      <c r="G469" s="207"/>
      <c r="H469" s="190"/>
      <c r="I469" s="208" t="s">
        <v>127</v>
      </c>
      <c r="J469" s="1120">
        <f>J381</f>
        <v>1.25652618</v>
      </c>
      <c r="K469" s="987"/>
      <c r="L469" s="297" t="s">
        <v>157</v>
      </c>
      <c r="O469" s="27" t="s">
        <v>127</v>
      </c>
      <c r="P469" s="795">
        <f>P468*R468*T468</f>
        <v>8</v>
      </c>
      <c r="Q469" s="684"/>
      <c r="R469" s="27" t="s">
        <v>157</v>
      </c>
      <c r="V469" s="185"/>
    </row>
    <row r="470" spans="1:22" ht="18" hidden="1" customHeight="1">
      <c r="A470" s="184"/>
      <c r="B470" s="1" t="s">
        <v>413</v>
      </c>
      <c r="C470" s="2"/>
      <c r="D470" s="2"/>
      <c r="E470" s="2"/>
      <c r="F470" s="196"/>
      <c r="G470" s="196"/>
      <c r="H470" s="224" t="s">
        <v>512</v>
      </c>
      <c r="I470" s="183" t="s">
        <v>127</v>
      </c>
      <c r="J470" s="722">
        <f>SUM(J466:J469)</f>
        <v>1.43452618</v>
      </c>
      <c r="K470" s="958"/>
      <c r="L470" s="3" t="s">
        <v>157</v>
      </c>
      <c r="V470" s="185"/>
    </row>
    <row r="471" spans="1:22" ht="18" hidden="1" customHeight="1">
      <c r="A471" s="184"/>
      <c r="B471" s="47"/>
      <c r="C471" s="47"/>
      <c r="D471" s="47"/>
      <c r="E471" s="47"/>
      <c r="H471" s="27"/>
      <c r="I471" s="28"/>
      <c r="J471" s="199"/>
      <c r="L471" s="47"/>
      <c r="S471" s="27"/>
      <c r="V471" s="185"/>
    </row>
    <row r="472" spans="1:22" ht="18" hidden="1" customHeight="1">
      <c r="A472" s="1206" t="s">
        <v>536</v>
      </c>
      <c r="B472" s="1207"/>
      <c r="C472" s="1207"/>
      <c r="D472" s="1207"/>
      <c r="E472" s="1207"/>
      <c r="F472" s="1207"/>
      <c r="G472" s="1207"/>
      <c r="H472" s="1207"/>
      <c r="I472" s="1207"/>
      <c r="J472" s="1207"/>
      <c r="K472" s="1207"/>
      <c r="L472" s="1207"/>
      <c r="M472" s="1207"/>
      <c r="N472" s="1207"/>
      <c r="O472" s="1207"/>
      <c r="P472" s="1207"/>
      <c r="Q472" s="1207"/>
      <c r="R472" s="1207"/>
      <c r="S472" s="1207"/>
      <c r="T472" s="1207"/>
      <c r="U472" s="1207"/>
      <c r="V472" s="1208"/>
    </row>
    <row r="473" spans="1:22" ht="18" hidden="1" customHeight="1">
      <c r="A473" s="1209"/>
      <c r="B473" s="1207"/>
      <c r="C473" s="1207"/>
      <c r="D473" s="1207"/>
      <c r="E473" s="1207"/>
      <c r="F473" s="1207"/>
      <c r="G473" s="1207"/>
      <c r="H473" s="1207"/>
      <c r="I473" s="1207"/>
      <c r="J473" s="1207"/>
      <c r="K473" s="1207"/>
      <c r="L473" s="1207"/>
      <c r="M473" s="1207"/>
      <c r="N473" s="1207"/>
      <c r="O473" s="1207"/>
      <c r="P473" s="1207"/>
      <c r="Q473" s="1207"/>
      <c r="R473" s="1207"/>
      <c r="S473" s="1207"/>
      <c r="T473" s="1207"/>
      <c r="U473" s="1207"/>
      <c r="V473" s="1208"/>
    </row>
    <row r="474" spans="1:22" ht="18" hidden="1" customHeight="1">
      <c r="A474" s="184"/>
      <c r="Q474" s="211"/>
      <c r="R474" s="192"/>
      <c r="V474" s="185"/>
    </row>
    <row r="475" spans="1:22" ht="18" hidden="1" customHeight="1">
      <c r="A475" s="184"/>
      <c r="C475" s="14" t="s">
        <v>473</v>
      </c>
      <c r="D475" s="28" t="s">
        <v>127</v>
      </c>
      <c r="E475" s="28" t="s">
        <v>537</v>
      </c>
      <c r="F475" s="120" t="s">
        <v>493</v>
      </c>
      <c r="G475" s="28" t="s">
        <v>347</v>
      </c>
      <c r="H475" s="120" t="s">
        <v>491</v>
      </c>
      <c r="I475" s="28" t="s">
        <v>538</v>
      </c>
      <c r="J475" s="28" t="s">
        <v>495</v>
      </c>
      <c r="K475" s="28" t="s">
        <v>539</v>
      </c>
      <c r="L475" s="28" t="s">
        <v>511</v>
      </c>
      <c r="M475" s="28" t="s">
        <v>315</v>
      </c>
      <c r="N475" s="28">
        <v>1.3</v>
      </c>
      <c r="O475" s="47" t="s">
        <v>350</v>
      </c>
      <c r="V475" s="185"/>
    </row>
    <row r="476" spans="1:22" ht="18" hidden="1" customHeight="1">
      <c r="A476" s="184" t="s">
        <v>540</v>
      </c>
      <c r="C476" s="14"/>
      <c r="D476" s="28"/>
      <c r="E476" s="14"/>
      <c r="F476" s="14"/>
      <c r="G476" s="14"/>
      <c r="H476" s="14"/>
      <c r="I476" s="14"/>
      <c r="J476" s="14"/>
      <c r="K476" s="14"/>
      <c r="L476" s="14"/>
      <c r="M476" s="14"/>
      <c r="N476" s="14"/>
      <c r="O476" s="14"/>
      <c r="V476" s="185"/>
    </row>
    <row r="477" spans="1:22" ht="18" hidden="1" customHeight="1">
      <c r="A477" s="184"/>
      <c r="C477" s="120" t="s">
        <v>493</v>
      </c>
      <c r="D477" s="28" t="s">
        <v>127</v>
      </c>
      <c r="E477" s="28" t="s">
        <v>537</v>
      </c>
      <c r="F477" s="28">
        <v>1.3</v>
      </c>
      <c r="G477" s="28" t="s">
        <v>315</v>
      </c>
      <c r="H477" s="689" t="s">
        <v>473</v>
      </c>
      <c r="I477" s="716"/>
      <c r="J477" s="28" t="s">
        <v>315</v>
      </c>
      <c r="K477" s="28" t="s">
        <v>511</v>
      </c>
      <c r="L477" s="28" t="s">
        <v>541</v>
      </c>
      <c r="M477" s="28" t="s">
        <v>495</v>
      </c>
      <c r="N477" s="47" t="s">
        <v>542</v>
      </c>
      <c r="O477" s="120" t="s">
        <v>491</v>
      </c>
      <c r="V477" s="185"/>
    </row>
    <row r="478" spans="1:22" ht="18" hidden="1" customHeight="1">
      <c r="A478" s="184"/>
      <c r="V478" s="185"/>
    </row>
    <row r="479" spans="1:22" ht="18" hidden="1" customHeight="1">
      <c r="A479" s="168"/>
      <c r="B479" s="5"/>
      <c r="C479" s="47" t="s">
        <v>543</v>
      </c>
      <c r="D479" s="14"/>
      <c r="E479" s="14"/>
      <c r="F479" s="14"/>
      <c r="G479" s="14"/>
      <c r="H479" s="279"/>
      <c r="I479" s="120"/>
      <c r="J479" s="279"/>
      <c r="K479" s="279"/>
      <c r="L479" s="14"/>
      <c r="M479" s="14"/>
      <c r="N479" s="14"/>
      <c r="O479" s="14"/>
      <c r="P479" s="14"/>
      <c r="Q479" s="120" t="s">
        <v>544</v>
      </c>
      <c r="R479" s="102" t="s">
        <v>127</v>
      </c>
      <c r="S479" s="689">
        <f>S391</f>
        <v>16800</v>
      </c>
      <c r="T479" s="689"/>
      <c r="U479" s="47" t="s">
        <v>8</v>
      </c>
      <c r="V479" s="185"/>
    </row>
    <row r="480" spans="1:22" ht="18" hidden="1" customHeight="1">
      <c r="A480" s="168"/>
      <c r="B480" s="5"/>
      <c r="C480" s="47" t="s">
        <v>545</v>
      </c>
      <c r="D480" s="14"/>
      <c r="E480" s="14"/>
      <c r="F480" s="18"/>
      <c r="G480" s="18"/>
      <c r="H480" s="279"/>
      <c r="I480" s="120"/>
      <c r="J480" s="279"/>
      <c r="K480" s="279"/>
      <c r="L480" s="14"/>
      <c r="M480" s="14"/>
      <c r="N480" s="14"/>
      <c r="O480" s="14"/>
      <c r="P480" s="14"/>
      <c r="Q480" s="120" t="s">
        <v>423</v>
      </c>
      <c r="R480" s="102" t="s">
        <v>127</v>
      </c>
      <c r="S480" s="689" t="str">
        <f>L458</f>
        <v>-</v>
      </c>
      <c r="T480" s="689"/>
      <c r="U480" s="14" t="s">
        <v>8</v>
      </c>
      <c r="V480" s="185"/>
    </row>
    <row r="481" spans="1:25" ht="18" hidden="1" customHeight="1">
      <c r="A481" s="168"/>
      <c r="B481" s="5"/>
      <c r="C481" s="47" t="s">
        <v>546</v>
      </c>
      <c r="D481" s="14"/>
      <c r="E481" s="14"/>
      <c r="F481" s="18"/>
      <c r="G481" s="18"/>
      <c r="H481" s="279"/>
      <c r="I481" s="120"/>
      <c r="J481" s="279"/>
      <c r="K481" s="279"/>
      <c r="L481" s="14"/>
      <c r="M481" s="14"/>
      <c r="N481" s="14"/>
      <c r="O481" s="14"/>
      <c r="P481" s="14"/>
      <c r="Q481" s="120" t="s">
        <v>473</v>
      </c>
      <c r="R481" s="102" t="s">
        <v>127</v>
      </c>
      <c r="S481" s="689">
        <f>L461</f>
        <v>800</v>
      </c>
      <c r="T481" s="689"/>
      <c r="U481" s="14" t="s">
        <v>305</v>
      </c>
      <c r="V481" s="185"/>
    </row>
    <row r="482" spans="1:25" ht="18" hidden="1" customHeight="1">
      <c r="A482" s="168"/>
      <c r="B482" s="5"/>
      <c r="C482" s="47" t="s">
        <v>547</v>
      </c>
      <c r="D482" s="14"/>
      <c r="E482" s="14"/>
      <c r="F482" s="18"/>
      <c r="G482" s="18"/>
      <c r="H482" s="279"/>
      <c r="I482" s="120"/>
      <c r="J482" s="279"/>
      <c r="K482" s="279"/>
      <c r="L482" s="14"/>
      <c r="M482" s="14"/>
      <c r="N482" s="14"/>
      <c r="O482" s="14"/>
      <c r="P482" s="14"/>
      <c r="Q482" s="120" t="s">
        <v>491</v>
      </c>
      <c r="R482" s="102" t="s">
        <v>127</v>
      </c>
      <c r="S482" s="692">
        <f>P469</f>
        <v>8</v>
      </c>
      <c r="T482" s="689"/>
      <c r="U482" s="14" t="s">
        <v>157</v>
      </c>
      <c r="V482" s="185"/>
      <c r="W482" s="279"/>
      <c r="X482" s="279"/>
      <c r="Y482" s="279"/>
    </row>
    <row r="483" spans="1:25" ht="18" hidden="1" customHeight="1">
      <c r="A483" s="168"/>
      <c r="B483" s="5"/>
      <c r="C483" s="47" t="s">
        <v>548</v>
      </c>
      <c r="D483" s="14"/>
      <c r="E483" s="14"/>
      <c r="F483" s="18"/>
      <c r="G483" s="18"/>
      <c r="H483" s="279"/>
      <c r="I483" s="120"/>
      <c r="J483" s="279"/>
      <c r="K483" s="279"/>
      <c r="L483" s="14"/>
      <c r="M483" s="14"/>
      <c r="N483" s="14"/>
      <c r="O483" s="14"/>
      <c r="P483" s="14"/>
      <c r="Q483" s="120" t="s">
        <v>512</v>
      </c>
      <c r="R483" s="102" t="s">
        <v>127</v>
      </c>
      <c r="S483" s="692">
        <f>J470</f>
        <v>1.43452618</v>
      </c>
      <c r="T483" s="689"/>
      <c r="U483" s="14" t="s">
        <v>157</v>
      </c>
      <c r="V483" s="185"/>
      <c r="X483" s="279"/>
      <c r="Y483" s="279"/>
    </row>
    <row r="484" spans="1:25" ht="18" hidden="1" customHeight="1">
      <c r="A484" s="168"/>
      <c r="B484" s="5"/>
      <c r="C484" s="47" t="s">
        <v>549</v>
      </c>
      <c r="D484" s="14"/>
      <c r="E484" s="14"/>
      <c r="F484" s="14"/>
      <c r="G484" s="14"/>
      <c r="H484" s="279"/>
      <c r="I484" s="120"/>
      <c r="J484" s="279"/>
      <c r="K484" s="279"/>
      <c r="L484" s="14"/>
      <c r="M484" s="14"/>
      <c r="N484" s="14"/>
      <c r="O484" s="14"/>
      <c r="P484" s="14"/>
      <c r="Q484" s="120" t="s">
        <v>511</v>
      </c>
      <c r="R484" s="102" t="s">
        <v>127</v>
      </c>
      <c r="S484" s="689">
        <f>O458</f>
        <v>1</v>
      </c>
      <c r="T484" s="689"/>
      <c r="U484" s="14" t="s">
        <v>8</v>
      </c>
      <c r="V484" s="185"/>
      <c r="X484" s="279"/>
      <c r="Y484" s="279"/>
    </row>
    <row r="485" spans="1:25" ht="18" hidden="1" customHeight="1">
      <c r="A485" s="168"/>
      <c r="B485" s="5"/>
      <c r="C485" s="47" t="s">
        <v>550</v>
      </c>
      <c r="D485" s="14"/>
      <c r="E485" s="14"/>
      <c r="F485" s="14"/>
      <c r="G485" s="14"/>
      <c r="H485" s="279"/>
      <c r="I485" s="120"/>
      <c r="J485" s="279"/>
      <c r="K485" s="279"/>
      <c r="L485" s="14"/>
      <c r="M485" s="14"/>
      <c r="N485" s="14"/>
      <c r="O485" s="14"/>
      <c r="P485" s="14"/>
      <c r="Q485" s="120" t="s">
        <v>495</v>
      </c>
      <c r="R485" s="102" t="s">
        <v>127</v>
      </c>
      <c r="S485" s="689">
        <v>20</v>
      </c>
      <c r="T485" s="689"/>
      <c r="U485" s="47"/>
      <c r="V485" s="185"/>
    </row>
    <row r="486" spans="1:25" ht="18" hidden="1" customHeight="1">
      <c r="A486" s="299"/>
      <c r="B486" s="279"/>
      <c r="C486" s="47" t="s">
        <v>551</v>
      </c>
      <c r="D486" s="14"/>
      <c r="E486" s="14"/>
      <c r="F486" s="14"/>
      <c r="G486" s="14"/>
      <c r="H486" s="279"/>
      <c r="I486" s="120"/>
      <c r="J486" s="279"/>
      <c r="K486" s="279"/>
      <c r="L486" s="14"/>
      <c r="M486" s="14"/>
      <c r="N486" s="279"/>
      <c r="O486" s="279"/>
      <c r="P486" s="14"/>
      <c r="Q486" s="120" t="s">
        <v>493</v>
      </c>
      <c r="R486" s="14"/>
      <c r="S486" s="279"/>
      <c r="T486" s="279"/>
      <c r="U486" s="279"/>
      <c r="V486" s="300"/>
      <c r="W486" s="279"/>
      <c r="X486" s="279"/>
      <c r="Y486" s="279"/>
    </row>
    <row r="487" spans="1:25" ht="18" hidden="1" customHeight="1">
      <c r="A487" s="184"/>
      <c r="V487" s="185"/>
    </row>
    <row r="488" spans="1:25" ht="18" hidden="1" customHeight="1">
      <c r="A488" s="184"/>
      <c r="C488" s="120" t="s">
        <v>493</v>
      </c>
      <c r="D488" s="28" t="s">
        <v>127</v>
      </c>
      <c r="E488" s="28" t="s">
        <v>537</v>
      </c>
      <c r="F488" s="28">
        <v>1.3</v>
      </c>
      <c r="G488" s="28" t="s">
        <v>315</v>
      </c>
      <c r="H488" s="689" t="s">
        <v>473</v>
      </c>
      <c r="I488" s="716"/>
      <c r="J488" s="28" t="s">
        <v>315</v>
      </c>
      <c r="K488" s="28" t="s">
        <v>511</v>
      </c>
      <c r="L488" s="28" t="s">
        <v>541</v>
      </c>
      <c r="M488" s="28" t="s">
        <v>495</v>
      </c>
      <c r="N488" s="47" t="s">
        <v>542</v>
      </c>
      <c r="O488" s="120" t="s">
        <v>491</v>
      </c>
      <c r="V488" s="185"/>
    </row>
    <row r="489" spans="1:25" ht="18" hidden="1" customHeight="1">
      <c r="A489" s="184"/>
      <c r="C489" s="120" t="s">
        <v>493</v>
      </c>
      <c r="D489" s="28" t="s">
        <v>127</v>
      </c>
      <c r="E489" s="28" t="s">
        <v>537</v>
      </c>
      <c r="F489" s="28">
        <v>1.3</v>
      </c>
      <c r="G489" s="28" t="s">
        <v>315</v>
      </c>
      <c r="H489" s="689">
        <f>S481</f>
        <v>800</v>
      </c>
      <c r="I489" s="716"/>
      <c r="J489" s="28" t="s">
        <v>315</v>
      </c>
      <c r="K489" s="28">
        <f>S484</f>
        <v>1</v>
      </c>
      <c r="L489" s="28" t="s">
        <v>541</v>
      </c>
      <c r="M489" s="28">
        <f>S485</f>
        <v>20</v>
      </c>
      <c r="N489" s="47" t="s">
        <v>542</v>
      </c>
      <c r="O489" s="502">
        <f>S482</f>
        <v>8</v>
      </c>
      <c r="V489" s="185"/>
    </row>
    <row r="490" spans="1:25" ht="18" hidden="1" customHeight="1">
      <c r="A490" s="184"/>
      <c r="D490" s="27" t="s">
        <v>127</v>
      </c>
      <c r="E490" s="684">
        <f>((F489*H489*K489)/M489)-O489</f>
        <v>44</v>
      </c>
      <c r="F490" s="684"/>
      <c r="G490" s="27" t="s">
        <v>157</v>
      </c>
      <c r="V490" s="185"/>
    </row>
    <row r="491" spans="1:25" ht="18" hidden="1" customHeight="1">
      <c r="A491" s="184"/>
      <c r="D491" s="27"/>
      <c r="E491" s="27"/>
      <c r="F491" s="27"/>
      <c r="G491" s="27"/>
      <c r="V491" s="185"/>
    </row>
    <row r="492" spans="1:25" ht="18" hidden="1" customHeight="1">
      <c r="A492" s="184"/>
      <c r="D492" s="27"/>
      <c r="E492" s="27"/>
      <c r="F492" s="27"/>
      <c r="G492" s="27"/>
      <c r="V492" s="185"/>
    </row>
    <row r="493" spans="1:25" ht="18" hidden="1" customHeight="1">
      <c r="A493" s="184"/>
      <c r="D493" s="27"/>
      <c r="E493" s="27"/>
      <c r="F493" s="27"/>
      <c r="G493" s="27"/>
      <c r="V493" s="185"/>
    </row>
    <row r="494" spans="1:25" ht="18" hidden="1" customHeight="1">
      <c r="A494" s="184"/>
      <c r="D494" s="27"/>
      <c r="E494" s="27"/>
      <c r="F494" s="27"/>
      <c r="G494" s="27"/>
      <c r="V494" s="185"/>
    </row>
    <row r="495" spans="1:25" ht="18" hidden="1" customHeight="1">
      <c r="A495" s="184"/>
      <c r="D495" s="27"/>
      <c r="E495" s="27"/>
      <c r="F495" s="27"/>
      <c r="G495" s="27"/>
      <c r="V495" s="185"/>
    </row>
    <row r="496" spans="1:25" ht="18" hidden="1" customHeight="1">
      <c r="A496" s="184"/>
      <c r="V496" s="185"/>
    </row>
    <row r="497" spans="1:22" s="14" customFormat="1" ht="18" hidden="1" customHeight="1">
      <c r="A497" s="194"/>
      <c r="B497" s="195"/>
      <c r="C497" s="195"/>
      <c r="D497" s="195"/>
      <c r="E497" s="195"/>
      <c r="F497" s="195"/>
      <c r="G497" s="195"/>
      <c r="H497" s="195"/>
      <c r="I497" s="195"/>
      <c r="J497" s="195"/>
      <c r="K497" s="195"/>
      <c r="L497" s="195"/>
      <c r="M497" s="195"/>
      <c r="N497" s="195"/>
      <c r="O497" s="195"/>
      <c r="P497" s="195"/>
      <c r="Q497" s="224"/>
      <c r="R497" s="182"/>
      <c r="S497" s="225"/>
      <c r="T497" s="195"/>
      <c r="U497" s="195"/>
      <c r="V497" s="134" t="s">
        <v>552</v>
      </c>
    </row>
    <row r="498" spans="1:22" ht="18" hidden="1" customHeight="1">
      <c r="A498" s="226"/>
      <c r="B498" s="227"/>
      <c r="C498" s="227"/>
      <c r="D498" s="227"/>
      <c r="E498" s="227"/>
      <c r="F498" s="227"/>
      <c r="G498" s="227"/>
      <c r="H498" s="227"/>
      <c r="I498" s="227"/>
      <c r="J498" s="227"/>
      <c r="K498" s="227"/>
      <c r="L498" s="227"/>
      <c r="M498" s="227"/>
      <c r="N498" s="227"/>
      <c r="O498" s="227"/>
      <c r="P498" s="227"/>
      <c r="Q498" s="227"/>
      <c r="R498" s="227"/>
      <c r="S498" s="227"/>
      <c r="T498" s="227"/>
      <c r="U498" s="227"/>
      <c r="V498" s="228"/>
    </row>
    <row r="499" spans="1:22" ht="18" hidden="1" customHeight="1">
      <c r="A499" s="184"/>
      <c r="E499" s="244" t="s">
        <v>111</v>
      </c>
      <c r="F499" s="27" t="s">
        <v>127</v>
      </c>
      <c r="G499" s="689" t="s">
        <v>544</v>
      </c>
      <c r="H499" s="689"/>
      <c r="I499" s="191" t="s">
        <v>342</v>
      </c>
      <c r="J499" s="684" t="s">
        <v>423</v>
      </c>
      <c r="K499" s="684"/>
      <c r="V499" s="185"/>
    </row>
    <row r="500" spans="1:22" ht="18" hidden="1" customHeight="1">
      <c r="A500" s="184"/>
      <c r="F500" s="27" t="s">
        <v>127</v>
      </c>
      <c r="G500" s="684">
        <f>S479</f>
        <v>16800</v>
      </c>
      <c r="H500" s="684"/>
      <c r="I500" s="191" t="s">
        <v>342</v>
      </c>
      <c r="J500" s="684" t="str">
        <f>S480</f>
        <v>-</v>
      </c>
      <c r="K500" s="684"/>
      <c r="V500" s="185"/>
    </row>
    <row r="501" spans="1:22" ht="18" hidden="1" customHeight="1">
      <c r="A501" s="184"/>
      <c r="F501" s="27" t="s">
        <v>127</v>
      </c>
      <c r="G501" s="795" t="e">
        <f>G500/J500</f>
        <v>#VALUE!</v>
      </c>
      <c r="H501" s="795"/>
      <c r="I501" s="27"/>
      <c r="J501" s="27"/>
      <c r="K501" s="27"/>
      <c r="V501" s="185"/>
    </row>
    <row r="502" spans="1:22" ht="18" hidden="1" customHeight="1">
      <c r="A502" s="184"/>
      <c r="V502" s="185"/>
    </row>
    <row r="503" spans="1:22" ht="18" hidden="1" customHeight="1">
      <c r="A503" s="184"/>
      <c r="E503" s="244" t="s">
        <v>553</v>
      </c>
      <c r="F503" s="27" t="s">
        <v>127</v>
      </c>
      <c r="G503" s="27" t="s">
        <v>495</v>
      </c>
      <c r="H503" s="27" t="s">
        <v>554</v>
      </c>
      <c r="I503" s="120" t="s">
        <v>491</v>
      </c>
      <c r="J503" s="28" t="s">
        <v>347</v>
      </c>
      <c r="K503" s="120" t="s">
        <v>493</v>
      </c>
      <c r="L503" s="28" t="s">
        <v>539</v>
      </c>
      <c r="M503" s="120" t="s">
        <v>491</v>
      </c>
      <c r="N503" s="28" t="s">
        <v>347</v>
      </c>
      <c r="O503" s="120" t="s">
        <v>512</v>
      </c>
      <c r="P503" s="296" t="s">
        <v>350</v>
      </c>
      <c r="V503" s="185"/>
    </row>
    <row r="504" spans="1:22" ht="18" hidden="1" customHeight="1">
      <c r="A504" s="184"/>
      <c r="F504" s="27" t="s">
        <v>127</v>
      </c>
      <c r="G504" s="242">
        <f>S485</f>
        <v>20</v>
      </c>
      <c r="H504" s="245" t="s">
        <v>554</v>
      </c>
      <c r="I504" s="301">
        <f>S482</f>
        <v>8</v>
      </c>
      <c r="J504" s="245" t="s">
        <v>347</v>
      </c>
      <c r="K504" s="301">
        <f>E490</f>
        <v>44</v>
      </c>
      <c r="L504" s="245" t="s">
        <v>539</v>
      </c>
      <c r="M504" s="301">
        <f>S482</f>
        <v>8</v>
      </c>
      <c r="N504" s="245" t="s">
        <v>347</v>
      </c>
      <c r="O504" s="301">
        <f>S483</f>
        <v>1.43452618</v>
      </c>
      <c r="P504" s="461" t="s">
        <v>350</v>
      </c>
      <c r="V504" s="185"/>
    </row>
    <row r="505" spans="1:22" ht="18" hidden="1" customHeight="1">
      <c r="A505" s="184"/>
      <c r="F505" s="27" t="s">
        <v>127</v>
      </c>
      <c r="G505" s="795">
        <f>G504*((I504+K504)/(M504+O504))</f>
        <v>110.2334107890514</v>
      </c>
      <c r="H505" s="795"/>
      <c r="V505" s="185"/>
    </row>
    <row r="506" spans="1:22" ht="18" hidden="1" customHeight="1">
      <c r="A506" s="184"/>
      <c r="V506" s="185"/>
    </row>
    <row r="507" spans="1:22" ht="18" hidden="1" customHeight="1">
      <c r="A507" s="184"/>
      <c r="E507" s="244" t="s">
        <v>555</v>
      </c>
      <c r="F507" s="27" t="e">
        <f>IF(D508&gt;G508,"&gt;","&lt;")</f>
        <v>#VALUE!</v>
      </c>
      <c r="G507" s="296" t="s">
        <v>111</v>
      </c>
      <c r="V507" s="185"/>
    </row>
    <row r="508" spans="1:22" ht="18" hidden="1" customHeight="1">
      <c r="A508" s="184"/>
      <c r="D508" s="795">
        <f>G505</f>
        <v>110.2334107890514</v>
      </c>
      <c r="E508" s="795"/>
      <c r="F508" s="27" t="e">
        <f>F507</f>
        <v>#VALUE!</v>
      </c>
      <c r="G508" s="795" t="e">
        <f>G501</f>
        <v>#VALUE!</v>
      </c>
      <c r="H508" s="795"/>
      <c r="V508" s="185"/>
    </row>
    <row r="509" spans="1:22" ht="18" hidden="1" customHeight="1">
      <c r="A509" s="184"/>
      <c r="E509" s="244" t="s">
        <v>478</v>
      </c>
      <c r="G509" s="18" t="e">
        <f>IF(F507="&gt;","Suitably Dimentioned","Under Dimentioned")</f>
        <v>#VALUE!</v>
      </c>
      <c r="V509" s="185"/>
    </row>
    <row r="510" spans="1:22" ht="18" hidden="1" customHeight="1">
      <c r="A510" s="184"/>
      <c r="V510" s="185"/>
    </row>
    <row r="511" spans="1:22" ht="18" hidden="1" customHeight="1">
      <c r="A511" s="184"/>
      <c r="V511" s="185"/>
    </row>
    <row r="512" spans="1:22" ht="18" hidden="1" customHeight="1">
      <c r="A512" s="184"/>
      <c r="V512" s="185"/>
    </row>
    <row r="513" spans="1:22" ht="18" hidden="1" customHeight="1">
      <c r="A513" s="184"/>
      <c r="V513" s="185"/>
    </row>
    <row r="514" spans="1:22" ht="18" hidden="1" customHeight="1">
      <c r="A514" s="184"/>
      <c r="V514" s="185"/>
    </row>
    <row r="515" spans="1:22" ht="18" hidden="1" customHeight="1">
      <c r="A515" s="184"/>
      <c r="V515" s="185"/>
    </row>
    <row r="516" spans="1:22" ht="18" hidden="1" customHeight="1">
      <c r="A516" s="184"/>
      <c r="V516" s="185"/>
    </row>
    <row r="517" spans="1:22" ht="18" hidden="1" customHeight="1">
      <c r="A517" s="184"/>
      <c r="V517" s="185"/>
    </row>
    <row r="518" spans="1:22" ht="18" hidden="1" customHeight="1">
      <c r="A518" s="184"/>
      <c r="V518" s="185"/>
    </row>
    <row r="519" spans="1:22" ht="18" hidden="1" customHeight="1">
      <c r="A519" s="184"/>
      <c r="V519" s="185"/>
    </row>
    <row r="520" spans="1:22" ht="18" hidden="1" customHeight="1">
      <c r="A520" s="184"/>
      <c r="V520" s="185"/>
    </row>
    <row r="521" spans="1:22" ht="18" hidden="1" customHeight="1">
      <c r="A521" s="184"/>
      <c r="V521" s="185"/>
    </row>
    <row r="522" spans="1:22" ht="18" hidden="1" customHeight="1">
      <c r="A522" s="184"/>
      <c r="V522" s="185"/>
    </row>
    <row r="523" spans="1:22" ht="18" hidden="1" customHeight="1">
      <c r="A523" s="184"/>
      <c r="V523" s="185"/>
    </row>
    <row r="524" spans="1:22" ht="18" hidden="1" customHeight="1">
      <c r="A524" s="184"/>
      <c r="V524" s="185"/>
    </row>
    <row r="525" spans="1:22" ht="18" hidden="1" customHeight="1">
      <c r="A525" s="184"/>
      <c r="V525" s="185"/>
    </row>
    <row r="526" spans="1:22" ht="18" hidden="1" customHeight="1">
      <c r="A526" s="184"/>
      <c r="V526" s="185"/>
    </row>
    <row r="527" spans="1:22" ht="18" hidden="1" customHeight="1">
      <c r="A527" s="184"/>
      <c r="V527" s="185"/>
    </row>
    <row r="528" spans="1:22" ht="18" hidden="1" customHeight="1">
      <c r="A528" s="184"/>
      <c r="V528" s="185"/>
    </row>
    <row r="529" spans="1:22" ht="18" hidden="1" customHeight="1">
      <c r="A529" s="184"/>
      <c r="V529" s="185"/>
    </row>
    <row r="530" spans="1:22" ht="18" hidden="1" customHeight="1">
      <c r="A530" s="184"/>
      <c r="V530" s="185"/>
    </row>
    <row r="531" spans="1:22" ht="18" hidden="1" customHeight="1">
      <c r="A531" s="184"/>
      <c r="V531" s="185"/>
    </row>
    <row r="532" spans="1:22" ht="18" hidden="1" customHeight="1">
      <c r="A532" s="184"/>
      <c r="V532" s="185"/>
    </row>
    <row r="533" spans="1:22" ht="18" hidden="1" customHeight="1">
      <c r="A533" s="184"/>
      <c r="V533" s="185"/>
    </row>
    <row r="534" spans="1:22" ht="18" hidden="1" customHeight="1">
      <c r="A534" s="184"/>
      <c r="V534" s="185"/>
    </row>
    <row r="535" spans="1:22" ht="18" hidden="1" customHeight="1">
      <c r="A535" s="184"/>
      <c r="V535" s="185"/>
    </row>
    <row r="536" spans="1:22" ht="18" hidden="1" customHeight="1">
      <c r="A536" s="184"/>
      <c r="V536" s="185"/>
    </row>
    <row r="537" spans="1:22" ht="18" hidden="1" customHeight="1">
      <c r="A537" s="184"/>
      <c r="V537" s="185"/>
    </row>
    <row r="538" spans="1:22" ht="18" hidden="1" customHeight="1">
      <c r="A538" s="184"/>
      <c r="V538" s="185"/>
    </row>
    <row r="539" spans="1:22" ht="18" hidden="1" customHeight="1">
      <c r="A539" s="184"/>
      <c r="V539" s="185"/>
    </row>
    <row r="540" spans="1:22" ht="18" hidden="1" customHeight="1">
      <c r="A540" s="184"/>
      <c r="V540" s="185"/>
    </row>
    <row r="541" spans="1:22" s="14" customFormat="1" ht="18" customHeight="1">
      <c r="A541" s="194"/>
      <c r="B541" s="195"/>
      <c r="C541" s="195"/>
      <c r="D541" s="195"/>
      <c r="E541" s="195"/>
      <c r="F541" s="195"/>
      <c r="G541" s="195"/>
      <c r="H541" s="195"/>
      <c r="I541" s="195"/>
      <c r="J541" s="195"/>
      <c r="K541" s="195"/>
      <c r="L541" s="195"/>
      <c r="M541" s="195"/>
      <c r="N541" s="195"/>
      <c r="O541" s="195"/>
      <c r="P541" s="195"/>
      <c r="Q541" s="224"/>
      <c r="R541" s="182"/>
      <c r="S541" s="225"/>
      <c r="T541" s="195"/>
      <c r="U541" s="195"/>
      <c r="V541" s="134"/>
    </row>
    <row r="542" spans="1:22" ht="18" customHeight="1">
      <c r="A542" s="226"/>
      <c r="B542" s="227"/>
      <c r="C542" s="227"/>
      <c r="D542" s="227"/>
      <c r="E542" s="227"/>
      <c r="F542" s="227"/>
      <c r="G542" s="227"/>
      <c r="H542" s="227"/>
      <c r="I542" s="227"/>
      <c r="J542" s="227"/>
      <c r="K542" s="227"/>
      <c r="L542" s="227"/>
      <c r="M542" s="227"/>
      <c r="N542" s="227"/>
      <c r="O542" s="227"/>
      <c r="P542" s="227"/>
      <c r="Q542" s="227"/>
      <c r="R542" s="227"/>
      <c r="S542" s="227"/>
      <c r="T542" s="227"/>
      <c r="U542" s="227"/>
      <c r="V542" s="228"/>
    </row>
    <row r="543" spans="1:22" ht="18" customHeight="1">
      <c r="A543" s="262" t="s">
        <v>532</v>
      </c>
      <c r="B543" s="14"/>
      <c r="C543" s="14"/>
      <c r="D543" s="120"/>
      <c r="E543" s="120"/>
      <c r="F543" s="18"/>
      <c r="G543" s="18"/>
      <c r="H543" s="14"/>
      <c r="I543" s="14"/>
      <c r="J543" s="14"/>
      <c r="K543" s="14"/>
      <c r="L543" s="14"/>
      <c r="M543" s="14"/>
      <c r="N543" s="14"/>
      <c r="O543" s="14"/>
      <c r="P543" s="28"/>
      <c r="Q543" s="120"/>
      <c r="R543" s="47"/>
      <c r="S543" s="206"/>
      <c r="T543" s="259"/>
      <c r="U543" s="14"/>
      <c r="V543" s="97"/>
    </row>
    <row r="544" spans="1:22" customFormat="1" ht="18" customHeight="1">
      <c r="A544" s="868" t="s">
        <v>85</v>
      </c>
      <c r="B544" s="868"/>
      <c r="C544" s="869"/>
      <c r="D544" s="868" t="s">
        <v>86</v>
      </c>
      <c r="E544" s="868"/>
      <c r="F544" s="868"/>
      <c r="G544" s="868" t="s">
        <v>87</v>
      </c>
      <c r="H544" s="868"/>
      <c r="I544" s="868" t="s">
        <v>88</v>
      </c>
      <c r="J544" s="868"/>
      <c r="K544" s="868" t="s">
        <v>502</v>
      </c>
      <c r="L544" s="868"/>
      <c r="M544" s="868" t="s">
        <v>503</v>
      </c>
      <c r="N544" s="868"/>
      <c r="O544" s="868" t="s">
        <v>504</v>
      </c>
      <c r="P544" s="868"/>
      <c r="Q544" s="868" t="s">
        <v>505</v>
      </c>
      <c r="R544" s="868"/>
      <c r="S544" s="868" t="s">
        <v>93</v>
      </c>
      <c r="T544" s="868"/>
      <c r="U544" s="868"/>
      <c r="V544" s="868"/>
    </row>
    <row r="545" spans="1:22" customFormat="1" ht="18" customHeight="1">
      <c r="A545" s="868"/>
      <c r="B545" s="868"/>
      <c r="C545" s="869"/>
      <c r="D545" s="868"/>
      <c r="E545" s="868"/>
      <c r="F545" s="868"/>
      <c r="G545" s="868"/>
      <c r="H545" s="868"/>
      <c r="I545" s="868"/>
      <c r="J545" s="868"/>
      <c r="K545" s="868"/>
      <c r="L545" s="868"/>
      <c r="M545" s="868"/>
      <c r="N545" s="868"/>
      <c r="O545" s="868"/>
      <c r="P545" s="868"/>
      <c r="Q545" s="868"/>
      <c r="R545" s="868"/>
      <c r="S545" s="868"/>
      <c r="T545" s="868"/>
      <c r="U545" s="868"/>
      <c r="V545" s="868"/>
    </row>
    <row r="546" spans="1:22" customFormat="1" ht="18" customHeight="1">
      <c r="A546" s="868"/>
      <c r="B546" s="868"/>
      <c r="C546" s="869"/>
      <c r="D546" s="868"/>
      <c r="E546" s="868"/>
      <c r="F546" s="868"/>
      <c r="G546" s="868"/>
      <c r="H546" s="868"/>
      <c r="I546" s="868"/>
      <c r="J546" s="868"/>
      <c r="K546" s="868"/>
      <c r="L546" s="868"/>
      <c r="M546" s="868"/>
      <c r="N546" s="868"/>
      <c r="O546" s="868"/>
      <c r="P546" s="868"/>
      <c r="Q546" s="868"/>
      <c r="R546" s="868"/>
      <c r="S546" s="868"/>
      <c r="T546" s="868"/>
      <c r="U546" s="868"/>
      <c r="V546" s="868"/>
    </row>
    <row r="547" spans="1:22" customFormat="1" ht="18" customHeight="1">
      <c r="A547" s="868"/>
      <c r="B547" s="868"/>
      <c r="C547" s="869"/>
      <c r="D547" s="868"/>
      <c r="E547" s="868"/>
      <c r="F547" s="868"/>
      <c r="G547" s="868"/>
      <c r="H547" s="868"/>
      <c r="I547" s="868"/>
      <c r="J547" s="868"/>
      <c r="K547" s="868"/>
      <c r="L547" s="868"/>
      <c r="M547" s="868"/>
      <c r="N547" s="868"/>
      <c r="O547" s="868"/>
      <c r="P547" s="868"/>
      <c r="Q547" s="868"/>
      <c r="R547" s="868"/>
      <c r="S547" s="868"/>
      <c r="T547" s="868"/>
      <c r="U547" s="868"/>
      <c r="V547" s="868"/>
    </row>
    <row r="548" spans="1:22" customFormat="1" ht="18" customHeight="1">
      <c r="A548" s="765" t="str">
        <f>B7</f>
        <v>T1</v>
      </c>
      <c r="B548" s="765" t="str">
        <f>D7</f>
        <v>Core2</v>
      </c>
      <c r="C548" s="765"/>
      <c r="D548" s="870">
        <f>H10</f>
        <v>2800</v>
      </c>
      <c r="E548" s="870"/>
      <c r="F548" s="871">
        <f>O10</f>
        <v>1</v>
      </c>
      <c r="G548" s="870">
        <f>'[7]CT-VT Burdens'!S19</f>
        <v>50</v>
      </c>
      <c r="H548" s="874">
        <f>'[7]CT-VT Burdens'!S28</f>
        <v>4</v>
      </c>
      <c r="I548" s="874" t="str">
        <f>H11</f>
        <v>PX</v>
      </c>
      <c r="J548" s="874"/>
      <c r="K548" s="869">
        <f>H12</f>
        <v>4</v>
      </c>
      <c r="L548" s="869"/>
      <c r="M548" s="869">
        <f>H13</f>
        <v>500</v>
      </c>
      <c r="N548" s="869"/>
      <c r="O548" s="870">
        <f>H14</f>
        <v>20</v>
      </c>
      <c r="P548" s="870"/>
      <c r="Q548" s="879" t="str">
        <f>CONCATENATE(T7," ",T8,"  ",T9)</f>
        <v>REF615 IDM+  7UT86</v>
      </c>
      <c r="R548" s="879"/>
      <c r="S548" s="876" t="s">
        <v>533</v>
      </c>
      <c r="T548" s="870"/>
      <c r="U548" s="870"/>
      <c r="V548" s="870"/>
    </row>
    <row r="549" spans="1:22" customFormat="1" ht="18" customHeight="1">
      <c r="A549" s="765"/>
      <c r="B549" s="765"/>
      <c r="C549" s="765"/>
      <c r="D549" s="876">
        <f>J278</f>
        <v>3200</v>
      </c>
      <c r="E549" s="870"/>
      <c r="F549" s="872"/>
      <c r="G549" s="870"/>
      <c r="H549" s="870"/>
      <c r="I549" s="874"/>
      <c r="J549" s="874"/>
      <c r="K549" s="875">
        <f>J280</f>
        <v>5</v>
      </c>
      <c r="L549" s="869"/>
      <c r="M549" s="875">
        <f>J281</f>
        <v>600</v>
      </c>
      <c r="N549" s="869"/>
      <c r="O549" s="876">
        <f>J282</f>
        <v>10</v>
      </c>
      <c r="P549" s="870"/>
      <c r="Q549" s="879"/>
      <c r="R549" s="879"/>
      <c r="S549" s="876" t="str">
        <f>H338</f>
        <v>Suitably Dimensioned</v>
      </c>
      <c r="T549" s="870"/>
      <c r="U549" s="870"/>
      <c r="V549" s="870"/>
    </row>
    <row r="550" spans="1:22" customFormat="1" ht="18" customHeight="1">
      <c r="A550" s="765"/>
      <c r="B550" s="765"/>
      <c r="C550" s="765"/>
      <c r="D550" s="876" t="s">
        <v>6</v>
      </c>
      <c r="E550" s="870"/>
      <c r="F550" s="873"/>
      <c r="G550" s="870"/>
      <c r="H550" s="870"/>
      <c r="I550" s="874"/>
      <c r="J550" s="874"/>
      <c r="K550" s="875" t="s">
        <v>6</v>
      </c>
      <c r="L550" s="869"/>
      <c r="M550" s="875" t="s">
        <v>6</v>
      </c>
      <c r="N550" s="869"/>
      <c r="O550" s="876" t="s">
        <v>6</v>
      </c>
      <c r="P550" s="870"/>
      <c r="Q550" s="879"/>
      <c r="R550" s="879"/>
      <c r="S550" s="870" t="s">
        <v>6</v>
      </c>
      <c r="T550" s="870"/>
      <c r="U550" s="870"/>
      <c r="V550" s="870"/>
    </row>
    <row r="551" spans="1:22" ht="18" customHeight="1">
      <c r="A551" s="184"/>
      <c r="V551" s="185"/>
    </row>
    <row r="552" spans="1:22" ht="18" customHeight="1">
      <c r="A552" s="184"/>
      <c r="V552" s="185"/>
    </row>
    <row r="553" spans="1:22" ht="18" customHeight="1">
      <c r="A553" s="184"/>
      <c r="V553" s="185"/>
    </row>
    <row r="554" spans="1:22" ht="18" customHeight="1">
      <c r="A554" s="184"/>
      <c r="V554" s="185"/>
    </row>
    <row r="555" spans="1:22" ht="18" customHeight="1">
      <c r="A555" s="184"/>
      <c r="V555" s="185"/>
    </row>
    <row r="556" spans="1:22" ht="18" customHeight="1">
      <c r="A556" s="184"/>
      <c r="V556" s="185"/>
    </row>
    <row r="557" spans="1:22" ht="18" customHeight="1">
      <c r="A557" s="184"/>
      <c r="V557" s="185"/>
    </row>
    <row r="558" spans="1:22" ht="18" customHeight="1">
      <c r="A558" s="184"/>
      <c r="V558" s="185"/>
    </row>
    <row r="559" spans="1:22" ht="18" customHeight="1">
      <c r="A559" s="184"/>
      <c r="V559" s="185"/>
    </row>
    <row r="560" spans="1:22" ht="18" customHeight="1">
      <c r="A560" s="184"/>
      <c r="V560" s="185"/>
    </row>
    <row r="561" spans="1:22" ht="18" customHeight="1">
      <c r="A561" s="184"/>
      <c r="V561" s="185"/>
    </row>
    <row r="562" spans="1:22" ht="18" customHeight="1">
      <c r="A562" s="184"/>
      <c r="V562" s="185"/>
    </row>
    <row r="563" spans="1:22" ht="18" customHeight="1">
      <c r="A563" s="184"/>
      <c r="V563" s="185"/>
    </row>
    <row r="564" spans="1:22" ht="18" customHeight="1">
      <c r="A564" s="184"/>
      <c r="V564" s="185"/>
    </row>
    <row r="565" spans="1:22" ht="18" customHeight="1">
      <c r="A565" s="184"/>
      <c r="V565" s="185"/>
    </row>
    <row r="566" spans="1:22" ht="18" customHeight="1">
      <c r="A566" s="184"/>
      <c r="V566" s="185"/>
    </row>
    <row r="567" spans="1:22" ht="18" customHeight="1">
      <c r="A567" s="184"/>
      <c r="V567" s="185"/>
    </row>
    <row r="568" spans="1:22" ht="18" customHeight="1">
      <c r="A568" s="184"/>
      <c r="V568" s="185"/>
    </row>
    <row r="569" spans="1:22" ht="18" customHeight="1">
      <c r="A569" s="184"/>
      <c r="V569" s="185"/>
    </row>
    <row r="570" spans="1:22" ht="18" customHeight="1">
      <c r="A570" s="184"/>
      <c r="V570" s="185"/>
    </row>
    <row r="571" spans="1:22" ht="18" customHeight="1">
      <c r="A571" s="184"/>
      <c r="V571" s="185"/>
    </row>
    <row r="572" spans="1:22" ht="18" customHeight="1">
      <c r="A572" s="184"/>
      <c r="V572" s="185"/>
    </row>
    <row r="573" spans="1:22" ht="18" customHeight="1">
      <c r="A573" s="184"/>
      <c r="V573" s="185"/>
    </row>
    <row r="574" spans="1:22" ht="18" customHeight="1">
      <c r="A574" s="184"/>
      <c r="V574" s="185"/>
    </row>
    <row r="575" spans="1:22" ht="18" customHeight="1">
      <c r="A575" s="184"/>
      <c r="V575" s="185"/>
    </row>
    <row r="576" spans="1:22" ht="18" customHeight="1">
      <c r="A576" s="184"/>
      <c r="V576" s="185"/>
    </row>
    <row r="577" spans="1:22" ht="18" customHeight="1">
      <c r="A577" s="184"/>
      <c r="V577" s="185"/>
    </row>
    <row r="578" spans="1:22" ht="18" customHeight="1">
      <c r="A578" s="184"/>
      <c r="V578" s="185"/>
    </row>
    <row r="579" spans="1:22" ht="18" customHeight="1">
      <c r="A579" s="184"/>
      <c r="V579" s="185"/>
    </row>
    <row r="580" spans="1:22" ht="18" customHeight="1">
      <c r="A580" s="184"/>
      <c r="V580" s="185"/>
    </row>
    <row r="581" spans="1:22" s="14" customFormat="1" ht="18" customHeight="1">
      <c r="A581" s="194"/>
      <c r="B581" s="195"/>
      <c r="C581" s="195"/>
      <c r="D581" s="195"/>
      <c r="E581" s="195"/>
      <c r="F581" s="195"/>
      <c r="G581" s="195"/>
      <c r="H581" s="195"/>
      <c r="I581" s="195"/>
      <c r="J581" s="195"/>
      <c r="K581" s="195"/>
      <c r="L581" s="195"/>
      <c r="M581" s="195"/>
      <c r="N581" s="195"/>
      <c r="O581" s="195"/>
      <c r="P581" s="195"/>
      <c r="Q581" s="224"/>
      <c r="R581" s="182"/>
      <c r="S581" s="225"/>
      <c r="T581" s="195"/>
      <c r="U581" s="195"/>
      <c r="V581" s="134"/>
    </row>
  </sheetData>
  <mergeCells count="42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8:T28"/>
    <mergeCell ref="S29:T29"/>
    <mergeCell ref="S30:T30"/>
    <mergeCell ref="L25:L26"/>
    <mergeCell ref="M25:M26"/>
    <mergeCell ref="N25:N26"/>
    <mergeCell ref="O25:O26"/>
    <mergeCell ref="P25:R25"/>
    <mergeCell ref="S25:S26"/>
    <mergeCell ref="S31:T31"/>
    <mergeCell ref="S32:T32"/>
    <mergeCell ref="S33:T33"/>
    <mergeCell ref="S34:T34"/>
    <mergeCell ref="S35:T35"/>
    <mergeCell ref="B37:C38"/>
    <mergeCell ref="D37:D38"/>
    <mergeCell ref="E37:E38"/>
    <mergeCell ref="F37:G38"/>
    <mergeCell ref="H37:H38"/>
    <mergeCell ref="P37:P38"/>
    <mergeCell ref="Q37:S37"/>
    <mergeCell ref="T37:T38"/>
    <mergeCell ref="I38:J38"/>
    <mergeCell ref="M37:M38"/>
    <mergeCell ref="N37:N38"/>
    <mergeCell ref="O37:O38"/>
    <mergeCell ref="D40:E40"/>
    <mergeCell ref="B49:D50"/>
    <mergeCell ref="E49:E50"/>
    <mergeCell ref="F49:F50"/>
    <mergeCell ref="G49:G50"/>
    <mergeCell ref="H49:I49"/>
    <mergeCell ref="I37:J37"/>
    <mergeCell ref="K37:K38"/>
    <mergeCell ref="L37:L38"/>
    <mergeCell ref="H50:I50"/>
    <mergeCell ref="H51:I51"/>
    <mergeCell ref="S52:T52"/>
    <mergeCell ref="J49:J50"/>
    <mergeCell ref="K49:K50"/>
    <mergeCell ref="L49:L50"/>
    <mergeCell ref="M49:M50"/>
    <mergeCell ref="N49:N50"/>
    <mergeCell ref="O49:O50"/>
    <mergeCell ref="S53:T53"/>
    <mergeCell ref="S54:T54"/>
    <mergeCell ref="S55:T55"/>
    <mergeCell ref="S56:T56"/>
    <mergeCell ref="S57:T57"/>
    <mergeCell ref="S58:T58"/>
    <mergeCell ref="P49:R49"/>
    <mergeCell ref="S49:S50"/>
    <mergeCell ref="T49:T50"/>
    <mergeCell ref="S59:T59"/>
    <mergeCell ref="B99:C99"/>
    <mergeCell ref="D99:E99"/>
    <mergeCell ref="H99:M99"/>
    <mergeCell ref="N61:N62"/>
    <mergeCell ref="O61:O62"/>
    <mergeCell ref="P61:P62"/>
    <mergeCell ref="Q61:S61"/>
    <mergeCell ref="T61:T62"/>
    <mergeCell ref="I62:J62"/>
    <mergeCell ref="T99:U99"/>
    <mergeCell ref="B61:C62"/>
    <mergeCell ref="D61:D62"/>
    <mergeCell ref="E61:E62"/>
    <mergeCell ref="F61:G62"/>
    <mergeCell ref="H61:H62"/>
    <mergeCell ref="I61:J61"/>
    <mergeCell ref="K61:K62"/>
    <mergeCell ref="L61:L62"/>
    <mergeCell ref="M61:M62"/>
    <mergeCell ref="T100:U100"/>
    <mergeCell ref="H101:I101"/>
    <mergeCell ref="J101:K101"/>
    <mergeCell ref="L101:M101"/>
    <mergeCell ref="T101:U101"/>
    <mergeCell ref="D64:E64"/>
    <mergeCell ref="N67:O67"/>
    <mergeCell ref="E68:F68"/>
    <mergeCell ref="H68:I68"/>
    <mergeCell ref="N68:O68"/>
    <mergeCell ref="J106:K106"/>
    <mergeCell ref="J110:K110"/>
    <mergeCell ref="J111:K111"/>
    <mergeCell ref="J112:K112"/>
    <mergeCell ref="J113:K113"/>
    <mergeCell ref="P113:Q113"/>
    <mergeCell ref="H102:I102"/>
    <mergeCell ref="J102:K102"/>
    <mergeCell ref="L102:M102"/>
    <mergeCell ref="J103:K103"/>
    <mergeCell ref="J104:K104"/>
    <mergeCell ref="J105:K105"/>
    <mergeCell ref="S126:T126"/>
    <mergeCell ref="S127:T127"/>
    <mergeCell ref="S128:T128"/>
    <mergeCell ref="S129:T129"/>
    <mergeCell ref="H132:I132"/>
    <mergeCell ref="H133:I133"/>
    <mergeCell ref="J114:K114"/>
    <mergeCell ref="A116:V117"/>
    <mergeCell ref="H121:I121"/>
    <mergeCell ref="S123:T123"/>
    <mergeCell ref="S124:T124"/>
    <mergeCell ref="S125:T125"/>
    <mergeCell ref="B187:C187"/>
    <mergeCell ref="D187:E187"/>
    <mergeCell ref="H187:M187"/>
    <mergeCell ref="E134:F134"/>
    <mergeCell ref="G143:H143"/>
    <mergeCell ref="J143:K143"/>
    <mergeCell ref="G144:H144"/>
    <mergeCell ref="J144:K144"/>
    <mergeCell ref="G145:H145"/>
    <mergeCell ref="T187:U187"/>
    <mergeCell ref="T188:U188"/>
    <mergeCell ref="H189:I189"/>
    <mergeCell ref="J189:K189"/>
    <mergeCell ref="L189:M189"/>
    <mergeCell ref="T189:U189"/>
    <mergeCell ref="G149:H149"/>
    <mergeCell ref="D152:E152"/>
    <mergeCell ref="G152:H152"/>
    <mergeCell ref="L194:M194"/>
    <mergeCell ref="J198:K198"/>
    <mergeCell ref="J199:K199"/>
    <mergeCell ref="J200:K200"/>
    <mergeCell ref="J201:K201"/>
    <mergeCell ref="P201:Q201"/>
    <mergeCell ref="H190:I190"/>
    <mergeCell ref="J190:K190"/>
    <mergeCell ref="L190:M190"/>
    <mergeCell ref="L191:M191"/>
    <mergeCell ref="L192:M192"/>
    <mergeCell ref="L193:M193"/>
    <mergeCell ref="S214:T214"/>
    <mergeCell ref="S215:T215"/>
    <mergeCell ref="S216:T216"/>
    <mergeCell ref="S217:T217"/>
    <mergeCell ref="H220:I220"/>
    <mergeCell ref="H221:I221"/>
    <mergeCell ref="J202:K202"/>
    <mergeCell ref="A204:V205"/>
    <mergeCell ref="H209:I209"/>
    <mergeCell ref="S211:T211"/>
    <mergeCell ref="S212:T212"/>
    <mergeCell ref="S213:T213"/>
    <mergeCell ref="G237:H237"/>
    <mergeCell ref="D240:E240"/>
    <mergeCell ref="G240:H240"/>
    <mergeCell ref="B275:C275"/>
    <mergeCell ref="D275:E275"/>
    <mergeCell ref="H275:M275"/>
    <mergeCell ref="E222:F222"/>
    <mergeCell ref="G231:H231"/>
    <mergeCell ref="J231:K231"/>
    <mergeCell ref="G232:H232"/>
    <mergeCell ref="J232:K232"/>
    <mergeCell ref="G233:H233"/>
    <mergeCell ref="P289:Q289"/>
    <mergeCell ref="H278:I278"/>
    <mergeCell ref="J278:K278"/>
    <mergeCell ref="L278:M278"/>
    <mergeCell ref="J279:K279"/>
    <mergeCell ref="J280:K280"/>
    <mergeCell ref="J281:K281"/>
    <mergeCell ref="T275:U275"/>
    <mergeCell ref="T276:U276"/>
    <mergeCell ref="H277:I277"/>
    <mergeCell ref="J277:K277"/>
    <mergeCell ref="L277:M277"/>
    <mergeCell ref="T277:U277"/>
    <mergeCell ref="J290:K290"/>
    <mergeCell ref="B293:D294"/>
    <mergeCell ref="E293:E294"/>
    <mergeCell ref="F293:F294"/>
    <mergeCell ref="G293:G294"/>
    <mergeCell ref="H293:I293"/>
    <mergeCell ref="J293:J294"/>
    <mergeCell ref="K293:K294"/>
    <mergeCell ref="J282:K282"/>
    <mergeCell ref="J286:K286"/>
    <mergeCell ref="J287:K287"/>
    <mergeCell ref="J288:K288"/>
    <mergeCell ref="J289:K289"/>
    <mergeCell ref="T293:T294"/>
    <mergeCell ref="H294:I294"/>
    <mergeCell ref="H295:I295"/>
    <mergeCell ref="S296:T296"/>
    <mergeCell ref="S297:T297"/>
    <mergeCell ref="S298:T298"/>
    <mergeCell ref="L293:L294"/>
    <mergeCell ref="M293:M294"/>
    <mergeCell ref="N293:N294"/>
    <mergeCell ref="O293:O294"/>
    <mergeCell ref="P293:R293"/>
    <mergeCell ref="S293:S294"/>
    <mergeCell ref="S299:T299"/>
    <mergeCell ref="S300:T300"/>
    <mergeCell ref="S301:T301"/>
    <mergeCell ref="S302:T302"/>
    <mergeCell ref="S303:T303"/>
    <mergeCell ref="B305:C306"/>
    <mergeCell ref="D305:D306"/>
    <mergeCell ref="E305:E306"/>
    <mergeCell ref="F305:G306"/>
    <mergeCell ref="H305:H306"/>
    <mergeCell ref="P305:P306"/>
    <mergeCell ref="Q305:S305"/>
    <mergeCell ref="T305:T306"/>
    <mergeCell ref="I306:J306"/>
    <mergeCell ref="M305:M306"/>
    <mergeCell ref="N305:N306"/>
    <mergeCell ref="O305:O306"/>
    <mergeCell ref="D308:E308"/>
    <mergeCell ref="B317:D318"/>
    <mergeCell ref="E317:E318"/>
    <mergeCell ref="F317:F318"/>
    <mergeCell ref="G317:G318"/>
    <mergeCell ref="H317:I317"/>
    <mergeCell ref="I305:J305"/>
    <mergeCell ref="K305:K306"/>
    <mergeCell ref="L305:L306"/>
    <mergeCell ref="H318:I318"/>
    <mergeCell ref="H319:I319"/>
    <mergeCell ref="S320:T320"/>
    <mergeCell ref="J317:J318"/>
    <mergeCell ref="K317:K318"/>
    <mergeCell ref="L317:L318"/>
    <mergeCell ref="M317:M318"/>
    <mergeCell ref="N317:N318"/>
    <mergeCell ref="O317:O318"/>
    <mergeCell ref="S321:T321"/>
    <mergeCell ref="S322:T322"/>
    <mergeCell ref="S323:T323"/>
    <mergeCell ref="S324:T324"/>
    <mergeCell ref="S325:T325"/>
    <mergeCell ref="S326:T326"/>
    <mergeCell ref="P317:R317"/>
    <mergeCell ref="S317:S318"/>
    <mergeCell ref="T317:T318"/>
    <mergeCell ref="S327:T327"/>
    <mergeCell ref="B367:C367"/>
    <mergeCell ref="D367:E367"/>
    <mergeCell ref="H367:M367"/>
    <mergeCell ref="N329:N330"/>
    <mergeCell ref="O329:O330"/>
    <mergeCell ref="P329:P330"/>
    <mergeCell ref="Q329:S329"/>
    <mergeCell ref="T329:T330"/>
    <mergeCell ref="I330:J330"/>
    <mergeCell ref="T367:U367"/>
    <mergeCell ref="B329:C330"/>
    <mergeCell ref="D329:D330"/>
    <mergeCell ref="E329:E330"/>
    <mergeCell ref="F329:G330"/>
    <mergeCell ref="H329:H330"/>
    <mergeCell ref="I329:J329"/>
    <mergeCell ref="K329:K330"/>
    <mergeCell ref="L329:L330"/>
    <mergeCell ref="M329:M330"/>
    <mergeCell ref="T368:U368"/>
    <mergeCell ref="H369:I369"/>
    <mergeCell ref="J369:K369"/>
    <mergeCell ref="L369:M369"/>
    <mergeCell ref="T369:U369"/>
    <mergeCell ref="D332:E332"/>
    <mergeCell ref="N335:O335"/>
    <mergeCell ref="E336:F336"/>
    <mergeCell ref="H336:I336"/>
    <mergeCell ref="N336:O336"/>
    <mergeCell ref="J374:K374"/>
    <mergeCell ref="J378:K378"/>
    <mergeCell ref="J379:K379"/>
    <mergeCell ref="J380:K380"/>
    <mergeCell ref="J381:K381"/>
    <mergeCell ref="P381:Q381"/>
    <mergeCell ref="H370:I370"/>
    <mergeCell ref="J370:K370"/>
    <mergeCell ref="L370:M370"/>
    <mergeCell ref="J371:K371"/>
    <mergeCell ref="J372:K372"/>
    <mergeCell ref="J373:K373"/>
    <mergeCell ref="S394:T394"/>
    <mergeCell ref="S395:T395"/>
    <mergeCell ref="S396:T396"/>
    <mergeCell ref="S397:T397"/>
    <mergeCell ref="H400:I400"/>
    <mergeCell ref="H401:I401"/>
    <mergeCell ref="J382:K382"/>
    <mergeCell ref="A384:V385"/>
    <mergeCell ref="H389:I389"/>
    <mergeCell ref="S391:T391"/>
    <mergeCell ref="S392:T392"/>
    <mergeCell ref="S393:T393"/>
    <mergeCell ref="G417:H417"/>
    <mergeCell ref="D420:E420"/>
    <mergeCell ref="G420:H420"/>
    <mergeCell ref="B455:C455"/>
    <mergeCell ref="D455:E455"/>
    <mergeCell ref="H455:M455"/>
    <mergeCell ref="E402:F402"/>
    <mergeCell ref="G411:H411"/>
    <mergeCell ref="J411:K411"/>
    <mergeCell ref="G412:H412"/>
    <mergeCell ref="J412:K412"/>
    <mergeCell ref="G413:H413"/>
    <mergeCell ref="H458:I458"/>
    <mergeCell ref="J458:K458"/>
    <mergeCell ref="L458:M458"/>
    <mergeCell ref="L459:M459"/>
    <mergeCell ref="L460:M460"/>
    <mergeCell ref="L461:M461"/>
    <mergeCell ref="T455:U455"/>
    <mergeCell ref="T456:U456"/>
    <mergeCell ref="H457:I457"/>
    <mergeCell ref="J457:K457"/>
    <mergeCell ref="L457:M457"/>
    <mergeCell ref="T457:U457"/>
    <mergeCell ref="J470:K470"/>
    <mergeCell ref="A472:V473"/>
    <mergeCell ref="H477:I477"/>
    <mergeCell ref="S479:T479"/>
    <mergeCell ref="S480:T480"/>
    <mergeCell ref="S481:T481"/>
    <mergeCell ref="L462:M462"/>
    <mergeCell ref="J466:K466"/>
    <mergeCell ref="J467:K467"/>
    <mergeCell ref="J468:K468"/>
    <mergeCell ref="J469:K469"/>
    <mergeCell ref="P469:Q469"/>
    <mergeCell ref="E490:F490"/>
    <mergeCell ref="G499:H499"/>
    <mergeCell ref="J499:K499"/>
    <mergeCell ref="G500:H500"/>
    <mergeCell ref="J500:K500"/>
    <mergeCell ref="G501:H501"/>
    <mergeCell ref="S482:T482"/>
    <mergeCell ref="S483:T483"/>
    <mergeCell ref="S484:T484"/>
    <mergeCell ref="S485:T485"/>
    <mergeCell ref="H488:I488"/>
    <mergeCell ref="H489:I489"/>
    <mergeCell ref="K544:L547"/>
    <mergeCell ref="M544:N547"/>
    <mergeCell ref="O544:P547"/>
    <mergeCell ref="Q544:R547"/>
    <mergeCell ref="S544:V547"/>
    <mergeCell ref="G505:H505"/>
    <mergeCell ref="D508:E508"/>
    <mergeCell ref="G508:H508"/>
    <mergeCell ref="A544:C547"/>
    <mergeCell ref="D544:F547"/>
    <mergeCell ref="G544:H547"/>
    <mergeCell ref="A548:A550"/>
    <mergeCell ref="B548:C550"/>
    <mergeCell ref="D548:E548"/>
    <mergeCell ref="F548:F550"/>
    <mergeCell ref="G548:G550"/>
    <mergeCell ref="H548:H550"/>
    <mergeCell ref="D549:E549"/>
    <mergeCell ref="D550:E550"/>
    <mergeCell ref="I544:J547"/>
    <mergeCell ref="K550:L550"/>
    <mergeCell ref="M550:N550"/>
    <mergeCell ref="O550:P550"/>
    <mergeCell ref="S550:V550"/>
    <mergeCell ref="I548:J550"/>
    <mergeCell ref="K548:L548"/>
    <mergeCell ref="M548:N548"/>
    <mergeCell ref="O548:P548"/>
    <mergeCell ref="Q548:R550"/>
    <mergeCell ref="S548:V548"/>
    <mergeCell ref="K549:L549"/>
    <mergeCell ref="M549:N549"/>
    <mergeCell ref="O549:P549"/>
    <mergeCell ref="S549:V549"/>
  </mergeCells>
  <conditionalFormatting sqref="G153 G241">
    <cfRule type="cellIs" dxfId="129" priority="4" stopIfTrue="1" operator="equal">
      <formula>"Under Dimentioned"</formula>
    </cfRule>
  </conditionalFormatting>
  <conditionalFormatting sqref="G421 G509">
    <cfRule type="cellIs" dxfId="128" priority="2" stopIfTrue="1" operator="equal">
      <formula>"Under Dimentioned"</formula>
    </cfRule>
  </conditionalFormatting>
  <conditionalFormatting sqref="H70">
    <cfRule type="cellIs" dxfId="127" priority="3" stopIfTrue="1" operator="equal">
      <formula>"Under Dimentioned"</formula>
    </cfRule>
  </conditionalFormatting>
  <conditionalFormatting sqref="H338">
    <cfRule type="cellIs" dxfId="126" priority="1" stopIfTrue="1" operator="equal">
      <formula>"Under Dimentioned"</formula>
    </cfRule>
  </conditionalFormatting>
  <dataValidations count="1">
    <dataValidation type="list" allowBlank="1" showInputMessage="1" showErrorMessage="1" sqref="D187 IZ187 SV187 ACR187 AMN187 AWJ187 BGF187 BQB187 BZX187 CJT187 CTP187 DDL187 DNH187 DXD187 EGZ187 EQV187 FAR187 FKN187 FUJ187 GEF187 GOB187 GXX187 HHT187 HRP187 IBL187 ILH187 IVD187 JEZ187 JOV187 JYR187 KIN187 KSJ187 LCF187 LMB187 LVX187 MFT187 MPP187 MZL187 NJH187 NTD187 OCZ187 OMV187 OWR187 PGN187 PQJ187 QAF187 QKB187 QTX187 RDT187 RNP187 RXL187 SHH187 SRD187 TAZ187 TKV187 TUR187 UEN187 UOJ187 UYF187 VIB187 VRX187 WBT187 WLP187 WVL187 D65987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523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059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595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131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667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203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739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275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5811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347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6883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419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7955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491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816 IZ65816 SV65816 ACR65816 AMN65816 AWJ65816 BGF65816 BQB65816 BZX65816 CJT65816 CTP65816 DDL65816 DNH65816 DXD65816 EGZ65816 EQV65816 FAR65816 FKN65816 FUJ65816 GEF65816 GOB65816 GXX65816 HHT65816 HRP65816 IBL65816 ILH65816 IVD65816 JEZ65816 JOV65816 JYR65816 KIN65816 KSJ65816 LCF65816 LMB65816 LVX65816 MFT65816 MPP65816 MZL65816 NJH65816 NTD65816 OCZ65816 OMV65816 OWR65816 PGN65816 PQJ65816 QAF65816 QKB65816 QTX65816 RDT65816 RNP65816 RXL65816 SHH65816 SRD65816 TAZ65816 TKV65816 TUR65816 UEN65816 UOJ65816 UYF65816 VIB65816 VRX65816 WBT65816 WLP65816 WVL65816 D131352 IZ131352 SV131352 ACR131352 AMN131352 AWJ131352 BGF131352 BQB131352 BZX131352 CJT131352 CTP131352 DDL131352 DNH131352 DXD131352 EGZ131352 EQV131352 FAR131352 FKN131352 FUJ131352 GEF131352 GOB131352 GXX131352 HHT131352 HRP131352 IBL131352 ILH131352 IVD131352 JEZ131352 JOV131352 JYR131352 KIN131352 KSJ131352 LCF131352 LMB131352 LVX131352 MFT131352 MPP131352 MZL131352 NJH131352 NTD131352 OCZ131352 OMV131352 OWR131352 PGN131352 PQJ131352 QAF131352 QKB131352 QTX131352 RDT131352 RNP131352 RXL131352 SHH131352 SRD131352 TAZ131352 TKV131352 TUR131352 UEN131352 UOJ131352 UYF131352 VIB131352 VRX131352 WBT131352 WLP131352 WVL131352 D196888 IZ196888 SV196888 ACR196888 AMN196888 AWJ196888 BGF196888 BQB196888 BZX196888 CJT196888 CTP196888 DDL196888 DNH196888 DXD196888 EGZ196888 EQV196888 FAR196888 FKN196888 FUJ196888 GEF196888 GOB196888 GXX196888 HHT196888 HRP196888 IBL196888 ILH196888 IVD196888 JEZ196888 JOV196888 JYR196888 KIN196888 KSJ196888 LCF196888 LMB196888 LVX196888 MFT196888 MPP196888 MZL196888 NJH196888 NTD196888 OCZ196888 OMV196888 OWR196888 PGN196888 PQJ196888 QAF196888 QKB196888 QTX196888 RDT196888 RNP196888 RXL196888 SHH196888 SRD196888 TAZ196888 TKV196888 TUR196888 UEN196888 UOJ196888 UYF196888 VIB196888 VRX196888 WBT196888 WLP196888 WVL196888 D262424 IZ262424 SV262424 ACR262424 AMN262424 AWJ262424 BGF262424 BQB262424 BZX262424 CJT262424 CTP262424 DDL262424 DNH262424 DXD262424 EGZ262424 EQV262424 FAR262424 FKN262424 FUJ262424 GEF262424 GOB262424 GXX262424 HHT262424 HRP262424 IBL262424 ILH262424 IVD262424 JEZ262424 JOV262424 JYR262424 KIN262424 KSJ262424 LCF262424 LMB262424 LVX262424 MFT262424 MPP262424 MZL262424 NJH262424 NTD262424 OCZ262424 OMV262424 OWR262424 PGN262424 PQJ262424 QAF262424 QKB262424 QTX262424 RDT262424 RNP262424 RXL262424 SHH262424 SRD262424 TAZ262424 TKV262424 TUR262424 UEN262424 UOJ262424 UYF262424 VIB262424 VRX262424 WBT262424 WLP262424 WVL262424 D327960 IZ327960 SV327960 ACR327960 AMN327960 AWJ327960 BGF327960 BQB327960 BZX327960 CJT327960 CTP327960 DDL327960 DNH327960 DXD327960 EGZ327960 EQV327960 FAR327960 FKN327960 FUJ327960 GEF327960 GOB327960 GXX327960 HHT327960 HRP327960 IBL327960 ILH327960 IVD327960 JEZ327960 JOV327960 JYR327960 KIN327960 KSJ327960 LCF327960 LMB327960 LVX327960 MFT327960 MPP327960 MZL327960 NJH327960 NTD327960 OCZ327960 OMV327960 OWR327960 PGN327960 PQJ327960 QAF327960 QKB327960 QTX327960 RDT327960 RNP327960 RXL327960 SHH327960 SRD327960 TAZ327960 TKV327960 TUR327960 UEN327960 UOJ327960 UYF327960 VIB327960 VRX327960 WBT327960 WLP327960 WVL327960 D393496 IZ393496 SV393496 ACR393496 AMN393496 AWJ393496 BGF393496 BQB393496 BZX393496 CJT393496 CTP393496 DDL393496 DNH393496 DXD393496 EGZ393496 EQV393496 FAR393496 FKN393496 FUJ393496 GEF393496 GOB393496 GXX393496 HHT393496 HRP393496 IBL393496 ILH393496 IVD393496 JEZ393496 JOV393496 JYR393496 KIN393496 KSJ393496 LCF393496 LMB393496 LVX393496 MFT393496 MPP393496 MZL393496 NJH393496 NTD393496 OCZ393496 OMV393496 OWR393496 PGN393496 PQJ393496 QAF393496 QKB393496 QTX393496 RDT393496 RNP393496 RXL393496 SHH393496 SRD393496 TAZ393496 TKV393496 TUR393496 UEN393496 UOJ393496 UYF393496 VIB393496 VRX393496 WBT393496 WLP393496 WVL393496 D459032 IZ459032 SV459032 ACR459032 AMN459032 AWJ459032 BGF459032 BQB459032 BZX459032 CJT459032 CTP459032 DDL459032 DNH459032 DXD459032 EGZ459032 EQV459032 FAR459032 FKN459032 FUJ459032 GEF459032 GOB459032 GXX459032 HHT459032 HRP459032 IBL459032 ILH459032 IVD459032 JEZ459032 JOV459032 JYR459032 KIN459032 KSJ459032 LCF459032 LMB459032 LVX459032 MFT459032 MPP459032 MZL459032 NJH459032 NTD459032 OCZ459032 OMV459032 OWR459032 PGN459032 PQJ459032 QAF459032 QKB459032 QTX459032 RDT459032 RNP459032 RXL459032 SHH459032 SRD459032 TAZ459032 TKV459032 TUR459032 UEN459032 UOJ459032 UYF459032 VIB459032 VRX459032 WBT459032 WLP459032 WVL459032 D524568 IZ524568 SV524568 ACR524568 AMN524568 AWJ524568 BGF524568 BQB524568 BZX524568 CJT524568 CTP524568 DDL524568 DNH524568 DXD524568 EGZ524568 EQV524568 FAR524568 FKN524568 FUJ524568 GEF524568 GOB524568 GXX524568 HHT524568 HRP524568 IBL524568 ILH524568 IVD524568 JEZ524568 JOV524568 JYR524568 KIN524568 KSJ524568 LCF524568 LMB524568 LVX524568 MFT524568 MPP524568 MZL524568 NJH524568 NTD524568 OCZ524568 OMV524568 OWR524568 PGN524568 PQJ524568 QAF524568 QKB524568 QTX524568 RDT524568 RNP524568 RXL524568 SHH524568 SRD524568 TAZ524568 TKV524568 TUR524568 UEN524568 UOJ524568 UYF524568 VIB524568 VRX524568 WBT524568 WLP524568 WVL524568 D590104 IZ590104 SV590104 ACR590104 AMN590104 AWJ590104 BGF590104 BQB590104 BZX590104 CJT590104 CTP590104 DDL590104 DNH590104 DXD590104 EGZ590104 EQV590104 FAR590104 FKN590104 FUJ590104 GEF590104 GOB590104 GXX590104 HHT590104 HRP590104 IBL590104 ILH590104 IVD590104 JEZ590104 JOV590104 JYR590104 KIN590104 KSJ590104 LCF590104 LMB590104 LVX590104 MFT590104 MPP590104 MZL590104 NJH590104 NTD590104 OCZ590104 OMV590104 OWR590104 PGN590104 PQJ590104 QAF590104 QKB590104 QTX590104 RDT590104 RNP590104 RXL590104 SHH590104 SRD590104 TAZ590104 TKV590104 TUR590104 UEN590104 UOJ590104 UYF590104 VIB590104 VRX590104 WBT590104 WLP590104 WVL590104 D655640 IZ655640 SV655640 ACR655640 AMN655640 AWJ655640 BGF655640 BQB655640 BZX655640 CJT655640 CTP655640 DDL655640 DNH655640 DXD655640 EGZ655640 EQV655640 FAR655640 FKN655640 FUJ655640 GEF655640 GOB655640 GXX655640 HHT655640 HRP655640 IBL655640 ILH655640 IVD655640 JEZ655640 JOV655640 JYR655640 KIN655640 KSJ655640 LCF655640 LMB655640 LVX655640 MFT655640 MPP655640 MZL655640 NJH655640 NTD655640 OCZ655640 OMV655640 OWR655640 PGN655640 PQJ655640 QAF655640 QKB655640 QTX655640 RDT655640 RNP655640 RXL655640 SHH655640 SRD655640 TAZ655640 TKV655640 TUR655640 UEN655640 UOJ655640 UYF655640 VIB655640 VRX655640 WBT655640 WLP655640 WVL655640 D721176 IZ721176 SV721176 ACR721176 AMN721176 AWJ721176 BGF721176 BQB721176 BZX721176 CJT721176 CTP721176 DDL721176 DNH721176 DXD721176 EGZ721176 EQV721176 FAR721176 FKN721176 FUJ721176 GEF721176 GOB721176 GXX721176 HHT721176 HRP721176 IBL721176 ILH721176 IVD721176 JEZ721176 JOV721176 JYR721176 KIN721176 KSJ721176 LCF721176 LMB721176 LVX721176 MFT721176 MPP721176 MZL721176 NJH721176 NTD721176 OCZ721176 OMV721176 OWR721176 PGN721176 PQJ721176 QAF721176 QKB721176 QTX721176 RDT721176 RNP721176 RXL721176 SHH721176 SRD721176 TAZ721176 TKV721176 TUR721176 UEN721176 UOJ721176 UYF721176 VIB721176 VRX721176 WBT721176 WLP721176 WVL721176 D786712 IZ786712 SV786712 ACR786712 AMN786712 AWJ786712 BGF786712 BQB786712 BZX786712 CJT786712 CTP786712 DDL786712 DNH786712 DXD786712 EGZ786712 EQV786712 FAR786712 FKN786712 FUJ786712 GEF786712 GOB786712 GXX786712 HHT786712 HRP786712 IBL786712 ILH786712 IVD786712 JEZ786712 JOV786712 JYR786712 KIN786712 KSJ786712 LCF786712 LMB786712 LVX786712 MFT786712 MPP786712 MZL786712 NJH786712 NTD786712 OCZ786712 OMV786712 OWR786712 PGN786712 PQJ786712 QAF786712 QKB786712 QTX786712 RDT786712 RNP786712 RXL786712 SHH786712 SRD786712 TAZ786712 TKV786712 TUR786712 UEN786712 UOJ786712 UYF786712 VIB786712 VRX786712 WBT786712 WLP786712 WVL786712 D852248 IZ852248 SV852248 ACR852248 AMN852248 AWJ852248 BGF852248 BQB852248 BZX852248 CJT852248 CTP852248 DDL852248 DNH852248 DXD852248 EGZ852248 EQV852248 FAR852248 FKN852248 FUJ852248 GEF852248 GOB852248 GXX852248 HHT852248 HRP852248 IBL852248 ILH852248 IVD852248 JEZ852248 JOV852248 JYR852248 KIN852248 KSJ852248 LCF852248 LMB852248 LVX852248 MFT852248 MPP852248 MZL852248 NJH852248 NTD852248 OCZ852248 OMV852248 OWR852248 PGN852248 PQJ852248 QAF852248 QKB852248 QTX852248 RDT852248 RNP852248 RXL852248 SHH852248 SRD852248 TAZ852248 TKV852248 TUR852248 UEN852248 UOJ852248 UYF852248 VIB852248 VRX852248 WBT852248 WLP852248 WVL852248 D917784 IZ917784 SV917784 ACR917784 AMN917784 AWJ917784 BGF917784 BQB917784 BZX917784 CJT917784 CTP917784 DDL917784 DNH917784 DXD917784 EGZ917784 EQV917784 FAR917784 FKN917784 FUJ917784 GEF917784 GOB917784 GXX917784 HHT917784 HRP917784 IBL917784 ILH917784 IVD917784 JEZ917784 JOV917784 JYR917784 KIN917784 KSJ917784 LCF917784 LMB917784 LVX917784 MFT917784 MPP917784 MZL917784 NJH917784 NTD917784 OCZ917784 OMV917784 OWR917784 PGN917784 PQJ917784 QAF917784 QKB917784 QTX917784 RDT917784 RNP917784 RXL917784 SHH917784 SRD917784 TAZ917784 TKV917784 TUR917784 UEN917784 UOJ917784 UYF917784 VIB917784 VRX917784 WBT917784 WLP917784 WVL917784 D983320 IZ983320 SV983320 ACR983320 AMN983320 AWJ983320 BGF983320 BQB983320 BZX983320 CJT983320 CTP983320 DDL983320 DNH983320 DXD983320 EGZ983320 EQV983320 FAR983320 FKN983320 FUJ983320 GEF983320 GOB983320 GXX983320 HHT983320 HRP983320 IBL983320 ILH983320 IVD983320 JEZ983320 JOV983320 JYR983320 KIN983320 KSJ983320 LCF983320 LMB983320 LVX983320 MFT983320 MPP983320 MZL983320 NJH983320 NTD983320 OCZ983320 OMV983320 OWR983320 PGN983320 PQJ983320 QAF983320 QKB983320 QTX983320 RDT983320 RNP983320 RXL983320 SHH983320 SRD983320 TAZ983320 TKV983320 TUR983320 UEN983320 UOJ983320 UYF983320 VIB983320 VRX983320 WBT983320 WLP983320 WVL983320 D99 IZ99 SV99 ACR99 AMN99 AWJ99 BGF99 BQB99 BZX99 CJT99 CTP99 DDL99 DNH99 DXD99 EGZ99 EQV99 FAR99 FKN99 FUJ99 GEF99 GOB99 GXX99 HHT99 HRP99 IBL99 ILH99 IVD99 JEZ99 JOV99 JYR99 KIN99 KSJ99 LCF99 LMB99 LVX99 MFT99 MPP99 MZL99 NJH99 NTD99 OCZ99 OMV99 OWR99 PGN99 PQJ99 QAF99 QKB99 QTX99 RDT99 RNP99 RXL99 SHH99 SRD99 TAZ99 TKV99 TUR99 UEN99 UOJ99 UYF99 VIB99 VRX99 WBT99 WLP99 WVL99 D65899 IZ65899 SV65899 ACR65899 AMN65899 AWJ65899 BGF65899 BQB65899 BZX65899 CJT65899 CTP65899 DDL65899 DNH65899 DXD65899 EGZ65899 EQV65899 FAR65899 FKN65899 FUJ65899 GEF65899 GOB65899 GXX65899 HHT65899 HRP65899 IBL65899 ILH65899 IVD65899 JEZ65899 JOV65899 JYR65899 KIN65899 KSJ65899 LCF65899 LMB65899 LVX65899 MFT65899 MPP65899 MZL65899 NJH65899 NTD65899 OCZ65899 OMV65899 OWR65899 PGN65899 PQJ65899 QAF65899 QKB65899 QTX65899 RDT65899 RNP65899 RXL65899 SHH65899 SRD65899 TAZ65899 TKV65899 TUR65899 UEN65899 UOJ65899 UYF65899 VIB65899 VRX65899 WBT65899 WLP65899 WVL65899 D131435 IZ131435 SV131435 ACR131435 AMN131435 AWJ131435 BGF131435 BQB131435 BZX131435 CJT131435 CTP131435 DDL131435 DNH131435 DXD131435 EGZ131435 EQV131435 FAR131435 FKN131435 FUJ131435 GEF131435 GOB131435 GXX131435 HHT131435 HRP131435 IBL131435 ILH131435 IVD131435 JEZ131435 JOV131435 JYR131435 KIN131435 KSJ131435 LCF131435 LMB131435 LVX131435 MFT131435 MPP131435 MZL131435 NJH131435 NTD131435 OCZ131435 OMV131435 OWR131435 PGN131435 PQJ131435 QAF131435 QKB131435 QTX131435 RDT131435 RNP131435 RXL131435 SHH131435 SRD131435 TAZ131435 TKV131435 TUR131435 UEN131435 UOJ131435 UYF131435 VIB131435 VRX131435 WBT131435 WLP131435 WVL131435 D196971 IZ196971 SV196971 ACR196971 AMN196971 AWJ196971 BGF196971 BQB196971 BZX196971 CJT196971 CTP196971 DDL196971 DNH196971 DXD196971 EGZ196971 EQV196971 FAR196971 FKN196971 FUJ196971 GEF196971 GOB196971 GXX196971 HHT196971 HRP196971 IBL196971 ILH196971 IVD196971 JEZ196971 JOV196971 JYR196971 KIN196971 KSJ196971 LCF196971 LMB196971 LVX196971 MFT196971 MPP196971 MZL196971 NJH196971 NTD196971 OCZ196971 OMV196971 OWR196971 PGN196971 PQJ196971 QAF196971 QKB196971 QTX196971 RDT196971 RNP196971 RXL196971 SHH196971 SRD196971 TAZ196971 TKV196971 TUR196971 UEN196971 UOJ196971 UYF196971 VIB196971 VRX196971 WBT196971 WLP196971 WVL196971 D262507 IZ262507 SV262507 ACR262507 AMN262507 AWJ262507 BGF262507 BQB262507 BZX262507 CJT262507 CTP262507 DDL262507 DNH262507 DXD262507 EGZ262507 EQV262507 FAR262507 FKN262507 FUJ262507 GEF262507 GOB262507 GXX262507 HHT262507 HRP262507 IBL262507 ILH262507 IVD262507 JEZ262507 JOV262507 JYR262507 KIN262507 KSJ262507 LCF262507 LMB262507 LVX262507 MFT262507 MPP262507 MZL262507 NJH262507 NTD262507 OCZ262507 OMV262507 OWR262507 PGN262507 PQJ262507 QAF262507 QKB262507 QTX262507 RDT262507 RNP262507 RXL262507 SHH262507 SRD262507 TAZ262507 TKV262507 TUR262507 UEN262507 UOJ262507 UYF262507 VIB262507 VRX262507 WBT262507 WLP262507 WVL262507 D328043 IZ328043 SV328043 ACR328043 AMN328043 AWJ328043 BGF328043 BQB328043 BZX328043 CJT328043 CTP328043 DDL328043 DNH328043 DXD328043 EGZ328043 EQV328043 FAR328043 FKN328043 FUJ328043 GEF328043 GOB328043 GXX328043 HHT328043 HRP328043 IBL328043 ILH328043 IVD328043 JEZ328043 JOV328043 JYR328043 KIN328043 KSJ328043 LCF328043 LMB328043 LVX328043 MFT328043 MPP328043 MZL328043 NJH328043 NTD328043 OCZ328043 OMV328043 OWR328043 PGN328043 PQJ328043 QAF328043 QKB328043 QTX328043 RDT328043 RNP328043 RXL328043 SHH328043 SRD328043 TAZ328043 TKV328043 TUR328043 UEN328043 UOJ328043 UYF328043 VIB328043 VRX328043 WBT328043 WLP328043 WVL328043 D393579 IZ393579 SV393579 ACR393579 AMN393579 AWJ393579 BGF393579 BQB393579 BZX393579 CJT393579 CTP393579 DDL393579 DNH393579 DXD393579 EGZ393579 EQV393579 FAR393579 FKN393579 FUJ393579 GEF393579 GOB393579 GXX393579 HHT393579 HRP393579 IBL393579 ILH393579 IVD393579 JEZ393579 JOV393579 JYR393579 KIN393579 KSJ393579 LCF393579 LMB393579 LVX393579 MFT393579 MPP393579 MZL393579 NJH393579 NTD393579 OCZ393579 OMV393579 OWR393579 PGN393579 PQJ393579 QAF393579 QKB393579 QTX393579 RDT393579 RNP393579 RXL393579 SHH393579 SRD393579 TAZ393579 TKV393579 TUR393579 UEN393579 UOJ393579 UYF393579 VIB393579 VRX393579 WBT393579 WLP393579 WVL393579 D459115 IZ459115 SV459115 ACR459115 AMN459115 AWJ459115 BGF459115 BQB459115 BZX459115 CJT459115 CTP459115 DDL459115 DNH459115 DXD459115 EGZ459115 EQV459115 FAR459115 FKN459115 FUJ459115 GEF459115 GOB459115 GXX459115 HHT459115 HRP459115 IBL459115 ILH459115 IVD459115 JEZ459115 JOV459115 JYR459115 KIN459115 KSJ459115 LCF459115 LMB459115 LVX459115 MFT459115 MPP459115 MZL459115 NJH459115 NTD459115 OCZ459115 OMV459115 OWR459115 PGN459115 PQJ459115 QAF459115 QKB459115 QTX459115 RDT459115 RNP459115 RXL459115 SHH459115 SRD459115 TAZ459115 TKV459115 TUR459115 UEN459115 UOJ459115 UYF459115 VIB459115 VRX459115 WBT459115 WLP459115 WVL459115 D524651 IZ524651 SV524651 ACR524651 AMN524651 AWJ524651 BGF524651 BQB524651 BZX524651 CJT524651 CTP524651 DDL524651 DNH524651 DXD524651 EGZ524651 EQV524651 FAR524651 FKN524651 FUJ524651 GEF524651 GOB524651 GXX524651 HHT524651 HRP524651 IBL524651 ILH524651 IVD524651 JEZ524651 JOV524651 JYR524651 KIN524651 KSJ524651 LCF524651 LMB524651 LVX524651 MFT524651 MPP524651 MZL524651 NJH524651 NTD524651 OCZ524651 OMV524651 OWR524651 PGN524651 PQJ524651 QAF524651 QKB524651 QTX524651 RDT524651 RNP524651 RXL524651 SHH524651 SRD524651 TAZ524651 TKV524651 TUR524651 UEN524651 UOJ524651 UYF524651 VIB524651 VRX524651 WBT524651 WLP524651 WVL524651 D590187 IZ590187 SV590187 ACR590187 AMN590187 AWJ590187 BGF590187 BQB590187 BZX590187 CJT590187 CTP590187 DDL590187 DNH590187 DXD590187 EGZ590187 EQV590187 FAR590187 FKN590187 FUJ590187 GEF590187 GOB590187 GXX590187 HHT590187 HRP590187 IBL590187 ILH590187 IVD590187 JEZ590187 JOV590187 JYR590187 KIN590187 KSJ590187 LCF590187 LMB590187 LVX590187 MFT590187 MPP590187 MZL590187 NJH590187 NTD590187 OCZ590187 OMV590187 OWR590187 PGN590187 PQJ590187 QAF590187 QKB590187 QTX590187 RDT590187 RNP590187 RXL590187 SHH590187 SRD590187 TAZ590187 TKV590187 TUR590187 UEN590187 UOJ590187 UYF590187 VIB590187 VRX590187 WBT590187 WLP590187 WVL590187 D655723 IZ655723 SV655723 ACR655723 AMN655723 AWJ655723 BGF655723 BQB655723 BZX655723 CJT655723 CTP655723 DDL655723 DNH655723 DXD655723 EGZ655723 EQV655723 FAR655723 FKN655723 FUJ655723 GEF655723 GOB655723 GXX655723 HHT655723 HRP655723 IBL655723 ILH655723 IVD655723 JEZ655723 JOV655723 JYR655723 KIN655723 KSJ655723 LCF655723 LMB655723 LVX655723 MFT655723 MPP655723 MZL655723 NJH655723 NTD655723 OCZ655723 OMV655723 OWR655723 PGN655723 PQJ655723 QAF655723 QKB655723 QTX655723 RDT655723 RNP655723 RXL655723 SHH655723 SRD655723 TAZ655723 TKV655723 TUR655723 UEN655723 UOJ655723 UYF655723 VIB655723 VRX655723 WBT655723 WLP655723 WVL655723 D721259 IZ721259 SV721259 ACR721259 AMN721259 AWJ721259 BGF721259 BQB721259 BZX721259 CJT721259 CTP721259 DDL721259 DNH721259 DXD721259 EGZ721259 EQV721259 FAR721259 FKN721259 FUJ721259 GEF721259 GOB721259 GXX721259 HHT721259 HRP721259 IBL721259 ILH721259 IVD721259 JEZ721259 JOV721259 JYR721259 KIN721259 KSJ721259 LCF721259 LMB721259 LVX721259 MFT721259 MPP721259 MZL721259 NJH721259 NTD721259 OCZ721259 OMV721259 OWR721259 PGN721259 PQJ721259 QAF721259 QKB721259 QTX721259 RDT721259 RNP721259 RXL721259 SHH721259 SRD721259 TAZ721259 TKV721259 TUR721259 UEN721259 UOJ721259 UYF721259 VIB721259 VRX721259 WBT721259 WLP721259 WVL721259 D786795 IZ786795 SV786795 ACR786795 AMN786795 AWJ786795 BGF786795 BQB786795 BZX786795 CJT786795 CTP786795 DDL786795 DNH786795 DXD786795 EGZ786795 EQV786795 FAR786795 FKN786795 FUJ786795 GEF786795 GOB786795 GXX786795 HHT786795 HRP786795 IBL786795 ILH786795 IVD786795 JEZ786795 JOV786795 JYR786795 KIN786795 KSJ786795 LCF786795 LMB786795 LVX786795 MFT786795 MPP786795 MZL786795 NJH786795 NTD786795 OCZ786795 OMV786795 OWR786795 PGN786795 PQJ786795 QAF786795 QKB786795 QTX786795 RDT786795 RNP786795 RXL786795 SHH786795 SRD786795 TAZ786795 TKV786795 TUR786795 UEN786795 UOJ786795 UYF786795 VIB786795 VRX786795 WBT786795 WLP786795 WVL786795 D852331 IZ852331 SV852331 ACR852331 AMN852331 AWJ852331 BGF852331 BQB852331 BZX852331 CJT852331 CTP852331 DDL852331 DNH852331 DXD852331 EGZ852331 EQV852331 FAR852331 FKN852331 FUJ852331 GEF852331 GOB852331 GXX852331 HHT852331 HRP852331 IBL852331 ILH852331 IVD852331 JEZ852331 JOV852331 JYR852331 KIN852331 KSJ852331 LCF852331 LMB852331 LVX852331 MFT852331 MPP852331 MZL852331 NJH852331 NTD852331 OCZ852331 OMV852331 OWR852331 PGN852331 PQJ852331 QAF852331 QKB852331 QTX852331 RDT852331 RNP852331 RXL852331 SHH852331 SRD852331 TAZ852331 TKV852331 TUR852331 UEN852331 UOJ852331 UYF852331 VIB852331 VRX852331 WBT852331 WLP852331 WVL852331 D917867 IZ917867 SV917867 ACR917867 AMN917867 AWJ917867 BGF917867 BQB917867 BZX917867 CJT917867 CTP917867 DDL917867 DNH917867 DXD917867 EGZ917867 EQV917867 FAR917867 FKN917867 FUJ917867 GEF917867 GOB917867 GXX917867 HHT917867 HRP917867 IBL917867 ILH917867 IVD917867 JEZ917867 JOV917867 JYR917867 KIN917867 KSJ917867 LCF917867 LMB917867 LVX917867 MFT917867 MPP917867 MZL917867 NJH917867 NTD917867 OCZ917867 OMV917867 OWR917867 PGN917867 PQJ917867 QAF917867 QKB917867 QTX917867 RDT917867 RNP917867 RXL917867 SHH917867 SRD917867 TAZ917867 TKV917867 TUR917867 UEN917867 UOJ917867 UYF917867 VIB917867 VRX917867 WBT917867 WLP917867 WVL917867 D983403 IZ983403 SV983403 ACR983403 AMN983403 AWJ983403 BGF983403 BQB983403 BZX983403 CJT983403 CTP983403 DDL983403 DNH983403 DXD983403 EGZ983403 EQV983403 FAR983403 FKN983403 FUJ983403 GEF983403 GOB983403 GXX983403 HHT983403 HRP983403 IBL983403 ILH983403 IVD983403 JEZ983403 JOV983403 JYR983403 KIN983403 KSJ983403 LCF983403 LMB983403 LVX983403 MFT983403 MPP983403 MZL983403 NJH983403 NTD983403 OCZ983403 OMV983403 OWR983403 PGN983403 PQJ983403 QAF983403 QKB983403 QTX983403 RDT983403 RNP983403 RXL983403 SHH983403 SRD983403 TAZ983403 TKV983403 TUR983403 UEN983403 UOJ983403 UYF983403 VIB983403 VRX983403 WBT983403 WLP983403 WVL983403 D455 IZ455 SV455 ACR455 AMN455 AWJ455 BGF455 BQB455 BZX455 CJT455 CTP455 DDL455 DNH455 DXD455 EGZ455 EQV455 FAR455 FKN455 FUJ455 GEF455 GOB455 GXX455 HHT455 HRP455 IBL455 ILH455 IVD455 JEZ455 JOV455 JYR455 KIN455 KSJ455 LCF455 LMB455 LVX455 MFT455 MPP455 MZL455 NJH455 NTD455 OCZ455 OMV455 OWR455 PGN455 PQJ455 QAF455 QKB455 QTX455 RDT455 RNP455 RXL455 SHH455 SRD455 TAZ455 TKV455 TUR455 UEN455 UOJ455 UYF455 VIB455 VRX455 WBT455 WLP455 WVL455 D275 IZ275 SV275 ACR275 AMN275 AWJ275 BGF275 BQB275 BZX275 CJT275 CTP275 DDL275 DNH275 DXD275 EGZ275 EQV275 FAR275 FKN275 FUJ275 GEF275 GOB275 GXX275 HHT275 HRP275 IBL275 ILH275 IVD275 JEZ275 JOV275 JYR275 KIN275 KSJ275 LCF275 LMB275 LVX275 MFT275 MPP275 MZL275 NJH275 NTD275 OCZ275 OMV275 OWR275 PGN275 PQJ275 QAF275 QKB275 QTX275 RDT275 RNP275 RXL275 SHH275 SRD275 TAZ275 TKV275 TUR275 UEN275 UOJ275 UYF275 VIB275 VRX275 WBT275 WLP275 WVL275 D367 IZ367 SV367 ACR367 AMN367 AWJ367 BGF367 BQB367 BZX367 CJT367 CTP367 DDL367 DNH367 DXD367 EGZ367 EQV367 FAR367 FKN367 FUJ367 GEF367 GOB367 GXX367 HHT367 HRP367 IBL367 ILH367 IVD367 JEZ367 JOV367 JYR367 KIN367 KSJ367 LCF367 LMB367 LVX367 MFT367 MPP367 MZL367 NJH367 NTD367 OCZ367 OMV367 OWR367 PGN367 PQJ367 QAF367 QKB367 QTX367 RDT367 RNP367 RXL367 SHH367 SRD367 TAZ367 TKV367 TUR367 UEN367 UOJ367 UYF367 VIB367 VRX367 WBT367 WLP367 WVL367" xr:uid="{0FB30691-B63C-40C8-B883-003C4A59FE6C}">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4" manualBreakCount="4">
    <brk id="45" max="21" man="1"/>
    <brk id="273" max="21" man="1"/>
    <brk id="313" max="21" man="1"/>
    <brk id="54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CAA2-718B-4485-B4F1-84D0618FD474}">
  <sheetPr codeName="Sheet66">
    <tabColor rgb="FF00B050"/>
  </sheetPr>
  <dimension ref="A1:AE174"/>
  <sheetViews>
    <sheetView showZeros="0" view="pageBreakPreview" zoomScaleNormal="100" zoomScaleSheetLayoutView="100" workbookViewId="0">
      <selection activeCell="T41" sqref="T4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1023</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108</v>
      </c>
      <c r="C7" s="782"/>
      <c r="D7" s="781" t="s">
        <v>109</v>
      </c>
      <c r="E7" s="782"/>
      <c r="F7" s="255"/>
      <c r="H7" s="684" t="s">
        <v>565</v>
      </c>
      <c r="I7" s="684"/>
      <c r="J7" s="684"/>
      <c r="K7" s="684"/>
      <c r="L7" s="684"/>
      <c r="M7" s="684"/>
      <c r="P7" s="186"/>
      <c r="R7" s="255"/>
      <c r="S7" s="187" t="s">
        <v>387</v>
      </c>
      <c r="T7" s="1216" t="s">
        <v>508</v>
      </c>
      <c r="U7" s="1247"/>
      <c r="V7" s="185"/>
    </row>
    <row r="8" spans="1:24" ht="18" customHeight="1">
      <c r="A8" s="184"/>
      <c r="B8" s="538"/>
      <c r="C8" s="538"/>
      <c r="D8" s="547"/>
      <c r="E8" s="547"/>
      <c r="F8" s="255"/>
      <c r="T8" s="1216" t="s">
        <v>956</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2800</v>
      </c>
      <c r="I10" s="792"/>
      <c r="J10" s="781">
        <v>3200</v>
      </c>
      <c r="K10" s="782"/>
      <c r="L10" s="781" t="s">
        <v>6</v>
      </c>
      <c r="M10" s="782"/>
      <c r="N10" s="191" t="s">
        <v>342</v>
      </c>
      <c r="O10" s="125">
        <v>1</v>
      </c>
      <c r="P10" s="27" t="s">
        <v>8</v>
      </c>
      <c r="T10" s="1216"/>
      <c r="U10" s="1247"/>
      <c r="V10" s="185"/>
    </row>
    <row r="11" spans="1:24" ht="18" customHeight="1">
      <c r="A11" s="184"/>
      <c r="B11" s="47" t="s">
        <v>394</v>
      </c>
      <c r="H11" s="781" t="s">
        <v>708</v>
      </c>
      <c r="I11" s="782"/>
      <c r="T11" s="1248"/>
      <c r="U11" s="1248"/>
      <c r="V11" s="185"/>
    </row>
    <row r="12" spans="1:24" ht="18" customHeight="1">
      <c r="A12" s="184"/>
      <c r="B12" s="47" t="s">
        <v>396</v>
      </c>
      <c r="G12" s="120" t="s">
        <v>497</v>
      </c>
      <c r="H12" s="781">
        <v>4</v>
      </c>
      <c r="I12" s="782"/>
      <c r="J12" s="192" t="s">
        <v>333</v>
      </c>
      <c r="T12" s="295"/>
      <c r="U12" s="18"/>
      <c r="V12" s="185"/>
    </row>
    <row r="13" spans="1:24" ht="18" customHeight="1">
      <c r="A13" s="184"/>
      <c r="B13" s="30" t="s">
        <v>568</v>
      </c>
      <c r="G13" s="120" t="s">
        <v>569</v>
      </c>
      <c r="H13" s="781">
        <v>5</v>
      </c>
      <c r="I13" s="782"/>
      <c r="T13" s="295"/>
      <c r="U13" s="18"/>
      <c r="V13" s="185"/>
      <c r="W13" s="30" t="str">
        <f>J46</f>
        <v>Suitably Dimensioned</v>
      </c>
    </row>
    <row r="14" spans="1:24" ht="18" customHeight="1">
      <c r="A14" s="184"/>
      <c r="B14" s="47" t="s">
        <v>562</v>
      </c>
      <c r="G14" s="120" t="s">
        <v>493</v>
      </c>
      <c r="H14" s="781">
        <v>25</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REC670</v>
      </c>
      <c r="E18" s="227"/>
      <c r="F18" s="227"/>
      <c r="G18" s="227"/>
      <c r="H18" s="138"/>
      <c r="I18" s="260" t="s">
        <v>127</v>
      </c>
      <c r="J18" s="1250">
        <f>'CT-VT Burdens'!Q104</f>
        <v>0.02</v>
      </c>
      <c r="K18" s="1285"/>
      <c r="L18" s="3" t="s">
        <v>157</v>
      </c>
      <c r="N18" s="197" t="s">
        <v>510</v>
      </c>
      <c r="V18" s="185"/>
      <c r="AC18" s="14" t="s">
        <v>570</v>
      </c>
      <c r="AE18" s="14" t="s">
        <v>571</v>
      </c>
    </row>
    <row r="19" spans="1:31" ht="18" customHeight="1">
      <c r="A19" s="184"/>
      <c r="B19" s="96" t="s">
        <v>405</v>
      </c>
      <c r="D19" s="296" t="str">
        <f>T8</f>
        <v>CP-L96A</v>
      </c>
      <c r="I19" s="177" t="s">
        <v>127</v>
      </c>
      <c r="J19" s="1106">
        <f>'CT-VT Burdens'!Q152</f>
        <v>1</v>
      </c>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4</v>
      </c>
      <c r="V21" s="185"/>
    </row>
    <row r="22" spans="1:31" ht="18" customHeight="1">
      <c r="A22" s="184"/>
      <c r="B22" s="184" t="s">
        <v>412</v>
      </c>
      <c r="C22" s="14"/>
      <c r="D22" s="47"/>
      <c r="E22" s="14"/>
      <c r="H22" s="27"/>
      <c r="I22" s="101" t="s">
        <v>127</v>
      </c>
      <c r="J22" s="1109">
        <f>'CT-VT Burdens'!S36</f>
        <v>1.25652618</v>
      </c>
      <c r="K22" s="1110"/>
      <c r="L22" s="297" t="s">
        <v>157</v>
      </c>
      <c r="O22" s="27" t="s">
        <v>127</v>
      </c>
      <c r="P22" s="795">
        <f>P21*R21*T21</f>
        <v>4</v>
      </c>
      <c r="Q22" s="684"/>
      <c r="R22" s="27" t="s">
        <v>157</v>
      </c>
      <c r="S22" s="27"/>
      <c r="T22" s="27"/>
      <c r="V22" s="185"/>
    </row>
    <row r="23" spans="1:31" ht="18" customHeight="1">
      <c r="A23" s="184"/>
      <c r="B23" s="1" t="s">
        <v>413</v>
      </c>
      <c r="C23" s="2"/>
      <c r="D23" s="2"/>
      <c r="E23" s="2"/>
      <c r="F23" s="196"/>
      <c r="G23" s="196"/>
      <c r="H23" s="224" t="s">
        <v>512</v>
      </c>
      <c r="I23" s="183" t="s">
        <v>127</v>
      </c>
      <c r="J23" s="722">
        <f>SUM(J18:K22)</f>
        <v>2.2765261800000003</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2800</v>
      </c>
      <c r="Q25" s="1251"/>
      <c r="R25" s="192" t="s">
        <v>8</v>
      </c>
      <c r="V25" s="185"/>
    </row>
    <row r="26" spans="1:31" ht="18" customHeight="1">
      <c r="A26" s="184"/>
      <c r="B26" s="47" t="s">
        <v>547</v>
      </c>
      <c r="C26" s="47"/>
      <c r="D26" s="47"/>
      <c r="E26" s="47"/>
      <c r="H26" s="27"/>
      <c r="I26" s="28"/>
      <c r="J26" s="199"/>
      <c r="L26" s="47"/>
      <c r="N26" s="120" t="s">
        <v>572</v>
      </c>
      <c r="O26" s="28" t="s">
        <v>127</v>
      </c>
      <c r="P26" s="1251">
        <f>H12</f>
        <v>4</v>
      </c>
      <c r="Q26" s="1251"/>
      <c r="R26" s="304" t="s">
        <v>157</v>
      </c>
      <c r="V26" s="185"/>
    </row>
    <row r="27" spans="1:31" ht="18" customHeight="1">
      <c r="A27" s="184"/>
      <c r="B27" s="47" t="s">
        <v>548</v>
      </c>
      <c r="C27" s="47"/>
      <c r="D27" s="47"/>
      <c r="E27" s="47"/>
      <c r="H27" s="27"/>
      <c r="I27" s="28"/>
      <c r="J27" s="199"/>
      <c r="L27" s="47"/>
      <c r="N27" s="120" t="s">
        <v>573</v>
      </c>
      <c r="O27" s="28" t="s">
        <v>127</v>
      </c>
      <c r="P27" s="1072">
        <f>J23</f>
        <v>2.2765261800000003</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296" t="s">
        <v>576</v>
      </c>
      <c r="C30" s="47"/>
      <c r="D30" s="47"/>
      <c r="E30" s="47"/>
      <c r="H30" s="27"/>
      <c r="I30" s="28"/>
      <c r="J30" s="199"/>
      <c r="L30" s="47"/>
      <c r="O30" s="28" t="s">
        <v>127</v>
      </c>
      <c r="P30" s="1072">
        <v>25</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2.2765261800000003</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301">
        <f>P22</f>
        <v>4</v>
      </c>
      <c r="M38" s="245" t="s">
        <v>347</v>
      </c>
      <c r="N38" s="242">
        <f>H14</f>
        <v>25</v>
      </c>
      <c r="O38" s="245" t="s">
        <v>539</v>
      </c>
      <c r="P38" s="301">
        <f>P22</f>
        <v>4</v>
      </c>
      <c r="Q38" s="245" t="s">
        <v>347</v>
      </c>
      <c r="R38" s="301">
        <f>J23</f>
        <v>2.2765261800000003</v>
      </c>
      <c r="S38" s="296" t="s">
        <v>350</v>
      </c>
      <c r="V38" s="185"/>
    </row>
    <row r="39" spans="1:22" ht="18" customHeight="1">
      <c r="A39" s="184"/>
      <c r="I39" s="27" t="s">
        <v>127</v>
      </c>
      <c r="J39" s="1111">
        <f>J38*((L38+N38)/(P38+R38))</f>
        <v>23.101950958483854</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25</v>
      </c>
      <c r="H43" s="684"/>
      <c r="I43" s="27" t="str">
        <f>IF(G43&gt;J43,"&gt;","&lt;")</f>
        <v>&gt;</v>
      </c>
      <c r="J43" s="795">
        <f>J35</f>
        <v>2.2765261800000003</v>
      </c>
      <c r="K43" s="684"/>
      <c r="S43" s="186" t="str">
        <f>IF(G43&gt;J43,"Satisfied","Not satisfied")</f>
        <v>Satisfied</v>
      </c>
      <c r="V43" s="185"/>
    </row>
    <row r="44" spans="1:22" ht="18" customHeight="1">
      <c r="A44" s="184"/>
      <c r="B44" s="28">
        <v>2</v>
      </c>
      <c r="D44" s="14"/>
      <c r="H44" s="244" t="s">
        <v>586</v>
      </c>
      <c r="I44" s="28" t="s">
        <v>476</v>
      </c>
      <c r="J44" s="14" t="s">
        <v>105</v>
      </c>
      <c r="K44" s="14"/>
      <c r="S44" s="14" t="s">
        <v>587</v>
      </c>
      <c r="V44" s="185"/>
    </row>
    <row r="45" spans="1:22" ht="18" customHeight="1">
      <c r="A45" s="184"/>
      <c r="D45" s="14"/>
      <c r="G45" s="795">
        <f>P30</f>
        <v>25</v>
      </c>
      <c r="H45" s="795"/>
      <c r="I45" s="27" t="str">
        <f>IF(G45&gt;J45,"&gt;","&lt;")</f>
        <v>&gt;</v>
      </c>
      <c r="J45" s="795">
        <f>J39</f>
        <v>23.101950958483854</v>
      </c>
      <c r="K45" s="795"/>
      <c r="R45" s="14"/>
      <c r="S45" s="186" t="str">
        <f>IF(G45&gt;J45,"Satisfied","Not satisfied")</f>
        <v>Satisfied</v>
      </c>
      <c r="V45" s="185"/>
    </row>
    <row r="46" spans="1:22" ht="18" customHeight="1">
      <c r="A46" s="184"/>
      <c r="D46" s="47"/>
      <c r="H46" s="244" t="s">
        <v>478</v>
      </c>
      <c r="J46" s="18" t="str">
        <f>IF(AND(I43="&gt;",I45="&gt;")=TRUE,"Suitably Dimensioned","Not suitable")</f>
        <v>Suitably Dimensioned</v>
      </c>
      <c r="O46" s="27"/>
      <c r="P46" s="211"/>
      <c r="Q46" s="211"/>
      <c r="R46" s="192"/>
      <c r="V46" s="185"/>
    </row>
    <row r="47" spans="1:22" ht="18" customHeight="1">
      <c r="A47" s="194"/>
      <c r="B47" s="195"/>
      <c r="C47" s="195"/>
      <c r="D47" s="195"/>
      <c r="E47" s="195"/>
      <c r="F47" s="195"/>
      <c r="G47" s="195"/>
      <c r="H47" s="195"/>
      <c r="I47" s="195"/>
      <c r="J47" s="195"/>
      <c r="K47" s="195"/>
      <c r="L47" s="195"/>
      <c r="M47" s="195"/>
      <c r="N47" s="195"/>
      <c r="O47" s="195"/>
      <c r="P47" s="195"/>
      <c r="Q47" s="224"/>
      <c r="R47" s="182"/>
      <c r="S47" s="225"/>
      <c r="T47" s="195"/>
      <c r="U47" s="195"/>
      <c r="V47" s="134"/>
    </row>
    <row r="48" spans="1:22" ht="18" customHeight="1">
      <c r="A48" s="226"/>
      <c r="B48" s="227"/>
      <c r="C48" s="227"/>
      <c r="D48" s="227"/>
      <c r="E48" s="227"/>
      <c r="F48" s="227"/>
      <c r="G48" s="227"/>
      <c r="H48" s="227"/>
      <c r="I48" s="227"/>
      <c r="J48" s="227"/>
      <c r="K48" s="227"/>
      <c r="L48" s="227"/>
      <c r="M48" s="227"/>
      <c r="N48" s="227"/>
      <c r="O48" s="227"/>
      <c r="P48" s="227"/>
      <c r="Q48" s="227"/>
      <c r="R48" s="227"/>
      <c r="S48" s="227"/>
      <c r="T48" s="227"/>
      <c r="U48" s="227"/>
      <c r="V48" s="228"/>
    </row>
    <row r="49" spans="1:23" ht="18" customHeight="1">
      <c r="A49" s="184"/>
      <c r="B49" s="835" t="str">
        <f>B7</f>
        <v>T1</v>
      </c>
      <c r="C49" s="836"/>
      <c r="D49" s="835" t="str">
        <f>D7</f>
        <v>Core3</v>
      </c>
      <c r="E49" s="836"/>
      <c r="F49" s="255"/>
      <c r="H49" s="684" t="str">
        <f>H7</f>
        <v>(Metering + Ammeter)</v>
      </c>
      <c r="I49" s="684"/>
      <c r="J49" s="684"/>
      <c r="K49" s="684"/>
      <c r="L49" s="684"/>
      <c r="M49" s="684"/>
      <c r="P49" s="186"/>
      <c r="R49" s="255"/>
      <c r="S49" s="187" t="s">
        <v>387</v>
      </c>
      <c r="T49" s="1216" t="str">
        <f>T7</f>
        <v>REC670</v>
      </c>
      <c r="U49" s="1247"/>
      <c r="V49" s="185"/>
    </row>
    <row r="50" spans="1:23" ht="18" customHeight="1">
      <c r="A50" s="184"/>
      <c r="B50" s="838">
        <f>B8</f>
        <v>0</v>
      </c>
      <c r="C50" s="838"/>
      <c r="D50" s="585"/>
      <c r="E50" s="585"/>
      <c r="F50" s="255"/>
      <c r="T50" s="1216" t="str">
        <f>T8</f>
        <v>CP-L96A</v>
      </c>
      <c r="U50" s="1247"/>
      <c r="V50" s="185"/>
    </row>
    <row r="51" spans="1:23" ht="18" customHeight="1">
      <c r="A51" s="184"/>
      <c r="H51" s="708" t="s">
        <v>390</v>
      </c>
      <c r="I51" s="708"/>
      <c r="J51" s="789" t="s">
        <v>391</v>
      </c>
      <c r="K51" s="789"/>
      <c r="L51" s="790" t="s">
        <v>392</v>
      </c>
      <c r="M51" s="790"/>
      <c r="T51" s="1216"/>
      <c r="U51" s="1247"/>
      <c r="V51" s="185"/>
    </row>
    <row r="52" spans="1:23" ht="18" customHeight="1">
      <c r="A52" s="184"/>
      <c r="B52" s="47" t="s">
        <v>393</v>
      </c>
      <c r="H52" s="835">
        <f>H10</f>
        <v>2800</v>
      </c>
      <c r="I52" s="836"/>
      <c r="J52" s="843">
        <f>J10</f>
        <v>3200</v>
      </c>
      <c r="K52" s="844"/>
      <c r="L52" s="835" t="str">
        <f>L10</f>
        <v>-</v>
      </c>
      <c r="M52" s="836"/>
      <c r="N52" s="191" t="s">
        <v>342</v>
      </c>
      <c r="O52" s="488">
        <f>O10</f>
        <v>1</v>
      </c>
      <c r="P52" s="27" t="s">
        <v>8</v>
      </c>
      <c r="T52" s="1216"/>
      <c r="U52" s="1247"/>
      <c r="V52" s="185"/>
    </row>
    <row r="53" spans="1:23" ht="18" customHeight="1">
      <c r="A53" s="184"/>
      <c r="B53" s="47" t="s">
        <v>394</v>
      </c>
      <c r="H53" s="14"/>
      <c r="I53" s="14"/>
      <c r="J53" s="835" t="str">
        <f>H11</f>
        <v>0.5FS5</v>
      </c>
      <c r="K53" s="836"/>
      <c r="L53" s="14"/>
      <c r="M53" s="14"/>
      <c r="V53" s="185"/>
    </row>
    <row r="54" spans="1:23" ht="18" customHeight="1">
      <c r="A54" s="184"/>
      <c r="B54" s="47" t="s">
        <v>396</v>
      </c>
      <c r="I54" s="120" t="s">
        <v>497</v>
      </c>
      <c r="J54" s="781">
        <v>5</v>
      </c>
      <c r="K54" s="782"/>
      <c r="L54" s="192" t="s">
        <v>333</v>
      </c>
      <c r="T54" s="295"/>
      <c r="U54" s="18"/>
      <c r="V54" s="185"/>
    </row>
    <row r="55" spans="1:23" ht="18" customHeight="1">
      <c r="A55" s="184"/>
      <c r="B55" s="30" t="s">
        <v>568</v>
      </c>
      <c r="I55" s="120" t="s">
        <v>569</v>
      </c>
      <c r="J55" s="781">
        <v>5</v>
      </c>
      <c r="K55" s="782"/>
      <c r="T55" s="295"/>
      <c r="U55" s="18"/>
      <c r="V55" s="185"/>
      <c r="W55" s="30" t="str">
        <f>J86</f>
        <v>Suitably Dimensioned</v>
      </c>
    </row>
    <row r="56" spans="1:23" ht="18" customHeight="1">
      <c r="A56" s="184"/>
      <c r="B56" s="47" t="s">
        <v>562</v>
      </c>
      <c r="I56" s="120" t="s">
        <v>493</v>
      </c>
      <c r="J56" s="781">
        <v>30</v>
      </c>
      <c r="K56" s="782"/>
      <c r="L56" s="14" t="s">
        <v>157</v>
      </c>
      <c r="T56" s="295"/>
      <c r="U56" s="18"/>
      <c r="V56" s="185"/>
    </row>
    <row r="57" spans="1:23" ht="18" customHeight="1">
      <c r="A57" s="184"/>
      <c r="V57" s="185"/>
    </row>
    <row r="58" spans="1:23" ht="18" customHeight="1">
      <c r="A58" s="193" t="s">
        <v>404</v>
      </c>
      <c r="V58" s="185"/>
    </row>
    <row r="59" spans="1:23" ht="18" customHeight="1">
      <c r="A59" s="184"/>
      <c r="V59" s="185"/>
    </row>
    <row r="60" spans="1:23" ht="18" customHeight="1">
      <c r="A60" s="184"/>
      <c r="B60" s="135" t="s">
        <v>405</v>
      </c>
      <c r="C60" s="273"/>
      <c r="D60" s="139" t="str">
        <f>D18</f>
        <v>REC670</v>
      </c>
      <c r="E60" s="227"/>
      <c r="F60" s="227"/>
      <c r="G60" s="227"/>
      <c r="H60" s="138"/>
      <c r="I60" s="260" t="s">
        <v>127</v>
      </c>
      <c r="J60" s="1213">
        <f t="shared" ref="J60:J65" si="0">J18</f>
        <v>0.02</v>
      </c>
      <c r="K60" s="1252"/>
      <c r="L60" s="3" t="s">
        <v>157</v>
      </c>
      <c r="N60" s="197" t="s">
        <v>510</v>
      </c>
      <c r="V60" s="185"/>
    </row>
    <row r="61" spans="1:23" ht="18" customHeight="1">
      <c r="A61" s="184"/>
      <c r="B61" s="96" t="s">
        <v>405</v>
      </c>
      <c r="D61" s="296" t="str">
        <f>D19</f>
        <v>CP-L96A</v>
      </c>
      <c r="I61" s="177" t="s">
        <v>127</v>
      </c>
      <c r="J61" s="1119">
        <f t="shared" si="0"/>
        <v>1</v>
      </c>
      <c r="K61" s="989"/>
      <c r="L61" s="198" t="s">
        <v>157</v>
      </c>
      <c r="P61" s="244"/>
      <c r="V61" s="185"/>
    </row>
    <row r="62" spans="1:23" ht="18" customHeight="1">
      <c r="A62" s="184"/>
      <c r="B62" s="96" t="s">
        <v>405</v>
      </c>
      <c r="C62" s="14"/>
      <c r="D62" s="47">
        <f>D20</f>
        <v>0</v>
      </c>
      <c r="E62" s="14"/>
      <c r="G62" s="199"/>
      <c r="H62" s="27"/>
      <c r="I62" s="101" t="s">
        <v>127</v>
      </c>
      <c r="J62" s="696">
        <f t="shared" si="0"/>
        <v>0</v>
      </c>
      <c r="K62" s="820"/>
      <c r="L62" s="202" t="s">
        <v>157</v>
      </c>
      <c r="N62" s="120" t="s">
        <v>491</v>
      </c>
      <c r="O62" s="27" t="s">
        <v>127</v>
      </c>
      <c r="P62" s="27" t="s">
        <v>511</v>
      </c>
      <c r="Q62" s="27" t="s">
        <v>315</v>
      </c>
      <c r="R62" s="27" t="s">
        <v>511</v>
      </c>
      <c r="S62" s="27" t="s">
        <v>315</v>
      </c>
      <c r="T62" s="27" t="s">
        <v>420</v>
      </c>
      <c r="V62" s="185"/>
    </row>
    <row r="63" spans="1:23" ht="18" customHeight="1">
      <c r="A63" s="184"/>
      <c r="B63" s="96" t="s">
        <v>405</v>
      </c>
      <c r="C63" s="14"/>
      <c r="D63" s="47">
        <f>T10</f>
        <v>0</v>
      </c>
      <c r="E63" s="14"/>
      <c r="G63" s="199"/>
      <c r="H63" s="27"/>
      <c r="I63" s="101" t="s">
        <v>127</v>
      </c>
      <c r="J63" s="696">
        <f t="shared" si="0"/>
        <v>0</v>
      </c>
      <c r="K63" s="820"/>
      <c r="L63" s="202" t="s">
        <v>157</v>
      </c>
      <c r="O63" s="27" t="s">
        <v>127</v>
      </c>
      <c r="P63" s="27">
        <f>O52</f>
        <v>1</v>
      </c>
      <c r="Q63" s="27" t="s">
        <v>315</v>
      </c>
      <c r="R63" s="27">
        <f>O52</f>
        <v>1</v>
      </c>
      <c r="S63" s="27" t="s">
        <v>315</v>
      </c>
      <c r="T63" s="27">
        <f>J54</f>
        <v>5</v>
      </c>
      <c r="V63" s="185"/>
    </row>
    <row r="64" spans="1:23" ht="18" customHeight="1">
      <c r="A64" s="184"/>
      <c r="B64" s="184" t="s">
        <v>412</v>
      </c>
      <c r="C64" s="14"/>
      <c r="D64" s="47"/>
      <c r="E64" s="14"/>
      <c r="H64" s="27"/>
      <c r="I64" s="101" t="s">
        <v>127</v>
      </c>
      <c r="J64" s="1120">
        <f t="shared" si="0"/>
        <v>1.25652618</v>
      </c>
      <c r="K64" s="987"/>
      <c r="L64" s="297" t="s">
        <v>157</v>
      </c>
      <c r="O64" s="27" t="s">
        <v>127</v>
      </c>
      <c r="P64" s="795">
        <f>P63*R63*T63</f>
        <v>5</v>
      </c>
      <c r="Q64" s="684"/>
      <c r="R64" s="27" t="s">
        <v>157</v>
      </c>
      <c r="S64" s="27"/>
      <c r="T64" s="27"/>
      <c r="V64" s="185"/>
    </row>
    <row r="65" spans="1:22" ht="18" customHeight="1">
      <c r="A65" s="184"/>
      <c r="B65" s="1" t="s">
        <v>413</v>
      </c>
      <c r="C65" s="2"/>
      <c r="D65" s="2"/>
      <c r="E65" s="2"/>
      <c r="F65" s="196"/>
      <c r="G65" s="196"/>
      <c r="H65" s="224" t="s">
        <v>512</v>
      </c>
      <c r="I65" s="183" t="s">
        <v>127</v>
      </c>
      <c r="J65" s="722">
        <f t="shared" si="0"/>
        <v>2.2765261800000003</v>
      </c>
      <c r="K65" s="958"/>
      <c r="L65" s="3" t="s">
        <v>157</v>
      </c>
      <c r="O65" s="27"/>
      <c r="P65" s="211"/>
      <c r="Q65" s="211"/>
      <c r="R65" s="192"/>
      <c r="V65" s="185"/>
    </row>
    <row r="66" spans="1:22" ht="18" customHeight="1">
      <c r="A66" s="184"/>
      <c r="B66" s="47"/>
      <c r="C66" s="47"/>
      <c r="D66" s="47"/>
      <c r="E66" s="47"/>
      <c r="H66" s="27"/>
      <c r="I66" s="28"/>
      <c r="J66" s="218"/>
      <c r="K66" s="27"/>
      <c r="L66" s="47"/>
      <c r="O66" s="27"/>
      <c r="P66" s="211"/>
      <c r="Q66" s="211"/>
      <c r="R66" s="192"/>
      <c r="V66" s="185"/>
    </row>
    <row r="67" spans="1:22" ht="18" customHeight="1">
      <c r="A67" s="184"/>
      <c r="B67" s="47" t="s">
        <v>545</v>
      </c>
      <c r="C67" s="47"/>
      <c r="D67" s="47"/>
      <c r="E67" s="47"/>
      <c r="H67" s="27"/>
      <c r="I67" s="28"/>
      <c r="J67" s="199"/>
      <c r="L67" s="47"/>
      <c r="N67" s="120" t="s">
        <v>423</v>
      </c>
      <c r="O67" s="28" t="s">
        <v>127</v>
      </c>
      <c r="P67" s="1251">
        <f>J52</f>
        <v>3200</v>
      </c>
      <c r="Q67" s="1251"/>
      <c r="R67" s="192" t="s">
        <v>8</v>
      </c>
      <c r="V67" s="185"/>
    </row>
    <row r="68" spans="1:22" ht="18" customHeight="1">
      <c r="A68" s="184"/>
      <c r="B68" s="47" t="s">
        <v>547</v>
      </c>
      <c r="C68" s="47"/>
      <c r="D68" s="47"/>
      <c r="E68" s="47"/>
      <c r="H68" s="27"/>
      <c r="I68" s="28"/>
      <c r="J68" s="199"/>
      <c r="L68" s="47"/>
      <c r="N68" s="120" t="s">
        <v>572</v>
      </c>
      <c r="O68" s="28" t="s">
        <v>127</v>
      </c>
      <c r="P68" s="1251">
        <f>J54</f>
        <v>5</v>
      </c>
      <c r="Q68" s="1251"/>
      <c r="R68" s="304" t="s">
        <v>157</v>
      </c>
      <c r="V68" s="185"/>
    </row>
    <row r="69" spans="1:22" ht="18" customHeight="1">
      <c r="A69" s="184"/>
      <c r="B69" s="47" t="s">
        <v>548</v>
      </c>
      <c r="C69" s="47"/>
      <c r="D69" s="47"/>
      <c r="E69" s="47"/>
      <c r="H69" s="27"/>
      <c r="I69" s="28"/>
      <c r="J69" s="199"/>
      <c r="L69" s="47"/>
      <c r="N69" s="120" t="s">
        <v>573</v>
      </c>
      <c r="O69" s="28" t="s">
        <v>127</v>
      </c>
      <c r="P69" s="1072">
        <f>J65</f>
        <v>2.2765261800000003</v>
      </c>
      <c r="Q69" s="1251"/>
      <c r="R69" s="304" t="s">
        <v>157</v>
      </c>
      <c r="V69" s="185"/>
    </row>
    <row r="70" spans="1:22" ht="18" customHeight="1">
      <c r="A70" s="184"/>
      <c r="B70" s="47" t="s">
        <v>549</v>
      </c>
      <c r="C70" s="47"/>
      <c r="D70" s="47"/>
      <c r="E70" s="47"/>
      <c r="H70" s="27"/>
      <c r="I70" s="28"/>
      <c r="J70" s="199"/>
      <c r="L70" s="47"/>
      <c r="N70" s="120" t="s">
        <v>511</v>
      </c>
      <c r="O70" s="28" t="s">
        <v>127</v>
      </c>
      <c r="P70" s="1251">
        <f>O52</f>
        <v>1</v>
      </c>
      <c r="Q70" s="1251"/>
      <c r="R70" s="192" t="s">
        <v>8</v>
      </c>
      <c r="V70" s="185"/>
    </row>
    <row r="71" spans="1:22" ht="18" customHeight="1">
      <c r="A71" s="184"/>
      <c r="B71" s="47" t="s">
        <v>574</v>
      </c>
      <c r="C71" s="47"/>
      <c r="D71" s="47"/>
      <c r="E71" s="47"/>
      <c r="H71" s="27"/>
      <c r="I71" s="28"/>
      <c r="J71" s="199"/>
      <c r="L71" s="47"/>
      <c r="N71" s="120" t="s">
        <v>495</v>
      </c>
      <c r="O71" s="28" t="s">
        <v>127</v>
      </c>
      <c r="P71" s="1251">
        <v>10</v>
      </c>
      <c r="Q71" s="1251"/>
      <c r="R71" s="192"/>
      <c r="V71" s="185"/>
    </row>
    <row r="72" spans="1:22" ht="18" customHeight="1">
      <c r="A72" s="184"/>
      <c r="B72" s="47" t="s">
        <v>577</v>
      </c>
      <c r="C72" s="47"/>
      <c r="D72" s="47"/>
      <c r="E72" s="47"/>
      <c r="H72" s="27"/>
      <c r="I72" s="28"/>
      <c r="J72" s="199"/>
      <c r="L72" s="47"/>
      <c r="O72" s="28" t="s">
        <v>127</v>
      </c>
      <c r="P72" s="1072">
        <v>25</v>
      </c>
      <c r="Q72" s="1072"/>
      <c r="R72" s="192" t="s">
        <v>129</v>
      </c>
      <c r="S72" s="14" t="s">
        <v>170</v>
      </c>
      <c r="V72" s="185"/>
    </row>
    <row r="73" spans="1:22" ht="18" customHeight="1">
      <c r="A73" s="184"/>
      <c r="B73" s="47"/>
      <c r="C73" s="47" t="s">
        <v>579</v>
      </c>
      <c r="D73" s="47"/>
      <c r="E73" s="47"/>
      <c r="H73" s="27"/>
      <c r="I73" s="28"/>
      <c r="J73" s="199"/>
      <c r="L73" s="47"/>
      <c r="O73" s="27"/>
      <c r="P73" s="211"/>
      <c r="Q73" s="305" t="s">
        <v>580</v>
      </c>
      <c r="R73" s="102" t="s">
        <v>127</v>
      </c>
      <c r="S73" s="775">
        <v>25</v>
      </c>
      <c r="T73" s="776"/>
      <c r="V73" s="185" t="s">
        <v>129</v>
      </c>
    </row>
    <row r="74" spans="1:22" ht="18" customHeight="1">
      <c r="A74" s="184"/>
      <c r="B74" s="47"/>
      <c r="C74" s="47" t="s">
        <v>581</v>
      </c>
      <c r="D74" s="47"/>
      <c r="E74" s="47"/>
      <c r="H74" s="27"/>
      <c r="I74" s="28" t="s">
        <v>127</v>
      </c>
      <c r="J74" s="281" t="s">
        <v>582</v>
      </c>
      <c r="L74" s="47"/>
      <c r="O74" s="27"/>
      <c r="P74" s="28" t="s">
        <v>347</v>
      </c>
      <c r="Q74" s="14" t="s">
        <v>583</v>
      </c>
      <c r="R74" s="192"/>
      <c r="V74" s="185"/>
    </row>
    <row r="75" spans="1:22" ht="18" customHeight="1">
      <c r="A75" s="184"/>
      <c r="I75" s="28" t="s">
        <v>127</v>
      </c>
      <c r="J75" s="795">
        <f>J65</f>
        <v>2.2765261800000003</v>
      </c>
      <c r="K75" s="684"/>
      <c r="L75" s="28"/>
      <c r="M75" s="795"/>
      <c r="N75" s="684"/>
      <c r="V75" s="185"/>
    </row>
    <row r="76" spans="1:22" ht="18" customHeight="1">
      <c r="A76" s="184"/>
      <c r="I76" s="28"/>
      <c r="J76" s="204"/>
      <c r="V76" s="185"/>
    </row>
    <row r="77" spans="1:22" ht="18" customHeight="1">
      <c r="A77" s="184"/>
      <c r="F77" s="244"/>
      <c r="H77" s="120" t="s">
        <v>105</v>
      </c>
      <c r="I77" s="27" t="s">
        <v>127</v>
      </c>
      <c r="J77" s="27" t="s">
        <v>569</v>
      </c>
      <c r="K77" s="27" t="s">
        <v>554</v>
      </c>
      <c r="L77" s="120" t="s">
        <v>491</v>
      </c>
      <c r="M77" s="28" t="s">
        <v>347</v>
      </c>
      <c r="N77" s="120" t="s">
        <v>493</v>
      </c>
      <c r="O77" s="28" t="s">
        <v>539</v>
      </c>
      <c r="P77" s="120" t="s">
        <v>491</v>
      </c>
      <c r="Q77" s="28" t="s">
        <v>347</v>
      </c>
      <c r="R77" s="120" t="s">
        <v>512</v>
      </c>
      <c r="S77" s="296" t="s">
        <v>350</v>
      </c>
      <c r="V77" s="185"/>
    </row>
    <row r="78" spans="1:22" ht="18" customHeight="1">
      <c r="A78" s="184"/>
      <c r="I78" s="27" t="s">
        <v>127</v>
      </c>
      <c r="J78" s="245">
        <f>J55</f>
        <v>5</v>
      </c>
      <c r="K78" s="245" t="s">
        <v>554</v>
      </c>
      <c r="L78" s="301">
        <f>P64</f>
        <v>5</v>
      </c>
      <c r="M78" s="245" t="s">
        <v>347</v>
      </c>
      <c r="N78" s="242">
        <f>J56</f>
        <v>30</v>
      </c>
      <c r="O78" s="245" t="s">
        <v>539</v>
      </c>
      <c r="P78" s="301">
        <f>P64</f>
        <v>5</v>
      </c>
      <c r="Q78" s="245" t="s">
        <v>347</v>
      </c>
      <c r="R78" s="301">
        <f>J65</f>
        <v>2.2765261800000003</v>
      </c>
      <c r="S78" s="296" t="s">
        <v>350</v>
      </c>
      <c r="V78" s="185"/>
    </row>
    <row r="79" spans="1:22" ht="18" customHeight="1">
      <c r="A79" s="184"/>
      <c r="I79" s="27" t="s">
        <v>127</v>
      </c>
      <c r="J79" s="1111">
        <f>J78*((L78+N78)/(P78+R78))</f>
        <v>24.049937521148308</v>
      </c>
      <c r="K79" s="1111"/>
      <c r="L79" s="242"/>
      <c r="M79" s="242"/>
      <c r="N79" s="242"/>
      <c r="O79" s="242"/>
      <c r="P79" s="242"/>
      <c r="Q79" s="242"/>
      <c r="R79" s="242"/>
      <c r="V79" s="185"/>
    </row>
    <row r="80" spans="1:22" ht="18" customHeight="1">
      <c r="A80" s="184"/>
      <c r="I80" s="28"/>
      <c r="J80" s="211"/>
      <c r="K80" s="27"/>
      <c r="V80" s="185"/>
    </row>
    <row r="81" spans="1:22" ht="18" customHeight="1">
      <c r="A81" s="96" t="s">
        <v>584</v>
      </c>
      <c r="I81" s="28"/>
      <c r="J81" s="211"/>
      <c r="K81" s="27"/>
      <c r="V81" s="185"/>
    </row>
    <row r="82" spans="1:22" ht="18" customHeight="1">
      <c r="A82" s="184"/>
      <c r="B82" s="28">
        <v>1</v>
      </c>
      <c r="D82" s="14"/>
      <c r="H82" s="120" t="s">
        <v>492</v>
      </c>
      <c r="I82" s="28" t="s">
        <v>476</v>
      </c>
      <c r="J82" s="47" t="s">
        <v>104</v>
      </c>
      <c r="S82" s="14" t="s">
        <v>585</v>
      </c>
      <c r="V82" s="185"/>
    </row>
    <row r="83" spans="1:22" ht="18" customHeight="1">
      <c r="A83" s="184"/>
      <c r="G83" s="684">
        <f>J56</f>
        <v>30</v>
      </c>
      <c r="H83" s="684"/>
      <c r="I83" s="27" t="str">
        <f>IF(G83&gt;J83,"&gt;","&lt;")</f>
        <v>&gt;</v>
      </c>
      <c r="J83" s="795">
        <f>J75</f>
        <v>2.2765261800000003</v>
      </c>
      <c r="K83" s="684"/>
      <c r="S83" s="186" t="str">
        <f>IF(G83&gt;J83,"Satisfied","Not satisfied")</f>
        <v>Satisfied</v>
      </c>
      <c r="V83" s="185"/>
    </row>
    <row r="84" spans="1:22" ht="18" customHeight="1">
      <c r="A84" s="184"/>
      <c r="B84" s="28">
        <v>2</v>
      </c>
      <c r="D84" s="14"/>
      <c r="H84" s="244" t="s">
        <v>586</v>
      </c>
      <c r="I84" s="28" t="s">
        <v>476</v>
      </c>
      <c r="J84" s="14" t="s">
        <v>105</v>
      </c>
      <c r="K84" s="14"/>
      <c r="S84" s="14" t="s">
        <v>587</v>
      </c>
      <c r="V84" s="185"/>
    </row>
    <row r="85" spans="1:22" ht="18" customHeight="1">
      <c r="A85" s="184"/>
      <c r="D85" s="14"/>
      <c r="G85" s="795">
        <f>P72</f>
        <v>25</v>
      </c>
      <c r="H85" s="795"/>
      <c r="I85" s="27" t="str">
        <f>IF(G85&gt;J85,"&gt;","&lt;")</f>
        <v>&gt;</v>
      </c>
      <c r="J85" s="795">
        <f>J79</f>
        <v>24.049937521148308</v>
      </c>
      <c r="K85" s="795"/>
      <c r="R85" s="14"/>
      <c r="S85" s="186" t="str">
        <f>IF(G85&gt;J85,"Satisfied","Not satisfied")</f>
        <v>Satisfied</v>
      </c>
      <c r="V85" s="185"/>
    </row>
    <row r="86" spans="1:22" ht="18" customHeight="1">
      <c r="A86" s="184"/>
      <c r="D86" s="47"/>
      <c r="H86" s="244" t="s">
        <v>478</v>
      </c>
      <c r="J86" s="18" t="str">
        <f>IF(AND(I83="&gt;",I85="&gt;")=TRUE,"Suitably Dimensioned","Not suitable")</f>
        <v>Suitably Dimensioned</v>
      </c>
      <c r="O86" s="27"/>
      <c r="P86" s="211"/>
      <c r="Q86" s="211"/>
      <c r="R86" s="192"/>
      <c r="V86" s="185"/>
    </row>
    <row r="87" spans="1:22" ht="18" customHeight="1">
      <c r="A87" s="290"/>
      <c r="B87" s="196"/>
      <c r="C87" s="196"/>
      <c r="D87" s="2"/>
      <c r="E87" s="196"/>
      <c r="F87" s="196"/>
      <c r="G87" s="196"/>
      <c r="H87" s="306"/>
      <c r="I87" s="196"/>
      <c r="J87" s="195"/>
      <c r="K87" s="196"/>
      <c r="L87" s="196"/>
      <c r="M87" s="196"/>
      <c r="N87" s="196"/>
      <c r="O87" s="307"/>
      <c r="P87" s="308"/>
      <c r="Q87" s="308"/>
      <c r="R87" s="309"/>
      <c r="S87" s="196"/>
      <c r="T87" s="196"/>
      <c r="U87" s="196"/>
      <c r="V87" s="291"/>
    </row>
    <row r="88" spans="1:22" ht="18" hidden="1" customHeight="1">
      <c r="A88" s="184"/>
      <c r="D88" s="47"/>
      <c r="H88" s="244"/>
      <c r="J88" s="14"/>
      <c r="O88" s="27"/>
      <c r="P88" s="211"/>
      <c r="Q88" s="211"/>
      <c r="R88" s="192"/>
      <c r="V88" s="185"/>
    </row>
    <row r="89" spans="1:22" s="14" customFormat="1" ht="18" hidden="1" customHeight="1">
      <c r="A89" s="194"/>
      <c r="B89" s="195"/>
      <c r="C89" s="195"/>
      <c r="D89" s="195"/>
      <c r="E89" s="195"/>
      <c r="F89" s="195"/>
      <c r="G89" s="195"/>
      <c r="H89" s="195"/>
      <c r="I89" s="195"/>
      <c r="J89" s="195"/>
      <c r="K89" s="195"/>
      <c r="L89" s="195"/>
      <c r="M89" s="195"/>
      <c r="N89" s="195"/>
      <c r="O89" s="195"/>
      <c r="P89" s="195"/>
      <c r="Q89" s="224"/>
      <c r="R89" s="182"/>
      <c r="S89" s="225"/>
      <c r="T89" s="195"/>
      <c r="U89" s="195"/>
      <c r="V89" s="134"/>
    </row>
    <row r="90" spans="1:22" ht="18" hidden="1" customHeight="1">
      <c r="A90" s="226"/>
      <c r="B90" s="227"/>
      <c r="C90" s="227"/>
      <c r="D90" s="227"/>
      <c r="E90" s="227"/>
      <c r="F90" s="227"/>
      <c r="G90" s="227"/>
      <c r="H90" s="227"/>
      <c r="I90" s="227"/>
      <c r="J90" s="227"/>
      <c r="K90" s="227"/>
      <c r="L90" s="227"/>
      <c r="M90" s="227"/>
      <c r="N90" s="227"/>
      <c r="O90" s="227"/>
      <c r="P90" s="227"/>
      <c r="Q90" s="227"/>
      <c r="R90" s="227"/>
      <c r="S90" s="227"/>
      <c r="T90" s="227"/>
      <c r="U90" s="227"/>
      <c r="V90" s="228"/>
    </row>
    <row r="91" spans="1:22" ht="18" hidden="1" customHeight="1">
      <c r="A91" s="184"/>
      <c r="B91" s="854" t="str">
        <f>B49</f>
        <v>T1</v>
      </c>
      <c r="C91" s="831"/>
      <c r="D91" s="855" t="str">
        <f>D49</f>
        <v>Core3</v>
      </c>
      <c r="E91" s="856"/>
      <c r="F91" s="255"/>
      <c r="H91" s="684" t="str">
        <f>H49</f>
        <v>(Metering + Ammeter)</v>
      </c>
      <c r="I91" s="684"/>
      <c r="J91" s="684"/>
      <c r="K91" s="684"/>
      <c r="L91" s="684"/>
      <c r="M91" s="684"/>
      <c r="P91" s="186"/>
      <c r="V91" s="185"/>
    </row>
    <row r="92" spans="1:22" ht="18" hidden="1" customHeight="1">
      <c r="A92" s="184"/>
      <c r="B92" s="853">
        <f>B50</f>
        <v>0</v>
      </c>
      <c r="C92" s="853"/>
      <c r="D92" s="857"/>
      <c r="E92" s="858"/>
      <c r="F92" s="255"/>
      <c r="V92" s="185"/>
    </row>
    <row r="93" spans="1:22" ht="18" hidden="1" customHeight="1">
      <c r="A93" s="184"/>
      <c r="H93" s="708" t="s">
        <v>390</v>
      </c>
      <c r="I93" s="708"/>
      <c r="J93" s="708" t="s">
        <v>391</v>
      </c>
      <c r="K93" s="708"/>
      <c r="L93" s="789" t="s">
        <v>392</v>
      </c>
      <c r="M93" s="789"/>
      <c r="V93" s="185"/>
    </row>
    <row r="94" spans="1:22" ht="18" hidden="1" customHeight="1">
      <c r="A94" s="184"/>
      <c r="B94" s="47" t="s">
        <v>393</v>
      </c>
      <c r="H94" s="854">
        <f>H52</f>
        <v>2800</v>
      </c>
      <c r="I94" s="831"/>
      <c r="J94" s="854">
        <f>J52</f>
        <v>3200</v>
      </c>
      <c r="K94" s="831"/>
      <c r="L94" s="863" t="str">
        <f>L52</f>
        <v>-</v>
      </c>
      <c r="M94" s="864"/>
      <c r="N94" s="191" t="s">
        <v>342</v>
      </c>
      <c r="O94" s="256">
        <f>O52</f>
        <v>1</v>
      </c>
      <c r="P94" s="27" t="s">
        <v>8</v>
      </c>
      <c r="V94" s="185"/>
    </row>
    <row r="95" spans="1:22" ht="18" hidden="1" customHeight="1">
      <c r="A95" s="184"/>
      <c r="B95" s="47" t="s">
        <v>394</v>
      </c>
      <c r="H95" s="14"/>
      <c r="I95" s="14"/>
      <c r="K95" s="14"/>
      <c r="L95" s="854" t="str">
        <f>J53</f>
        <v>0.5FS5</v>
      </c>
      <c r="M95" s="831"/>
      <c r="N95" s="14"/>
      <c r="V95" s="185"/>
    </row>
    <row r="96" spans="1:22" ht="18" hidden="1" customHeight="1">
      <c r="A96" s="184"/>
      <c r="B96" s="47" t="s">
        <v>396</v>
      </c>
      <c r="I96" s="120"/>
      <c r="K96" s="120" t="s">
        <v>497</v>
      </c>
      <c r="L96" s="781" t="s">
        <v>6</v>
      </c>
      <c r="M96" s="782"/>
      <c r="N96" s="192" t="s">
        <v>333</v>
      </c>
      <c r="T96" s="295"/>
      <c r="U96" s="18"/>
      <c r="V96" s="185"/>
    </row>
    <row r="97" spans="1:23" ht="18" hidden="1" customHeight="1">
      <c r="A97" s="184"/>
      <c r="B97" s="30" t="s">
        <v>568</v>
      </c>
      <c r="I97" s="120"/>
      <c r="K97" s="120" t="s">
        <v>569</v>
      </c>
      <c r="L97" s="781" t="s">
        <v>6</v>
      </c>
      <c r="M97" s="782"/>
      <c r="T97" s="295"/>
      <c r="U97" s="18"/>
      <c r="V97" s="185"/>
      <c r="W97" s="30" t="e">
        <f>J126</f>
        <v>#VALUE!</v>
      </c>
    </row>
    <row r="98" spans="1:23" ht="18" hidden="1" customHeight="1">
      <c r="A98" s="184"/>
      <c r="B98" s="47" t="s">
        <v>562</v>
      </c>
      <c r="I98" s="120"/>
      <c r="K98" s="120" t="s">
        <v>493</v>
      </c>
      <c r="L98" s="781" t="s">
        <v>6</v>
      </c>
      <c r="M98" s="782"/>
      <c r="N98" s="14" t="s">
        <v>157</v>
      </c>
      <c r="T98" s="295"/>
      <c r="U98" s="18"/>
      <c r="V98" s="185"/>
    </row>
    <row r="99" spans="1:23" ht="18" hidden="1" customHeight="1">
      <c r="A99" s="184"/>
      <c r="V99" s="185"/>
    </row>
    <row r="100" spans="1:23" ht="18" hidden="1" customHeight="1">
      <c r="A100" s="193" t="s">
        <v>404</v>
      </c>
      <c r="V100" s="185"/>
    </row>
    <row r="101" spans="1:23" ht="18" hidden="1" customHeight="1">
      <c r="A101" s="184"/>
      <c r="V101" s="185"/>
    </row>
    <row r="102" spans="1:23" ht="18" hidden="1" customHeight="1">
      <c r="A102" s="184"/>
      <c r="B102" s="135" t="s">
        <v>405</v>
      </c>
      <c r="C102" s="273"/>
      <c r="D102" s="139" t="str">
        <f>D60</f>
        <v>REC670</v>
      </c>
      <c r="E102" s="227"/>
      <c r="F102" s="227"/>
      <c r="G102" s="227"/>
      <c r="H102" s="138"/>
      <c r="I102" s="260" t="s">
        <v>127</v>
      </c>
      <c r="J102" s="722">
        <f t="shared" ref="J102:J107" si="1">J60</f>
        <v>0.02</v>
      </c>
      <c r="K102" s="958"/>
      <c r="L102" s="3" t="s">
        <v>157</v>
      </c>
      <c r="N102" s="197" t="s">
        <v>510</v>
      </c>
      <c r="V102" s="185"/>
    </row>
    <row r="103" spans="1:23" ht="18" hidden="1" customHeight="1">
      <c r="A103" s="184"/>
      <c r="B103" s="96" t="s">
        <v>405</v>
      </c>
      <c r="D103" s="296" t="str">
        <f>D61</f>
        <v>CP-L96A</v>
      </c>
      <c r="I103" s="177" t="s">
        <v>127</v>
      </c>
      <c r="J103" s="1119">
        <f t="shared" si="1"/>
        <v>1</v>
      </c>
      <c r="K103" s="989"/>
      <c r="L103" s="198" t="s">
        <v>157</v>
      </c>
      <c r="P103" s="244"/>
      <c r="V103" s="185"/>
    </row>
    <row r="104" spans="1:23" ht="18" hidden="1" customHeight="1">
      <c r="A104" s="184"/>
      <c r="B104" s="96" t="s">
        <v>405</v>
      </c>
      <c r="C104" s="14"/>
      <c r="D104" s="47">
        <f>D62</f>
        <v>0</v>
      </c>
      <c r="E104" s="14"/>
      <c r="G104" s="199"/>
      <c r="H104" s="27"/>
      <c r="I104" s="101" t="s">
        <v>127</v>
      </c>
      <c r="J104" s="696">
        <f t="shared" si="1"/>
        <v>0</v>
      </c>
      <c r="K104" s="820"/>
      <c r="L104" s="202" t="s">
        <v>157</v>
      </c>
      <c r="N104" s="120" t="s">
        <v>491</v>
      </c>
      <c r="O104" s="27" t="s">
        <v>127</v>
      </c>
      <c r="P104" s="27" t="s">
        <v>511</v>
      </c>
      <c r="Q104" s="27" t="s">
        <v>315</v>
      </c>
      <c r="R104" s="27" t="s">
        <v>511</v>
      </c>
      <c r="S104" s="27" t="s">
        <v>315</v>
      </c>
      <c r="T104" s="27" t="s">
        <v>420</v>
      </c>
      <c r="V104" s="185"/>
    </row>
    <row r="105" spans="1:23" ht="18" hidden="1" customHeight="1">
      <c r="A105" s="184"/>
      <c r="B105" s="96" t="s">
        <v>405</v>
      </c>
      <c r="C105" s="14"/>
      <c r="D105" s="47">
        <f>T10</f>
        <v>0</v>
      </c>
      <c r="E105" s="14"/>
      <c r="G105" s="199"/>
      <c r="H105" s="27"/>
      <c r="I105" s="101" t="s">
        <v>127</v>
      </c>
      <c r="J105" s="696">
        <f t="shared" si="1"/>
        <v>0</v>
      </c>
      <c r="K105" s="820"/>
      <c r="L105" s="202" t="s">
        <v>157</v>
      </c>
      <c r="O105" s="27" t="s">
        <v>127</v>
      </c>
      <c r="P105" s="27">
        <f>O94</f>
        <v>1</v>
      </c>
      <c r="Q105" s="27" t="s">
        <v>315</v>
      </c>
      <c r="R105" s="27">
        <f>O94</f>
        <v>1</v>
      </c>
      <c r="S105" s="27" t="s">
        <v>315</v>
      </c>
      <c r="T105" s="27" t="str">
        <f>L96</f>
        <v>-</v>
      </c>
      <c r="V105" s="185"/>
    </row>
    <row r="106" spans="1:23" ht="18" hidden="1" customHeight="1">
      <c r="A106" s="184"/>
      <c r="B106" s="184" t="s">
        <v>412</v>
      </c>
      <c r="C106" s="14"/>
      <c r="D106" s="47"/>
      <c r="E106" s="14"/>
      <c r="H106" s="27"/>
      <c r="I106" s="101" t="s">
        <v>127</v>
      </c>
      <c r="J106" s="1120">
        <f t="shared" si="1"/>
        <v>1.25652618</v>
      </c>
      <c r="K106" s="987"/>
      <c r="L106" s="297" t="s">
        <v>157</v>
      </c>
      <c r="O106" s="27" t="s">
        <v>127</v>
      </c>
      <c r="P106" s="795" t="e">
        <f>P105*R105*T105</f>
        <v>#VALUE!</v>
      </c>
      <c r="Q106" s="684"/>
      <c r="R106" s="27" t="s">
        <v>157</v>
      </c>
      <c r="S106" s="27"/>
      <c r="T106" s="27"/>
      <c r="V106" s="185"/>
    </row>
    <row r="107" spans="1:23" ht="18" hidden="1" customHeight="1">
      <c r="A107" s="184"/>
      <c r="B107" s="1" t="s">
        <v>413</v>
      </c>
      <c r="C107" s="2"/>
      <c r="D107" s="2"/>
      <c r="E107" s="2"/>
      <c r="F107" s="196"/>
      <c r="G107" s="196"/>
      <c r="H107" s="224" t="s">
        <v>512</v>
      </c>
      <c r="I107" s="183" t="s">
        <v>127</v>
      </c>
      <c r="J107" s="766">
        <f t="shared" si="1"/>
        <v>2.2765261800000003</v>
      </c>
      <c r="K107" s="958"/>
      <c r="L107" s="3" t="s">
        <v>157</v>
      </c>
      <c r="O107" s="27"/>
      <c r="P107" s="211"/>
      <c r="Q107" s="211"/>
      <c r="R107" s="192"/>
      <c r="V107" s="185"/>
    </row>
    <row r="108" spans="1:23" ht="18" hidden="1" customHeight="1">
      <c r="A108" s="184"/>
      <c r="V108" s="185"/>
    </row>
    <row r="109" spans="1:23" ht="18" hidden="1" customHeight="1">
      <c r="A109" s="184"/>
      <c r="B109" s="47"/>
      <c r="C109" s="47" t="s">
        <v>579</v>
      </c>
      <c r="D109" s="47"/>
      <c r="E109" s="47"/>
      <c r="H109" s="27"/>
      <c r="I109" s="28"/>
      <c r="J109" s="199"/>
      <c r="L109" s="47"/>
      <c r="O109" s="27"/>
      <c r="P109" s="211"/>
      <c r="Q109" s="305" t="s">
        <v>580</v>
      </c>
      <c r="R109" s="102" t="s">
        <v>127</v>
      </c>
      <c r="S109" s="775">
        <f>S73</f>
        <v>25</v>
      </c>
      <c r="T109" s="776"/>
      <c r="V109" s="185"/>
    </row>
    <row r="110" spans="1:23" ht="18" hidden="1" customHeight="1">
      <c r="A110" s="184"/>
      <c r="B110" s="47"/>
      <c r="C110" s="47"/>
      <c r="D110" s="47"/>
      <c r="E110" s="47"/>
      <c r="H110" s="27"/>
      <c r="I110" s="28"/>
      <c r="J110" s="199"/>
      <c r="L110" s="47"/>
      <c r="O110" s="27"/>
      <c r="P110" s="211"/>
      <c r="Q110" s="211"/>
      <c r="R110" s="192"/>
      <c r="V110" s="185"/>
    </row>
    <row r="111" spans="1:23" ht="18" hidden="1" customHeight="1">
      <c r="A111" s="184"/>
      <c r="B111" s="47"/>
      <c r="C111" s="47" t="s">
        <v>581</v>
      </c>
      <c r="D111" s="47"/>
      <c r="E111" s="47"/>
      <c r="H111" s="27"/>
      <c r="I111" s="28" t="s">
        <v>127</v>
      </c>
      <c r="J111" s="281" t="s">
        <v>588</v>
      </c>
      <c r="L111" s="47"/>
      <c r="M111" s="28" t="s">
        <v>347</v>
      </c>
      <c r="N111" s="14" t="s">
        <v>589</v>
      </c>
      <c r="O111" s="27"/>
      <c r="P111" s="211"/>
      <c r="Q111" s="211"/>
      <c r="R111" s="192"/>
      <c r="V111" s="185"/>
    </row>
    <row r="112" spans="1:23" ht="18" hidden="1" customHeight="1">
      <c r="A112" s="184"/>
      <c r="I112" s="28" t="s">
        <v>127</v>
      </c>
      <c r="J112" s="795" t="e">
        <f>P106</f>
        <v>#VALUE!</v>
      </c>
      <c r="K112" s="684"/>
      <c r="L112" s="28" t="s">
        <v>347</v>
      </c>
      <c r="M112" s="795">
        <f>J107</f>
        <v>2.2765261800000003</v>
      </c>
      <c r="N112" s="684"/>
      <c r="V112" s="185"/>
    </row>
    <row r="113" spans="1:22" ht="18" hidden="1" customHeight="1">
      <c r="A113" s="184"/>
      <c r="I113" s="28" t="s">
        <v>127</v>
      </c>
      <c r="J113" s="795" t="e">
        <f>J112+M112</f>
        <v>#VALUE!</v>
      </c>
      <c r="K113" s="684"/>
      <c r="V113" s="185"/>
    </row>
    <row r="114" spans="1:22" ht="18" hidden="1" customHeight="1">
      <c r="A114" s="184"/>
      <c r="V114" s="185"/>
    </row>
    <row r="115" spans="1:22" ht="18" hidden="1" customHeight="1">
      <c r="A115" s="184"/>
      <c r="F115" s="244"/>
      <c r="H115" s="120" t="s">
        <v>105</v>
      </c>
      <c r="I115" s="27" t="s">
        <v>127</v>
      </c>
      <c r="J115" s="27" t="s">
        <v>569</v>
      </c>
      <c r="K115" s="27" t="s">
        <v>554</v>
      </c>
      <c r="L115" s="120" t="s">
        <v>491</v>
      </c>
      <c r="M115" s="28" t="s">
        <v>347</v>
      </c>
      <c r="N115" s="120" t="s">
        <v>493</v>
      </c>
      <c r="O115" s="28" t="s">
        <v>539</v>
      </c>
      <c r="P115" s="120" t="s">
        <v>491</v>
      </c>
      <c r="Q115" s="28" t="s">
        <v>347</v>
      </c>
      <c r="R115" s="120" t="s">
        <v>512</v>
      </c>
      <c r="S115" s="296" t="s">
        <v>350</v>
      </c>
      <c r="V115" s="185"/>
    </row>
    <row r="116" spans="1:22" ht="18" hidden="1" customHeight="1">
      <c r="A116" s="184"/>
      <c r="I116" s="27" t="s">
        <v>127</v>
      </c>
      <c r="J116" s="245" t="str">
        <f>L97</f>
        <v>-</v>
      </c>
      <c r="K116" s="245" t="s">
        <v>554</v>
      </c>
      <c r="L116" s="301" t="e">
        <f>P106</f>
        <v>#VALUE!</v>
      </c>
      <c r="M116" s="245" t="s">
        <v>347</v>
      </c>
      <c r="N116" s="242" t="str">
        <f>L98</f>
        <v>-</v>
      </c>
      <c r="O116" s="245" t="s">
        <v>539</v>
      </c>
      <c r="P116" s="301" t="e">
        <f>P106</f>
        <v>#VALUE!</v>
      </c>
      <c r="Q116" s="245" t="s">
        <v>347</v>
      </c>
      <c r="R116" s="301">
        <f>J107</f>
        <v>2.2765261800000003</v>
      </c>
      <c r="S116" s="296" t="s">
        <v>350</v>
      </c>
      <c r="V116" s="185"/>
    </row>
    <row r="117" spans="1:22" ht="18" hidden="1" customHeight="1">
      <c r="A117" s="184"/>
      <c r="I117" s="27" t="s">
        <v>127</v>
      </c>
      <c r="J117" s="1111" t="e">
        <f>J116*((L116+N116)/(P116+R116))</f>
        <v>#VALUE!</v>
      </c>
      <c r="K117" s="1111"/>
      <c r="L117" s="242"/>
      <c r="M117" s="242"/>
      <c r="N117" s="242"/>
      <c r="O117" s="242"/>
      <c r="P117" s="242"/>
      <c r="Q117" s="242"/>
      <c r="R117" s="242"/>
      <c r="V117" s="185"/>
    </row>
    <row r="118" spans="1:22" ht="18" hidden="1" customHeight="1">
      <c r="A118" s="184"/>
      <c r="I118" s="28"/>
      <c r="J118" s="211"/>
      <c r="K118" s="27"/>
      <c r="V118" s="185"/>
    </row>
    <row r="119" spans="1:22" ht="18" hidden="1" customHeight="1">
      <c r="A119" s="96" t="s">
        <v>584</v>
      </c>
      <c r="I119" s="28"/>
      <c r="J119" s="211"/>
      <c r="K119" s="27"/>
      <c r="V119" s="185"/>
    </row>
    <row r="120" spans="1:22" ht="18" hidden="1" customHeight="1">
      <c r="A120" s="184"/>
      <c r="B120" s="28">
        <v>1</v>
      </c>
      <c r="D120" s="14"/>
      <c r="H120" s="120" t="s">
        <v>492</v>
      </c>
      <c r="I120" s="28" t="s">
        <v>476</v>
      </c>
      <c r="J120" s="47" t="s">
        <v>104</v>
      </c>
      <c r="S120" s="14" t="s">
        <v>585</v>
      </c>
      <c r="V120" s="185"/>
    </row>
    <row r="121" spans="1:22" ht="18" hidden="1" customHeight="1">
      <c r="A121" s="184"/>
      <c r="G121" s="684" t="str">
        <f>L98</f>
        <v>-</v>
      </c>
      <c r="H121" s="684"/>
      <c r="I121" s="27" t="e">
        <f>IF(G121&gt;J121,"&gt;","&lt;")</f>
        <v>#VALUE!</v>
      </c>
      <c r="J121" s="795" t="e">
        <f>J113</f>
        <v>#VALUE!</v>
      </c>
      <c r="K121" s="684"/>
      <c r="S121" s="186" t="e">
        <f>IF(G121&gt;J121,"Satisfied","Not satisfied")</f>
        <v>#VALUE!</v>
      </c>
      <c r="V121" s="185"/>
    </row>
    <row r="122" spans="1:22" ht="18" hidden="1" customHeight="1">
      <c r="A122" s="184"/>
      <c r="D122" s="14"/>
      <c r="H122" s="120"/>
      <c r="I122" s="27"/>
      <c r="R122" s="14"/>
      <c r="V122" s="185"/>
    </row>
    <row r="123" spans="1:22" ht="18" hidden="1" customHeight="1">
      <c r="A123" s="184"/>
      <c r="B123" s="28">
        <v>2</v>
      </c>
      <c r="D123" s="14"/>
      <c r="H123" s="244" t="s">
        <v>586</v>
      </c>
      <c r="I123" s="28" t="s">
        <v>476</v>
      </c>
      <c r="J123" s="14" t="s">
        <v>105</v>
      </c>
      <c r="K123" s="14"/>
      <c r="S123" s="14" t="s">
        <v>587</v>
      </c>
      <c r="V123" s="185"/>
    </row>
    <row r="124" spans="1:22" ht="18" hidden="1" customHeight="1">
      <c r="A124" s="184"/>
      <c r="D124" s="14"/>
      <c r="G124" s="795">
        <f>S109</f>
        <v>25</v>
      </c>
      <c r="H124" s="795"/>
      <c r="I124" s="27" t="e">
        <f>IF(G124&gt;J124,"&gt;","&lt;")</f>
        <v>#VALUE!</v>
      </c>
      <c r="J124" s="795" t="e">
        <f>J117</f>
        <v>#VALUE!</v>
      </c>
      <c r="K124" s="795"/>
      <c r="R124" s="14"/>
      <c r="S124" s="186" t="e">
        <f>IF(G124&gt;J124,"Satisfied","Not satisfied")</f>
        <v>#VALUE!</v>
      </c>
      <c r="V124" s="185"/>
    </row>
    <row r="125" spans="1:22" ht="18" hidden="1" customHeight="1">
      <c r="A125" s="184"/>
      <c r="D125" s="47"/>
      <c r="I125" s="27"/>
      <c r="O125" s="27"/>
      <c r="P125" s="211"/>
      <c r="Q125" s="211"/>
      <c r="R125" s="192"/>
      <c r="V125" s="185"/>
    </row>
    <row r="126" spans="1:22" ht="18" hidden="1" customHeight="1">
      <c r="A126" s="184"/>
      <c r="D126" s="47"/>
      <c r="H126" s="244" t="s">
        <v>478</v>
      </c>
      <c r="J126" s="18" t="e">
        <f>IF(AND(I121="&gt;",I124="&gt;")=TRUE,"Suitably Dimentioned","Not suitable")</f>
        <v>#VALUE!</v>
      </c>
      <c r="O126" s="27"/>
      <c r="P126" s="211"/>
      <c r="Q126" s="211"/>
      <c r="R126" s="192"/>
      <c r="V126" s="185"/>
    </row>
    <row r="127" spans="1:22" ht="18" hidden="1" customHeight="1">
      <c r="A127" s="184"/>
      <c r="D127" s="47"/>
      <c r="H127" s="244"/>
      <c r="J127" s="18"/>
      <c r="O127" s="27"/>
      <c r="P127" s="211"/>
      <c r="Q127" s="211"/>
      <c r="R127" s="192"/>
      <c r="V127" s="185"/>
    </row>
    <row r="128" spans="1:22" ht="18" hidden="1" customHeight="1">
      <c r="A128" s="184"/>
      <c r="D128" s="47"/>
      <c r="H128" s="244"/>
      <c r="J128" s="18"/>
      <c r="O128" s="27"/>
      <c r="P128" s="211"/>
      <c r="Q128" s="211"/>
      <c r="R128" s="192"/>
      <c r="V128" s="185"/>
    </row>
    <row r="129" spans="1:22" ht="18" hidden="1" customHeight="1">
      <c r="A129" s="184"/>
      <c r="D129" s="47"/>
      <c r="H129" s="244"/>
      <c r="J129" s="18"/>
      <c r="O129" s="27"/>
      <c r="P129" s="211"/>
      <c r="Q129" s="211"/>
      <c r="R129" s="192"/>
      <c r="V129" s="185"/>
    </row>
    <row r="130" spans="1:22" ht="18" hidden="1" customHeight="1">
      <c r="A130" s="184"/>
      <c r="D130" s="47"/>
      <c r="H130" s="244"/>
      <c r="J130" s="18"/>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B132" s="47"/>
      <c r="C132" s="47"/>
      <c r="D132" s="47"/>
      <c r="E132" s="47"/>
      <c r="H132" s="27"/>
      <c r="I132" s="28"/>
      <c r="J132" s="199"/>
      <c r="L132" s="47"/>
      <c r="O132" s="27"/>
      <c r="P132" s="211"/>
      <c r="Q132" s="211"/>
      <c r="R132" s="192"/>
      <c r="V132" s="185"/>
    </row>
    <row r="133" spans="1:22" s="14" customFormat="1" ht="18" hidden="1" customHeight="1">
      <c r="A133" s="194"/>
      <c r="B133" s="195"/>
      <c r="C133" s="195"/>
      <c r="D133" s="195"/>
      <c r="E133" s="195"/>
      <c r="F133" s="195"/>
      <c r="G133" s="195"/>
      <c r="H133" s="195"/>
      <c r="I133" s="195"/>
      <c r="J133" s="195"/>
      <c r="K133" s="195"/>
      <c r="L133" s="195"/>
      <c r="M133" s="195"/>
      <c r="N133" s="195"/>
      <c r="O133" s="195"/>
      <c r="P133" s="195"/>
      <c r="Q133" s="224"/>
      <c r="R133" s="182"/>
      <c r="S133" s="225"/>
      <c r="T133" s="195"/>
      <c r="U133" s="195"/>
      <c r="V133" s="134" t="s">
        <v>552</v>
      </c>
    </row>
    <row r="134" spans="1:22" ht="18" hidden="1" customHeight="1">
      <c r="A134" s="226"/>
      <c r="B134" s="227"/>
      <c r="C134" s="227"/>
      <c r="D134" s="227"/>
      <c r="E134" s="227"/>
      <c r="F134" s="227"/>
      <c r="G134" s="227"/>
      <c r="H134" s="227"/>
      <c r="I134" s="227"/>
      <c r="J134" s="227"/>
      <c r="K134" s="227"/>
      <c r="L134" s="227"/>
      <c r="M134" s="227"/>
      <c r="N134" s="227"/>
      <c r="O134" s="227"/>
      <c r="P134" s="227"/>
      <c r="Q134" s="227"/>
      <c r="R134" s="227"/>
      <c r="S134" s="227"/>
      <c r="T134" s="227"/>
      <c r="U134" s="227"/>
      <c r="V134" s="228"/>
    </row>
    <row r="135" spans="1:22" ht="18" customHeight="1">
      <c r="A135" s="262" t="s">
        <v>532</v>
      </c>
      <c r="B135" s="14"/>
      <c r="C135" s="14"/>
      <c r="D135" s="120"/>
      <c r="E135" s="120"/>
      <c r="F135" s="18"/>
      <c r="G135" s="18"/>
      <c r="H135" s="14"/>
      <c r="I135" s="14"/>
      <c r="J135" s="14"/>
      <c r="K135" s="14"/>
      <c r="L135" s="14"/>
      <c r="M135" s="14"/>
      <c r="N135" s="14"/>
      <c r="O135" s="14"/>
      <c r="P135" s="28"/>
      <c r="Q135" s="120"/>
      <c r="R135" s="47"/>
      <c r="S135" s="206"/>
      <c r="T135" s="259"/>
      <c r="U135" s="14"/>
      <c r="V135" s="97"/>
    </row>
    <row r="136" spans="1:22" ht="18" customHeight="1">
      <c r="A136" s="955" t="s">
        <v>85</v>
      </c>
      <c r="B136" s="956"/>
      <c r="C136" s="957"/>
      <c r="D136" s="955" t="s">
        <v>86</v>
      </c>
      <c r="E136" s="956"/>
      <c r="F136" s="957"/>
      <c r="G136" s="955" t="s">
        <v>87</v>
      </c>
      <c r="H136" s="957"/>
      <c r="I136" s="955" t="s">
        <v>88</v>
      </c>
      <c r="J136" s="957"/>
      <c r="K136" s="955" t="s">
        <v>502</v>
      </c>
      <c r="L136" s="957"/>
      <c r="M136" s="955" t="s">
        <v>102</v>
      </c>
      <c r="N136" s="957"/>
      <c r="O136" s="955"/>
      <c r="P136" s="957"/>
      <c r="Q136" s="955" t="s">
        <v>505</v>
      </c>
      <c r="R136" s="957"/>
      <c r="S136" s="955" t="s">
        <v>93</v>
      </c>
      <c r="T136" s="956"/>
      <c r="U136" s="956"/>
      <c r="V136" s="957"/>
    </row>
    <row r="137" spans="1:22" ht="18" customHeight="1">
      <c r="A137" s="1125"/>
      <c r="B137" s="983"/>
      <c r="C137" s="1126"/>
      <c r="D137" s="1125"/>
      <c r="E137" s="983"/>
      <c r="F137" s="1126"/>
      <c r="G137" s="1125"/>
      <c r="H137" s="1126"/>
      <c r="I137" s="1125"/>
      <c r="J137" s="1126"/>
      <c r="K137" s="1125"/>
      <c r="L137" s="1126"/>
      <c r="M137" s="1125"/>
      <c r="N137" s="1126"/>
      <c r="O137" s="1125"/>
      <c r="P137" s="1126"/>
      <c r="Q137" s="1125"/>
      <c r="R137" s="1126"/>
      <c r="S137" s="1125"/>
      <c r="T137" s="983"/>
      <c r="U137" s="983"/>
      <c r="V137" s="1126"/>
    </row>
    <row r="138" spans="1:22" ht="18" customHeight="1">
      <c r="A138" s="1125"/>
      <c r="B138" s="983"/>
      <c r="C138" s="1126"/>
      <c r="D138" s="1125"/>
      <c r="E138" s="983"/>
      <c r="F138" s="1126"/>
      <c r="G138" s="1125"/>
      <c r="H138" s="1126"/>
      <c r="I138" s="1125"/>
      <c r="J138" s="1126"/>
      <c r="K138" s="1125"/>
      <c r="L138" s="1126"/>
      <c r="M138" s="1125"/>
      <c r="N138" s="1126"/>
      <c r="O138" s="1125"/>
      <c r="P138" s="1126"/>
      <c r="Q138" s="1125"/>
      <c r="R138" s="1126"/>
      <c r="S138" s="1125"/>
      <c r="T138" s="983"/>
      <c r="U138" s="983"/>
      <c r="V138" s="1126"/>
    </row>
    <row r="139" spans="1:22" ht="18" customHeight="1">
      <c r="A139" s="1047"/>
      <c r="B139" s="1048"/>
      <c r="C139" s="1049"/>
      <c r="D139" s="1047"/>
      <c r="E139" s="1048"/>
      <c r="F139" s="1049"/>
      <c r="G139" s="1047"/>
      <c r="H139" s="1049"/>
      <c r="I139" s="1047"/>
      <c r="J139" s="1049"/>
      <c r="K139" s="1047"/>
      <c r="L139" s="1049"/>
      <c r="M139" s="1047"/>
      <c r="N139" s="1049"/>
      <c r="O139" s="1047"/>
      <c r="P139" s="1049"/>
      <c r="Q139" s="1047"/>
      <c r="R139" s="1049"/>
      <c r="S139" s="1047"/>
      <c r="T139" s="1048"/>
      <c r="U139" s="1048"/>
      <c r="V139" s="1049"/>
    </row>
    <row r="140" spans="1:22" ht="18" customHeight="1">
      <c r="A140" s="765" t="str">
        <f>B91</f>
        <v>T1</v>
      </c>
      <c r="B140" s="765" t="str">
        <f>D91</f>
        <v>Core3</v>
      </c>
      <c r="C140" s="765"/>
      <c r="D140" s="870">
        <f>H94</f>
        <v>2800</v>
      </c>
      <c r="E140" s="870"/>
      <c r="F140" s="871">
        <f>O94</f>
        <v>1</v>
      </c>
      <c r="G140" s="961">
        <f>'CT-VT Burdens'!S21</f>
        <v>120</v>
      </c>
      <c r="H140" s="959">
        <f>'CT-VT Burdens'!S10</f>
        <v>6</v>
      </c>
      <c r="I140" s="874" t="str">
        <f>L95</f>
        <v>0.5FS5</v>
      </c>
      <c r="J140" s="874"/>
      <c r="K140" s="869">
        <f>H12</f>
        <v>4</v>
      </c>
      <c r="L140" s="869"/>
      <c r="M140" s="869">
        <f>H14</f>
        <v>25</v>
      </c>
      <c r="N140" s="869"/>
      <c r="O140" s="870" t="s">
        <v>6</v>
      </c>
      <c r="P140" s="870"/>
      <c r="Q140" s="879" t="str">
        <f>CONCATENATE(T7," ",T8," ",T9," ",T10)</f>
        <v xml:space="preserve">REC670 CP-L96A  </v>
      </c>
      <c r="R140" s="879"/>
      <c r="S140" s="878" t="str">
        <f>J46</f>
        <v>Suitably Dimensioned</v>
      </c>
      <c r="T140" s="878"/>
      <c r="U140" s="878"/>
      <c r="V140" s="878"/>
    </row>
    <row r="141" spans="1:22" ht="18" customHeight="1">
      <c r="A141" s="765"/>
      <c r="B141" s="765"/>
      <c r="C141" s="765"/>
      <c r="D141" s="870">
        <f>J94</f>
        <v>3200</v>
      </c>
      <c r="E141" s="870"/>
      <c r="F141" s="872"/>
      <c r="G141" s="961"/>
      <c r="H141" s="959"/>
      <c r="I141" s="874"/>
      <c r="J141" s="874"/>
      <c r="K141" s="875">
        <f>J54</f>
        <v>5</v>
      </c>
      <c r="L141" s="869"/>
      <c r="M141" s="875">
        <f>J56</f>
        <v>30</v>
      </c>
      <c r="N141" s="869"/>
      <c r="O141" s="870" t="s">
        <v>6</v>
      </c>
      <c r="P141" s="870"/>
      <c r="Q141" s="879"/>
      <c r="R141" s="879"/>
      <c r="S141" s="877" t="str">
        <f>J86</f>
        <v>Suitably Dimensioned</v>
      </c>
      <c r="T141" s="878"/>
      <c r="U141" s="878"/>
      <c r="V141" s="878"/>
    </row>
    <row r="142" spans="1:22" ht="18" customHeight="1">
      <c r="A142" s="765"/>
      <c r="B142" s="765"/>
      <c r="C142" s="765"/>
      <c r="D142" s="870" t="s">
        <v>6</v>
      </c>
      <c r="E142" s="870"/>
      <c r="F142" s="873"/>
      <c r="G142" s="961"/>
      <c r="H142" s="959"/>
      <c r="I142" s="874"/>
      <c r="J142" s="874"/>
      <c r="K142" s="869" t="s">
        <v>6</v>
      </c>
      <c r="L142" s="869"/>
      <c r="M142" s="869" t="s">
        <v>6</v>
      </c>
      <c r="N142" s="869"/>
      <c r="O142" s="870" t="s">
        <v>6</v>
      </c>
      <c r="P142" s="870"/>
      <c r="Q142" s="879"/>
      <c r="R142" s="879"/>
      <c r="S142" s="878" t="s">
        <v>6</v>
      </c>
      <c r="T142" s="878"/>
      <c r="U142" s="878"/>
      <c r="V142" s="878"/>
    </row>
    <row r="143" spans="1:22" ht="18" customHeight="1">
      <c r="A143" s="265"/>
      <c r="B143" s="239"/>
      <c r="C143" s="239"/>
      <c r="D143" s="239"/>
      <c r="E143" s="239"/>
      <c r="F143" s="239"/>
      <c r="G143" s="239"/>
      <c r="H143" s="239"/>
      <c r="I143" s="239"/>
      <c r="J143" s="93"/>
      <c r="K143" s="93"/>
      <c r="L143" s="239"/>
      <c r="M143" s="239"/>
      <c r="N143" s="239"/>
      <c r="O143" s="239"/>
      <c r="P143" s="239"/>
      <c r="Q143" s="239"/>
      <c r="R143" s="239"/>
      <c r="S143" s="239"/>
      <c r="T143" s="239"/>
      <c r="U143" s="103"/>
      <c r="V143" s="310"/>
    </row>
    <row r="144" spans="1:22" ht="18" customHeight="1">
      <c r="A144" s="265"/>
      <c r="B144" s="239"/>
      <c r="C144" s="239"/>
      <c r="D144" s="239"/>
      <c r="E144" s="239"/>
      <c r="F144" s="239"/>
      <c r="G144" s="239"/>
      <c r="H144" s="239"/>
      <c r="I144" s="239"/>
      <c r="J144" s="93"/>
      <c r="K144" s="93"/>
      <c r="L144" s="239"/>
      <c r="M144" s="239"/>
      <c r="N144" s="239"/>
      <c r="O144" s="239"/>
      <c r="P144" s="239"/>
      <c r="Q144" s="239"/>
      <c r="R144" s="239"/>
      <c r="S144" s="239"/>
      <c r="T144" s="239"/>
      <c r="U144" s="103"/>
      <c r="V144" s="310"/>
    </row>
    <row r="145" spans="1:22" ht="18" customHeight="1">
      <c r="A145" s="265"/>
      <c r="B145" s="239"/>
      <c r="C145" s="239"/>
      <c r="D145" s="239"/>
      <c r="E145" s="239"/>
      <c r="F145" s="239"/>
      <c r="G145" s="239"/>
      <c r="H145" s="239"/>
      <c r="I145" s="239"/>
      <c r="J145" s="93"/>
      <c r="K145" s="93"/>
      <c r="L145" s="239"/>
      <c r="M145" s="239"/>
      <c r="N145" s="239"/>
      <c r="O145" s="239"/>
      <c r="P145" s="239"/>
      <c r="Q145" s="239"/>
      <c r="R145" s="239"/>
      <c r="S145" s="239"/>
      <c r="T145" s="239"/>
      <c r="U145" s="103"/>
      <c r="V145" s="310"/>
    </row>
    <row r="146" spans="1:22" ht="18" customHeight="1">
      <c r="A146" s="265"/>
      <c r="B146" s="239"/>
      <c r="C146" s="239"/>
      <c r="D146" s="239"/>
      <c r="E146" s="239"/>
      <c r="F146" s="239"/>
      <c r="G146" s="239"/>
      <c r="H146" s="239"/>
      <c r="I146" s="239"/>
      <c r="J146" s="93"/>
      <c r="K146" s="93"/>
      <c r="L146" s="239"/>
      <c r="M146" s="239"/>
      <c r="N146" s="239"/>
      <c r="O146" s="239"/>
      <c r="P146" s="239"/>
      <c r="Q146" s="239"/>
      <c r="R146" s="239"/>
      <c r="S146" s="239"/>
      <c r="T146" s="239"/>
      <c r="U146" s="103"/>
      <c r="V146" s="310"/>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184"/>
      <c r="V173" s="185"/>
    </row>
    <row r="174" spans="1:22" s="14" customFormat="1" ht="18" customHeight="1">
      <c r="A174" s="194"/>
      <c r="B174" s="195"/>
      <c r="C174" s="195"/>
      <c r="D174" s="195"/>
      <c r="E174" s="195"/>
      <c r="F174" s="195"/>
      <c r="G174" s="195"/>
      <c r="H174" s="195"/>
      <c r="I174" s="195"/>
      <c r="J174" s="195"/>
      <c r="K174" s="195"/>
      <c r="L174" s="195"/>
      <c r="M174" s="195"/>
      <c r="N174" s="195"/>
      <c r="O174" s="195"/>
      <c r="P174" s="195"/>
      <c r="Q174" s="224"/>
      <c r="R174" s="182"/>
      <c r="S174" s="225"/>
      <c r="T174" s="195"/>
      <c r="U174" s="195"/>
      <c r="V174" s="134"/>
    </row>
  </sheetData>
  <mergeCells count="157">
    <mergeCell ref="M136:N139"/>
    <mergeCell ref="O136:P139"/>
    <mergeCell ref="Q136:R139"/>
    <mergeCell ref="S136:V139"/>
    <mergeCell ref="P106:Q106"/>
    <mergeCell ref="J107:K107"/>
    <mergeCell ref="S109:T109"/>
    <mergeCell ref="M141:N141"/>
    <mergeCell ref="O141:P141"/>
    <mergeCell ref="S141:V141"/>
    <mergeCell ref="J112:K112"/>
    <mergeCell ref="M112:N112"/>
    <mergeCell ref="J113:K113"/>
    <mergeCell ref="M142:N142"/>
    <mergeCell ref="O142:P142"/>
    <mergeCell ref="S142:V142"/>
    <mergeCell ref="I140:J142"/>
    <mergeCell ref="K140:L140"/>
    <mergeCell ref="M140:N140"/>
    <mergeCell ref="O140:P140"/>
    <mergeCell ref="Q140:R142"/>
    <mergeCell ref="S140:V140"/>
    <mergeCell ref="A140:A142"/>
    <mergeCell ref="B140:C142"/>
    <mergeCell ref="D140:E140"/>
    <mergeCell ref="F140:F142"/>
    <mergeCell ref="G140:G142"/>
    <mergeCell ref="H140:H142"/>
    <mergeCell ref="J117:K117"/>
    <mergeCell ref="G121:H121"/>
    <mergeCell ref="J121:K121"/>
    <mergeCell ref="G124:H124"/>
    <mergeCell ref="J124:K124"/>
    <mergeCell ref="A136:C139"/>
    <mergeCell ref="D136:F139"/>
    <mergeCell ref="G136:H139"/>
    <mergeCell ref="I136:J139"/>
    <mergeCell ref="K136:L139"/>
    <mergeCell ref="D141:E141"/>
    <mergeCell ref="K141:L141"/>
    <mergeCell ref="D142:E142"/>
    <mergeCell ref="K142:L142"/>
    <mergeCell ref="L98:M98"/>
    <mergeCell ref="J102:K102"/>
    <mergeCell ref="J103:K103"/>
    <mergeCell ref="J104:K104"/>
    <mergeCell ref="J105:K105"/>
    <mergeCell ref="J106:K106"/>
    <mergeCell ref="H94:I94"/>
    <mergeCell ref="J94:K94"/>
    <mergeCell ref="L94:M94"/>
    <mergeCell ref="L95:M95"/>
    <mergeCell ref="L96:M96"/>
    <mergeCell ref="L97:M97"/>
    <mergeCell ref="B91:C91"/>
    <mergeCell ref="D91:E92"/>
    <mergeCell ref="H91:M91"/>
    <mergeCell ref="B92:C92"/>
    <mergeCell ref="H93:I93"/>
    <mergeCell ref="J93:K93"/>
    <mergeCell ref="L93:M93"/>
    <mergeCell ref="J75:K75"/>
    <mergeCell ref="M75:N75"/>
    <mergeCell ref="J79:K79"/>
    <mergeCell ref="G83:H83"/>
    <mergeCell ref="J83:K83"/>
    <mergeCell ref="G85:H85"/>
    <mergeCell ref="J85:K85"/>
    <mergeCell ref="P68:Q68"/>
    <mergeCell ref="P69:Q69"/>
    <mergeCell ref="P70:Q70"/>
    <mergeCell ref="P71:Q71"/>
    <mergeCell ref="P72:Q72"/>
    <mergeCell ref="S73:T73"/>
    <mergeCell ref="J62:K62"/>
    <mergeCell ref="J63:K63"/>
    <mergeCell ref="J64:K64"/>
    <mergeCell ref="P64:Q64"/>
    <mergeCell ref="J65:K65"/>
    <mergeCell ref="P67:Q67"/>
    <mergeCell ref="J53:K53"/>
    <mergeCell ref="J54:K54"/>
    <mergeCell ref="J55:K55"/>
    <mergeCell ref="J56:K56"/>
    <mergeCell ref="J60:K60"/>
    <mergeCell ref="J61:K61"/>
    <mergeCell ref="H51:I51"/>
    <mergeCell ref="J51:K51"/>
    <mergeCell ref="L51:M51"/>
    <mergeCell ref="T51:U51"/>
    <mergeCell ref="H52:I52"/>
    <mergeCell ref="J52:K52"/>
    <mergeCell ref="L52:M52"/>
    <mergeCell ref="T52:U52"/>
    <mergeCell ref="B49:C49"/>
    <mergeCell ref="D49:E49"/>
    <mergeCell ref="H49:M49"/>
    <mergeCell ref="T49:U49"/>
    <mergeCell ref="B50:C50"/>
    <mergeCell ref="T50:U50"/>
    <mergeCell ref="J36:K36"/>
    <mergeCell ref="J39:K39"/>
    <mergeCell ref="G43:H43"/>
    <mergeCell ref="J43:K43"/>
    <mergeCell ref="G45:H45"/>
    <mergeCell ref="J45:K45"/>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s>
  <conditionalFormatting sqref="I46:J46 I86:J88 I125:J131">
    <cfRule type="cellIs" dxfId="125" priority="2" stopIfTrue="1" operator="equal">
      <formula>"Not suitable"</formula>
    </cfRule>
  </conditionalFormatting>
  <conditionalFormatting sqref="S43 S45 S83 S85 S121 S124">
    <cfRule type="cellIs" dxfId="124" priority="1" stopIfTrue="1" operator="equal">
      <formula>"Not satisfied"</formula>
    </cfRule>
  </conditionalFormatting>
  <dataValidations count="2">
    <dataValidation type="list" allowBlank="1" showInputMessage="1" showErrorMessage="1" sqref="D91 IZ91 SV91 ACR91 AMN91 AWJ91 BGF91 BQB91 BZX91 CJT91 CTP91 DDL91 DNH91 DXD91 EGZ91 EQV91 FAR91 FKN91 FUJ91 GEF91 GOB91 GXX91 HHT91 HRP91 IBL91 ILH91 IVD91 JEZ91 JOV91 JYR91 KIN91 KSJ91 LCF91 LMB91 LVX91 MFT91 MPP91 MZL91 NJH91 NTD91 OCZ91 OMV91 OWR91 PGN91 PQJ91 QAF91 QKB91 QTX91 RDT91 RNP91 RXL91 SHH91 SRD91 TAZ91 TKV91 TUR91 UEN91 UOJ91 UYF91 VIB91 VRX91 WBT91 WLP91 WVL91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49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xr:uid="{A5B9912A-8A26-40C5-84E3-6B4D7250A1DC}">
      <formula1>"Core1,Core2,Core3"</formula1>
    </dataValidation>
    <dataValidation type="list" allowBlank="1" showInputMessage="1" showErrorMessage="1" sqref="WVL983039:WVM983040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5:E65536 IZ65535:JA65536 SV65535:SW65536 ACR65535:ACS65536 AMN65535:AMO65536 AWJ65535:AWK65536 BGF65535:BGG65536 BQB65535:BQC65536 BZX65535:BZY65536 CJT65535:CJU65536 CTP65535:CTQ65536 DDL65535:DDM65536 DNH65535:DNI65536 DXD65535:DXE65536 EGZ65535:EHA65536 EQV65535:EQW65536 FAR65535:FAS65536 FKN65535:FKO65536 FUJ65535:FUK65536 GEF65535:GEG65536 GOB65535:GOC65536 GXX65535:GXY65536 HHT65535:HHU65536 HRP65535:HRQ65536 IBL65535:IBM65536 ILH65535:ILI65536 IVD65535:IVE65536 JEZ65535:JFA65536 JOV65535:JOW65536 JYR65535:JYS65536 KIN65535:KIO65536 KSJ65535:KSK65536 LCF65535:LCG65536 LMB65535:LMC65536 LVX65535:LVY65536 MFT65535:MFU65536 MPP65535:MPQ65536 MZL65535:MZM65536 NJH65535:NJI65536 NTD65535:NTE65536 OCZ65535:ODA65536 OMV65535:OMW65536 OWR65535:OWS65536 PGN65535:PGO65536 PQJ65535:PQK65536 QAF65535:QAG65536 QKB65535:QKC65536 QTX65535:QTY65536 RDT65535:RDU65536 RNP65535:RNQ65536 RXL65535:RXM65536 SHH65535:SHI65536 SRD65535:SRE65536 TAZ65535:TBA65536 TKV65535:TKW65536 TUR65535:TUS65536 UEN65535:UEO65536 UOJ65535:UOK65536 UYF65535:UYG65536 VIB65535:VIC65536 VRX65535:VRY65536 WBT65535:WBU65536 WLP65535:WLQ65536 WVL65535:WVM65536 D131071:E131072 IZ131071:JA131072 SV131071:SW131072 ACR131071:ACS131072 AMN131071:AMO131072 AWJ131071:AWK131072 BGF131071:BGG131072 BQB131071:BQC131072 BZX131071:BZY131072 CJT131071:CJU131072 CTP131071:CTQ131072 DDL131071:DDM131072 DNH131071:DNI131072 DXD131071:DXE131072 EGZ131071:EHA131072 EQV131071:EQW131072 FAR131071:FAS131072 FKN131071:FKO131072 FUJ131071:FUK131072 GEF131071:GEG131072 GOB131071:GOC131072 GXX131071:GXY131072 HHT131071:HHU131072 HRP131071:HRQ131072 IBL131071:IBM131072 ILH131071:ILI131072 IVD131071:IVE131072 JEZ131071:JFA131072 JOV131071:JOW131072 JYR131071:JYS131072 KIN131071:KIO131072 KSJ131071:KSK131072 LCF131071:LCG131072 LMB131071:LMC131072 LVX131071:LVY131072 MFT131071:MFU131072 MPP131071:MPQ131072 MZL131071:MZM131072 NJH131071:NJI131072 NTD131071:NTE131072 OCZ131071:ODA131072 OMV131071:OMW131072 OWR131071:OWS131072 PGN131071:PGO131072 PQJ131071:PQK131072 QAF131071:QAG131072 QKB131071:QKC131072 QTX131071:QTY131072 RDT131071:RDU131072 RNP131071:RNQ131072 RXL131071:RXM131072 SHH131071:SHI131072 SRD131071:SRE131072 TAZ131071:TBA131072 TKV131071:TKW131072 TUR131071:TUS131072 UEN131071:UEO131072 UOJ131071:UOK131072 UYF131071:UYG131072 VIB131071:VIC131072 VRX131071:VRY131072 WBT131071:WBU131072 WLP131071:WLQ131072 WVL131071:WVM131072 D196607:E196608 IZ196607:JA196608 SV196607:SW196608 ACR196607:ACS196608 AMN196607:AMO196608 AWJ196607:AWK196608 BGF196607:BGG196608 BQB196607:BQC196608 BZX196607:BZY196608 CJT196607:CJU196608 CTP196607:CTQ196608 DDL196607:DDM196608 DNH196607:DNI196608 DXD196607:DXE196608 EGZ196607:EHA196608 EQV196607:EQW196608 FAR196607:FAS196608 FKN196607:FKO196608 FUJ196607:FUK196608 GEF196607:GEG196608 GOB196607:GOC196608 GXX196607:GXY196608 HHT196607:HHU196608 HRP196607:HRQ196608 IBL196607:IBM196608 ILH196607:ILI196608 IVD196607:IVE196608 JEZ196607:JFA196608 JOV196607:JOW196608 JYR196607:JYS196608 KIN196607:KIO196608 KSJ196607:KSK196608 LCF196607:LCG196608 LMB196607:LMC196608 LVX196607:LVY196608 MFT196607:MFU196608 MPP196607:MPQ196608 MZL196607:MZM196608 NJH196607:NJI196608 NTD196607:NTE196608 OCZ196607:ODA196608 OMV196607:OMW196608 OWR196607:OWS196608 PGN196607:PGO196608 PQJ196607:PQK196608 QAF196607:QAG196608 QKB196607:QKC196608 QTX196607:QTY196608 RDT196607:RDU196608 RNP196607:RNQ196608 RXL196607:RXM196608 SHH196607:SHI196608 SRD196607:SRE196608 TAZ196607:TBA196608 TKV196607:TKW196608 TUR196607:TUS196608 UEN196607:UEO196608 UOJ196607:UOK196608 UYF196607:UYG196608 VIB196607:VIC196608 VRX196607:VRY196608 WBT196607:WBU196608 WLP196607:WLQ196608 WVL196607:WVM196608 D262143:E262144 IZ262143:JA262144 SV262143:SW262144 ACR262143:ACS262144 AMN262143:AMO262144 AWJ262143:AWK262144 BGF262143:BGG262144 BQB262143:BQC262144 BZX262143:BZY262144 CJT262143:CJU262144 CTP262143:CTQ262144 DDL262143:DDM262144 DNH262143:DNI262144 DXD262143:DXE262144 EGZ262143:EHA262144 EQV262143:EQW262144 FAR262143:FAS262144 FKN262143:FKO262144 FUJ262143:FUK262144 GEF262143:GEG262144 GOB262143:GOC262144 GXX262143:GXY262144 HHT262143:HHU262144 HRP262143:HRQ262144 IBL262143:IBM262144 ILH262143:ILI262144 IVD262143:IVE262144 JEZ262143:JFA262144 JOV262143:JOW262144 JYR262143:JYS262144 KIN262143:KIO262144 KSJ262143:KSK262144 LCF262143:LCG262144 LMB262143:LMC262144 LVX262143:LVY262144 MFT262143:MFU262144 MPP262143:MPQ262144 MZL262143:MZM262144 NJH262143:NJI262144 NTD262143:NTE262144 OCZ262143:ODA262144 OMV262143:OMW262144 OWR262143:OWS262144 PGN262143:PGO262144 PQJ262143:PQK262144 QAF262143:QAG262144 QKB262143:QKC262144 QTX262143:QTY262144 RDT262143:RDU262144 RNP262143:RNQ262144 RXL262143:RXM262144 SHH262143:SHI262144 SRD262143:SRE262144 TAZ262143:TBA262144 TKV262143:TKW262144 TUR262143:TUS262144 UEN262143:UEO262144 UOJ262143:UOK262144 UYF262143:UYG262144 VIB262143:VIC262144 VRX262143:VRY262144 WBT262143:WBU262144 WLP262143:WLQ262144 WVL262143:WVM262144 D327679:E327680 IZ327679:JA327680 SV327679:SW327680 ACR327679:ACS327680 AMN327679:AMO327680 AWJ327679:AWK327680 BGF327679:BGG327680 BQB327679:BQC327680 BZX327679:BZY327680 CJT327679:CJU327680 CTP327679:CTQ327680 DDL327679:DDM327680 DNH327679:DNI327680 DXD327679:DXE327680 EGZ327679:EHA327680 EQV327679:EQW327680 FAR327679:FAS327680 FKN327679:FKO327680 FUJ327679:FUK327680 GEF327679:GEG327680 GOB327679:GOC327680 GXX327679:GXY327680 HHT327679:HHU327680 HRP327679:HRQ327680 IBL327679:IBM327680 ILH327679:ILI327680 IVD327679:IVE327680 JEZ327679:JFA327680 JOV327679:JOW327680 JYR327679:JYS327680 KIN327679:KIO327680 KSJ327679:KSK327680 LCF327679:LCG327680 LMB327679:LMC327680 LVX327679:LVY327680 MFT327679:MFU327680 MPP327679:MPQ327680 MZL327679:MZM327680 NJH327679:NJI327680 NTD327679:NTE327680 OCZ327679:ODA327680 OMV327679:OMW327680 OWR327679:OWS327680 PGN327679:PGO327680 PQJ327679:PQK327680 QAF327679:QAG327680 QKB327679:QKC327680 QTX327679:QTY327680 RDT327679:RDU327680 RNP327679:RNQ327680 RXL327679:RXM327680 SHH327679:SHI327680 SRD327679:SRE327680 TAZ327679:TBA327680 TKV327679:TKW327680 TUR327679:TUS327680 UEN327679:UEO327680 UOJ327679:UOK327680 UYF327679:UYG327680 VIB327679:VIC327680 VRX327679:VRY327680 WBT327679:WBU327680 WLP327679:WLQ327680 WVL327679:WVM327680 D393215:E393216 IZ393215:JA393216 SV393215:SW393216 ACR393215:ACS393216 AMN393215:AMO393216 AWJ393215:AWK393216 BGF393215:BGG393216 BQB393215:BQC393216 BZX393215:BZY393216 CJT393215:CJU393216 CTP393215:CTQ393216 DDL393215:DDM393216 DNH393215:DNI393216 DXD393215:DXE393216 EGZ393215:EHA393216 EQV393215:EQW393216 FAR393215:FAS393216 FKN393215:FKO393216 FUJ393215:FUK393216 GEF393215:GEG393216 GOB393215:GOC393216 GXX393215:GXY393216 HHT393215:HHU393216 HRP393215:HRQ393216 IBL393215:IBM393216 ILH393215:ILI393216 IVD393215:IVE393216 JEZ393215:JFA393216 JOV393215:JOW393216 JYR393215:JYS393216 KIN393215:KIO393216 KSJ393215:KSK393216 LCF393215:LCG393216 LMB393215:LMC393216 LVX393215:LVY393216 MFT393215:MFU393216 MPP393215:MPQ393216 MZL393215:MZM393216 NJH393215:NJI393216 NTD393215:NTE393216 OCZ393215:ODA393216 OMV393215:OMW393216 OWR393215:OWS393216 PGN393215:PGO393216 PQJ393215:PQK393216 QAF393215:QAG393216 QKB393215:QKC393216 QTX393215:QTY393216 RDT393215:RDU393216 RNP393215:RNQ393216 RXL393215:RXM393216 SHH393215:SHI393216 SRD393215:SRE393216 TAZ393215:TBA393216 TKV393215:TKW393216 TUR393215:TUS393216 UEN393215:UEO393216 UOJ393215:UOK393216 UYF393215:UYG393216 VIB393215:VIC393216 VRX393215:VRY393216 WBT393215:WBU393216 WLP393215:WLQ393216 WVL393215:WVM393216 D458751:E458752 IZ458751:JA458752 SV458751:SW458752 ACR458751:ACS458752 AMN458751:AMO458752 AWJ458751:AWK458752 BGF458751:BGG458752 BQB458751:BQC458752 BZX458751:BZY458752 CJT458751:CJU458752 CTP458751:CTQ458752 DDL458751:DDM458752 DNH458751:DNI458752 DXD458751:DXE458752 EGZ458751:EHA458752 EQV458751:EQW458752 FAR458751:FAS458752 FKN458751:FKO458752 FUJ458751:FUK458752 GEF458751:GEG458752 GOB458751:GOC458752 GXX458751:GXY458752 HHT458751:HHU458752 HRP458751:HRQ458752 IBL458751:IBM458752 ILH458751:ILI458752 IVD458751:IVE458752 JEZ458751:JFA458752 JOV458751:JOW458752 JYR458751:JYS458752 KIN458751:KIO458752 KSJ458751:KSK458752 LCF458751:LCG458752 LMB458751:LMC458752 LVX458751:LVY458752 MFT458751:MFU458752 MPP458751:MPQ458752 MZL458751:MZM458752 NJH458751:NJI458752 NTD458751:NTE458752 OCZ458751:ODA458752 OMV458751:OMW458752 OWR458751:OWS458752 PGN458751:PGO458752 PQJ458751:PQK458752 QAF458751:QAG458752 QKB458751:QKC458752 QTX458751:QTY458752 RDT458751:RDU458752 RNP458751:RNQ458752 RXL458751:RXM458752 SHH458751:SHI458752 SRD458751:SRE458752 TAZ458751:TBA458752 TKV458751:TKW458752 TUR458751:TUS458752 UEN458751:UEO458752 UOJ458751:UOK458752 UYF458751:UYG458752 VIB458751:VIC458752 VRX458751:VRY458752 WBT458751:WBU458752 WLP458751:WLQ458752 WVL458751:WVM458752 D524287:E524288 IZ524287:JA524288 SV524287:SW524288 ACR524287:ACS524288 AMN524287:AMO524288 AWJ524287:AWK524288 BGF524287:BGG524288 BQB524287:BQC524288 BZX524287:BZY524288 CJT524287:CJU524288 CTP524287:CTQ524288 DDL524287:DDM524288 DNH524287:DNI524288 DXD524287:DXE524288 EGZ524287:EHA524288 EQV524287:EQW524288 FAR524287:FAS524288 FKN524287:FKO524288 FUJ524287:FUK524288 GEF524287:GEG524288 GOB524287:GOC524288 GXX524287:GXY524288 HHT524287:HHU524288 HRP524287:HRQ524288 IBL524287:IBM524288 ILH524287:ILI524288 IVD524287:IVE524288 JEZ524287:JFA524288 JOV524287:JOW524288 JYR524287:JYS524288 KIN524287:KIO524288 KSJ524287:KSK524288 LCF524287:LCG524288 LMB524287:LMC524288 LVX524287:LVY524288 MFT524287:MFU524288 MPP524287:MPQ524288 MZL524287:MZM524288 NJH524287:NJI524288 NTD524287:NTE524288 OCZ524287:ODA524288 OMV524287:OMW524288 OWR524287:OWS524288 PGN524287:PGO524288 PQJ524287:PQK524288 QAF524287:QAG524288 QKB524287:QKC524288 QTX524287:QTY524288 RDT524287:RDU524288 RNP524287:RNQ524288 RXL524287:RXM524288 SHH524287:SHI524288 SRD524287:SRE524288 TAZ524287:TBA524288 TKV524287:TKW524288 TUR524287:TUS524288 UEN524287:UEO524288 UOJ524287:UOK524288 UYF524287:UYG524288 VIB524287:VIC524288 VRX524287:VRY524288 WBT524287:WBU524288 WLP524287:WLQ524288 WVL524287:WVM524288 D589823:E589824 IZ589823:JA589824 SV589823:SW589824 ACR589823:ACS589824 AMN589823:AMO589824 AWJ589823:AWK589824 BGF589823:BGG589824 BQB589823:BQC589824 BZX589823:BZY589824 CJT589823:CJU589824 CTP589823:CTQ589824 DDL589823:DDM589824 DNH589823:DNI589824 DXD589823:DXE589824 EGZ589823:EHA589824 EQV589823:EQW589824 FAR589823:FAS589824 FKN589823:FKO589824 FUJ589823:FUK589824 GEF589823:GEG589824 GOB589823:GOC589824 GXX589823:GXY589824 HHT589823:HHU589824 HRP589823:HRQ589824 IBL589823:IBM589824 ILH589823:ILI589824 IVD589823:IVE589824 JEZ589823:JFA589824 JOV589823:JOW589824 JYR589823:JYS589824 KIN589823:KIO589824 KSJ589823:KSK589824 LCF589823:LCG589824 LMB589823:LMC589824 LVX589823:LVY589824 MFT589823:MFU589824 MPP589823:MPQ589824 MZL589823:MZM589824 NJH589823:NJI589824 NTD589823:NTE589824 OCZ589823:ODA589824 OMV589823:OMW589824 OWR589823:OWS589824 PGN589823:PGO589824 PQJ589823:PQK589824 QAF589823:QAG589824 QKB589823:QKC589824 QTX589823:QTY589824 RDT589823:RDU589824 RNP589823:RNQ589824 RXL589823:RXM589824 SHH589823:SHI589824 SRD589823:SRE589824 TAZ589823:TBA589824 TKV589823:TKW589824 TUR589823:TUS589824 UEN589823:UEO589824 UOJ589823:UOK589824 UYF589823:UYG589824 VIB589823:VIC589824 VRX589823:VRY589824 WBT589823:WBU589824 WLP589823:WLQ589824 WVL589823:WVM589824 D655359:E655360 IZ655359:JA655360 SV655359:SW655360 ACR655359:ACS655360 AMN655359:AMO655360 AWJ655359:AWK655360 BGF655359:BGG655360 BQB655359:BQC655360 BZX655359:BZY655360 CJT655359:CJU655360 CTP655359:CTQ655360 DDL655359:DDM655360 DNH655359:DNI655360 DXD655359:DXE655360 EGZ655359:EHA655360 EQV655359:EQW655360 FAR655359:FAS655360 FKN655359:FKO655360 FUJ655359:FUK655360 GEF655359:GEG655360 GOB655359:GOC655360 GXX655359:GXY655360 HHT655359:HHU655360 HRP655359:HRQ655360 IBL655359:IBM655360 ILH655359:ILI655360 IVD655359:IVE655360 JEZ655359:JFA655360 JOV655359:JOW655360 JYR655359:JYS655360 KIN655359:KIO655360 KSJ655359:KSK655360 LCF655359:LCG655360 LMB655359:LMC655360 LVX655359:LVY655360 MFT655359:MFU655360 MPP655359:MPQ655360 MZL655359:MZM655360 NJH655359:NJI655360 NTD655359:NTE655360 OCZ655359:ODA655360 OMV655359:OMW655360 OWR655359:OWS655360 PGN655359:PGO655360 PQJ655359:PQK655360 QAF655359:QAG655360 QKB655359:QKC655360 QTX655359:QTY655360 RDT655359:RDU655360 RNP655359:RNQ655360 RXL655359:RXM655360 SHH655359:SHI655360 SRD655359:SRE655360 TAZ655359:TBA655360 TKV655359:TKW655360 TUR655359:TUS655360 UEN655359:UEO655360 UOJ655359:UOK655360 UYF655359:UYG655360 VIB655359:VIC655360 VRX655359:VRY655360 WBT655359:WBU655360 WLP655359:WLQ655360 WVL655359:WVM655360 D720895:E720896 IZ720895:JA720896 SV720895:SW720896 ACR720895:ACS720896 AMN720895:AMO720896 AWJ720895:AWK720896 BGF720895:BGG720896 BQB720895:BQC720896 BZX720895:BZY720896 CJT720895:CJU720896 CTP720895:CTQ720896 DDL720895:DDM720896 DNH720895:DNI720896 DXD720895:DXE720896 EGZ720895:EHA720896 EQV720895:EQW720896 FAR720895:FAS720896 FKN720895:FKO720896 FUJ720895:FUK720896 GEF720895:GEG720896 GOB720895:GOC720896 GXX720895:GXY720896 HHT720895:HHU720896 HRP720895:HRQ720896 IBL720895:IBM720896 ILH720895:ILI720896 IVD720895:IVE720896 JEZ720895:JFA720896 JOV720895:JOW720896 JYR720895:JYS720896 KIN720895:KIO720896 KSJ720895:KSK720896 LCF720895:LCG720896 LMB720895:LMC720896 LVX720895:LVY720896 MFT720895:MFU720896 MPP720895:MPQ720896 MZL720895:MZM720896 NJH720895:NJI720896 NTD720895:NTE720896 OCZ720895:ODA720896 OMV720895:OMW720896 OWR720895:OWS720896 PGN720895:PGO720896 PQJ720895:PQK720896 QAF720895:QAG720896 QKB720895:QKC720896 QTX720895:QTY720896 RDT720895:RDU720896 RNP720895:RNQ720896 RXL720895:RXM720896 SHH720895:SHI720896 SRD720895:SRE720896 TAZ720895:TBA720896 TKV720895:TKW720896 TUR720895:TUS720896 UEN720895:UEO720896 UOJ720895:UOK720896 UYF720895:UYG720896 VIB720895:VIC720896 VRX720895:VRY720896 WBT720895:WBU720896 WLP720895:WLQ720896 WVL720895:WVM720896 D786431:E786432 IZ786431:JA786432 SV786431:SW786432 ACR786431:ACS786432 AMN786431:AMO786432 AWJ786431:AWK786432 BGF786431:BGG786432 BQB786431:BQC786432 BZX786431:BZY786432 CJT786431:CJU786432 CTP786431:CTQ786432 DDL786431:DDM786432 DNH786431:DNI786432 DXD786431:DXE786432 EGZ786431:EHA786432 EQV786431:EQW786432 FAR786431:FAS786432 FKN786431:FKO786432 FUJ786431:FUK786432 GEF786431:GEG786432 GOB786431:GOC786432 GXX786431:GXY786432 HHT786431:HHU786432 HRP786431:HRQ786432 IBL786431:IBM786432 ILH786431:ILI786432 IVD786431:IVE786432 JEZ786431:JFA786432 JOV786431:JOW786432 JYR786431:JYS786432 KIN786431:KIO786432 KSJ786431:KSK786432 LCF786431:LCG786432 LMB786431:LMC786432 LVX786431:LVY786432 MFT786431:MFU786432 MPP786431:MPQ786432 MZL786431:MZM786432 NJH786431:NJI786432 NTD786431:NTE786432 OCZ786431:ODA786432 OMV786431:OMW786432 OWR786431:OWS786432 PGN786431:PGO786432 PQJ786431:PQK786432 QAF786431:QAG786432 QKB786431:QKC786432 QTX786431:QTY786432 RDT786431:RDU786432 RNP786431:RNQ786432 RXL786431:RXM786432 SHH786431:SHI786432 SRD786431:SRE786432 TAZ786431:TBA786432 TKV786431:TKW786432 TUR786431:TUS786432 UEN786431:UEO786432 UOJ786431:UOK786432 UYF786431:UYG786432 VIB786431:VIC786432 VRX786431:VRY786432 WBT786431:WBU786432 WLP786431:WLQ786432 WVL786431:WVM786432 D851967:E851968 IZ851967:JA851968 SV851967:SW851968 ACR851967:ACS851968 AMN851967:AMO851968 AWJ851967:AWK851968 BGF851967:BGG851968 BQB851967:BQC851968 BZX851967:BZY851968 CJT851967:CJU851968 CTP851967:CTQ851968 DDL851967:DDM851968 DNH851967:DNI851968 DXD851967:DXE851968 EGZ851967:EHA851968 EQV851967:EQW851968 FAR851967:FAS851968 FKN851967:FKO851968 FUJ851967:FUK851968 GEF851967:GEG851968 GOB851967:GOC851968 GXX851967:GXY851968 HHT851967:HHU851968 HRP851967:HRQ851968 IBL851967:IBM851968 ILH851967:ILI851968 IVD851967:IVE851968 JEZ851967:JFA851968 JOV851967:JOW851968 JYR851967:JYS851968 KIN851967:KIO851968 KSJ851967:KSK851968 LCF851967:LCG851968 LMB851967:LMC851968 LVX851967:LVY851968 MFT851967:MFU851968 MPP851967:MPQ851968 MZL851967:MZM851968 NJH851967:NJI851968 NTD851967:NTE851968 OCZ851967:ODA851968 OMV851967:OMW851968 OWR851967:OWS851968 PGN851967:PGO851968 PQJ851967:PQK851968 QAF851967:QAG851968 QKB851967:QKC851968 QTX851967:QTY851968 RDT851967:RDU851968 RNP851967:RNQ851968 RXL851967:RXM851968 SHH851967:SHI851968 SRD851967:SRE851968 TAZ851967:TBA851968 TKV851967:TKW851968 TUR851967:TUS851968 UEN851967:UEO851968 UOJ851967:UOK851968 UYF851967:UYG851968 VIB851967:VIC851968 VRX851967:VRY851968 WBT851967:WBU851968 WLP851967:WLQ851968 WVL851967:WVM851968 D917503:E917504 IZ917503:JA917504 SV917503:SW917504 ACR917503:ACS917504 AMN917503:AMO917504 AWJ917503:AWK917504 BGF917503:BGG917504 BQB917503:BQC917504 BZX917503:BZY917504 CJT917503:CJU917504 CTP917503:CTQ917504 DDL917503:DDM917504 DNH917503:DNI917504 DXD917503:DXE917504 EGZ917503:EHA917504 EQV917503:EQW917504 FAR917503:FAS917504 FKN917503:FKO917504 FUJ917503:FUK917504 GEF917503:GEG917504 GOB917503:GOC917504 GXX917503:GXY917504 HHT917503:HHU917504 HRP917503:HRQ917504 IBL917503:IBM917504 ILH917503:ILI917504 IVD917503:IVE917504 JEZ917503:JFA917504 JOV917503:JOW917504 JYR917503:JYS917504 KIN917503:KIO917504 KSJ917503:KSK917504 LCF917503:LCG917504 LMB917503:LMC917504 LVX917503:LVY917504 MFT917503:MFU917504 MPP917503:MPQ917504 MZL917503:MZM917504 NJH917503:NJI917504 NTD917503:NTE917504 OCZ917503:ODA917504 OMV917503:OMW917504 OWR917503:OWS917504 PGN917503:PGO917504 PQJ917503:PQK917504 QAF917503:QAG917504 QKB917503:QKC917504 QTX917503:QTY917504 RDT917503:RDU917504 RNP917503:RNQ917504 RXL917503:RXM917504 SHH917503:SHI917504 SRD917503:SRE917504 TAZ917503:TBA917504 TKV917503:TKW917504 TUR917503:TUS917504 UEN917503:UEO917504 UOJ917503:UOK917504 UYF917503:UYG917504 VIB917503:VIC917504 VRX917503:VRY917504 WBT917503:WBU917504 WLP917503:WLQ917504 WVL917503:WVM917504 D983039:E983040 IZ983039:JA983040 SV983039:SW983040 ACR983039:ACS983040 AMN983039:AMO983040 AWJ983039:AWK983040 BGF983039:BGG983040 BQB983039:BQC983040 BZX983039:BZY983040 CJT983039:CJU983040 CTP983039:CTQ983040 DDL983039:DDM983040 DNH983039:DNI983040 DXD983039:DXE983040 EGZ983039:EHA983040 EQV983039:EQW983040 FAR983039:FAS983040 FKN983039:FKO983040 FUJ983039:FUK983040 GEF983039:GEG983040 GOB983039:GOC983040 GXX983039:GXY983040 HHT983039:HHU983040 HRP983039:HRQ983040 IBL983039:IBM983040 ILH983039:ILI983040 IVD983039:IVE983040 JEZ983039:JFA983040 JOV983039:JOW983040 JYR983039:JYS983040 KIN983039:KIO983040 KSJ983039:KSK983040 LCF983039:LCG983040 LMB983039:LMC983040 LVX983039:LVY983040 MFT983039:MFU983040 MPP983039:MPQ983040 MZL983039:MZM983040 NJH983039:NJI983040 NTD983039:NTE983040 OCZ983039:ODA983040 OMV983039:OMW983040 OWR983039:OWS983040 PGN983039:PGO983040 PQJ983039:PQK983040 QAF983039:QAG983040 QKB983039:QKC983040 QTX983039:QTY983040 RDT983039:RDU983040 RNP983039:RNQ983040 RXL983039:RXM983040 SHH983039:SHI983040 SRD983039:SRE983040 TAZ983039:TBA983040 TKV983039:TKW983040 TUR983039:TUS983040 UEN983039:UEO983040 UOJ983039:UOK983040 UYF983039:UYG983040 VIB983039:VIC983040 VRX983039:VRY983040 WBT983039:WBU983040 WLP983039:WLQ983040 D7:D8 E8" xr:uid="{D01AC892-AD80-48EF-9D07-816948DD527F}">
      <formula1>"Core1,Core2,Core3,Core4,Core5"</formula1>
    </dataValidation>
  </dataValidations>
  <printOptions horizontalCentered="1" verticalCentered="1"/>
  <pageMargins left="0.5" right="0.5" top="0.5" bottom="0.5" header="0" footer="0"/>
  <pageSetup paperSize="9" scale="90" orientation="portrait" r:id="rId1"/>
  <headerFooter alignWithMargins="0"/>
  <rowBreaks count="2" manualBreakCount="2">
    <brk id="47" max="21" man="1"/>
    <brk id="8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0DB35-048C-4581-8223-B917CDB05D1F}">
  <sheetPr codeName="Sheet32">
    <tabColor rgb="FF00B050"/>
  </sheetPr>
  <dimension ref="A1:AC299"/>
  <sheetViews>
    <sheetView showZeros="0" view="pageBreakPreview" topLeftCell="A154" zoomScaleNormal="100" zoomScaleSheetLayoutView="100" workbookViewId="0">
      <selection activeCell="M166" sqref="M16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881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108</v>
      </c>
      <c r="C7" s="782"/>
      <c r="D7" s="743" t="s">
        <v>112</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2000</v>
      </c>
      <c r="I10" s="792"/>
      <c r="J10" s="781">
        <v>3200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3.5</v>
      </c>
      <c r="I12" s="782"/>
      <c r="J12" s="192" t="s">
        <v>333</v>
      </c>
      <c r="M12" s="14"/>
      <c r="N12" s="14"/>
      <c r="V12" s="185"/>
    </row>
    <row r="13" spans="1:24" ht="18" customHeight="1">
      <c r="A13" s="184"/>
      <c r="B13" s="47" t="s">
        <v>398</v>
      </c>
      <c r="G13" s="120" t="s">
        <v>498</v>
      </c>
      <c r="H13" s="781">
        <v>500</v>
      </c>
      <c r="I13" s="782"/>
      <c r="J13" s="14" t="s">
        <v>305</v>
      </c>
      <c r="M13" s="14"/>
      <c r="T13" s="295"/>
      <c r="U13" s="18"/>
      <c r="V13" s="185"/>
      <c r="W13" s="30" t="e">
        <f>#REF!</f>
        <v>#REF!</v>
      </c>
    </row>
    <row r="14" spans="1:24" ht="18" customHeight="1">
      <c r="A14" s="184"/>
      <c r="B14" s="14" t="s">
        <v>401</v>
      </c>
      <c r="G14" s="120" t="s">
        <v>402</v>
      </c>
      <c r="H14" s="781">
        <v>20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3.5</v>
      </c>
      <c r="V20" s="185"/>
    </row>
    <row r="21" spans="1:25" ht="18" customHeight="1">
      <c r="A21" s="184"/>
      <c r="B21" s="452" t="s">
        <v>412</v>
      </c>
      <c r="C21" s="259"/>
      <c r="D21" s="259"/>
      <c r="E21" s="259"/>
      <c r="F21" s="207"/>
      <c r="G21" s="207"/>
      <c r="H21" s="190"/>
      <c r="I21" s="208" t="s">
        <v>127</v>
      </c>
      <c r="J21" s="1109">
        <f>'CT-VT Burdens'!S36</f>
        <v>1.25652618</v>
      </c>
      <c r="K21" s="1110"/>
      <c r="L21" s="297" t="s">
        <v>157</v>
      </c>
      <c r="O21" s="27" t="s">
        <v>127</v>
      </c>
      <c r="P21" s="795">
        <f>P20*R20*T20</f>
        <v>3.5</v>
      </c>
      <c r="Q21" s="684"/>
      <c r="R21" s="27" t="s">
        <v>157</v>
      </c>
      <c r="V21" s="185"/>
    </row>
    <row r="22" spans="1:25" ht="18" customHeight="1">
      <c r="A22" s="184"/>
      <c r="B22" s="1" t="s">
        <v>413</v>
      </c>
      <c r="C22" s="2"/>
      <c r="D22" s="2"/>
      <c r="E22" s="2"/>
      <c r="F22" s="196"/>
      <c r="G22" s="196"/>
      <c r="H22" s="224" t="s">
        <v>512</v>
      </c>
      <c r="I22" s="183" t="s">
        <v>127</v>
      </c>
      <c r="J22" s="696">
        <f>SUM(J18:J21)</f>
        <v>1.2665261800000001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500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3.5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1.2665261800000001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2000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5</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3.5</v>
      </c>
      <c r="G75" s="692"/>
      <c r="H75" s="102" t="s">
        <v>347</v>
      </c>
      <c r="I75" s="218">
        <f>S30</f>
        <v>1.2665261800000001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47.76526179999999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38.212209439999995</v>
      </c>
      <c r="O79" s="1251"/>
      <c r="V79" s="185"/>
    </row>
    <row r="80" spans="1:22" ht="17.399999999999999" customHeight="1">
      <c r="A80" s="184"/>
      <c r="B80" s="7"/>
      <c r="E80" s="14"/>
      <c r="F80" s="14" t="s">
        <v>752</v>
      </c>
      <c r="G80" s="7"/>
      <c r="L80" s="28" t="s">
        <v>127</v>
      </c>
      <c r="N80" s="1072">
        <f>N79*1.2</f>
        <v>45.854651327999996</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500</v>
      </c>
      <c r="J82" s="795"/>
      <c r="K82" s="27"/>
      <c r="L82" s="27" t="str">
        <f>IF(I82&gt;=M82,"&gt;","&lt;")</f>
        <v>&gt;</v>
      </c>
      <c r="M82" s="795">
        <f>N80</f>
        <v>45.854651327999996</v>
      </c>
      <c r="N82" s="795"/>
      <c r="P82" s="268"/>
      <c r="V82" s="185"/>
    </row>
    <row r="83" spans="1:23" ht="17.399999999999999" customHeight="1">
      <c r="A83" s="184"/>
      <c r="K83" s="244" t="s">
        <v>478</v>
      </c>
      <c r="M83" s="18" t="str">
        <f>IF(I82&gt;M82,"Suitably Dimensioned","Under Dimensioned")</f>
        <v>Suitably Dimensioned</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K86" s="244"/>
      <c r="M86" s="18"/>
      <c r="V86" s="185"/>
    </row>
    <row r="87" spans="1:23" ht="17.399999999999999" customHeight="1">
      <c r="A87" s="184"/>
      <c r="B87" s="7"/>
      <c r="E87" s="14"/>
      <c r="F87" s="7"/>
      <c r="G87" s="7"/>
      <c r="V87" s="185"/>
    </row>
    <row r="88" spans="1:23" s="14" customFormat="1" ht="15.6" customHeight="1">
      <c r="A88" s="194"/>
      <c r="B88" s="195"/>
      <c r="C88" s="195"/>
      <c r="D88" s="195"/>
      <c r="E88" s="195"/>
      <c r="F88" s="195"/>
      <c r="G88" s="195"/>
      <c r="H88" s="195"/>
      <c r="I88" s="195"/>
      <c r="J88" s="195"/>
      <c r="K88" s="195"/>
      <c r="L88" s="195"/>
      <c r="M88" s="195"/>
      <c r="N88" s="195"/>
      <c r="O88" s="195"/>
      <c r="P88" s="195"/>
      <c r="Q88" s="224"/>
      <c r="R88" s="182"/>
      <c r="S88" s="225"/>
      <c r="T88" s="195"/>
      <c r="U88" s="195"/>
      <c r="V88" s="134"/>
    </row>
    <row r="89" spans="1:23"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customHeight="1">
      <c r="A90" s="184"/>
      <c r="B90" s="835" t="str">
        <f>B7</f>
        <v>T1</v>
      </c>
      <c r="C90" s="836"/>
      <c r="D90" s="1118" t="str">
        <f>D7</f>
        <v>Core5</v>
      </c>
      <c r="E90" s="1290"/>
      <c r="F90" s="455"/>
      <c r="H90" s="684" t="str">
        <f>H7</f>
        <v>(Low Imp. Busbar)</v>
      </c>
      <c r="I90" s="684"/>
      <c r="J90" s="684"/>
      <c r="K90" s="684"/>
      <c r="L90" s="684"/>
      <c r="M90" s="684"/>
      <c r="P90" s="186"/>
      <c r="S90" s="187" t="s">
        <v>387</v>
      </c>
      <c r="T90" s="835" t="str">
        <f>T7</f>
        <v>REB500</v>
      </c>
      <c r="U90" s="836"/>
      <c r="V90" s="185"/>
    </row>
    <row r="91" spans="1:23" ht="18" customHeight="1">
      <c r="A91" s="456"/>
      <c r="F91" s="455"/>
      <c r="T91" s="839">
        <f>T8</f>
        <v>0</v>
      </c>
      <c r="U91" s="840"/>
      <c r="V91" s="185"/>
    </row>
    <row r="92" spans="1:23" ht="18" customHeight="1">
      <c r="A92" s="184"/>
      <c r="H92" s="708" t="s">
        <v>390</v>
      </c>
      <c r="I92" s="708"/>
      <c r="J92" s="789" t="s">
        <v>391</v>
      </c>
      <c r="K92" s="789"/>
      <c r="L92" s="790" t="s">
        <v>392</v>
      </c>
      <c r="M92" s="790"/>
      <c r="T92" s="839">
        <f>T9</f>
        <v>0</v>
      </c>
      <c r="U92" s="840"/>
      <c r="V92" s="185"/>
    </row>
    <row r="93" spans="1:23" ht="18" customHeight="1">
      <c r="A93" s="184"/>
      <c r="B93" s="47" t="s">
        <v>393</v>
      </c>
      <c r="H93" s="835">
        <f>H10</f>
        <v>2000</v>
      </c>
      <c r="I93" s="836"/>
      <c r="J93" s="835">
        <f>J10</f>
        <v>3200</v>
      </c>
      <c r="K93" s="836"/>
      <c r="L93" s="835" t="str">
        <f>L10</f>
        <v>-</v>
      </c>
      <c r="M93" s="836"/>
      <c r="N93" s="191" t="s">
        <v>342</v>
      </c>
      <c r="O93" s="488">
        <f>O10</f>
        <v>1</v>
      </c>
      <c r="P93" s="27" t="s">
        <v>8</v>
      </c>
      <c r="R93" s="255"/>
      <c r="S93" s="255"/>
      <c r="V93" s="185"/>
    </row>
    <row r="94" spans="1:23" ht="18" customHeight="1">
      <c r="A94" s="184"/>
      <c r="B94" s="47" t="s">
        <v>394</v>
      </c>
      <c r="H94" s="14"/>
      <c r="I94" s="14"/>
      <c r="J94" s="835" t="str">
        <f>H11</f>
        <v>PX</v>
      </c>
      <c r="K94" s="836"/>
      <c r="L94" s="14"/>
      <c r="M94" s="14"/>
      <c r="V94" s="185"/>
    </row>
    <row r="95" spans="1:23" ht="18" customHeight="1">
      <c r="A95" s="184"/>
      <c r="B95" s="47" t="s">
        <v>396</v>
      </c>
      <c r="I95" s="120" t="s">
        <v>497</v>
      </c>
      <c r="J95" s="781">
        <v>5</v>
      </c>
      <c r="K95" s="782"/>
      <c r="L95" s="192" t="s">
        <v>333</v>
      </c>
      <c r="V95" s="185"/>
    </row>
    <row r="96" spans="1:23" ht="18" customHeight="1">
      <c r="A96" s="184"/>
      <c r="B96" s="47" t="s">
        <v>398</v>
      </c>
      <c r="I96" s="120" t="s">
        <v>498</v>
      </c>
      <c r="J96" s="781">
        <v>900</v>
      </c>
      <c r="K96" s="782"/>
      <c r="L96" s="14" t="s">
        <v>305</v>
      </c>
      <c r="T96" s="295"/>
      <c r="U96" s="18"/>
      <c r="V96" s="185"/>
      <c r="W96" s="30" t="str">
        <f>M163</f>
        <v>Required Vk</v>
      </c>
    </row>
    <row r="97" spans="1:22" ht="18" customHeight="1">
      <c r="A97" s="184"/>
      <c r="B97" s="14" t="s">
        <v>401</v>
      </c>
      <c r="I97" s="120" t="s">
        <v>402</v>
      </c>
      <c r="J97" s="781">
        <v>10</v>
      </c>
      <c r="K97" s="782"/>
      <c r="L97" s="14" t="s">
        <v>403</v>
      </c>
      <c r="V97" s="185"/>
    </row>
    <row r="98" spans="1:22" ht="18" customHeight="1">
      <c r="A98" s="184"/>
      <c r="V98" s="185"/>
    </row>
    <row r="99" spans="1:22" ht="18" customHeight="1">
      <c r="A99" s="193" t="s">
        <v>404</v>
      </c>
      <c r="V99" s="185"/>
    </row>
    <row r="100" spans="1:22" ht="18" customHeight="1">
      <c r="A100" s="184"/>
      <c r="V100" s="185"/>
    </row>
    <row r="101" spans="1:22" ht="18" customHeight="1">
      <c r="A101" s="184"/>
      <c r="B101" s="135" t="s">
        <v>405</v>
      </c>
      <c r="C101" s="273"/>
      <c r="D101" s="139" t="str">
        <f>T90</f>
        <v>REB500</v>
      </c>
      <c r="E101" s="227"/>
      <c r="F101" s="227"/>
      <c r="G101" s="227"/>
      <c r="H101" s="138"/>
      <c r="I101" s="260" t="s">
        <v>127</v>
      </c>
      <c r="J101" s="722">
        <f>J18</f>
        <v>0.01</v>
      </c>
      <c r="K101" s="958"/>
      <c r="L101" s="3" t="s">
        <v>157</v>
      </c>
      <c r="N101" s="197" t="s">
        <v>510</v>
      </c>
      <c r="V101" s="185"/>
    </row>
    <row r="102" spans="1:22" ht="18" customHeight="1">
      <c r="A102" s="184"/>
      <c r="B102" s="96" t="s">
        <v>405</v>
      </c>
      <c r="C102" s="14"/>
      <c r="D102" s="47">
        <f>T91</f>
        <v>0</v>
      </c>
      <c r="H102" s="28"/>
      <c r="I102" s="101" t="s">
        <v>127</v>
      </c>
      <c r="J102" s="722">
        <f>J19</f>
        <v>0</v>
      </c>
      <c r="K102" s="958"/>
      <c r="L102" s="3" t="s">
        <v>157</v>
      </c>
      <c r="N102" s="120" t="s">
        <v>491</v>
      </c>
      <c r="O102" s="27" t="s">
        <v>127</v>
      </c>
      <c r="P102" s="27" t="s">
        <v>511</v>
      </c>
      <c r="Q102" s="27" t="s">
        <v>315</v>
      </c>
      <c r="R102" s="27" t="s">
        <v>511</v>
      </c>
      <c r="S102" s="27" t="s">
        <v>315</v>
      </c>
      <c r="T102" s="27" t="s">
        <v>420</v>
      </c>
      <c r="V102" s="185"/>
    </row>
    <row r="103" spans="1:22" ht="18" customHeight="1">
      <c r="A103" s="184"/>
      <c r="B103" s="96" t="s">
        <v>405</v>
      </c>
      <c r="C103" s="14"/>
      <c r="D103" s="47">
        <f>T92</f>
        <v>0</v>
      </c>
      <c r="H103" s="28"/>
      <c r="I103" s="101" t="s">
        <v>127</v>
      </c>
      <c r="J103" s="722">
        <f>J20</f>
        <v>0</v>
      </c>
      <c r="K103" s="958"/>
      <c r="L103" s="3" t="s">
        <v>157</v>
      </c>
      <c r="N103" s="27"/>
      <c r="O103" s="27" t="s">
        <v>127</v>
      </c>
      <c r="P103" s="27">
        <f>O93</f>
        <v>1</v>
      </c>
      <c r="Q103" s="27" t="s">
        <v>315</v>
      </c>
      <c r="R103" s="27">
        <f>O93</f>
        <v>1</v>
      </c>
      <c r="S103" s="27" t="s">
        <v>315</v>
      </c>
      <c r="T103" s="27">
        <f>J95</f>
        <v>5</v>
      </c>
      <c r="V103" s="185"/>
    </row>
    <row r="104" spans="1:22" ht="18" customHeight="1">
      <c r="A104" s="184"/>
      <c r="B104" s="452" t="s">
        <v>412</v>
      </c>
      <c r="C104" s="259"/>
      <c r="D104" s="259"/>
      <c r="E104" s="259"/>
      <c r="F104" s="207"/>
      <c r="G104" s="207"/>
      <c r="H104" s="190"/>
      <c r="I104" s="208" t="s">
        <v>127</v>
      </c>
      <c r="J104" s="1120">
        <f>'CT-VT Burdens'!S36</f>
        <v>1.25652618</v>
      </c>
      <c r="K104" s="987"/>
      <c r="L104" s="297" t="s">
        <v>157</v>
      </c>
      <c r="O104" s="27" t="s">
        <v>127</v>
      </c>
      <c r="P104" s="795">
        <f>P103*R103*T103</f>
        <v>5</v>
      </c>
      <c r="Q104" s="684"/>
      <c r="R104" s="27" t="s">
        <v>157</v>
      </c>
      <c r="V104" s="185"/>
    </row>
    <row r="105" spans="1:22" ht="18" customHeight="1">
      <c r="A105" s="184"/>
      <c r="B105" s="1" t="s">
        <v>413</v>
      </c>
      <c r="C105" s="2"/>
      <c r="D105" s="2"/>
      <c r="E105" s="2"/>
      <c r="F105" s="196"/>
      <c r="G105" s="196"/>
      <c r="H105" s="224" t="s">
        <v>512</v>
      </c>
      <c r="I105" s="183" t="s">
        <v>127</v>
      </c>
      <c r="J105" s="722">
        <f>SUM(J101:J104)</f>
        <v>1.2665261800000001</v>
      </c>
      <c r="K105" s="958"/>
      <c r="L105" s="3" t="s">
        <v>157</v>
      </c>
      <c r="V105" s="185"/>
    </row>
    <row r="106" spans="1:22" ht="18" customHeight="1">
      <c r="A106" s="184"/>
      <c r="B106" s="47"/>
      <c r="C106" s="47"/>
      <c r="D106" s="47"/>
      <c r="E106" s="47"/>
      <c r="H106" s="27"/>
      <c r="I106" s="28"/>
      <c r="J106" s="199"/>
      <c r="L106" s="47"/>
      <c r="S106" s="27"/>
      <c r="V106" s="185"/>
    </row>
    <row r="107" spans="1:22" ht="18" customHeight="1">
      <c r="A107" s="258"/>
      <c r="B107" s="117" t="s">
        <v>712</v>
      </c>
      <c r="V107" s="185"/>
    </row>
    <row r="108" spans="1:22" ht="18" customHeight="1">
      <c r="A108" s="231"/>
      <c r="B108" s="5"/>
      <c r="C108" s="47" t="s">
        <v>713</v>
      </c>
      <c r="D108" s="14"/>
      <c r="E108" s="14"/>
      <c r="F108" s="14"/>
      <c r="G108" s="14"/>
      <c r="H108" s="279"/>
      <c r="I108" s="120"/>
      <c r="J108" s="279"/>
      <c r="K108" s="279"/>
      <c r="L108" s="14"/>
      <c r="M108" s="14"/>
      <c r="N108" s="14"/>
      <c r="O108" s="14"/>
      <c r="P108" s="14"/>
      <c r="Q108" s="120" t="s">
        <v>714</v>
      </c>
      <c r="R108" s="102" t="s">
        <v>127</v>
      </c>
      <c r="S108" s="689">
        <v>31500</v>
      </c>
      <c r="T108" s="689"/>
      <c r="U108" s="47" t="s">
        <v>8</v>
      </c>
      <c r="V108" s="97" t="s">
        <v>129</v>
      </c>
    </row>
    <row r="109" spans="1:22" ht="18" customHeight="1">
      <c r="A109" s="184"/>
      <c r="B109" s="5"/>
      <c r="C109" s="47" t="s">
        <v>545</v>
      </c>
      <c r="D109" s="14"/>
      <c r="E109" s="14"/>
      <c r="F109" s="18"/>
      <c r="G109" s="18"/>
      <c r="H109" s="279"/>
      <c r="I109" s="120"/>
      <c r="J109" s="279"/>
      <c r="K109" s="279"/>
      <c r="L109" s="14"/>
      <c r="M109" s="14"/>
      <c r="N109" s="14"/>
      <c r="O109" s="14"/>
      <c r="P109" s="14"/>
      <c r="Q109" s="120" t="s">
        <v>423</v>
      </c>
      <c r="R109" s="102" t="s">
        <v>127</v>
      </c>
      <c r="S109" s="689">
        <f>J93</f>
        <v>3200</v>
      </c>
      <c r="T109" s="689"/>
      <c r="U109" s="14" t="s">
        <v>8</v>
      </c>
      <c r="V109" s="185"/>
    </row>
    <row r="110" spans="1:22" ht="18" customHeight="1">
      <c r="A110" s="184"/>
      <c r="B110" s="5"/>
      <c r="C110" s="47" t="s">
        <v>715</v>
      </c>
      <c r="D110" s="14"/>
      <c r="E110" s="14"/>
      <c r="F110" s="18"/>
      <c r="G110" s="18"/>
      <c r="H110" s="279"/>
      <c r="I110" s="120"/>
      <c r="J110" s="279"/>
      <c r="K110" s="279"/>
      <c r="L110" s="14"/>
      <c r="M110" s="14"/>
      <c r="N110" s="14"/>
      <c r="O110" s="14"/>
      <c r="P110" s="14"/>
      <c r="Q110" s="120" t="s">
        <v>716</v>
      </c>
      <c r="R110" s="102" t="s">
        <v>127</v>
      </c>
      <c r="S110" s="689">
        <v>33</v>
      </c>
      <c r="T110" s="689"/>
      <c r="U110" s="14" t="s">
        <v>163</v>
      </c>
      <c r="V110" s="185"/>
    </row>
    <row r="111" spans="1:22" ht="18" customHeight="1">
      <c r="A111" s="184"/>
      <c r="B111" s="5"/>
      <c r="C111" s="47" t="s">
        <v>546</v>
      </c>
      <c r="D111" s="14"/>
      <c r="E111" s="14"/>
      <c r="F111" s="18"/>
      <c r="G111" s="18"/>
      <c r="H111" s="279"/>
      <c r="I111" s="120"/>
      <c r="J111" s="279"/>
      <c r="K111" s="279"/>
      <c r="L111" s="14"/>
      <c r="M111" s="14"/>
      <c r="N111" s="14"/>
      <c r="O111" s="14"/>
      <c r="P111" s="14"/>
      <c r="Q111" s="120" t="s">
        <v>473</v>
      </c>
      <c r="R111" s="102" t="s">
        <v>127</v>
      </c>
      <c r="S111" s="689">
        <f>J96</f>
        <v>900</v>
      </c>
      <c r="T111" s="689"/>
      <c r="U111" s="14" t="s">
        <v>305</v>
      </c>
      <c r="V111" s="185"/>
    </row>
    <row r="112" spans="1:22" ht="18" customHeight="1">
      <c r="A112" s="184"/>
      <c r="B112" s="5"/>
      <c r="C112" s="47" t="s">
        <v>717</v>
      </c>
      <c r="D112" s="14"/>
      <c r="E112" s="14"/>
      <c r="F112" s="18"/>
      <c r="G112" s="18"/>
      <c r="H112" s="279"/>
      <c r="I112" s="120"/>
      <c r="J112" s="279"/>
      <c r="K112" s="279"/>
      <c r="L112" s="14"/>
      <c r="M112" s="14"/>
      <c r="N112" s="14"/>
      <c r="O112" s="14"/>
      <c r="P112" s="14"/>
      <c r="Q112" s="120" t="s">
        <v>420</v>
      </c>
      <c r="R112" s="102" t="s">
        <v>127</v>
      </c>
      <c r="S112" s="692">
        <f>P104</f>
        <v>5</v>
      </c>
      <c r="T112" s="689"/>
      <c r="U112" s="14" t="s">
        <v>157</v>
      </c>
      <c r="V112" s="185"/>
    </row>
    <row r="113" spans="1:25" ht="18" customHeight="1">
      <c r="A113" s="184"/>
      <c r="B113" s="5"/>
      <c r="C113" s="47" t="s">
        <v>718</v>
      </c>
      <c r="D113" s="14"/>
      <c r="E113" s="14"/>
      <c r="F113" s="18"/>
      <c r="G113" s="18"/>
      <c r="H113" s="279"/>
      <c r="I113" s="120"/>
      <c r="J113" s="279"/>
      <c r="K113" s="279"/>
      <c r="L113" s="14"/>
      <c r="M113" s="14"/>
      <c r="N113" s="14"/>
      <c r="O113" s="14"/>
      <c r="P113" s="14"/>
      <c r="Q113" s="120" t="s">
        <v>522</v>
      </c>
      <c r="R113" s="102" t="s">
        <v>127</v>
      </c>
      <c r="S113" s="692">
        <f>J105</f>
        <v>1.2665261800000001</v>
      </c>
      <c r="T113" s="689"/>
      <c r="U113" s="14" t="s">
        <v>157</v>
      </c>
      <c r="V113" s="185"/>
    </row>
    <row r="114" spans="1:25" ht="18" customHeight="1">
      <c r="A114" s="168"/>
      <c r="B114" s="5"/>
      <c r="C114" s="47" t="s">
        <v>549</v>
      </c>
      <c r="D114" s="14"/>
      <c r="E114" s="14"/>
      <c r="F114" s="14"/>
      <c r="G114" s="14"/>
      <c r="H114" s="279"/>
      <c r="I114" s="120"/>
      <c r="J114" s="279"/>
      <c r="K114" s="279"/>
      <c r="L114" s="14"/>
      <c r="M114" s="14"/>
      <c r="N114" s="14"/>
      <c r="O114" s="14"/>
      <c r="P114" s="14"/>
      <c r="Q114" s="120" t="s">
        <v>714</v>
      </c>
      <c r="R114" s="102" t="s">
        <v>127</v>
      </c>
      <c r="S114" s="689">
        <f>O93</f>
        <v>1</v>
      </c>
      <c r="T114" s="689"/>
      <c r="U114" s="14" t="s">
        <v>8</v>
      </c>
      <c r="V114" s="185"/>
    </row>
    <row r="115" spans="1:25" ht="18" customHeight="1">
      <c r="A115" s="168"/>
      <c r="B115" s="5"/>
      <c r="C115" s="47" t="s">
        <v>719</v>
      </c>
      <c r="D115" s="14"/>
      <c r="E115" s="14"/>
      <c r="F115" s="14"/>
      <c r="G115" s="14"/>
      <c r="H115" s="279"/>
      <c r="I115" s="120"/>
      <c r="J115" s="279"/>
      <c r="K115" s="279"/>
      <c r="L115" s="14"/>
      <c r="M115" s="14"/>
      <c r="N115" s="14"/>
      <c r="O115" s="14"/>
      <c r="P115" s="14"/>
      <c r="Q115" s="120" t="s">
        <v>720</v>
      </c>
      <c r="R115" s="102" t="s">
        <v>127</v>
      </c>
      <c r="S115" s="689">
        <v>50</v>
      </c>
      <c r="T115" s="689"/>
      <c r="U115" s="47"/>
      <c r="V115" s="185"/>
    </row>
    <row r="116" spans="1:25" ht="18" customHeight="1">
      <c r="A116" s="168"/>
      <c r="B116" s="279"/>
      <c r="C116" s="47"/>
      <c r="D116" s="14"/>
      <c r="E116" s="14"/>
      <c r="F116" s="14"/>
      <c r="G116" s="14"/>
      <c r="H116" s="279"/>
      <c r="I116" s="120"/>
      <c r="J116" s="279"/>
      <c r="K116" s="279"/>
      <c r="L116" s="14"/>
      <c r="M116" s="14"/>
      <c r="N116" s="279"/>
      <c r="O116" s="279"/>
      <c r="P116" s="14"/>
      <c r="Q116" s="120"/>
      <c r="R116" s="14"/>
      <c r="S116" s="279"/>
      <c r="T116" s="279"/>
      <c r="U116" s="279"/>
      <c r="V116" s="300"/>
    </row>
    <row r="117" spans="1:25" ht="18" customHeight="1">
      <c r="A117" s="168"/>
      <c r="C117" s="18" t="s">
        <v>721</v>
      </c>
      <c r="D117" s="14"/>
      <c r="E117" s="14"/>
      <c r="F117" s="14"/>
      <c r="G117" s="14"/>
      <c r="H117" s="14"/>
      <c r="I117" s="14"/>
      <c r="J117" s="14"/>
      <c r="K117" s="14"/>
      <c r="L117" s="14"/>
      <c r="M117" s="14"/>
      <c r="N117" s="14"/>
      <c r="O117" s="14"/>
      <c r="P117" s="14"/>
      <c r="Q117" s="14"/>
      <c r="R117" s="14"/>
      <c r="S117" s="14"/>
      <c r="T117" s="14"/>
      <c r="U117" s="14"/>
      <c r="V117" s="185"/>
      <c r="W117" s="279"/>
      <c r="X117" s="279"/>
      <c r="Y117" s="279"/>
    </row>
    <row r="118" spans="1:25" ht="18" customHeight="1">
      <c r="A118" s="168"/>
      <c r="C118" s="28"/>
      <c r="D118" s="47" t="s">
        <v>722</v>
      </c>
      <c r="E118" s="28"/>
      <c r="F118" s="28"/>
      <c r="G118" s="28"/>
      <c r="H118" s="14"/>
      <c r="I118" s="14"/>
      <c r="J118" s="28"/>
      <c r="K118" s="28"/>
      <c r="L118" s="28"/>
      <c r="M118" s="28"/>
      <c r="N118" s="47"/>
      <c r="O118" s="28"/>
      <c r="V118" s="185"/>
      <c r="X118" s="279"/>
      <c r="Y118" s="279"/>
    </row>
    <row r="119" spans="1:25" ht="18" customHeight="1">
      <c r="A119" s="168"/>
      <c r="D119" s="27"/>
      <c r="E119" s="27"/>
      <c r="F119" s="27"/>
      <c r="G119" s="27"/>
      <c r="I119" s="689" t="s">
        <v>723</v>
      </c>
      <c r="J119" s="689" t="s">
        <v>127</v>
      </c>
      <c r="K119" s="695" t="s">
        <v>714</v>
      </c>
      <c r="L119" s="695"/>
      <c r="M119" s="27"/>
      <c r="N119" s="296"/>
      <c r="O119" s="222"/>
      <c r="V119" s="185"/>
      <c r="X119" s="279"/>
      <c r="Y119" s="279"/>
    </row>
    <row r="120" spans="1:25" ht="18" customHeight="1">
      <c r="A120" s="168"/>
      <c r="D120" s="27"/>
      <c r="G120" s="27"/>
      <c r="I120" s="689"/>
      <c r="J120" s="689"/>
      <c r="K120" s="1289" t="s">
        <v>724</v>
      </c>
      <c r="L120" s="1289"/>
      <c r="V120" s="185"/>
    </row>
    <row r="121" spans="1:25" ht="18" customHeight="1">
      <c r="A121" s="184"/>
      <c r="B121" s="18" t="s">
        <v>725</v>
      </c>
      <c r="C121" s="14"/>
      <c r="V121" s="185"/>
    </row>
    <row r="122" spans="1:25" ht="18" customHeight="1">
      <c r="A122" s="184"/>
      <c r="B122" s="28"/>
      <c r="C122" s="372" t="s">
        <v>726</v>
      </c>
      <c r="D122" s="14"/>
      <c r="E122" s="14"/>
      <c r="F122" s="14"/>
      <c r="G122" s="14"/>
      <c r="H122" s="14"/>
      <c r="I122" s="14"/>
      <c r="J122" s="14"/>
      <c r="K122" s="14"/>
      <c r="L122" s="14"/>
      <c r="M122" s="14"/>
      <c r="N122" s="14"/>
      <c r="O122" s="14"/>
      <c r="P122" s="28"/>
      <c r="Q122" s="120"/>
      <c r="R122" s="14"/>
      <c r="S122" s="14"/>
      <c r="T122" s="14"/>
      <c r="U122" s="14"/>
      <c r="V122" s="185"/>
    </row>
    <row r="123" spans="1:25" ht="18" customHeight="1">
      <c r="A123" s="184"/>
      <c r="B123" s="28"/>
      <c r="C123" s="7" t="s">
        <v>727</v>
      </c>
      <c r="D123" s="14"/>
      <c r="E123" s="14"/>
      <c r="F123" s="14"/>
      <c r="G123" s="14"/>
      <c r="H123" s="14"/>
      <c r="K123" s="14"/>
      <c r="L123" s="28"/>
      <c r="M123" s="47"/>
      <c r="N123" s="14"/>
      <c r="O123" s="14"/>
      <c r="P123" s="14"/>
      <c r="Q123" s="14"/>
      <c r="R123" s="14"/>
      <c r="S123" s="14"/>
      <c r="T123" s="14"/>
      <c r="U123" s="14"/>
      <c r="V123" s="185"/>
    </row>
    <row r="124" spans="1:25" ht="18" customHeight="1">
      <c r="A124" s="184"/>
      <c r="B124" s="14" t="s">
        <v>728</v>
      </c>
      <c r="C124" s="7"/>
      <c r="D124" s="14"/>
      <c r="E124" s="14"/>
      <c r="F124" s="268"/>
      <c r="K124" s="28"/>
      <c r="L124" s="28"/>
      <c r="M124" s="281"/>
      <c r="N124" s="28"/>
      <c r="O124" s="47"/>
      <c r="P124" s="14"/>
      <c r="Q124" s="14"/>
      <c r="R124" s="14"/>
      <c r="S124" s="14"/>
      <c r="T124" s="14"/>
      <c r="U124" s="14"/>
      <c r="V124" s="185"/>
    </row>
    <row r="125" spans="1:25" ht="18" customHeight="1">
      <c r="A125" s="184"/>
      <c r="B125" s="14"/>
      <c r="C125" s="14" t="s">
        <v>729</v>
      </c>
      <c r="D125" s="47"/>
      <c r="E125" s="14"/>
      <c r="F125" s="268"/>
      <c r="K125" s="28"/>
      <c r="L125" s="28"/>
      <c r="M125" s="14"/>
      <c r="N125" s="14"/>
      <c r="O125" s="14"/>
      <c r="P125" s="14"/>
      <c r="Q125" s="14"/>
      <c r="R125" s="14"/>
      <c r="S125" s="14"/>
      <c r="T125" s="14"/>
      <c r="U125" s="14"/>
      <c r="V125" s="185"/>
    </row>
    <row r="126" spans="1:25" ht="18" customHeight="1">
      <c r="A126" s="184"/>
      <c r="B126" s="14"/>
      <c r="C126" s="7" t="s">
        <v>730</v>
      </c>
      <c r="D126" s="14"/>
      <c r="E126" s="14"/>
      <c r="F126" s="14"/>
      <c r="G126" s="14"/>
      <c r="H126" s="14"/>
      <c r="K126" s="28"/>
      <c r="L126" s="28"/>
      <c r="M126" s="47"/>
      <c r="N126" s="14"/>
      <c r="O126" s="14"/>
      <c r="P126" s="14"/>
      <c r="Q126" s="14"/>
      <c r="R126" s="14"/>
      <c r="S126" s="14"/>
      <c r="T126" s="14"/>
      <c r="U126" s="14"/>
      <c r="V126" s="185"/>
    </row>
    <row r="127" spans="1:25" ht="18" customHeight="1">
      <c r="A127" s="184"/>
      <c r="B127" s="14"/>
      <c r="C127" s="7" t="s">
        <v>731</v>
      </c>
      <c r="K127" s="28"/>
      <c r="L127" s="28"/>
      <c r="M127" s="28"/>
      <c r="O127" s="14"/>
      <c r="P127" s="28"/>
      <c r="Q127" s="278"/>
      <c r="R127" s="28"/>
      <c r="S127" s="14"/>
      <c r="T127" s="14"/>
      <c r="U127" s="14"/>
      <c r="V127" s="185"/>
    </row>
    <row r="128" spans="1:25" ht="18" customHeight="1">
      <c r="A128" s="452"/>
      <c r="B128" s="207"/>
      <c r="C128" s="207"/>
      <c r="D128" s="207"/>
      <c r="E128" s="207"/>
      <c r="F128" s="207"/>
      <c r="G128" s="207"/>
      <c r="H128" s="207"/>
      <c r="I128" s="207"/>
      <c r="J128" s="207"/>
      <c r="K128" s="259" t="s">
        <v>129</v>
      </c>
      <c r="L128" s="259" t="s">
        <v>732</v>
      </c>
      <c r="M128" s="190"/>
      <c r="N128" s="259"/>
      <c r="O128" s="259"/>
      <c r="P128" s="229"/>
      <c r="Q128" s="473"/>
      <c r="R128" s="229"/>
      <c r="S128" s="259"/>
      <c r="T128" s="259"/>
      <c r="U128" s="259"/>
      <c r="V128" s="453"/>
    </row>
    <row r="129" spans="1:22"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customHeight="1">
      <c r="A130" s="226"/>
      <c r="B130" s="273"/>
      <c r="C130" s="273"/>
      <c r="D130" s="227"/>
      <c r="E130" s="227"/>
      <c r="F130" s="227"/>
      <c r="G130" s="227"/>
      <c r="H130" s="227"/>
      <c r="I130" s="227"/>
      <c r="J130" s="227"/>
      <c r="K130" s="311"/>
      <c r="L130" s="311"/>
      <c r="M130" s="227"/>
      <c r="N130" s="227"/>
      <c r="O130" s="311"/>
      <c r="P130" s="311"/>
      <c r="Q130" s="138"/>
      <c r="R130" s="227"/>
      <c r="S130" s="227"/>
      <c r="T130" s="273"/>
      <c r="U130" s="273"/>
      <c r="V130" s="228"/>
    </row>
    <row r="131" spans="1:22" ht="18" customHeight="1">
      <c r="A131" s="96"/>
      <c r="B131" s="7" t="s">
        <v>733</v>
      </c>
      <c r="C131" s="7"/>
      <c r="D131" s="14"/>
      <c r="E131" s="7"/>
      <c r="F131" s="7"/>
      <c r="L131" s="27"/>
      <c r="O131" s="27"/>
      <c r="P131" s="27"/>
      <c r="Q131" s="28"/>
      <c r="T131" s="14"/>
      <c r="U131" s="14"/>
      <c r="V131" s="185"/>
    </row>
    <row r="132" spans="1:22" ht="18" customHeight="1">
      <c r="A132" s="96"/>
      <c r="B132" s="14"/>
      <c r="C132" s="7"/>
      <c r="D132" s="7"/>
      <c r="E132" s="14"/>
      <c r="F132" s="7"/>
      <c r="L132" s="27"/>
      <c r="M132" s="14"/>
      <c r="O132" s="14"/>
      <c r="P132" s="14"/>
      <c r="Q132" s="14"/>
      <c r="R132" s="14"/>
      <c r="S132" s="14"/>
      <c r="T132" s="14"/>
      <c r="U132" s="14"/>
      <c r="V132" s="185"/>
    </row>
    <row r="133" spans="1:22" ht="18" customHeight="1">
      <c r="A133" s="96"/>
      <c r="B133" s="14"/>
      <c r="C133" s="120" t="s">
        <v>734</v>
      </c>
      <c r="D133" s="28" t="s">
        <v>127</v>
      </c>
      <c r="E133" s="805">
        <f>S108</f>
        <v>31500</v>
      </c>
      <c r="F133" s="805"/>
      <c r="G133" s="14"/>
      <c r="H133" s="14"/>
      <c r="I133" s="102"/>
      <c r="J133" s="47"/>
      <c r="K133" s="47"/>
      <c r="L133" s="14"/>
      <c r="M133" s="14"/>
      <c r="N133" s="14"/>
      <c r="O133" s="14"/>
      <c r="P133" s="14"/>
      <c r="Q133" s="14"/>
      <c r="R133" s="14"/>
      <c r="S133" s="14"/>
      <c r="T133" s="14"/>
      <c r="U133" s="14"/>
      <c r="V133" s="185"/>
    </row>
    <row r="134" spans="1:22" ht="18" customHeight="1">
      <c r="A134" s="96"/>
      <c r="B134" s="14"/>
      <c r="C134" s="120"/>
      <c r="D134" s="28"/>
      <c r="E134" s="978" t="str">
        <f>"5 x "&amp;S109&amp;""</f>
        <v>5 x 3200</v>
      </c>
      <c r="F134" s="978"/>
      <c r="G134" s="28"/>
      <c r="H134" s="257"/>
      <c r="K134" s="28"/>
      <c r="L134" s="218"/>
      <c r="M134" s="257"/>
      <c r="O134" s="14"/>
      <c r="P134" s="14"/>
      <c r="Q134" s="14"/>
      <c r="R134" s="14"/>
      <c r="S134" s="14"/>
      <c r="T134" s="14"/>
      <c r="U134" s="14"/>
      <c r="V134" s="185"/>
    </row>
    <row r="135" spans="1:22" ht="18" customHeight="1">
      <c r="A135" s="96"/>
      <c r="J135" s="14"/>
      <c r="K135" s="257"/>
      <c r="M135" s="14"/>
      <c r="N135" s="14"/>
      <c r="O135" s="14"/>
      <c r="P135" s="14"/>
      <c r="Q135" s="14"/>
      <c r="R135" s="14"/>
      <c r="S135" s="14"/>
      <c r="T135" s="14"/>
      <c r="U135" s="14"/>
      <c r="V135" s="185"/>
    </row>
    <row r="136" spans="1:22" ht="18" customHeight="1">
      <c r="A136" s="96"/>
      <c r="C136" s="458" t="s">
        <v>734</v>
      </c>
      <c r="D136" s="182" t="s">
        <v>127</v>
      </c>
      <c r="E136" s="1288">
        <f>S108/5/S109</f>
        <v>1.96875</v>
      </c>
      <c r="F136" s="722"/>
      <c r="G136" s="27"/>
      <c r="H136" s="27"/>
      <c r="I136" s="27"/>
      <c r="J136" s="120"/>
      <c r="K136" s="28"/>
      <c r="L136" s="120"/>
      <c r="M136" s="28"/>
      <c r="N136" s="120"/>
      <c r="O136" s="28"/>
      <c r="P136" s="120"/>
      <c r="Q136" s="296"/>
      <c r="V136" s="185"/>
    </row>
    <row r="137" spans="1:22" ht="18" customHeight="1">
      <c r="A137" s="96"/>
      <c r="C137" s="120"/>
      <c r="D137" s="28"/>
      <c r="E137" s="218"/>
      <c r="F137" s="218"/>
      <c r="G137" s="27"/>
      <c r="H137" s="27"/>
      <c r="I137" s="27"/>
      <c r="J137" s="120"/>
      <c r="K137" s="28"/>
      <c r="L137" s="120"/>
      <c r="M137" s="28"/>
      <c r="N137" s="120"/>
      <c r="O137" s="28"/>
      <c r="P137" s="120"/>
      <c r="Q137" s="296"/>
      <c r="V137" s="185"/>
    </row>
    <row r="138" spans="1:22" ht="18" customHeight="1">
      <c r="A138" s="96"/>
      <c r="B138" s="14" t="s">
        <v>735</v>
      </c>
      <c r="C138" s="14"/>
      <c r="D138" s="14"/>
      <c r="E138" s="7"/>
      <c r="F138" s="102"/>
      <c r="G138" s="7"/>
      <c r="H138" s="7"/>
      <c r="I138" s="239"/>
      <c r="J138" s="120"/>
      <c r="K138" s="28"/>
      <c r="L138" s="120"/>
      <c r="M138" s="28"/>
      <c r="N138" s="120"/>
      <c r="O138" s="28"/>
      <c r="P138" s="120"/>
      <c r="Q138" s="296"/>
      <c r="V138" s="185"/>
    </row>
    <row r="139" spans="1:22" ht="18" customHeight="1">
      <c r="A139" s="96"/>
      <c r="C139" s="14"/>
      <c r="D139" s="14"/>
      <c r="E139" s="689" t="s">
        <v>736</v>
      </c>
      <c r="F139" s="689">
        <v>1</v>
      </c>
      <c r="G139" s="689"/>
      <c r="H139" s="689" t="s">
        <v>312</v>
      </c>
      <c r="I139" s="459" t="s">
        <v>312</v>
      </c>
      <c r="J139" s="120"/>
      <c r="K139" s="28"/>
      <c r="L139" s="120"/>
      <c r="M139" s="28"/>
      <c r="N139" s="120"/>
      <c r="O139" s="28"/>
      <c r="P139" s="120"/>
      <c r="Q139" s="296"/>
      <c r="V139" s="185"/>
    </row>
    <row r="140" spans="1:22" ht="18" customHeight="1">
      <c r="A140" s="96"/>
      <c r="C140" s="14"/>
      <c r="D140" s="14"/>
      <c r="E140" s="723"/>
      <c r="F140" s="273"/>
      <c r="G140" s="274" t="s">
        <v>737</v>
      </c>
      <c r="H140" s="689"/>
      <c r="I140" s="14" t="s">
        <v>141</v>
      </c>
      <c r="J140" s="120"/>
      <c r="K140" s="28"/>
      <c r="L140" s="120"/>
      <c r="M140" s="28"/>
      <c r="N140" s="120"/>
      <c r="O140" s="28"/>
      <c r="P140" s="120"/>
      <c r="Q140" s="296"/>
      <c r="V140" s="185"/>
    </row>
    <row r="141" spans="1:22" ht="18" customHeight="1">
      <c r="A141" s="96"/>
      <c r="C141" s="120"/>
      <c r="D141" s="28"/>
      <c r="E141" s="218"/>
      <c r="F141" s="218"/>
      <c r="G141" s="27"/>
      <c r="H141" s="27"/>
      <c r="I141" s="27"/>
      <c r="J141" s="120"/>
      <c r="K141" s="28"/>
      <c r="L141" s="120"/>
      <c r="M141" s="28"/>
      <c r="N141" s="120"/>
      <c r="O141" s="28"/>
      <c r="P141" s="120"/>
      <c r="Q141" s="296"/>
      <c r="V141" s="185"/>
    </row>
    <row r="142" spans="1:22" ht="18" customHeight="1">
      <c r="A142" s="96"/>
      <c r="B142" s="14" t="s">
        <v>753</v>
      </c>
      <c r="J142" s="120"/>
      <c r="K142" s="28"/>
      <c r="L142" s="120"/>
      <c r="M142" s="28"/>
      <c r="N142" s="121" t="s">
        <v>127</v>
      </c>
      <c r="O142" s="47">
        <v>15</v>
      </c>
      <c r="P142" s="120"/>
      <c r="Q142" s="296"/>
      <c r="V142" s="185"/>
    </row>
    <row r="143" spans="1:22" ht="18" customHeight="1">
      <c r="A143" s="184"/>
      <c r="C143" s="120"/>
      <c r="D143" s="28"/>
      <c r="E143" s="218"/>
      <c r="F143" s="218"/>
      <c r="G143" s="27"/>
      <c r="H143" s="27"/>
      <c r="I143" s="27"/>
      <c r="J143" s="120"/>
      <c r="K143" s="28"/>
      <c r="L143" s="120"/>
      <c r="M143" s="28"/>
      <c r="N143" s="120"/>
      <c r="O143" s="28"/>
      <c r="P143" s="120"/>
      <c r="Q143" s="296"/>
      <c r="V143" s="185"/>
    </row>
    <row r="144" spans="1:22" ht="18" customHeight="1">
      <c r="A144" s="96"/>
      <c r="C144" s="120"/>
      <c r="F144" s="708">
        <v>1</v>
      </c>
      <c r="G144" s="708"/>
      <c r="H144" s="708"/>
      <c r="I144" s="27"/>
      <c r="J144" s="689" t="s">
        <v>315</v>
      </c>
      <c r="K144" s="1286">
        <f>O142</f>
        <v>15</v>
      </c>
      <c r="L144" s="120"/>
      <c r="M144" s="28"/>
      <c r="N144" s="120"/>
      <c r="O144" s="28"/>
      <c r="P144" s="120"/>
      <c r="Q144" s="296"/>
      <c r="V144" s="185"/>
    </row>
    <row r="145" spans="1:22" ht="18" customHeight="1">
      <c r="A145" s="184"/>
      <c r="C145" s="120"/>
      <c r="D145" s="120" t="s">
        <v>738</v>
      </c>
      <c r="E145" s="102" t="s">
        <v>127</v>
      </c>
      <c r="F145" s="14" t="s">
        <v>739</v>
      </c>
      <c r="I145" s="27"/>
      <c r="J145" s="684"/>
      <c r="K145" s="1251"/>
      <c r="L145" s="120"/>
      <c r="M145" s="28"/>
      <c r="N145" s="120"/>
      <c r="O145" s="28"/>
      <c r="P145" s="120"/>
      <c r="Q145" s="296"/>
      <c r="V145" s="185"/>
    </row>
    <row r="146" spans="1:22" ht="18" customHeight="1">
      <c r="A146" s="184"/>
      <c r="C146" s="120"/>
      <c r="D146" s="28"/>
      <c r="E146" s="218" t="s">
        <v>127</v>
      </c>
      <c r="F146" s="1287">
        <f>1*O142/(2*3.14*50)</f>
        <v>4.7770700636942678E-2</v>
      </c>
      <c r="G146" s="1287"/>
      <c r="H146" s="28" t="s">
        <v>740</v>
      </c>
      <c r="I146" s="27"/>
      <c r="J146" s="120"/>
      <c r="K146" s="28"/>
      <c r="L146" s="120"/>
      <c r="M146" s="28"/>
      <c r="N146" s="120"/>
      <c r="O146" s="28"/>
      <c r="P146" s="120"/>
      <c r="Q146" s="296"/>
      <c r="V146" s="185"/>
    </row>
    <row r="147" spans="1:22" ht="18" customHeight="1">
      <c r="A147" s="184"/>
      <c r="C147" s="120"/>
      <c r="D147" s="120" t="s">
        <v>738</v>
      </c>
      <c r="E147" s="218" t="s">
        <v>127</v>
      </c>
      <c r="F147" s="1188">
        <f>F146*1000</f>
        <v>47.770700636942678</v>
      </c>
      <c r="G147" s="1188"/>
      <c r="H147" s="28" t="s">
        <v>343</v>
      </c>
      <c r="I147" s="27"/>
      <c r="J147" s="120"/>
      <c r="K147" s="28"/>
      <c r="L147" s="120"/>
      <c r="M147" s="28"/>
      <c r="N147" s="120"/>
      <c r="O147" s="28"/>
      <c r="P147" s="120"/>
      <c r="Q147" s="296"/>
      <c r="V147" s="185"/>
    </row>
    <row r="148" spans="1:22" ht="18" customHeight="1">
      <c r="A148" s="184"/>
      <c r="B148" s="14" t="s">
        <v>741</v>
      </c>
      <c r="E148" s="28" t="s">
        <v>127</v>
      </c>
      <c r="F148" s="27">
        <v>10</v>
      </c>
      <c r="G148" s="27"/>
      <c r="H148" s="245"/>
      <c r="I148" s="245"/>
      <c r="J148" s="460"/>
      <c r="K148" s="245"/>
      <c r="L148" s="460"/>
      <c r="M148" s="245"/>
      <c r="N148" s="460"/>
      <c r="O148" s="245"/>
      <c r="P148" s="460"/>
      <c r="Q148" s="461"/>
      <c r="V148" s="185"/>
    </row>
    <row r="149" spans="1:22" ht="18" customHeight="1">
      <c r="A149" s="184"/>
      <c r="G149" s="27"/>
      <c r="H149" s="245"/>
      <c r="I149" s="245"/>
      <c r="J149" s="460"/>
      <c r="K149" s="245"/>
      <c r="L149" s="460"/>
      <c r="M149" s="245"/>
      <c r="N149" s="460"/>
      <c r="O149" s="245"/>
      <c r="P149" s="460"/>
      <c r="Q149" s="461"/>
      <c r="V149" s="185"/>
    </row>
    <row r="150" spans="1:22" ht="18" customHeight="1">
      <c r="A150" s="184"/>
      <c r="B150" s="7" t="s">
        <v>742</v>
      </c>
      <c r="F150" s="7"/>
      <c r="G150" s="7"/>
      <c r="H150" s="204"/>
      <c r="I150" s="204"/>
      <c r="V150" s="185"/>
    </row>
    <row r="151" spans="1:22" ht="18" customHeight="1">
      <c r="A151" s="184"/>
      <c r="B151" s="7"/>
      <c r="E151" s="14" t="s">
        <v>754</v>
      </c>
      <c r="F151" s="7"/>
      <c r="G151" s="7"/>
      <c r="V151" s="185"/>
    </row>
    <row r="152" spans="1:22" ht="18" customHeight="1">
      <c r="A152" s="184"/>
      <c r="B152" s="14" t="s">
        <v>744</v>
      </c>
      <c r="C152" s="14"/>
      <c r="D152" s="14"/>
      <c r="E152" s="14"/>
      <c r="F152" s="14"/>
      <c r="G152" s="120"/>
      <c r="H152" s="120"/>
      <c r="V152" s="185"/>
    </row>
    <row r="153" spans="1:22" ht="18" customHeight="1">
      <c r="A153" s="184"/>
      <c r="B153" s="14"/>
      <c r="C153" s="120" t="s">
        <v>745</v>
      </c>
      <c r="D153" s="28" t="s">
        <v>127</v>
      </c>
      <c r="E153" s="1188">
        <f>MAX(E136,F148)</f>
        <v>10</v>
      </c>
      <c r="F153" s="1188"/>
      <c r="G153" s="47" t="s">
        <v>746</v>
      </c>
      <c r="H153" s="120"/>
      <c r="V153" s="185"/>
    </row>
    <row r="154" spans="1:22" ht="18" customHeight="1">
      <c r="A154" s="184"/>
      <c r="B154" s="7"/>
      <c r="E154" s="14"/>
      <c r="F154" s="7"/>
      <c r="G154" s="7"/>
      <c r="V154" s="185"/>
    </row>
    <row r="155" spans="1:22" ht="18" customHeight="1">
      <c r="A155" s="184"/>
      <c r="B155" s="47" t="s">
        <v>747</v>
      </c>
      <c r="E155" s="14"/>
      <c r="F155" s="7"/>
      <c r="G155" s="7"/>
      <c r="V155" s="185"/>
    </row>
    <row r="156" spans="1:22" ht="18" customHeight="1">
      <c r="A156" s="184"/>
      <c r="B156" s="47" t="s">
        <v>748</v>
      </c>
      <c r="E156" s="14"/>
      <c r="F156" s="7"/>
      <c r="G156" s="7"/>
      <c r="V156" s="185"/>
    </row>
    <row r="157" spans="1:22" ht="18" customHeight="1" thickBot="1">
      <c r="A157" s="184"/>
      <c r="B157" s="102" t="s">
        <v>127</v>
      </c>
      <c r="C157" s="120">
        <f>E153</f>
        <v>10</v>
      </c>
      <c r="D157" s="28" t="s">
        <v>315</v>
      </c>
      <c r="E157" s="28" t="s">
        <v>419</v>
      </c>
      <c r="F157" s="692">
        <f>S112</f>
        <v>5</v>
      </c>
      <c r="G157" s="692"/>
      <c r="H157" s="102" t="s">
        <v>347</v>
      </c>
      <c r="I157" s="218">
        <f>S113</f>
        <v>1.2665261800000001</v>
      </c>
      <c r="J157" s="240" t="s">
        <v>347</v>
      </c>
      <c r="K157" s="281">
        <f>J101</f>
        <v>0.01</v>
      </c>
      <c r="L157" s="14" t="s">
        <v>350</v>
      </c>
      <c r="M157" s="14" t="s">
        <v>315</v>
      </c>
      <c r="N157" s="28">
        <v>1</v>
      </c>
      <c r="V157" s="185"/>
    </row>
    <row r="158" spans="1:22" ht="18" customHeight="1" thickBot="1">
      <c r="A158" s="184"/>
      <c r="B158" s="462" t="s">
        <v>528</v>
      </c>
      <c r="C158" s="463" t="s">
        <v>127</v>
      </c>
      <c r="D158" s="464">
        <f>C157*(F157+I157+K157)*N157</f>
        <v>62.76526179999999</v>
      </c>
      <c r="E158" s="14" t="s">
        <v>305</v>
      </c>
      <c r="F158" s="7"/>
      <c r="G158" s="7"/>
      <c r="V158" s="185"/>
    </row>
    <row r="159" spans="1:22" ht="18" customHeight="1">
      <c r="A159" s="184"/>
      <c r="B159" s="7"/>
      <c r="E159" s="14"/>
      <c r="F159" s="7"/>
      <c r="G159" s="7"/>
      <c r="V159" s="185"/>
    </row>
    <row r="160" spans="1:22" ht="18" customHeight="1">
      <c r="A160" s="184"/>
      <c r="B160" s="47" t="s">
        <v>749</v>
      </c>
      <c r="E160" s="14"/>
      <c r="F160" s="7"/>
      <c r="G160" s="7"/>
      <c r="J160" s="14" t="s">
        <v>750</v>
      </c>
      <c r="L160" s="28" t="s">
        <v>476</v>
      </c>
      <c r="N160" s="14" t="s">
        <v>751</v>
      </c>
      <c r="V160" s="185"/>
    </row>
    <row r="161" spans="1:22" ht="18" customHeight="1">
      <c r="A161" s="184"/>
      <c r="B161" s="7"/>
      <c r="E161" s="14"/>
      <c r="F161" s="7"/>
      <c r="G161" s="7"/>
      <c r="L161" s="28" t="s">
        <v>127</v>
      </c>
      <c r="N161" s="1251">
        <f>0.8*D158</f>
        <v>50.212209439999995</v>
      </c>
      <c r="O161" s="1251"/>
      <c r="V161" s="185"/>
    </row>
    <row r="162" spans="1:22" ht="18" customHeight="1">
      <c r="A162" s="184"/>
      <c r="B162" s="7"/>
      <c r="E162" s="14"/>
      <c r="F162" s="14" t="s">
        <v>752</v>
      </c>
      <c r="G162" s="7"/>
      <c r="L162" s="28" t="s">
        <v>127</v>
      </c>
      <c r="N162" s="1072">
        <f>N161*1.2</f>
        <v>60.254651327999994</v>
      </c>
      <c r="O162" s="1072"/>
      <c r="V162" s="185"/>
    </row>
    <row r="163" spans="1:22" ht="18" customHeight="1">
      <c r="A163" s="184"/>
      <c r="B163" s="7"/>
      <c r="E163" s="14"/>
      <c r="F163" s="7"/>
      <c r="G163" s="7"/>
      <c r="K163" s="199" t="s">
        <v>475</v>
      </c>
      <c r="L163" s="28" t="str">
        <f>IF(J164&gt;M164,"&gt;","&lt;")</f>
        <v>&gt;</v>
      </c>
      <c r="M163" s="257" t="s">
        <v>477</v>
      </c>
      <c r="O163" s="18"/>
      <c r="P163" s="268"/>
      <c r="V163" s="185"/>
    </row>
    <row r="164" spans="1:22" ht="18" customHeight="1">
      <c r="A164" s="184"/>
      <c r="D164" s="211"/>
      <c r="E164" s="211"/>
      <c r="F164" s="27"/>
      <c r="G164" s="211"/>
      <c r="J164" s="795">
        <f>S111</f>
        <v>900</v>
      </c>
      <c r="K164" s="795"/>
      <c r="L164" s="27" t="str">
        <f>IF(J164&gt;=M164,"&gt;","&lt;")</f>
        <v>&gt;</v>
      </c>
      <c r="M164" s="795">
        <f>N162</f>
        <v>60.254651327999994</v>
      </c>
      <c r="N164" s="795"/>
      <c r="P164" s="268"/>
      <c r="V164" s="185"/>
    </row>
    <row r="165" spans="1:22" ht="18" customHeight="1">
      <c r="A165" s="184"/>
      <c r="K165" s="244" t="s">
        <v>478</v>
      </c>
      <c r="M165" s="18" t="str">
        <f>IF(J164&gt;M164,"Suitably Dimensioned","Under Dimensioned")</f>
        <v>Suitably Dimensioned</v>
      </c>
      <c r="V165" s="185"/>
    </row>
    <row r="166" spans="1:22" ht="18" customHeight="1">
      <c r="A166" s="184"/>
      <c r="V166" s="185"/>
    </row>
    <row r="167" spans="1:22" ht="18" hidden="1" customHeight="1">
      <c r="A167" s="184"/>
      <c r="V167" s="185"/>
    </row>
    <row r="168" spans="1:22" ht="18" hidden="1" customHeight="1">
      <c r="A168" s="184"/>
      <c r="V168" s="185"/>
    </row>
    <row r="169" spans="1:22" ht="18" hidden="1" customHeight="1">
      <c r="A169" s="452"/>
      <c r="B169" s="207"/>
      <c r="C169" s="207"/>
      <c r="D169" s="207"/>
      <c r="E169" s="207"/>
      <c r="F169" s="207"/>
      <c r="G169" s="207"/>
      <c r="H169" s="207"/>
      <c r="I169" s="207"/>
      <c r="J169" s="207"/>
      <c r="K169" s="207"/>
      <c r="L169" s="207"/>
      <c r="M169" s="207"/>
      <c r="N169" s="207"/>
      <c r="O169" s="207"/>
      <c r="P169" s="207"/>
      <c r="Q169" s="207"/>
      <c r="R169" s="207"/>
      <c r="S169" s="207"/>
      <c r="T169" s="207"/>
      <c r="U169" s="207"/>
      <c r="V169" s="453"/>
    </row>
    <row r="170" spans="1:22" s="14" customFormat="1" ht="18" hidden="1"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hidden="1" customHeight="1">
      <c r="A171" s="226"/>
      <c r="B171" s="227"/>
      <c r="C171" s="227"/>
      <c r="D171" s="227"/>
      <c r="E171" s="227"/>
      <c r="F171" s="227"/>
      <c r="G171" s="227"/>
      <c r="H171" s="227"/>
      <c r="I171" s="227"/>
      <c r="J171" s="227"/>
      <c r="K171" s="227"/>
      <c r="L171" s="227"/>
      <c r="M171" s="227"/>
      <c r="N171" s="227"/>
      <c r="O171" s="227"/>
      <c r="P171" s="227"/>
      <c r="Q171" s="227"/>
      <c r="R171" s="227"/>
      <c r="S171" s="227"/>
      <c r="T171" s="227"/>
      <c r="U171" s="227"/>
      <c r="V171" s="228"/>
    </row>
    <row r="172" spans="1:22" ht="18" hidden="1" customHeight="1">
      <c r="A172" s="184"/>
      <c r="B172" s="854" t="str">
        <f>B90</f>
        <v>T1</v>
      </c>
      <c r="C172" s="831"/>
      <c r="D172" s="854" t="str">
        <f>D90</f>
        <v>Core5</v>
      </c>
      <c r="E172" s="831"/>
      <c r="F172" s="455"/>
      <c r="H172" s="684" t="str">
        <f>H90</f>
        <v>(Low Imp. Busbar)</v>
      </c>
      <c r="I172" s="684"/>
      <c r="J172" s="684"/>
      <c r="K172" s="684"/>
      <c r="L172" s="684"/>
      <c r="M172" s="684"/>
      <c r="P172" s="186"/>
      <c r="S172" s="187" t="s">
        <v>387</v>
      </c>
      <c r="T172" s="854" t="str">
        <f>T90</f>
        <v>REB500</v>
      </c>
      <c r="U172" s="831"/>
      <c r="V172" s="185"/>
    </row>
    <row r="173" spans="1:22" ht="18" hidden="1" customHeight="1">
      <c r="A173" s="456"/>
      <c r="F173" s="455"/>
      <c r="T173" s="854">
        <f>T91</f>
        <v>0</v>
      </c>
      <c r="U173" s="831"/>
      <c r="V173" s="185"/>
    </row>
    <row r="174" spans="1:22" ht="18" hidden="1" customHeight="1">
      <c r="A174" s="184"/>
      <c r="H174" s="708" t="s">
        <v>390</v>
      </c>
      <c r="I174" s="708"/>
      <c r="J174" s="708" t="s">
        <v>391</v>
      </c>
      <c r="K174" s="708"/>
      <c r="L174" s="789" t="s">
        <v>392</v>
      </c>
      <c r="M174" s="789"/>
      <c r="T174" s="854">
        <f>T92</f>
        <v>0</v>
      </c>
      <c r="U174" s="831"/>
      <c r="V174" s="185"/>
    </row>
    <row r="175" spans="1:22" ht="18" hidden="1" customHeight="1">
      <c r="A175" s="184"/>
      <c r="B175" s="47" t="s">
        <v>393</v>
      </c>
      <c r="H175" s="854">
        <f>H93</f>
        <v>2000</v>
      </c>
      <c r="I175" s="831"/>
      <c r="J175" s="854">
        <f>J93</f>
        <v>3200</v>
      </c>
      <c r="K175" s="831"/>
      <c r="L175" s="863" t="str">
        <f>L93</f>
        <v>-</v>
      </c>
      <c r="M175" s="864"/>
      <c r="N175" s="191" t="s">
        <v>342</v>
      </c>
      <c r="O175" s="256">
        <f>O93</f>
        <v>1</v>
      </c>
      <c r="P175" s="27" t="s">
        <v>8</v>
      </c>
      <c r="R175" s="255"/>
      <c r="S175" s="255"/>
      <c r="V175" s="185"/>
    </row>
    <row r="176" spans="1:22" ht="18" hidden="1" customHeight="1">
      <c r="A176" s="184"/>
      <c r="B176" s="47" t="s">
        <v>394</v>
      </c>
      <c r="H176" s="14"/>
      <c r="K176" s="14"/>
      <c r="L176" s="854" t="str">
        <f>J94</f>
        <v>PX</v>
      </c>
      <c r="M176" s="831"/>
      <c r="N176" s="14"/>
      <c r="V176" s="185"/>
    </row>
    <row r="177" spans="1:23" ht="18" hidden="1" customHeight="1">
      <c r="A177" s="184"/>
      <c r="B177" s="47" t="s">
        <v>396</v>
      </c>
      <c r="K177" s="120" t="s">
        <v>497</v>
      </c>
      <c r="L177" s="781" t="s">
        <v>6</v>
      </c>
      <c r="M177" s="782"/>
      <c r="N177" s="192" t="s">
        <v>333</v>
      </c>
      <c r="V177" s="185"/>
    </row>
    <row r="178" spans="1:23" ht="18" hidden="1" customHeight="1">
      <c r="A178" s="184"/>
      <c r="B178" s="47" t="s">
        <v>398</v>
      </c>
      <c r="K178" s="120" t="s">
        <v>498</v>
      </c>
      <c r="L178" s="781" t="s">
        <v>6</v>
      </c>
      <c r="M178" s="782"/>
      <c r="N178" s="14" t="s">
        <v>305</v>
      </c>
      <c r="V178" s="185"/>
      <c r="W178" s="30" t="e">
        <f>G238</f>
        <v>#VALUE!</v>
      </c>
    </row>
    <row r="179" spans="1:23" ht="18" hidden="1" customHeight="1">
      <c r="A179" s="184"/>
      <c r="B179" s="14" t="s">
        <v>401</v>
      </c>
      <c r="K179" s="120" t="s">
        <v>402</v>
      </c>
      <c r="L179" s="781" t="s">
        <v>6</v>
      </c>
      <c r="M179" s="782"/>
      <c r="N179" s="14" t="s">
        <v>403</v>
      </c>
      <c r="V179" s="185"/>
    </row>
    <row r="180" spans="1:23" ht="18" hidden="1" customHeight="1">
      <c r="A180" s="184"/>
      <c r="V180" s="185"/>
    </row>
    <row r="181" spans="1:23" ht="18" hidden="1" customHeight="1">
      <c r="A181" s="193" t="s">
        <v>404</v>
      </c>
      <c r="V181" s="185"/>
    </row>
    <row r="182" spans="1:23" ht="18" hidden="1" customHeight="1">
      <c r="A182" s="184"/>
      <c r="V182" s="185"/>
    </row>
    <row r="183" spans="1:23" ht="18" hidden="1" customHeight="1">
      <c r="A183" s="184"/>
      <c r="B183" s="135" t="s">
        <v>405</v>
      </c>
      <c r="C183" s="273"/>
      <c r="D183" s="139" t="str">
        <f>T172</f>
        <v>REB500</v>
      </c>
      <c r="E183" s="227"/>
      <c r="F183" s="227"/>
      <c r="G183" s="227"/>
      <c r="H183" s="138"/>
      <c r="I183" s="260" t="s">
        <v>127</v>
      </c>
      <c r="J183" s="722">
        <f>J101</f>
        <v>0.01</v>
      </c>
      <c r="K183" s="958"/>
      <c r="L183" s="3" t="s">
        <v>157</v>
      </c>
      <c r="N183" s="197" t="s">
        <v>510</v>
      </c>
      <c r="V183" s="185"/>
    </row>
    <row r="184" spans="1:23" ht="18" hidden="1" customHeight="1">
      <c r="A184" s="184"/>
      <c r="B184" s="96" t="s">
        <v>405</v>
      </c>
      <c r="C184" s="14"/>
      <c r="D184" s="47">
        <f>T173</f>
        <v>0</v>
      </c>
      <c r="H184" s="28"/>
      <c r="I184" s="101" t="s">
        <v>127</v>
      </c>
      <c r="J184" s="722">
        <f>J102</f>
        <v>0</v>
      </c>
      <c r="K184" s="958"/>
      <c r="L184" s="3" t="s">
        <v>157</v>
      </c>
      <c r="N184" s="120" t="s">
        <v>491</v>
      </c>
      <c r="O184" s="27" t="s">
        <v>127</v>
      </c>
      <c r="P184" s="27" t="s">
        <v>511</v>
      </c>
      <c r="Q184" s="27" t="s">
        <v>315</v>
      </c>
      <c r="R184" s="27" t="s">
        <v>511</v>
      </c>
      <c r="S184" s="27" t="s">
        <v>315</v>
      </c>
      <c r="T184" s="27" t="s">
        <v>420</v>
      </c>
      <c r="V184" s="185"/>
    </row>
    <row r="185" spans="1:23" ht="18" hidden="1" customHeight="1">
      <c r="A185" s="184"/>
      <c r="B185" s="96" t="s">
        <v>405</v>
      </c>
      <c r="C185" s="14"/>
      <c r="D185" s="47">
        <f>T174</f>
        <v>0</v>
      </c>
      <c r="H185" s="28"/>
      <c r="I185" s="101" t="s">
        <v>127</v>
      </c>
      <c r="J185" s="722">
        <f>J103</f>
        <v>0</v>
      </c>
      <c r="K185" s="958"/>
      <c r="L185" s="3" t="s">
        <v>157</v>
      </c>
      <c r="N185" s="27"/>
      <c r="O185" s="27" t="s">
        <v>127</v>
      </c>
      <c r="P185" s="27">
        <f>O175</f>
        <v>1</v>
      </c>
      <c r="Q185" s="27" t="s">
        <v>315</v>
      </c>
      <c r="R185" s="27">
        <f>O175</f>
        <v>1</v>
      </c>
      <c r="S185" s="27" t="s">
        <v>315</v>
      </c>
      <c r="T185" s="27" t="str">
        <f>L177</f>
        <v>-</v>
      </c>
      <c r="V185" s="185"/>
    </row>
    <row r="186" spans="1:23" ht="18" hidden="1" customHeight="1">
      <c r="A186" s="184"/>
      <c r="B186" s="452" t="s">
        <v>412</v>
      </c>
      <c r="C186" s="259"/>
      <c r="D186" s="259"/>
      <c r="E186" s="259"/>
      <c r="F186" s="207"/>
      <c r="G186" s="207"/>
      <c r="H186" s="190"/>
      <c r="I186" s="208" t="s">
        <v>127</v>
      </c>
      <c r="J186" s="1120">
        <f>J104</f>
        <v>1.25652618</v>
      </c>
      <c r="K186" s="987"/>
      <c r="L186" s="297" t="s">
        <v>157</v>
      </c>
      <c r="O186" s="27" t="s">
        <v>127</v>
      </c>
      <c r="P186" s="795" t="e">
        <f>P185*R185*T185</f>
        <v>#VALUE!</v>
      </c>
      <c r="Q186" s="684"/>
      <c r="R186" s="27" t="s">
        <v>157</v>
      </c>
      <c r="V186" s="185"/>
    </row>
    <row r="187" spans="1:23" ht="18" hidden="1" customHeight="1">
      <c r="A187" s="184"/>
      <c r="B187" s="1" t="s">
        <v>413</v>
      </c>
      <c r="C187" s="2"/>
      <c r="D187" s="2"/>
      <c r="E187" s="2"/>
      <c r="F187" s="196"/>
      <c r="G187" s="196"/>
      <c r="H187" s="224" t="s">
        <v>512</v>
      </c>
      <c r="I187" s="183" t="s">
        <v>127</v>
      </c>
      <c r="J187" s="722">
        <f>SUM(J183:J186)</f>
        <v>1.2665261800000001</v>
      </c>
      <c r="K187" s="958"/>
      <c r="L187" s="3" t="s">
        <v>157</v>
      </c>
      <c r="V187" s="185"/>
    </row>
    <row r="188" spans="1:23" ht="18" hidden="1" customHeight="1">
      <c r="A188" s="184"/>
      <c r="B188" s="47"/>
      <c r="C188" s="47"/>
      <c r="D188" s="47"/>
      <c r="E188" s="47"/>
      <c r="H188" s="27"/>
      <c r="I188" s="28"/>
      <c r="J188" s="199"/>
      <c r="L188" s="47"/>
      <c r="S188" s="27"/>
      <c r="V188" s="185"/>
    </row>
    <row r="189" spans="1:23" ht="18" hidden="1" customHeight="1">
      <c r="A189" s="1206" t="s">
        <v>536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3" ht="18" hidden="1" customHeight="1">
      <c r="A191" s="184"/>
      <c r="Q191" s="211"/>
      <c r="R191" s="192"/>
      <c r="V191" s="185"/>
    </row>
    <row r="192" spans="1:23" ht="18" hidden="1" customHeight="1">
      <c r="A192" s="184"/>
      <c r="C192" s="28" t="s">
        <v>473</v>
      </c>
      <c r="D192" s="28" t="s">
        <v>127</v>
      </c>
      <c r="E192" s="28" t="s">
        <v>537</v>
      </c>
      <c r="F192" s="28" t="s">
        <v>493</v>
      </c>
      <c r="G192" s="28" t="s">
        <v>347</v>
      </c>
      <c r="H192" s="28" t="s">
        <v>491</v>
      </c>
      <c r="I192" s="28" t="s">
        <v>538</v>
      </c>
      <c r="J192" s="28" t="s">
        <v>495</v>
      </c>
      <c r="K192" s="28" t="s">
        <v>539</v>
      </c>
      <c r="L192" s="28" t="s">
        <v>511</v>
      </c>
      <c r="M192" s="28" t="s">
        <v>315</v>
      </c>
      <c r="N192" s="28">
        <v>1.3</v>
      </c>
      <c r="O192" s="47" t="s">
        <v>350</v>
      </c>
      <c r="V192" s="185"/>
    </row>
    <row r="193" spans="1:25" ht="18" hidden="1" customHeight="1">
      <c r="A193" s="184" t="s">
        <v>540</v>
      </c>
      <c r="C193" s="14"/>
      <c r="D193" s="28"/>
      <c r="E193" s="14"/>
      <c r="F193" s="14"/>
      <c r="G193" s="14"/>
      <c r="H193" s="14"/>
      <c r="I193" s="14"/>
      <c r="J193" s="14"/>
      <c r="K193" s="14"/>
      <c r="L193" s="14"/>
      <c r="M193" s="14"/>
      <c r="N193" s="14"/>
      <c r="O193" s="14"/>
      <c r="V193" s="185"/>
    </row>
    <row r="194" spans="1:25" ht="18" hidden="1" customHeight="1">
      <c r="A194" s="184"/>
      <c r="C194" s="28" t="s">
        <v>493</v>
      </c>
      <c r="D194" s="28" t="s">
        <v>127</v>
      </c>
      <c r="E194" s="28" t="s">
        <v>537</v>
      </c>
      <c r="F194" s="28">
        <v>1.3</v>
      </c>
      <c r="G194" s="28" t="s">
        <v>315</v>
      </c>
      <c r="H194" s="689" t="s">
        <v>473</v>
      </c>
      <c r="I194" s="716"/>
      <c r="J194" s="28" t="s">
        <v>315</v>
      </c>
      <c r="K194" s="28" t="s">
        <v>511</v>
      </c>
      <c r="L194" s="28" t="s">
        <v>541</v>
      </c>
      <c r="M194" s="28" t="s">
        <v>495</v>
      </c>
      <c r="N194" s="47" t="s">
        <v>542</v>
      </c>
      <c r="O194" s="28" t="s">
        <v>491</v>
      </c>
      <c r="V194" s="185"/>
    </row>
    <row r="195" spans="1:25" ht="18" hidden="1" customHeight="1">
      <c r="A195" s="184"/>
      <c r="V195" s="185"/>
    </row>
    <row r="196" spans="1:25" ht="18" hidden="1" customHeight="1">
      <c r="A196" s="168"/>
      <c r="B196" s="5"/>
      <c r="C196" s="47" t="s">
        <v>543</v>
      </c>
      <c r="D196" s="14"/>
      <c r="E196" s="14"/>
      <c r="F196" s="14"/>
      <c r="G196" s="14"/>
      <c r="H196" s="279"/>
      <c r="I196" s="120"/>
      <c r="J196" s="279"/>
      <c r="K196" s="279"/>
      <c r="L196" s="14"/>
      <c r="M196" s="14"/>
      <c r="N196" s="14"/>
      <c r="O196" s="14"/>
      <c r="P196" s="14"/>
      <c r="Q196" s="120" t="s">
        <v>544</v>
      </c>
      <c r="R196" s="102" t="s">
        <v>127</v>
      </c>
      <c r="S196" s="689">
        <f>S114</f>
        <v>1</v>
      </c>
      <c r="T196" s="689"/>
      <c r="U196" s="47" t="s">
        <v>8</v>
      </c>
      <c r="V196" s="185"/>
    </row>
    <row r="197" spans="1:25" ht="18" hidden="1" customHeight="1">
      <c r="A197" s="168"/>
      <c r="B197" s="5"/>
      <c r="C197" s="47" t="s">
        <v>545</v>
      </c>
      <c r="D197" s="14"/>
      <c r="E197" s="14"/>
      <c r="F197" s="18"/>
      <c r="G197" s="18"/>
      <c r="H197" s="279"/>
      <c r="I197" s="120"/>
      <c r="J197" s="279"/>
      <c r="K197" s="279"/>
      <c r="L197" s="14"/>
      <c r="M197" s="14"/>
      <c r="N197" s="14"/>
      <c r="O197" s="14"/>
      <c r="P197" s="14"/>
      <c r="Q197" s="120" t="s">
        <v>423</v>
      </c>
      <c r="R197" s="102" t="s">
        <v>127</v>
      </c>
      <c r="S197" s="689" t="str">
        <f>L175</f>
        <v>-</v>
      </c>
      <c r="T197" s="689"/>
      <c r="U197" s="14" t="s">
        <v>8</v>
      </c>
      <c r="V197" s="185"/>
    </row>
    <row r="198" spans="1:25" ht="18" hidden="1" customHeight="1">
      <c r="A198" s="168"/>
      <c r="B198" s="5"/>
      <c r="C198" s="47" t="s">
        <v>546</v>
      </c>
      <c r="D198" s="14"/>
      <c r="E198" s="14"/>
      <c r="F198" s="18"/>
      <c r="G198" s="18"/>
      <c r="H198" s="279"/>
      <c r="I198" s="120"/>
      <c r="J198" s="279"/>
      <c r="K198" s="279"/>
      <c r="L198" s="14"/>
      <c r="M198" s="14"/>
      <c r="N198" s="14"/>
      <c r="O198" s="14"/>
      <c r="P198" s="14"/>
      <c r="Q198" s="120" t="s">
        <v>473</v>
      </c>
      <c r="R198" s="102" t="s">
        <v>127</v>
      </c>
      <c r="S198" s="689" t="str">
        <f>L178</f>
        <v>-</v>
      </c>
      <c r="T198" s="689"/>
      <c r="U198" s="14" t="s">
        <v>305</v>
      </c>
      <c r="V198" s="185"/>
    </row>
    <row r="199" spans="1:25" ht="18" hidden="1" customHeight="1">
      <c r="A199" s="168"/>
      <c r="B199" s="5"/>
      <c r="C199" s="47" t="s">
        <v>547</v>
      </c>
      <c r="D199" s="14"/>
      <c r="E199" s="14"/>
      <c r="F199" s="18"/>
      <c r="G199" s="18"/>
      <c r="H199" s="279"/>
      <c r="I199" s="120"/>
      <c r="J199" s="279"/>
      <c r="K199" s="279"/>
      <c r="L199" s="14"/>
      <c r="M199" s="14"/>
      <c r="N199" s="14"/>
      <c r="O199" s="14"/>
      <c r="P199" s="14"/>
      <c r="Q199" s="120" t="s">
        <v>491</v>
      </c>
      <c r="R199" s="102" t="s">
        <v>127</v>
      </c>
      <c r="S199" s="692" t="e">
        <f>P186</f>
        <v>#VALUE!</v>
      </c>
      <c r="T199" s="689"/>
      <c r="U199" s="14" t="s">
        <v>157</v>
      </c>
      <c r="V199" s="185"/>
      <c r="W199" s="279"/>
      <c r="X199" s="279"/>
      <c r="Y199" s="279"/>
    </row>
    <row r="200" spans="1:25" ht="18" hidden="1" customHeight="1">
      <c r="A200" s="168"/>
      <c r="B200" s="5"/>
      <c r="C200" s="47" t="s">
        <v>548</v>
      </c>
      <c r="D200" s="14"/>
      <c r="E200" s="14"/>
      <c r="F200" s="18"/>
      <c r="G200" s="18"/>
      <c r="H200" s="279"/>
      <c r="I200" s="120"/>
      <c r="J200" s="279"/>
      <c r="K200" s="279"/>
      <c r="L200" s="14"/>
      <c r="M200" s="14"/>
      <c r="N200" s="14"/>
      <c r="O200" s="14"/>
      <c r="P200" s="14"/>
      <c r="Q200" s="120" t="s">
        <v>512</v>
      </c>
      <c r="R200" s="102" t="s">
        <v>127</v>
      </c>
      <c r="S200" s="692">
        <f>J187</f>
        <v>1.2665261800000001</v>
      </c>
      <c r="T200" s="689"/>
      <c r="U200" s="14" t="s">
        <v>157</v>
      </c>
      <c r="V200" s="185"/>
      <c r="X200" s="279"/>
      <c r="Y200" s="279"/>
    </row>
    <row r="201" spans="1:25" ht="18" hidden="1" customHeight="1">
      <c r="A201" s="168"/>
      <c r="B201" s="5"/>
      <c r="C201" s="47" t="s">
        <v>549</v>
      </c>
      <c r="D201" s="14"/>
      <c r="E201" s="14"/>
      <c r="F201" s="14"/>
      <c r="G201" s="14"/>
      <c r="H201" s="279"/>
      <c r="I201" s="120"/>
      <c r="J201" s="279"/>
      <c r="K201" s="279"/>
      <c r="L201" s="14"/>
      <c r="M201" s="14"/>
      <c r="N201" s="14"/>
      <c r="O201" s="14"/>
      <c r="P201" s="14"/>
      <c r="Q201" s="120" t="s">
        <v>511</v>
      </c>
      <c r="R201" s="102" t="s">
        <v>127</v>
      </c>
      <c r="S201" s="689">
        <f>O175</f>
        <v>1</v>
      </c>
      <c r="T201" s="689"/>
      <c r="U201" s="14" t="s">
        <v>8</v>
      </c>
      <c r="V201" s="185"/>
      <c r="X201" s="279"/>
      <c r="Y201" s="279"/>
    </row>
    <row r="202" spans="1:25" ht="18" hidden="1" customHeight="1">
      <c r="A202" s="168"/>
      <c r="B202" s="5"/>
      <c r="C202" s="47" t="s">
        <v>550</v>
      </c>
      <c r="D202" s="14"/>
      <c r="E202" s="14"/>
      <c r="F202" s="14"/>
      <c r="G202" s="14"/>
      <c r="H202" s="279"/>
      <c r="I202" s="120"/>
      <c r="J202" s="279"/>
      <c r="K202" s="279"/>
      <c r="L202" s="14"/>
      <c r="M202" s="14"/>
      <c r="N202" s="14"/>
      <c r="O202" s="14"/>
      <c r="P202" s="14"/>
      <c r="Q202" s="120" t="s">
        <v>495</v>
      </c>
      <c r="R202" s="102" t="s">
        <v>127</v>
      </c>
      <c r="S202" s="689">
        <v>20</v>
      </c>
      <c r="T202" s="689"/>
      <c r="U202" s="47"/>
      <c r="V202" s="185"/>
    </row>
    <row r="203" spans="1:25" ht="18" hidden="1" customHeight="1">
      <c r="A203" s="299"/>
      <c r="B203" s="279"/>
      <c r="C203" s="47" t="s">
        <v>551</v>
      </c>
      <c r="D203" s="14"/>
      <c r="E203" s="14"/>
      <c r="F203" s="14"/>
      <c r="G203" s="14"/>
      <c r="H203" s="279"/>
      <c r="I203" s="120"/>
      <c r="J203" s="279"/>
      <c r="K203" s="279"/>
      <c r="L203" s="14"/>
      <c r="M203" s="14"/>
      <c r="N203" s="279"/>
      <c r="O203" s="279"/>
      <c r="P203" s="14"/>
      <c r="Q203" s="120" t="s">
        <v>493</v>
      </c>
      <c r="R203" s="14"/>
      <c r="S203" s="279"/>
      <c r="T203" s="279"/>
      <c r="U203" s="279"/>
      <c r="V203" s="300"/>
      <c r="W203" s="279"/>
      <c r="X203" s="279"/>
      <c r="Y203" s="279"/>
    </row>
    <row r="204" spans="1:25" ht="18" hidden="1" customHeight="1">
      <c r="A204" s="184"/>
      <c r="C204" s="14"/>
      <c r="D204" s="14"/>
      <c r="E204" s="14"/>
      <c r="F204" s="14"/>
      <c r="G204" s="14"/>
      <c r="H204" s="14"/>
      <c r="I204" s="14"/>
      <c r="J204" s="14"/>
      <c r="K204" s="14"/>
      <c r="L204" s="14"/>
      <c r="M204" s="14"/>
      <c r="N204" s="14"/>
      <c r="O204" s="14"/>
      <c r="P204" s="14"/>
      <c r="Q204" s="14"/>
      <c r="R204" s="14"/>
      <c r="S204" s="14"/>
      <c r="T204" s="14"/>
      <c r="U204" s="14"/>
      <c r="V204" s="185"/>
    </row>
    <row r="205" spans="1:25" ht="18" hidden="1" customHeight="1">
      <c r="A205" s="184"/>
      <c r="C205" s="28" t="s">
        <v>493</v>
      </c>
      <c r="D205" s="28" t="s">
        <v>127</v>
      </c>
      <c r="E205" s="28" t="s">
        <v>537</v>
      </c>
      <c r="F205" s="28">
        <v>1.3</v>
      </c>
      <c r="G205" s="28" t="s">
        <v>315</v>
      </c>
      <c r="H205" s="689" t="s">
        <v>473</v>
      </c>
      <c r="I205" s="716"/>
      <c r="J205" s="28" t="s">
        <v>315</v>
      </c>
      <c r="K205" s="28" t="s">
        <v>511</v>
      </c>
      <c r="L205" s="28" t="s">
        <v>541</v>
      </c>
      <c r="M205" s="28" t="s">
        <v>495</v>
      </c>
      <c r="N205" s="47" t="s">
        <v>542</v>
      </c>
      <c r="O205" s="28" t="s">
        <v>491</v>
      </c>
      <c r="V205" s="185"/>
    </row>
    <row r="206" spans="1:25" ht="18" hidden="1" customHeight="1">
      <c r="A206" s="184"/>
      <c r="D206" s="27" t="s">
        <v>127</v>
      </c>
      <c r="E206" s="27" t="s">
        <v>537</v>
      </c>
      <c r="F206" s="27">
        <v>1.3</v>
      </c>
      <c r="G206" s="27" t="s">
        <v>315</v>
      </c>
      <c r="H206" s="684" t="str">
        <f>S198</f>
        <v>-</v>
      </c>
      <c r="I206" s="723"/>
      <c r="J206" s="27" t="s">
        <v>315</v>
      </c>
      <c r="K206" s="27">
        <f>S201</f>
        <v>1</v>
      </c>
      <c r="L206" s="27" t="s">
        <v>541</v>
      </c>
      <c r="M206" s="27">
        <f>S202</f>
        <v>20</v>
      </c>
      <c r="N206" s="296" t="s">
        <v>542</v>
      </c>
      <c r="O206" s="222" t="e">
        <f>S199</f>
        <v>#VALUE!</v>
      </c>
      <c r="V206" s="185"/>
    </row>
    <row r="207" spans="1:25" ht="18" hidden="1" customHeight="1">
      <c r="A207" s="184"/>
      <c r="D207" s="27" t="s">
        <v>127</v>
      </c>
      <c r="E207" s="684" t="e">
        <f>((F206*H206*K206)/M206)-O206</f>
        <v>#VALUE!</v>
      </c>
      <c r="F207" s="684"/>
      <c r="G207" s="27" t="s">
        <v>157</v>
      </c>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V213" s="185"/>
    </row>
    <row r="214" spans="1:22" s="14" customFormat="1" ht="18" hidden="1" customHeight="1">
      <c r="A214" s="194"/>
      <c r="B214" s="195"/>
      <c r="C214" s="195"/>
      <c r="D214" s="195"/>
      <c r="E214" s="195"/>
      <c r="F214" s="195"/>
      <c r="G214" s="195"/>
      <c r="H214" s="195"/>
      <c r="I214" s="195"/>
      <c r="J214" s="195"/>
      <c r="K214" s="195"/>
      <c r="L214" s="195"/>
      <c r="M214" s="195"/>
      <c r="N214" s="195"/>
      <c r="O214" s="195"/>
      <c r="P214" s="195"/>
      <c r="Q214" s="224"/>
      <c r="R214" s="182"/>
      <c r="S214" s="225"/>
      <c r="T214" s="195"/>
      <c r="U214" s="195"/>
      <c r="V214" s="134"/>
    </row>
    <row r="215" spans="1:22" ht="18" hidden="1" customHeight="1">
      <c r="A215" s="226"/>
      <c r="B215" s="227"/>
      <c r="C215" s="227"/>
      <c r="D215" s="227"/>
      <c r="E215" s="227"/>
      <c r="F215" s="227"/>
      <c r="G215" s="227"/>
      <c r="H215" s="227"/>
      <c r="I215" s="227"/>
      <c r="J215" s="227"/>
      <c r="K215" s="227"/>
      <c r="L215" s="227"/>
      <c r="M215" s="227"/>
      <c r="N215" s="227"/>
      <c r="O215" s="227"/>
      <c r="P215" s="227"/>
      <c r="Q215" s="227"/>
      <c r="R215" s="227"/>
      <c r="S215" s="227"/>
      <c r="T215" s="227"/>
      <c r="U215" s="227"/>
      <c r="V215" s="228"/>
    </row>
    <row r="216" spans="1:22" ht="18" hidden="1" customHeight="1">
      <c r="A216" s="96" t="s">
        <v>755</v>
      </c>
      <c r="B216" s="14"/>
      <c r="C216" s="14"/>
      <c r="D216" s="14"/>
      <c r="E216" s="14"/>
      <c r="F216" s="14"/>
      <c r="G216" s="14"/>
      <c r="H216" s="14"/>
      <c r="I216" s="14"/>
      <c r="J216" s="14"/>
      <c r="K216" s="14"/>
      <c r="L216" s="14"/>
      <c r="M216" s="14"/>
      <c r="N216" s="14"/>
      <c r="O216" s="14"/>
      <c r="P216" s="28"/>
      <c r="Q216" s="120"/>
      <c r="R216" s="14"/>
      <c r="S216" s="14"/>
      <c r="T216" s="14"/>
      <c r="U216" s="14"/>
      <c r="V216" s="185"/>
    </row>
    <row r="217" spans="1:22" ht="18" hidden="1" customHeight="1">
      <c r="A217" s="96"/>
      <c r="B217" s="14"/>
      <c r="C217" s="14"/>
      <c r="D217" s="14"/>
      <c r="E217" s="14"/>
      <c r="F217" s="14"/>
      <c r="G217" s="14"/>
      <c r="H217" s="14"/>
      <c r="K217" s="14" t="s">
        <v>756</v>
      </c>
      <c r="L217" s="28"/>
      <c r="M217" s="47"/>
      <c r="N217" s="14"/>
      <c r="O217" s="14"/>
      <c r="P217" s="14"/>
      <c r="Q217" s="14"/>
      <c r="R217" s="14"/>
      <c r="S217" s="14"/>
      <c r="T217" s="14"/>
      <c r="U217" s="14"/>
      <c r="V217" s="185"/>
    </row>
    <row r="218" spans="1:22" ht="18" hidden="1" customHeight="1">
      <c r="A218" s="96"/>
      <c r="B218" s="28" t="s">
        <v>745</v>
      </c>
      <c r="C218" s="278" t="s">
        <v>652</v>
      </c>
      <c r="D218" s="14" t="s">
        <v>757</v>
      </c>
      <c r="E218" s="14"/>
      <c r="F218" s="268" t="s">
        <v>758</v>
      </c>
      <c r="K218" s="28" t="s">
        <v>745</v>
      </c>
      <c r="L218" s="28" t="s">
        <v>127</v>
      </c>
      <c r="M218" s="281" t="s">
        <v>759</v>
      </c>
      <c r="N218" s="28"/>
      <c r="O218" s="47"/>
      <c r="P218" s="14"/>
      <c r="Q218" s="14"/>
      <c r="R218" s="14"/>
      <c r="S218" s="14"/>
      <c r="T218" s="14"/>
      <c r="U218" s="14"/>
      <c r="V218" s="185"/>
    </row>
    <row r="219" spans="1:22" ht="18" hidden="1" customHeight="1">
      <c r="A219" s="96"/>
      <c r="B219" s="28" t="s">
        <v>745</v>
      </c>
      <c r="C219" s="278" t="s">
        <v>652</v>
      </c>
      <c r="D219" s="47" t="s">
        <v>760</v>
      </c>
      <c r="E219" s="14"/>
      <c r="F219" s="268" t="s">
        <v>761</v>
      </c>
      <c r="K219" s="28"/>
      <c r="L219" s="28" t="s">
        <v>127</v>
      </c>
      <c r="M219" s="14" t="s">
        <v>762</v>
      </c>
      <c r="N219" s="14"/>
      <c r="O219" s="14"/>
      <c r="P219" s="14"/>
      <c r="Q219" s="14"/>
      <c r="R219" s="14"/>
      <c r="S219" s="14"/>
      <c r="T219" s="14"/>
      <c r="U219" s="14"/>
      <c r="V219" s="185"/>
    </row>
    <row r="220" spans="1:22" ht="18" hidden="1" customHeight="1">
      <c r="A220" s="96"/>
      <c r="B220" s="14"/>
      <c r="C220" s="14"/>
      <c r="D220" s="14"/>
      <c r="E220" s="14"/>
      <c r="F220" s="14"/>
      <c r="G220" s="14"/>
      <c r="H220" s="14"/>
      <c r="K220" s="28" t="s">
        <v>757</v>
      </c>
      <c r="L220" s="28" t="s">
        <v>127</v>
      </c>
      <c r="M220" s="47" t="s">
        <v>763</v>
      </c>
      <c r="N220" s="14"/>
      <c r="O220" s="14"/>
      <c r="P220" s="14"/>
      <c r="Q220" s="14"/>
      <c r="R220" s="14"/>
      <c r="S220" s="14"/>
      <c r="T220" s="14"/>
      <c r="U220" s="14"/>
      <c r="V220" s="185"/>
    </row>
    <row r="221" spans="1:22" ht="18" hidden="1" customHeight="1">
      <c r="A221" s="96"/>
      <c r="B221" s="14"/>
      <c r="C221" s="14"/>
      <c r="K221" s="28" t="s">
        <v>760</v>
      </c>
      <c r="L221" s="28" t="s">
        <v>127</v>
      </c>
      <c r="M221" s="28">
        <v>10</v>
      </c>
      <c r="O221" s="14" t="s">
        <v>764</v>
      </c>
      <c r="P221" s="28" t="s">
        <v>765</v>
      </c>
      <c r="Q221" s="278" t="s">
        <v>766</v>
      </c>
      <c r="R221" s="28">
        <v>120</v>
      </c>
      <c r="S221" s="14" t="s">
        <v>767</v>
      </c>
      <c r="T221" s="14"/>
      <c r="U221" s="14"/>
      <c r="V221" s="185"/>
    </row>
    <row r="222" spans="1:22" ht="18" hidden="1" customHeight="1">
      <c r="A222" s="96"/>
      <c r="B222" s="14"/>
      <c r="C222" s="14"/>
      <c r="L222" s="28" t="s">
        <v>127</v>
      </c>
      <c r="M222" s="27">
        <v>20</v>
      </c>
      <c r="N222" s="14"/>
      <c r="O222" s="14" t="s">
        <v>764</v>
      </c>
      <c r="P222" s="28" t="s">
        <v>765</v>
      </c>
      <c r="Q222" s="278" t="s">
        <v>766</v>
      </c>
      <c r="R222" s="28">
        <v>300</v>
      </c>
      <c r="S222" s="14" t="s">
        <v>767</v>
      </c>
      <c r="T222" s="14"/>
      <c r="U222" s="14"/>
      <c r="V222" s="185"/>
    </row>
    <row r="223" spans="1:22" ht="18" hidden="1" customHeight="1">
      <c r="A223" s="96"/>
      <c r="B223" s="14"/>
      <c r="C223" s="14"/>
      <c r="N223" s="14"/>
      <c r="O223" s="14"/>
      <c r="P223" s="28"/>
      <c r="Q223" s="120"/>
      <c r="R223" s="14"/>
      <c r="S223" s="14"/>
      <c r="T223" s="14"/>
      <c r="U223" s="14"/>
      <c r="V223" s="185"/>
    </row>
    <row r="224" spans="1:22" ht="18" hidden="1" customHeight="1">
      <c r="A224" s="96" t="s">
        <v>768</v>
      </c>
      <c r="B224" s="14"/>
      <c r="C224" s="14"/>
      <c r="K224" s="27" t="s">
        <v>757</v>
      </c>
      <c r="L224" s="27" t="s">
        <v>127</v>
      </c>
      <c r="M224" s="684" t="s">
        <v>425</v>
      </c>
      <c r="N224" s="684"/>
      <c r="O224" s="27" t="s">
        <v>769</v>
      </c>
      <c r="P224" s="27">
        <v>5</v>
      </c>
      <c r="Q224" s="28" t="s">
        <v>315</v>
      </c>
      <c r="R224" s="684" t="s">
        <v>423</v>
      </c>
      <c r="S224" s="684"/>
      <c r="T224" s="14" t="s">
        <v>350</v>
      </c>
      <c r="U224" s="14"/>
      <c r="V224" s="185"/>
    </row>
    <row r="225" spans="1:22" ht="18" hidden="1" customHeight="1">
      <c r="A225" s="96"/>
      <c r="B225" s="14"/>
      <c r="C225" s="14"/>
      <c r="L225" s="27" t="s">
        <v>127</v>
      </c>
      <c r="M225" s="684">
        <f>S196</f>
        <v>1</v>
      </c>
      <c r="N225" s="684"/>
      <c r="O225" s="27" t="s">
        <v>769</v>
      </c>
      <c r="P225" s="27">
        <v>5</v>
      </c>
      <c r="Q225" s="28" t="s">
        <v>315</v>
      </c>
      <c r="R225" s="684" t="str">
        <f>S197</f>
        <v>-</v>
      </c>
      <c r="S225" s="684"/>
      <c r="T225" s="14" t="s">
        <v>350</v>
      </c>
      <c r="U225" s="14"/>
      <c r="V225" s="185"/>
    </row>
    <row r="226" spans="1:22" ht="18" hidden="1" customHeight="1">
      <c r="A226" s="96"/>
      <c r="B226" s="14"/>
      <c r="C226" s="14"/>
      <c r="D226" s="14"/>
      <c r="E226" s="120"/>
      <c r="F226" s="28"/>
      <c r="L226" s="27" t="s">
        <v>127</v>
      </c>
      <c r="M226" s="689" t="e">
        <f>M225/(P225*R225)</f>
        <v>#VALUE!</v>
      </c>
      <c r="N226" s="684"/>
      <c r="O226" s="14"/>
      <c r="P226" s="14"/>
      <c r="Q226" s="14"/>
      <c r="R226" s="14"/>
      <c r="S226" s="14"/>
      <c r="T226" s="14"/>
      <c r="U226" s="14"/>
      <c r="V226" s="185"/>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85"/>
    </row>
    <row r="228" spans="1:22" ht="18" hidden="1" customHeight="1">
      <c r="A228" s="96" t="s">
        <v>770</v>
      </c>
      <c r="B228" s="14"/>
      <c r="C228" s="14"/>
      <c r="D228" s="14"/>
      <c r="E228" s="257" t="s">
        <v>771</v>
      </c>
      <c r="F228" s="14"/>
      <c r="G228" s="28" t="s">
        <v>127</v>
      </c>
      <c r="H228" s="692">
        <f>'[2]Parameters &amp; Fault Cal.'!Q184</f>
        <v>0</v>
      </c>
      <c r="I228" s="684"/>
      <c r="J228" s="30" t="s">
        <v>531</v>
      </c>
      <c r="K228" s="28" t="s">
        <v>760</v>
      </c>
      <c r="L228" s="218" t="s">
        <v>127</v>
      </c>
      <c r="M228" s="692">
        <f>IF(H228&lt;=120,M221,M222)</f>
        <v>10</v>
      </c>
      <c r="N228" s="684"/>
      <c r="O228" s="14"/>
      <c r="P228" s="14"/>
      <c r="Q228" s="14"/>
      <c r="R228" s="14"/>
      <c r="S228" s="14"/>
      <c r="T228" s="14"/>
      <c r="U228" s="14"/>
      <c r="V228" s="185"/>
    </row>
    <row r="229" spans="1:22" ht="18" hidden="1" customHeight="1">
      <c r="A229" s="184"/>
      <c r="J229" s="14"/>
      <c r="K229" s="257"/>
      <c r="M229" s="14"/>
      <c r="N229" s="14"/>
      <c r="O229" s="14"/>
      <c r="P229" s="14"/>
      <c r="Q229" s="14"/>
      <c r="R229" s="14"/>
      <c r="S229" s="14"/>
      <c r="T229" s="14"/>
      <c r="U229" s="14"/>
      <c r="V229" s="185"/>
    </row>
    <row r="230" spans="1:22" ht="18" hidden="1" customHeight="1">
      <c r="A230" s="96" t="s">
        <v>772</v>
      </c>
      <c r="E230" s="199"/>
      <c r="G230" s="27" t="s">
        <v>127</v>
      </c>
      <c r="H230" s="27" t="s">
        <v>495</v>
      </c>
      <c r="I230" s="27" t="s">
        <v>554</v>
      </c>
      <c r="J230" s="120" t="s">
        <v>491</v>
      </c>
      <c r="K230" s="28" t="s">
        <v>347</v>
      </c>
      <c r="L230" s="120" t="s">
        <v>493</v>
      </c>
      <c r="M230" s="28" t="s">
        <v>539</v>
      </c>
      <c r="N230" s="120" t="s">
        <v>491</v>
      </c>
      <c r="O230" s="28" t="s">
        <v>347</v>
      </c>
      <c r="P230" s="120" t="s">
        <v>512</v>
      </c>
      <c r="Q230" s="296" t="s">
        <v>350</v>
      </c>
      <c r="V230" s="185"/>
    </row>
    <row r="231" spans="1:22" ht="18" hidden="1" customHeight="1">
      <c r="A231" s="184"/>
      <c r="G231" s="27" t="s">
        <v>127</v>
      </c>
      <c r="H231" s="242">
        <f>S202</f>
        <v>20</v>
      </c>
      <c r="I231" s="245" t="s">
        <v>554</v>
      </c>
      <c r="J231" s="301" t="e">
        <f>S199</f>
        <v>#VALUE!</v>
      </c>
      <c r="K231" s="245" t="s">
        <v>347</v>
      </c>
      <c r="L231" s="301" t="e">
        <f>E207</f>
        <v>#VALUE!</v>
      </c>
      <c r="M231" s="245" t="s">
        <v>539</v>
      </c>
      <c r="N231" s="301" t="e">
        <f>S199</f>
        <v>#VALUE!</v>
      </c>
      <c r="O231" s="245" t="s">
        <v>347</v>
      </c>
      <c r="P231" s="301">
        <f>S200</f>
        <v>1.2665261800000001</v>
      </c>
      <c r="Q231" s="461" t="s">
        <v>350</v>
      </c>
      <c r="V231" s="185"/>
    </row>
    <row r="232" spans="1:22" ht="18" hidden="1" customHeight="1">
      <c r="A232" s="184"/>
      <c r="G232" s="27" t="s">
        <v>127</v>
      </c>
      <c r="H232" s="795" t="e">
        <f>H231*((J231+L231)/(N231+P231))</f>
        <v>#VALUE!</v>
      </c>
      <c r="I232" s="795"/>
      <c r="V232" s="185"/>
    </row>
    <row r="233" spans="1:22" ht="18" hidden="1" customHeight="1">
      <c r="A233" s="184"/>
      <c r="V233" s="185"/>
    </row>
    <row r="234" spans="1:22" ht="18" hidden="1" customHeight="1">
      <c r="A234" s="184" t="s">
        <v>773</v>
      </c>
      <c r="E234" s="244"/>
      <c r="F234" s="27"/>
      <c r="G234" s="296"/>
      <c r="V234" s="185"/>
    </row>
    <row r="235" spans="1:22" ht="18" hidden="1" customHeight="1">
      <c r="A235" s="184"/>
      <c r="D235" s="211"/>
      <c r="E235" s="211"/>
      <c r="F235" s="27"/>
      <c r="G235" s="211"/>
      <c r="H235" s="211"/>
      <c r="V235" s="185"/>
    </row>
    <row r="236" spans="1:22" ht="18" hidden="1" customHeight="1">
      <c r="A236" s="184"/>
      <c r="D236" s="795" t="e">
        <f>H232</f>
        <v>#VALUE!</v>
      </c>
      <c r="E236" s="684"/>
      <c r="F236" s="27" t="e">
        <f>IF(D236&gt;=G236,"&gt;","&lt;")</f>
        <v>#VALUE!</v>
      </c>
      <c r="G236" s="795" t="e">
        <f>M226</f>
        <v>#VALUE!</v>
      </c>
      <c r="H236" s="684"/>
      <c r="I236" s="18"/>
      <c r="J236" s="268" t="s">
        <v>758</v>
      </c>
      <c r="V236" s="185"/>
    </row>
    <row r="237" spans="1:22" ht="18" hidden="1" customHeight="1">
      <c r="A237" s="184"/>
      <c r="D237" s="795" t="e">
        <f>H232</f>
        <v>#VALUE!</v>
      </c>
      <c r="E237" s="684"/>
      <c r="F237" s="27" t="e">
        <f>IF(D237&gt;=G237,"&gt;","&lt;")</f>
        <v>#VALUE!</v>
      </c>
      <c r="G237" s="795">
        <f>M228</f>
        <v>10</v>
      </c>
      <c r="H237" s="684"/>
      <c r="J237" s="268" t="s">
        <v>761</v>
      </c>
      <c r="V237" s="185"/>
    </row>
    <row r="238" spans="1:22" ht="18" hidden="1" customHeight="1">
      <c r="A238" s="184"/>
      <c r="E238" s="244" t="s">
        <v>478</v>
      </c>
      <c r="G238" s="18" t="e">
        <f>IF(AND(F236="&gt;",F237="&gt;")=TRUE,"Suitably Dimensioned","Under Dimensioned")</f>
        <v>#VALUE!</v>
      </c>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s="14" customFormat="1" ht="18" customHeight="1">
      <c r="A258" s="194"/>
      <c r="B258" s="195"/>
      <c r="C258" s="195"/>
      <c r="D258" s="195"/>
      <c r="E258" s="195"/>
      <c r="F258" s="195"/>
      <c r="G258" s="195"/>
      <c r="H258" s="195"/>
      <c r="I258" s="195"/>
      <c r="J258" s="195"/>
      <c r="K258" s="195"/>
      <c r="L258" s="195"/>
      <c r="M258" s="195"/>
      <c r="N258" s="195"/>
      <c r="O258" s="195"/>
      <c r="P258" s="195"/>
      <c r="Q258" s="224"/>
      <c r="R258" s="182"/>
      <c r="S258" s="225"/>
      <c r="T258" s="195"/>
      <c r="U258" s="195"/>
      <c r="V258" s="134"/>
    </row>
    <row r="259" spans="1:22" ht="18" customHeight="1">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8"/>
    </row>
    <row r="260" spans="1:22" ht="18" customHeight="1">
      <c r="A260" s="452" t="s">
        <v>501</v>
      </c>
      <c r="B260" s="14"/>
      <c r="C260" s="14"/>
      <c r="D260" s="120"/>
      <c r="E260" s="120"/>
      <c r="F260" s="18"/>
      <c r="G260" s="18"/>
      <c r="H260" s="14"/>
      <c r="I260" s="14"/>
      <c r="J260" s="14"/>
      <c r="K260" s="14"/>
      <c r="L260" s="14"/>
      <c r="M260" s="14"/>
      <c r="N260" s="14"/>
      <c r="O260" s="14"/>
      <c r="P260" s="28"/>
      <c r="Q260" s="120"/>
      <c r="R260" s="47"/>
      <c r="S260" s="206"/>
      <c r="T260" s="259"/>
      <c r="U260" s="14"/>
      <c r="V260" s="97"/>
    </row>
    <row r="261" spans="1:22" ht="18" customHeight="1">
      <c r="A261" s="955" t="s">
        <v>85</v>
      </c>
      <c r="B261" s="956"/>
      <c r="C261" s="957"/>
      <c r="D261" s="955" t="s">
        <v>86</v>
      </c>
      <c r="E261" s="956"/>
      <c r="F261" s="957"/>
      <c r="G261" s="955" t="s">
        <v>87</v>
      </c>
      <c r="H261" s="957"/>
      <c r="I261" s="955" t="s">
        <v>88</v>
      </c>
      <c r="J261" s="957"/>
      <c r="K261" s="955" t="s">
        <v>502</v>
      </c>
      <c r="L261" s="957"/>
      <c r="M261" s="955" t="s">
        <v>503</v>
      </c>
      <c r="N261" s="957"/>
      <c r="O261" s="955" t="s">
        <v>504</v>
      </c>
      <c r="P261" s="957"/>
      <c r="Q261" s="955" t="s">
        <v>505</v>
      </c>
      <c r="R261" s="957"/>
      <c r="S261" s="955" t="s">
        <v>93</v>
      </c>
      <c r="T261" s="956"/>
      <c r="U261" s="956"/>
      <c r="V261" s="957"/>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125"/>
      <c r="B263" s="983"/>
      <c r="C263" s="1126"/>
      <c r="D263" s="1125"/>
      <c r="E263" s="983"/>
      <c r="F263" s="1126"/>
      <c r="G263" s="1125"/>
      <c r="H263" s="1126"/>
      <c r="I263" s="1125"/>
      <c r="J263" s="1126"/>
      <c r="K263" s="1125"/>
      <c r="L263" s="1126"/>
      <c r="M263" s="1125"/>
      <c r="N263" s="1126"/>
      <c r="O263" s="1125"/>
      <c r="P263" s="1126"/>
      <c r="Q263" s="1125"/>
      <c r="R263" s="1126"/>
      <c r="S263" s="1125"/>
      <c r="T263" s="983"/>
      <c r="U263" s="983"/>
      <c r="V263" s="1126"/>
    </row>
    <row r="264" spans="1:22" ht="18" customHeight="1">
      <c r="A264" s="1047"/>
      <c r="B264" s="1048"/>
      <c r="C264" s="1049"/>
      <c r="D264" s="1047"/>
      <c r="E264" s="1048"/>
      <c r="F264" s="1049"/>
      <c r="G264" s="1047"/>
      <c r="H264" s="1049"/>
      <c r="I264" s="1047"/>
      <c r="J264" s="1049"/>
      <c r="K264" s="1047"/>
      <c r="L264" s="1049"/>
      <c r="M264" s="1047"/>
      <c r="N264" s="1049"/>
      <c r="O264" s="1047"/>
      <c r="P264" s="1049"/>
      <c r="Q264" s="1047"/>
      <c r="R264" s="1049"/>
      <c r="S264" s="1047"/>
      <c r="T264" s="1048"/>
      <c r="U264" s="1048"/>
      <c r="V264" s="1049"/>
    </row>
    <row r="265" spans="1:22" ht="18" customHeight="1">
      <c r="A265" s="765" t="str">
        <f>B7</f>
        <v>T1</v>
      </c>
      <c r="B265" s="765" t="str">
        <f>D7</f>
        <v>Core5</v>
      </c>
      <c r="C265" s="765"/>
      <c r="D265" s="870">
        <f>H10</f>
        <v>2000</v>
      </c>
      <c r="E265" s="870"/>
      <c r="F265" s="871">
        <f>O10</f>
        <v>1</v>
      </c>
      <c r="G265" s="870">
        <f>'CT-VT Burdens'!S21</f>
        <v>120</v>
      </c>
      <c r="H265" s="874">
        <f>'CT-VT Burdens'!S10</f>
        <v>6</v>
      </c>
      <c r="I265" s="874" t="str">
        <f>H11</f>
        <v>PX</v>
      </c>
      <c r="J265" s="874" t="e">
        <f>#REF!</f>
        <v>#REF!</v>
      </c>
      <c r="K265" s="869">
        <f>H12</f>
        <v>3.5</v>
      </c>
      <c r="L265" s="869"/>
      <c r="M265" s="869">
        <f>H13</f>
        <v>500</v>
      </c>
      <c r="N265" s="869"/>
      <c r="O265" s="870">
        <f>H14</f>
        <v>20</v>
      </c>
      <c r="P265" s="870"/>
      <c r="Q265" s="879" t="str">
        <f>IF(T8="",T7,IF(T9="",T7&amp;"+"&amp;T8,T7&amp;"+"&amp;T8&amp;"+"&amp;T9))</f>
        <v>REB500</v>
      </c>
      <c r="R265" s="879"/>
      <c r="S265" s="878" t="str">
        <f>M83</f>
        <v>Suitably Dimensioned</v>
      </c>
      <c r="T265" s="878"/>
      <c r="U265" s="878"/>
      <c r="V265" s="878"/>
    </row>
    <row r="266" spans="1:22" ht="18" customHeight="1">
      <c r="A266" s="765"/>
      <c r="B266" s="765"/>
      <c r="C266" s="765"/>
      <c r="D266" s="870">
        <f>J10</f>
        <v>3200</v>
      </c>
      <c r="E266" s="870"/>
      <c r="F266" s="872"/>
      <c r="G266" s="870"/>
      <c r="H266" s="870"/>
      <c r="I266" s="874"/>
      <c r="J266" s="874"/>
      <c r="K266" s="875">
        <f>J95</f>
        <v>5</v>
      </c>
      <c r="L266" s="869"/>
      <c r="M266" s="875">
        <f>J96</f>
        <v>900</v>
      </c>
      <c r="N266" s="869"/>
      <c r="O266" s="876">
        <f>J97</f>
        <v>10</v>
      </c>
      <c r="P266" s="870"/>
      <c r="Q266" s="879"/>
      <c r="R266" s="879"/>
      <c r="S266" s="877" t="str">
        <f>M165</f>
        <v>Suitably Dimensioned</v>
      </c>
      <c r="T266" s="878"/>
      <c r="U266" s="878"/>
      <c r="V266" s="878"/>
    </row>
    <row r="267" spans="1:22" ht="18" customHeight="1">
      <c r="A267" s="765"/>
      <c r="B267" s="765"/>
      <c r="C267" s="765"/>
      <c r="D267" s="870" t="str">
        <f>L10</f>
        <v>-</v>
      </c>
      <c r="E267" s="870"/>
      <c r="F267" s="873"/>
      <c r="G267" s="870"/>
      <c r="H267" s="870"/>
      <c r="I267" s="874"/>
      <c r="J267" s="874"/>
      <c r="K267" s="869" t="str">
        <f>L177</f>
        <v>-</v>
      </c>
      <c r="L267" s="869"/>
      <c r="M267" s="869" t="str">
        <f>L178</f>
        <v>-</v>
      </c>
      <c r="N267" s="869"/>
      <c r="O267" s="870" t="str">
        <f>L179</f>
        <v>-</v>
      </c>
      <c r="P267" s="870"/>
      <c r="Q267" s="879"/>
      <c r="R267" s="879"/>
      <c r="S267" s="878" t="s">
        <v>6</v>
      </c>
      <c r="T267" s="878"/>
      <c r="U267" s="878"/>
      <c r="V267" s="878"/>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s="14" customFormat="1" ht="18" customHeight="1">
      <c r="A299" s="194"/>
      <c r="B299" s="195"/>
      <c r="C299" s="195"/>
      <c r="D299" s="195"/>
      <c r="E299" s="195"/>
      <c r="F299" s="195"/>
      <c r="G299" s="195"/>
      <c r="H299" s="195"/>
      <c r="I299" s="195"/>
      <c r="J299" s="195"/>
      <c r="K299" s="195"/>
      <c r="L299" s="195"/>
      <c r="M299" s="195"/>
      <c r="N299" s="195"/>
      <c r="O299" s="195"/>
      <c r="P299" s="195"/>
      <c r="Q299" s="224"/>
      <c r="R299" s="182"/>
      <c r="S299" s="225"/>
      <c r="T299" s="195"/>
      <c r="U299" s="195"/>
      <c r="V299"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123" priority="3" stopIfTrue="1" operator="equal">
      <formula>"Under Dimentioned"</formula>
    </cfRule>
  </conditionalFormatting>
  <conditionalFormatting sqref="O81 M83:M86">
    <cfRule type="cellIs" dxfId="122" priority="1" stopIfTrue="1" operator="equal">
      <formula>"Under Dimentioned"</formula>
    </cfRule>
  </conditionalFormatting>
  <conditionalFormatting sqref="O163 M165">
    <cfRule type="cellIs" dxfId="12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51AD61E8-E750-468B-A17C-42C739D0D091}">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D7488E56-02CE-4791-8BEF-0747156009D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8" max="21" man="1"/>
    <brk id="129" max="21" man="1"/>
    <brk id="258" max="21" man="1"/>
  </rowBreak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065" t="s">
        <v>710</v>
      </c>
      <c r="F22" s="1318"/>
      <c r="G22" s="1318"/>
      <c r="H22" s="1318"/>
      <c r="I22" s="1318"/>
      <c r="J22" s="1318"/>
      <c r="K22" s="1318"/>
      <c r="L22" s="1318"/>
      <c r="M22" s="1318"/>
      <c r="N22" s="1318"/>
      <c r="O22" s="1318"/>
      <c r="P22" s="1318"/>
      <c r="Q22" s="1318"/>
      <c r="R22" s="1318"/>
      <c r="S22" s="27"/>
      <c r="T22" s="27"/>
      <c r="U22" s="27"/>
      <c r="V22" s="177"/>
      <c r="W22" s="27"/>
      <c r="X22" s="27"/>
    </row>
    <row r="23" spans="1:24" ht="18" customHeight="1">
      <c r="A23" s="69"/>
      <c r="B23" s="27"/>
      <c r="C23" s="27"/>
      <c r="D23" s="27"/>
      <c r="E23" s="1318"/>
      <c r="F23" s="1318"/>
      <c r="G23" s="1318"/>
      <c r="H23" s="1318"/>
      <c r="I23" s="1318"/>
      <c r="J23" s="1318"/>
      <c r="K23" s="1318"/>
      <c r="L23" s="1318"/>
      <c r="M23" s="1318"/>
      <c r="N23" s="1318"/>
      <c r="O23" s="1318"/>
      <c r="P23" s="1318"/>
      <c r="Q23" s="1318"/>
      <c r="R23" s="1318"/>
      <c r="S23" s="27"/>
      <c r="T23" s="27"/>
      <c r="U23" s="27"/>
      <c r="V23" s="177"/>
      <c r="W23" s="27"/>
      <c r="X23" s="27"/>
    </row>
    <row r="24" spans="1:24" ht="18" customHeight="1">
      <c r="A24" s="69"/>
      <c r="C24" s="178"/>
      <c r="D24" s="178"/>
      <c r="E24" s="1065"/>
      <c r="F24" s="1318"/>
      <c r="G24" s="1318"/>
      <c r="H24" s="1318"/>
      <c r="I24" s="1318"/>
      <c r="J24" s="1318"/>
      <c r="K24" s="1318"/>
      <c r="L24" s="1318"/>
      <c r="M24" s="1318"/>
      <c r="N24" s="1318"/>
      <c r="O24" s="1318"/>
      <c r="P24" s="1318"/>
      <c r="Q24" s="1318"/>
      <c r="R24" s="1318"/>
      <c r="S24" s="4"/>
      <c r="T24" s="4"/>
      <c r="U24" s="4"/>
      <c r="V24" s="71"/>
      <c r="W24" s="4"/>
      <c r="X24" s="4"/>
    </row>
    <row r="25" spans="1:24" ht="18" customHeight="1">
      <c r="A25" s="69"/>
      <c r="B25" s="26"/>
      <c r="C25" s="4"/>
      <c r="D25" s="73"/>
      <c r="E25" s="1318"/>
      <c r="F25" s="1318"/>
      <c r="G25" s="1318"/>
      <c r="H25" s="1318"/>
      <c r="I25" s="1318"/>
      <c r="J25" s="1318"/>
      <c r="K25" s="1318"/>
      <c r="L25" s="1318"/>
      <c r="M25" s="1318"/>
      <c r="N25" s="1318"/>
      <c r="O25" s="1318"/>
      <c r="P25" s="1318"/>
      <c r="Q25" s="1318"/>
      <c r="R25" s="1318"/>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codeName="Sheet33">
    <tabColor rgb="FFFFFF00"/>
  </sheetPr>
  <dimension ref="A1:AC162"/>
  <sheetViews>
    <sheetView showZeros="0" view="pageBreakPreview" topLeftCell="A6" zoomScale="85" zoomScaleNormal="100" zoomScaleSheetLayoutView="85" workbookViewId="0">
      <selection activeCell="T157" sqref="T157"/>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Title!R1</f>
        <v>N-19957.2-DF4W</v>
      </c>
      <c r="S1" s="1068"/>
      <c r="T1" s="1068"/>
      <c r="U1" s="1068"/>
      <c r="V1" s="776"/>
      <c r="W1" s="14"/>
      <c r="X1" s="14"/>
    </row>
    <row r="2" spans="1:29"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Title!R2</f>
        <v>46134</v>
      </c>
      <c r="S2" s="1068"/>
      <c r="T2" s="1068"/>
      <c r="U2" s="1068"/>
      <c r="V2" s="776"/>
      <c r="W2" s="14"/>
      <c r="X2" s="14"/>
    </row>
    <row r="3" spans="1:29" ht="18" customHeight="1">
      <c r="A3" s="923"/>
      <c r="B3" s="924"/>
      <c r="C3" s="924"/>
      <c r="D3" s="924"/>
      <c r="E3" s="924"/>
      <c r="F3" s="924"/>
      <c r="G3" s="925"/>
      <c r="H3" s="1083" t="str">
        <f>Title!H3</f>
        <v xml:space="preserve">132/33kV SUBSTATION DF4W    AT AL DHAFRA AREA </v>
      </c>
      <c r="I3" s="1084"/>
      <c r="J3" s="1084"/>
      <c r="K3" s="1084"/>
      <c r="L3" s="1084"/>
      <c r="M3" s="1084"/>
      <c r="N3" s="1085"/>
      <c r="O3" s="885" t="str">
        <f>[5]Title!O3</f>
        <v>Document No.</v>
      </c>
      <c r="P3" s="886"/>
      <c r="Q3" s="887"/>
      <c r="R3" s="775" t="str">
        <f>Title!R3</f>
        <v>-</v>
      </c>
      <c r="S3" s="1068"/>
      <c r="T3" s="1068"/>
      <c r="U3" s="1068"/>
      <c r="V3" s="776"/>
      <c r="W3" s="14"/>
      <c r="X3" s="14"/>
    </row>
    <row r="4" spans="1:29" ht="18" customHeight="1">
      <c r="A4" s="926"/>
      <c r="B4" s="927"/>
      <c r="C4" s="927"/>
      <c r="D4" s="927"/>
      <c r="E4" s="927"/>
      <c r="F4" s="927"/>
      <c r="G4" s="928"/>
      <c r="H4" s="1086"/>
      <c r="I4" s="1087"/>
      <c r="J4" s="1087"/>
      <c r="K4" s="1087"/>
      <c r="L4" s="1087"/>
      <c r="M4" s="1087"/>
      <c r="N4" s="1088"/>
      <c r="O4" s="885" t="str">
        <f>[5]Title!O4</f>
        <v>Revision No.</v>
      </c>
      <c r="P4" s="886"/>
      <c r="Q4" s="887"/>
      <c r="R4" s="775" t="str">
        <f>Title!R4</f>
        <v>A</v>
      </c>
      <c r="S4" s="1068"/>
      <c r="T4" s="1068"/>
      <c r="U4" s="1068"/>
      <c r="V4" s="776"/>
      <c r="W4" s="14"/>
      <c r="X4" s="14"/>
    </row>
    <row r="5" spans="1:29" ht="18" customHeight="1">
      <c r="A5" s="880" t="str">
        <f>[5]Title!A5</f>
        <v>Prep. By</v>
      </c>
      <c r="B5" s="943"/>
      <c r="C5" s="25" t="str">
        <f>[5]Title!C5</f>
        <v>AP</v>
      </c>
      <c r="D5" s="880" t="str">
        <f>[5]Title!D5</f>
        <v>Checked By</v>
      </c>
      <c r="E5" s="881"/>
      <c r="F5" s="943"/>
      <c r="G5" s="25" t="str">
        <f>[5]Title!G5</f>
        <v>RB</v>
      </c>
      <c r="H5" s="944" t="s">
        <v>892</v>
      </c>
      <c r="I5" s="945"/>
      <c r="J5" s="945"/>
      <c r="K5" s="945"/>
      <c r="L5" s="945"/>
      <c r="M5" s="945"/>
      <c r="N5" s="946"/>
      <c r="O5" s="947" t="str">
        <f>[5]Title!O5</f>
        <v>Contractor</v>
      </c>
      <c r="P5" s="948"/>
      <c r="Q5" s="949"/>
      <c r="R5" s="775" t="str">
        <f>Title!R5</f>
        <v>HITACHI</v>
      </c>
      <c r="S5" s="1068"/>
      <c r="T5" s="1068"/>
      <c r="U5" s="1068"/>
      <c r="V5" s="776"/>
      <c r="W5" s="14"/>
      <c r="X5" s="14"/>
    </row>
    <row r="6" spans="1:29" ht="18" customHeight="1">
      <c r="A6" s="184"/>
      <c r="V6" s="185"/>
    </row>
    <row r="7" spans="1:29" ht="18" customHeight="1">
      <c r="A7" s="184"/>
      <c r="B7" s="1075" t="s">
        <v>108</v>
      </c>
      <c r="C7" s="1076"/>
      <c r="D7" s="1075" t="s">
        <v>506</v>
      </c>
      <c r="E7" s="1076"/>
      <c r="F7" s="1319" t="s">
        <v>836</v>
      </c>
      <c r="G7" s="1319"/>
      <c r="H7" s="689" t="s">
        <v>837</v>
      </c>
      <c r="I7" s="689"/>
      <c r="J7" s="689"/>
      <c r="K7" s="689"/>
      <c r="L7" s="689"/>
      <c r="M7" s="689"/>
      <c r="P7" s="186"/>
      <c r="S7" s="187" t="s">
        <v>387</v>
      </c>
      <c r="T7" s="1075" t="s">
        <v>885</v>
      </c>
      <c r="U7" s="1076"/>
      <c r="V7" s="185"/>
    </row>
    <row r="8" spans="1:29" ht="18" customHeight="1">
      <c r="A8" s="184"/>
      <c r="B8" s="538"/>
      <c r="C8" s="538"/>
      <c r="D8" s="538"/>
      <c r="E8" s="538"/>
      <c r="F8" s="455"/>
      <c r="T8" s="1075"/>
      <c r="U8" s="1076"/>
      <c r="V8" s="185"/>
    </row>
    <row r="9" spans="1:29" ht="18" customHeight="1">
      <c r="A9" s="184"/>
      <c r="H9" s="789" t="s">
        <v>390</v>
      </c>
      <c r="I9" s="789"/>
      <c r="J9" s="790" t="s">
        <v>391</v>
      </c>
      <c r="K9" s="790"/>
      <c r="L9" s="790" t="s">
        <v>392</v>
      </c>
      <c r="M9" s="790"/>
      <c r="T9" s="1075"/>
      <c r="U9" s="1076"/>
      <c r="V9" s="185"/>
    </row>
    <row r="10" spans="1:29" ht="18" customHeight="1">
      <c r="A10" s="184"/>
      <c r="B10" s="47" t="s">
        <v>393</v>
      </c>
      <c r="H10" s="1090">
        <v>2500</v>
      </c>
      <c r="I10" s="1091"/>
      <c r="J10" s="1075" t="s">
        <v>6</v>
      </c>
      <c r="K10" s="1076"/>
      <c r="L10" s="1075" t="s">
        <v>6</v>
      </c>
      <c r="M10" s="1076"/>
      <c r="N10" s="191" t="s">
        <v>342</v>
      </c>
      <c r="O10" s="501">
        <v>1</v>
      </c>
      <c r="P10" s="27" t="s">
        <v>8</v>
      </c>
      <c r="V10" s="185"/>
    </row>
    <row r="11" spans="1:29" ht="18" customHeight="1">
      <c r="A11" s="184"/>
      <c r="B11" s="47" t="s">
        <v>394</v>
      </c>
      <c r="H11" s="1075" t="s">
        <v>815</v>
      </c>
      <c r="I11" s="1076"/>
      <c r="V11" s="185"/>
    </row>
    <row r="12" spans="1:29" ht="18" customHeight="1">
      <c r="A12" s="184"/>
      <c r="B12" s="47" t="s">
        <v>396</v>
      </c>
      <c r="G12" s="120" t="s">
        <v>497</v>
      </c>
      <c r="H12" s="1075">
        <v>5</v>
      </c>
      <c r="I12" s="1076"/>
      <c r="J12" s="192" t="s">
        <v>333</v>
      </c>
      <c r="V12" s="185"/>
    </row>
    <row r="13" spans="1:29" ht="18" customHeight="1">
      <c r="A13" s="184"/>
      <c r="B13" s="47" t="s">
        <v>398</v>
      </c>
      <c r="G13" s="120" t="s">
        <v>498</v>
      </c>
      <c r="H13" s="1075">
        <v>3750</v>
      </c>
      <c r="I13" s="1076"/>
      <c r="J13" s="14" t="s">
        <v>305</v>
      </c>
      <c r="V13" s="185"/>
      <c r="W13" s="30" t="s">
        <v>400</v>
      </c>
      <c r="AB13" s="785">
        <f>M118</f>
        <v>1020.4325387483156</v>
      </c>
      <c r="AC13" s="786"/>
    </row>
    <row r="14" spans="1:29" ht="18" customHeight="1">
      <c r="A14" s="184"/>
      <c r="B14" s="14" t="s">
        <v>401</v>
      </c>
      <c r="G14" s="120" t="s">
        <v>402</v>
      </c>
      <c r="H14" s="1075">
        <v>60</v>
      </c>
      <c r="I14" s="1076"/>
      <c r="J14" s="14" t="s">
        <v>403</v>
      </c>
      <c r="V14" s="185"/>
    </row>
    <row r="15" spans="1:29" ht="18" customHeight="1">
      <c r="A15" s="184"/>
      <c r="V15" s="185"/>
    </row>
    <row r="16" spans="1:29" ht="18" customHeight="1">
      <c r="A16" s="193" t="s">
        <v>404</v>
      </c>
      <c r="V16" s="185"/>
    </row>
    <row r="17" spans="1:22" ht="18" customHeight="1">
      <c r="A17" s="184"/>
      <c r="V17" s="185"/>
    </row>
    <row r="18" spans="1:22" ht="18" customHeight="1">
      <c r="A18" s="184"/>
      <c r="B18" s="194" t="s">
        <v>405</v>
      </c>
      <c r="C18" s="195"/>
      <c r="D18" s="195" t="str">
        <f>T7</f>
        <v>P545</v>
      </c>
      <c r="E18" s="196"/>
      <c r="F18" s="196"/>
      <c r="G18" s="196"/>
      <c r="H18" s="182" t="s">
        <v>406</v>
      </c>
      <c r="I18" s="183" t="s">
        <v>127</v>
      </c>
      <c r="J18" s="1320">
        <f>'CT-VT Burdens'!Q160</f>
        <v>0.02</v>
      </c>
      <c r="K18" s="1321"/>
      <c r="L18" s="202" t="s">
        <v>157</v>
      </c>
      <c r="V18" s="185"/>
    </row>
    <row r="19" spans="1:22" ht="18" customHeight="1">
      <c r="A19" s="184"/>
      <c r="B19" s="184" t="s">
        <v>405</v>
      </c>
      <c r="D19" s="296">
        <f>T8</f>
        <v>0</v>
      </c>
      <c r="I19" s="28" t="s">
        <v>127</v>
      </c>
      <c r="J19" s="1320"/>
      <c r="K19" s="1321"/>
      <c r="L19" s="297" t="s">
        <v>157</v>
      </c>
      <c r="V19" s="185"/>
    </row>
    <row r="20" spans="1:22" ht="18" customHeight="1">
      <c r="A20" s="184"/>
      <c r="B20" s="184" t="s">
        <v>405</v>
      </c>
      <c r="D20" s="296">
        <f>T9</f>
        <v>0</v>
      </c>
      <c r="E20" s="14"/>
      <c r="G20" s="199"/>
      <c r="H20" s="27"/>
      <c r="I20" s="101" t="s">
        <v>127</v>
      </c>
      <c r="J20" s="1320"/>
      <c r="K20" s="1321"/>
      <c r="L20" s="426" t="s">
        <v>157</v>
      </c>
      <c r="V20" s="185"/>
    </row>
    <row r="21" spans="1:22" ht="18" customHeight="1">
      <c r="A21" s="184"/>
      <c r="B21" s="184" t="s">
        <v>412</v>
      </c>
      <c r="H21" s="27"/>
      <c r="I21" s="177" t="s">
        <v>127</v>
      </c>
      <c r="J21" s="1322">
        <f>'CT-VT Burdens'!S24</f>
        <v>1.0770224400000001</v>
      </c>
      <c r="K21" s="1323"/>
      <c r="L21" s="426" t="s">
        <v>157</v>
      </c>
      <c r="V21" s="185"/>
    </row>
    <row r="22" spans="1:22" ht="18" customHeight="1">
      <c r="A22" s="184"/>
      <c r="B22" s="205" t="s">
        <v>413</v>
      </c>
      <c r="C22" s="206"/>
      <c r="D22" s="206"/>
      <c r="E22" s="206"/>
      <c r="F22" s="207"/>
      <c r="G22" s="207"/>
      <c r="H22" s="190" t="s">
        <v>409</v>
      </c>
      <c r="I22" s="208" t="s">
        <v>127</v>
      </c>
      <c r="J22" s="766">
        <f>SUM(J19:K21)</f>
        <v>1.0770224400000001</v>
      </c>
      <c r="K22" s="819"/>
      <c r="L22" s="428"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45" t="s">
        <v>649</v>
      </c>
      <c r="C25" s="245" t="s">
        <v>127</v>
      </c>
      <c r="D25" s="242" t="s">
        <v>406</v>
      </c>
      <c r="E25" s="526" t="s">
        <v>410</v>
      </c>
      <c r="F25" s="245" t="s">
        <v>146</v>
      </c>
      <c r="G25" s="221" t="s">
        <v>315</v>
      </c>
      <c r="H25" s="222" t="s">
        <v>146</v>
      </c>
      <c r="I25" s="242" t="s">
        <v>350</v>
      </c>
      <c r="J25" s="502"/>
      <c r="K25" s="242"/>
      <c r="L25" s="527"/>
      <c r="M25" s="245" t="s">
        <v>408</v>
      </c>
      <c r="N25" s="245" t="s">
        <v>127</v>
      </c>
      <c r="O25" s="242" t="s">
        <v>409</v>
      </c>
      <c r="P25" s="528" t="s">
        <v>410</v>
      </c>
      <c r="Q25" s="523" t="s">
        <v>411</v>
      </c>
      <c r="R25" s="245" t="s">
        <v>315</v>
      </c>
      <c r="S25" s="242" t="s">
        <v>411</v>
      </c>
      <c r="T25" s="242" t="s">
        <v>350</v>
      </c>
      <c r="V25" s="185"/>
    </row>
    <row r="26" spans="1:22" ht="18" customHeight="1">
      <c r="A26" s="184"/>
      <c r="B26" s="527"/>
      <c r="C26" s="245" t="s">
        <v>127</v>
      </c>
      <c r="D26" s="301">
        <f>J18</f>
        <v>0.02</v>
      </c>
      <c r="E26" s="528" t="s">
        <v>410</v>
      </c>
      <c r="F26" s="245">
        <f>'[8]CT-VT Burdens'!S19</f>
        <v>1</v>
      </c>
      <c r="G26" s="245" t="s">
        <v>315</v>
      </c>
      <c r="H26" s="245">
        <f>'[8]CT-VT Burdens'!S19</f>
        <v>1</v>
      </c>
      <c r="I26" s="242" t="s">
        <v>350</v>
      </c>
      <c r="J26" s="502"/>
      <c r="K26" s="242"/>
      <c r="L26" s="527"/>
      <c r="M26" s="242"/>
      <c r="N26" s="245" t="s">
        <v>127</v>
      </c>
      <c r="O26" s="301">
        <f>J22</f>
        <v>1.0770224400000001</v>
      </c>
      <c r="P26" s="528" t="s">
        <v>410</v>
      </c>
      <c r="Q26" s="245">
        <f>O10</f>
        <v>1</v>
      </c>
      <c r="R26" s="245" t="s">
        <v>315</v>
      </c>
      <c r="S26" s="245">
        <f>O10</f>
        <v>1</v>
      </c>
      <c r="T26" s="242" t="s">
        <v>350</v>
      </c>
      <c r="V26" s="185"/>
    </row>
    <row r="27" spans="1:22" ht="18" customHeight="1">
      <c r="A27" s="184"/>
      <c r="B27" s="527"/>
      <c r="C27" s="245" t="s">
        <v>127</v>
      </c>
      <c r="D27" s="1111">
        <f>D26/(F26*H26)</f>
        <v>0.02</v>
      </c>
      <c r="E27" s="1111"/>
      <c r="F27" s="529" t="s">
        <v>333</v>
      </c>
      <c r="G27" s="242"/>
      <c r="H27" s="242"/>
      <c r="I27" s="242"/>
      <c r="J27" s="502"/>
      <c r="K27" s="242"/>
      <c r="L27" s="527"/>
      <c r="M27" s="242"/>
      <c r="N27" s="245" t="s">
        <v>127</v>
      </c>
      <c r="O27" s="1111">
        <f>O26/(Q26*S26)</f>
        <v>1.0770224400000001</v>
      </c>
      <c r="P27" s="1111"/>
      <c r="Q27" s="529" t="s">
        <v>333</v>
      </c>
      <c r="R27" s="242"/>
      <c r="S27" s="242"/>
      <c r="T27" s="242"/>
      <c r="V27" s="185"/>
    </row>
    <row r="28" spans="1:22" ht="18" customHeight="1">
      <c r="A28" s="184"/>
      <c r="B28" s="47"/>
      <c r="C28" s="47"/>
      <c r="D28" s="47"/>
      <c r="E28" s="47"/>
      <c r="H28" s="27"/>
      <c r="I28" s="28"/>
      <c r="J28" s="199"/>
      <c r="L28" s="47"/>
      <c r="O28" s="27"/>
      <c r="P28" s="211"/>
      <c r="Q28" s="211"/>
      <c r="V28" s="185"/>
    </row>
    <row r="29" spans="1:22" ht="18" customHeight="1">
      <c r="A29" s="184"/>
      <c r="B29" s="47" t="s">
        <v>839</v>
      </c>
      <c r="C29" s="47"/>
      <c r="D29" s="47"/>
      <c r="E29" s="47"/>
      <c r="H29" s="27"/>
      <c r="I29" s="28"/>
      <c r="J29" s="199"/>
      <c r="L29" s="28" t="s">
        <v>127</v>
      </c>
      <c r="M29" s="1111">
        <f>D27</f>
        <v>0.02</v>
      </c>
      <c r="N29" s="1111"/>
      <c r="O29" s="245" t="s">
        <v>347</v>
      </c>
      <c r="P29" s="1111">
        <f>O27</f>
        <v>1.0770224400000001</v>
      </c>
      <c r="Q29" s="1111"/>
      <c r="R29" s="522" t="s">
        <v>127</v>
      </c>
      <c r="S29" s="1111">
        <f>M29+P29</f>
        <v>1.0970224400000002</v>
      </c>
      <c r="T29" s="1111"/>
      <c r="U29" s="192" t="s">
        <v>333</v>
      </c>
      <c r="V29" s="185"/>
    </row>
    <row r="30" spans="1:22" ht="18" customHeight="1">
      <c r="A30" s="184"/>
      <c r="B30" s="47"/>
      <c r="C30" s="47"/>
      <c r="D30" s="47"/>
      <c r="E30" s="47"/>
      <c r="H30" s="27"/>
      <c r="I30" s="28"/>
      <c r="J30" s="199"/>
      <c r="L30" s="47"/>
      <c r="M30" s="301"/>
      <c r="N30" s="245"/>
      <c r="O30" s="522"/>
      <c r="P30" s="522"/>
      <c r="Q30" s="522"/>
      <c r="R30" s="192"/>
      <c r="V30" s="185"/>
    </row>
    <row r="31" spans="1:22" ht="18" customHeight="1">
      <c r="A31" s="116" t="s">
        <v>414</v>
      </c>
      <c r="B31" s="47"/>
      <c r="D31" s="47"/>
      <c r="E31" s="47"/>
      <c r="H31" s="27"/>
      <c r="I31" s="28"/>
      <c r="J31" s="199"/>
      <c r="L31" s="47"/>
      <c r="M31" s="301"/>
      <c r="N31" s="245"/>
      <c r="O31" s="522"/>
      <c r="P31" s="522"/>
      <c r="Q31" s="522"/>
      <c r="R31" s="192"/>
      <c r="V31" s="185"/>
    </row>
    <row r="32" spans="1:22" ht="18" customHeight="1">
      <c r="A32" s="272" t="s">
        <v>840</v>
      </c>
      <c r="V32" s="185"/>
    </row>
    <row r="33" spans="1:27" ht="18" customHeight="1">
      <c r="A33" s="184"/>
      <c r="B33" s="30" t="s">
        <v>473</v>
      </c>
      <c r="C33" s="27" t="s">
        <v>529</v>
      </c>
      <c r="D33" s="27" t="s">
        <v>841</v>
      </c>
      <c r="E33" s="27" t="s">
        <v>315</v>
      </c>
      <c r="F33" s="27" t="s">
        <v>511</v>
      </c>
      <c r="G33" s="27" t="s">
        <v>372</v>
      </c>
      <c r="H33" s="27" t="s">
        <v>420</v>
      </c>
      <c r="I33" s="27" t="s">
        <v>347</v>
      </c>
      <c r="J33" s="27" t="s">
        <v>842</v>
      </c>
      <c r="K33" s="30" t="s">
        <v>350</v>
      </c>
      <c r="U33" s="30" t="s">
        <v>843</v>
      </c>
      <c r="V33" s="185"/>
    </row>
    <row r="34" spans="1:27" ht="18" customHeight="1">
      <c r="A34" s="184"/>
      <c r="V34" s="185"/>
    </row>
    <row r="35" spans="1:27" s="279" customFormat="1" ht="18" customHeight="1">
      <c r="A35" s="678" t="s">
        <v>844</v>
      </c>
      <c r="B35" s="1207"/>
      <c r="C35" s="1207"/>
      <c r="D35" s="1207"/>
      <c r="E35" s="1207"/>
      <c r="F35" s="1207"/>
      <c r="G35" s="1207"/>
      <c r="H35" s="1207"/>
      <c r="I35" s="1207"/>
      <c r="J35" s="1207"/>
      <c r="K35" s="1207"/>
      <c r="L35" s="1207"/>
      <c r="M35" s="1207"/>
      <c r="N35" s="1207"/>
      <c r="O35" s="1207"/>
      <c r="P35" s="1207"/>
      <c r="Q35" s="1207"/>
      <c r="R35" s="1207"/>
      <c r="S35" s="1207"/>
      <c r="T35" s="1207"/>
      <c r="U35" s="1207"/>
      <c r="V35" s="1208"/>
      <c r="AA35" s="197"/>
    </row>
    <row r="36" spans="1:27" s="279" customFormat="1" ht="18" customHeight="1">
      <c r="A36" s="1209"/>
      <c r="B36" s="1207"/>
      <c r="C36" s="1207"/>
      <c r="D36" s="1207"/>
      <c r="E36" s="1207"/>
      <c r="F36" s="1207"/>
      <c r="G36" s="1207"/>
      <c r="H36" s="1207"/>
      <c r="I36" s="1207"/>
      <c r="J36" s="1207"/>
      <c r="K36" s="1207"/>
      <c r="L36" s="1207"/>
      <c r="M36" s="1207"/>
      <c r="N36" s="1207"/>
      <c r="O36" s="1207"/>
      <c r="P36" s="1207"/>
      <c r="Q36" s="1207"/>
      <c r="R36" s="1207"/>
      <c r="S36" s="1207"/>
      <c r="T36" s="1207"/>
      <c r="U36" s="1207"/>
      <c r="V36" s="1208"/>
    </row>
    <row r="37" spans="1:27" s="279" customFormat="1" ht="18" customHeight="1">
      <c r="A37" s="683">
        <v>1</v>
      </c>
      <c r="B37" s="1324" t="s">
        <v>845</v>
      </c>
      <c r="C37" s="1324"/>
      <c r="D37" s="1324"/>
      <c r="E37" s="1324"/>
      <c r="F37" s="1324"/>
      <c r="G37" s="1324"/>
      <c r="H37" s="1324"/>
      <c r="I37" s="1324"/>
      <c r="J37" s="1324"/>
      <c r="K37" s="1324"/>
      <c r="L37" s="1324"/>
      <c r="M37" s="1324"/>
      <c r="N37" s="1324"/>
      <c r="O37" s="1324"/>
      <c r="P37" s="1324"/>
      <c r="Q37" s="1324"/>
      <c r="R37" s="1324"/>
      <c r="S37" s="1324"/>
      <c r="T37" s="1324"/>
      <c r="U37" s="1324"/>
      <c r="V37" s="1325"/>
    </row>
    <row r="38" spans="1:27" s="279" customFormat="1" ht="18" customHeight="1">
      <c r="A38" s="683"/>
      <c r="B38" s="1324"/>
      <c r="C38" s="1324"/>
      <c r="D38" s="1324"/>
      <c r="E38" s="1324"/>
      <c r="F38" s="1324"/>
      <c r="G38" s="1324"/>
      <c r="H38" s="1324"/>
      <c r="I38" s="1324"/>
      <c r="J38" s="1324"/>
      <c r="K38" s="1324"/>
      <c r="L38" s="1324"/>
      <c r="M38" s="1324"/>
      <c r="N38" s="1324"/>
      <c r="O38" s="1324"/>
      <c r="P38" s="1324"/>
      <c r="Q38" s="1324"/>
      <c r="R38" s="1324"/>
      <c r="S38" s="1324"/>
      <c r="T38" s="1324"/>
      <c r="U38" s="1324"/>
      <c r="V38" s="1325"/>
    </row>
    <row r="39" spans="1:27" s="279" customFormat="1" ht="18" customHeight="1">
      <c r="A39" s="96"/>
      <c r="B39" s="120" t="s">
        <v>846</v>
      </c>
      <c r="C39" s="120" t="s">
        <v>419</v>
      </c>
      <c r="D39" s="689" t="s">
        <v>847</v>
      </c>
      <c r="E39" s="723"/>
      <c r="F39" s="28" t="s">
        <v>315</v>
      </c>
      <c r="G39" s="28" t="s">
        <v>341</v>
      </c>
      <c r="H39" s="47" t="s">
        <v>350</v>
      </c>
      <c r="I39" s="154" t="s">
        <v>699</v>
      </c>
      <c r="J39" s="120" t="s">
        <v>419</v>
      </c>
      <c r="K39" s="221">
        <v>1000</v>
      </c>
      <c r="L39" s="28" t="s">
        <v>315</v>
      </c>
      <c r="M39" s="28" t="s">
        <v>511</v>
      </c>
      <c r="N39" s="47" t="s">
        <v>350</v>
      </c>
      <c r="O39" s="28"/>
      <c r="P39" s="28"/>
      <c r="Q39" s="28"/>
      <c r="R39" s="28"/>
      <c r="S39" s="28"/>
      <c r="U39" s="14" t="s">
        <v>848</v>
      </c>
      <c r="V39" s="97"/>
    </row>
    <row r="40" spans="1:27" s="279" customFormat="1" ht="18" customHeight="1">
      <c r="A40" s="299"/>
      <c r="C40" s="14" t="s">
        <v>849</v>
      </c>
      <c r="M40" s="28"/>
      <c r="N40" s="28"/>
      <c r="O40" s="28"/>
      <c r="P40" s="28"/>
      <c r="Q40" s="28"/>
      <c r="R40" s="28"/>
      <c r="S40" s="28"/>
      <c r="T40" s="14"/>
      <c r="U40" s="28"/>
      <c r="V40" s="97"/>
    </row>
    <row r="41" spans="1:27" s="279" customFormat="1" ht="18" customHeight="1">
      <c r="A41" s="299"/>
      <c r="C41" s="14"/>
      <c r="D41" s="28" t="s">
        <v>841</v>
      </c>
      <c r="E41" s="28" t="s">
        <v>529</v>
      </c>
      <c r="F41" s="28">
        <v>40</v>
      </c>
      <c r="G41" s="28" t="s">
        <v>347</v>
      </c>
      <c r="H41" s="221">
        <v>7.0000000000000007E-2</v>
      </c>
      <c r="I41" s="28" t="s">
        <v>672</v>
      </c>
      <c r="J41" s="689" t="s">
        <v>847</v>
      </c>
      <c r="K41" s="723"/>
      <c r="L41" s="28" t="s">
        <v>315</v>
      </c>
      <c r="M41" s="28" t="s">
        <v>341</v>
      </c>
      <c r="N41" s="47" t="s">
        <v>350</v>
      </c>
      <c r="O41" s="28"/>
      <c r="P41" s="28"/>
      <c r="Q41" s="28"/>
      <c r="R41" s="28"/>
      <c r="S41" s="28"/>
      <c r="T41" s="14"/>
      <c r="U41" s="28"/>
      <c r="V41" s="97"/>
    </row>
    <row r="42" spans="1:27" s="279" customFormat="1" ht="18" customHeight="1">
      <c r="A42" s="325"/>
      <c r="B42" s="28"/>
      <c r="C42" s="28" t="s">
        <v>850</v>
      </c>
      <c r="D42" s="28" t="s">
        <v>841</v>
      </c>
      <c r="E42" s="28" t="s">
        <v>529</v>
      </c>
      <c r="F42" s="28">
        <v>65</v>
      </c>
      <c r="G42" s="14"/>
      <c r="H42" s="14"/>
      <c r="I42" s="120"/>
      <c r="J42" s="28"/>
      <c r="K42" s="28"/>
      <c r="L42" s="28"/>
      <c r="M42" s="28"/>
      <c r="N42" s="28"/>
      <c r="O42" s="28"/>
      <c r="P42" s="28"/>
      <c r="Q42" s="28"/>
      <c r="R42" s="28"/>
      <c r="S42" s="28"/>
      <c r="T42" s="14"/>
      <c r="U42" s="28"/>
      <c r="V42" s="97"/>
    </row>
    <row r="43" spans="1:27" s="279" customFormat="1" ht="18" customHeight="1">
      <c r="A43" s="325"/>
      <c r="B43" s="28"/>
      <c r="C43" s="28"/>
      <c r="D43" s="28"/>
      <c r="E43" s="28"/>
      <c r="F43" s="28"/>
      <c r="G43" s="14"/>
      <c r="H43" s="14"/>
      <c r="I43" s="120"/>
      <c r="J43" s="28"/>
      <c r="K43" s="28"/>
      <c r="L43" s="28"/>
      <c r="M43" s="28"/>
      <c r="N43" s="28"/>
      <c r="O43" s="28"/>
      <c r="P43" s="28"/>
      <c r="Q43" s="28"/>
      <c r="R43" s="28"/>
      <c r="S43" s="28"/>
      <c r="T43" s="14"/>
      <c r="U43" s="28"/>
      <c r="V43" s="97"/>
    </row>
    <row r="44" spans="1:27" s="279" customFormat="1" ht="18" customHeight="1">
      <c r="A44" s="325"/>
      <c r="B44" s="28"/>
      <c r="C44" s="28"/>
      <c r="D44" s="28"/>
      <c r="E44" s="14"/>
      <c r="F44" s="14"/>
      <c r="G44" s="120"/>
      <c r="H44" s="28"/>
      <c r="I44" s="28"/>
      <c r="J44" s="28"/>
      <c r="K44" s="28"/>
      <c r="L44" s="28"/>
      <c r="M44" s="28"/>
      <c r="N44" s="28"/>
      <c r="O44" s="28"/>
      <c r="P44" s="28"/>
      <c r="Q44" s="28"/>
      <c r="R44" s="28"/>
      <c r="S44" s="28"/>
      <c r="T44" s="14"/>
      <c r="U44" s="28"/>
      <c r="V44" s="97"/>
    </row>
    <row r="45" spans="1:27" s="279"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7" s="279" customFormat="1" ht="18" customHeight="1">
      <c r="A46" s="320"/>
      <c r="B46" s="138"/>
      <c r="C46" s="138"/>
      <c r="D46" s="138"/>
      <c r="E46" s="273"/>
      <c r="F46" s="273"/>
      <c r="G46" s="274"/>
      <c r="H46" s="138"/>
      <c r="I46" s="138"/>
      <c r="J46" s="138"/>
      <c r="K46" s="138"/>
      <c r="L46" s="138"/>
      <c r="M46" s="138"/>
      <c r="N46" s="138"/>
      <c r="O46" s="138"/>
      <c r="P46" s="138"/>
      <c r="Q46" s="138"/>
      <c r="R46" s="138"/>
      <c r="S46" s="138"/>
      <c r="T46" s="273"/>
      <c r="U46" s="138"/>
      <c r="V46" s="521"/>
    </row>
    <row r="47" spans="1:27" s="279" customFormat="1" ht="18" customHeight="1">
      <c r="A47" s="325"/>
      <c r="B47" s="120" t="s">
        <v>846</v>
      </c>
      <c r="C47" s="120" t="s">
        <v>419</v>
      </c>
      <c r="D47" s="221">
        <v>1000</v>
      </c>
      <c r="E47" s="28" t="s">
        <v>315</v>
      </c>
      <c r="F47" s="28" t="s">
        <v>511</v>
      </c>
      <c r="G47" s="47" t="s">
        <v>350</v>
      </c>
      <c r="H47" s="28" t="s">
        <v>851</v>
      </c>
      <c r="I47" s="120" t="s">
        <v>419</v>
      </c>
      <c r="J47" s="689" t="s">
        <v>847</v>
      </c>
      <c r="K47" s="723"/>
      <c r="L47" s="28" t="s">
        <v>315</v>
      </c>
      <c r="M47" s="28" t="s">
        <v>341</v>
      </c>
      <c r="N47" s="47" t="s">
        <v>350</v>
      </c>
      <c r="O47" s="154" t="s">
        <v>699</v>
      </c>
      <c r="P47" s="120" t="s">
        <v>419</v>
      </c>
      <c r="Q47" s="221">
        <v>2600</v>
      </c>
      <c r="R47" s="28" t="s">
        <v>315</v>
      </c>
      <c r="S47" s="28" t="s">
        <v>511</v>
      </c>
      <c r="T47" s="47" t="s">
        <v>350</v>
      </c>
      <c r="U47" s="14" t="s">
        <v>587</v>
      </c>
      <c r="V47" s="97"/>
    </row>
    <row r="48" spans="1:27" s="279" customFormat="1" ht="18" customHeight="1">
      <c r="A48" s="325"/>
      <c r="B48" s="28" t="s">
        <v>841</v>
      </c>
      <c r="C48" s="28" t="s">
        <v>127</v>
      </c>
      <c r="D48" s="28">
        <v>107</v>
      </c>
      <c r="E48" s="14"/>
      <c r="F48" s="14"/>
      <c r="G48" s="120"/>
      <c r="H48" s="28"/>
      <c r="I48" s="28"/>
      <c r="J48" s="28"/>
      <c r="K48" s="28"/>
      <c r="L48" s="28"/>
      <c r="M48" s="28"/>
      <c r="N48" s="28"/>
      <c r="O48" s="28"/>
      <c r="P48" s="28"/>
      <c r="Q48" s="28"/>
      <c r="R48" s="28"/>
      <c r="S48" s="28"/>
      <c r="T48" s="14"/>
      <c r="U48" s="28"/>
      <c r="V48" s="97"/>
    </row>
    <row r="49" spans="1:22" ht="18" customHeight="1">
      <c r="A49" s="184"/>
      <c r="V49" s="185"/>
    </row>
    <row r="50" spans="1:22" ht="18" customHeight="1">
      <c r="A50" s="530">
        <v>2</v>
      </c>
      <c r="B50" s="1324" t="s">
        <v>852</v>
      </c>
      <c r="C50" s="1324"/>
      <c r="D50" s="1324"/>
      <c r="E50" s="1324"/>
      <c r="F50" s="1324"/>
      <c r="G50" s="1324"/>
      <c r="H50" s="1324"/>
      <c r="I50" s="1324"/>
      <c r="J50" s="1324"/>
      <c r="K50" s="1324"/>
      <c r="L50" s="1324"/>
      <c r="M50" s="1324"/>
      <c r="N50" s="1324"/>
      <c r="O50" s="1324"/>
      <c r="P50" s="1324"/>
      <c r="Q50" s="1324"/>
      <c r="R50" s="1324"/>
      <c r="S50" s="1324"/>
      <c r="T50" s="1324"/>
      <c r="U50" s="1324"/>
      <c r="V50" s="1325"/>
    </row>
    <row r="51" spans="1:22" ht="18" customHeight="1">
      <c r="A51" s="272"/>
      <c r="B51" s="120" t="s">
        <v>846</v>
      </c>
      <c r="C51" s="120" t="s">
        <v>419</v>
      </c>
      <c r="D51" s="689" t="s">
        <v>847</v>
      </c>
      <c r="E51" s="723"/>
      <c r="F51" s="28" t="s">
        <v>315</v>
      </c>
      <c r="G51" s="28" t="s">
        <v>341</v>
      </c>
      <c r="H51" s="47" t="s">
        <v>350</v>
      </c>
      <c r="I51" s="154" t="s">
        <v>699</v>
      </c>
      <c r="J51" s="120" t="s">
        <v>419</v>
      </c>
      <c r="K51" s="221">
        <v>600</v>
      </c>
      <c r="L51" s="28" t="s">
        <v>315</v>
      </c>
      <c r="M51" s="28" t="s">
        <v>511</v>
      </c>
      <c r="N51" s="47" t="s">
        <v>350</v>
      </c>
      <c r="O51" s="28"/>
      <c r="P51" s="28"/>
      <c r="Q51" s="28"/>
      <c r="R51" s="28"/>
      <c r="S51" s="28"/>
      <c r="T51" s="279"/>
      <c r="U51" s="14" t="s">
        <v>853</v>
      </c>
      <c r="V51" s="97"/>
    </row>
    <row r="52" spans="1:22" ht="18" customHeight="1">
      <c r="A52" s="272"/>
      <c r="B52" s="279"/>
      <c r="C52" s="14" t="s">
        <v>849</v>
      </c>
      <c r="D52" s="279"/>
      <c r="E52" s="279"/>
      <c r="F52" s="279"/>
      <c r="G52" s="279"/>
      <c r="H52" s="279"/>
      <c r="I52" s="279"/>
      <c r="J52" s="279"/>
      <c r="K52" s="279"/>
      <c r="L52" s="279"/>
      <c r="M52" s="28"/>
      <c r="N52" s="28"/>
      <c r="O52" s="28"/>
      <c r="P52" s="28"/>
      <c r="Q52" s="28"/>
      <c r="R52" s="28"/>
      <c r="S52" s="28"/>
      <c r="T52" s="14"/>
      <c r="U52" s="28"/>
      <c r="V52" s="97"/>
    </row>
    <row r="53" spans="1:22" ht="18" customHeight="1">
      <c r="A53" s="272"/>
      <c r="B53" s="279"/>
      <c r="C53" s="14"/>
      <c r="D53" s="28" t="s">
        <v>841</v>
      </c>
      <c r="E53" s="28" t="s">
        <v>529</v>
      </c>
      <c r="F53" s="28">
        <v>40</v>
      </c>
      <c r="G53" s="28" t="s">
        <v>347</v>
      </c>
      <c r="H53" s="221">
        <v>0.35</v>
      </c>
      <c r="I53" s="28" t="s">
        <v>672</v>
      </c>
      <c r="J53" s="689" t="s">
        <v>847</v>
      </c>
      <c r="K53" s="723"/>
      <c r="L53" s="28" t="s">
        <v>315</v>
      </c>
      <c r="M53" s="28" t="s">
        <v>341</v>
      </c>
      <c r="N53" s="47" t="s">
        <v>350</v>
      </c>
      <c r="O53" s="28"/>
      <c r="P53" s="28"/>
      <c r="Q53" s="28"/>
      <c r="R53" s="28"/>
      <c r="S53" s="28"/>
      <c r="T53" s="14"/>
      <c r="U53" s="28"/>
      <c r="V53" s="97"/>
    </row>
    <row r="54" spans="1:22" ht="18" customHeight="1">
      <c r="A54" s="272"/>
      <c r="B54" s="28"/>
      <c r="C54" s="28" t="s">
        <v>850</v>
      </c>
      <c r="D54" s="28" t="s">
        <v>841</v>
      </c>
      <c r="E54" s="28" t="s">
        <v>529</v>
      </c>
      <c r="F54" s="28">
        <v>65</v>
      </c>
      <c r="G54" s="14"/>
      <c r="H54" s="14"/>
      <c r="I54" s="120"/>
      <c r="J54" s="28"/>
      <c r="K54" s="28"/>
      <c r="L54" s="28"/>
      <c r="M54" s="28"/>
      <c r="N54" s="28"/>
      <c r="O54" s="28"/>
      <c r="P54" s="28"/>
      <c r="Q54" s="28"/>
      <c r="R54" s="28"/>
      <c r="S54" s="28"/>
      <c r="T54" s="14"/>
      <c r="U54" s="28"/>
      <c r="V54" s="97"/>
    </row>
    <row r="55" spans="1:22" ht="18" customHeight="1">
      <c r="A55" s="96"/>
      <c r="B55" s="120" t="s">
        <v>846</v>
      </c>
      <c r="C55" s="120" t="s">
        <v>419</v>
      </c>
      <c r="D55" s="221">
        <v>600</v>
      </c>
      <c r="E55" s="28" t="s">
        <v>315</v>
      </c>
      <c r="F55" s="28" t="s">
        <v>511</v>
      </c>
      <c r="G55" s="47" t="s">
        <v>350</v>
      </c>
      <c r="H55" s="28" t="s">
        <v>851</v>
      </c>
      <c r="I55" s="120" t="s">
        <v>419</v>
      </c>
      <c r="J55" s="689" t="s">
        <v>847</v>
      </c>
      <c r="K55" s="723"/>
      <c r="L55" s="28" t="s">
        <v>315</v>
      </c>
      <c r="M55" s="28" t="s">
        <v>341</v>
      </c>
      <c r="N55" s="47" t="s">
        <v>350</v>
      </c>
      <c r="O55" s="154" t="s">
        <v>699</v>
      </c>
      <c r="P55" s="120" t="s">
        <v>419</v>
      </c>
      <c r="Q55" s="221">
        <v>1600</v>
      </c>
      <c r="R55" s="28" t="s">
        <v>315</v>
      </c>
      <c r="S55" s="28" t="s">
        <v>511</v>
      </c>
      <c r="T55" s="47" t="s">
        <v>350</v>
      </c>
      <c r="U55" s="14" t="s">
        <v>854</v>
      </c>
      <c r="V55" s="97"/>
    </row>
    <row r="56" spans="1:22" ht="18" customHeight="1">
      <c r="A56" s="272"/>
      <c r="B56" s="28" t="s">
        <v>841</v>
      </c>
      <c r="C56" s="28" t="s">
        <v>127</v>
      </c>
      <c r="D56" s="28">
        <v>256</v>
      </c>
      <c r="E56" s="14"/>
      <c r="F56" s="14"/>
      <c r="G56" s="120"/>
      <c r="H56" s="28"/>
      <c r="I56" s="28"/>
      <c r="J56" s="28"/>
      <c r="K56" s="28"/>
      <c r="L56" s="28"/>
      <c r="M56" s="28"/>
      <c r="N56" s="28"/>
      <c r="O56" s="28"/>
      <c r="P56" s="28"/>
      <c r="Q56" s="28"/>
      <c r="R56" s="28"/>
      <c r="S56" s="28"/>
      <c r="T56" s="14"/>
      <c r="U56" s="28"/>
      <c r="V56" s="97"/>
    </row>
    <row r="57" spans="1:22" ht="18" customHeight="1">
      <c r="A57" s="272"/>
      <c r="U57" s="14"/>
      <c r="V57" s="97"/>
    </row>
    <row r="58" spans="1:22" ht="18" customHeight="1">
      <c r="A58" s="524"/>
      <c r="B58" s="30" t="s">
        <v>855</v>
      </c>
      <c r="Q58" s="14" t="s">
        <v>617</v>
      </c>
      <c r="S58" s="234" t="s">
        <v>127</v>
      </c>
      <c r="T58" s="684">
        <f>'Parameters &amp; Fault Cal. (4)'!Q10 *1000</f>
        <v>50000</v>
      </c>
      <c r="U58" s="684"/>
      <c r="V58" s="185" t="s">
        <v>8</v>
      </c>
    </row>
    <row r="59" spans="1:22" ht="18" customHeight="1">
      <c r="A59" s="524"/>
      <c r="B59" s="47" t="s">
        <v>654</v>
      </c>
      <c r="C59" s="14"/>
      <c r="D59" s="14"/>
      <c r="E59" s="14"/>
      <c r="F59" s="14"/>
      <c r="G59" s="18"/>
      <c r="H59" s="18"/>
      <c r="I59" s="14"/>
      <c r="J59" s="120"/>
      <c r="K59" s="14"/>
      <c r="L59" s="14"/>
      <c r="N59" s="14"/>
      <c r="O59" s="14"/>
      <c r="Q59" s="14" t="s">
        <v>423</v>
      </c>
      <c r="S59" s="234" t="s">
        <v>127</v>
      </c>
      <c r="T59" s="684">
        <f>H10</f>
        <v>2500</v>
      </c>
      <c r="U59" s="684"/>
      <c r="V59" s="185" t="s">
        <v>8</v>
      </c>
    </row>
    <row r="60" spans="1:22" ht="18" customHeight="1">
      <c r="A60" s="96"/>
      <c r="B60" s="47" t="s">
        <v>856</v>
      </c>
      <c r="C60" s="14"/>
      <c r="D60" s="14"/>
      <c r="E60" s="14"/>
      <c r="F60" s="14"/>
      <c r="G60" s="18"/>
      <c r="H60" s="18"/>
      <c r="I60" s="14"/>
      <c r="J60" s="120"/>
      <c r="K60" s="14"/>
      <c r="L60" s="14"/>
      <c r="N60" s="14"/>
      <c r="O60" s="14"/>
      <c r="Q60" s="14" t="s">
        <v>847</v>
      </c>
      <c r="S60" s="234" t="s">
        <v>127</v>
      </c>
      <c r="T60" s="795">
        <f>T58/T59</f>
        <v>20</v>
      </c>
      <c r="U60" s="795"/>
      <c r="V60" s="185" t="s">
        <v>8</v>
      </c>
    </row>
    <row r="61" spans="1:22" ht="18" customHeight="1">
      <c r="A61" s="96"/>
      <c r="B61" s="47" t="s">
        <v>655</v>
      </c>
      <c r="C61" s="14"/>
      <c r="D61" s="14"/>
      <c r="E61" s="14"/>
      <c r="F61" s="14"/>
      <c r="G61" s="18"/>
      <c r="H61" s="18"/>
      <c r="I61" s="14"/>
      <c r="J61" s="120"/>
      <c r="K61" s="14"/>
      <c r="L61" s="14"/>
      <c r="N61" s="14"/>
      <c r="O61" s="14"/>
      <c r="Q61" s="14" t="s">
        <v>420</v>
      </c>
      <c r="S61" s="234" t="s">
        <v>127</v>
      </c>
      <c r="T61" s="684">
        <f>H12</f>
        <v>5</v>
      </c>
      <c r="U61" s="684"/>
      <c r="V61" s="532" t="s">
        <v>333</v>
      </c>
    </row>
    <row r="62" spans="1:22" ht="18" customHeight="1">
      <c r="A62" s="96"/>
      <c r="B62" s="47" t="s">
        <v>676</v>
      </c>
      <c r="C62" s="14"/>
      <c r="D62" s="14"/>
      <c r="E62" s="14"/>
      <c r="F62" s="14"/>
      <c r="G62" s="18"/>
      <c r="H62" s="18"/>
      <c r="I62" s="14"/>
      <c r="J62" s="120"/>
      <c r="K62" s="14"/>
      <c r="L62" s="14"/>
      <c r="N62" s="14"/>
      <c r="O62" s="14"/>
      <c r="Q62" s="14" t="s">
        <v>842</v>
      </c>
      <c r="S62" s="234" t="s">
        <v>127</v>
      </c>
      <c r="T62" s="795">
        <f>S29</f>
        <v>1.0970224400000002</v>
      </c>
      <c r="U62" s="795"/>
      <c r="V62" s="532" t="s">
        <v>333</v>
      </c>
    </row>
    <row r="63" spans="1:22" ht="18" customHeight="1">
      <c r="A63" s="96"/>
      <c r="B63" s="47" t="s">
        <v>691</v>
      </c>
      <c r="C63" s="14"/>
      <c r="D63" s="14"/>
      <c r="E63" s="14"/>
      <c r="F63" s="14"/>
      <c r="G63" s="14"/>
      <c r="H63" s="14"/>
      <c r="I63" s="14"/>
      <c r="J63" s="120"/>
      <c r="K63" s="14"/>
      <c r="L63" s="14"/>
      <c r="N63" s="14"/>
      <c r="O63" s="14"/>
      <c r="Q63" s="14" t="s">
        <v>511</v>
      </c>
      <c r="S63" s="234" t="s">
        <v>127</v>
      </c>
      <c r="T63" s="684">
        <f>O10</f>
        <v>1</v>
      </c>
      <c r="U63" s="684"/>
      <c r="V63" s="185" t="s">
        <v>8</v>
      </c>
    </row>
    <row r="64" spans="1:22" ht="18" customHeight="1">
      <c r="A64" s="96"/>
      <c r="B64" s="14" t="s">
        <v>857</v>
      </c>
      <c r="C64" s="14"/>
      <c r="D64" s="14"/>
      <c r="E64" s="235"/>
      <c r="F64" s="14"/>
      <c r="G64" s="28"/>
      <c r="H64" s="249"/>
      <c r="I64" s="28"/>
      <c r="J64" s="251"/>
      <c r="K64" s="14"/>
      <c r="L64" s="280"/>
      <c r="N64" s="47"/>
      <c r="O64" s="268"/>
      <c r="Q64" s="281" t="s">
        <v>341</v>
      </c>
      <c r="S64" s="234" t="s">
        <v>127</v>
      </c>
      <c r="T64" s="1327">
        <f>'Parameters &amp; Fault Cal. (4)'!Q11</f>
        <v>15</v>
      </c>
      <c r="U64" s="1328"/>
      <c r="V64" s="185"/>
    </row>
    <row r="65" spans="1:22" ht="18" customHeight="1">
      <c r="A65" s="325"/>
      <c r="B65" s="14" t="s">
        <v>858</v>
      </c>
      <c r="F65" s="14"/>
      <c r="G65" s="154"/>
      <c r="H65" s="102"/>
      <c r="I65" s="28"/>
      <c r="J65" s="27"/>
      <c r="K65" s="14"/>
      <c r="O65" s="47"/>
      <c r="P65" s="14"/>
      <c r="Q65" s="14"/>
      <c r="R65" s="14"/>
      <c r="S65" s="120"/>
      <c r="T65" s="1075">
        <v>100</v>
      </c>
      <c r="U65" s="1076"/>
      <c r="V65" s="97" t="s">
        <v>604</v>
      </c>
    </row>
    <row r="66" spans="1:22" ht="18.75" customHeight="1">
      <c r="A66" s="96"/>
      <c r="B66" s="14"/>
      <c r="Q66" s="14"/>
      <c r="R66" s="14"/>
      <c r="S66" s="120"/>
      <c r="T66" s="18"/>
      <c r="U66" s="18"/>
      <c r="V66" s="97"/>
    </row>
    <row r="67" spans="1:22" ht="18" customHeight="1">
      <c r="A67" s="184"/>
      <c r="B67" s="533" t="s">
        <v>859</v>
      </c>
      <c r="C67" s="533"/>
      <c r="D67" s="247"/>
      <c r="E67" s="247"/>
      <c r="F67" s="459" t="str">
        <f>IF(T65=150,"1 &amp; 2","3 &amp; 4")</f>
        <v>3 &amp; 4</v>
      </c>
      <c r="G67" s="534"/>
      <c r="V67" s="185"/>
    </row>
    <row r="68" spans="1:22" ht="18" customHeight="1">
      <c r="A68" s="524" t="s">
        <v>419</v>
      </c>
      <c r="B68" s="689" t="s">
        <v>847</v>
      </c>
      <c r="C68" s="689"/>
      <c r="D68" s="28" t="s">
        <v>315</v>
      </c>
      <c r="E68" s="28" t="s">
        <v>341</v>
      </c>
      <c r="F68" s="47" t="s">
        <v>350</v>
      </c>
      <c r="G68" s="154" t="s">
        <v>699</v>
      </c>
      <c r="H68" s="120" t="s">
        <v>419</v>
      </c>
      <c r="I68" s="221" t="str">
        <f>IF(T65=150,"1000","600")</f>
        <v>600</v>
      </c>
      <c r="J68" s="28" t="s">
        <v>315</v>
      </c>
      <c r="K68" s="28" t="s">
        <v>511</v>
      </c>
      <c r="L68" s="47" t="s">
        <v>350</v>
      </c>
      <c r="M68" s="14"/>
      <c r="N68" s="14"/>
      <c r="U68" s="14" t="str">
        <f>IF(T65=150,"...cond.1","…cond.3")</f>
        <v>…cond.3</v>
      </c>
      <c r="V68" s="185"/>
    </row>
    <row r="69" spans="1:22" ht="18" customHeight="1">
      <c r="A69" s="524" t="s">
        <v>419</v>
      </c>
      <c r="B69" s="692">
        <f>T60</f>
        <v>20</v>
      </c>
      <c r="C69" s="692"/>
      <c r="D69" s="28" t="s">
        <v>315</v>
      </c>
      <c r="E69" s="28">
        <f>T64</f>
        <v>15</v>
      </c>
      <c r="F69" s="47" t="s">
        <v>350</v>
      </c>
      <c r="G69" s="154" t="s">
        <v>699</v>
      </c>
      <c r="H69" s="120" t="s">
        <v>419</v>
      </c>
      <c r="I69" s="221" t="str">
        <f>I68</f>
        <v>600</v>
      </c>
      <c r="J69" s="28" t="s">
        <v>315</v>
      </c>
      <c r="K69" s="28">
        <f>T63</f>
        <v>1</v>
      </c>
      <c r="L69" s="47" t="s">
        <v>350</v>
      </c>
      <c r="M69" s="14"/>
      <c r="N69" s="14"/>
      <c r="U69" s="14"/>
      <c r="V69" s="97"/>
    </row>
    <row r="70" spans="1:22" ht="18" customHeight="1">
      <c r="A70" s="96"/>
      <c r="B70" s="14"/>
      <c r="C70" s="14"/>
      <c r="D70" s="834">
        <f>B69*E69</f>
        <v>300</v>
      </c>
      <c r="E70" s="1149"/>
      <c r="F70" s="14"/>
      <c r="G70" s="154" t="s">
        <v>699</v>
      </c>
      <c r="H70" s="102"/>
      <c r="I70" s="689">
        <f>I69*K69</f>
        <v>600</v>
      </c>
      <c r="J70" s="684"/>
      <c r="K70" s="14"/>
      <c r="O70" s="47"/>
      <c r="P70" s="14"/>
      <c r="Q70" s="14"/>
      <c r="R70" s="14"/>
      <c r="S70" s="120" t="s">
        <v>860</v>
      </c>
      <c r="T70" s="1326" t="b">
        <f>IF(D70&lt;=I70,TRUE,FALSE)</f>
        <v>1</v>
      </c>
      <c r="U70" s="1326"/>
      <c r="V70" s="97"/>
    </row>
    <row r="71" spans="1:22" ht="18" customHeight="1">
      <c r="A71" s="184"/>
      <c r="B71" s="28" t="s">
        <v>617</v>
      </c>
      <c r="C71" s="30" t="str">
        <f>IF(T65=150,"…cond.1","…cond.3")</f>
        <v>…cond.3</v>
      </c>
      <c r="E71" s="14" t="s">
        <v>861</v>
      </c>
      <c r="V71" s="185"/>
    </row>
    <row r="72" spans="1:22" ht="18" customHeight="1">
      <c r="A72" s="184"/>
      <c r="V72" s="97"/>
    </row>
    <row r="73" spans="1:22" ht="18" customHeight="1">
      <c r="A73" s="184"/>
      <c r="B73" s="14"/>
      <c r="C73" s="28" t="s">
        <v>841</v>
      </c>
      <c r="D73" s="28" t="s">
        <v>529</v>
      </c>
      <c r="E73" s="28">
        <v>40</v>
      </c>
      <c r="F73" s="28" t="s">
        <v>347</v>
      </c>
      <c r="G73" s="221" t="str">
        <f>IF(T65=150,"0.07","0.35")</f>
        <v>0.35</v>
      </c>
      <c r="H73" s="28" t="s">
        <v>672</v>
      </c>
      <c r="I73" s="689" t="s">
        <v>847</v>
      </c>
      <c r="J73" s="723"/>
      <c r="K73" s="28" t="s">
        <v>315</v>
      </c>
      <c r="L73" s="28" t="s">
        <v>341</v>
      </c>
      <c r="M73" s="47" t="s">
        <v>350</v>
      </c>
      <c r="N73" s="184"/>
      <c r="O73" s="47" t="s">
        <v>862</v>
      </c>
      <c r="P73" s="27"/>
      <c r="Q73" s="28" t="s">
        <v>127</v>
      </c>
      <c r="R73" s="795">
        <f>MAX(E75,E76)</f>
        <v>145</v>
      </c>
      <c r="S73" s="684"/>
      <c r="V73" s="185"/>
    </row>
    <row r="74" spans="1:22" ht="18" customHeight="1">
      <c r="A74" s="184"/>
      <c r="B74" s="14"/>
      <c r="C74" s="28"/>
      <c r="D74" s="28" t="s">
        <v>529</v>
      </c>
      <c r="E74" s="28">
        <v>40</v>
      </c>
      <c r="F74" s="28" t="s">
        <v>347</v>
      </c>
      <c r="G74" s="221" t="str">
        <f>IF(T65=150,"0.07","0.35")</f>
        <v>0.35</v>
      </c>
      <c r="H74" s="28" t="s">
        <v>672</v>
      </c>
      <c r="I74" s="692">
        <f>T60</f>
        <v>20</v>
      </c>
      <c r="J74" s="723"/>
      <c r="K74" s="28" t="s">
        <v>315</v>
      </c>
      <c r="L74" s="28">
        <f>T64</f>
        <v>15</v>
      </c>
      <c r="M74" s="47" t="s">
        <v>350</v>
      </c>
      <c r="N74" s="184"/>
      <c r="V74" s="185"/>
    </row>
    <row r="75" spans="1:22" ht="18" customHeight="1">
      <c r="A75" s="184"/>
      <c r="B75" s="14"/>
      <c r="C75" s="28"/>
      <c r="D75" s="28" t="s">
        <v>529</v>
      </c>
      <c r="E75" s="692">
        <f>E74+(G74*(I74*L74))</f>
        <v>145</v>
      </c>
      <c r="F75" s="692"/>
      <c r="G75" s="221"/>
      <c r="H75" s="28"/>
      <c r="I75" s="218"/>
      <c r="K75" s="28"/>
      <c r="L75" s="28"/>
      <c r="M75" s="47"/>
      <c r="N75" s="184"/>
      <c r="V75" s="185"/>
    </row>
    <row r="76" spans="1:22" ht="18" customHeight="1">
      <c r="A76" s="96"/>
      <c r="B76" s="28" t="s">
        <v>850</v>
      </c>
      <c r="C76" s="28" t="s">
        <v>841</v>
      </c>
      <c r="D76" s="28" t="s">
        <v>127</v>
      </c>
      <c r="E76" s="28">
        <v>65</v>
      </c>
      <c r="G76" s="14"/>
      <c r="H76" s="154"/>
      <c r="I76" s="102"/>
      <c r="J76" s="28"/>
      <c r="K76" s="27"/>
      <c r="L76" s="14"/>
      <c r="N76" s="96"/>
      <c r="O76" s="14"/>
      <c r="Q76" s="14"/>
      <c r="R76" s="14"/>
      <c r="S76" s="14"/>
      <c r="T76" s="14"/>
      <c r="U76" s="14"/>
      <c r="V76" s="97"/>
    </row>
    <row r="77" spans="1:22" ht="18" customHeight="1">
      <c r="A77" s="96"/>
      <c r="B77" s="14"/>
      <c r="F77" s="28"/>
      <c r="I77" s="120"/>
      <c r="J77" s="221"/>
      <c r="K77" s="28"/>
      <c r="L77" s="28"/>
      <c r="M77" s="47"/>
      <c r="N77" s="14"/>
      <c r="O77" s="14"/>
      <c r="Q77" s="14"/>
      <c r="R77" s="14"/>
      <c r="S77" s="14"/>
      <c r="T77" s="14"/>
      <c r="U77" s="14"/>
      <c r="V77" s="97"/>
    </row>
    <row r="78" spans="1:22" ht="18" customHeight="1">
      <c r="A78" s="524" t="s">
        <v>419</v>
      </c>
      <c r="B78" s="221" t="str">
        <f>IF(T65=150,"1000","600")</f>
        <v>600</v>
      </c>
      <c r="C78" s="28" t="s">
        <v>315</v>
      </c>
      <c r="D78" s="28" t="s">
        <v>511</v>
      </c>
      <c r="E78" s="47" t="s">
        <v>350</v>
      </c>
      <c r="F78" s="28" t="s">
        <v>851</v>
      </c>
      <c r="G78" s="120" t="s">
        <v>419</v>
      </c>
      <c r="H78" s="689" t="s">
        <v>847</v>
      </c>
      <c r="I78" s="723"/>
      <c r="J78" s="28" t="s">
        <v>315</v>
      </c>
      <c r="K78" s="28" t="s">
        <v>341</v>
      </c>
      <c r="L78" s="47" t="s">
        <v>350</v>
      </c>
      <c r="M78" s="154" t="s">
        <v>699</v>
      </c>
      <c r="N78" s="120" t="s">
        <v>419</v>
      </c>
      <c r="O78" s="221" t="str">
        <f>IF(T65=150,"2600","1600")</f>
        <v>1600</v>
      </c>
      <c r="P78" s="28" t="s">
        <v>315</v>
      </c>
      <c r="Q78" s="28" t="s">
        <v>511</v>
      </c>
      <c r="R78" s="47" t="s">
        <v>350</v>
      </c>
      <c r="S78" s="14"/>
      <c r="T78" s="14"/>
      <c r="U78" s="14" t="str">
        <f>IF(T65=150,"...cond.2","…cond.4")</f>
        <v>…cond.4</v>
      </c>
      <c r="V78" s="97"/>
    </row>
    <row r="79" spans="1:22" ht="18" customHeight="1">
      <c r="A79" s="524" t="s">
        <v>419</v>
      </c>
      <c r="B79" s="221" t="str">
        <f>B78</f>
        <v>600</v>
      </c>
      <c r="C79" s="28" t="s">
        <v>315</v>
      </c>
      <c r="D79" s="28">
        <f>T63</f>
        <v>1</v>
      </c>
      <c r="E79" s="47" t="s">
        <v>350</v>
      </c>
      <c r="F79" s="28" t="s">
        <v>851</v>
      </c>
      <c r="G79" s="120" t="s">
        <v>419</v>
      </c>
      <c r="H79" s="692">
        <f>T60</f>
        <v>20</v>
      </c>
      <c r="I79" s="723"/>
      <c r="J79" s="28" t="s">
        <v>315</v>
      </c>
      <c r="K79" s="28">
        <f>T64</f>
        <v>15</v>
      </c>
      <c r="L79" s="47" t="s">
        <v>350</v>
      </c>
      <c r="M79" s="154" t="s">
        <v>699</v>
      </c>
      <c r="N79" s="120" t="s">
        <v>419</v>
      </c>
      <c r="O79" s="221" t="str">
        <f>O78</f>
        <v>1600</v>
      </c>
      <c r="P79" s="28" t="s">
        <v>315</v>
      </c>
      <c r="Q79" s="28">
        <f>T63</f>
        <v>1</v>
      </c>
      <c r="R79" s="47" t="s">
        <v>350</v>
      </c>
      <c r="S79" s="14"/>
      <c r="T79" s="14"/>
      <c r="U79" s="14"/>
      <c r="V79" s="97"/>
    </row>
    <row r="80" spans="1:22" ht="18" customHeight="1">
      <c r="A80" s="524"/>
      <c r="B80" s="249"/>
      <c r="C80" s="1329">
        <f>B79*D79</f>
        <v>600</v>
      </c>
      <c r="D80" s="1329"/>
      <c r="E80" s="249"/>
      <c r="F80" s="28" t="s">
        <v>851</v>
      </c>
      <c r="G80" s="14"/>
      <c r="H80" s="14"/>
      <c r="I80" s="834">
        <f>H79*K79</f>
        <v>300</v>
      </c>
      <c r="J80" s="834"/>
      <c r="K80" s="14"/>
      <c r="L80" s="14"/>
      <c r="M80" s="154" t="s">
        <v>699</v>
      </c>
      <c r="N80" s="102"/>
      <c r="O80" s="1286">
        <f>O79*Q79</f>
        <v>1600</v>
      </c>
      <c r="P80" s="723"/>
      <c r="Q80" s="14"/>
      <c r="R80" s="14"/>
      <c r="S80" s="120" t="s">
        <v>860</v>
      </c>
      <c r="T80" s="1326" t="b">
        <f>IF(AND(C80&lt;I80,I80&lt;=O80)=TRUE,TRUE,FALSE)</f>
        <v>0</v>
      </c>
      <c r="U80" s="1326"/>
      <c r="V80" s="97"/>
    </row>
    <row r="81" spans="1:22" ht="18" customHeight="1">
      <c r="A81" s="193"/>
      <c r="B81" s="14"/>
      <c r="C81" s="27"/>
      <c r="D81" s="218"/>
      <c r="E81" s="204"/>
      <c r="F81" s="14"/>
      <c r="G81" s="14"/>
      <c r="H81" s="14"/>
      <c r="I81" s="14"/>
      <c r="J81" s="120"/>
      <c r="K81" s="120"/>
      <c r="L81" s="14"/>
      <c r="M81" s="14"/>
      <c r="N81" s="28"/>
      <c r="O81" s="257"/>
      <c r="P81" s="14"/>
      <c r="Q81" s="14"/>
      <c r="R81" s="120"/>
      <c r="S81" s="28"/>
      <c r="T81" s="47"/>
      <c r="U81" s="14"/>
      <c r="V81" s="97"/>
    </row>
    <row r="82" spans="1:22" s="279" customFormat="1" ht="18" customHeight="1">
      <c r="A82" s="299"/>
      <c r="B82" s="28" t="s">
        <v>617</v>
      </c>
      <c r="C82" s="30" t="str">
        <f>IF(T65=150,"…cond.2","…cond.4")</f>
        <v>…cond.4</v>
      </c>
      <c r="D82" s="30"/>
      <c r="E82" s="14" t="s">
        <v>863</v>
      </c>
      <c r="F82" s="30"/>
      <c r="G82" s="30"/>
      <c r="H82" s="30"/>
      <c r="I82" s="30"/>
      <c r="J82" s="28" t="s">
        <v>127</v>
      </c>
      <c r="K82" s="30" t="str">
        <f>IF(T65=150,"107","256")</f>
        <v>256</v>
      </c>
      <c r="L82" s="30"/>
      <c r="M82" s="30"/>
      <c r="N82" s="1" t="s">
        <v>864</v>
      </c>
      <c r="O82" s="196"/>
      <c r="P82" s="196"/>
      <c r="Q82" s="196"/>
      <c r="R82" s="196"/>
      <c r="S82" s="182" t="s">
        <v>127</v>
      </c>
      <c r="T82" s="246">
        <f>IF(T70=TRUE,R73,IF(T80=TRUE,K82,))</f>
        <v>145</v>
      </c>
      <c r="U82" s="14"/>
      <c r="V82" s="97"/>
    </row>
    <row r="83" spans="1:22" s="279" customFormat="1" ht="18" customHeight="1">
      <c r="A83" s="299"/>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193"/>
      <c r="B84" s="14"/>
      <c r="C84" s="27"/>
      <c r="D84" s="218"/>
      <c r="E84" s="204"/>
      <c r="F84" s="14"/>
      <c r="G84" s="14"/>
      <c r="H84" s="14"/>
      <c r="I84" s="14"/>
      <c r="J84" s="120"/>
      <c r="K84" s="120"/>
      <c r="L84" s="14"/>
      <c r="M84" s="14"/>
      <c r="N84" s="28"/>
      <c r="O84" s="257"/>
      <c r="P84" s="14"/>
      <c r="Q84" s="14"/>
      <c r="R84" s="120"/>
      <c r="S84" s="28"/>
      <c r="T84" s="47"/>
      <c r="U84" s="14"/>
      <c r="V84" s="97"/>
    </row>
    <row r="85" spans="1:22"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2" ht="18" customHeight="1">
      <c r="A86" s="193"/>
      <c r="B86" s="14"/>
      <c r="C86" s="27"/>
      <c r="D86" s="218"/>
      <c r="E86" s="204"/>
      <c r="F86" s="14"/>
      <c r="G86" s="14"/>
      <c r="H86" s="14"/>
      <c r="I86" s="14"/>
      <c r="J86" s="120"/>
      <c r="K86" s="120"/>
      <c r="L86" s="14"/>
      <c r="M86" s="14"/>
      <c r="N86" s="28"/>
      <c r="O86" s="257"/>
      <c r="P86" s="14"/>
      <c r="Q86" s="14"/>
      <c r="R86" s="120"/>
      <c r="S86" s="28"/>
      <c r="T86" s="47"/>
      <c r="U86" s="14"/>
      <c r="V86" s="97"/>
    </row>
    <row r="87" spans="1:22" s="279" customFormat="1" ht="18" customHeight="1">
      <c r="A87" s="193" t="s">
        <v>865</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84"/>
      <c r="D88" s="30" t="s">
        <v>473</v>
      </c>
      <c r="E88" s="27" t="s">
        <v>529</v>
      </c>
      <c r="F88" s="27" t="s">
        <v>841</v>
      </c>
      <c r="G88" s="27" t="s">
        <v>315</v>
      </c>
      <c r="H88" s="27" t="s">
        <v>511</v>
      </c>
      <c r="I88" s="27" t="s">
        <v>372</v>
      </c>
      <c r="J88" s="27" t="s">
        <v>420</v>
      </c>
      <c r="K88" s="27" t="s">
        <v>347</v>
      </c>
      <c r="L88" s="27" t="s">
        <v>842</v>
      </c>
      <c r="M88" s="30" t="s">
        <v>350</v>
      </c>
      <c r="V88" s="185"/>
    </row>
    <row r="89" spans="1:22" ht="18" customHeight="1">
      <c r="A89" s="184"/>
      <c r="B89" s="14"/>
      <c r="D89" s="14"/>
      <c r="E89" s="27" t="s">
        <v>529</v>
      </c>
      <c r="F89" s="27">
        <f>T82</f>
        <v>145</v>
      </c>
      <c r="G89" s="27" t="s">
        <v>315</v>
      </c>
      <c r="H89" s="27">
        <f>T63</f>
        <v>1</v>
      </c>
      <c r="I89" s="27" t="s">
        <v>372</v>
      </c>
      <c r="J89" s="27">
        <f>T61</f>
        <v>5</v>
      </c>
      <c r="K89" s="27" t="s">
        <v>347</v>
      </c>
      <c r="L89" s="211">
        <f>T62</f>
        <v>1.0970224400000002</v>
      </c>
      <c r="M89" s="30" t="s">
        <v>350</v>
      </c>
      <c r="V89" s="185"/>
    </row>
    <row r="90" spans="1:22" ht="18.600000000000001" customHeight="1">
      <c r="A90" s="184"/>
      <c r="B90" s="14"/>
      <c r="D90" s="14"/>
      <c r="E90" s="27" t="s">
        <v>529</v>
      </c>
      <c r="F90" s="709">
        <f>F89*H89*(J89+L89)</f>
        <v>884.06825379999998</v>
      </c>
      <c r="G90" s="710"/>
      <c r="H90" s="14" t="s">
        <v>305</v>
      </c>
      <c r="I90" s="14"/>
      <c r="J90" s="14"/>
      <c r="K90" s="14"/>
      <c r="L90" s="120"/>
      <c r="M90" s="120"/>
      <c r="V90" s="185"/>
    </row>
    <row r="91" spans="1:22" ht="18" customHeight="1">
      <c r="A91" s="184"/>
      <c r="C91" s="30" t="s">
        <v>475</v>
      </c>
      <c r="F91" s="27" t="str">
        <f>IF(D92&gt;G92,"&gt;","&lt;")</f>
        <v>&gt;</v>
      </c>
      <c r="G91" s="30" t="s">
        <v>477</v>
      </c>
      <c r="L91" s="14"/>
      <c r="M91" s="14"/>
      <c r="N91" s="14"/>
      <c r="O91" s="14"/>
      <c r="P91" s="14"/>
      <c r="Q91" s="14"/>
      <c r="R91" s="14"/>
      <c r="S91" s="14"/>
      <c r="T91" s="14"/>
      <c r="U91" s="14"/>
      <c r="V91" s="97"/>
    </row>
    <row r="92" spans="1:22" ht="18" customHeight="1">
      <c r="A92" s="184"/>
      <c r="D92" s="684">
        <f>H13</f>
        <v>3750</v>
      </c>
      <c r="E92" s="684"/>
      <c r="F92" s="27" t="str">
        <f>F91</f>
        <v>&gt;</v>
      </c>
      <c r="G92" s="713">
        <f>F90</f>
        <v>884.06825379999998</v>
      </c>
      <c r="H92" s="713"/>
      <c r="L92" s="14"/>
      <c r="M92" s="14"/>
      <c r="N92" s="28"/>
      <c r="O92" s="28"/>
      <c r="P92" s="28"/>
      <c r="Q92" s="120"/>
      <c r="R92" s="250"/>
      <c r="S92" s="186"/>
      <c r="T92" s="14"/>
      <c r="U92" s="14"/>
      <c r="V92" s="97"/>
    </row>
    <row r="93" spans="1:22" ht="18" customHeight="1">
      <c r="A93" s="184"/>
      <c r="E93" s="244" t="s">
        <v>478</v>
      </c>
      <c r="G93" s="18" t="str">
        <f>IF(F92="&gt;","Suitably Dimensioned","Under Dimensioned")</f>
        <v>Suitably Dimensioned</v>
      </c>
      <c r="L93" s="14"/>
      <c r="M93" s="14"/>
      <c r="N93" s="28"/>
      <c r="O93" s="257"/>
      <c r="P93" s="14"/>
      <c r="Q93" s="14"/>
      <c r="R93" s="120"/>
      <c r="S93" s="28"/>
      <c r="T93" s="47"/>
      <c r="U93" s="14"/>
      <c r="V93" s="97"/>
    </row>
    <row r="94" spans="1:22" ht="18" customHeight="1">
      <c r="A94" s="116" t="s">
        <v>446</v>
      </c>
      <c r="B94" s="14"/>
      <c r="C94" s="27"/>
      <c r="D94" s="218"/>
      <c r="E94" s="204"/>
      <c r="F94" s="14"/>
      <c r="G94" s="14"/>
      <c r="H94" s="14"/>
      <c r="I94" s="14"/>
      <c r="J94" s="120"/>
      <c r="K94" s="120"/>
      <c r="L94" s="14"/>
      <c r="M94" s="14"/>
      <c r="N94" s="28"/>
      <c r="O94" s="257"/>
      <c r="P94" s="14"/>
      <c r="Q94" s="14"/>
      <c r="R94" s="120"/>
      <c r="S94" s="28"/>
      <c r="T94" s="47"/>
      <c r="U94" s="14"/>
      <c r="V94" s="185"/>
    </row>
    <row r="95" spans="1:22" ht="18" customHeight="1">
      <c r="A95" s="193" t="s">
        <v>416</v>
      </c>
      <c r="B95" s="14"/>
      <c r="C95" s="27"/>
      <c r="D95" s="218"/>
      <c r="E95" s="204"/>
      <c r="F95" s="14"/>
      <c r="G95" s="14"/>
      <c r="H95" s="14"/>
      <c r="I95" s="14"/>
      <c r="J95" s="120"/>
      <c r="K95" s="120"/>
      <c r="L95" s="14"/>
      <c r="M95" s="14"/>
      <c r="N95" s="28"/>
      <c r="O95" s="257"/>
      <c r="P95" s="14"/>
      <c r="Q95" s="14"/>
      <c r="R95" s="120"/>
      <c r="S95" s="28"/>
      <c r="T95" s="47"/>
      <c r="U95" s="14"/>
      <c r="V95" s="185"/>
    </row>
    <row r="96" spans="1:22" ht="32.700000000000003" customHeight="1">
      <c r="A96" s="1206" t="s">
        <v>866</v>
      </c>
      <c r="B96" s="1255"/>
      <c r="C96" s="1255"/>
      <c r="D96" s="1255"/>
      <c r="E96" s="1255"/>
      <c r="F96" s="1255"/>
      <c r="G96" s="1255"/>
      <c r="H96" s="1255"/>
      <c r="I96" s="1255"/>
      <c r="J96" s="1255"/>
      <c r="K96" s="1255"/>
      <c r="L96" s="1255"/>
      <c r="M96" s="1255"/>
      <c r="N96" s="1255"/>
      <c r="O96" s="1255"/>
      <c r="P96" s="1255"/>
      <c r="Q96" s="1255"/>
      <c r="R96" s="1255"/>
      <c r="S96" s="1255"/>
      <c r="T96" s="1255"/>
      <c r="U96" s="1255"/>
      <c r="V96" s="1256"/>
    </row>
    <row r="97" spans="1:22" ht="18" customHeight="1">
      <c r="A97" s="193"/>
      <c r="B97" s="14"/>
      <c r="F97" s="14" t="s">
        <v>867</v>
      </c>
      <c r="G97" s="14" t="s">
        <v>127</v>
      </c>
      <c r="H97" s="1317">
        <f>'Parameters &amp; Fault Cal. (4)'!E52</f>
        <v>6.7792282849970542</v>
      </c>
      <c r="I97" s="1317"/>
      <c r="J97" s="120"/>
      <c r="K97" s="14" t="str">
        <f>IF(H97&gt;2,"Since SIR is &gt;2, the below calculation is not applicable","")</f>
        <v>Since SIR is &gt;2, the below calculation is not applicable</v>
      </c>
      <c r="N97" s="28"/>
      <c r="O97" s="257"/>
      <c r="P97" s="14"/>
      <c r="Q97" s="14"/>
      <c r="R97" s="120"/>
      <c r="S97" s="28"/>
      <c r="T97" s="47"/>
      <c r="U97" s="14"/>
      <c r="V97" s="185"/>
    </row>
    <row r="98" spans="1:22" ht="18" customHeight="1">
      <c r="A98" s="193"/>
      <c r="B98" s="14"/>
      <c r="C98" s="27"/>
      <c r="D98" s="218"/>
      <c r="E98" s="204"/>
      <c r="J98" s="120"/>
      <c r="K98" s="120"/>
      <c r="L98" s="14"/>
      <c r="M98" s="14"/>
      <c r="N98" s="28"/>
      <c r="O98" s="257"/>
      <c r="P98" s="14"/>
      <c r="Q98" s="14"/>
      <c r="R98" s="120"/>
      <c r="S98" s="28"/>
      <c r="T98" s="47"/>
      <c r="U98" s="14"/>
      <c r="V98" s="185"/>
    </row>
    <row r="99" spans="1:22" ht="18" customHeight="1">
      <c r="A99" s="184"/>
      <c r="B99" s="14"/>
      <c r="C99" s="27"/>
      <c r="D99" s="218"/>
      <c r="E99" s="204"/>
      <c r="F99" s="30" t="s">
        <v>473</v>
      </c>
      <c r="G99" s="27" t="s">
        <v>529</v>
      </c>
      <c r="H99" s="993" t="s">
        <v>868</v>
      </c>
      <c r="I99" s="993"/>
      <c r="J99" s="27" t="s">
        <v>315</v>
      </c>
      <c r="K99" s="993" t="s">
        <v>820</v>
      </c>
      <c r="L99" s="993"/>
      <c r="M99" s="27" t="s">
        <v>315</v>
      </c>
      <c r="N99" s="244" t="s">
        <v>419</v>
      </c>
      <c r="O99" s="27" t="s">
        <v>420</v>
      </c>
      <c r="P99" s="27" t="s">
        <v>347</v>
      </c>
      <c r="Q99" s="27" t="s">
        <v>408</v>
      </c>
      <c r="R99" s="30" t="s">
        <v>350</v>
      </c>
      <c r="S99" s="28"/>
      <c r="T99" s="47"/>
      <c r="U99" s="14"/>
      <c r="V99" s="185"/>
    </row>
    <row r="100" spans="1:22" ht="18" customHeight="1">
      <c r="A100" s="193"/>
      <c r="F100" s="14" t="s">
        <v>869</v>
      </c>
      <c r="H100" s="27"/>
      <c r="I100" s="218"/>
      <c r="J100" s="204"/>
      <c r="K100" s="14"/>
      <c r="L100" s="14"/>
      <c r="M100" s="14"/>
      <c r="N100" s="14"/>
      <c r="O100" s="120"/>
      <c r="P100" s="120"/>
      <c r="Q100" s="14"/>
      <c r="R100" s="14"/>
      <c r="U100" s="14"/>
      <c r="V100" s="185"/>
    </row>
    <row r="101" spans="1:22" ht="18" customHeight="1">
      <c r="A101" s="193"/>
      <c r="G101" s="993" t="s">
        <v>868</v>
      </c>
      <c r="H101" s="993"/>
      <c r="I101" s="218" t="s">
        <v>127</v>
      </c>
      <c r="J101" s="204" t="s">
        <v>870</v>
      </c>
      <c r="K101" s="14"/>
      <c r="L101" s="14"/>
      <c r="M101" s="14"/>
      <c r="N101" s="14"/>
      <c r="O101" s="120"/>
      <c r="P101" s="120"/>
      <c r="Q101" s="14"/>
      <c r="R101" s="14"/>
      <c r="S101" s="28" t="s">
        <v>127</v>
      </c>
      <c r="T101" s="47">
        <v>1.4</v>
      </c>
      <c r="U101" s="14"/>
      <c r="V101" s="97"/>
    </row>
    <row r="102" spans="1:22" ht="18" customHeight="1">
      <c r="A102" s="193"/>
      <c r="G102" s="993" t="s">
        <v>820</v>
      </c>
      <c r="H102" s="993"/>
      <c r="I102" s="218" t="s">
        <v>127</v>
      </c>
      <c r="J102" s="204" t="s">
        <v>871</v>
      </c>
      <c r="K102" s="14"/>
      <c r="L102" s="14"/>
      <c r="M102" s="14"/>
      <c r="N102" s="14"/>
      <c r="O102" s="120"/>
      <c r="P102" s="120"/>
      <c r="Q102" s="14"/>
      <c r="R102" s="14"/>
      <c r="S102" s="28" t="s">
        <v>127</v>
      </c>
      <c r="T102" s="1188">
        <f>T60</f>
        <v>20</v>
      </c>
      <c r="U102" s="1286"/>
      <c r="V102" s="97" t="s">
        <v>8</v>
      </c>
    </row>
    <row r="103" spans="1:22" ht="18" customHeight="1">
      <c r="A103" s="193"/>
      <c r="U103" s="14"/>
      <c r="V103" s="97"/>
    </row>
    <row r="104" spans="1:22" ht="18" customHeight="1">
      <c r="A104" s="193"/>
      <c r="F104" s="30" t="s">
        <v>473</v>
      </c>
      <c r="G104" s="27" t="s">
        <v>529</v>
      </c>
      <c r="H104" s="993" t="s">
        <v>868</v>
      </c>
      <c r="I104" s="993"/>
      <c r="J104" s="27" t="s">
        <v>315</v>
      </c>
      <c r="K104" s="993" t="s">
        <v>820</v>
      </c>
      <c r="L104" s="993"/>
      <c r="M104" s="27" t="s">
        <v>315</v>
      </c>
      <c r="N104" s="244" t="s">
        <v>419</v>
      </c>
      <c r="O104" s="27" t="s">
        <v>420</v>
      </c>
      <c r="P104" s="27" t="s">
        <v>347</v>
      </c>
      <c r="Q104" s="27" t="s">
        <v>408</v>
      </c>
      <c r="R104" s="30" t="s">
        <v>350</v>
      </c>
      <c r="T104" s="47"/>
      <c r="U104" s="14"/>
      <c r="V104" s="97"/>
    </row>
    <row r="105" spans="1:22" ht="18" customHeight="1">
      <c r="A105" s="193"/>
      <c r="F105" s="30" t="s">
        <v>473</v>
      </c>
      <c r="G105" s="27" t="s">
        <v>529</v>
      </c>
      <c r="H105" s="993">
        <f>T101</f>
        <v>1.4</v>
      </c>
      <c r="I105" s="993"/>
      <c r="J105" s="27" t="s">
        <v>315</v>
      </c>
      <c r="K105" s="1111">
        <f>T102</f>
        <v>20</v>
      </c>
      <c r="L105" s="993"/>
      <c r="M105" s="27" t="s">
        <v>315</v>
      </c>
      <c r="N105" s="244" t="s">
        <v>419</v>
      </c>
      <c r="O105" s="27">
        <f>T61</f>
        <v>5</v>
      </c>
      <c r="P105" s="27" t="s">
        <v>347</v>
      </c>
      <c r="Q105" s="211">
        <f>T62</f>
        <v>1.0970224400000002</v>
      </c>
      <c r="R105" s="30" t="s">
        <v>350</v>
      </c>
      <c r="V105" s="97"/>
    </row>
    <row r="106" spans="1:22" ht="18" customHeight="1">
      <c r="A106" s="184"/>
      <c r="F106" s="30" t="s">
        <v>473</v>
      </c>
      <c r="G106" s="27" t="s">
        <v>529</v>
      </c>
      <c r="H106" s="1330">
        <f>H105*K105*(O105+Q105)</f>
        <v>170.71662831999998</v>
      </c>
      <c r="I106" s="1331"/>
      <c r="J106" s="14" t="s">
        <v>872</v>
      </c>
      <c r="V106" s="97"/>
    </row>
    <row r="107" spans="1:22" ht="18" customHeight="1">
      <c r="A107" s="193" t="s">
        <v>873</v>
      </c>
      <c r="O107" s="47"/>
      <c r="P107" s="14"/>
      <c r="Q107" s="14"/>
      <c r="R107" s="14"/>
      <c r="S107" s="120"/>
      <c r="T107" s="18"/>
      <c r="U107" s="18"/>
      <c r="V107" s="97"/>
    </row>
    <row r="108" spans="1:22" ht="18" customHeight="1">
      <c r="A108" s="184"/>
      <c r="V108" s="97"/>
    </row>
    <row r="109" spans="1:22" ht="18" customHeight="1">
      <c r="A109" s="184"/>
      <c r="C109" s="30" t="s">
        <v>473</v>
      </c>
      <c r="D109" s="27" t="s">
        <v>529</v>
      </c>
      <c r="E109" s="805" t="s">
        <v>874</v>
      </c>
      <c r="F109" s="805"/>
      <c r="G109" s="27" t="s">
        <v>315</v>
      </c>
      <c r="H109" s="805" t="s">
        <v>875</v>
      </c>
      <c r="I109" s="805"/>
      <c r="J109" s="28" t="s">
        <v>672</v>
      </c>
      <c r="K109" s="27">
        <v>1</v>
      </c>
      <c r="L109" s="14" t="s">
        <v>347</v>
      </c>
      <c r="M109" s="14" t="s">
        <v>341</v>
      </c>
      <c r="N109" s="14" t="s">
        <v>876</v>
      </c>
      <c r="O109" s="27" t="s">
        <v>420</v>
      </c>
      <c r="P109" s="27" t="s">
        <v>347</v>
      </c>
      <c r="Q109" s="27" t="s">
        <v>408</v>
      </c>
      <c r="R109" s="30" t="s">
        <v>350</v>
      </c>
      <c r="V109" s="185"/>
    </row>
    <row r="110" spans="1:22" ht="18" customHeight="1">
      <c r="A110" s="184"/>
      <c r="C110" s="14" t="s">
        <v>869</v>
      </c>
      <c r="E110" s="27"/>
      <c r="F110" s="218"/>
      <c r="G110" s="204"/>
      <c r="H110" s="14"/>
      <c r="I110" s="14"/>
      <c r="J110" s="14"/>
      <c r="K110" s="14"/>
      <c r="L110" s="120"/>
      <c r="M110" s="120"/>
      <c r="N110" s="14"/>
      <c r="O110" s="14"/>
      <c r="U110" s="14"/>
      <c r="V110" s="185"/>
    </row>
    <row r="111" spans="1:22" ht="18" customHeight="1">
      <c r="A111" s="96"/>
      <c r="B111" s="14"/>
      <c r="D111" s="805" t="s">
        <v>874</v>
      </c>
      <c r="E111" s="993"/>
      <c r="F111" s="218" t="s">
        <v>127</v>
      </c>
      <c r="G111" s="257" t="s">
        <v>877</v>
      </c>
      <c r="H111" s="14"/>
      <c r="I111" s="14"/>
      <c r="J111" s="14"/>
      <c r="K111" s="14"/>
      <c r="L111" s="120"/>
      <c r="M111" s="120"/>
      <c r="N111" s="14"/>
      <c r="O111" s="14"/>
      <c r="S111" s="28" t="s">
        <v>127</v>
      </c>
      <c r="T111" s="47">
        <v>0.6</v>
      </c>
      <c r="U111" s="14"/>
      <c r="V111" s="97"/>
    </row>
    <row r="112" spans="1:22" ht="18" customHeight="1">
      <c r="A112" s="272"/>
      <c r="B112" s="47"/>
      <c r="D112" s="805" t="s">
        <v>875</v>
      </c>
      <c r="E112" s="993"/>
      <c r="F112" s="218" t="s">
        <v>127</v>
      </c>
      <c r="G112" s="257" t="s">
        <v>878</v>
      </c>
      <c r="H112" s="14"/>
      <c r="I112" s="14"/>
      <c r="J112" s="14"/>
      <c r="K112" s="14"/>
      <c r="L112" s="120"/>
      <c r="M112" s="120"/>
      <c r="N112" s="14"/>
      <c r="O112" s="14"/>
      <c r="S112" s="28" t="s">
        <v>127</v>
      </c>
      <c r="T112" s="1188">
        <f>'Parameters &amp; Fault Cal. (4)'!M112/T59</f>
        <v>17.433928965433857</v>
      </c>
      <c r="U112" s="1286"/>
      <c r="V112" s="97" t="s">
        <v>8</v>
      </c>
    </row>
    <row r="113" spans="1:22" ht="18" customHeight="1">
      <c r="A113" s="96"/>
      <c r="B113" s="47"/>
      <c r="C113" s="120"/>
      <c r="S113" s="14"/>
      <c r="T113" s="14"/>
      <c r="U113" s="14"/>
      <c r="V113" s="97"/>
    </row>
    <row r="114" spans="1:22" ht="18" customHeight="1">
      <c r="A114" s="184"/>
      <c r="C114" s="30" t="s">
        <v>473</v>
      </c>
      <c r="D114" s="27" t="s">
        <v>529</v>
      </c>
      <c r="E114" s="805" t="s">
        <v>874</v>
      </c>
      <c r="F114" s="805"/>
      <c r="G114" s="27" t="s">
        <v>315</v>
      </c>
      <c r="H114" s="805" t="s">
        <v>875</v>
      </c>
      <c r="I114" s="805"/>
      <c r="J114" s="28" t="s">
        <v>672</v>
      </c>
      <c r="K114" s="27">
        <v>1</v>
      </c>
      <c r="L114" s="14" t="s">
        <v>347</v>
      </c>
      <c r="M114" s="14" t="s">
        <v>341</v>
      </c>
      <c r="N114" s="14" t="s">
        <v>876</v>
      </c>
      <c r="O114" s="27" t="s">
        <v>420</v>
      </c>
      <c r="P114" s="27" t="s">
        <v>347</v>
      </c>
      <c r="Q114" s="27" t="s">
        <v>408</v>
      </c>
      <c r="R114" s="30" t="s">
        <v>350</v>
      </c>
      <c r="V114" s="97"/>
    </row>
    <row r="115" spans="1:22" ht="18" customHeight="1">
      <c r="A115" s="184"/>
      <c r="C115" s="30" t="s">
        <v>473</v>
      </c>
      <c r="D115" s="27" t="s">
        <v>529</v>
      </c>
      <c r="E115" s="805">
        <f>T111</f>
        <v>0.6</v>
      </c>
      <c r="F115" s="805"/>
      <c r="G115" s="27" t="s">
        <v>315</v>
      </c>
      <c r="H115" s="1184">
        <f>T112</f>
        <v>17.433928965433857</v>
      </c>
      <c r="I115" s="805"/>
      <c r="J115" s="28" t="s">
        <v>672</v>
      </c>
      <c r="K115" s="27">
        <v>1</v>
      </c>
      <c r="L115" s="14" t="s">
        <v>347</v>
      </c>
      <c r="M115" s="28">
        <f>T64</f>
        <v>15</v>
      </c>
      <c r="N115" s="14" t="s">
        <v>876</v>
      </c>
      <c r="O115" s="27">
        <f>T61</f>
        <v>5</v>
      </c>
      <c r="P115" s="27" t="s">
        <v>347</v>
      </c>
      <c r="Q115" s="211">
        <f>T62</f>
        <v>1.0970224400000002</v>
      </c>
      <c r="R115" s="30" t="s">
        <v>350</v>
      </c>
      <c r="V115" s="97"/>
    </row>
    <row r="116" spans="1:22" ht="18" customHeight="1">
      <c r="A116" s="184"/>
      <c r="C116" s="30" t="s">
        <v>473</v>
      </c>
      <c r="D116" s="27" t="s">
        <v>529</v>
      </c>
      <c r="E116" s="1332">
        <f>E115*H115*((K115+M115)*(O115+Q115))</f>
        <v>1020.4325387483156</v>
      </c>
      <c r="F116" s="1333"/>
      <c r="G116" s="14" t="s">
        <v>872</v>
      </c>
      <c r="V116" s="97"/>
    </row>
    <row r="117" spans="1:22" ht="18" customHeight="1">
      <c r="A117" s="524"/>
      <c r="B117" s="249"/>
      <c r="C117" s="249"/>
      <c r="D117" s="249"/>
      <c r="E117" s="249"/>
      <c r="F117" s="249"/>
      <c r="G117" s="14"/>
      <c r="H117" s="14"/>
      <c r="I117" s="14"/>
      <c r="J117" s="14"/>
      <c r="K117" s="14"/>
      <c r="L117" s="14"/>
      <c r="M117" s="120"/>
      <c r="N117" s="102"/>
      <c r="O117" s="47"/>
      <c r="P117" s="14"/>
      <c r="Q117" s="14"/>
      <c r="R117" s="14"/>
      <c r="S117" s="14"/>
      <c r="T117" s="14"/>
      <c r="U117" s="14"/>
      <c r="V117" s="97"/>
    </row>
    <row r="118" spans="1:22" ht="18" customHeight="1">
      <c r="A118" s="96"/>
      <c r="B118" s="459" t="s">
        <v>879</v>
      </c>
      <c r="C118" s="28"/>
      <c r="D118" s="28"/>
      <c r="E118" s="14"/>
      <c r="F118" s="14"/>
      <c r="G118" s="120"/>
      <c r="H118" s="120"/>
      <c r="I118" s="47"/>
      <c r="J118" s="535"/>
      <c r="K118" s="14"/>
      <c r="L118" s="14"/>
      <c r="M118" s="709">
        <f>MAX(F90,H106,E116)</f>
        <v>1020.4325387483156</v>
      </c>
      <c r="N118" s="710"/>
      <c r="O118" s="14" t="s">
        <v>872</v>
      </c>
      <c r="P118" s="14"/>
      <c r="Q118" s="14"/>
      <c r="R118" s="14"/>
      <c r="S118" s="14"/>
      <c r="T118" s="14"/>
      <c r="U118" s="14"/>
      <c r="V118" s="97"/>
    </row>
    <row r="119" spans="1:22" ht="18" customHeight="1">
      <c r="A119" s="193"/>
      <c r="I119" s="14"/>
      <c r="J119" s="14"/>
      <c r="K119" s="14"/>
      <c r="L119" s="47"/>
      <c r="M119" s="47"/>
      <c r="N119" s="47"/>
      <c r="O119" s="47"/>
      <c r="P119" s="28"/>
      <c r="Q119" s="536"/>
      <c r="R119" s="47"/>
      <c r="S119" s="14"/>
      <c r="T119" s="14"/>
      <c r="U119" s="14"/>
      <c r="V119" s="97"/>
    </row>
    <row r="120" spans="1:22" ht="18" customHeight="1">
      <c r="A120" s="184"/>
      <c r="C120" s="30" t="s">
        <v>475</v>
      </c>
      <c r="F120" s="27" t="str">
        <f>IF(D121&gt;G121,"&gt;","&lt;")</f>
        <v>&gt;</v>
      </c>
      <c r="G120" s="30" t="s">
        <v>477</v>
      </c>
      <c r="L120" s="14"/>
      <c r="M120" s="14"/>
      <c r="N120" s="14"/>
      <c r="O120" s="14"/>
      <c r="P120" s="14"/>
      <c r="Q120" s="14"/>
      <c r="R120" s="14"/>
      <c r="S120" s="14"/>
      <c r="T120" s="14"/>
      <c r="U120" s="14"/>
      <c r="V120" s="97"/>
    </row>
    <row r="121" spans="1:22" ht="18" customHeight="1">
      <c r="A121" s="184"/>
      <c r="D121" s="684">
        <f>H13</f>
        <v>3750</v>
      </c>
      <c r="E121" s="684"/>
      <c r="F121" s="27" t="str">
        <f>F120</f>
        <v>&gt;</v>
      </c>
      <c r="G121" s="713">
        <f>M118</f>
        <v>1020.4325387483156</v>
      </c>
      <c r="H121" s="713"/>
      <c r="L121" s="14"/>
      <c r="M121" s="14"/>
      <c r="N121" s="28"/>
      <c r="O121" s="28"/>
      <c r="P121" s="28"/>
      <c r="Q121" s="120"/>
      <c r="R121" s="250"/>
      <c r="S121" s="186"/>
      <c r="T121" s="14"/>
      <c r="U121" s="14"/>
      <c r="V121" s="97"/>
    </row>
    <row r="122" spans="1:22" ht="18" customHeight="1">
      <c r="A122" s="184"/>
      <c r="E122" s="244" t="s">
        <v>478</v>
      </c>
      <c r="G122" s="18" t="str">
        <f>IF(F120="&gt;","Suitably Dimensioned","Under Dimensioned")</f>
        <v>Suitably Dimensioned</v>
      </c>
      <c r="L122" s="14"/>
      <c r="M122" s="14"/>
      <c r="N122" s="28"/>
      <c r="O122" s="257"/>
      <c r="P122" s="14"/>
      <c r="Q122" s="14"/>
      <c r="R122" s="120"/>
      <c r="S122" s="28"/>
      <c r="T122" s="47"/>
      <c r="U122" s="14"/>
      <c r="V122" s="97"/>
    </row>
    <row r="123" spans="1:22" ht="18" customHeight="1">
      <c r="A123" s="193"/>
      <c r="B123" s="14"/>
      <c r="C123" s="27"/>
      <c r="D123" s="218"/>
      <c r="E123" s="204"/>
      <c r="F123" s="14"/>
      <c r="G123" s="14"/>
      <c r="H123" s="14"/>
      <c r="I123" s="14"/>
      <c r="J123" s="120"/>
      <c r="K123" s="120"/>
      <c r="L123" s="14"/>
      <c r="M123" s="14"/>
      <c r="N123" s="28"/>
      <c r="O123" s="257"/>
      <c r="P123" s="14"/>
      <c r="Q123" s="14"/>
      <c r="R123" s="120"/>
      <c r="S123" s="28"/>
      <c r="T123" s="47"/>
      <c r="U123" s="14"/>
      <c r="V123" s="97"/>
    </row>
    <row r="124" spans="1:22" ht="18" customHeight="1">
      <c r="A124" s="508"/>
      <c r="B124" s="195"/>
      <c r="C124" s="307"/>
      <c r="D124" s="509"/>
      <c r="E124" s="518"/>
      <c r="F124" s="195"/>
      <c r="G124" s="195"/>
      <c r="H124" s="195"/>
      <c r="I124" s="195"/>
      <c r="J124" s="224"/>
      <c r="K124" s="224"/>
      <c r="L124" s="195"/>
      <c r="M124" s="195"/>
      <c r="N124" s="182"/>
      <c r="O124" s="559"/>
      <c r="P124" s="195"/>
      <c r="Q124" s="195"/>
      <c r="R124" s="224"/>
      <c r="S124" s="182"/>
      <c r="T124" s="2"/>
      <c r="U124" s="195"/>
      <c r="V124" s="552"/>
    </row>
    <row r="125" spans="1:22" ht="18" customHeight="1">
      <c r="A125" s="193"/>
      <c r="B125" s="14"/>
      <c r="C125" s="27"/>
      <c r="D125" s="218"/>
      <c r="E125" s="204"/>
      <c r="F125" s="14"/>
      <c r="G125" s="14"/>
      <c r="H125" s="14"/>
      <c r="I125" s="14"/>
      <c r="J125" s="120"/>
      <c r="K125" s="120"/>
      <c r="L125" s="14"/>
      <c r="M125" s="14"/>
      <c r="N125" s="28"/>
      <c r="O125" s="257"/>
      <c r="P125" s="14"/>
      <c r="Q125" s="14"/>
      <c r="R125" s="120"/>
      <c r="S125" s="28"/>
      <c r="T125" s="47"/>
      <c r="U125" s="14"/>
      <c r="V125" s="97"/>
    </row>
    <row r="126" spans="1:22" ht="18" customHeight="1">
      <c r="A126" s="262" t="s">
        <v>880</v>
      </c>
      <c r="B126" s="14"/>
      <c r="C126" s="14"/>
      <c r="D126" s="120"/>
      <c r="E126" s="120"/>
      <c r="F126" s="18"/>
      <c r="G126" s="18"/>
      <c r="H126" s="14"/>
      <c r="I126" s="14"/>
      <c r="J126" s="14"/>
      <c r="K126" s="14"/>
      <c r="L126" s="14"/>
      <c r="M126" s="14"/>
      <c r="N126" s="14"/>
      <c r="O126" s="14"/>
      <c r="P126" s="28"/>
      <c r="Q126" s="120"/>
      <c r="R126" s="47"/>
      <c r="S126" s="206"/>
      <c r="T126" s="259"/>
      <c r="U126" s="14"/>
      <c r="V126" s="97"/>
    </row>
    <row r="127" spans="1:22" customFormat="1" ht="54.6" customHeight="1">
      <c r="A127" s="868" t="s">
        <v>85</v>
      </c>
      <c r="B127" s="868"/>
      <c r="C127" s="869"/>
      <c r="D127" s="868" t="s">
        <v>86</v>
      </c>
      <c r="E127" s="868"/>
      <c r="F127" s="868"/>
      <c r="G127" s="868" t="s">
        <v>87</v>
      </c>
      <c r="H127" s="868"/>
      <c r="I127" s="868" t="s">
        <v>88</v>
      </c>
      <c r="J127" s="868"/>
      <c r="K127" s="955" t="s">
        <v>89</v>
      </c>
      <c r="L127" s="957"/>
      <c r="M127" s="955" t="s">
        <v>90</v>
      </c>
      <c r="N127" s="957"/>
      <c r="O127" s="955" t="s">
        <v>91</v>
      </c>
      <c r="P127" s="957"/>
      <c r="Q127" s="955" t="s">
        <v>92</v>
      </c>
      <c r="R127" s="957"/>
      <c r="S127" s="868" t="s">
        <v>93</v>
      </c>
      <c r="T127" s="868"/>
      <c r="U127" s="868"/>
      <c r="V127" s="868"/>
    </row>
    <row r="128" spans="1:22" customFormat="1" ht="18" customHeight="1">
      <c r="A128" s="869" t="str">
        <f>B7</f>
        <v>T1</v>
      </c>
      <c r="B128" s="765" t="str">
        <f>D7</f>
        <v>Core2</v>
      </c>
      <c r="C128" s="765"/>
      <c r="D128" s="870">
        <f>H10</f>
        <v>2500</v>
      </c>
      <c r="E128" s="870"/>
      <c r="F128" s="871">
        <f>O10</f>
        <v>1</v>
      </c>
      <c r="G128" s="870">
        <f>'CT-VT Burdens'!S21</f>
        <v>120</v>
      </c>
      <c r="H128" s="874">
        <f>'CT-VT Burdens'!S10</f>
        <v>6</v>
      </c>
      <c r="I128" s="874" t="str">
        <f>H11</f>
        <v>PX-A</v>
      </c>
      <c r="J128" s="874"/>
      <c r="K128" s="869">
        <f>H12</f>
        <v>5</v>
      </c>
      <c r="L128" s="869"/>
      <c r="M128" s="869">
        <f>H13</f>
        <v>3750</v>
      </c>
      <c r="N128" s="869"/>
      <c r="O128" s="870">
        <f>H14</f>
        <v>60</v>
      </c>
      <c r="P128" s="870"/>
      <c r="Q128" s="879" t="str">
        <f>IF(T8="",T7,IF(T9="",T7&amp;"+"&amp;T8,T7&amp;"+"&amp;T8&amp;"+"&amp;T9))</f>
        <v>P545</v>
      </c>
      <c r="R128" s="879"/>
      <c r="S128" s="878" t="str">
        <f>G93</f>
        <v>Suitably Dimensioned</v>
      </c>
      <c r="T128" s="878"/>
      <c r="U128" s="878"/>
      <c r="V128" s="878"/>
    </row>
    <row r="129" spans="1:22" customFormat="1" ht="18" customHeight="1">
      <c r="A129" s="869"/>
      <c r="B129" s="765"/>
      <c r="C129" s="765"/>
      <c r="D129" s="870" t="str">
        <f>J10</f>
        <v>-</v>
      </c>
      <c r="E129" s="870"/>
      <c r="F129" s="872"/>
      <c r="G129" s="870"/>
      <c r="H129" s="870"/>
      <c r="I129" s="874"/>
      <c r="J129" s="874"/>
      <c r="K129" s="875" t="s">
        <v>6</v>
      </c>
      <c r="L129" s="869"/>
      <c r="M129" s="875" t="s">
        <v>6</v>
      </c>
      <c r="N129" s="869"/>
      <c r="O129" s="876" t="s">
        <v>6</v>
      </c>
      <c r="P129" s="870"/>
      <c r="Q129" s="879"/>
      <c r="R129" s="879"/>
      <c r="S129" s="876" t="s">
        <v>6</v>
      </c>
      <c r="T129" s="870"/>
      <c r="U129" s="870"/>
      <c r="V129" s="870"/>
    </row>
    <row r="130" spans="1:22" customFormat="1" ht="18" customHeight="1">
      <c r="A130" s="869"/>
      <c r="B130" s="765"/>
      <c r="C130" s="765"/>
      <c r="D130" s="870" t="str">
        <f>L10</f>
        <v>-</v>
      </c>
      <c r="E130" s="870"/>
      <c r="F130" s="873"/>
      <c r="G130" s="870"/>
      <c r="H130" s="870"/>
      <c r="I130" s="874"/>
      <c r="J130" s="874"/>
      <c r="K130" s="875" t="s">
        <v>6</v>
      </c>
      <c r="L130" s="869"/>
      <c r="M130" s="875" t="s">
        <v>6</v>
      </c>
      <c r="N130" s="869"/>
      <c r="O130" s="876" t="s">
        <v>6</v>
      </c>
      <c r="P130" s="870"/>
      <c r="Q130" s="879"/>
      <c r="R130" s="879"/>
      <c r="S130" s="876" t="s">
        <v>6</v>
      </c>
      <c r="T130" s="870"/>
      <c r="U130" s="870"/>
      <c r="V130" s="870"/>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82"/>
      <c r="B162" s="20"/>
      <c r="C162" s="20"/>
      <c r="D162" s="20"/>
      <c r="E162" s="20"/>
      <c r="F162" s="20"/>
      <c r="G162" s="20"/>
      <c r="H162" s="20"/>
      <c r="I162" s="20"/>
      <c r="J162" s="20"/>
      <c r="K162" s="20"/>
      <c r="L162" s="20"/>
      <c r="M162" s="20"/>
      <c r="N162" s="20"/>
      <c r="O162" s="20"/>
      <c r="P162" s="20"/>
      <c r="Q162" s="21"/>
      <c r="R162" s="22"/>
      <c r="S162" s="23"/>
      <c r="T162" s="20"/>
      <c r="U162" s="20"/>
      <c r="V162" s="134"/>
    </row>
  </sheetData>
  <dataConsolidate/>
  <mergeCells count="137">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 ref="O129:P129"/>
    <mergeCell ref="A127:C127"/>
    <mergeCell ref="D127:F127"/>
    <mergeCell ref="G127:H127"/>
    <mergeCell ref="I127:J127"/>
    <mergeCell ref="K127:L127"/>
    <mergeCell ref="M127:N127"/>
    <mergeCell ref="E116:F116"/>
    <mergeCell ref="M118:N118"/>
    <mergeCell ref="D121:E121"/>
    <mergeCell ref="G121:H121"/>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I73:J73"/>
    <mergeCell ref="R73:S73"/>
    <mergeCell ref="I74:J74"/>
    <mergeCell ref="E75:F75"/>
    <mergeCell ref="H78:I78"/>
    <mergeCell ref="H79:I79"/>
    <mergeCell ref="T63:U63"/>
    <mergeCell ref="T64:U64"/>
    <mergeCell ref="T65:U65"/>
    <mergeCell ref="B68:C68"/>
    <mergeCell ref="B69:C69"/>
    <mergeCell ref="D70:E70"/>
    <mergeCell ref="I70:J70"/>
    <mergeCell ref="T70:U70"/>
    <mergeCell ref="J55:K55"/>
    <mergeCell ref="T58:U58"/>
    <mergeCell ref="T59:U59"/>
    <mergeCell ref="T60:U60"/>
    <mergeCell ref="T61:U61"/>
    <mergeCell ref="T62:U62"/>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3">
    <cfRule type="cellIs" dxfId="120" priority="1" stopIfTrue="1" operator="equal">
      <formula>"Under Dimentioned"</formula>
    </cfRule>
  </conditionalFormatting>
  <conditionalFormatting sqref="G122">
    <cfRule type="cellIs" dxfId="119" priority="2" stopIfTrue="1" operator="equal">
      <formula>"Under Dimentioned"</formula>
    </cfRule>
  </conditionalFormatting>
  <conditionalFormatting sqref="T66:U66 T70:U70 T80:U80 T107:U107">
    <cfRule type="cellIs" dxfId="118"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zoomScaleNormal="100" zoomScaleSheetLayoutView="100" workbookViewId="0">
      <selection activeCell="T29" sqref="T29"/>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[4]Title!O2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[4]Title!O3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[4]Title!O4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[4]Title!D5</f>
        <v>Checked By</v>
      </c>
      <c r="E5" s="881"/>
      <c r="F5" s="943"/>
      <c r="G5" s="25" t="str">
        <f>[4]Title!G5</f>
        <v>LN</v>
      </c>
      <c r="H5" s="1229" t="s">
        <v>892</v>
      </c>
      <c r="I5" s="1230"/>
      <c r="J5" s="1230"/>
      <c r="K5" s="1230"/>
      <c r="L5" s="1230"/>
      <c r="M5" s="1230"/>
      <c r="N5" s="1231"/>
      <c r="O5" s="947" t="str">
        <f>[4]Title!O5</f>
        <v>Contractor</v>
      </c>
      <c r="P5" s="948"/>
      <c r="Q5" s="949"/>
      <c r="R5" s="775" t="str">
        <f>Title!R5</f>
        <v>HITACHI</v>
      </c>
      <c r="S5" s="1068"/>
      <c r="T5" s="1068"/>
      <c r="U5" s="1068"/>
      <c r="V5" s="776"/>
      <c r="W5" s="14"/>
      <c r="X5" s="14"/>
    </row>
    <row r="6" spans="1:24" ht="18" customHeight="1">
      <c r="A6" s="184"/>
      <c r="V6" s="185"/>
    </row>
    <row r="7" spans="1:24" ht="18" customHeight="1">
      <c r="A7" s="184"/>
      <c r="B7" s="1092" t="s">
        <v>108</v>
      </c>
      <c r="C7" s="1092"/>
      <c r="D7" s="545" t="s">
        <v>109</v>
      </c>
      <c r="E7" s="548"/>
      <c r="F7" s="255"/>
      <c r="H7" s="549"/>
      <c r="I7" s="549"/>
      <c r="J7" s="549"/>
      <c r="K7" s="549"/>
      <c r="L7" s="549"/>
      <c r="M7" s="549"/>
      <c r="P7" s="186"/>
      <c r="S7" s="187" t="s">
        <v>387</v>
      </c>
      <c r="T7" s="1226" t="s">
        <v>893</v>
      </c>
      <c r="U7" s="1227"/>
      <c r="V7" s="185"/>
    </row>
    <row r="8" spans="1:24" ht="18" customHeight="1">
      <c r="A8" s="184"/>
      <c r="B8" s="1228"/>
      <c r="C8" s="1228"/>
      <c r="D8" s="547"/>
      <c r="E8" s="547"/>
      <c r="F8" s="255"/>
      <c r="T8" s="1226" t="s">
        <v>508</v>
      </c>
      <c r="U8" s="1227"/>
      <c r="V8" s="185"/>
    </row>
    <row r="9" spans="1:24" ht="18" customHeight="1">
      <c r="A9" s="184"/>
      <c r="H9" s="789" t="s">
        <v>390</v>
      </c>
      <c r="I9" s="789"/>
      <c r="J9" s="790" t="s">
        <v>391</v>
      </c>
      <c r="K9" s="790"/>
      <c r="L9" s="790" t="s">
        <v>392</v>
      </c>
      <c r="M9" s="790"/>
      <c r="T9" s="1226" t="s">
        <v>894</v>
      </c>
      <c r="U9" s="1227"/>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813</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c r="I13" s="1076"/>
      <c r="J13" s="14" t="s">
        <v>305</v>
      </c>
      <c r="T13" s="295"/>
      <c r="U13" s="18"/>
      <c r="V13" s="185"/>
      <c r="W13" s="30" t="str">
        <f>G61</f>
        <v>Suitably Dimentioned</v>
      </c>
    </row>
    <row r="14" spans="1:24" ht="18" customHeight="1">
      <c r="A14" s="184"/>
      <c r="B14" s="14" t="s">
        <v>401</v>
      </c>
      <c r="G14" s="120" t="s">
        <v>402</v>
      </c>
      <c r="H14" s="1075"/>
      <c r="I14" s="1076"/>
      <c r="J14" s="14" t="s">
        <v>403</v>
      </c>
      <c r="V14" s="185"/>
    </row>
    <row r="15" spans="1:24" ht="18" customHeight="1">
      <c r="A15" s="184"/>
      <c r="V15" s="185"/>
    </row>
    <row r="16" spans="1:24" ht="18" customHeight="1">
      <c r="A16" s="193" t="s">
        <v>404</v>
      </c>
      <c r="V16" s="185"/>
    </row>
    <row r="17" spans="1:23" ht="18" customHeight="1">
      <c r="A17" s="184"/>
      <c r="V17" s="185"/>
    </row>
    <row r="18" spans="1:23" ht="18" customHeight="1">
      <c r="A18" s="184"/>
      <c r="B18" s="135" t="s">
        <v>405</v>
      </c>
      <c r="C18" s="273"/>
      <c r="D18" s="139" t="str">
        <f>T7</f>
        <v>REF650</v>
      </c>
      <c r="E18" s="227"/>
      <c r="F18" s="227"/>
      <c r="G18" s="227"/>
      <c r="H18" s="138"/>
      <c r="I18" s="260" t="s">
        <v>127</v>
      </c>
      <c r="J18" s="1077">
        <f>'CT-VT Burdens'!Q104</f>
        <v>0.02</v>
      </c>
      <c r="K18" s="1078"/>
      <c r="L18" s="3" t="s">
        <v>157</v>
      </c>
      <c r="N18" s="197" t="s">
        <v>510</v>
      </c>
      <c r="V18" s="185"/>
    </row>
    <row r="19" spans="1:23" ht="18" customHeight="1">
      <c r="A19" s="184"/>
      <c r="B19" s="96" t="s">
        <v>405</v>
      </c>
      <c r="D19" s="296" t="str">
        <f>T8</f>
        <v>REC670</v>
      </c>
      <c r="I19" s="177" t="s">
        <v>127</v>
      </c>
      <c r="J19" s="1232">
        <f>'CT-VT Burdens'!Q104</f>
        <v>0.02</v>
      </c>
      <c r="K19" s="1233"/>
      <c r="L19" s="198" t="s">
        <v>157</v>
      </c>
      <c r="P19" s="244"/>
      <c r="V19" s="185"/>
    </row>
    <row r="20" spans="1:23" ht="18" customHeight="1">
      <c r="A20" s="184"/>
      <c r="B20" s="96" t="s">
        <v>405</v>
      </c>
      <c r="C20" s="14"/>
      <c r="D20" s="47" t="str">
        <f>T9</f>
        <v>IDM+9</v>
      </c>
      <c r="E20" s="14"/>
      <c r="G20" s="199"/>
      <c r="H20" s="27"/>
      <c r="I20" s="101" t="s">
        <v>127</v>
      </c>
      <c r="J20" s="1220">
        <f>'CT-VT Burdens'!Q149</f>
        <v>5.8000000000000003E-2</v>
      </c>
      <c r="K20" s="1221"/>
      <c r="L20" s="202" t="s">
        <v>157</v>
      </c>
      <c r="N20" s="120" t="s">
        <v>491</v>
      </c>
      <c r="O20" s="27" t="s">
        <v>127</v>
      </c>
      <c r="P20" s="27" t="s">
        <v>511</v>
      </c>
      <c r="Q20" s="27" t="s">
        <v>315</v>
      </c>
      <c r="R20" s="27" t="s">
        <v>511</v>
      </c>
      <c r="S20" s="27" t="s">
        <v>315</v>
      </c>
      <c r="T20" s="27" t="s">
        <v>420</v>
      </c>
      <c r="V20" s="185"/>
    </row>
    <row r="21" spans="1:23" ht="18" customHeight="1">
      <c r="A21" s="184"/>
      <c r="B21" s="184" t="s">
        <v>412</v>
      </c>
      <c r="C21" s="14"/>
      <c r="D21" s="14"/>
      <c r="E21" s="14"/>
      <c r="H21" s="27"/>
      <c r="I21" s="101" t="s">
        <v>127</v>
      </c>
      <c r="J21" s="1081">
        <f>'CT-VT Burdens'!S24</f>
        <v>1.0770224400000001</v>
      </c>
      <c r="K21" s="1082"/>
      <c r="L21" s="297" t="s">
        <v>157</v>
      </c>
      <c r="O21" s="27" t="s">
        <v>127</v>
      </c>
      <c r="P21" s="27">
        <f>O10</f>
        <v>1</v>
      </c>
      <c r="Q21" s="27" t="s">
        <v>315</v>
      </c>
      <c r="R21" s="27">
        <f>O10</f>
        <v>1</v>
      </c>
      <c r="S21" s="27" t="s">
        <v>315</v>
      </c>
      <c r="T21" s="27">
        <f>H12</f>
        <v>5</v>
      </c>
      <c r="V21" s="185"/>
    </row>
    <row r="22" spans="1:23" ht="18" customHeight="1">
      <c r="A22" s="184"/>
      <c r="B22" s="1" t="s">
        <v>413</v>
      </c>
      <c r="C22" s="2"/>
      <c r="D22" s="2"/>
      <c r="E22" s="2"/>
      <c r="F22" s="196"/>
      <c r="G22" s="196"/>
      <c r="H22" s="224" t="s">
        <v>512</v>
      </c>
      <c r="I22" s="183" t="s">
        <v>127</v>
      </c>
      <c r="J22" s="722">
        <f>SUM(J18:J21)</f>
        <v>1.1750224400000002</v>
      </c>
      <c r="K22" s="958"/>
      <c r="L22" s="3" t="s">
        <v>157</v>
      </c>
      <c r="O22" s="27" t="s">
        <v>127</v>
      </c>
      <c r="P22" s="795">
        <f>P21*R21*T21</f>
        <v>5</v>
      </c>
      <c r="Q22" s="684"/>
      <c r="R22" s="27" t="s">
        <v>157</v>
      </c>
      <c r="S22" s="27"/>
      <c r="T22" s="27"/>
      <c r="V22" s="185"/>
    </row>
    <row r="23" spans="1:23" ht="18" customHeight="1">
      <c r="A23" s="184"/>
      <c r="B23" s="47"/>
      <c r="C23" s="47"/>
      <c r="D23" s="47"/>
      <c r="E23" s="47"/>
      <c r="H23" s="27"/>
      <c r="I23" s="28"/>
      <c r="J23" s="199"/>
      <c r="L23" s="47"/>
      <c r="O23" s="27"/>
      <c r="P23" s="211"/>
      <c r="Q23" s="27"/>
      <c r="R23" s="204"/>
      <c r="S23" s="27"/>
      <c r="V23" s="185"/>
    </row>
    <row r="24" spans="1:23"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c r="W24" s="30" t="s">
        <v>536</v>
      </c>
    </row>
    <row r="25" spans="1:23"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3" ht="18" customHeight="1">
      <c r="A26" s="184"/>
      <c r="Q26" s="211"/>
      <c r="R26" s="192"/>
      <c r="V26" s="185"/>
    </row>
    <row r="27" spans="1:23" ht="18" customHeight="1">
      <c r="A27" s="184"/>
      <c r="C27" s="28" t="s">
        <v>473</v>
      </c>
      <c r="D27" s="28" t="s">
        <v>127</v>
      </c>
      <c r="E27" s="28" t="s">
        <v>537</v>
      </c>
      <c r="F27" s="120" t="s">
        <v>493</v>
      </c>
      <c r="G27" s="28" t="s">
        <v>347</v>
      </c>
      <c r="H27" s="120" t="s">
        <v>491</v>
      </c>
      <c r="I27" s="28" t="s">
        <v>538</v>
      </c>
      <c r="J27" s="28" t="s">
        <v>495</v>
      </c>
      <c r="K27" s="28" t="s">
        <v>539</v>
      </c>
      <c r="L27" s="28" t="s">
        <v>511</v>
      </c>
      <c r="M27" s="28" t="s">
        <v>315</v>
      </c>
      <c r="N27" s="28">
        <v>1.3</v>
      </c>
      <c r="O27" s="47" t="s">
        <v>350</v>
      </c>
      <c r="V27" s="185"/>
    </row>
    <row r="28" spans="1:23" ht="18" customHeight="1">
      <c r="A28" s="184" t="s">
        <v>540</v>
      </c>
      <c r="C28" s="28"/>
      <c r="D28" s="28"/>
      <c r="E28" s="14"/>
      <c r="F28" s="14"/>
      <c r="G28" s="14"/>
      <c r="H28" s="14"/>
      <c r="I28" s="14"/>
      <c r="J28" s="14"/>
      <c r="K28" s="14"/>
      <c r="L28" s="14"/>
      <c r="M28" s="14"/>
      <c r="N28" s="14"/>
      <c r="O28" s="14"/>
      <c r="V28" s="185"/>
    </row>
    <row r="29" spans="1:23" ht="18" customHeight="1">
      <c r="A29" s="184"/>
      <c r="C29" s="28" t="s">
        <v>493</v>
      </c>
      <c r="D29" s="28" t="s">
        <v>127</v>
      </c>
      <c r="E29" s="28" t="s">
        <v>537</v>
      </c>
      <c r="F29" s="28">
        <v>1.3</v>
      </c>
      <c r="G29" s="28" t="s">
        <v>315</v>
      </c>
      <c r="H29" s="689" t="s">
        <v>473</v>
      </c>
      <c r="I29" s="716"/>
      <c r="J29" s="28" t="s">
        <v>315</v>
      </c>
      <c r="K29" s="28" t="s">
        <v>511</v>
      </c>
      <c r="L29" s="28" t="s">
        <v>541</v>
      </c>
      <c r="M29" s="28" t="s">
        <v>495</v>
      </c>
      <c r="N29" s="47" t="s">
        <v>542</v>
      </c>
      <c r="O29" s="120" t="s">
        <v>491</v>
      </c>
      <c r="V29" s="185"/>
    </row>
    <row r="30" spans="1:23" ht="18" customHeight="1">
      <c r="A30" s="184"/>
      <c r="V30" s="185"/>
    </row>
    <row r="31" spans="1:23" ht="18" customHeight="1">
      <c r="A31" s="168"/>
      <c r="B31" s="5"/>
      <c r="C31" s="47" t="s">
        <v>543</v>
      </c>
      <c r="D31" s="14"/>
      <c r="E31" s="14"/>
      <c r="F31" s="14"/>
      <c r="G31" s="14"/>
      <c r="H31" s="279"/>
      <c r="I31" s="120"/>
      <c r="J31" s="279"/>
      <c r="K31" s="279"/>
      <c r="L31" s="14"/>
      <c r="M31" s="14"/>
      <c r="N31" s="14"/>
      <c r="O31" s="14"/>
      <c r="P31" s="14"/>
      <c r="Q31" s="120" t="s">
        <v>544</v>
      </c>
      <c r="R31" s="102" t="s">
        <v>127</v>
      </c>
      <c r="S31" s="689">
        <f>'Parameters &amp; Fault Cal. (4)'!Q32</f>
        <v>50000</v>
      </c>
      <c r="T31" s="689"/>
      <c r="U31" s="47" t="s">
        <v>8</v>
      </c>
      <c r="V31" s="185"/>
    </row>
    <row r="32" spans="1:23" ht="18" customHeight="1">
      <c r="A32" s="168"/>
      <c r="B32" s="5"/>
      <c r="C32" s="47" t="s">
        <v>545</v>
      </c>
      <c r="D32" s="14"/>
      <c r="E32" s="14"/>
      <c r="F32" s="18"/>
      <c r="G32" s="18"/>
      <c r="H32" s="279"/>
      <c r="I32" s="120"/>
      <c r="J32" s="279"/>
      <c r="K32" s="279"/>
      <c r="L32" s="14"/>
      <c r="M32" s="14"/>
      <c r="N32" s="14"/>
      <c r="O32" s="14"/>
      <c r="P32" s="14"/>
      <c r="Q32" s="120" t="s">
        <v>423</v>
      </c>
      <c r="R32" s="102" t="s">
        <v>127</v>
      </c>
      <c r="S32" s="689">
        <f>H10</f>
        <v>2500</v>
      </c>
      <c r="T32" s="689"/>
      <c r="U32" s="14" t="s">
        <v>8</v>
      </c>
      <c r="V32" s="185"/>
    </row>
    <row r="33" spans="1:25" ht="18" customHeight="1">
      <c r="A33" s="168"/>
      <c r="B33" s="5"/>
      <c r="C33" s="47" t="s">
        <v>546</v>
      </c>
      <c r="D33" s="14"/>
      <c r="E33" s="14"/>
      <c r="F33" s="18"/>
      <c r="G33" s="18"/>
      <c r="H33" s="279"/>
      <c r="I33" s="120"/>
      <c r="J33" s="279"/>
      <c r="K33" s="279"/>
      <c r="L33" s="14"/>
      <c r="M33" s="14"/>
      <c r="N33" s="14"/>
      <c r="O33" s="14"/>
      <c r="P33" s="14"/>
      <c r="Q33" s="120" t="s">
        <v>473</v>
      </c>
      <c r="R33" s="102" t="s">
        <v>127</v>
      </c>
      <c r="S33" s="689">
        <f>H13</f>
        <v>0</v>
      </c>
      <c r="T33" s="689"/>
      <c r="U33" s="14" t="s">
        <v>305</v>
      </c>
      <c r="V33" s="185"/>
    </row>
    <row r="34" spans="1:25" ht="18" customHeight="1">
      <c r="A34" s="168"/>
      <c r="B34" s="5"/>
      <c r="C34" s="47" t="s">
        <v>547</v>
      </c>
      <c r="D34" s="14"/>
      <c r="E34" s="14"/>
      <c r="F34" s="18"/>
      <c r="G34" s="18"/>
      <c r="H34" s="279"/>
      <c r="I34" s="120"/>
      <c r="J34" s="279"/>
      <c r="K34" s="279"/>
      <c r="L34" s="14"/>
      <c r="M34" s="14"/>
      <c r="N34" s="14"/>
      <c r="O34" s="14"/>
      <c r="P34" s="14"/>
      <c r="Q34" s="120" t="s">
        <v>491</v>
      </c>
      <c r="R34" s="102" t="s">
        <v>127</v>
      </c>
      <c r="S34" s="692">
        <f>P22</f>
        <v>5</v>
      </c>
      <c r="T34" s="689"/>
      <c r="U34" s="14" t="s">
        <v>157</v>
      </c>
      <c r="V34" s="185"/>
      <c r="W34" s="279"/>
      <c r="X34" s="279"/>
      <c r="Y34" s="279"/>
    </row>
    <row r="35" spans="1:25" ht="18" customHeight="1">
      <c r="A35" s="168"/>
      <c r="B35" s="5"/>
      <c r="C35" s="47" t="s">
        <v>548</v>
      </c>
      <c r="D35" s="14"/>
      <c r="E35" s="14"/>
      <c r="F35" s="18"/>
      <c r="G35" s="18"/>
      <c r="H35" s="279"/>
      <c r="I35" s="120"/>
      <c r="J35" s="279"/>
      <c r="K35" s="279"/>
      <c r="L35" s="14"/>
      <c r="M35" s="14"/>
      <c r="N35" s="14"/>
      <c r="O35" s="14"/>
      <c r="P35" s="14"/>
      <c r="Q35" s="120" t="s">
        <v>512</v>
      </c>
      <c r="R35" s="102" t="s">
        <v>127</v>
      </c>
      <c r="S35" s="692">
        <f>J22</f>
        <v>1.1750224400000002</v>
      </c>
      <c r="T35" s="689"/>
      <c r="U35" s="14" t="s">
        <v>157</v>
      </c>
      <c r="V35" s="185"/>
      <c r="X35" s="279"/>
      <c r="Y35" s="279"/>
    </row>
    <row r="36" spans="1:25" ht="18" customHeight="1">
      <c r="A36" s="168"/>
      <c r="B36" s="5"/>
      <c r="C36" s="47" t="s">
        <v>549</v>
      </c>
      <c r="D36" s="14"/>
      <c r="E36" s="14"/>
      <c r="F36" s="14"/>
      <c r="G36" s="14"/>
      <c r="H36" s="279"/>
      <c r="I36" s="120"/>
      <c r="J36" s="279"/>
      <c r="K36" s="279"/>
      <c r="L36" s="14"/>
      <c r="M36" s="14"/>
      <c r="N36" s="14"/>
      <c r="O36" s="14"/>
      <c r="P36" s="14"/>
      <c r="Q36" s="120" t="s">
        <v>511</v>
      </c>
      <c r="R36" s="102" t="s">
        <v>127</v>
      </c>
      <c r="S36" s="689">
        <f>O10</f>
        <v>1</v>
      </c>
      <c r="T36" s="689"/>
      <c r="U36" s="14" t="s">
        <v>8</v>
      </c>
      <c r="V36" s="185"/>
      <c r="X36" s="279"/>
      <c r="Y36" s="279"/>
    </row>
    <row r="37" spans="1:25" ht="18" customHeight="1">
      <c r="A37" s="168"/>
      <c r="B37" s="5"/>
      <c r="C37" s="47" t="s">
        <v>550</v>
      </c>
      <c r="D37" s="14"/>
      <c r="E37" s="14"/>
      <c r="F37" s="14"/>
      <c r="G37" s="14"/>
      <c r="H37" s="279"/>
      <c r="I37" s="120"/>
      <c r="J37" s="279"/>
      <c r="K37" s="279"/>
      <c r="L37" s="14"/>
      <c r="M37" s="14"/>
      <c r="N37" s="14"/>
      <c r="O37" s="14"/>
      <c r="P37" s="14"/>
      <c r="Q37" s="120" t="s">
        <v>495</v>
      </c>
      <c r="R37" s="102" t="s">
        <v>127</v>
      </c>
      <c r="S37" s="689">
        <v>20</v>
      </c>
      <c r="T37" s="689"/>
      <c r="U37" s="47"/>
      <c r="V37" s="185"/>
    </row>
    <row r="38" spans="1:25" ht="18" customHeight="1">
      <c r="A38" s="299"/>
      <c r="B38" s="279"/>
      <c r="C38" s="47" t="s">
        <v>492</v>
      </c>
      <c r="D38" s="14"/>
      <c r="E38" s="14"/>
      <c r="F38" s="14"/>
      <c r="G38" s="14"/>
      <c r="H38" s="279"/>
      <c r="I38" s="120"/>
      <c r="J38" s="279"/>
      <c r="K38" s="279"/>
      <c r="L38" s="14"/>
      <c r="M38" s="14"/>
      <c r="N38" s="279"/>
      <c r="O38" s="279"/>
      <c r="P38" s="14"/>
      <c r="Q38" s="120" t="s">
        <v>493</v>
      </c>
      <c r="R38" s="27" t="s">
        <v>127</v>
      </c>
      <c r="S38" s="684">
        <v>30</v>
      </c>
      <c r="T38" s="684"/>
      <c r="U38" s="279"/>
      <c r="V38" s="300"/>
      <c r="W38" s="279"/>
      <c r="X38" s="279"/>
      <c r="Y38" s="279"/>
    </row>
    <row r="39" spans="1:25" ht="18" customHeight="1">
      <c r="A39" s="184"/>
      <c r="V39" s="185"/>
    </row>
    <row r="40" spans="1:25" ht="18" hidden="1" customHeight="1">
      <c r="A40" s="184"/>
      <c r="C40" s="120" t="s">
        <v>493</v>
      </c>
      <c r="D40" s="28" t="s">
        <v>127</v>
      </c>
      <c r="E40" s="28" t="s">
        <v>537</v>
      </c>
      <c r="F40" s="221">
        <v>1.3</v>
      </c>
      <c r="G40" s="221" t="s">
        <v>315</v>
      </c>
      <c r="H40" s="805" t="s">
        <v>473</v>
      </c>
      <c r="I40" s="815"/>
      <c r="J40" s="221" t="s">
        <v>315</v>
      </c>
      <c r="K40" s="221" t="s">
        <v>511</v>
      </c>
      <c r="L40" s="221" t="s">
        <v>541</v>
      </c>
      <c r="M40" s="221" t="s">
        <v>495</v>
      </c>
      <c r="N40" s="527" t="s">
        <v>542</v>
      </c>
      <c r="O40" s="542" t="s">
        <v>491</v>
      </c>
      <c r="V40" s="185"/>
    </row>
    <row r="41" spans="1:25" ht="18" hidden="1" customHeight="1">
      <c r="A41" s="184"/>
      <c r="C41" s="120"/>
      <c r="D41" s="27" t="s">
        <v>127</v>
      </c>
      <c r="E41" s="27" t="s">
        <v>537</v>
      </c>
      <c r="F41" s="245">
        <v>1.3</v>
      </c>
      <c r="G41" s="245" t="s">
        <v>315</v>
      </c>
      <c r="H41" s="993">
        <f>S33</f>
        <v>0</v>
      </c>
      <c r="I41" s="1234"/>
      <c r="J41" s="245" t="s">
        <v>315</v>
      </c>
      <c r="K41" s="245">
        <f>S36</f>
        <v>1</v>
      </c>
      <c r="L41" s="245" t="s">
        <v>541</v>
      </c>
      <c r="M41" s="245">
        <f>S37</f>
        <v>20</v>
      </c>
      <c r="N41" s="461" t="s">
        <v>542</v>
      </c>
      <c r="O41" s="502">
        <f>S34</f>
        <v>5</v>
      </c>
      <c r="V41" s="185"/>
    </row>
    <row r="42" spans="1:25" ht="18" hidden="1" customHeight="1">
      <c r="A42" s="184"/>
      <c r="D42" s="27" t="s">
        <v>127</v>
      </c>
      <c r="E42" s="684">
        <f>((F41*H41)/(K41*M41))-O41</f>
        <v>-5</v>
      </c>
      <c r="F42" s="684"/>
      <c r="G42" s="27" t="s">
        <v>157</v>
      </c>
      <c r="V42" s="185"/>
    </row>
    <row r="43" spans="1:25" ht="18" customHeight="1">
      <c r="A43" s="184"/>
      <c r="D43" s="27"/>
      <c r="E43" s="27"/>
      <c r="F43" s="27"/>
      <c r="G43" s="27"/>
      <c r="V43" s="185"/>
    </row>
    <row r="44" spans="1:25" ht="18" customHeight="1">
      <c r="A44" s="184"/>
      <c r="D44" s="27"/>
      <c r="E44" s="27"/>
      <c r="F44" s="27"/>
      <c r="G44" s="27"/>
      <c r="V44" s="185"/>
    </row>
    <row r="45" spans="1:25" ht="18" customHeight="1">
      <c r="A45" s="184"/>
      <c r="D45" s="27"/>
      <c r="E45" s="27"/>
      <c r="F45" s="27"/>
      <c r="G45" s="27"/>
      <c r="V45" s="185"/>
    </row>
    <row r="46" spans="1:25" ht="18" customHeight="1">
      <c r="A46" s="184"/>
      <c r="D46" s="27"/>
      <c r="E46" s="27"/>
      <c r="F46" s="27"/>
      <c r="G46" s="27"/>
      <c r="V46" s="185"/>
    </row>
    <row r="47" spans="1:25" ht="18" customHeight="1">
      <c r="A47" s="184"/>
      <c r="D47" s="27"/>
      <c r="E47" s="27"/>
      <c r="F47" s="27"/>
      <c r="G47" s="27"/>
      <c r="V47" s="185"/>
    </row>
    <row r="48" spans="1:25" ht="18" customHeight="1">
      <c r="A48" s="184"/>
      <c r="V48" s="185"/>
    </row>
    <row r="49" spans="1:22" s="14" customFormat="1" ht="18" customHeight="1">
      <c r="A49" s="194"/>
      <c r="B49" s="195"/>
      <c r="C49" s="195"/>
      <c r="D49" s="195"/>
      <c r="E49" s="195"/>
      <c r="F49" s="195"/>
      <c r="G49" s="195"/>
      <c r="H49" s="195"/>
      <c r="I49" s="195"/>
      <c r="J49" s="195"/>
      <c r="K49" s="195"/>
      <c r="L49" s="195"/>
      <c r="M49" s="195"/>
      <c r="N49" s="195"/>
      <c r="O49" s="195"/>
      <c r="P49" s="195"/>
      <c r="Q49" s="224"/>
      <c r="R49" s="182"/>
      <c r="S49" s="225"/>
      <c r="T49" s="195"/>
      <c r="U49" s="195"/>
      <c r="V49" s="134"/>
    </row>
    <row r="50" spans="1:22" ht="18" customHeight="1">
      <c r="A50" s="226"/>
      <c r="B50" s="227"/>
      <c r="C50" s="227"/>
      <c r="D50" s="227"/>
      <c r="E50" s="227"/>
      <c r="F50" s="227"/>
      <c r="G50" s="227"/>
      <c r="H50" s="227"/>
      <c r="I50" s="227"/>
      <c r="J50" s="227"/>
      <c r="K50" s="227"/>
      <c r="L50" s="227"/>
      <c r="M50" s="227"/>
      <c r="N50" s="227"/>
      <c r="O50" s="227"/>
      <c r="P50" s="227"/>
      <c r="Q50" s="227"/>
      <c r="R50" s="227"/>
      <c r="S50" s="227"/>
      <c r="T50" s="227"/>
      <c r="U50" s="227"/>
      <c r="V50" s="228"/>
    </row>
    <row r="51" spans="1:22" ht="18" customHeight="1">
      <c r="A51" s="184"/>
      <c r="E51" s="244" t="s">
        <v>111</v>
      </c>
      <c r="F51" s="27" t="s">
        <v>127</v>
      </c>
      <c r="G51" s="689" t="s">
        <v>544</v>
      </c>
      <c r="H51" s="689"/>
      <c r="I51" s="191" t="s">
        <v>342</v>
      </c>
      <c r="J51" s="684" t="s">
        <v>423</v>
      </c>
      <c r="K51" s="684"/>
      <c r="V51" s="185"/>
    </row>
    <row r="52" spans="1:22" ht="18" customHeight="1">
      <c r="A52" s="184"/>
      <c r="F52" s="27" t="s">
        <v>127</v>
      </c>
      <c r="G52" s="684">
        <f>S31</f>
        <v>50000</v>
      </c>
      <c r="H52" s="684"/>
      <c r="I52" s="191" t="s">
        <v>342</v>
      </c>
      <c r="J52" s="684">
        <f>S32</f>
        <v>2500</v>
      </c>
      <c r="K52" s="684"/>
      <c r="V52" s="185"/>
    </row>
    <row r="53" spans="1:22" ht="18" customHeight="1">
      <c r="A53" s="184"/>
      <c r="F53" s="27" t="s">
        <v>127</v>
      </c>
      <c r="G53" s="795">
        <f>G52/J52</f>
        <v>20</v>
      </c>
      <c r="H53" s="795"/>
      <c r="I53" s="27"/>
      <c r="J53" s="27"/>
      <c r="K53" s="27"/>
      <c r="V53" s="185"/>
    </row>
    <row r="54" spans="1:22" ht="18" customHeight="1">
      <c r="A54" s="184"/>
      <c r="V54" s="185"/>
    </row>
    <row r="55" spans="1:22" ht="17.399999999999999" customHeight="1">
      <c r="A55" s="184"/>
      <c r="E55" s="244" t="s">
        <v>553</v>
      </c>
      <c r="F55" s="27" t="s">
        <v>127</v>
      </c>
      <c r="G55" s="221" t="s">
        <v>495</v>
      </c>
      <c r="H55" s="221" t="s">
        <v>554</v>
      </c>
      <c r="I55" s="542" t="s">
        <v>491</v>
      </c>
      <c r="J55" s="221" t="s">
        <v>347</v>
      </c>
      <c r="K55" s="542" t="s">
        <v>493</v>
      </c>
      <c r="L55" s="221" t="s">
        <v>539</v>
      </c>
      <c r="M55" s="542" t="s">
        <v>491</v>
      </c>
      <c r="N55" s="221" t="s">
        <v>347</v>
      </c>
      <c r="O55" s="542" t="s">
        <v>512</v>
      </c>
      <c r="P55" s="28" t="s">
        <v>350</v>
      </c>
      <c r="V55" s="185"/>
    </row>
    <row r="56" spans="1:22" ht="18" customHeight="1">
      <c r="A56" s="184"/>
      <c r="F56" s="27" t="s">
        <v>127</v>
      </c>
      <c r="G56" s="242">
        <f>S37</f>
        <v>20</v>
      </c>
      <c r="H56" s="245" t="s">
        <v>554</v>
      </c>
      <c r="I56" s="301">
        <f>S34</f>
        <v>5</v>
      </c>
      <c r="J56" s="245" t="s">
        <v>347</v>
      </c>
      <c r="K56" s="301">
        <f>S38</f>
        <v>30</v>
      </c>
      <c r="L56" s="245" t="s">
        <v>539</v>
      </c>
      <c r="M56" s="301">
        <f>S34</f>
        <v>5</v>
      </c>
      <c r="N56" s="245" t="s">
        <v>347</v>
      </c>
      <c r="O56" s="301">
        <f>S35</f>
        <v>1.1750224400000002</v>
      </c>
      <c r="P56" s="27" t="s">
        <v>350</v>
      </c>
      <c r="V56" s="185"/>
    </row>
    <row r="57" spans="1:22" ht="18" customHeight="1">
      <c r="A57" s="184"/>
      <c r="F57" s="27" t="s">
        <v>127</v>
      </c>
      <c r="G57" s="1111">
        <f>G56*((I56+K56)/(M56+O56))</f>
        <v>113.35991193580182</v>
      </c>
      <c r="H57" s="1111"/>
      <c r="I57" s="242"/>
      <c r="J57" s="242"/>
      <c r="K57" s="242"/>
      <c r="L57" s="242"/>
      <c r="M57" s="242"/>
      <c r="N57" s="242"/>
      <c r="O57" s="242"/>
      <c r="V57" s="185"/>
    </row>
    <row r="58" spans="1:22" ht="18" customHeight="1">
      <c r="A58" s="184"/>
      <c r="V58" s="185"/>
    </row>
    <row r="59" spans="1:22" ht="18" customHeight="1">
      <c r="A59" s="184"/>
      <c r="E59" s="244" t="s">
        <v>555</v>
      </c>
      <c r="F59" s="27" t="str">
        <f>IF(D60&gt;G60,"&gt;","&lt;")</f>
        <v>&gt;</v>
      </c>
      <c r="G59" s="296" t="s">
        <v>111</v>
      </c>
      <c r="V59" s="185"/>
    </row>
    <row r="60" spans="1:22" ht="18" customHeight="1">
      <c r="A60" s="184"/>
      <c r="D60" s="795">
        <f>G57</f>
        <v>113.35991193580182</v>
      </c>
      <c r="E60" s="795"/>
      <c r="F60" s="27" t="str">
        <f>F59</f>
        <v>&gt;</v>
      </c>
      <c r="G60" s="795">
        <f>G53</f>
        <v>20</v>
      </c>
      <c r="H60" s="795"/>
      <c r="V60" s="185"/>
    </row>
    <row r="61" spans="1:22" ht="18" customHeight="1">
      <c r="A61" s="184"/>
      <c r="E61" s="244" t="s">
        <v>478</v>
      </c>
      <c r="G61" s="18" t="str">
        <f>IF(F59="&gt;","Suitably Dimentioned","Under Dimentioned")</f>
        <v>Suitably Dimentioned</v>
      </c>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184"/>
      <c r="V86" s="185"/>
    </row>
    <row r="87" spans="1:22" ht="18" customHeight="1">
      <c r="A87" s="184"/>
      <c r="V87" s="185"/>
    </row>
    <row r="88" spans="1:22" ht="18" customHeight="1">
      <c r="A88" s="184"/>
      <c r="V88" s="185"/>
    </row>
    <row r="89" spans="1:22" ht="18" customHeight="1">
      <c r="A89" s="184"/>
      <c r="V89" s="185"/>
    </row>
    <row r="90" spans="1:22" s="14" customFormat="1" ht="18" customHeight="1">
      <c r="A90" s="194"/>
      <c r="B90" s="195"/>
      <c r="C90" s="195"/>
      <c r="D90" s="195"/>
      <c r="E90" s="195"/>
      <c r="F90" s="195"/>
      <c r="G90" s="195"/>
      <c r="H90" s="195"/>
      <c r="I90" s="195"/>
      <c r="J90" s="195"/>
      <c r="K90" s="195"/>
      <c r="L90" s="195"/>
      <c r="M90" s="195"/>
      <c r="N90" s="195"/>
      <c r="O90" s="195"/>
      <c r="P90" s="195"/>
      <c r="Q90" s="224"/>
      <c r="R90" s="182"/>
      <c r="S90" s="225"/>
      <c r="T90" s="195"/>
      <c r="U90" s="195"/>
      <c r="V90" s="134"/>
    </row>
    <row r="91" spans="1:22" ht="18" hidden="1" customHeight="1">
      <c r="A91" s="226"/>
      <c r="B91" s="227"/>
      <c r="C91" s="227"/>
      <c r="D91" s="227"/>
      <c r="E91" s="227"/>
      <c r="F91" s="227"/>
      <c r="G91" s="227"/>
      <c r="H91" s="227"/>
      <c r="I91" s="227"/>
      <c r="J91" s="227"/>
      <c r="K91" s="227"/>
      <c r="L91" s="227"/>
      <c r="M91" s="227"/>
      <c r="N91" s="227"/>
      <c r="O91" s="227"/>
      <c r="P91" s="227"/>
      <c r="Q91" s="227"/>
      <c r="R91" s="227"/>
      <c r="S91" s="227"/>
      <c r="T91" s="227"/>
      <c r="U91" s="227"/>
      <c r="V91" s="228"/>
    </row>
    <row r="92" spans="1:22" ht="18" hidden="1" customHeight="1">
      <c r="A92" s="184"/>
      <c r="B92" s="854" t="str">
        <f>B7</f>
        <v>T1</v>
      </c>
      <c r="C92" s="831"/>
      <c r="D92" s="855" t="str">
        <f>D7</f>
        <v>Core3</v>
      </c>
      <c r="E92" s="856"/>
      <c r="F92" s="255"/>
      <c r="H92" s="684">
        <f>H7</f>
        <v>0</v>
      </c>
      <c r="I92" s="684"/>
      <c r="J92" s="684"/>
      <c r="K92" s="684"/>
      <c r="L92" s="684"/>
      <c r="M92" s="684"/>
      <c r="P92" s="186"/>
      <c r="S92" s="187" t="s">
        <v>387</v>
      </c>
      <c r="T92" s="1123" t="str">
        <f>T7</f>
        <v>REF650</v>
      </c>
      <c r="U92" s="1124"/>
      <c r="V92" s="185"/>
    </row>
    <row r="93" spans="1:22" ht="18" hidden="1" customHeight="1">
      <c r="A93" s="184"/>
      <c r="B93" s="853">
        <f>B8</f>
        <v>0</v>
      </c>
      <c r="C93" s="853"/>
      <c r="D93" s="857"/>
      <c r="E93" s="858"/>
      <c r="F93" s="255"/>
      <c r="T93" s="1123" t="str">
        <f>T8</f>
        <v>REC670</v>
      </c>
      <c r="U93" s="1124"/>
      <c r="V93" s="185"/>
    </row>
    <row r="94" spans="1:22" ht="18" hidden="1" customHeight="1">
      <c r="A94" s="184"/>
      <c r="H94" s="708" t="s">
        <v>390</v>
      </c>
      <c r="I94" s="708"/>
      <c r="J94" s="789" t="s">
        <v>391</v>
      </c>
      <c r="K94" s="789"/>
      <c r="L94" s="790" t="s">
        <v>392</v>
      </c>
      <c r="M94" s="790"/>
      <c r="T94" s="1123" t="str">
        <f>T9</f>
        <v>IDM+9</v>
      </c>
      <c r="U94" s="1124"/>
      <c r="V94" s="185"/>
    </row>
    <row r="95" spans="1:22" ht="18" hidden="1" customHeight="1">
      <c r="A95" s="184"/>
      <c r="B95" s="47" t="s">
        <v>393</v>
      </c>
      <c r="H95" s="854">
        <f>H10</f>
        <v>2500</v>
      </c>
      <c r="I95" s="831"/>
      <c r="J95" s="863" t="str">
        <f>J10</f>
        <v>-</v>
      </c>
      <c r="K95" s="864"/>
      <c r="L95" s="854" t="str">
        <f>L10</f>
        <v>-</v>
      </c>
      <c r="M95" s="831"/>
      <c r="N95" s="191" t="s">
        <v>342</v>
      </c>
      <c r="O95" s="256">
        <f>O10</f>
        <v>1</v>
      </c>
      <c r="P95" s="27" t="s">
        <v>8</v>
      </c>
      <c r="R95" s="255"/>
      <c r="S95" s="255"/>
      <c r="V95" s="185"/>
    </row>
    <row r="96" spans="1:22" ht="18" hidden="1" customHeight="1">
      <c r="A96" s="184"/>
      <c r="B96" s="47" t="s">
        <v>394</v>
      </c>
      <c r="H96" s="14"/>
      <c r="I96" s="14"/>
      <c r="J96" s="854" t="str">
        <f>H11</f>
        <v>5P20</v>
      </c>
      <c r="K96" s="831"/>
      <c r="L96" s="14"/>
      <c r="M96" s="14"/>
      <c r="V96" s="185"/>
    </row>
    <row r="97" spans="1:23" ht="18" hidden="1" customHeight="1">
      <c r="A97" s="184"/>
      <c r="B97" s="47" t="s">
        <v>396</v>
      </c>
      <c r="I97" s="120" t="s">
        <v>497</v>
      </c>
      <c r="J97" s="1075" t="s">
        <v>6</v>
      </c>
      <c r="K97" s="1076"/>
      <c r="L97" s="192" t="s">
        <v>333</v>
      </c>
      <c r="V97" s="185"/>
    </row>
    <row r="98" spans="1:23" ht="18" hidden="1" customHeight="1">
      <c r="A98" s="184"/>
      <c r="B98" s="47" t="s">
        <v>398</v>
      </c>
      <c r="I98" s="120" t="s">
        <v>498</v>
      </c>
      <c r="J98" s="1075" t="s">
        <v>6</v>
      </c>
      <c r="K98" s="1076"/>
      <c r="L98" s="14" t="s">
        <v>305</v>
      </c>
      <c r="T98" s="295"/>
      <c r="U98" s="18"/>
      <c r="V98" s="185"/>
      <c r="W98" s="30" t="e">
        <f>G146</f>
        <v>#VALUE!</v>
      </c>
    </row>
    <row r="99" spans="1:23" ht="18" hidden="1" customHeight="1">
      <c r="A99" s="184"/>
      <c r="B99" s="14" t="s">
        <v>401</v>
      </c>
      <c r="I99" s="120" t="s">
        <v>402</v>
      </c>
      <c r="J99" s="1075" t="s">
        <v>6</v>
      </c>
      <c r="K99" s="1076"/>
      <c r="L99" s="14" t="s">
        <v>403</v>
      </c>
      <c r="V99" s="185"/>
    </row>
    <row r="100" spans="1:23" ht="18" hidden="1" customHeight="1">
      <c r="A100" s="184"/>
      <c r="V100" s="185"/>
    </row>
    <row r="101" spans="1:23" ht="18" hidden="1" customHeight="1">
      <c r="A101" s="193" t="s">
        <v>404</v>
      </c>
      <c r="V101" s="185"/>
    </row>
    <row r="102" spans="1:23" ht="18" hidden="1" customHeight="1">
      <c r="A102" s="184"/>
      <c r="V102" s="185"/>
    </row>
    <row r="103" spans="1:23" ht="18" hidden="1" customHeight="1">
      <c r="A103" s="184"/>
      <c r="B103" s="135" t="s">
        <v>405</v>
      </c>
      <c r="C103" s="273"/>
      <c r="D103" s="139" t="str">
        <f>T92</f>
        <v>REF650</v>
      </c>
      <c r="E103" s="227"/>
      <c r="F103" s="227"/>
      <c r="G103" s="227"/>
      <c r="H103" s="138"/>
      <c r="I103" s="260" t="s">
        <v>127</v>
      </c>
      <c r="J103" s="722">
        <f>J18</f>
        <v>0.02</v>
      </c>
      <c r="K103" s="958"/>
      <c r="L103" s="3" t="s">
        <v>157</v>
      </c>
      <c r="N103" s="197" t="s">
        <v>510</v>
      </c>
      <c r="V103" s="185"/>
    </row>
    <row r="104" spans="1:23" ht="18" hidden="1" customHeight="1">
      <c r="A104" s="184"/>
      <c r="B104" s="96" t="s">
        <v>405</v>
      </c>
      <c r="D104" s="296" t="str">
        <f>T93</f>
        <v>REC670</v>
      </c>
      <c r="I104" s="177" t="s">
        <v>127</v>
      </c>
      <c r="J104" s="1119">
        <f>J19</f>
        <v>0.02</v>
      </c>
      <c r="K104" s="989"/>
      <c r="L104" s="198" t="s">
        <v>157</v>
      </c>
      <c r="P104" s="244"/>
      <c r="V104" s="185"/>
    </row>
    <row r="105" spans="1:23" ht="18" hidden="1" customHeight="1">
      <c r="A105" s="184"/>
      <c r="B105" s="96" t="s">
        <v>405</v>
      </c>
      <c r="C105" s="14"/>
      <c r="D105" s="47" t="str">
        <f>T94</f>
        <v>IDM+9</v>
      </c>
      <c r="E105" s="14"/>
      <c r="G105" s="199"/>
      <c r="H105" s="27"/>
      <c r="I105" s="101" t="s">
        <v>127</v>
      </c>
      <c r="J105" s="696">
        <f>J20</f>
        <v>5.8000000000000003E-2</v>
      </c>
      <c r="K105" s="820"/>
      <c r="L105" s="202" t="s">
        <v>157</v>
      </c>
      <c r="N105" s="120" t="s">
        <v>491</v>
      </c>
      <c r="O105" s="27" t="s">
        <v>127</v>
      </c>
      <c r="P105" s="27" t="s">
        <v>511</v>
      </c>
      <c r="Q105" s="27" t="s">
        <v>315</v>
      </c>
      <c r="R105" s="27" t="s">
        <v>511</v>
      </c>
      <c r="S105" s="27" t="s">
        <v>315</v>
      </c>
      <c r="T105" s="27" t="s">
        <v>420</v>
      </c>
      <c r="V105" s="185"/>
    </row>
    <row r="106" spans="1:23" ht="18" hidden="1" customHeight="1">
      <c r="A106" s="184"/>
      <c r="B106" s="184" t="s">
        <v>412</v>
      </c>
      <c r="C106" s="14"/>
      <c r="D106" s="14"/>
      <c r="E106" s="14"/>
      <c r="H106" s="27"/>
      <c r="I106" s="101" t="s">
        <v>127</v>
      </c>
      <c r="J106" s="1120">
        <f>J21</f>
        <v>1.0770224400000001</v>
      </c>
      <c r="K106" s="987"/>
      <c r="L106" s="297" t="s">
        <v>157</v>
      </c>
      <c r="O106" s="27" t="s">
        <v>127</v>
      </c>
      <c r="P106" s="27">
        <f>O95</f>
        <v>1</v>
      </c>
      <c r="Q106" s="27" t="s">
        <v>315</v>
      </c>
      <c r="R106" s="27">
        <f>O95</f>
        <v>1</v>
      </c>
      <c r="S106" s="27" t="s">
        <v>315</v>
      </c>
      <c r="T106" s="27" t="str">
        <f>J97</f>
        <v>-</v>
      </c>
      <c r="V106" s="185"/>
    </row>
    <row r="107" spans="1:23" ht="18" hidden="1" customHeight="1">
      <c r="A107" s="184"/>
      <c r="B107" s="1" t="s">
        <v>413</v>
      </c>
      <c r="C107" s="2"/>
      <c r="D107" s="2"/>
      <c r="E107" s="2"/>
      <c r="F107" s="196"/>
      <c r="G107" s="196"/>
      <c r="H107" s="224" t="s">
        <v>512</v>
      </c>
      <c r="I107" s="183" t="s">
        <v>127</v>
      </c>
      <c r="J107" s="722">
        <f>SUM(J103:J106)</f>
        <v>1.1750224400000002</v>
      </c>
      <c r="K107" s="958"/>
      <c r="L107" s="3" t="s">
        <v>157</v>
      </c>
      <c r="O107" s="27" t="s">
        <v>127</v>
      </c>
      <c r="P107" s="795" t="e">
        <f>P106*R106*T106</f>
        <v>#VALUE!</v>
      </c>
      <c r="Q107" s="684"/>
      <c r="R107" s="27" t="s">
        <v>157</v>
      </c>
      <c r="S107" s="27"/>
      <c r="T107" s="27"/>
      <c r="V107" s="185"/>
    </row>
    <row r="108" spans="1:23" ht="18" hidden="1" customHeight="1">
      <c r="A108" s="184"/>
      <c r="B108" s="47"/>
      <c r="C108" s="47"/>
      <c r="D108" s="47"/>
      <c r="E108" s="47"/>
      <c r="H108" s="27"/>
      <c r="I108" s="28"/>
      <c r="J108" s="199"/>
      <c r="L108" s="47"/>
      <c r="O108" s="27"/>
      <c r="P108" s="211"/>
      <c r="Q108" s="27"/>
      <c r="R108" s="204"/>
      <c r="S108" s="27"/>
      <c r="V108" s="185"/>
    </row>
    <row r="109" spans="1:23" ht="18" hidden="1" customHeight="1">
      <c r="A109" s="1206" t="s">
        <v>536</v>
      </c>
      <c r="B109" s="1207"/>
      <c r="C109" s="1207"/>
      <c r="D109" s="1207"/>
      <c r="E109" s="1207"/>
      <c r="F109" s="1207"/>
      <c r="G109" s="1207"/>
      <c r="H109" s="1207"/>
      <c r="I109" s="1207"/>
      <c r="J109" s="1207"/>
      <c r="K109" s="1207"/>
      <c r="L109" s="1207"/>
      <c r="M109" s="1207"/>
      <c r="N109" s="1207"/>
      <c r="O109" s="1207"/>
      <c r="P109" s="1207"/>
      <c r="Q109" s="1207"/>
      <c r="R109" s="1207"/>
      <c r="S109" s="1207"/>
      <c r="T109" s="1207"/>
      <c r="U109" s="1207"/>
      <c r="V109" s="1208"/>
    </row>
    <row r="110" spans="1:23" ht="18" hidden="1" customHeight="1">
      <c r="A110" s="1209"/>
      <c r="B110" s="1207"/>
      <c r="C110" s="1207"/>
      <c r="D110" s="1207"/>
      <c r="E110" s="1207"/>
      <c r="F110" s="1207"/>
      <c r="G110" s="1207"/>
      <c r="H110" s="1207"/>
      <c r="I110" s="1207"/>
      <c r="J110" s="1207"/>
      <c r="K110" s="1207"/>
      <c r="L110" s="1207"/>
      <c r="M110" s="1207"/>
      <c r="N110" s="1207"/>
      <c r="O110" s="1207"/>
      <c r="P110" s="1207"/>
      <c r="Q110" s="1207"/>
      <c r="R110" s="1207"/>
      <c r="S110" s="1207"/>
      <c r="T110" s="1207"/>
      <c r="U110" s="1207"/>
      <c r="V110" s="1208"/>
    </row>
    <row r="111" spans="1:23" ht="18" hidden="1" customHeight="1">
      <c r="A111" s="184"/>
      <c r="Q111" s="211"/>
      <c r="R111" s="192"/>
      <c r="V111" s="185"/>
    </row>
    <row r="112" spans="1:23" ht="18" hidden="1" customHeight="1">
      <c r="A112" s="184"/>
      <c r="C112" s="28" t="s">
        <v>473</v>
      </c>
      <c r="D112" s="28" t="s">
        <v>127</v>
      </c>
      <c r="E112" s="28" t="s">
        <v>537</v>
      </c>
      <c r="F112" s="120" t="s">
        <v>493</v>
      </c>
      <c r="G112" s="28" t="s">
        <v>347</v>
      </c>
      <c r="H112" s="120" t="s">
        <v>491</v>
      </c>
      <c r="I112" s="28" t="s">
        <v>538</v>
      </c>
      <c r="J112" s="28" t="s">
        <v>495</v>
      </c>
      <c r="K112" s="28" t="s">
        <v>539</v>
      </c>
      <c r="L112" s="28" t="s">
        <v>511</v>
      </c>
      <c r="M112" s="28" t="s">
        <v>315</v>
      </c>
      <c r="N112" s="28">
        <v>1.3</v>
      </c>
      <c r="O112" s="47" t="s">
        <v>350</v>
      </c>
      <c r="P112" s="14"/>
      <c r="V112" s="185"/>
    </row>
    <row r="113" spans="1:25" ht="18" hidden="1" customHeight="1">
      <c r="A113" s="184" t="s">
        <v>540</v>
      </c>
      <c r="C113" s="28"/>
      <c r="D113" s="28"/>
      <c r="E113" s="14"/>
      <c r="F113" s="14"/>
      <c r="G113" s="14"/>
      <c r="H113" s="14"/>
      <c r="I113" s="14"/>
      <c r="J113" s="14"/>
      <c r="K113" s="14"/>
      <c r="L113" s="14"/>
      <c r="M113" s="14"/>
      <c r="N113" s="14"/>
      <c r="O113" s="14"/>
      <c r="P113" s="14"/>
      <c r="V113" s="185"/>
    </row>
    <row r="114" spans="1:25" ht="18" hidden="1" customHeight="1">
      <c r="A114" s="184"/>
      <c r="C114" s="28" t="s">
        <v>493</v>
      </c>
      <c r="D114" s="28" t="s">
        <v>127</v>
      </c>
      <c r="E114" s="28" t="s">
        <v>537</v>
      </c>
      <c r="F114" s="28">
        <v>1.3</v>
      </c>
      <c r="G114" s="28" t="s">
        <v>315</v>
      </c>
      <c r="H114" s="689" t="s">
        <v>473</v>
      </c>
      <c r="I114" s="716"/>
      <c r="J114" s="28" t="s">
        <v>315</v>
      </c>
      <c r="K114" s="28" t="s">
        <v>511</v>
      </c>
      <c r="L114" s="28" t="s">
        <v>541</v>
      </c>
      <c r="M114" s="28" t="s">
        <v>495</v>
      </c>
      <c r="N114" s="47" t="s">
        <v>542</v>
      </c>
      <c r="O114" s="120" t="s">
        <v>491</v>
      </c>
      <c r="P114" s="14"/>
      <c r="V114" s="185"/>
    </row>
    <row r="115" spans="1:25" ht="18" hidden="1" customHeight="1">
      <c r="A115" s="184"/>
      <c r="V115" s="185"/>
    </row>
    <row r="116" spans="1:25" ht="18" hidden="1" customHeight="1">
      <c r="A116" s="168"/>
      <c r="B116" s="5"/>
      <c r="C116" s="47" t="s">
        <v>543</v>
      </c>
      <c r="D116" s="14"/>
      <c r="E116" s="14"/>
      <c r="F116" s="14"/>
      <c r="G116" s="14"/>
      <c r="H116" s="279"/>
      <c r="I116" s="120"/>
      <c r="J116" s="279"/>
      <c r="K116" s="279"/>
      <c r="L116" s="14"/>
      <c r="M116" s="14"/>
      <c r="N116" s="14"/>
      <c r="O116" s="14"/>
      <c r="P116" s="14"/>
      <c r="Q116" s="120" t="s">
        <v>544</v>
      </c>
      <c r="R116" s="102" t="s">
        <v>127</v>
      </c>
      <c r="S116" s="689">
        <f>S31</f>
        <v>50000</v>
      </c>
      <c r="T116" s="689"/>
      <c r="U116" s="47" t="s">
        <v>8</v>
      </c>
      <c r="V116" s="185"/>
    </row>
    <row r="117" spans="1:25" ht="18" hidden="1" customHeight="1">
      <c r="A117" s="168"/>
      <c r="B117" s="5"/>
      <c r="C117" s="47" t="s">
        <v>545</v>
      </c>
      <c r="D117" s="14"/>
      <c r="E117" s="14"/>
      <c r="F117" s="18"/>
      <c r="G117" s="18"/>
      <c r="H117" s="279"/>
      <c r="I117" s="120"/>
      <c r="J117" s="279"/>
      <c r="K117" s="279"/>
      <c r="L117" s="14"/>
      <c r="M117" s="14"/>
      <c r="N117" s="14"/>
      <c r="O117" s="14"/>
      <c r="P117" s="14"/>
      <c r="Q117" s="120" t="s">
        <v>423</v>
      </c>
      <c r="R117" s="102" t="s">
        <v>127</v>
      </c>
      <c r="S117" s="689" t="str">
        <f>J95</f>
        <v>-</v>
      </c>
      <c r="T117" s="689"/>
      <c r="U117" s="14" t="s">
        <v>8</v>
      </c>
      <c r="V117" s="185"/>
    </row>
    <row r="118" spans="1:25" ht="18" hidden="1" customHeight="1">
      <c r="A118" s="168"/>
      <c r="B118" s="5"/>
      <c r="C118" s="47" t="s">
        <v>546</v>
      </c>
      <c r="D118" s="14"/>
      <c r="E118" s="14"/>
      <c r="F118" s="18"/>
      <c r="G118" s="18"/>
      <c r="H118" s="279"/>
      <c r="I118" s="120"/>
      <c r="J118" s="279"/>
      <c r="K118" s="279"/>
      <c r="L118" s="14"/>
      <c r="M118" s="14"/>
      <c r="N118" s="14"/>
      <c r="O118" s="14"/>
      <c r="P118" s="14"/>
      <c r="Q118" s="120" t="s">
        <v>473</v>
      </c>
      <c r="R118" s="102" t="s">
        <v>127</v>
      </c>
      <c r="S118" s="689" t="str">
        <f>J98</f>
        <v>-</v>
      </c>
      <c r="T118" s="689"/>
      <c r="U118" s="14" t="s">
        <v>305</v>
      </c>
      <c r="V118" s="185"/>
    </row>
    <row r="119" spans="1:25" ht="18" hidden="1" customHeight="1">
      <c r="A119" s="168"/>
      <c r="B119" s="5"/>
      <c r="C119" s="47" t="s">
        <v>547</v>
      </c>
      <c r="D119" s="14"/>
      <c r="E119" s="14"/>
      <c r="F119" s="18"/>
      <c r="G119" s="18"/>
      <c r="H119" s="279"/>
      <c r="I119" s="120"/>
      <c r="J119" s="279"/>
      <c r="K119" s="279"/>
      <c r="L119" s="14"/>
      <c r="M119" s="14"/>
      <c r="N119" s="14"/>
      <c r="O119" s="14"/>
      <c r="P119" s="14"/>
      <c r="Q119" s="120" t="s">
        <v>491</v>
      </c>
      <c r="R119" s="102" t="s">
        <v>127</v>
      </c>
      <c r="S119" s="692" t="e">
        <f>P107</f>
        <v>#VALUE!</v>
      </c>
      <c r="T119" s="689"/>
      <c r="U119" s="14" t="s">
        <v>157</v>
      </c>
      <c r="V119" s="185"/>
      <c r="W119" s="279"/>
      <c r="X119" s="279"/>
      <c r="Y119" s="279"/>
    </row>
    <row r="120" spans="1:25" ht="18" hidden="1" customHeight="1">
      <c r="A120" s="168"/>
      <c r="B120" s="5"/>
      <c r="C120" s="47" t="s">
        <v>548</v>
      </c>
      <c r="D120" s="14"/>
      <c r="E120" s="14"/>
      <c r="F120" s="18"/>
      <c r="G120" s="18"/>
      <c r="H120" s="279"/>
      <c r="I120" s="120"/>
      <c r="J120" s="279"/>
      <c r="K120" s="279"/>
      <c r="L120" s="14"/>
      <c r="M120" s="14"/>
      <c r="N120" s="14"/>
      <c r="O120" s="14"/>
      <c r="P120" s="14"/>
      <c r="Q120" s="120" t="s">
        <v>512</v>
      </c>
      <c r="R120" s="102" t="s">
        <v>127</v>
      </c>
      <c r="S120" s="692">
        <f>J107</f>
        <v>1.1750224400000002</v>
      </c>
      <c r="T120" s="689"/>
      <c r="U120" s="14" t="s">
        <v>157</v>
      </c>
      <c r="V120" s="185"/>
      <c r="X120" s="279"/>
      <c r="Y120" s="279"/>
    </row>
    <row r="121" spans="1:25" ht="18" hidden="1" customHeight="1">
      <c r="A121" s="168"/>
      <c r="B121" s="5"/>
      <c r="C121" s="47" t="s">
        <v>549</v>
      </c>
      <c r="D121" s="14"/>
      <c r="E121" s="14"/>
      <c r="F121" s="14"/>
      <c r="G121" s="14"/>
      <c r="H121" s="279"/>
      <c r="I121" s="120"/>
      <c r="J121" s="279"/>
      <c r="K121" s="279"/>
      <c r="L121" s="14"/>
      <c r="M121" s="14"/>
      <c r="N121" s="14"/>
      <c r="O121" s="14"/>
      <c r="P121" s="14"/>
      <c r="Q121" s="120" t="s">
        <v>511</v>
      </c>
      <c r="R121" s="102" t="s">
        <v>127</v>
      </c>
      <c r="S121" s="689">
        <f>O95</f>
        <v>1</v>
      </c>
      <c r="T121" s="689"/>
      <c r="U121" s="14" t="s">
        <v>8</v>
      </c>
      <c r="V121" s="185"/>
      <c r="X121" s="279"/>
      <c r="Y121" s="279"/>
    </row>
    <row r="122" spans="1:25" ht="18" hidden="1" customHeight="1">
      <c r="A122" s="168"/>
      <c r="B122" s="5"/>
      <c r="C122" s="47" t="s">
        <v>550</v>
      </c>
      <c r="D122" s="14"/>
      <c r="E122" s="14"/>
      <c r="F122" s="14"/>
      <c r="G122" s="14"/>
      <c r="H122" s="279"/>
      <c r="I122" s="120"/>
      <c r="J122" s="279"/>
      <c r="K122" s="279"/>
      <c r="L122" s="14"/>
      <c r="M122" s="14"/>
      <c r="N122" s="14"/>
      <c r="O122" s="14"/>
      <c r="P122" s="14"/>
      <c r="Q122" s="120" t="s">
        <v>495</v>
      </c>
      <c r="R122" s="102" t="s">
        <v>127</v>
      </c>
      <c r="S122" s="689">
        <v>20</v>
      </c>
      <c r="T122" s="689"/>
      <c r="U122" s="47"/>
      <c r="V122" s="185"/>
    </row>
    <row r="123" spans="1:25" ht="18" hidden="1" customHeight="1">
      <c r="A123" s="299"/>
      <c r="B123" s="279"/>
      <c r="C123" s="47" t="s">
        <v>492</v>
      </c>
      <c r="D123" s="14"/>
      <c r="E123" s="14"/>
      <c r="F123" s="14"/>
      <c r="G123" s="14"/>
      <c r="H123" s="279"/>
      <c r="I123" s="120"/>
      <c r="J123" s="279"/>
      <c r="K123" s="279"/>
      <c r="L123" s="14"/>
      <c r="M123" s="14"/>
      <c r="N123" s="279"/>
      <c r="O123" s="279"/>
      <c r="P123" s="14"/>
      <c r="Q123" s="120" t="s">
        <v>493</v>
      </c>
      <c r="R123" s="14"/>
      <c r="S123" s="279"/>
      <c r="T123" s="279"/>
      <c r="U123" s="279"/>
      <c r="V123" s="300"/>
      <c r="W123" s="279"/>
      <c r="X123" s="279"/>
      <c r="Y123" s="279"/>
    </row>
    <row r="124" spans="1:25" ht="18" hidden="1" customHeight="1">
      <c r="A124" s="184"/>
      <c r="V124" s="185"/>
    </row>
    <row r="125" spans="1:25" ht="18" hidden="1" customHeight="1">
      <c r="A125" s="184"/>
      <c r="C125" s="120" t="s">
        <v>493</v>
      </c>
      <c r="D125" s="28" t="s">
        <v>127</v>
      </c>
      <c r="E125" s="28" t="s">
        <v>537</v>
      </c>
      <c r="F125" s="221">
        <v>1.3</v>
      </c>
      <c r="G125" s="221" t="s">
        <v>315</v>
      </c>
      <c r="H125" s="805" t="s">
        <v>473</v>
      </c>
      <c r="I125" s="815"/>
      <c r="J125" s="221" t="s">
        <v>315</v>
      </c>
      <c r="K125" s="221" t="s">
        <v>511</v>
      </c>
      <c r="L125" s="221" t="s">
        <v>541</v>
      </c>
      <c r="M125" s="221" t="s">
        <v>495</v>
      </c>
      <c r="N125" s="527" t="s">
        <v>542</v>
      </c>
      <c r="O125" s="542" t="s">
        <v>491</v>
      </c>
      <c r="V125" s="185"/>
    </row>
    <row r="126" spans="1:25" ht="18" hidden="1" customHeight="1">
      <c r="A126" s="184"/>
      <c r="C126" s="120"/>
      <c r="D126" s="27" t="s">
        <v>127</v>
      </c>
      <c r="E126" s="27" t="s">
        <v>537</v>
      </c>
      <c r="F126" s="245">
        <v>1.3</v>
      </c>
      <c r="G126" s="245" t="s">
        <v>315</v>
      </c>
      <c r="H126" s="993" t="str">
        <f>S118</f>
        <v>-</v>
      </c>
      <c r="I126" s="1234"/>
      <c r="J126" s="245" t="s">
        <v>315</v>
      </c>
      <c r="K126" s="245">
        <f>S121</f>
        <v>1</v>
      </c>
      <c r="L126" s="245" t="s">
        <v>541</v>
      </c>
      <c r="M126" s="245">
        <f>S122</f>
        <v>20</v>
      </c>
      <c r="N126" s="461" t="s">
        <v>542</v>
      </c>
      <c r="O126" s="502" t="e">
        <f>S119</f>
        <v>#VALUE!</v>
      </c>
      <c r="V126" s="185"/>
    </row>
    <row r="127" spans="1:25" ht="18" hidden="1" customHeight="1">
      <c r="A127" s="184"/>
      <c r="D127" s="27" t="s">
        <v>127</v>
      </c>
      <c r="E127" s="684" t="e">
        <f>((F126*H126)/(K126*M126))-O126</f>
        <v>#VALUE!</v>
      </c>
      <c r="F127" s="684"/>
      <c r="G127" s="27" t="s">
        <v>157</v>
      </c>
      <c r="V127" s="185"/>
    </row>
    <row r="128" spans="1:25" ht="18" hidden="1" customHeight="1">
      <c r="A128" s="184"/>
      <c r="D128" s="27"/>
      <c r="E128" s="27"/>
      <c r="F128" s="27"/>
      <c r="G128" s="27"/>
      <c r="V128" s="185"/>
    </row>
    <row r="129" spans="1:22" ht="18" hidden="1" customHeight="1">
      <c r="A129" s="184"/>
      <c r="D129" s="27"/>
      <c r="E129" s="27"/>
      <c r="F129" s="27"/>
      <c r="G129" s="27"/>
      <c r="V129" s="185"/>
    </row>
    <row r="130" spans="1:22" ht="18" hidden="1" customHeight="1">
      <c r="A130" s="184"/>
      <c r="D130" s="27"/>
      <c r="E130" s="27"/>
      <c r="F130" s="27"/>
      <c r="G130" s="27"/>
      <c r="V130" s="185"/>
    </row>
    <row r="131" spans="1:22" ht="18" hidden="1" customHeight="1">
      <c r="A131" s="184"/>
      <c r="D131" s="27"/>
      <c r="E131" s="27"/>
      <c r="F131" s="27"/>
      <c r="G131" s="27"/>
      <c r="V131" s="185"/>
    </row>
    <row r="132" spans="1:22" ht="18" hidden="1" customHeight="1">
      <c r="A132" s="184"/>
      <c r="D132" s="27"/>
      <c r="E132" s="27"/>
      <c r="F132" s="27"/>
      <c r="G132" s="27"/>
      <c r="V132" s="185"/>
    </row>
    <row r="133" spans="1:22" ht="18" hidden="1" customHeight="1">
      <c r="A133" s="184"/>
      <c r="V133" s="185"/>
    </row>
    <row r="134" spans="1:22" s="14" customFormat="1" ht="18" hidden="1" customHeight="1">
      <c r="A134" s="194"/>
      <c r="B134" s="195"/>
      <c r="C134" s="195"/>
      <c r="D134" s="195"/>
      <c r="E134" s="195"/>
      <c r="F134" s="195"/>
      <c r="G134" s="195"/>
      <c r="H134" s="195"/>
      <c r="I134" s="195"/>
      <c r="J134" s="195"/>
      <c r="K134" s="195"/>
      <c r="L134" s="195"/>
      <c r="M134" s="195"/>
      <c r="N134" s="195"/>
      <c r="O134" s="195"/>
      <c r="P134" s="195"/>
      <c r="Q134" s="224"/>
      <c r="R134" s="182"/>
      <c r="S134" s="225"/>
      <c r="T134" s="195"/>
      <c r="U134" s="195"/>
      <c r="V134" s="134" t="s">
        <v>552</v>
      </c>
    </row>
    <row r="135" spans="1:22" ht="18" hidden="1" customHeight="1">
      <c r="A135" s="226"/>
      <c r="B135" s="227"/>
      <c r="C135" s="227"/>
      <c r="D135" s="227"/>
      <c r="E135" s="227"/>
      <c r="F135" s="227"/>
      <c r="G135" s="227"/>
      <c r="H135" s="227"/>
      <c r="I135" s="227"/>
      <c r="J135" s="227"/>
      <c r="K135" s="227"/>
      <c r="L135" s="227"/>
      <c r="M135" s="227"/>
      <c r="N135" s="227"/>
      <c r="O135" s="227"/>
      <c r="P135" s="227"/>
      <c r="Q135" s="227"/>
      <c r="R135" s="227"/>
      <c r="S135" s="227"/>
      <c r="T135" s="227"/>
      <c r="U135" s="227"/>
      <c r="V135" s="228"/>
    </row>
    <row r="136" spans="1:22" ht="18" hidden="1" customHeight="1">
      <c r="A136" s="184"/>
      <c r="E136" s="244" t="s">
        <v>111</v>
      </c>
      <c r="F136" s="27" t="s">
        <v>127</v>
      </c>
      <c r="G136" s="689" t="s">
        <v>544</v>
      </c>
      <c r="H136" s="689"/>
      <c r="I136" s="191" t="s">
        <v>342</v>
      </c>
      <c r="J136" s="684" t="s">
        <v>423</v>
      </c>
      <c r="K136" s="684"/>
      <c r="V136" s="185"/>
    </row>
    <row r="137" spans="1:22" ht="18" hidden="1" customHeight="1">
      <c r="A137" s="184"/>
      <c r="F137" s="27" t="s">
        <v>127</v>
      </c>
      <c r="G137" s="684">
        <f>S116</f>
        <v>50000</v>
      </c>
      <c r="H137" s="684"/>
      <c r="I137" s="191" t="s">
        <v>342</v>
      </c>
      <c r="J137" s="684" t="str">
        <f>S117</f>
        <v>-</v>
      </c>
      <c r="K137" s="684"/>
      <c r="V137" s="185"/>
    </row>
    <row r="138" spans="1:22" ht="18" hidden="1" customHeight="1">
      <c r="A138" s="184"/>
      <c r="F138" s="27" t="s">
        <v>127</v>
      </c>
      <c r="G138" s="795" t="e">
        <f>G137/J137</f>
        <v>#VALUE!</v>
      </c>
      <c r="H138" s="795"/>
      <c r="I138" s="27"/>
      <c r="J138" s="27"/>
      <c r="K138" s="27"/>
      <c r="V138" s="185"/>
    </row>
    <row r="139" spans="1:22" ht="18" hidden="1" customHeight="1">
      <c r="A139" s="184"/>
      <c r="V139" s="185"/>
    </row>
    <row r="140" spans="1:22" ht="18" hidden="1" customHeight="1">
      <c r="A140" s="184"/>
      <c r="E140" s="244" t="s">
        <v>553</v>
      </c>
      <c r="F140" s="27" t="s">
        <v>127</v>
      </c>
      <c r="G140" s="221" t="s">
        <v>495</v>
      </c>
      <c r="H140" s="221" t="s">
        <v>554</v>
      </c>
      <c r="I140" s="542" t="s">
        <v>491</v>
      </c>
      <c r="J140" s="221" t="s">
        <v>347</v>
      </c>
      <c r="K140" s="542" t="s">
        <v>493</v>
      </c>
      <c r="L140" s="221" t="s">
        <v>539</v>
      </c>
      <c r="M140" s="542" t="s">
        <v>491</v>
      </c>
      <c r="N140" s="221" t="s">
        <v>347</v>
      </c>
      <c r="O140" s="542" t="s">
        <v>512</v>
      </c>
      <c r="P140" s="28" t="s">
        <v>350</v>
      </c>
      <c r="V140" s="185"/>
    </row>
    <row r="141" spans="1:22" ht="18" hidden="1" customHeight="1">
      <c r="A141" s="184"/>
      <c r="F141" s="27" t="s">
        <v>127</v>
      </c>
      <c r="G141" s="242">
        <f>S122</f>
        <v>20</v>
      </c>
      <c r="H141" s="245" t="s">
        <v>554</v>
      </c>
      <c r="I141" s="301" t="e">
        <f>S119</f>
        <v>#VALUE!</v>
      </c>
      <c r="J141" s="245" t="s">
        <v>347</v>
      </c>
      <c r="K141" s="301" t="e">
        <f>E127</f>
        <v>#VALUE!</v>
      </c>
      <c r="L141" s="245" t="s">
        <v>539</v>
      </c>
      <c r="M141" s="301" t="e">
        <f>S119</f>
        <v>#VALUE!</v>
      </c>
      <c r="N141" s="245" t="s">
        <v>347</v>
      </c>
      <c r="O141" s="301">
        <f>S120</f>
        <v>1.1750224400000002</v>
      </c>
      <c r="P141" s="27" t="s">
        <v>350</v>
      </c>
      <c r="V141" s="185"/>
    </row>
    <row r="142" spans="1:22" ht="18" hidden="1" customHeight="1">
      <c r="A142" s="184"/>
      <c r="F142" s="27" t="s">
        <v>127</v>
      </c>
      <c r="G142" s="1111" t="e">
        <f>G141*((I141+K141)/(M141+O141))</f>
        <v>#VALUE!</v>
      </c>
      <c r="H142" s="1111"/>
      <c r="I142" s="242"/>
      <c r="J142" s="242"/>
      <c r="K142" s="242"/>
      <c r="L142" s="242"/>
      <c r="M142" s="242"/>
      <c r="N142" s="242"/>
      <c r="O142" s="242"/>
      <c r="V142" s="185"/>
    </row>
    <row r="143" spans="1:22" ht="18" hidden="1" customHeight="1">
      <c r="A143" s="184"/>
      <c r="V143" s="185"/>
    </row>
    <row r="144" spans="1:22" ht="18" hidden="1" customHeight="1">
      <c r="A144" s="184"/>
      <c r="E144" s="244" t="s">
        <v>555</v>
      </c>
      <c r="F144" s="27" t="e">
        <f>IF(D145&gt;G145,"&gt;","&lt;")</f>
        <v>#VALUE!</v>
      </c>
      <c r="G144" s="296" t="s">
        <v>111</v>
      </c>
      <c r="V144" s="185"/>
    </row>
    <row r="145" spans="1:22" ht="18" hidden="1" customHeight="1">
      <c r="A145" s="184"/>
      <c r="D145" s="795" t="e">
        <f>G142</f>
        <v>#VALUE!</v>
      </c>
      <c r="E145" s="795"/>
      <c r="F145" s="27" t="e">
        <f>F144</f>
        <v>#VALUE!</v>
      </c>
      <c r="G145" s="795" t="e">
        <f>G138</f>
        <v>#VALUE!</v>
      </c>
      <c r="H145" s="795"/>
      <c r="V145" s="185"/>
    </row>
    <row r="146" spans="1:22" ht="18" hidden="1" customHeight="1">
      <c r="A146" s="184"/>
      <c r="E146" s="244" t="s">
        <v>478</v>
      </c>
      <c r="G146" s="18" t="e">
        <f>IF(F144="&gt;","Suitably Dimentioned","Under Dimentioned")</f>
        <v>#VALUE!</v>
      </c>
      <c r="V146" s="185"/>
    </row>
    <row r="147" spans="1:22" ht="18" hidden="1" customHeight="1">
      <c r="A147" s="184"/>
      <c r="V147" s="185"/>
    </row>
    <row r="148" spans="1:22" ht="18" hidden="1" customHeight="1">
      <c r="A148" s="184"/>
      <c r="V148" s="185"/>
    </row>
    <row r="149" spans="1:22" ht="18" hidden="1" customHeight="1">
      <c r="A149" s="184"/>
      <c r="V149" s="185"/>
    </row>
    <row r="150" spans="1:22" ht="18" hidden="1" customHeight="1">
      <c r="A150" s="184"/>
      <c r="V150" s="185"/>
    </row>
    <row r="151" spans="1:22" ht="18" hidden="1" customHeight="1">
      <c r="A151" s="184"/>
      <c r="V151" s="185"/>
    </row>
    <row r="152" spans="1:22" ht="18" hidden="1" customHeight="1">
      <c r="A152" s="184"/>
      <c r="V152" s="185"/>
    </row>
    <row r="153" spans="1:22" ht="18" hidden="1" customHeight="1">
      <c r="A153" s="184"/>
      <c r="V153" s="185"/>
    </row>
    <row r="154" spans="1:22" ht="18" hidden="1" customHeight="1">
      <c r="A154" s="184"/>
      <c r="V154" s="185"/>
    </row>
    <row r="155" spans="1:22" ht="18" hidden="1" customHeight="1">
      <c r="A155" s="184"/>
      <c r="V155" s="185"/>
    </row>
    <row r="156" spans="1:22" ht="18" hidden="1" customHeight="1">
      <c r="A156" s="184"/>
      <c r="V156" s="185"/>
    </row>
    <row r="157" spans="1:22" ht="18" hidden="1" customHeight="1">
      <c r="A157" s="184"/>
      <c r="V157" s="185"/>
    </row>
    <row r="158" spans="1:22" ht="18" hidden="1" customHeight="1">
      <c r="A158" s="184"/>
      <c r="V158" s="185"/>
    </row>
    <row r="159" spans="1:22" ht="18" hidden="1" customHeight="1">
      <c r="A159" s="184"/>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ht="18" hidden="1" customHeight="1">
      <c r="A173" s="184"/>
      <c r="V173" s="185"/>
    </row>
    <row r="174" spans="1:22" ht="18" hidden="1" customHeight="1">
      <c r="A174" s="184"/>
      <c r="V174" s="185"/>
    </row>
    <row r="175" spans="1:22" ht="18" hidden="1" customHeight="1">
      <c r="A175" s="184"/>
      <c r="V175" s="185"/>
    </row>
    <row r="176" spans="1:22" ht="18" hidden="1" customHeight="1">
      <c r="A176" s="184"/>
      <c r="V176" s="185"/>
    </row>
    <row r="177" spans="1:23" ht="18" hidden="1" customHeight="1">
      <c r="A177" s="184"/>
      <c r="V177" s="185"/>
    </row>
    <row r="178" spans="1:23" s="14" customFormat="1" ht="18" hidden="1" customHeight="1">
      <c r="A178" s="194"/>
      <c r="B178" s="195"/>
      <c r="C178" s="195"/>
      <c r="D178" s="195"/>
      <c r="E178" s="195"/>
      <c r="F178" s="195"/>
      <c r="G178" s="195"/>
      <c r="H178" s="195"/>
      <c r="I178" s="195"/>
      <c r="J178" s="195"/>
      <c r="K178" s="195"/>
      <c r="L178" s="195"/>
      <c r="M178" s="195"/>
      <c r="N178" s="195"/>
      <c r="O178" s="195"/>
      <c r="P178" s="195"/>
      <c r="Q178" s="224"/>
      <c r="R178" s="182"/>
      <c r="S178" s="225"/>
      <c r="T178" s="195"/>
      <c r="U178" s="195"/>
      <c r="V178" s="134" t="s">
        <v>552</v>
      </c>
    </row>
    <row r="179" spans="1:23" ht="18" hidden="1" customHeight="1">
      <c r="A179" s="226"/>
      <c r="B179" s="227"/>
      <c r="C179" s="227"/>
      <c r="D179" s="227"/>
      <c r="E179" s="227"/>
      <c r="F179" s="227"/>
      <c r="G179" s="227"/>
      <c r="H179" s="227"/>
      <c r="I179" s="227"/>
      <c r="J179" s="227"/>
      <c r="K179" s="227"/>
      <c r="L179" s="227"/>
      <c r="M179" s="227"/>
      <c r="N179" s="227"/>
      <c r="O179" s="227"/>
      <c r="P179" s="227"/>
      <c r="Q179" s="227"/>
      <c r="R179" s="227"/>
      <c r="S179" s="227"/>
      <c r="T179" s="227"/>
      <c r="U179" s="227"/>
      <c r="V179" s="228"/>
    </row>
    <row r="180" spans="1:23" ht="18" hidden="1" customHeight="1">
      <c r="A180" s="184"/>
      <c r="B180" s="854" t="str">
        <f>B92</f>
        <v>T1</v>
      </c>
      <c r="C180" s="831"/>
      <c r="D180" s="855" t="str">
        <f>D92</f>
        <v>Core3</v>
      </c>
      <c r="E180" s="856"/>
      <c r="F180" s="255"/>
      <c r="H180" s="684">
        <f>H92</f>
        <v>0</v>
      </c>
      <c r="I180" s="684"/>
      <c r="J180" s="684"/>
      <c r="K180" s="684"/>
      <c r="L180" s="684"/>
      <c r="M180" s="684"/>
      <c r="P180" s="186"/>
      <c r="S180" s="187" t="s">
        <v>387</v>
      </c>
      <c r="T180" s="1123" t="str">
        <f>T92</f>
        <v>REF650</v>
      </c>
      <c r="U180" s="1124"/>
      <c r="V180" s="185"/>
    </row>
    <row r="181" spans="1:23" ht="18" hidden="1" customHeight="1">
      <c r="A181" s="184"/>
      <c r="B181" s="853">
        <f>B93</f>
        <v>0</v>
      </c>
      <c r="C181" s="853"/>
      <c r="D181" s="857"/>
      <c r="E181" s="858"/>
      <c r="F181" s="255"/>
      <c r="T181" s="1123" t="str">
        <f>T93</f>
        <v>REC670</v>
      </c>
      <c r="U181" s="1124"/>
      <c r="V181" s="185"/>
    </row>
    <row r="182" spans="1:23" ht="18" hidden="1" customHeight="1">
      <c r="A182" s="184"/>
      <c r="H182" s="708" t="s">
        <v>390</v>
      </c>
      <c r="I182" s="708"/>
      <c r="J182" s="708" t="s">
        <v>391</v>
      </c>
      <c r="K182" s="708"/>
      <c r="L182" s="789" t="s">
        <v>392</v>
      </c>
      <c r="M182" s="789"/>
      <c r="T182" s="1123" t="str">
        <f>T94</f>
        <v>IDM+9</v>
      </c>
      <c r="U182" s="1124"/>
      <c r="V182" s="185"/>
    </row>
    <row r="183" spans="1:23" ht="18" hidden="1" customHeight="1">
      <c r="A183" s="184"/>
      <c r="B183" s="47" t="s">
        <v>393</v>
      </c>
      <c r="H183" s="854">
        <f>H95</f>
        <v>2500</v>
      </c>
      <c r="I183" s="831"/>
      <c r="J183" s="854" t="str">
        <f>J95</f>
        <v>-</v>
      </c>
      <c r="K183" s="831"/>
      <c r="L183" s="863" t="str">
        <f>L95</f>
        <v>-</v>
      </c>
      <c r="M183" s="864"/>
      <c r="N183" s="191" t="s">
        <v>342</v>
      </c>
      <c r="O183" s="256">
        <f>O95</f>
        <v>1</v>
      </c>
      <c r="P183" s="27" t="s">
        <v>8</v>
      </c>
      <c r="R183" s="255"/>
      <c r="S183" s="255"/>
      <c r="V183" s="185"/>
    </row>
    <row r="184" spans="1:23" ht="18" hidden="1" customHeight="1">
      <c r="A184" s="184"/>
      <c r="B184" s="47" t="s">
        <v>394</v>
      </c>
      <c r="H184" s="14"/>
      <c r="I184" s="14"/>
      <c r="L184" s="854" t="str">
        <f>J96</f>
        <v>5P20</v>
      </c>
      <c r="M184" s="831"/>
      <c r="V184" s="185"/>
    </row>
    <row r="185" spans="1:23" ht="18" hidden="1" customHeight="1">
      <c r="A185" s="184"/>
      <c r="B185" s="47" t="s">
        <v>396</v>
      </c>
      <c r="K185" s="120" t="s">
        <v>497</v>
      </c>
      <c r="L185" s="1075" t="s">
        <v>6</v>
      </c>
      <c r="M185" s="1076"/>
      <c r="N185" s="192" t="s">
        <v>333</v>
      </c>
      <c r="V185" s="185"/>
    </row>
    <row r="186" spans="1:23" ht="18" hidden="1" customHeight="1">
      <c r="A186" s="184"/>
      <c r="B186" s="47" t="s">
        <v>398</v>
      </c>
      <c r="K186" s="120" t="s">
        <v>498</v>
      </c>
      <c r="L186" s="1075" t="s">
        <v>6</v>
      </c>
      <c r="M186" s="1076"/>
      <c r="N186" s="14" t="s">
        <v>305</v>
      </c>
      <c r="T186" s="295"/>
      <c r="U186" s="18"/>
      <c r="V186" s="185"/>
      <c r="W186" s="30" t="e">
        <f>G234</f>
        <v>#VALUE!</v>
      </c>
    </row>
    <row r="187" spans="1:23" ht="18" hidden="1" customHeight="1">
      <c r="A187" s="184"/>
      <c r="B187" s="14" t="s">
        <v>401</v>
      </c>
      <c r="K187" s="120" t="s">
        <v>402</v>
      </c>
      <c r="L187" s="1075" t="s">
        <v>6</v>
      </c>
      <c r="M187" s="1076"/>
      <c r="N187" s="14" t="s">
        <v>403</v>
      </c>
      <c r="V187" s="185"/>
    </row>
    <row r="188" spans="1:23" ht="18" hidden="1" customHeight="1">
      <c r="A188" s="184"/>
      <c r="V188" s="185"/>
    </row>
    <row r="189" spans="1:23" ht="18" hidden="1" customHeight="1">
      <c r="A189" s="193" t="s">
        <v>404</v>
      </c>
      <c r="V189" s="185"/>
    </row>
    <row r="190" spans="1:23" ht="18" hidden="1" customHeight="1">
      <c r="A190" s="184"/>
      <c r="V190" s="185"/>
    </row>
    <row r="191" spans="1:23" ht="18" hidden="1" customHeight="1">
      <c r="A191" s="184"/>
      <c r="B191" s="135" t="s">
        <v>405</v>
      </c>
      <c r="C191" s="273"/>
      <c r="D191" s="139" t="str">
        <f>T180</f>
        <v>REF650</v>
      </c>
      <c r="E191" s="227"/>
      <c r="F191" s="227"/>
      <c r="G191" s="227"/>
      <c r="H191" s="138"/>
      <c r="I191" s="260" t="s">
        <v>127</v>
      </c>
      <c r="J191" s="722">
        <f>J103</f>
        <v>0.02</v>
      </c>
      <c r="K191" s="958"/>
      <c r="L191" s="3" t="s">
        <v>157</v>
      </c>
      <c r="N191" s="197" t="s">
        <v>510</v>
      </c>
      <c r="V191" s="185"/>
    </row>
    <row r="192" spans="1:23" ht="18" hidden="1" customHeight="1">
      <c r="A192" s="184"/>
      <c r="B192" s="96" t="s">
        <v>405</v>
      </c>
      <c r="D192" s="296" t="str">
        <f>T181</f>
        <v>REC670</v>
      </c>
      <c r="I192" s="177" t="s">
        <v>127</v>
      </c>
      <c r="J192" s="1119">
        <f>J104</f>
        <v>0.02</v>
      </c>
      <c r="K192" s="989"/>
      <c r="L192" s="198" t="s">
        <v>157</v>
      </c>
      <c r="P192" s="244"/>
      <c r="V192" s="185"/>
    </row>
    <row r="193" spans="1:25" ht="18" hidden="1" customHeight="1">
      <c r="A193" s="184"/>
      <c r="B193" s="96" t="s">
        <v>405</v>
      </c>
      <c r="C193" s="14"/>
      <c r="D193" s="47" t="str">
        <f>T182</f>
        <v>IDM+9</v>
      </c>
      <c r="E193" s="14"/>
      <c r="G193" s="199"/>
      <c r="H193" s="27"/>
      <c r="I193" s="101" t="s">
        <v>127</v>
      </c>
      <c r="J193" s="696">
        <f>J105</f>
        <v>5.8000000000000003E-2</v>
      </c>
      <c r="K193" s="820"/>
      <c r="L193" s="202" t="s">
        <v>157</v>
      </c>
      <c r="N193" s="120" t="s">
        <v>491</v>
      </c>
      <c r="O193" s="27" t="s">
        <v>127</v>
      </c>
      <c r="P193" s="27" t="s">
        <v>511</v>
      </c>
      <c r="Q193" s="27" t="s">
        <v>315</v>
      </c>
      <c r="R193" s="27" t="s">
        <v>511</v>
      </c>
      <c r="S193" s="27" t="s">
        <v>315</v>
      </c>
      <c r="T193" s="27" t="s">
        <v>420</v>
      </c>
      <c r="V193" s="185"/>
    </row>
    <row r="194" spans="1:25" ht="18" hidden="1" customHeight="1">
      <c r="A194" s="184"/>
      <c r="B194" s="184" t="s">
        <v>412</v>
      </c>
      <c r="C194" s="14"/>
      <c r="D194" s="14"/>
      <c r="E194" s="14"/>
      <c r="H194" s="27"/>
      <c r="I194" s="101" t="s">
        <v>127</v>
      </c>
      <c r="J194" s="1120">
        <f>J106</f>
        <v>1.0770224400000001</v>
      </c>
      <c r="K194" s="987"/>
      <c r="L194" s="297" t="s">
        <v>157</v>
      </c>
      <c r="O194" s="27" t="s">
        <v>127</v>
      </c>
      <c r="P194" s="27">
        <f>O183</f>
        <v>1</v>
      </c>
      <c r="Q194" s="27" t="s">
        <v>315</v>
      </c>
      <c r="R194" s="27">
        <f>O183</f>
        <v>1</v>
      </c>
      <c r="S194" s="27" t="s">
        <v>315</v>
      </c>
      <c r="T194" s="27" t="str">
        <f>L185</f>
        <v>-</v>
      </c>
      <c r="V194" s="185"/>
    </row>
    <row r="195" spans="1:25" ht="18" hidden="1" customHeight="1">
      <c r="A195" s="184"/>
      <c r="B195" s="1" t="s">
        <v>413</v>
      </c>
      <c r="C195" s="2"/>
      <c r="D195" s="2"/>
      <c r="E195" s="2"/>
      <c r="F195" s="196"/>
      <c r="G195" s="196"/>
      <c r="H195" s="224" t="s">
        <v>512</v>
      </c>
      <c r="I195" s="183" t="s">
        <v>127</v>
      </c>
      <c r="J195" s="722">
        <f>SUM(J191:J194)</f>
        <v>1.1750224400000002</v>
      </c>
      <c r="K195" s="958"/>
      <c r="L195" s="3" t="s">
        <v>157</v>
      </c>
      <c r="O195" s="27" t="s">
        <v>127</v>
      </c>
      <c r="P195" s="795" t="e">
        <f>P194*R194*T194</f>
        <v>#VALUE!</v>
      </c>
      <c r="Q195" s="684"/>
      <c r="R195" s="27" t="s">
        <v>157</v>
      </c>
      <c r="S195" s="27"/>
      <c r="T195" s="27"/>
      <c r="V195" s="185"/>
    </row>
    <row r="196" spans="1:25" ht="18" hidden="1" customHeight="1">
      <c r="A196" s="184"/>
      <c r="B196" s="47"/>
      <c r="C196" s="47"/>
      <c r="D196" s="47"/>
      <c r="E196" s="47"/>
      <c r="H196" s="27"/>
      <c r="I196" s="28"/>
      <c r="J196" s="199"/>
      <c r="L196" s="47"/>
      <c r="O196" s="27"/>
      <c r="P196" s="211"/>
      <c r="Q196" s="27"/>
      <c r="R196" s="204"/>
      <c r="S196" s="27"/>
      <c r="V196" s="185"/>
    </row>
    <row r="197" spans="1:25" ht="18" hidden="1" customHeight="1">
      <c r="A197" s="1206" t="s">
        <v>536</v>
      </c>
      <c r="B197" s="1207"/>
      <c r="C197" s="1207"/>
      <c r="D197" s="1207"/>
      <c r="E197" s="1207"/>
      <c r="F197" s="1207"/>
      <c r="G197" s="1207"/>
      <c r="H197" s="1207"/>
      <c r="I197" s="1207"/>
      <c r="J197" s="1207"/>
      <c r="K197" s="1207"/>
      <c r="L197" s="1207"/>
      <c r="M197" s="1207"/>
      <c r="N197" s="1207"/>
      <c r="O197" s="1207"/>
      <c r="P197" s="1207"/>
      <c r="Q197" s="1207"/>
      <c r="R197" s="1207"/>
      <c r="S197" s="1207"/>
      <c r="T197" s="1207"/>
      <c r="U197" s="1207"/>
      <c r="V197" s="1208"/>
    </row>
    <row r="198" spans="1:25" ht="18" hidden="1" customHeight="1">
      <c r="A198" s="1209"/>
      <c r="B198" s="1207"/>
      <c r="C198" s="1207"/>
      <c r="D198" s="1207"/>
      <c r="E198" s="1207"/>
      <c r="F198" s="1207"/>
      <c r="G198" s="1207"/>
      <c r="H198" s="1207"/>
      <c r="I198" s="1207"/>
      <c r="J198" s="1207"/>
      <c r="K198" s="1207"/>
      <c r="L198" s="1207"/>
      <c r="M198" s="1207"/>
      <c r="N198" s="1207"/>
      <c r="O198" s="1207"/>
      <c r="P198" s="1207"/>
      <c r="Q198" s="1207"/>
      <c r="R198" s="1207"/>
      <c r="S198" s="1207"/>
      <c r="T198" s="1207"/>
      <c r="U198" s="1207"/>
      <c r="V198" s="1208"/>
    </row>
    <row r="199" spans="1:25" ht="18" hidden="1" customHeight="1">
      <c r="A199" s="184"/>
      <c r="Q199" s="211"/>
      <c r="R199" s="192"/>
      <c r="V199" s="185"/>
    </row>
    <row r="200" spans="1:25" ht="18" hidden="1" customHeight="1">
      <c r="A200" s="184"/>
      <c r="C200" s="27" t="s">
        <v>473</v>
      </c>
      <c r="D200" s="27" t="s">
        <v>127</v>
      </c>
      <c r="E200" s="27" t="s">
        <v>537</v>
      </c>
      <c r="F200" s="120" t="s">
        <v>493</v>
      </c>
      <c r="G200" s="28" t="s">
        <v>347</v>
      </c>
      <c r="H200" s="120" t="s">
        <v>491</v>
      </c>
      <c r="I200" s="28" t="s">
        <v>538</v>
      </c>
      <c r="J200" s="28" t="s">
        <v>495</v>
      </c>
      <c r="K200" s="28" t="s">
        <v>539</v>
      </c>
      <c r="L200" s="28" t="s">
        <v>511</v>
      </c>
      <c r="M200" s="28" t="s">
        <v>315</v>
      </c>
      <c r="N200" s="28">
        <v>1.3</v>
      </c>
      <c r="O200" s="47" t="s">
        <v>350</v>
      </c>
      <c r="V200" s="185"/>
    </row>
    <row r="201" spans="1:25" ht="18" hidden="1" customHeight="1">
      <c r="A201" s="184" t="s">
        <v>540</v>
      </c>
      <c r="C201" s="27"/>
      <c r="D201" s="27"/>
      <c r="V201" s="185"/>
    </row>
    <row r="202" spans="1:25" ht="18" hidden="1" customHeight="1">
      <c r="A202" s="184"/>
      <c r="C202" s="28" t="s">
        <v>493</v>
      </c>
      <c r="D202" s="28" t="s">
        <v>127</v>
      </c>
      <c r="E202" s="28" t="s">
        <v>537</v>
      </c>
      <c r="F202" s="28">
        <v>1.3</v>
      </c>
      <c r="G202" s="28" t="s">
        <v>315</v>
      </c>
      <c r="H202" s="689" t="s">
        <v>473</v>
      </c>
      <c r="I202" s="716"/>
      <c r="J202" s="28" t="s">
        <v>315</v>
      </c>
      <c r="K202" s="28" t="s">
        <v>511</v>
      </c>
      <c r="L202" s="28" t="s">
        <v>541</v>
      </c>
      <c r="M202" s="28" t="s">
        <v>495</v>
      </c>
      <c r="N202" s="47" t="s">
        <v>542</v>
      </c>
      <c r="O202" s="120" t="s">
        <v>491</v>
      </c>
      <c r="V202" s="185"/>
    </row>
    <row r="203" spans="1:25" ht="18" hidden="1" customHeight="1">
      <c r="A203" s="184"/>
      <c r="V203" s="185"/>
    </row>
    <row r="204" spans="1:25" ht="18" hidden="1" customHeight="1">
      <c r="A204" s="168"/>
      <c r="B204" s="5"/>
      <c r="C204" s="47" t="s">
        <v>543</v>
      </c>
      <c r="D204" s="14"/>
      <c r="E204" s="14"/>
      <c r="F204" s="14"/>
      <c r="G204" s="14"/>
      <c r="H204" s="279"/>
      <c r="I204" s="120"/>
      <c r="J204" s="279"/>
      <c r="K204" s="279"/>
      <c r="L204" s="14"/>
      <c r="M204" s="14"/>
      <c r="N204" s="14"/>
      <c r="O204" s="14"/>
      <c r="P204" s="14"/>
      <c r="Q204" s="120" t="s">
        <v>544</v>
      </c>
      <c r="R204" s="102" t="s">
        <v>127</v>
      </c>
      <c r="S204" s="689">
        <f>S116</f>
        <v>50000</v>
      </c>
      <c r="T204" s="689"/>
      <c r="U204" s="47" t="s">
        <v>8</v>
      </c>
      <c r="V204" s="185"/>
    </row>
    <row r="205" spans="1:25" ht="18" hidden="1" customHeight="1">
      <c r="A205" s="168"/>
      <c r="B205" s="5"/>
      <c r="C205" s="47" t="s">
        <v>545</v>
      </c>
      <c r="D205" s="14"/>
      <c r="E205" s="14"/>
      <c r="F205" s="18"/>
      <c r="G205" s="18"/>
      <c r="H205" s="279"/>
      <c r="I205" s="120"/>
      <c r="J205" s="279"/>
      <c r="K205" s="279"/>
      <c r="L205" s="14"/>
      <c r="M205" s="14"/>
      <c r="N205" s="14"/>
      <c r="O205" s="14"/>
      <c r="P205" s="14"/>
      <c r="Q205" s="120" t="s">
        <v>423</v>
      </c>
      <c r="R205" s="102" t="s">
        <v>127</v>
      </c>
      <c r="S205" s="689" t="str">
        <f>L183</f>
        <v>-</v>
      </c>
      <c r="T205" s="689"/>
      <c r="U205" s="14" t="s">
        <v>8</v>
      </c>
      <c r="V205" s="185"/>
    </row>
    <row r="206" spans="1:25" ht="18" hidden="1" customHeight="1">
      <c r="A206" s="168"/>
      <c r="B206" s="5"/>
      <c r="C206" s="47" t="s">
        <v>546</v>
      </c>
      <c r="D206" s="14"/>
      <c r="E206" s="14"/>
      <c r="F206" s="18"/>
      <c r="G206" s="18"/>
      <c r="H206" s="279"/>
      <c r="I206" s="120"/>
      <c r="J206" s="279"/>
      <c r="K206" s="279"/>
      <c r="L206" s="14"/>
      <c r="M206" s="14"/>
      <c r="N206" s="14"/>
      <c r="O206" s="14"/>
      <c r="P206" s="14"/>
      <c r="Q206" s="120" t="s">
        <v>473</v>
      </c>
      <c r="R206" s="102" t="s">
        <v>127</v>
      </c>
      <c r="S206" s="689" t="str">
        <f>L186</f>
        <v>-</v>
      </c>
      <c r="T206" s="689"/>
      <c r="U206" s="14" t="s">
        <v>305</v>
      </c>
      <c r="V206" s="185"/>
    </row>
    <row r="207" spans="1:25" ht="18" hidden="1" customHeight="1">
      <c r="A207" s="168"/>
      <c r="B207" s="5"/>
      <c r="C207" s="47" t="s">
        <v>547</v>
      </c>
      <c r="D207" s="14"/>
      <c r="E207" s="14"/>
      <c r="F207" s="18"/>
      <c r="G207" s="18"/>
      <c r="H207" s="279"/>
      <c r="I207" s="120"/>
      <c r="J207" s="279"/>
      <c r="K207" s="279"/>
      <c r="L207" s="14"/>
      <c r="M207" s="14"/>
      <c r="N207" s="14"/>
      <c r="O207" s="14"/>
      <c r="P207" s="14"/>
      <c r="Q207" s="120" t="s">
        <v>491</v>
      </c>
      <c r="R207" s="102" t="s">
        <v>127</v>
      </c>
      <c r="S207" s="692" t="e">
        <f>P195</f>
        <v>#VALUE!</v>
      </c>
      <c r="T207" s="689"/>
      <c r="U207" s="14" t="s">
        <v>157</v>
      </c>
      <c r="V207" s="185"/>
      <c r="W207" s="279"/>
      <c r="X207" s="279"/>
      <c r="Y207" s="279"/>
    </row>
    <row r="208" spans="1:25" ht="18" hidden="1" customHeight="1">
      <c r="A208" s="168"/>
      <c r="B208" s="5"/>
      <c r="C208" s="47" t="s">
        <v>548</v>
      </c>
      <c r="D208" s="14"/>
      <c r="E208" s="14"/>
      <c r="F208" s="18"/>
      <c r="G208" s="18"/>
      <c r="H208" s="279"/>
      <c r="I208" s="120"/>
      <c r="J208" s="279"/>
      <c r="K208" s="279"/>
      <c r="L208" s="14"/>
      <c r="M208" s="14"/>
      <c r="N208" s="14"/>
      <c r="O208" s="14"/>
      <c r="P208" s="14"/>
      <c r="Q208" s="120" t="s">
        <v>512</v>
      </c>
      <c r="R208" s="102" t="s">
        <v>127</v>
      </c>
      <c r="S208" s="692">
        <f>J195</f>
        <v>1.1750224400000002</v>
      </c>
      <c r="T208" s="689"/>
      <c r="U208" s="14" t="s">
        <v>157</v>
      </c>
      <c r="V208" s="185"/>
      <c r="X208" s="279"/>
      <c r="Y208" s="279"/>
    </row>
    <row r="209" spans="1:25" ht="18" hidden="1" customHeight="1">
      <c r="A209" s="168"/>
      <c r="B209" s="5"/>
      <c r="C209" s="47" t="s">
        <v>549</v>
      </c>
      <c r="D209" s="14"/>
      <c r="E209" s="14"/>
      <c r="F209" s="14"/>
      <c r="G209" s="14"/>
      <c r="H209" s="279"/>
      <c r="I209" s="120"/>
      <c r="J209" s="279"/>
      <c r="K209" s="279"/>
      <c r="L209" s="14"/>
      <c r="M209" s="14"/>
      <c r="N209" s="14"/>
      <c r="O209" s="14"/>
      <c r="P209" s="14"/>
      <c r="Q209" s="120" t="s">
        <v>511</v>
      </c>
      <c r="R209" s="102" t="s">
        <v>127</v>
      </c>
      <c r="S209" s="689">
        <f>O183</f>
        <v>1</v>
      </c>
      <c r="T209" s="689"/>
      <c r="U209" s="14" t="s">
        <v>8</v>
      </c>
      <c r="V209" s="185"/>
      <c r="X209" s="279"/>
      <c r="Y209" s="279"/>
    </row>
    <row r="210" spans="1:25" ht="18" hidden="1" customHeight="1">
      <c r="A210" s="168"/>
      <c r="B210" s="5"/>
      <c r="C210" s="47" t="s">
        <v>550</v>
      </c>
      <c r="D210" s="14"/>
      <c r="E210" s="14"/>
      <c r="F210" s="14"/>
      <c r="G210" s="14"/>
      <c r="H210" s="279"/>
      <c r="I210" s="120"/>
      <c r="J210" s="279"/>
      <c r="K210" s="279"/>
      <c r="L210" s="14"/>
      <c r="M210" s="14"/>
      <c r="N210" s="14"/>
      <c r="O210" s="14"/>
      <c r="P210" s="14"/>
      <c r="Q210" s="120" t="s">
        <v>495</v>
      </c>
      <c r="R210" s="102" t="s">
        <v>127</v>
      </c>
      <c r="S210" s="689">
        <v>20</v>
      </c>
      <c r="T210" s="689"/>
      <c r="U210" s="47"/>
      <c r="V210" s="185"/>
    </row>
    <row r="211" spans="1:25" ht="18" hidden="1" customHeight="1">
      <c r="A211" s="299"/>
      <c r="B211" s="279"/>
      <c r="C211" s="47" t="s">
        <v>492</v>
      </c>
      <c r="D211" s="14"/>
      <c r="E211" s="14"/>
      <c r="F211" s="14"/>
      <c r="G211" s="14"/>
      <c r="H211" s="279"/>
      <c r="I211" s="120"/>
      <c r="J211" s="279"/>
      <c r="K211" s="279"/>
      <c r="L211" s="14"/>
      <c r="M211" s="14"/>
      <c r="N211" s="279"/>
      <c r="O211" s="279"/>
      <c r="P211" s="14"/>
      <c r="Q211" s="120" t="s">
        <v>493</v>
      </c>
      <c r="R211" s="14"/>
      <c r="S211" s="279"/>
      <c r="T211" s="279"/>
      <c r="U211" s="279"/>
      <c r="V211" s="300"/>
      <c r="W211" s="279"/>
      <c r="X211" s="279"/>
      <c r="Y211" s="279"/>
    </row>
    <row r="212" spans="1:25" ht="18" hidden="1" customHeight="1">
      <c r="A212" s="184"/>
      <c r="V212" s="185"/>
    </row>
    <row r="213" spans="1:25" ht="18" hidden="1" customHeight="1">
      <c r="A213" s="184"/>
      <c r="C213" s="120" t="s">
        <v>493</v>
      </c>
      <c r="D213" s="28" t="s">
        <v>127</v>
      </c>
      <c r="E213" s="28" t="s">
        <v>537</v>
      </c>
      <c r="F213" s="221">
        <v>1.3</v>
      </c>
      <c r="G213" s="221" t="s">
        <v>315</v>
      </c>
      <c r="H213" s="805" t="s">
        <v>473</v>
      </c>
      <c r="I213" s="815"/>
      <c r="J213" s="221" t="s">
        <v>315</v>
      </c>
      <c r="K213" s="221" t="s">
        <v>511</v>
      </c>
      <c r="L213" s="221" t="s">
        <v>541</v>
      </c>
      <c r="M213" s="221" t="s">
        <v>495</v>
      </c>
      <c r="N213" s="527" t="s">
        <v>542</v>
      </c>
      <c r="O213" s="542" t="s">
        <v>491</v>
      </c>
      <c r="V213" s="185"/>
    </row>
    <row r="214" spans="1:25" ht="18" hidden="1" customHeight="1">
      <c r="A214" s="184"/>
      <c r="C214" s="120"/>
      <c r="D214" s="27" t="s">
        <v>127</v>
      </c>
      <c r="E214" s="27" t="s">
        <v>537</v>
      </c>
      <c r="F214" s="245">
        <v>1.3</v>
      </c>
      <c r="G214" s="245" t="s">
        <v>315</v>
      </c>
      <c r="H214" s="993" t="str">
        <f>S206</f>
        <v>-</v>
      </c>
      <c r="I214" s="1234"/>
      <c r="J214" s="245" t="s">
        <v>315</v>
      </c>
      <c r="K214" s="245">
        <f>S209</f>
        <v>1</v>
      </c>
      <c r="L214" s="245" t="s">
        <v>541</v>
      </c>
      <c r="M214" s="245">
        <f>S210</f>
        <v>20</v>
      </c>
      <c r="N214" s="461" t="s">
        <v>542</v>
      </c>
      <c r="O214" s="502" t="e">
        <f>S207</f>
        <v>#VALUE!</v>
      </c>
      <c r="V214" s="185"/>
    </row>
    <row r="215" spans="1:25" ht="18" hidden="1" customHeight="1">
      <c r="A215" s="184"/>
      <c r="D215" s="27" t="s">
        <v>127</v>
      </c>
      <c r="E215" s="684" t="e">
        <f>((F214*H214)/(K214*M214))-O214</f>
        <v>#VALUE!</v>
      </c>
      <c r="F215" s="684"/>
      <c r="G215" s="27" t="s">
        <v>157</v>
      </c>
      <c r="V215" s="185"/>
    </row>
    <row r="216" spans="1:25" ht="18" hidden="1" customHeight="1">
      <c r="A216" s="184"/>
      <c r="D216" s="27"/>
      <c r="E216" s="27"/>
      <c r="F216" s="27"/>
      <c r="G216" s="27"/>
      <c r="V216" s="185"/>
    </row>
    <row r="217" spans="1:25" ht="18" hidden="1" customHeight="1">
      <c r="A217" s="184"/>
      <c r="D217" s="27"/>
      <c r="E217" s="27"/>
      <c r="F217" s="27"/>
      <c r="G217" s="27"/>
      <c r="V217" s="185"/>
    </row>
    <row r="218" spans="1:25" ht="18" hidden="1" customHeight="1">
      <c r="A218" s="184"/>
      <c r="D218" s="27"/>
      <c r="E218" s="27"/>
      <c r="F218" s="27"/>
      <c r="G218" s="27"/>
      <c r="V218" s="185"/>
    </row>
    <row r="219" spans="1:25" ht="18" hidden="1" customHeight="1">
      <c r="A219" s="184"/>
      <c r="D219" s="27"/>
      <c r="E219" s="27"/>
      <c r="F219" s="27"/>
      <c r="G219" s="27"/>
      <c r="V219" s="185"/>
    </row>
    <row r="220" spans="1:25" ht="18" hidden="1" customHeight="1">
      <c r="A220" s="184"/>
      <c r="D220" s="27"/>
      <c r="E220" s="27"/>
      <c r="F220" s="27"/>
      <c r="G220" s="27"/>
      <c r="V220" s="185"/>
    </row>
    <row r="221" spans="1:25" ht="18" hidden="1" customHeight="1">
      <c r="A221" s="184"/>
      <c r="V221" s="185"/>
    </row>
    <row r="222" spans="1:25" s="14" customFormat="1" ht="18" hidden="1" customHeight="1">
      <c r="A222" s="194"/>
      <c r="B222" s="195"/>
      <c r="C222" s="195"/>
      <c r="D222" s="195"/>
      <c r="E222" s="195"/>
      <c r="F222" s="195"/>
      <c r="G222" s="195"/>
      <c r="H222" s="195"/>
      <c r="I222" s="195"/>
      <c r="J222" s="195"/>
      <c r="K222" s="195"/>
      <c r="L222" s="195"/>
      <c r="M222" s="195"/>
      <c r="N222" s="195"/>
      <c r="O222" s="195"/>
      <c r="P222" s="195"/>
      <c r="Q222" s="224"/>
      <c r="R222" s="182"/>
      <c r="S222" s="225"/>
      <c r="T222" s="195"/>
      <c r="U222" s="195"/>
      <c r="V222" s="134" t="s">
        <v>552</v>
      </c>
    </row>
    <row r="223" spans="1:25" ht="18" hidden="1" customHeight="1">
      <c r="A223" s="226"/>
      <c r="B223" s="227"/>
      <c r="C223" s="227"/>
      <c r="D223" s="227"/>
      <c r="E223" s="227"/>
      <c r="F223" s="227"/>
      <c r="G223" s="227"/>
      <c r="H223" s="227"/>
      <c r="I223" s="227"/>
      <c r="J223" s="227"/>
      <c r="K223" s="227"/>
      <c r="L223" s="227"/>
      <c r="M223" s="227"/>
      <c r="N223" s="227"/>
      <c r="O223" s="227"/>
      <c r="P223" s="227"/>
      <c r="Q223" s="227"/>
      <c r="R223" s="227"/>
      <c r="S223" s="227"/>
      <c r="T223" s="227"/>
      <c r="U223" s="227"/>
      <c r="V223" s="228"/>
    </row>
    <row r="224" spans="1:25" ht="18" hidden="1" customHeight="1">
      <c r="A224" s="184"/>
      <c r="E224" s="244" t="s">
        <v>111</v>
      </c>
      <c r="F224" s="27" t="s">
        <v>127</v>
      </c>
      <c r="G224" s="689" t="s">
        <v>544</v>
      </c>
      <c r="H224" s="689"/>
      <c r="I224" s="191" t="s">
        <v>342</v>
      </c>
      <c r="J224" s="684" t="s">
        <v>423</v>
      </c>
      <c r="K224" s="684"/>
      <c r="V224" s="185"/>
    </row>
    <row r="225" spans="1:22" ht="18" hidden="1" customHeight="1">
      <c r="A225" s="184"/>
      <c r="F225" s="27" t="s">
        <v>127</v>
      </c>
      <c r="G225" s="684">
        <f>S204</f>
        <v>50000</v>
      </c>
      <c r="H225" s="684"/>
      <c r="I225" s="191" t="s">
        <v>342</v>
      </c>
      <c r="J225" s="684" t="str">
        <f>S205</f>
        <v>-</v>
      </c>
      <c r="K225" s="684"/>
      <c r="V225" s="185"/>
    </row>
    <row r="226" spans="1:22" ht="18" hidden="1" customHeight="1">
      <c r="A226" s="184"/>
      <c r="F226" s="27" t="s">
        <v>127</v>
      </c>
      <c r="G226" s="795" t="e">
        <f>G225/J225</f>
        <v>#VALUE!</v>
      </c>
      <c r="H226" s="795"/>
      <c r="I226" s="27"/>
      <c r="J226" s="27"/>
      <c r="K226" s="27"/>
      <c r="V226" s="185"/>
    </row>
    <row r="227" spans="1:22" ht="18" hidden="1" customHeight="1">
      <c r="A227" s="184"/>
      <c r="V227" s="185"/>
    </row>
    <row r="228" spans="1:22" ht="18" hidden="1" customHeight="1">
      <c r="A228" s="184"/>
      <c r="E228" s="244" t="s">
        <v>553</v>
      </c>
      <c r="F228" s="27" t="s">
        <v>127</v>
      </c>
      <c r="G228" s="221" t="s">
        <v>495</v>
      </c>
      <c r="H228" s="221" t="s">
        <v>554</v>
      </c>
      <c r="I228" s="542" t="s">
        <v>491</v>
      </c>
      <c r="J228" s="221" t="s">
        <v>347</v>
      </c>
      <c r="K228" s="542" t="s">
        <v>493</v>
      </c>
      <c r="L228" s="221" t="s">
        <v>539</v>
      </c>
      <c r="M228" s="542" t="s">
        <v>491</v>
      </c>
      <c r="N228" s="221" t="s">
        <v>347</v>
      </c>
      <c r="O228" s="542" t="s">
        <v>512</v>
      </c>
      <c r="P228" s="28" t="s">
        <v>350</v>
      </c>
      <c r="V228" s="185"/>
    </row>
    <row r="229" spans="1:22" ht="18" hidden="1" customHeight="1">
      <c r="A229" s="184"/>
      <c r="F229" s="27" t="s">
        <v>127</v>
      </c>
      <c r="G229" s="242">
        <f>S210</f>
        <v>20</v>
      </c>
      <c r="H229" s="245" t="s">
        <v>554</v>
      </c>
      <c r="I229" s="301" t="e">
        <f>S207</f>
        <v>#VALUE!</v>
      </c>
      <c r="J229" s="245" t="s">
        <v>347</v>
      </c>
      <c r="K229" s="301" t="e">
        <f>E215</f>
        <v>#VALUE!</v>
      </c>
      <c r="L229" s="245" t="s">
        <v>539</v>
      </c>
      <c r="M229" s="301" t="e">
        <f>S207</f>
        <v>#VALUE!</v>
      </c>
      <c r="N229" s="245" t="s">
        <v>347</v>
      </c>
      <c r="O229" s="301">
        <f>S208</f>
        <v>1.1750224400000002</v>
      </c>
      <c r="P229" s="27" t="s">
        <v>350</v>
      </c>
      <c r="V229" s="185"/>
    </row>
    <row r="230" spans="1:22" ht="18" hidden="1" customHeight="1">
      <c r="A230" s="184"/>
      <c r="F230" s="27" t="s">
        <v>127</v>
      </c>
      <c r="G230" s="1111" t="e">
        <f>G229*((I229+K229)/(M229+O229))</f>
        <v>#VALUE!</v>
      </c>
      <c r="H230" s="1111"/>
      <c r="I230" s="242"/>
      <c r="J230" s="242"/>
      <c r="K230" s="242"/>
      <c r="L230" s="242"/>
      <c r="M230" s="242"/>
      <c r="N230" s="242"/>
      <c r="O230" s="242"/>
      <c r="V230" s="185"/>
    </row>
    <row r="231" spans="1:22" ht="18" hidden="1" customHeight="1">
      <c r="A231" s="184"/>
      <c r="V231" s="185"/>
    </row>
    <row r="232" spans="1:22" ht="18" hidden="1" customHeight="1">
      <c r="A232" s="184"/>
      <c r="E232" s="244" t="s">
        <v>555</v>
      </c>
      <c r="F232" s="27" t="e">
        <f>IF(D233&gt;G233,"&gt;","&lt;")</f>
        <v>#VALUE!</v>
      </c>
      <c r="G232" s="296" t="s">
        <v>111</v>
      </c>
      <c r="V232" s="185"/>
    </row>
    <row r="233" spans="1:22" ht="18" hidden="1" customHeight="1">
      <c r="A233" s="184"/>
      <c r="D233" s="795" t="e">
        <f>G230</f>
        <v>#VALUE!</v>
      </c>
      <c r="E233" s="795"/>
      <c r="F233" s="27" t="e">
        <f>F232</f>
        <v>#VALUE!</v>
      </c>
      <c r="G233" s="795" t="e">
        <f>G226</f>
        <v>#VALUE!</v>
      </c>
      <c r="H233" s="795"/>
      <c r="V233" s="185"/>
    </row>
    <row r="234" spans="1:22" ht="18" hidden="1" customHeight="1">
      <c r="A234" s="184"/>
      <c r="E234" s="244" t="s">
        <v>478</v>
      </c>
      <c r="G234" s="18" t="e">
        <f>IF(F232="&gt;","Suitably Dimentioned","Under Dimentioned")</f>
        <v>#VALUE!</v>
      </c>
      <c r="V234" s="185"/>
    </row>
    <row r="235" spans="1:22" ht="18" hidden="1" customHeight="1">
      <c r="A235" s="184"/>
      <c r="V235" s="185"/>
    </row>
    <row r="236" spans="1:22" ht="18" hidden="1" customHeight="1">
      <c r="A236" s="184"/>
      <c r="V236" s="185"/>
    </row>
    <row r="237" spans="1:22" ht="18" hidden="1" customHeight="1">
      <c r="A237" s="184"/>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s="14" customFormat="1" ht="18" hidden="1" customHeight="1">
      <c r="A266" s="194"/>
      <c r="B266" s="195"/>
      <c r="C266" s="195"/>
      <c r="D266" s="195"/>
      <c r="E266" s="195"/>
      <c r="F266" s="195"/>
      <c r="G266" s="195"/>
      <c r="H266" s="195"/>
      <c r="I266" s="195"/>
      <c r="J266" s="195"/>
      <c r="K266" s="195"/>
      <c r="L266" s="195"/>
      <c r="M266" s="195"/>
      <c r="N266" s="195"/>
      <c r="O266" s="195"/>
      <c r="P266" s="195"/>
      <c r="Q266" s="224"/>
      <c r="R266" s="182"/>
      <c r="S266" s="225"/>
      <c r="T266" s="195"/>
      <c r="U266" s="195"/>
      <c r="V266" s="134" t="s">
        <v>552</v>
      </c>
    </row>
    <row r="267" spans="1:22" ht="18" customHeight="1">
      <c r="A267" s="226"/>
      <c r="B267" s="227"/>
      <c r="C267" s="227"/>
      <c r="D267" s="227"/>
      <c r="E267" s="227"/>
      <c r="F267" s="227"/>
      <c r="G267" s="227"/>
      <c r="H267" s="227"/>
      <c r="I267" s="227"/>
      <c r="J267" s="227"/>
      <c r="K267" s="227"/>
      <c r="L267" s="227"/>
      <c r="M267" s="227"/>
      <c r="N267" s="227"/>
      <c r="O267" s="227"/>
      <c r="P267" s="227"/>
      <c r="Q267" s="227"/>
      <c r="R267" s="227"/>
      <c r="S267" s="227"/>
      <c r="T267" s="227"/>
      <c r="U267" s="227"/>
      <c r="V267" s="228"/>
    </row>
    <row r="268" spans="1:22" ht="18" customHeight="1">
      <c r="A268" s="96" t="s">
        <v>532</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84"/>
      <c r="V269" s="185"/>
    </row>
    <row r="270" spans="1:22" ht="18" customHeight="1">
      <c r="A270" s="955" t="s">
        <v>85</v>
      </c>
      <c r="B270" s="956"/>
      <c r="C270" s="957"/>
      <c r="D270" s="955" t="s">
        <v>86</v>
      </c>
      <c r="E270" s="956"/>
      <c r="F270" s="957"/>
      <c r="G270" s="955" t="s">
        <v>87</v>
      </c>
      <c r="H270" s="957"/>
      <c r="I270" s="955" t="s">
        <v>88</v>
      </c>
      <c r="J270" s="957"/>
      <c r="K270" s="955" t="s">
        <v>502</v>
      </c>
      <c r="L270" s="957"/>
      <c r="M270" s="955" t="s">
        <v>90</v>
      </c>
      <c r="N270" s="957"/>
      <c r="O270" s="955" t="s">
        <v>91</v>
      </c>
      <c r="P270" s="957"/>
      <c r="Q270" s="955" t="s">
        <v>92</v>
      </c>
      <c r="R270" s="957"/>
      <c r="S270" s="955" t="s">
        <v>93</v>
      </c>
      <c r="T270" s="956"/>
      <c r="U270" s="956"/>
      <c r="V270" s="957"/>
    </row>
    <row r="271" spans="1:22" ht="18" customHeight="1">
      <c r="A271" s="1125"/>
      <c r="B271" s="983"/>
      <c r="C271" s="1126"/>
      <c r="D271" s="1125"/>
      <c r="E271" s="983"/>
      <c r="F271" s="1126"/>
      <c r="G271" s="1125"/>
      <c r="H271" s="1126"/>
      <c r="I271" s="1125"/>
      <c r="J271" s="1126"/>
      <c r="K271" s="1125"/>
      <c r="L271" s="1126"/>
      <c r="M271" s="1125"/>
      <c r="N271" s="1126"/>
      <c r="O271" s="1125"/>
      <c r="P271" s="1126"/>
      <c r="Q271" s="1125"/>
      <c r="R271" s="1126"/>
      <c r="S271" s="1125"/>
      <c r="T271" s="983"/>
      <c r="U271" s="983"/>
      <c r="V271" s="1126"/>
    </row>
    <row r="272" spans="1:22" ht="18" customHeight="1">
      <c r="A272" s="1125"/>
      <c r="B272" s="983"/>
      <c r="C272" s="1126"/>
      <c r="D272" s="1125"/>
      <c r="E272" s="983"/>
      <c r="F272" s="1126"/>
      <c r="G272" s="1125"/>
      <c r="H272" s="1126"/>
      <c r="I272" s="1125"/>
      <c r="J272" s="1126"/>
      <c r="K272" s="1125"/>
      <c r="L272" s="1126"/>
      <c r="M272" s="1125"/>
      <c r="N272" s="1126"/>
      <c r="O272" s="1125"/>
      <c r="P272" s="1126"/>
      <c r="Q272" s="1125"/>
      <c r="R272" s="1126"/>
      <c r="S272" s="1125"/>
      <c r="T272" s="983"/>
      <c r="U272" s="983"/>
      <c r="V272" s="1126"/>
    </row>
    <row r="273" spans="1:22" ht="18" customHeight="1">
      <c r="A273" s="1047"/>
      <c r="B273" s="1048"/>
      <c r="C273" s="1049"/>
      <c r="D273" s="1047"/>
      <c r="E273" s="1048"/>
      <c r="F273" s="1049"/>
      <c r="G273" s="1047"/>
      <c r="H273" s="1049"/>
      <c r="I273" s="1047"/>
      <c r="J273" s="1049"/>
      <c r="K273" s="1047"/>
      <c r="L273" s="1049"/>
      <c r="M273" s="1047"/>
      <c r="N273" s="1049"/>
      <c r="O273" s="1047"/>
      <c r="P273" s="1049"/>
      <c r="Q273" s="1047"/>
      <c r="R273" s="1049"/>
      <c r="S273" s="1047"/>
      <c r="T273" s="1048"/>
      <c r="U273" s="1048"/>
      <c r="V273" s="1049"/>
    </row>
    <row r="274" spans="1:22" ht="18" customHeight="1">
      <c r="A274" s="765" t="str">
        <f>B7</f>
        <v>T1</v>
      </c>
      <c r="B274" s="765" t="str">
        <f>D7</f>
        <v>Core3</v>
      </c>
      <c r="C274" s="765"/>
      <c r="D274" s="870">
        <f>H10</f>
        <v>2500</v>
      </c>
      <c r="E274" s="870"/>
      <c r="F274" s="871">
        <f>O10</f>
        <v>1</v>
      </c>
      <c r="G274" s="870">
        <f>'CT-VT Burdens'!S21</f>
        <v>120</v>
      </c>
      <c r="H274" s="874">
        <f>'CT-VT Burdens'!S10</f>
        <v>6</v>
      </c>
      <c r="I274" s="874" t="str">
        <f>H11</f>
        <v>5P20</v>
      </c>
      <c r="J274" s="874" t="e">
        <f>#REF!</f>
        <v>#REF!</v>
      </c>
      <c r="K274" s="869">
        <f>H12</f>
        <v>5</v>
      </c>
      <c r="L274" s="869"/>
      <c r="M274" s="875" t="s">
        <v>6</v>
      </c>
      <c r="N274" s="869"/>
      <c r="O274" s="876" t="s">
        <v>6</v>
      </c>
      <c r="P274" s="870"/>
      <c r="Q274" s="879" t="str">
        <f>IF(T8="",T7,IF(T9="",T7&amp;" "&amp;T8,T7&amp;" "&amp;T8&amp;" "&amp;T9))</f>
        <v>REF650 REC670 IDM+9</v>
      </c>
      <c r="R274" s="879"/>
      <c r="S274" s="878" t="str">
        <f>G61</f>
        <v>Suitably Dimentioned</v>
      </c>
      <c r="T274" s="878"/>
      <c r="U274" s="878"/>
      <c r="V274" s="878"/>
    </row>
    <row r="275" spans="1:22" ht="18" customHeight="1">
      <c r="A275" s="765"/>
      <c r="B275" s="765"/>
      <c r="C275" s="765"/>
      <c r="D275" s="876" t="s">
        <v>6</v>
      </c>
      <c r="E275" s="870"/>
      <c r="F275" s="872"/>
      <c r="G275" s="870"/>
      <c r="H275" s="870"/>
      <c r="I275" s="874"/>
      <c r="J275" s="874"/>
      <c r="K275" s="875" t="s">
        <v>6</v>
      </c>
      <c r="L275" s="869"/>
      <c r="M275" s="875" t="s">
        <v>6</v>
      </c>
      <c r="N275" s="869"/>
      <c r="O275" s="876" t="s">
        <v>6</v>
      </c>
      <c r="P275" s="870"/>
      <c r="Q275" s="879"/>
      <c r="R275" s="879"/>
      <c r="S275" s="877" t="s">
        <v>6</v>
      </c>
      <c r="T275" s="878"/>
      <c r="U275" s="878"/>
      <c r="V275" s="878"/>
    </row>
    <row r="276" spans="1:22" ht="18" customHeight="1">
      <c r="A276" s="765"/>
      <c r="B276" s="765"/>
      <c r="C276" s="765"/>
      <c r="D276" s="876" t="s">
        <v>6</v>
      </c>
      <c r="E276" s="870"/>
      <c r="F276" s="873"/>
      <c r="G276" s="870"/>
      <c r="H276" s="870"/>
      <c r="I276" s="874"/>
      <c r="J276" s="874"/>
      <c r="K276" s="875" t="s">
        <v>6</v>
      </c>
      <c r="L276" s="869"/>
      <c r="M276" s="875" t="s">
        <v>6</v>
      </c>
      <c r="N276" s="869"/>
      <c r="O276" s="876" t="s">
        <v>6</v>
      </c>
      <c r="P276" s="870"/>
      <c r="Q276" s="879"/>
      <c r="R276" s="879"/>
      <c r="S276" s="878" t="s">
        <v>6</v>
      </c>
      <c r="T276" s="878"/>
      <c r="U276" s="878"/>
      <c r="V276" s="878"/>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94"/>
      <c r="B307" s="195"/>
      <c r="C307" s="195"/>
      <c r="D307" s="195"/>
      <c r="E307" s="195"/>
      <c r="F307" s="195"/>
      <c r="G307" s="195"/>
      <c r="H307" s="195"/>
      <c r="I307" s="195"/>
      <c r="J307" s="195"/>
      <c r="K307" s="195"/>
      <c r="L307" s="195"/>
      <c r="M307" s="195"/>
      <c r="N307" s="195"/>
      <c r="O307" s="195"/>
      <c r="P307" s="195"/>
      <c r="Q307" s="224"/>
      <c r="R307" s="182"/>
      <c r="S307" s="225"/>
      <c r="T307" s="195"/>
      <c r="U307" s="195"/>
      <c r="V307" s="134"/>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 ref="A274:A276"/>
    <mergeCell ref="B274:C276"/>
    <mergeCell ref="D274:E274"/>
    <mergeCell ref="F274:F276"/>
    <mergeCell ref="G274:G276"/>
    <mergeCell ref="H274:H276"/>
    <mergeCell ref="I274:J276"/>
    <mergeCell ref="A270:C273"/>
    <mergeCell ref="D270:F273"/>
    <mergeCell ref="G270:H273"/>
    <mergeCell ref="I270:J273"/>
    <mergeCell ref="D276:E276"/>
    <mergeCell ref="G225:H225"/>
    <mergeCell ref="J225:K225"/>
    <mergeCell ref="G226:H226"/>
    <mergeCell ref="G230:H230"/>
    <mergeCell ref="D233:E233"/>
    <mergeCell ref="G233:H233"/>
    <mergeCell ref="S210:T210"/>
    <mergeCell ref="H213:I213"/>
    <mergeCell ref="H214:I214"/>
    <mergeCell ref="E215:F215"/>
    <mergeCell ref="G224:H224"/>
    <mergeCell ref="J224:K224"/>
    <mergeCell ref="S204:T204"/>
    <mergeCell ref="S205:T205"/>
    <mergeCell ref="S206:T206"/>
    <mergeCell ref="S207:T207"/>
    <mergeCell ref="S208:T208"/>
    <mergeCell ref="S209:T209"/>
    <mergeCell ref="J193:K193"/>
    <mergeCell ref="J194:K194"/>
    <mergeCell ref="J195:K195"/>
    <mergeCell ref="P195:Q195"/>
    <mergeCell ref="A197:V198"/>
    <mergeCell ref="H202:I202"/>
    <mergeCell ref="L184:M184"/>
    <mergeCell ref="L185:M185"/>
    <mergeCell ref="L186:M186"/>
    <mergeCell ref="L187:M187"/>
    <mergeCell ref="J191:K191"/>
    <mergeCell ref="J192:K192"/>
    <mergeCell ref="H182:I182"/>
    <mergeCell ref="J182:K182"/>
    <mergeCell ref="L182:M182"/>
    <mergeCell ref="T182:U182"/>
    <mergeCell ref="H183:I183"/>
    <mergeCell ref="J183:K183"/>
    <mergeCell ref="L183:M183"/>
    <mergeCell ref="B180:C180"/>
    <mergeCell ref="D180:E181"/>
    <mergeCell ref="H180:M180"/>
    <mergeCell ref="T180:U180"/>
    <mergeCell ref="B181:C181"/>
    <mergeCell ref="T181:U181"/>
    <mergeCell ref="G137:H137"/>
    <mergeCell ref="J137:K137"/>
    <mergeCell ref="G138:H138"/>
    <mergeCell ref="G142:H142"/>
    <mergeCell ref="D145:E145"/>
    <mergeCell ref="G145:H145"/>
    <mergeCell ref="S122:T122"/>
    <mergeCell ref="H125:I125"/>
    <mergeCell ref="H126:I126"/>
    <mergeCell ref="E127:F127"/>
    <mergeCell ref="G136:H136"/>
    <mergeCell ref="J136:K136"/>
    <mergeCell ref="S116:T116"/>
    <mergeCell ref="S117:T117"/>
    <mergeCell ref="S118:T118"/>
    <mergeCell ref="S119:T119"/>
    <mergeCell ref="S120:T120"/>
    <mergeCell ref="S121:T121"/>
    <mergeCell ref="J105:K105"/>
    <mergeCell ref="J106:K106"/>
    <mergeCell ref="J107:K107"/>
    <mergeCell ref="P107:Q107"/>
    <mergeCell ref="A109:V110"/>
    <mergeCell ref="H114:I114"/>
    <mergeCell ref="J96:K96"/>
    <mergeCell ref="J97:K97"/>
    <mergeCell ref="J98:K98"/>
    <mergeCell ref="J99:K99"/>
    <mergeCell ref="J103:K103"/>
    <mergeCell ref="J104:K104"/>
    <mergeCell ref="H94:I94"/>
    <mergeCell ref="J94:K94"/>
    <mergeCell ref="L94:M94"/>
    <mergeCell ref="T94:U94"/>
    <mergeCell ref="H95:I95"/>
    <mergeCell ref="J95:K95"/>
    <mergeCell ref="L95:M95"/>
    <mergeCell ref="B92:C92"/>
    <mergeCell ref="D92:E93"/>
    <mergeCell ref="H92:M92"/>
    <mergeCell ref="T92:U92"/>
    <mergeCell ref="B93:C93"/>
    <mergeCell ref="T93:U93"/>
    <mergeCell ref="G52:H52"/>
    <mergeCell ref="J52:K52"/>
    <mergeCell ref="G53:H53"/>
    <mergeCell ref="G57:H57"/>
    <mergeCell ref="D60:E60"/>
    <mergeCell ref="G60:H60"/>
    <mergeCell ref="S37:T37"/>
    <mergeCell ref="S38:T38"/>
    <mergeCell ref="H40:I40"/>
    <mergeCell ref="H41:I41"/>
    <mergeCell ref="E42:F42"/>
    <mergeCell ref="G51:H51"/>
    <mergeCell ref="J51:K51"/>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s>
  <conditionalFormatting sqref="G61 G146 G234">
    <cfRule type="cellIs" dxfId="117"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codeName="Sheet34">
    <tabColor rgb="FFFFFF00"/>
  </sheetPr>
  <dimension ref="A1:Y126"/>
  <sheetViews>
    <sheetView showZeros="0" view="pageBreakPreview" topLeftCell="A37"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[4]Title!O2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[4]Title!O3</f>
        <v>Document No.</v>
      </c>
      <c r="P3" s="886"/>
      <c r="Q3" s="887"/>
      <c r="R3" s="1292" t="str">
        <f>Title!R3</f>
        <v>-</v>
      </c>
      <c r="S3" s="1293"/>
      <c r="T3" s="1293"/>
      <c r="U3" s="1293"/>
      <c r="V3" s="1294"/>
      <c r="W3" s="14"/>
      <c r="X3" s="14"/>
    </row>
    <row r="4" spans="1:24" ht="18" customHeight="1">
      <c r="A4" s="926"/>
      <c r="B4" s="927"/>
      <c r="C4" s="927"/>
      <c r="D4" s="927"/>
      <c r="E4" s="927"/>
      <c r="F4" s="927"/>
      <c r="G4" s="928"/>
      <c r="H4" s="1086"/>
      <c r="I4" s="1087"/>
      <c r="J4" s="1087"/>
      <c r="K4" s="1087"/>
      <c r="L4" s="1087"/>
      <c r="M4" s="1087"/>
      <c r="N4" s="1088"/>
      <c r="O4" s="885" t="str">
        <f>[4]Title!O4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[4]Title!D5</f>
        <v>Checked By</v>
      </c>
      <c r="E5" s="881"/>
      <c r="F5" s="943"/>
      <c r="G5" s="25" t="str">
        <f>[4]Title!G5</f>
        <v>LN</v>
      </c>
      <c r="H5" s="1229" t="s">
        <v>892</v>
      </c>
      <c r="I5" s="1230"/>
      <c r="J5" s="1230"/>
      <c r="K5" s="1230"/>
      <c r="L5" s="1230"/>
      <c r="M5" s="1230"/>
      <c r="N5" s="1231"/>
      <c r="O5" s="947" t="str">
        <f>[4]Title!O5</f>
        <v>Contractor</v>
      </c>
      <c r="P5" s="948"/>
      <c r="Q5" s="949"/>
      <c r="R5" s="775" t="str">
        <f>Title!R5</f>
        <v>HITACHI</v>
      </c>
      <c r="S5" s="1068"/>
      <c r="T5" s="1068"/>
      <c r="U5" s="1068"/>
      <c r="V5" s="776"/>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75" t="s">
        <v>113</v>
      </c>
      <c r="E7" s="1076"/>
      <c r="F7" s="255"/>
      <c r="H7" s="14"/>
      <c r="I7" s="14"/>
      <c r="J7" s="14"/>
      <c r="K7" s="14"/>
      <c r="L7" s="14"/>
      <c r="M7" s="14"/>
      <c r="P7" s="186"/>
      <c r="S7" s="187" t="s">
        <v>387</v>
      </c>
      <c r="T7" s="1075" t="s">
        <v>893</v>
      </c>
      <c r="U7" s="1076"/>
      <c r="V7" s="185"/>
    </row>
    <row r="8" spans="1:24" ht="18" customHeight="1">
      <c r="A8" s="184"/>
      <c r="B8"/>
      <c r="C8"/>
      <c r="D8"/>
      <c r="E8"/>
      <c r="F8" s="255"/>
      <c r="T8"/>
      <c r="U8"/>
      <c r="V8" s="185"/>
    </row>
    <row r="9" spans="1:24" ht="18" customHeight="1">
      <c r="A9" s="184"/>
      <c r="H9" s="789" t="s">
        <v>390</v>
      </c>
      <c r="I9" s="789"/>
      <c r="J9" s="790" t="s">
        <v>391</v>
      </c>
      <c r="K9" s="790"/>
      <c r="L9" s="790" t="s">
        <v>392</v>
      </c>
      <c r="M9" s="790"/>
      <c r="T9"/>
      <c r="U9"/>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v>750</v>
      </c>
      <c r="I13" s="1076"/>
      <c r="J13" s="14" t="s">
        <v>305</v>
      </c>
      <c r="V13" s="185"/>
      <c r="W13" s="30" t="str">
        <f>G58</f>
        <v>Suitably Dimentioned</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2" ht="18" customHeight="1">
      <c r="A17" s="184"/>
      <c r="V17" s="185"/>
    </row>
    <row r="18" spans="1:22" ht="18" customHeight="1">
      <c r="A18" s="184"/>
      <c r="B18" s="135" t="s">
        <v>405</v>
      </c>
      <c r="C18" s="273"/>
      <c r="D18" s="139" t="str">
        <f>T7</f>
        <v>REF650</v>
      </c>
      <c r="E18" s="227"/>
      <c r="F18" s="227"/>
      <c r="G18" s="227"/>
      <c r="H18" s="138"/>
      <c r="I18" s="260" t="s">
        <v>127</v>
      </c>
      <c r="J18" s="1079">
        <f>'CT-VT Burdens'!Q104</f>
        <v>0.02</v>
      </c>
      <c r="K18" s="1080"/>
      <c r="L18" s="3" t="s">
        <v>157</v>
      </c>
      <c r="N18" s="197" t="s">
        <v>510</v>
      </c>
      <c r="V18" s="185"/>
    </row>
    <row r="19" spans="1:22" ht="18" customHeight="1">
      <c r="A19" s="184"/>
      <c r="B19" s="96" t="s">
        <v>405</v>
      </c>
      <c r="D19" s="296">
        <f>T8</f>
        <v>0</v>
      </c>
      <c r="I19" s="177" t="s">
        <v>127</v>
      </c>
      <c r="J19" s="1232"/>
      <c r="K19" s="1233"/>
      <c r="L19" s="198" t="s">
        <v>157</v>
      </c>
      <c r="P19" s="244"/>
      <c r="V19" s="185"/>
    </row>
    <row r="20" spans="1:22" ht="18" customHeight="1">
      <c r="A20" s="184"/>
      <c r="B20" s="96" t="s">
        <v>405</v>
      </c>
      <c r="C20" s="14"/>
      <c r="D20" s="47">
        <f>T9</f>
        <v>0</v>
      </c>
      <c r="E20" s="14"/>
      <c r="G20" s="199"/>
      <c r="H20" s="27"/>
      <c r="I20" s="101" t="s">
        <v>127</v>
      </c>
      <c r="J20" s="1220"/>
      <c r="K20" s="1221"/>
      <c r="L20" s="202" t="s">
        <v>157</v>
      </c>
      <c r="N20" s="28" t="s">
        <v>491</v>
      </c>
      <c r="O20" s="27" t="s">
        <v>127</v>
      </c>
      <c r="P20" s="27" t="s">
        <v>511</v>
      </c>
      <c r="Q20" s="27" t="s">
        <v>315</v>
      </c>
      <c r="R20" s="27" t="s">
        <v>511</v>
      </c>
      <c r="S20" s="27" t="s">
        <v>315</v>
      </c>
      <c r="T20" s="27" t="s">
        <v>420</v>
      </c>
      <c r="V20" s="185"/>
    </row>
    <row r="21" spans="1:22" ht="18" customHeight="1">
      <c r="A21" s="184"/>
      <c r="B21" s="184" t="s">
        <v>412</v>
      </c>
      <c r="C21" s="14"/>
      <c r="D21" s="14"/>
      <c r="E21" s="14"/>
      <c r="H21" s="27"/>
      <c r="I21" s="101" t="s">
        <v>127</v>
      </c>
      <c r="J21" s="1081">
        <f>'CT-VT Burdens'!S69</f>
        <v>2.5889401199999997</v>
      </c>
      <c r="K21" s="1082"/>
      <c r="L21" s="297" t="s">
        <v>157</v>
      </c>
      <c r="O21" s="27" t="s">
        <v>127</v>
      </c>
      <c r="P21" s="27">
        <f>O10</f>
        <v>1</v>
      </c>
      <c r="Q21" s="27" t="s">
        <v>315</v>
      </c>
      <c r="R21" s="27">
        <f>O10</f>
        <v>1</v>
      </c>
      <c r="S21" s="27" t="s">
        <v>315</v>
      </c>
      <c r="T21" s="27">
        <f>H12</f>
        <v>5</v>
      </c>
      <c r="V21" s="185"/>
    </row>
    <row r="22" spans="1:22" ht="18" customHeight="1">
      <c r="A22" s="184"/>
      <c r="B22" s="1" t="s">
        <v>413</v>
      </c>
      <c r="C22" s="2"/>
      <c r="D22" s="2"/>
      <c r="E22" s="2"/>
      <c r="F22" s="196"/>
      <c r="G22" s="196"/>
      <c r="H22" s="224" t="s">
        <v>512</v>
      </c>
      <c r="I22" s="183" t="s">
        <v>127</v>
      </c>
      <c r="J22" s="722">
        <f>SUM(J18:J21)</f>
        <v>2.6089401199999998</v>
      </c>
      <c r="K22" s="958"/>
      <c r="L22" s="3" t="s">
        <v>157</v>
      </c>
      <c r="O22" s="27" t="s">
        <v>127</v>
      </c>
      <c r="P22" s="795">
        <f>P21*R21*T21</f>
        <v>5</v>
      </c>
      <c r="Q22" s="684"/>
      <c r="R22" s="27" t="s">
        <v>157</v>
      </c>
      <c r="S22" s="27"/>
      <c r="T22" s="27"/>
      <c r="V22" s="185"/>
    </row>
    <row r="23" spans="1:22" ht="18" customHeight="1">
      <c r="A23" s="184"/>
      <c r="B23" s="47"/>
      <c r="C23" s="47"/>
      <c r="D23" s="47"/>
      <c r="E23" s="47"/>
      <c r="H23" s="27"/>
      <c r="I23" s="28"/>
      <c r="J23" s="199"/>
      <c r="L23" s="47"/>
      <c r="O23" s="27"/>
      <c r="P23" s="211"/>
      <c r="Q23" s="27"/>
      <c r="R23" s="204"/>
      <c r="S23" s="27"/>
      <c r="V23" s="185"/>
    </row>
    <row r="24" spans="1:22"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row>
    <row r="25" spans="1:22"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2" ht="18" customHeight="1">
      <c r="A26" s="184"/>
      <c r="Q26" s="211"/>
      <c r="R26" s="192"/>
      <c r="V26" s="185"/>
    </row>
    <row r="27" spans="1:22" ht="18" customHeight="1">
      <c r="A27" s="184"/>
      <c r="C27" s="28" t="s">
        <v>473</v>
      </c>
      <c r="D27" s="28" t="s">
        <v>127</v>
      </c>
      <c r="E27" s="28" t="s">
        <v>537</v>
      </c>
      <c r="F27" s="28" t="s">
        <v>493</v>
      </c>
      <c r="G27" s="28" t="s">
        <v>347</v>
      </c>
      <c r="H27" s="28" t="s">
        <v>491</v>
      </c>
      <c r="I27" s="28" t="s">
        <v>538</v>
      </c>
      <c r="J27" s="28" t="s">
        <v>495</v>
      </c>
      <c r="K27" s="28" t="s">
        <v>539</v>
      </c>
      <c r="L27" s="28" t="s">
        <v>511</v>
      </c>
      <c r="M27" s="28" t="s">
        <v>315</v>
      </c>
      <c r="N27" s="28">
        <v>1.3</v>
      </c>
      <c r="O27" s="47" t="s">
        <v>350</v>
      </c>
      <c r="V27" s="185"/>
    </row>
    <row r="28" spans="1:22" ht="18" customHeight="1">
      <c r="A28" s="539" t="s">
        <v>540</v>
      </c>
      <c r="C28" s="28"/>
      <c r="D28" s="28"/>
      <c r="E28" s="14"/>
      <c r="F28" s="14"/>
      <c r="G28" s="14"/>
      <c r="H28" s="14"/>
      <c r="I28" s="14"/>
      <c r="J28" s="14"/>
      <c r="K28" s="14"/>
      <c r="L28" s="14"/>
      <c r="M28" s="14"/>
      <c r="N28" s="14"/>
      <c r="O28" s="14"/>
      <c r="V28" s="185"/>
    </row>
    <row r="29" spans="1:22" ht="18" customHeight="1">
      <c r="A29" s="184"/>
      <c r="C29" s="28" t="s">
        <v>493</v>
      </c>
      <c r="D29" s="28" t="s">
        <v>127</v>
      </c>
      <c r="E29" s="28" t="s">
        <v>537</v>
      </c>
      <c r="F29" s="28">
        <v>1.3</v>
      </c>
      <c r="G29" s="28" t="s">
        <v>315</v>
      </c>
      <c r="H29" s="689" t="s">
        <v>473</v>
      </c>
      <c r="I29" s="716"/>
      <c r="J29" s="28" t="s">
        <v>315</v>
      </c>
      <c r="K29" s="28" t="s">
        <v>511</v>
      </c>
      <c r="L29" s="28" t="s">
        <v>541</v>
      </c>
      <c r="M29" s="28" t="s">
        <v>495</v>
      </c>
      <c r="N29" s="47" t="s">
        <v>542</v>
      </c>
      <c r="O29" s="28" t="s">
        <v>491</v>
      </c>
      <c r="V29" s="185"/>
    </row>
    <row r="30" spans="1:22" ht="18" customHeight="1">
      <c r="A30" s="184"/>
      <c r="V30" s="185"/>
    </row>
    <row r="31" spans="1:22" ht="18" customHeight="1">
      <c r="A31" s="168"/>
      <c r="B31" s="5"/>
      <c r="C31" s="47" t="s">
        <v>543</v>
      </c>
      <c r="D31" s="14"/>
      <c r="E31" s="14"/>
      <c r="F31" s="14"/>
      <c r="G31" s="14"/>
      <c r="H31" s="279"/>
      <c r="I31" s="120"/>
      <c r="J31" s="279"/>
      <c r="K31" s="279"/>
      <c r="L31" s="14"/>
      <c r="M31" s="14"/>
      <c r="N31" s="14"/>
      <c r="O31" s="14"/>
      <c r="P31" s="14"/>
      <c r="Q31" s="120" t="s">
        <v>544</v>
      </c>
      <c r="R31" s="102" t="s">
        <v>127</v>
      </c>
      <c r="S31" s="689">
        <f>'Parameters &amp; Fault Cal. (4)'!Q10 *1000</f>
        <v>50000</v>
      </c>
      <c r="T31" s="689"/>
      <c r="U31" s="47" t="s">
        <v>8</v>
      </c>
      <c r="V31" s="185"/>
    </row>
    <row r="32" spans="1:22" ht="18" customHeight="1">
      <c r="A32" s="168"/>
      <c r="B32" s="5"/>
      <c r="C32" s="47" t="s">
        <v>545</v>
      </c>
      <c r="D32" s="14"/>
      <c r="E32" s="14"/>
      <c r="F32" s="18"/>
      <c r="G32" s="18"/>
      <c r="H32" s="279"/>
      <c r="I32" s="120"/>
      <c r="J32" s="279"/>
      <c r="K32" s="279"/>
      <c r="L32" s="14"/>
      <c r="M32" s="14"/>
      <c r="N32" s="14"/>
      <c r="O32" s="14"/>
      <c r="P32" s="14"/>
      <c r="Q32" s="120" t="s">
        <v>423</v>
      </c>
      <c r="R32" s="102" t="s">
        <v>127</v>
      </c>
      <c r="S32" s="689">
        <f>H10</f>
        <v>2500</v>
      </c>
      <c r="T32" s="689"/>
      <c r="U32" s="14" t="s">
        <v>8</v>
      </c>
      <c r="V32" s="185"/>
    </row>
    <row r="33" spans="1:25" ht="18" customHeight="1">
      <c r="A33" s="168"/>
      <c r="B33" s="5"/>
      <c r="C33" s="47" t="s">
        <v>546</v>
      </c>
      <c r="D33" s="14"/>
      <c r="E33" s="14"/>
      <c r="F33" s="18"/>
      <c r="G33" s="18"/>
      <c r="H33" s="279"/>
      <c r="I33" s="120"/>
      <c r="J33" s="279"/>
      <c r="K33" s="279"/>
      <c r="L33" s="14"/>
      <c r="M33" s="14"/>
      <c r="N33" s="14"/>
      <c r="O33" s="14"/>
      <c r="P33" s="14"/>
      <c r="Q33" s="120" t="s">
        <v>473</v>
      </c>
      <c r="R33" s="102" t="s">
        <v>127</v>
      </c>
      <c r="S33" s="689">
        <f>H13</f>
        <v>750</v>
      </c>
      <c r="T33" s="689"/>
      <c r="U33" s="14" t="s">
        <v>305</v>
      </c>
      <c r="V33" s="185"/>
    </row>
    <row r="34" spans="1:25" ht="18" customHeight="1">
      <c r="A34" s="168"/>
      <c r="B34" s="5"/>
      <c r="C34" s="47" t="s">
        <v>547</v>
      </c>
      <c r="D34" s="14"/>
      <c r="E34" s="14"/>
      <c r="F34" s="18"/>
      <c r="G34" s="18"/>
      <c r="H34" s="279"/>
      <c r="I34" s="120"/>
      <c r="J34" s="279"/>
      <c r="K34" s="279"/>
      <c r="L34" s="14"/>
      <c r="M34" s="14"/>
      <c r="N34" s="14"/>
      <c r="O34" s="14"/>
      <c r="P34" s="14"/>
      <c r="Q34" s="120" t="s">
        <v>491</v>
      </c>
      <c r="R34" s="102" t="s">
        <v>127</v>
      </c>
      <c r="S34" s="692">
        <f>P22</f>
        <v>5</v>
      </c>
      <c r="T34" s="689"/>
      <c r="U34" s="14" t="s">
        <v>157</v>
      </c>
      <c r="V34" s="185"/>
      <c r="W34" s="279"/>
      <c r="X34" s="279"/>
      <c r="Y34" s="279"/>
    </row>
    <row r="35" spans="1:25" ht="18" customHeight="1">
      <c r="A35" s="168"/>
      <c r="B35" s="5"/>
      <c r="C35" s="47" t="s">
        <v>548</v>
      </c>
      <c r="D35" s="14"/>
      <c r="E35" s="14"/>
      <c r="F35" s="18"/>
      <c r="G35" s="18"/>
      <c r="H35" s="279"/>
      <c r="I35" s="120"/>
      <c r="J35" s="279"/>
      <c r="K35" s="279"/>
      <c r="L35" s="14"/>
      <c r="M35" s="14"/>
      <c r="N35" s="14"/>
      <c r="O35" s="14"/>
      <c r="P35" s="14"/>
      <c r="Q35" s="120" t="s">
        <v>512</v>
      </c>
      <c r="R35" s="102" t="s">
        <v>127</v>
      </c>
      <c r="S35" s="692">
        <f>J22</f>
        <v>2.6089401199999998</v>
      </c>
      <c r="T35" s="689"/>
      <c r="U35" s="14" t="s">
        <v>157</v>
      </c>
      <c r="V35" s="185"/>
      <c r="X35" s="279"/>
      <c r="Y35" s="279"/>
    </row>
    <row r="36" spans="1:25" ht="18" customHeight="1">
      <c r="A36" s="168"/>
      <c r="B36" s="5"/>
      <c r="C36" s="47" t="s">
        <v>549</v>
      </c>
      <c r="D36" s="14"/>
      <c r="E36" s="14"/>
      <c r="F36" s="14"/>
      <c r="G36" s="14"/>
      <c r="H36" s="279"/>
      <c r="I36" s="120"/>
      <c r="J36" s="279"/>
      <c r="K36" s="279"/>
      <c r="L36" s="14"/>
      <c r="M36" s="14"/>
      <c r="N36" s="14"/>
      <c r="O36" s="14"/>
      <c r="P36" s="14"/>
      <c r="Q36" s="120" t="s">
        <v>511</v>
      </c>
      <c r="R36" s="102" t="s">
        <v>127</v>
      </c>
      <c r="S36" s="689">
        <f>O10</f>
        <v>1</v>
      </c>
      <c r="T36" s="689"/>
      <c r="U36" s="14" t="s">
        <v>8</v>
      </c>
      <c r="V36" s="185"/>
      <c r="X36" s="279"/>
      <c r="Y36" s="279"/>
    </row>
    <row r="37" spans="1:25" ht="18" customHeight="1">
      <c r="A37" s="168"/>
      <c r="B37" s="5"/>
      <c r="C37" s="47" t="s">
        <v>550</v>
      </c>
      <c r="D37" s="14"/>
      <c r="E37" s="14"/>
      <c r="F37" s="14"/>
      <c r="G37" s="14"/>
      <c r="H37" s="279"/>
      <c r="I37" s="120"/>
      <c r="J37" s="279"/>
      <c r="K37" s="279"/>
      <c r="L37" s="14"/>
      <c r="M37" s="14"/>
      <c r="N37" s="14"/>
      <c r="O37" s="14"/>
      <c r="P37" s="14"/>
      <c r="Q37" s="120" t="s">
        <v>495</v>
      </c>
      <c r="R37" s="102" t="s">
        <v>127</v>
      </c>
      <c r="S37" s="689">
        <v>20</v>
      </c>
      <c r="T37" s="689"/>
      <c r="U37" s="47"/>
      <c r="V37" s="185"/>
    </row>
    <row r="38" spans="1:25" ht="18" customHeight="1">
      <c r="A38" s="299"/>
      <c r="B38" s="279"/>
      <c r="C38" s="47" t="s">
        <v>492</v>
      </c>
      <c r="D38" s="14"/>
      <c r="E38" s="14"/>
      <c r="F38" s="14"/>
      <c r="G38" s="14"/>
      <c r="H38" s="279"/>
      <c r="I38" s="120"/>
      <c r="J38" s="279"/>
      <c r="K38" s="279"/>
      <c r="L38" s="14"/>
      <c r="M38" s="14"/>
      <c r="N38" s="279"/>
      <c r="O38" s="279"/>
      <c r="P38" s="14"/>
      <c r="Q38" s="120" t="s">
        <v>493</v>
      </c>
      <c r="R38" s="27" t="s">
        <v>127</v>
      </c>
      <c r="S38" s="684">
        <f>E42</f>
        <v>43.75</v>
      </c>
      <c r="T38" s="684"/>
      <c r="U38" s="279"/>
      <c r="V38" s="300"/>
      <c r="W38" s="279"/>
      <c r="X38" s="279"/>
      <c r="Y38" s="279"/>
    </row>
    <row r="39" spans="1:25" ht="18" customHeight="1">
      <c r="A39" s="184"/>
      <c r="V39" s="185"/>
    </row>
    <row r="40" spans="1:25" ht="18" customHeight="1">
      <c r="A40" s="184"/>
      <c r="C40" s="28" t="s">
        <v>493</v>
      </c>
      <c r="D40" s="28" t="s">
        <v>127</v>
      </c>
      <c r="E40" s="28" t="s">
        <v>537</v>
      </c>
      <c r="F40" s="221">
        <v>1.3</v>
      </c>
      <c r="G40" s="221" t="s">
        <v>315</v>
      </c>
      <c r="H40" s="805" t="s">
        <v>473</v>
      </c>
      <c r="I40" s="815"/>
      <c r="J40" s="221" t="s">
        <v>315</v>
      </c>
      <c r="K40" s="221" t="s">
        <v>511</v>
      </c>
      <c r="L40" s="221" t="s">
        <v>541</v>
      </c>
      <c r="M40" s="221" t="s">
        <v>495</v>
      </c>
      <c r="N40" s="527" t="s">
        <v>542</v>
      </c>
      <c r="O40" s="221" t="s">
        <v>491</v>
      </c>
      <c r="V40" s="185"/>
    </row>
    <row r="41" spans="1:25" ht="18" customHeight="1">
      <c r="A41" s="184"/>
      <c r="C41" s="120"/>
      <c r="D41" s="27" t="s">
        <v>127</v>
      </c>
      <c r="E41" s="27" t="s">
        <v>537</v>
      </c>
      <c r="F41" s="245">
        <v>1.3</v>
      </c>
      <c r="G41" s="245" t="s">
        <v>315</v>
      </c>
      <c r="H41" s="993">
        <f>S33</f>
        <v>750</v>
      </c>
      <c r="I41" s="1234"/>
      <c r="J41" s="245" t="s">
        <v>315</v>
      </c>
      <c r="K41" s="245">
        <f>S36</f>
        <v>1</v>
      </c>
      <c r="L41" s="245" t="s">
        <v>541</v>
      </c>
      <c r="M41" s="245">
        <f>S37</f>
        <v>20</v>
      </c>
      <c r="N41" s="461" t="s">
        <v>542</v>
      </c>
      <c r="O41" s="502">
        <f>S34</f>
        <v>5</v>
      </c>
      <c r="V41" s="185"/>
    </row>
    <row r="42" spans="1:25" ht="18" customHeight="1">
      <c r="A42" s="184"/>
      <c r="D42" s="27" t="s">
        <v>127</v>
      </c>
      <c r="E42" s="684">
        <f>((F41*H41)/(K41*M41))-O41</f>
        <v>43.75</v>
      </c>
      <c r="F42" s="684"/>
      <c r="G42" s="27" t="s">
        <v>157</v>
      </c>
      <c r="V42" s="185"/>
    </row>
    <row r="43" spans="1:25" ht="18" customHeight="1">
      <c r="A43" s="184"/>
      <c r="D43" s="27"/>
      <c r="E43" s="27"/>
      <c r="F43" s="27"/>
      <c r="G43" s="27"/>
      <c r="V43" s="185"/>
    </row>
    <row r="44" spans="1:25" ht="18" customHeight="1">
      <c r="A44" s="184"/>
      <c r="D44" s="27"/>
      <c r="E44" s="27"/>
      <c r="F44" s="27"/>
      <c r="G44" s="27"/>
      <c r="V44" s="185"/>
    </row>
    <row r="45" spans="1:25" ht="18" customHeight="1">
      <c r="A45" s="184"/>
      <c r="D45" s="27"/>
      <c r="E45" s="27"/>
      <c r="F45" s="27"/>
      <c r="G45" s="27"/>
      <c r="V45" s="185"/>
    </row>
    <row r="46" spans="1:25" ht="18" customHeight="1">
      <c r="A46" s="290"/>
      <c r="B46" s="196"/>
      <c r="C46" s="196"/>
      <c r="D46" s="307"/>
      <c r="E46" s="307"/>
      <c r="F46" s="307"/>
      <c r="G46" s="307"/>
      <c r="H46" s="196"/>
      <c r="I46" s="196"/>
      <c r="J46" s="196"/>
      <c r="K46" s="196"/>
      <c r="L46" s="196"/>
      <c r="M46" s="196"/>
      <c r="N46" s="196"/>
      <c r="O46" s="196"/>
      <c r="P46" s="196"/>
      <c r="Q46" s="196"/>
      <c r="R46" s="196"/>
      <c r="S46" s="196"/>
      <c r="T46" s="196"/>
      <c r="U46" s="196"/>
      <c r="V46" s="291"/>
    </row>
    <row r="47" spans="1:25" ht="18" customHeight="1">
      <c r="A47" s="226"/>
      <c r="B47" s="227"/>
      <c r="C47" s="227"/>
      <c r="D47" s="311"/>
      <c r="E47" s="311"/>
      <c r="F47" s="311"/>
      <c r="G47" s="311"/>
      <c r="H47" s="227"/>
      <c r="I47" s="227"/>
      <c r="J47" s="227"/>
      <c r="K47" s="227"/>
      <c r="L47" s="227"/>
      <c r="M47" s="227"/>
      <c r="N47" s="227"/>
      <c r="O47" s="227"/>
      <c r="P47" s="227"/>
      <c r="Q47" s="227"/>
      <c r="R47" s="227"/>
      <c r="S47" s="227"/>
      <c r="T47" s="227"/>
      <c r="U47" s="227"/>
      <c r="V47" s="228"/>
    </row>
    <row r="48" spans="1:25" ht="18" customHeight="1">
      <c r="A48" s="184"/>
      <c r="E48" s="244" t="s">
        <v>111</v>
      </c>
      <c r="F48" s="27" t="s">
        <v>127</v>
      </c>
      <c r="G48" s="689" t="s">
        <v>544</v>
      </c>
      <c r="H48" s="689"/>
      <c r="I48" s="191" t="s">
        <v>342</v>
      </c>
      <c r="J48" s="684" t="s">
        <v>423</v>
      </c>
      <c r="K48" s="684"/>
      <c r="V48" s="185"/>
    </row>
    <row r="49" spans="1:22" ht="18" customHeight="1">
      <c r="A49" s="184"/>
      <c r="F49" s="27" t="s">
        <v>127</v>
      </c>
      <c r="G49" s="684">
        <f>S31</f>
        <v>50000</v>
      </c>
      <c r="H49" s="684"/>
      <c r="I49" s="191" t="s">
        <v>342</v>
      </c>
      <c r="J49" s="684">
        <f>S32</f>
        <v>2500</v>
      </c>
      <c r="K49" s="684"/>
      <c r="V49" s="185"/>
    </row>
    <row r="50" spans="1:22" ht="18" customHeight="1">
      <c r="A50" s="184"/>
      <c r="F50" s="27" t="s">
        <v>127</v>
      </c>
      <c r="G50" s="795">
        <f>G49/J49</f>
        <v>20</v>
      </c>
      <c r="H50" s="795"/>
      <c r="I50" s="27"/>
      <c r="J50" s="27"/>
      <c r="K50" s="27"/>
      <c r="V50" s="185"/>
    </row>
    <row r="51" spans="1:22" ht="18" customHeight="1">
      <c r="A51" s="184"/>
      <c r="V51" s="185"/>
    </row>
    <row r="52" spans="1:22" ht="18" customHeight="1">
      <c r="A52" s="184"/>
      <c r="E52" s="244" t="s">
        <v>553</v>
      </c>
      <c r="F52" s="27" t="s">
        <v>127</v>
      </c>
      <c r="G52" s="245" t="s">
        <v>495</v>
      </c>
      <c r="H52" s="245" t="s">
        <v>554</v>
      </c>
      <c r="I52" s="221" t="s">
        <v>491</v>
      </c>
      <c r="J52" s="221" t="s">
        <v>347</v>
      </c>
      <c r="K52" s="221" t="s">
        <v>493</v>
      </c>
      <c r="L52" s="221" t="s">
        <v>539</v>
      </c>
      <c r="M52" s="221" t="s">
        <v>491</v>
      </c>
      <c r="N52" s="221" t="s">
        <v>347</v>
      </c>
      <c r="O52" s="221" t="s">
        <v>512</v>
      </c>
      <c r="P52" s="27" t="s">
        <v>350</v>
      </c>
      <c r="V52" s="185"/>
    </row>
    <row r="53" spans="1:22" ht="18" customHeight="1">
      <c r="A53" s="184"/>
      <c r="F53" s="27" t="s">
        <v>127</v>
      </c>
      <c r="G53" s="245">
        <f>S37</f>
        <v>20</v>
      </c>
      <c r="H53" s="245" t="s">
        <v>554</v>
      </c>
      <c r="I53" s="301">
        <f>S34</f>
        <v>5</v>
      </c>
      <c r="J53" s="245" t="s">
        <v>347</v>
      </c>
      <c r="K53" s="301">
        <f>E42</f>
        <v>43.75</v>
      </c>
      <c r="L53" s="245" t="s">
        <v>539</v>
      </c>
      <c r="M53" s="301">
        <f>S34</f>
        <v>5</v>
      </c>
      <c r="N53" s="245" t="s">
        <v>347</v>
      </c>
      <c r="O53" s="301">
        <f>S35</f>
        <v>2.6089401199999998</v>
      </c>
      <c r="P53" s="27" t="s">
        <v>350</v>
      </c>
      <c r="V53" s="185"/>
    </row>
    <row r="54" spans="1:22" ht="18" customHeight="1">
      <c r="A54" s="184"/>
      <c r="F54" s="27" t="s">
        <v>127</v>
      </c>
      <c r="G54" s="1111">
        <f>G53*((I53+K53)/(M53+O53))</f>
        <v>128.13874003781751</v>
      </c>
      <c r="H54" s="1111"/>
      <c r="I54" s="242"/>
      <c r="J54" s="242"/>
      <c r="K54" s="242"/>
      <c r="L54" s="242"/>
      <c r="M54" s="242"/>
      <c r="N54" s="242"/>
      <c r="O54" s="242"/>
      <c r="V54" s="185"/>
    </row>
    <row r="55" spans="1:22" ht="18" customHeight="1">
      <c r="A55" s="184"/>
      <c r="V55" s="185"/>
    </row>
    <row r="56" spans="1:22" ht="18" customHeight="1">
      <c r="A56" s="184"/>
      <c r="E56" s="244" t="s">
        <v>555</v>
      </c>
      <c r="F56" s="27" t="str">
        <f>IF(D57&gt;G57,"&gt;","&lt;")</f>
        <v>&gt;</v>
      </c>
      <c r="G56" s="296" t="s">
        <v>111</v>
      </c>
      <c r="V56" s="185"/>
    </row>
    <row r="57" spans="1:22" ht="18" customHeight="1">
      <c r="A57" s="184"/>
      <c r="D57" s="795">
        <f>G54</f>
        <v>128.13874003781751</v>
      </c>
      <c r="E57" s="795"/>
      <c r="F57" s="27" t="str">
        <f>F56</f>
        <v>&gt;</v>
      </c>
      <c r="G57" s="795">
        <f>G50</f>
        <v>20</v>
      </c>
      <c r="H57" s="795"/>
      <c r="V57" s="185"/>
    </row>
    <row r="58" spans="1:22" ht="18" customHeight="1">
      <c r="A58" s="184"/>
      <c r="E58" s="244" t="s">
        <v>478</v>
      </c>
      <c r="G58" s="18" t="str">
        <f>IF(F56="&gt;","Suitably Dimentioned","Under Dimentioned")</f>
        <v>Suitably Dimentioned</v>
      </c>
      <c r="V58" s="185"/>
    </row>
    <row r="59" spans="1:22" ht="18" customHeight="1">
      <c r="A59" s="184"/>
      <c r="V59" s="185"/>
    </row>
    <row r="60" spans="1:22" ht="18" customHeight="1">
      <c r="A60" s="184"/>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452"/>
      <c r="B86" s="207"/>
      <c r="C86" s="207"/>
      <c r="D86" s="207"/>
      <c r="E86" s="207"/>
      <c r="F86" s="207"/>
      <c r="G86" s="207"/>
      <c r="H86" s="207"/>
      <c r="I86" s="207"/>
      <c r="J86" s="207"/>
      <c r="K86" s="207"/>
      <c r="L86" s="207"/>
      <c r="M86" s="207"/>
      <c r="N86" s="207"/>
      <c r="O86" s="207"/>
      <c r="P86" s="207"/>
      <c r="Q86" s="207"/>
      <c r="R86" s="207"/>
      <c r="S86" s="207"/>
      <c r="T86" s="207"/>
      <c r="U86" s="207"/>
      <c r="V86" s="453"/>
    </row>
    <row r="87" spans="1:22" ht="18" customHeight="1">
      <c r="A87" s="290"/>
      <c r="B87" s="196"/>
      <c r="C87" s="196"/>
      <c r="D87" s="196"/>
      <c r="E87" s="196"/>
      <c r="F87" s="196"/>
      <c r="G87" s="196"/>
      <c r="H87" s="196"/>
      <c r="I87" s="196"/>
      <c r="J87" s="196"/>
      <c r="K87" s="196"/>
      <c r="L87" s="196"/>
      <c r="M87" s="196"/>
      <c r="N87" s="196"/>
      <c r="O87" s="196"/>
      <c r="P87" s="196"/>
      <c r="Q87" s="196"/>
      <c r="R87" s="196"/>
      <c r="S87" s="196"/>
      <c r="T87" s="196"/>
      <c r="U87" s="196"/>
      <c r="V87" s="291"/>
    </row>
    <row r="88" spans="1:22" ht="18"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2" ht="18" customHeight="1">
      <c r="A89" s="262" t="s">
        <v>532</v>
      </c>
      <c r="B89" s="14"/>
      <c r="C89" s="14"/>
      <c r="D89" s="120"/>
      <c r="E89" s="120"/>
      <c r="F89" s="18"/>
      <c r="G89" s="18"/>
      <c r="H89" s="14"/>
      <c r="I89" s="14"/>
      <c r="J89" s="14"/>
      <c r="K89" s="14"/>
      <c r="L89" s="14"/>
      <c r="M89" s="14"/>
      <c r="N89" s="14"/>
      <c r="O89" s="14"/>
      <c r="P89" s="28"/>
      <c r="Q89" s="120"/>
      <c r="R89" s="47"/>
      <c r="S89" s="206"/>
      <c r="T89" s="259"/>
      <c r="U89" s="14"/>
      <c r="V89" s="97"/>
    </row>
    <row r="90" spans="1:22" ht="56.4" customHeight="1">
      <c r="A90" s="868" t="s">
        <v>85</v>
      </c>
      <c r="B90" s="868"/>
      <c r="C90" s="869"/>
      <c r="D90" s="868" t="s">
        <v>86</v>
      </c>
      <c r="E90" s="868"/>
      <c r="F90" s="868"/>
      <c r="G90" s="868" t="s">
        <v>87</v>
      </c>
      <c r="H90" s="868"/>
      <c r="I90" s="868" t="s">
        <v>88</v>
      </c>
      <c r="J90" s="868"/>
      <c r="K90" s="955" t="s">
        <v>89</v>
      </c>
      <c r="L90" s="957"/>
      <c r="M90" s="955" t="s">
        <v>90</v>
      </c>
      <c r="N90" s="957"/>
      <c r="O90" s="955" t="s">
        <v>91</v>
      </c>
      <c r="P90" s="957"/>
      <c r="Q90" s="955" t="s">
        <v>92</v>
      </c>
      <c r="R90" s="957"/>
      <c r="S90" s="868" t="s">
        <v>93</v>
      </c>
      <c r="T90" s="868"/>
      <c r="U90" s="868"/>
      <c r="V90" s="868"/>
    </row>
    <row r="91" spans="1:22" ht="18" customHeight="1">
      <c r="A91" s="869" t="str">
        <f>B7</f>
        <v>T1</v>
      </c>
      <c r="B91" s="765" t="str">
        <f>D7</f>
        <v>Core4</v>
      </c>
      <c r="C91" s="765"/>
      <c r="D91" s="870">
        <f>H10</f>
        <v>2500</v>
      </c>
      <c r="E91" s="870"/>
      <c r="F91" s="871">
        <f>O10</f>
        <v>1</v>
      </c>
      <c r="G91" s="961">
        <f>'CT-VT Burdens'!S21</f>
        <v>120</v>
      </c>
      <c r="H91" s="874">
        <f>'CT-VT Burdens'!S10</f>
        <v>6</v>
      </c>
      <c r="I91" s="874" t="str">
        <f>H11</f>
        <v>PX-B</v>
      </c>
      <c r="J91" s="874"/>
      <c r="K91" s="869">
        <f>H12</f>
        <v>5</v>
      </c>
      <c r="L91" s="869"/>
      <c r="M91" s="869">
        <f>H13</f>
        <v>750</v>
      </c>
      <c r="N91" s="869"/>
      <c r="O91" s="870">
        <f>H14</f>
        <v>60</v>
      </c>
      <c r="P91" s="870"/>
      <c r="Q91" s="879" t="str">
        <f>T7</f>
        <v>REF650</v>
      </c>
      <c r="R91" s="879"/>
      <c r="S91" s="878" t="str">
        <f>G58</f>
        <v>Suitably Dimentioned</v>
      </c>
      <c r="T91" s="878"/>
      <c r="U91" s="878"/>
      <c r="V91" s="878"/>
    </row>
    <row r="92" spans="1:22" ht="18" customHeight="1">
      <c r="A92" s="869"/>
      <c r="B92" s="765"/>
      <c r="C92" s="765"/>
      <c r="D92" s="870" t="s">
        <v>6</v>
      </c>
      <c r="E92" s="870"/>
      <c r="F92" s="872"/>
      <c r="G92" s="961"/>
      <c r="H92" s="870"/>
      <c r="I92" s="874"/>
      <c r="J92" s="874"/>
      <c r="K92" s="869" t="s">
        <v>6</v>
      </c>
      <c r="L92" s="869"/>
      <c r="M92" s="869" t="s">
        <v>6</v>
      </c>
      <c r="N92" s="869"/>
      <c r="O92" s="870" t="s">
        <v>6</v>
      </c>
      <c r="P92" s="870"/>
      <c r="Q92" s="879"/>
      <c r="R92" s="879"/>
      <c r="S92" s="878" t="s">
        <v>6</v>
      </c>
      <c r="T92" s="878"/>
      <c r="U92" s="878"/>
      <c r="V92" s="878"/>
    </row>
    <row r="93" spans="1:22" ht="18" customHeight="1">
      <c r="A93" s="869"/>
      <c r="B93" s="765"/>
      <c r="C93" s="765"/>
      <c r="D93" s="870" t="s">
        <v>6</v>
      </c>
      <c r="E93" s="870"/>
      <c r="F93" s="873"/>
      <c r="G93" s="961"/>
      <c r="H93" s="870"/>
      <c r="I93" s="874"/>
      <c r="J93" s="874"/>
      <c r="K93" s="869" t="s">
        <v>6</v>
      </c>
      <c r="L93" s="869"/>
      <c r="M93" s="869" t="s">
        <v>6</v>
      </c>
      <c r="N93" s="869"/>
      <c r="O93" s="870" t="s">
        <v>6</v>
      </c>
      <c r="P93" s="870"/>
      <c r="Q93" s="879"/>
      <c r="R93" s="879"/>
      <c r="S93" s="878" t="s">
        <v>6</v>
      </c>
      <c r="T93" s="878"/>
      <c r="U93" s="878"/>
      <c r="V93" s="878"/>
    </row>
    <row r="94" spans="1:22" ht="18" customHeight="1">
      <c r="A94" s="184"/>
      <c r="V94" s="185"/>
    </row>
    <row r="95" spans="1:22" ht="18" customHeight="1">
      <c r="A95" s="184"/>
      <c r="V95" s="185"/>
    </row>
    <row r="96" spans="1:22" ht="18" customHeight="1">
      <c r="A96" s="184"/>
      <c r="V96" s="185"/>
    </row>
    <row r="97" spans="1:22" ht="18" customHeight="1">
      <c r="A97" s="184"/>
      <c r="V97" s="185"/>
    </row>
    <row r="98" spans="1:22" ht="18" customHeight="1">
      <c r="A98" s="184"/>
      <c r="V98" s="185"/>
    </row>
    <row r="99" spans="1:22" ht="18" customHeight="1">
      <c r="A99" s="184"/>
      <c r="V99" s="185"/>
    </row>
    <row r="100" spans="1:22" ht="18" customHeight="1">
      <c r="A100" s="184"/>
      <c r="V100" s="185"/>
    </row>
    <row r="101" spans="1:22" ht="18" customHeight="1">
      <c r="A101" s="184"/>
      <c r="V101" s="185"/>
    </row>
    <row r="102" spans="1:22" ht="18" customHeight="1">
      <c r="A102" s="184"/>
      <c r="V102" s="185"/>
    </row>
    <row r="103" spans="1:22" ht="18" customHeight="1">
      <c r="A103" s="184"/>
      <c r="V103" s="185"/>
    </row>
    <row r="104" spans="1:22" ht="18" customHeight="1">
      <c r="A104" s="184"/>
      <c r="V104" s="185"/>
    </row>
    <row r="105" spans="1:22" ht="18" customHeight="1">
      <c r="A105" s="184"/>
      <c r="V105" s="185"/>
    </row>
    <row r="106" spans="1:22" ht="18" customHeight="1">
      <c r="A106" s="184"/>
      <c r="V106" s="185"/>
    </row>
    <row r="107" spans="1:22" ht="18" customHeight="1">
      <c r="A107" s="184"/>
      <c r="V107" s="185"/>
    </row>
    <row r="108" spans="1:22" ht="18" customHeight="1">
      <c r="A108" s="184"/>
      <c r="V108" s="185"/>
    </row>
    <row r="109" spans="1:22" ht="18" customHeight="1">
      <c r="A109" s="184"/>
      <c r="V109" s="185"/>
    </row>
    <row r="110" spans="1:22" ht="18" customHeight="1">
      <c r="A110" s="184"/>
      <c r="V110" s="185"/>
    </row>
    <row r="111" spans="1:22" ht="18" customHeight="1">
      <c r="A111" s="184"/>
      <c r="V111" s="185"/>
    </row>
    <row r="112" spans="1:22" ht="18" customHeight="1">
      <c r="A112" s="184"/>
      <c r="V112" s="185"/>
    </row>
    <row r="113" spans="1:22" ht="18" customHeight="1">
      <c r="A113" s="184"/>
      <c r="V113" s="185"/>
    </row>
    <row r="114" spans="1:22" ht="18" customHeight="1">
      <c r="A114" s="184"/>
      <c r="V114" s="185"/>
    </row>
    <row r="115" spans="1:22" ht="18" customHeight="1">
      <c r="A115" s="184"/>
      <c r="V115" s="185"/>
    </row>
    <row r="116" spans="1:22" ht="18" customHeight="1">
      <c r="A116" s="184"/>
      <c r="V116" s="185"/>
    </row>
    <row r="117" spans="1:22" ht="18" customHeight="1">
      <c r="A117" s="184"/>
      <c r="V117" s="185"/>
    </row>
    <row r="118" spans="1:22" ht="18" customHeight="1">
      <c r="A118" s="184"/>
      <c r="V118" s="185"/>
    </row>
    <row r="119" spans="1:22" ht="18" customHeight="1">
      <c r="A119" s="184"/>
      <c r="V119" s="185"/>
    </row>
    <row r="120" spans="1:22" ht="18" customHeight="1">
      <c r="A120" s="184"/>
      <c r="V120" s="185"/>
    </row>
    <row r="121" spans="1:22" ht="18" customHeight="1">
      <c r="A121" s="184"/>
      <c r="V121" s="185"/>
    </row>
    <row r="122" spans="1:22" ht="18" customHeight="1">
      <c r="A122" s="184"/>
      <c r="V122" s="185"/>
    </row>
    <row r="123" spans="1:22" ht="18" customHeight="1">
      <c r="A123" s="184"/>
      <c r="V123" s="185"/>
    </row>
    <row r="124" spans="1:22" ht="18" customHeight="1">
      <c r="A124" s="184"/>
      <c r="V124" s="185"/>
    </row>
    <row r="125" spans="1:22" ht="18" customHeight="1">
      <c r="A125" s="184"/>
      <c r="V125" s="185"/>
    </row>
    <row r="126" spans="1:22" ht="18" customHeight="1">
      <c r="A126" s="290"/>
      <c r="B126" s="196"/>
      <c r="C126" s="196"/>
      <c r="D126" s="196"/>
      <c r="E126" s="196"/>
      <c r="F126" s="196"/>
      <c r="G126" s="196"/>
      <c r="H126" s="196"/>
      <c r="I126" s="196"/>
      <c r="J126" s="196"/>
      <c r="K126" s="196"/>
      <c r="L126" s="196"/>
      <c r="M126" s="196"/>
      <c r="N126" s="196"/>
      <c r="O126" s="196"/>
      <c r="P126" s="196"/>
      <c r="Q126" s="196"/>
      <c r="R126" s="196"/>
      <c r="S126" s="196"/>
      <c r="T126" s="196"/>
      <c r="U126" s="196"/>
      <c r="V126" s="291"/>
    </row>
  </sheetData>
  <mergeCells count="8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H40:I40"/>
    <mergeCell ref="H41:I41"/>
    <mergeCell ref="E42:F42"/>
    <mergeCell ref="G48:H48"/>
    <mergeCell ref="J48:K48"/>
    <mergeCell ref="O90:P90"/>
    <mergeCell ref="Q90:R90"/>
    <mergeCell ref="S90:V90"/>
    <mergeCell ref="K90:L90"/>
    <mergeCell ref="M90:N90"/>
    <mergeCell ref="G49:H49"/>
    <mergeCell ref="J49:K49"/>
    <mergeCell ref="G50:H50"/>
    <mergeCell ref="G54:H54"/>
    <mergeCell ref="H91:H93"/>
    <mergeCell ref="I91:J93"/>
    <mergeCell ref="K93:L93"/>
    <mergeCell ref="A90:C90"/>
    <mergeCell ref="D90:F90"/>
    <mergeCell ref="G90:H90"/>
    <mergeCell ref="I90:J90"/>
    <mergeCell ref="D93:E93"/>
    <mergeCell ref="D92:E92"/>
    <mergeCell ref="A91:A93"/>
    <mergeCell ref="B91:C93"/>
    <mergeCell ref="D91:E91"/>
    <mergeCell ref="F91:F93"/>
    <mergeCell ref="G91:G93"/>
    <mergeCell ref="M93:N93"/>
    <mergeCell ref="O93:P93"/>
    <mergeCell ref="S93:V93"/>
    <mergeCell ref="K91:L91"/>
    <mergeCell ref="M91:N91"/>
    <mergeCell ref="O91:P91"/>
    <mergeCell ref="Q91:R93"/>
    <mergeCell ref="S91:V91"/>
    <mergeCell ref="K92:L92"/>
    <mergeCell ref="M92:N92"/>
    <mergeCell ref="O92:P92"/>
    <mergeCell ref="S92:V92"/>
  </mergeCells>
  <conditionalFormatting sqref="G58">
    <cfRule type="cellIs" dxfId="116"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codeName="Sheet35">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892</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H6" s="30" t="s">
        <v>895</v>
      </c>
      <c r="V6" s="185"/>
    </row>
    <row r="7" spans="1:24" ht="18" customHeight="1">
      <c r="A7" s="184"/>
      <c r="B7" s="781" t="s">
        <v>108</v>
      </c>
      <c r="C7" s="782"/>
      <c r="D7" s="743" t="s">
        <v>112</v>
      </c>
      <c r="E7" s="1291"/>
      <c r="F7" s="455"/>
      <c r="H7" s="689"/>
      <c r="I7" s="684"/>
      <c r="J7" s="684"/>
      <c r="K7" s="684"/>
      <c r="L7" s="684"/>
      <c r="M7" s="684"/>
      <c r="P7" s="186"/>
      <c r="S7" s="187" t="s">
        <v>387</v>
      </c>
      <c r="T7" s="781" t="s">
        <v>179</v>
      </c>
      <c r="U7" s="782"/>
      <c r="V7" s="185"/>
    </row>
    <row r="8" spans="1:24" ht="18" customHeight="1">
      <c r="A8" s="456"/>
      <c r="F8" s="455"/>
      <c r="T8" s="781" t="s">
        <v>882</v>
      </c>
      <c r="U8" s="782"/>
      <c r="V8" s="185"/>
    </row>
    <row r="9" spans="1:24" ht="18" customHeight="1">
      <c r="A9" s="184"/>
      <c r="H9" s="789" t="s">
        <v>390</v>
      </c>
      <c r="I9" s="789"/>
      <c r="J9" s="790" t="s">
        <v>391</v>
      </c>
      <c r="K9" s="790"/>
      <c r="L9" s="790" t="s">
        <v>392</v>
      </c>
      <c r="M9" s="790"/>
      <c r="T9" s="1228"/>
      <c r="U9" s="1228"/>
      <c r="V9" s="185"/>
    </row>
    <row r="10" spans="1:24" ht="18" customHeight="1">
      <c r="A10" s="184"/>
      <c r="B10" s="47" t="s">
        <v>393</v>
      </c>
      <c r="H10" s="791">
        <v>2500</v>
      </c>
      <c r="I10" s="792"/>
      <c r="J10" s="781"/>
      <c r="K10" s="782"/>
      <c r="L10" s="781" t="s">
        <v>6</v>
      </c>
      <c r="M10" s="782"/>
      <c r="N10" s="191" t="s">
        <v>342</v>
      </c>
      <c r="O10" s="125">
        <v>1</v>
      </c>
      <c r="P10" s="27" t="s">
        <v>8</v>
      </c>
      <c r="R10" s="255"/>
      <c r="S10" s="255"/>
      <c r="V10" s="185"/>
    </row>
    <row r="11" spans="1:24" ht="18" customHeight="1">
      <c r="A11" s="184"/>
      <c r="B11" s="47" t="s">
        <v>394</v>
      </c>
      <c r="H11" s="781" t="s">
        <v>814</v>
      </c>
      <c r="I11" s="782"/>
      <c r="V11" s="185"/>
    </row>
    <row r="12" spans="1:24" ht="18" customHeight="1">
      <c r="A12" s="184"/>
      <c r="B12" s="47" t="s">
        <v>396</v>
      </c>
      <c r="G12" s="120" t="s">
        <v>497</v>
      </c>
      <c r="H12" s="781">
        <v>5</v>
      </c>
      <c r="I12" s="782"/>
      <c r="J12" s="192" t="s">
        <v>333</v>
      </c>
      <c r="M12" s="14"/>
      <c r="N12" s="14"/>
      <c r="V12" s="185"/>
    </row>
    <row r="13" spans="1:24" ht="18" customHeight="1">
      <c r="A13" s="184"/>
      <c r="B13" s="47" t="s">
        <v>398</v>
      </c>
      <c r="G13" s="120" t="s">
        <v>498</v>
      </c>
      <c r="H13" s="781">
        <v>750</v>
      </c>
      <c r="I13" s="782"/>
      <c r="J13" s="14" t="s">
        <v>305</v>
      </c>
      <c r="M13" s="14"/>
      <c r="T13" s="295"/>
      <c r="U13" s="18"/>
      <c r="V13" s="185"/>
      <c r="W13" s="30" t="e">
        <f>#REF!</f>
        <v>#REF!</v>
      </c>
    </row>
    <row r="14" spans="1:24" ht="18" customHeight="1">
      <c r="A14" s="184"/>
      <c r="B14" s="14" t="s">
        <v>401</v>
      </c>
      <c r="G14" s="120" t="s">
        <v>402</v>
      </c>
      <c r="H14" s="781">
        <v>60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t="str">
        <f>T8</f>
        <v>P743</v>
      </c>
      <c r="H19" s="28"/>
      <c r="I19" s="101" t="s">
        <v>127</v>
      </c>
      <c r="J19" s="1104">
        <f>'CT-VT Burdens'!Q159</f>
        <v>0.1</v>
      </c>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5</v>
      </c>
      <c r="Q21" s="684"/>
      <c r="R21" s="27" t="s">
        <v>157</v>
      </c>
      <c r="V21" s="185"/>
    </row>
    <row r="22" spans="1:25" ht="18" customHeight="1">
      <c r="A22" s="184"/>
      <c r="B22" s="1" t="s">
        <v>413</v>
      </c>
      <c r="C22" s="2"/>
      <c r="D22" s="2"/>
      <c r="E22" s="2"/>
      <c r="F22" s="196"/>
      <c r="G22" s="196"/>
      <c r="H22" s="224" t="s">
        <v>512</v>
      </c>
      <c r="I22" s="183" t="s">
        <v>127</v>
      </c>
      <c r="J22" s="696">
        <f>SUM(J18:J21)</f>
        <v>1.1870224400000002</v>
      </c>
      <c r="K22" s="722"/>
      <c r="L22" s="3" t="s">
        <v>157</v>
      </c>
      <c r="V22" s="185"/>
    </row>
    <row r="23" spans="1:25" ht="18" customHeight="1">
      <c r="A23" s="184"/>
      <c r="B23" s="47"/>
      <c r="C23" s="47"/>
      <c r="D23" s="47"/>
      <c r="E23" s="47"/>
      <c r="H23" s="27"/>
      <c r="I23" s="28"/>
      <c r="J23" s="199"/>
      <c r="L23" s="47"/>
      <c r="S23" s="2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2500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750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1.1870224400000002</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5"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5"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5" ht="18" customHeight="1">
      <c r="A35" s="184"/>
      <c r="C35" s="28"/>
      <c r="D35" s="47" t="s">
        <v>722</v>
      </c>
      <c r="E35" s="28"/>
      <c r="F35" s="28"/>
      <c r="G35" s="28"/>
      <c r="H35" s="14"/>
      <c r="I35" s="14"/>
      <c r="J35" s="28"/>
      <c r="K35" s="28"/>
      <c r="L35" s="28"/>
      <c r="M35" s="28"/>
      <c r="N35" s="47"/>
      <c r="O35" s="28"/>
      <c r="V35" s="185"/>
    </row>
    <row r="36" spans="1:25" ht="18" customHeight="1">
      <c r="A36" s="184"/>
      <c r="D36" s="27"/>
      <c r="E36" s="27"/>
      <c r="F36" s="27"/>
      <c r="G36" s="27"/>
      <c r="I36" s="689" t="s">
        <v>723</v>
      </c>
      <c r="J36" s="689" t="s">
        <v>127</v>
      </c>
      <c r="K36" s="695" t="s">
        <v>714</v>
      </c>
      <c r="L36" s="695"/>
      <c r="M36" s="27"/>
      <c r="N36" s="296"/>
      <c r="O36" s="222"/>
      <c r="V36" s="185"/>
    </row>
    <row r="37" spans="1:25" ht="18" customHeight="1">
      <c r="A37" s="184"/>
      <c r="D37" s="27"/>
      <c r="G37" s="27"/>
      <c r="I37" s="689"/>
      <c r="J37" s="689"/>
      <c r="K37" s="1289" t="s">
        <v>724</v>
      </c>
      <c r="L37" s="1289"/>
      <c r="V37" s="185"/>
    </row>
    <row r="38" spans="1:25" ht="18" customHeight="1">
      <c r="A38" s="184"/>
      <c r="C38" s="18" t="s">
        <v>725</v>
      </c>
      <c r="D38" s="27"/>
      <c r="G38" s="27"/>
      <c r="I38" s="28"/>
      <c r="J38" s="28"/>
      <c r="K38" s="102"/>
      <c r="L38" s="102"/>
      <c r="V38" s="185"/>
    </row>
    <row r="39" spans="1:25" ht="18" customHeight="1">
      <c r="A39" s="184"/>
      <c r="D39" s="372" t="s">
        <v>726</v>
      </c>
      <c r="E39" s="14"/>
      <c r="F39" s="14"/>
      <c r="G39" s="268"/>
      <c r="K39" s="102"/>
      <c r="L39" s="102"/>
      <c r="V39" s="185"/>
    </row>
    <row r="40" spans="1:25" ht="18" customHeight="1">
      <c r="A40" s="184"/>
      <c r="D40" s="7" t="s">
        <v>727</v>
      </c>
      <c r="E40" s="47"/>
      <c r="F40" s="14"/>
      <c r="G40" s="268"/>
      <c r="K40" s="102"/>
      <c r="L40" s="102"/>
      <c r="V40" s="185"/>
    </row>
    <row r="41" spans="1:25" ht="18" customHeight="1">
      <c r="A41" s="184"/>
      <c r="B41" s="14" t="s">
        <v>728</v>
      </c>
      <c r="D41" s="14" t="s">
        <v>729</v>
      </c>
      <c r="G41" s="27"/>
      <c r="I41" s="28"/>
      <c r="J41" s="28"/>
      <c r="K41" s="102"/>
      <c r="L41" s="102"/>
      <c r="V41" s="185"/>
    </row>
    <row r="42" spans="1:25" ht="18" customHeight="1">
      <c r="A42" s="184"/>
      <c r="D42" s="7" t="s">
        <v>730</v>
      </c>
      <c r="G42" s="27"/>
      <c r="I42" s="28"/>
      <c r="J42" s="28"/>
      <c r="K42" s="102"/>
      <c r="L42" s="102"/>
      <c r="V42" s="185"/>
    </row>
    <row r="43" spans="1:25" ht="18" customHeight="1">
      <c r="A43" s="184"/>
      <c r="D43" s="7" t="s">
        <v>731</v>
      </c>
      <c r="G43" s="27"/>
      <c r="I43" s="28"/>
      <c r="J43" s="28"/>
      <c r="K43" s="102"/>
      <c r="L43" s="102"/>
      <c r="V43" s="185"/>
    </row>
    <row r="44" spans="1:25" ht="18" customHeight="1">
      <c r="A44" s="184"/>
      <c r="D44" s="7"/>
      <c r="G44" s="27"/>
      <c r="I44" s="28"/>
      <c r="J44" s="28"/>
      <c r="K44" s="102"/>
      <c r="L44" s="102"/>
      <c r="V44" s="185"/>
    </row>
    <row r="45" spans="1:25" ht="18" customHeight="1">
      <c r="A45" s="290"/>
      <c r="B45" s="196"/>
      <c r="C45" s="196"/>
      <c r="D45" s="196"/>
      <c r="E45" s="196"/>
      <c r="F45" s="196"/>
      <c r="G45" s="196"/>
      <c r="H45" s="196"/>
      <c r="I45" s="196"/>
      <c r="J45" s="196"/>
      <c r="K45" s="196"/>
      <c r="L45" s="196"/>
      <c r="M45" s="196"/>
      <c r="N45" s="196"/>
      <c r="O45" s="196"/>
      <c r="P45" s="196"/>
      <c r="Q45" s="196"/>
      <c r="R45" s="196"/>
      <c r="S45" s="196"/>
      <c r="T45" s="196"/>
      <c r="U45" s="196"/>
      <c r="V45" s="291"/>
    </row>
    <row r="46" spans="1:25" ht="18" customHeight="1">
      <c r="A46" s="184"/>
      <c r="V46" s="185"/>
    </row>
    <row r="47" spans="1:25" ht="18" customHeight="1">
      <c r="A47" s="96"/>
      <c r="B47" s="7" t="s">
        <v>733</v>
      </c>
      <c r="C47" s="7"/>
      <c r="D47" s="14"/>
      <c r="E47" s="7"/>
      <c r="F47" s="7"/>
      <c r="L47" s="27"/>
      <c r="O47" s="27"/>
      <c r="P47" s="27"/>
      <c r="Q47" s="28"/>
      <c r="T47" s="14"/>
      <c r="U47" s="14"/>
      <c r="V47" s="185"/>
    </row>
    <row r="48" spans="1:25" ht="18" customHeight="1">
      <c r="A48" s="96"/>
      <c r="B48" s="14"/>
      <c r="C48" s="7"/>
      <c r="D48" s="7"/>
      <c r="E48" s="14"/>
      <c r="F48" s="7"/>
      <c r="L48" s="27"/>
      <c r="M48" s="14"/>
      <c r="O48" s="14"/>
      <c r="P48" s="14"/>
      <c r="Q48" s="14"/>
      <c r="R48" s="14"/>
      <c r="S48" s="14"/>
      <c r="T48" s="14"/>
      <c r="U48" s="14"/>
      <c r="V48" s="185"/>
    </row>
    <row r="49" spans="1:22" ht="18" customHeight="1">
      <c r="A49" s="96"/>
      <c r="B49" s="14"/>
      <c r="C49" s="120" t="s">
        <v>734</v>
      </c>
      <c r="D49" s="28" t="s">
        <v>127</v>
      </c>
      <c r="E49" s="805">
        <f>S25</f>
        <v>50000</v>
      </c>
      <c r="F49" s="805"/>
      <c r="G49" s="14"/>
      <c r="H49" s="14"/>
      <c r="I49" s="102"/>
      <c r="J49" s="47"/>
      <c r="K49" s="47"/>
      <c r="L49" s="14"/>
      <c r="M49" s="14"/>
      <c r="N49" s="14"/>
      <c r="O49" s="14"/>
      <c r="P49" s="14"/>
      <c r="Q49" s="14"/>
      <c r="R49" s="14"/>
      <c r="S49" s="14"/>
      <c r="T49" s="14"/>
      <c r="U49" s="14"/>
      <c r="V49" s="185"/>
    </row>
    <row r="50" spans="1:22" ht="18" customHeight="1">
      <c r="A50" s="96"/>
      <c r="B50" s="14"/>
      <c r="C50" s="120"/>
      <c r="D50" s="28"/>
      <c r="E50" s="978" t="str">
        <f>"5 x "&amp;S26&amp;""</f>
        <v>5 x 2500</v>
      </c>
      <c r="F50" s="978"/>
      <c r="G50" s="28"/>
      <c r="H50" s="257"/>
      <c r="K50" s="28"/>
      <c r="L50" s="218"/>
      <c r="M50" s="257"/>
      <c r="O50" s="14"/>
      <c r="P50" s="14"/>
      <c r="Q50" s="14"/>
      <c r="R50" s="14"/>
      <c r="S50" s="14"/>
      <c r="T50" s="14"/>
      <c r="U50" s="14"/>
      <c r="V50" s="185"/>
    </row>
    <row r="51" spans="1:22" ht="18" customHeight="1">
      <c r="A51" s="184"/>
      <c r="J51" s="14"/>
      <c r="K51" s="257"/>
      <c r="M51" s="14"/>
      <c r="N51" s="14"/>
      <c r="O51" s="14"/>
      <c r="P51" s="14"/>
      <c r="Q51" s="14"/>
      <c r="R51" s="14"/>
      <c r="S51" s="14"/>
      <c r="T51" s="14"/>
      <c r="U51" s="14"/>
      <c r="V51" s="185"/>
    </row>
    <row r="52" spans="1:22" ht="18" customHeight="1">
      <c r="A52" s="96"/>
      <c r="C52" s="458" t="s">
        <v>734</v>
      </c>
      <c r="D52" s="182" t="s">
        <v>127</v>
      </c>
      <c r="E52" s="1288">
        <f>S25/5/S26</f>
        <v>4</v>
      </c>
      <c r="F52" s="722"/>
      <c r="G52" s="27"/>
      <c r="H52" s="27"/>
      <c r="I52" s="27"/>
      <c r="J52" s="120"/>
      <c r="K52" s="28"/>
      <c r="L52" s="120"/>
      <c r="M52" s="28"/>
      <c r="N52" s="120"/>
      <c r="O52" s="28"/>
      <c r="P52" s="120"/>
      <c r="Q52" s="296"/>
      <c r="V52" s="185"/>
    </row>
    <row r="53" spans="1:22" ht="18" customHeight="1">
      <c r="A53" s="96"/>
      <c r="C53" s="120"/>
      <c r="D53" s="28"/>
      <c r="E53" s="218"/>
      <c r="F53" s="218"/>
      <c r="G53" s="27"/>
      <c r="H53" s="27"/>
      <c r="I53" s="27"/>
      <c r="J53" s="120"/>
      <c r="K53" s="28"/>
      <c r="L53" s="120"/>
      <c r="M53" s="28"/>
      <c r="N53" s="120"/>
      <c r="O53" s="28"/>
      <c r="P53" s="120"/>
      <c r="Q53" s="296"/>
      <c r="V53" s="185"/>
    </row>
    <row r="54" spans="1:22" ht="18" customHeight="1">
      <c r="A54" s="96"/>
      <c r="B54" s="14" t="s">
        <v>735</v>
      </c>
      <c r="C54" s="14"/>
      <c r="D54" s="14"/>
      <c r="E54" s="7"/>
      <c r="F54" s="102"/>
      <c r="G54" s="7"/>
      <c r="H54" s="7"/>
      <c r="I54" s="239"/>
      <c r="J54" s="120"/>
      <c r="K54" s="28"/>
      <c r="L54" s="120"/>
      <c r="M54" s="28"/>
      <c r="N54" s="120"/>
      <c r="O54" s="28"/>
      <c r="P54" s="120"/>
      <c r="Q54" s="296"/>
      <c r="V54" s="185"/>
    </row>
    <row r="55" spans="1:22" ht="18" customHeight="1">
      <c r="A55" s="96"/>
      <c r="C55" s="14"/>
      <c r="D55" s="14"/>
      <c r="E55" s="689" t="s">
        <v>736</v>
      </c>
      <c r="F55" s="689">
        <v>1</v>
      </c>
      <c r="G55" s="689"/>
      <c r="H55" s="689" t="s">
        <v>312</v>
      </c>
      <c r="I55" s="459" t="s">
        <v>312</v>
      </c>
      <c r="J55" s="120"/>
      <c r="K55" s="28"/>
      <c r="L55" s="120"/>
      <c r="M55" s="28"/>
      <c r="N55" s="120"/>
      <c r="O55" s="28"/>
      <c r="P55" s="120"/>
      <c r="Q55" s="296"/>
      <c r="V55" s="185"/>
    </row>
    <row r="56" spans="1:22" ht="18" customHeight="1">
      <c r="A56" s="96"/>
      <c r="C56" s="14"/>
      <c r="D56" s="14"/>
      <c r="E56" s="723"/>
      <c r="F56" s="273"/>
      <c r="G56" s="274" t="s">
        <v>737</v>
      </c>
      <c r="H56" s="689"/>
      <c r="I56" s="14" t="s">
        <v>141</v>
      </c>
      <c r="J56" s="120"/>
      <c r="K56" s="28"/>
      <c r="L56" s="120"/>
      <c r="M56" s="28"/>
      <c r="N56" s="120"/>
      <c r="O56" s="28"/>
      <c r="P56" s="120"/>
      <c r="Q56" s="296"/>
      <c r="V56" s="185"/>
    </row>
    <row r="57" spans="1:22" ht="18" customHeight="1">
      <c r="A57" s="96"/>
      <c r="C57" s="120"/>
      <c r="D57" s="28"/>
      <c r="E57" s="218"/>
      <c r="F57" s="218"/>
      <c r="G57" s="27"/>
      <c r="H57" s="27"/>
      <c r="I57" s="27"/>
      <c r="J57" s="120"/>
      <c r="K57" s="28"/>
      <c r="L57" s="120"/>
      <c r="M57" s="28"/>
      <c r="N57" s="120"/>
      <c r="O57" s="28"/>
      <c r="P57" s="120"/>
      <c r="Q57" s="296"/>
      <c r="V57" s="185"/>
    </row>
    <row r="58" spans="1:22" ht="18" customHeight="1">
      <c r="A58" s="96"/>
      <c r="C58" s="120"/>
      <c r="F58" s="708">
        <v>1</v>
      </c>
      <c r="G58" s="708"/>
      <c r="H58" s="708"/>
      <c r="I58" s="27"/>
      <c r="J58" s="689" t="s">
        <v>315</v>
      </c>
      <c r="K58" s="1286">
        <v>15</v>
      </c>
      <c r="L58" s="120"/>
      <c r="M58" s="28"/>
      <c r="N58" s="120"/>
      <c r="O58" s="28"/>
      <c r="P58" s="120"/>
      <c r="Q58" s="296"/>
      <c r="V58" s="185"/>
    </row>
    <row r="59" spans="1:22" ht="18" customHeight="1">
      <c r="A59" s="96"/>
      <c r="C59" s="120"/>
      <c r="D59" s="120" t="s">
        <v>738</v>
      </c>
      <c r="E59" s="102" t="s">
        <v>127</v>
      </c>
      <c r="F59" s="30" t="s">
        <v>739</v>
      </c>
      <c r="I59" s="27"/>
      <c r="J59" s="684"/>
      <c r="K59" s="1251"/>
      <c r="L59" s="120"/>
      <c r="M59" s="28"/>
      <c r="N59" s="120"/>
      <c r="O59" s="28"/>
      <c r="P59" s="120"/>
      <c r="Q59" s="296"/>
      <c r="V59" s="185"/>
    </row>
    <row r="60" spans="1:22" ht="18" customHeight="1">
      <c r="A60" s="96"/>
      <c r="C60" s="28"/>
      <c r="D60" s="218"/>
      <c r="E60" s="218"/>
      <c r="F60" s="218"/>
      <c r="G60" s="218"/>
      <c r="H60" s="218"/>
      <c r="I60" s="218"/>
      <c r="J60" s="218"/>
      <c r="K60" s="218"/>
      <c r="L60" s="218"/>
      <c r="M60" s="28"/>
      <c r="N60" s="120"/>
      <c r="O60" s="28"/>
      <c r="P60" s="120"/>
      <c r="Q60" s="296"/>
      <c r="V60" s="185"/>
    </row>
    <row r="61" spans="1:22" ht="18" customHeight="1">
      <c r="A61" s="96"/>
      <c r="C61" s="120"/>
      <c r="D61" s="28"/>
      <c r="E61" s="218" t="s">
        <v>127</v>
      </c>
      <c r="F61" s="1287">
        <f>1*K58/(2*3.14*50)</f>
        <v>4.7770700636942678E-2</v>
      </c>
      <c r="G61" s="1287"/>
      <c r="H61" s="28" t="s">
        <v>740</v>
      </c>
      <c r="I61" s="27"/>
      <c r="J61" s="120"/>
      <c r="K61" s="28"/>
      <c r="L61" s="120"/>
      <c r="M61" s="28"/>
      <c r="N61" s="120"/>
      <c r="O61" s="28"/>
      <c r="P61" s="120"/>
      <c r="Q61" s="296"/>
      <c r="V61" s="185"/>
    </row>
    <row r="62" spans="1:22" ht="17.399999999999999" customHeight="1">
      <c r="A62" s="96"/>
      <c r="C62" s="120"/>
      <c r="D62" s="120" t="s">
        <v>738</v>
      </c>
      <c r="E62" s="218" t="s">
        <v>127</v>
      </c>
      <c r="F62" s="1188">
        <f>F61*1000</f>
        <v>47.770700636942678</v>
      </c>
      <c r="G62" s="1188"/>
      <c r="H62" s="28" t="s">
        <v>343</v>
      </c>
      <c r="I62" s="27"/>
      <c r="J62" s="120"/>
      <c r="K62" s="28"/>
      <c r="L62" s="120"/>
      <c r="M62" s="28"/>
      <c r="N62" s="120"/>
      <c r="O62" s="28"/>
      <c r="P62" s="120"/>
      <c r="Q62" s="296"/>
      <c r="V62" s="185"/>
    </row>
    <row r="63" spans="1:22" ht="17.399999999999999" customHeight="1">
      <c r="A63" s="184"/>
      <c r="G63" s="27"/>
      <c r="H63" s="245"/>
      <c r="I63" s="245"/>
      <c r="J63" s="460"/>
      <c r="K63" s="245"/>
      <c r="L63" s="460"/>
      <c r="M63" s="245"/>
      <c r="N63" s="460"/>
      <c r="O63" s="245"/>
      <c r="P63" s="460"/>
      <c r="Q63" s="461"/>
      <c r="V63" s="185"/>
    </row>
    <row r="64" spans="1:22" ht="17.399999999999999" customHeight="1">
      <c r="A64" s="184"/>
      <c r="B64" s="14" t="s">
        <v>741</v>
      </c>
      <c r="E64" s="28" t="s">
        <v>127</v>
      </c>
      <c r="F64" s="27">
        <v>10</v>
      </c>
      <c r="G64" s="27"/>
      <c r="H64" s="245"/>
      <c r="I64" s="245"/>
      <c r="J64" s="460"/>
      <c r="K64" s="245"/>
      <c r="L64" s="460"/>
      <c r="M64" s="245"/>
      <c r="N64" s="460"/>
      <c r="O64" s="245"/>
      <c r="P64" s="460"/>
      <c r="Q64" s="461"/>
      <c r="V64" s="185"/>
    </row>
    <row r="65" spans="1:22" ht="17.399999999999999" customHeight="1">
      <c r="A65" s="184"/>
      <c r="G65" s="27"/>
      <c r="H65" s="245"/>
      <c r="I65" s="245"/>
      <c r="J65" s="460"/>
      <c r="K65" s="245"/>
      <c r="L65" s="460"/>
      <c r="M65" s="245"/>
      <c r="N65" s="460"/>
      <c r="O65" s="245"/>
      <c r="P65" s="460"/>
      <c r="Q65" s="461"/>
      <c r="V65" s="185"/>
    </row>
    <row r="66" spans="1:22" ht="17.399999999999999" customHeight="1">
      <c r="A66" s="184"/>
      <c r="B66" s="7" t="s">
        <v>742</v>
      </c>
      <c r="F66" s="7"/>
      <c r="G66" s="7"/>
      <c r="H66" s="204"/>
      <c r="I66" s="204"/>
      <c r="V66" s="185"/>
    </row>
    <row r="67" spans="1:22" ht="17.399999999999999" customHeight="1">
      <c r="A67" s="184"/>
      <c r="B67" s="7"/>
      <c r="E67" s="30" t="s">
        <v>743</v>
      </c>
      <c r="F67" s="7"/>
      <c r="G67" s="7"/>
      <c r="V67" s="185"/>
    </row>
    <row r="68" spans="1:22" ht="17.399999999999999" customHeight="1">
      <c r="A68" s="184"/>
      <c r="B68" s="7"/>
      <c r="E68" s="14"/>
      <c r="F68" s="7"/>
      <c r="G68" s="7"/>
      <c r="V68" s="185"/>
    </row>
    <row r="69" spans="1:22" ht="17.399999999999999" customHeight="1">
      <c r="A69" s="184"/>
      <c r="B69" s="14" t="s">
        <v>744</v>
      </c>
      <c r="C69" s="14"/>
      <c r="D69" s="14"/>
      <c r="E69" s="14"/>
      <c r="F69" s="14"/>
      <c r="G69" s="120"/>
      <c r="H69" s="120"/>
      <c r="V69" s="185"/>
    </row>
    <row r="70" spans="1:22" ht="17.399999999999999" customHeight="1">
      <c r="A70" s="184"/>
      <c r="B70" s="14"/>
      <c r="C70" s="120" t="s">
        <v>745</v>
      </c>
      <c r="D70" s="28" t="s">
        <v>127</v>
      </c>
      <c r="E70" s="28">
        <v>10</v>
      </c>
      <c r="F70" s="14"/>
      <c r="G70" s="47" t="s">
        <v>746</v>
      </c>
      <c r="H70" s="120"/>
      <c r="V70" s="185"/>
    </row>
    <row r="71" spans="1:22" ht="17.399999999999999" customHeight="1">
      <c r="A71" s="184"/>
      <c r="B71" s="7"/>
      <c r="E71" s="14"/>
      <c r="F71" s="7"/>
      <c r="G71" s="7"/>
      <c r="V71" s="185"/>
    </row>
    <row r="72" spans="1:22" ht="17.399999999999999" customHeight="1">
      <c r="A72" s="184"/>
      <c r="B72" s="47" t="s">
        <v>747</v>
      </c>
      <c r="E72" s="14"/>
      <c r="F72" s="7"/>
      <c r="G72" s="7"/>
      <c r="V72" s="185"/>
    </row>
    <row r="73" spans="1:22" ht="17.399999999999999" customHeight="1">
      <c r="A73" s="184"/>
      <c r="B73" s="47" t="s">
        <v>748</v>
      </c>
      <c r="E73" s="14"/>
      <c r="F73" s="7"/>
      <c r="G73" s="7"/>
      <c r="V73" s="185"/>
    </row>
    <row r="74" spans="1:22" ht="17.399999999999999" customHeight="1" thickBot="1">
      <c r="A74" s="184"/>
      <c r="B74" s="102" t="s">
        <v>127</v>
      </c>
      <c r="C74" s="120">
        <f>E70</f>
        <v>10</v>
      </c>
      <c r="D74" s="28" t="s">
        <v>315</v>
      </c>
      <c r="E74" s="28" t="s">
        <v>419</v>
      </c>
      <c r="F74" s="692">
        <f>S29</f>
        <v>5</v>
      </c>
      <c r="G74" s="692"/>
      <c r="H74" s="102" t="s">
        <v>347</v>
      </c>
      <c r="I74" s="218">
        <f>S30</f>
        <v>1.1870224400000002</v>
      </c>
      <c r="J74" s="240" t="s">
        <v>347</v>
      </c>
      <c r="K74" s="281">
        <f>J18</f>
        <v>0.01</v>
      </c>
      <c r="L74" s="14" t="s">
        <v>350</v>
      </c>
      <c r="M74" s="14" t="s">
        <v>315</v>
      </c>
      <c r="N74" s="28">
        <v>1</v>
      </c>
      <c r="V74" s="185"/>
    </row>
    <row r="75" spans="1:22" ht="17.399999999999999" customHeight="1" thickBot="1">
      <c r="A75" s="184"/>
      <c r="B75" s="462" t="s">
        <v>528</v>
      </c>
      <c r="C75" s="463" t="s">
        <v>127</v>
      </c>
      <c r="D75" s="464">
        <f>C74*(F74+I74+K74)*N74</f>
        <v>61.970224399999992</v>
      </c>
      <c r="E75" s="14" t="s">
        <v>305</v>
      </c>
      <c r="F75" s="7"/>
      <c r="G75" s="7"/>
      <c r="V75" s="185"/>
    </row>
    <row r="76" spans="1:22" ht="17.399999999999999" customHeight="1">
      <c r="A76" s="184"/>
      <c r="B76" s="7"/>
      <c r="E76" s="14"/>
      <c r="F76" s="7"/>
      <c r="G76" s="7"/>
      <c r="V76" s="185"/>
    </row>
    <row r="77" spans="1:22" ht="17.399999999999999" customHeight="1">
      <c r="A77" s="184"/>
      <c r="B77" s="47" t="s">
        <v>749</v>
      </c>
      <c r="E77" s="14"/>
      <c r="F77" s="7"/>
      <c r="G77" s="7"/>
      <c r="J77" s="14" t="s">
        <v>750</v>
      </c>
      <c r="L77" s="28" t="s">
        <v>476</v>
      </c>
      <c r="N77" s="14" t="s">
        <v>751</v>
      </c>
      <c r="V77" s="185"/>
    </row>
    <row r="78" spans="1:22" ht="17.399999999999999" customHeight="1">
      <c r="A78" s="184"/>
      <c r="B78" s="7"/>
      <c r="E78" s="14"/>
      <c r="F78" s="7"/>
      <c r="G78" s="7"/>
      <c r="L78" s="28" t="s">
        <v>127</v>
      </c>
      <c r="N78" s="1251">
        <f>0.8*D75</f>
        <v>49.576179519999997</v>
      </c>
      <c r="O78" s="1251"/>
      <c r="V78" s="185"/>
    </row>
    <row r="79" spans="1:22" ht="17.399999999999999" customHeight="1">
      <c r="A79" s="184"/>
      <c r="B79" s="7"/>
      <c r="E79" s="14"/>
      <c r="F79" s="14" t="s">
        <v>752</v>
      </c>
      <c r="G79" s="7"/>
      <c r="L79" s="28" t="s">
        <v>127</v>
      </c>
      <c r="N79" s="1072">
        <f>N78*1.2</f>
        <v>59.491415423999996</v>
      </c>
      <c r="O79" s="1072"/>
      <c r="V79" s="185"/>
    </row>
    <row r="80" spans="1:22" ht="17.399999999999999" customHeight="1">
      <c r="A80" s="184"/>
      <c r="K80" s="199" t="s">
        <v>475</v>
      </c>
      <c r="L80" s="28" t="str">
        <f>IF(I81&gt;M81,"&gt;","&lt;")</f>
        <v>&gt;</v>
      </c>
      <c r="M80" s="257" t="s">
        <v>477</v>
      </c>
      <c r="O80" s="18"/>
      <c r="P80" s="268"/>
      <c r="V80" s="185"/>
    </row>
    <row r="81" spans="1:23" s="14" customFormat="1" ht="18" customHeight="1">
      <c r="A81" s="184"/>
      <c r="B81" s="30"/>
      <c r="C81" s="30"/>
      <c r="D81" s="30"/>
      <c r="E81" s="30"/>
      <c r="F81" s="30"/>
      <c r="G81" s="30"/>
      <c r="H81" s="30"/>
      <c r="I81" s="795">
        <f>S28</f>
        <v>750</v>
      </c>
      <c r="J81" s="795"/>
      <c r="K81" s="27"/>
      <c r="L81" s="27" t="str">
        <f>IF(I81&gt;=M81,"&gt;","&lt;")</f>
        <v>&gt;</v>
      </c>
      <c r="M81" s="795">
        <f>N79</f>
        <v>59.491415423999996</v>
      </c>
      <c r="N81" s="795"/>
      <c r="O81" s="30"/>
      <c r="P81" s="268"/>
      <c r="Q81" s="30"/>
      <c r="R81" s="30"/>
      <c r="S81" s="30"/>
      <c r="T81" s="30"/>
      <c r="U81" s="30"/>
      <c r="V81" s="185"/>
    </row>
    <row r="82" spans="1:23" ht="18" customHeight="1">
      <c r="A82" s="184"/>
      <c r="K82" s="244" t="s">
        <v>478</v>
      </c>
      <c r="M82" s="18" t="str">
        <f>IF(I81&gt;M81,"Suitable Dimensions","Under Dimensioned")</f>
        <v>Suitable Dimensions</v>
      </c>
      <c r="V82" s="185"/>
    </row>
    <row r="83" spans="1:23" ht="18" hidden="1" customHeight="1">
      <c r="A83" s="184"/>
      <c r="K83" s="244"/>
      <c r="M83" s="18"/>
      <c r="V83" s="185"/>
    </row>
    <row r="84" spans="1:23" ht="18" hidden="1" customHeight="1">
      <c r="A84" s="184"/>
      <c r="K84" s="244"/>
      <c r="M84" s="18"/>
      <c r="V84" s="185"/>
    </row>
    <row r="85" spans="1:23" ht="18" hidden="1" customHeight="1">
      <c r="A85" s="184"/>
      <c r="B85" s="7"/>
      <c r="E85" s="14"/>
      <c r="F85" s="7"/>
      <c r="G85" s="7"/>
      <c r="V85" s="185"/>
    </row>
    <row r="86" spans="1:23" ht="18" hidden="1" customHeight="1">
      <c r="A86" s="194"/>
      <c r="B86" s="195"/>
      <c r="C86" s="195"/>
      <c r="D86" s="195"/>
      <c r="E86" s="195"/>
      <c r="F86" s="195"/>
      <c r="G86" s="195"/>
      <c r="H86" s="195"/>
      <c r="I86" s="195"/>
      <c r="J86" s="195"/>
      <c r="K86" s="195"/>
      <c r="L86" s="195"/>
      <c r="M86" s="195"/>
      <c r="N86" s="195"/>
      <c r="O86" s="195"/>
      <c r="P86" s="195"/>
      <c r="Q86" s="224"/>
      <c r="R86" s="182"/>
      <c r="S86" s="225"/>
      <c r="T86" s="195"/>
      <c r="U86" s="195"/>
      <c r="V86" s="134"/>
    </row>
    <row r="87" spans="1:23" ht="18" hidden="1" customHeight="1">
      <c r="A87" s="226"/>
      <c r="B87" s="227"/>
      <c r="C87" s="227"/>
      <c r="D87" s="227"/>
      <c r="E87" s="227"/>
      <c r="F87" s="227"/>
      <c r="G87" s="227"/>
      <c r="H87" s="227"/>
      <c r="I87" s="227"/>
      <c r="J87" s="227"/>
      <c r="K87" s="227"/>
      <c r="L87" s="227"/>
      <c r="M87" s="227"/>
      <c r="N87" s="227"/>
      <c r="O87" s="227"/>
      <c r="P87" s="227"/>
      <c r="Q87" s="227"/>
      <c r="R87" s="227"/>
      <c r="S87" s="227"/>
      <c r="T87" s="227"/>
      <c r="U87" s="227"/>
      <c r="V87" s="228"/>
    </row>
    <row r="88" spans="1:23" ht="18" hidden="1" customHeight="1">
      <c r="A88" s="184"/>
      <c r="B88" s="835" t="str">
        <f>B7</f>
        <v>T1</v>
      </c>
      <c r="C88" s="836"/>
      <c r="D88" s="1118" t="str">
        <f>D7</f>
        <v>Core5</v>
      </c>
      <c r="E88" s="1290"/>
      <c r="F88" s="455"/>
      <c r="H88" s="684">
        <f>H7</f>
        <v>0</v>
      </c>
      <c r="I88" s="684"/>
      <c r="J88" s="684"/>
      <c r="K88" s="684"/>
      <c r="L88" s="684"/>
      <c r="M88" s="684"/>
      <c r="P88" s="186"/>
      <c r="S88" s="187" t="s">
        <v>387</v>
      </c>
      <c r="T88" s="835" t="str">
        <f>T7</f>
        <v>REB500</v>
      </c>
      <c r="U88" s="836"/>
      <c r="V88" s="185"/>
    </row>
    <row r="89" spans="1:23" ht="18" hidden="1" customHeight="1">
      <c r="A89" s="456"/>
      <c r="F89" s="455"/>
      <c r="T89" s="839" t="str">
        <f>T8</f>
        <v>P743</v>
      </c>
      <c r="U89" s="840"/>
      <c r="V89" s="185"/>
      <c r="W89" s="30" t="str">
        <f>M161</f>
        <v>Required Vk</v>
      </c>
    </row>
    <row r="90" spans="1:23" ht="18" hidden="1" customHeight="1">
      <c r="A90" s="184"/>
      <c r="H90" s="708" t="s">
        <v>390</v>
      </c>
      <c r="I90" s="708"/>
      <c r="J90" s="789" t="s">
        <v>391</v>
      </c>
      <c r="K90" s="789"/>
      <c r="L90" s="790" t="s">
        <v>392</v>
      </c>
      <c r="M90" s="790"/>
      <c r="T90" s="839">
        <f>T9</f>
        <v>0</v>
      </c>
      <c r="U90" s="840"/>
      <c r="V90" s="185"/>
    </row>
    <row r="91" spans="1:23" ht="18" hidden="1" customHeight="1">
      <c r="A91" s="184"/>
      <c r="B91" s="47" t="s">
        <v>393</v>
      </c>
      <c r="H91" s="835">
        <f>H10</f>
        <v>2500</v>
      </c>
      <c r="I91" s="836"/>
      <c r="J91" s="835">
        <f>J10</f>
        <v>0</v>
      </c>
      <c r="K91" s="836"/>
      <c r="L91" s="835" t="str">
        <f>L10</f>
        <v>-</v>
      </c>
      <c r="M91" s="836"/>
      <c r="N91" s="191" t="s">
        <v>342</v>
      </c>
      <c r="O91" s="488">
        <f>O10</f>
        <v>1</v>
      </c>
      <c r="P91" s="27" t="s">
        <v>8</v>
      </c>
      <c r="R91" s="255"/>
      <c r="S91" s="255"/>
      <c r="V91" s="185"/>
    </row>
    <row r="92" spans="1:23" ht="18" hidden="1" customHeight="1">
      <c r="A92" s="184"/>
      <c r="B92" s="47" t="s">
        <v>394</v>
      </c>
      <c r="H92" s="14"/>
      <c r="I92" s="14"/>
      <c r="J92" s="835" t="str">
        <f>H11</f>
        <v>PX-B</v>
      </c>
      <c r="K92" s="836"/>
      <c r="L92" s="14"/>
      <c r="M92" s="14"/>
      <c r="V92" s="185"/>
    </row>
    <row r="93" spans="1:23" ht="18" hidden="1" customHeight="1">
      <c r="A93" s="184"/>
      <c r="B93" s="47" t="s">
        <v>396</v>
      </c>
      <c r="I93" s="120" t="s">
        <v>497</v>
      </c>
      <c r="J93" s="781">
        <v>9.3000000000000007</v>
      </c>
      <c r="K93" s="782"/>
      <c r="L93" s="192" t="s">
        <v>333</v>
      </c>
      <c r="V93" s="185"/>
    </row>
    <row r="94" spans="1:23" ht="18" hidden="1" customHeight="1">
      <c r="A94" s="184"/>
      <c r="B94" s="47" t="s">
        <v>398</v>
      </c>
      <c r="I94" s="120" t="s">
        <v>498</v>
      </c>
      <c r="J94" s="781">
        <v>500</v>
      </c>
      <c r="K94" s="782"/>
      <c r="L94" s="14" t="s">
        <v>305</v>
      </c>
      <c r="T94" s="295"/>
      <c r="U94" s="18"/>
      <c r="V94" s="185"/>
    </row>
    <row r="95" spans="1:23" ht="18" hidden="1" customHeight="1">
      <c r="A95" s="184"/>
      <c r="B95" s="14" t="s">
        <v>401</v>
      </c>
      <c r="I95" s="120" t="s">
        <v>402</v>
      </c>
      <c r="J95" s="781">
        <v>60</v>
      </c>
      <c r="K95" s="782"/>
      <c r="L95" s="14" t="s">
        <v>403</v>
      </c>
      <c r="V95" s="185"/>
    </row>
    <row r="96" spans="1:23" ht="18" hidden="1" customHeight="1">
      <c r="A96" s="184"/>
      <c r="V96" s="185"/>
    </row>
    <row r="97" spans="1:25" ht="18" hidden="1" customHeight="1">
      <c r="A97" s="193" t="s">
        <v>404</v>
      </c>
      <c r="V97" s="185"/>
    </row>
    <row r="98" spans="1:25" ht="18" hidden="1" customHeight="1">
      <c r="A98" s="184"/>
      <c r="V98" s="185"/>
    </row>
    <row r="99" spans="1:25" ht="18" hidden="1" customHeight="1">
      <c r="A99" s="184"/>
      <c r="B99" s="135" t="s">
        <v>405</v>
      </c>
      <c r="C99" s="273"/>
      <c r="D99" s="139" t="str">
        <f>T88</f>
        <v>REB500</v>
      </c>
      <c r="E99" s="227"/>
      <c r="F99" s="227"/>
      <c r="G99" s="227"/>
      <c r="H99" s="138"/>
      <c r="I99" s="260" t="s">
        <v>127</v>
      </c>
      <c r="J99" s="722">
        <f>J18</f>
        <v>0.01</v>
      </c>
      <c r="K99" s="958"/>
      <c r="L99" s="3" t="s">
        <v>157</v>
      </c>
      <c r="N99" s="197" t="s">
        <v>510</v>
      </c>
      <c r="V99" s="185"/>
    </row>
    <row r="100" spans="1:25" ht="18" hidden="1" customHeight="1">
      <c r="A100" s="184"/>
      <c r="B100" s="96" t="s">
        <v>405</v>
      </c>
      <c r="C100" s="14"/>
      <c r="D100" s="47" t="str">
        <f>T89</f>
        <v>P743</v>
      </c>
      <c r="H100" s="28"/>
      <c r="I100" s="101" t="s">
        <v>127</v>
      </c>
      <c r="J100" s="722">
        <f>J19</f>
        <v>0.1</v>
      </c>
      <c r="K100" s="958"/>
      <c r="L100" s="3" t="s">
        <v>157</v>
      </c>
      <c r="N100" s="120" t="s">
        <v>491</v>
      </c>
      <c r="O100" s="27" t="s">
        <v>127</v>
      </c>
      <c r="P100" s="27" t="s">
        <v>511</v>
      </c>
      <c r="Q100" s="27" t="s">
        <v>315</v>
      </c>
      <c r="R100" s="27" t="s">
        <v>511</v>
      </c>
      <c r="S100" s="27" t="s">
        <v>315</v>
      </c>
      <c r="T100" s="27" t="s">
        <v>420</v>
      </c>
      <c r="V100" s="185"/>
    </row>
    <row r="101" spans="1:25" ht="18" hidden="1" customHeight="1">
      <c r="A101" s="184"/>
      <c r="B101" s="96" t="s">
        <v>405</v>
      </c>
      <c r="C101" s="14"/>
      <c r="D101" s="47">
        <f>T90</f>
        <v>0</v>
      </c>
      <c r="H101" s="28"/>
      <c r="I101" s="101" t="s">
        <v>127</v>
      </c>
      <c r="J101" s="722">
        <f>J20</f>
        <v>0</v>
      </c>
      <c r="K101" s="958"/>
      <c r="L101" s="3" t="s">
        <v>157</v>
      </c>
      <c r="N101" s="27"/>
      <c r="O101" s="27" t="s">
        <v>127</v>
      </c>
      <c r="P101" s="27">
        <f>O91</f>
        <v>1</v>
      </c>
      <c r="Q101" s="27" t="s">
        <v>315</v>
      </c>
      <c r="R101" s="27">
        <f>O91</f>
        <v>1</v>
      </c>
      <c r="S101" s="27" t="s">
        <v>315</v>
      </c>
      <c r="T101" s="27">
        <f>J93</f>
        <v>9.3000000000000007</v>
      </c>
      <c r="V101" s="185"/>
    </row>
    <row r="102" spans="1:25" ht="18" hidden="1" customHeight="1">
      <c r="A102" s="184"/>
      <c r="B102" s="452" t="s">
        <v>412</v>
      </c>
      <c r="C102" s="259"/>
      <c r="D102" s="259"/>
      <c r="E102" s="259"/>
      <c r="F102" s="207"/>
      <c r="G102" s="207"/>
      <c r="H102" s="190"/>
      <c r="I102" s="208" t="s">
        <v>127</v>
      </c>
      <c r="J102" s="1120">
        <f>J21</f>
        <v>1.0770224400000001</v>
      </c>
      <c r="K102" s="987"/>
      <c r="L102" s="297" t="s">
        <v>157</v>
      </c>
      <c r="O102" s="27" t="s">
        <v>127</v>
      </c>
      <c r="P102" s="795">
        <f>P101*R101*T101</f>
        <v>9.3000000000000007</v>
      </c>
      <c r="Q102" s="684"/>
      <c r="R102" s="27" t="s">
        <v>157</v>
      </c>
      <c r="V102" s="185"/>
    </row>
    <row r="103" spans="1:25" ht="18" hidden="1" customHeight="1">
      <c r="A103" s="184"/>
      <c r="B103" s="1" t="s">
        <v>413</v>
      </c>
      <c r="C103" s="2"/>
      <c r="D103" s="2"/>
      <c r="E103" s="2"/>
      <c r="F103" s="196"/>
      <c r="G103" s="196"/>
      <c r="H103" s="224" t="s">
        <v>512</v>
      </c>
      <c r="I103" s="183" t="s">
        <v>127</v>
      </c>
      <c r="J103" s="722">
        <f>SUM(J99:J102)</f>
        <v>1.1870224400000002</v>
      </c>
      <c r="K103" s="958"/>
      <c r="L103" s="3" t="s">
        <v>157</v>
      </c>
      <c r="V103" s="185"/>
    </row>
    <row r="104" spans="1:25" ht="18" hidden="1" customHeight="1">
      <c r="A104" s="184"/>
      <c r="B104" s="47"/>
      <c r="C104" s="47"/>
      <c r="D104" s="47"/>
      <c r="E104" s="47"/>
      <c r="H104" s="27"/>
      <c r="I104" s="28"/>
      <c r="J104" s="199"/>
      <c r="L104" s="47"/>
      <c r="S104" s="27"/>
      <c r="V104" s="185"/>
    </row>
    <row r="105" spans="1:25" ht="18" hidden="1" customHeight="1">
      <c r="A105" s="258"/>
      <c r="B105" s="117" t="s">
        <v>712</v>
      </c>
      <c r="V105" s="185"/>
    </row>
    <row r="106" spans="1:25" ht="18" hidden="1" customHeight="1">
      <c r="A106" s="231"/>
      <c r="B106" s="5"/>
      <c r="C106" s="47" t="s">
        <v>713</v>
      </c>
      <c r="D106" s="14"/>
      <c r="E106" s="14"/>
      <c r="F106" s="14"/>
      <c r="G106" s="14"/>
      <c r="H106" s="279"/>
      <c r="I106" s="120"/>
      <c r="J106" s="279"/>
      <c r="K106" s="279"/>
      <c r="L106" s="14"/>
      <c r="M106" s="14"/>
      <c r="N106" s="14"/>
      <c r="O106" s="14"/>
      <c r="P106" s="14"/>
      <c r="Q106" s="120" t="s">
        <v>714</v>
      </c>
      <c r="R106" s="102" t="s">
        <v>127</v>
      </c>
      <c r="S106" s="689">
        <v>31500</v>
      </c>
      <c r="T106" s="689"/>
      <c r="U106" s="47" t="s">
        <v>8</v>
      </c>
      <c r="V106" s="97" t="s">
        <v>129</v>
      </c>
    </row>
    <row r="107" spans="1:25" ht="18" hidden="1" customHeight="1">
      <c r="A107" s="184"/>
      <c r="B107" s="5"/>
      <c r="C107" s="47" t="s">
        <v>545</v>
      </c>
      <c r="D107" s="14"/>
      <c r="E107" s="14"/>
      <c r="F107" s="18"/>
      <c r="G107" s="18"/>
      <c r="H107" s="279"/>
      <c r="I107" s="120"/>
      <c r="J107" s="279"/>
      <c r="K107" s="279"/>
      <c r="L107" s="14"/>
      <c r="M107" s="14"/>
      <c r="N107" s="14"/>
      <c r="O107" s="14"/>
      <c r="P107" s="14"/>
      <c r="Q107" s="120" t="s">
        <v>423</v>
      </c>
      <c r="R107" s="102" t="s">
        <v>127</v>
      </c>
      <c r="S107" s="689">
        <f>J91</f>
        <v>0</v>
      </c>
      <c r="T107" s="689"/>
      <c r="U107" s="14" t="s">
        <v>8</v>
      </c>
      <c r="V107" s="185"/>
    </row>
    <row r="108" spans="1:25" ht="18" hidden="1" customHeight="1">
      <c r="A108" s="184"/>
      <c r="B108" s="5"/>
      <c r="C108" s="47" t="s">
        <v>715</v>
      </c>
      <c r="D108" s="14"/>
      <c r="E108" s="14"/>
      <c r="F108" s="18"/>
      <c r="G108" s="18"/>
      <c r="H108" s="279"/>
      <c r="I108" s="120"/>
      <c r="J108" s="279"/>
      <c r="K108" s="279"/>
      <c r="L108" s="14"/>
      <c r="M108" s="14"/>
      <c r="N108" s="14"/>
      <c r="O108" s="14"/>
      <c r="P108" s="14"/>
      <c r="Q108" s="120" t="s">
        <v>716</v>
      </c>
      <c r="R108" s="102" t="s">
        <v>127</v>
      </c>
      <c r="S108" s="689">
        <v>33</v>
      </c>
      <c r="T108" s="689"/>
      <c r="U108" s="14" t="s">
        <v>163</v>
      </c>
      <c r="V108" s="185"/>
    </row>
    <row r="109" spans="1:25" ht="18" hidden="1" customHeight="1">
      <c r="A109" s="184"/>
      <c r="B109" s="5"/>
      <c r="C109" s="47" t="s">
        <v>546</v>
      </c>
      <c r="D109" s="14"/>
      <c r="E109" s="14"/>
      <c r="F109" s="18"/>
      <c r="G109" s="18"/>
      <c r="H109" s="279"/>
      <c r="I109" s="120"/>
      <c r="J109" s="279"/>
      <c r="K109" s="279"/>
      <c r="L109" s="14"/>
      <c r="M109" s="14"/>
      <c r="N109" s="14"/>
      <c r="O109" s="14"/>
      <c r="P109" s="14"/>
      <c r="Q109" s="120" t="s">
        <v>473</v>
      </c>
      <c r="R109" s="102" t="s">
        <v>127</v>
      </c>
      <c r="S109" s="689">
        <f>J94</f>
        <v>500</v>
      </c>
      <c r="T109" s="689"/>
      <c r="U109" s="14" t="s">
        <v>305</v>
      </c>
      <c r="V109" s="185"/>
    </row>
    <row r="110" spans="1:25" ht="18" hidden="1" customHeight="1">
      <c r="A110" s="184"/>
      <c r="B110" s="5"/>
      <c r="C110" s="47" t="s">
        <v>717</v>
      </c>
      <c r="D110" s="14"/>
      <c r="E110" s="14"/>
      <c r="F110" s="18"/>
      <c r="G110" s="18"/>
      <c r="H110" s="279"/>
      <c r="I110" s="120"/>
      <c r="J110" s="279"/>
      <c r="K110" s="279"/>
      <c r="L110" s="14"/>
      <c r="M110" s="14"/>
      <c r="N110" s="14"/>
      <c r="O110" s="14"/>
      <c r="P110" s="14"/>
      <c r="Q110" s="120" t="s">
        <v>420</v>
      </c>
      <c r="R110" s="102" t="s">
        <v>127</v>
      </c>
      <c r="S110" s="692">
        <f>P102</f>
        <v>9.3000000000000007</v>
      </c>
      <c r="T110" s="689"/>
      <c r="U110" s="14" t="s">
        <v>157</v>
      </c>
      <c r="V110" s="185"/>
      <c r="W110" s="279"/>
      <c r="X110" s="279"/>
      <c r="Y110" s="279"/>
    </row>
    <row r="111" spans="1:25" ht="18" hidden="1" customHeight="1">
      <c r="A111" s="184"/>
      <c r="B111" s="5"/>
      <c r="C111" s="47" t="s">
        <v>718</v>
      </c>
      <c r="D111" s="14"/>
      <c r="E111" s="14"/>
      <c r="F111" s="18"/>
      <c r="G111" s="18"/>
      <c r="H111" s="279"/>
      <c r="I111" s="120"/>
      <c r="J111" s="279"/>
      <c r="K111" s="279"/>
      <c r="L111" s="14"/>
      <c r="M111" s="14"/>
      <c r="N111" s="14"/>
      <c r="O111" s="14"/>
      <c r="P111" s="14"/>
      <c r="Q111" s="120" t="s">
        <v>522</v>
      </c>
      <c r="R111" s="102" t="s">
        <v>127</v>
      </c>
      <c r="S111" s="692">
        <f>J103</f>
        <v>1.1870224400000002</v>
      </c>
      <c r="T111" s="689"/>
      <c r="U111" s="14" t="s">
        <v>157</v>
      </c>
      <c r="V111" s="185"/>
      <c r="X111" s="279"/>
      <c r="Y111" s="279"/>
    </row>
    <row r="112" spans="1:25" ht="18" hidden="1" customHeight="1">
      <c r="A112" s="168"/>
      <c r="B112" s="5"/>
      <c r="C112" s="47" t="s">
        <v>549</v>
      </c>
      <c r="D112" s="14"/>
      <c r="E112" s="14"/>
      <c r="F112" s="14"/>
      <c r="G112" s="14"/>
      <c r="H112" s="279"/>
      <c r="I112" s="120"/>
      <c r="J112" s="279"/>
      <c r="K112" s="279"/>
      <c r="L112" s="14"/>
      <c r="M112" s="14"/>
      <c r="N112" s="14"/>
      <c r="O112" s="14"/>
      <c r="P112" s="14"/>
      <c r="Q112" s="120" t="s">
        <v>714</v>
      </c>
      <c r="R112" s="102" t="s">
        <v>127</v>
      </c>
      <c r="S112" s="689">
        <f>O91</f>
        <v>1</v>
      </c>
      <c r="T112" s="689"/>
      <c r="U112" s="14" t="s">
        <v>8</v>
      </c>
      <c r="V112" s="185"/>
      <c r="X112" s="279"/>
      <c r="Y112" s="279"/>
    </row>
    <row r="113" spans="1:22" ht="18" hidden="1" customHeight="1">
      <c r="A113" s="168"/>
      <c r="B113" s="5"/>
      <c r="C113" s="47" t="s">
        <v>719</v>
      </c>
      <c r="D113" s="14"/>
      <c r="E113" s="14"/>
      <c r="F113" s="14"/>
      <c r="G113" s="14"/>
      <c r="H113" s="279"/>
      <c r="I113" s="120"/>
      <c r="J113" s="279"/>
      <c r="K113" s="279"/>
      <c r="L113" s="14"/>
      <c r="M113" s="14"/>
      <c r="N113" s="14"/>
      <c r="O113" s="14"/>
      <c r="P113" s="14"/>
      <c r="Q113" s="120" t="s">
        <v>720</v>
      </c>
      <c r="R113" s="102" t="s">
        <v>127</v>
      </c>
      <c r="S113" s="689">
        <v>50</v>
      </c>
      <c r="T113" s="689"/>
      <c r="U113" s="47"/>
      <c r="V113" s="185"/>
    </row>
    <row r="114" spans="1:22" ht="18" hidden="1" customHeight="1">
      <c r="A114" s="168"/>
      <c r="B114" s="279"/>
      <c r="C114" s="47"/>
      <c r="D114" s="14"/>
      <c r="E114" s="14"/>
      <c r="F114" s="14"/>
      <c r="G114" s="14"/>
      <c r="H114" s="279"/>
      <c r="I114" s="120"/>
      <c r="J114" s="279"/>
      <c r="K114" s="279"/>
      <c r="L114" s="14"/>
      <c r="M114" s="14"/>
      <c r="N114" s="279"/>
      <c r="O114" s="279"/>
      <c r="P114" s="14"/>
      <c r="Q114" s="120"/>
      <c r="R114" s="14"/>
      <c r="S114" s="279"/>
      <c r="T114" s="279"/>
      <c r="U114" s="279"/>
      <c r="V114" s="300"/>
    </row>
    <row r="115" spans="1:22" ht="18" hidden="1" customHeight="1">
      <c r="A115" s="168"/>
      <c r="C115" s="18" t="s">
        <v>721</v>
      </c>
      <c r="D115" s="14"/>
      <c r="E115" s="14"/>
      <c r="F115" s="14"/>
      <c r="G115" s="14"/>
      <c r="H115" s="14"/>
      <c r="I115" s="14"/>
      <c r="J115" s="14"/>
      <c r="K115" s="14"/>
      <c r="L115" s="14"/>
      <c r="M115" s="14"/>
      <c r="N115" s="14"/>
      <c r="O115" s="14"/>
      <c r="P115" s="14"/>
      <c r="Q115" s="14"/>
      <c r="R115" s="14"/>
      <c r="S115" s="14"/>
      <c r="T115" s="14"/>
      <c r="U115" s="14"/>
      <c r="V115" s="185"/>
    </row>
    <row r="116" spans="1:22" ht="18" hidden="1" customHeight="1">
      <c r="A116" s="168"/>
      <c r="C116" s="28"/>
      <c r="D116" s="47" t="s">
        <v>722</v>
      </c>
      <c r="E116" s="28"/>
      <c r="F116" s="28"/>
      <c r="G116" s="28"/>
      <c r="H116" s="14"/>
      <c r="I116" s="14"/>
      <c r="J116" s="28"/>
      <c r="K116" s="28"/>
      <c r="L116" s="28"/>
      <c r="M116" s="28"/>
      <c r="N116" s="47"/>
      <c r="O116" s="28"/>
      <c r="V116" s="185"/>
    </row>
    <row r="117" spans="1:22" ht="18" hidden="1" customHeight="1">
      <c r="A117" s="168"/>
      <c r="D117" s="27"/>
      <c r="E117" s="27"/>
      <c r="F117" s="27"/>
      <c r="G117" s="27"/>
      <c r="I117" s="689" t="s">
        <v>723</v>
      </c>
      <c r="J117" s="689" t="s">
        <v>127</v>
      </c>
      <c r="K117" s="695" t="s">
        <v>714</v>
      </c>
      <c r="L117" s="695"/>
      <c r="M117" s="27"/>
      <c r="N117" s="296"/>
      <c r="O117" s="222"/>
      <c r="V117" s="185"/>
    </row>
    <row r="118" spans="1:22" ht="18" hidden="1" customHeight="1">
      <c r="A118" s="168"/>
      <c r="D118" s="27"/>
      <c r="G118" s="27"/>
      <c r="I118" s="689"/>
      <c r="J118" s="689"/>
      <c r="K118" s="1289" t="s">
        <v>724</v>
      </c>
      <c r="L118" s="1289"/>
      <c r="V118" s="185"/>
    </row>
    <row r="119" spans="1:22" ht="18" hidden="1" customHeight="1">
      <c r="A119" s="184"/>
      <c r="B119" s="18" t="s">
        <v>725</v>
      </c>
      <c r="C119" s="14"/>
      <c r="V119" s="185"/>
    </row>
    <row r="120" spans="1:22" ht="18" hidden="1" customHeight="1">
      <c r="A120" s="184"/>
      <c r="B120" s="28"/>
      <c r="C120" s="372" t="s">
        <v>726</v>
      </c>
      <c r="D120" s="14"/>
      <c r="E120" s="14"/>
      <c r="F120" s="14"/>
      <c r="G120" s="14"/>
      <c r="H120" s="14"/>
      <c r="I120" s="14"/>
      <c r="J120" s="14"/>
      <c r="K120" s="14"/>
      <c r="L120" s="14"/>
      <c r="M120" s="14"/>
      <c r="N120" s="14"/>
      <c r="O120" s="14"/>
      <c r="P120" s="28"/>
      <c r="Q120" s="120"/>
      <c r="R120" s="14"/>
      <c r="S120" s="14"/>
      <c r="T120" s="14"/>
      <c r="U120" s="14"/>
      <c r="V120" s="185"/>
    </row>
    <row r="121" spans="1:22" ht="18" hidden="1" customHeight="1">
      <c r="A121" s="184"/>
      <c r="B121" s="28"/>
      <c r="C121" s="7" t="s">
        <v>727</v>
      </c>
      <c r="D121" s="14"/>
      <c r="E121" s="14"/>
      <c r="F121" s="14"/>
      <c r="G121" s="14"/>
      <c r="H121" s="14"/>
      <c r="K121" s="14"/>
      <c r="L121" s="28"/>
      <c r="M121" s="47"/>
      <c r="N121" s="14"/>
      <c r="O121" s="14"/>
      <c r="P121" s="14"/>
      <c r="Q121" s="14"/>
      <c r="R121" s="14"/>
      <c r="S121" s="14"/>
      <c r="T121" s="14"/>
      <c r="U121" s="14"/>
      <c r="V121" s="185"/>
    </row>
    <row r="122" spans="1:22" s="14" customFormat="1" ht="18" hidden="1" customHeight="1">
      <c r="A122" s="184"/>
      <c r="B122" s="14" t="s">
        <v>728</v>
      </c>
      <c r="C122" s="7"/>
      <c r="F122" s="268"/>
      <c r="G122" s="30"/>
      <c r="H122" s="30"/>
      <c r="I122" s="30"/>
      <c r="J122" s="30"/>
      <c r="K122" s="28"/>
      <c r="L122" s="28"/>
      <c r="M122" s="281"/>
      <c r="N122" s="28"/>
      <c r="O122" s="47"/>
      <c r="V122" s="185"/>
    </row>
    <row r="123" spans="1:22" ht="18" hidden="1" customHeight="1">
      <c r="A123" s="184"/>
      <c r="B123" s="14"/>
      <c r="C123" s="14" t="s">
        <v>729</v>
      </c>
      <c r="D123" s="47"/>
      <c r="E123" s="14"/>
      <c r="F123" s="268"/>
      <c r="K123" s="28"/>
      <c r="L123" s="28"/>
      <c r="M123" s="14"/>
      <c r="N123" s="14"/>
      <c r="O123" s="14"/>
      <c r="P123" s="14"/>
      <c r="Q123" s="14"/>
      <c r="R123" s="14"/>
      <c r="S123" s="14"/>
      <c r="T123" s="14"/>
      <c r="U123" s="14"/>
      <c r="V123" s="185"/>
    </row>
    <row r="124" spans="1:22" ht="18" hidden="1" customHeight="1">
      <c r="A124" s="184"/>
      <c r="B124" s="14"/>
      <c r="C124" s="7" t="s">
        <v>730</v>
      </c>
      <c r="D124" s="14"/>
      <c r="E124" s="14"/>
      <c r="F124" s="14"/>
      <c r="G124" s="14"/>
      <c r="H124" s="14"/>
      <c r="K124" s="28"/>
      <c r="L124" s="28"/>
      <c r="M124" s="47"/>
      <c r="N124" s="14"/>
      <c r="O124" s="14"/>
      <c r="P124" s="14"/>
      <c r="Q124" s="14"/>
      <c r="R124" s="14"/>
      <c r="S124" s="14"/>
      <c r="T124" s="14"/>
      <c r="U124" s="14"/>
      <c r="V124" s="185"/>
    </row>
    <row r="125" spans="1:22" ht="18" hidden="1" customHeight="1">
      <c r="A125" s="184"/>
      <c r="B125" s="14"/>
      <c r="C125" s="7" t="s">
        <v>731</v>
      </c>
      <c r="K125" s="28"/>
      <c r="L125" s="28"/>
      <c r="M125" s="28"/>
      <c r="O125" s="14"/>
      <c r="P125" s="28"/>
      <c r="Q125" s="278"/>
      <c r="R125" s="28"/>
      <c r="S125" s="14"/>
      <c r="T125" s="14"/>
      <c r="U125" s="14"/>
      <c r="V125" s="185"/>
    </row>
    <row r="126" spans="1:22" ht="18" hidden="1" customHeight="1">
      <c r="A126" s="452"/>
      <c r="B126" s="207"/>
      <c r="C126" s="207"/>
      <c r="D126" s="207"/>
      <c r="E126" s="207"/>
      <c r="F126" s="207"/>
      <c r="G126" s="207"/>
      <c r="H126" s="207"/>
      <c r="I126" s="207"/>
      <c r="J126" s="207"/>
      <c r="K126" s="259" t="s">
        <v>129</v>
      </c>
      <c r="L126" s="259" t="s">
        <v>732</v>
      </c>
      <c r="M126" s="190"/>
      <c r="N126" s="259"/>
      <c r="O126" s="259"/>
      <c r="P126" s="229"/>
      <c r="Q126" s="473"/>
      <c r="R126" s="229"/>
      <c r="S126" s="259"/>
      <c r="T126" s="259"/>
      <c r="U126" s="259"/>
      <c r="V126" s="453"/>
    </row>
    <row r="127" spans="1:22" ht="18" hidden="1" customHeight="1">
      <c r="A127" s="194"/>
      <c r="B127" s="195"/>
      <c r="C127" s="195"/>
      <c r="D127" s="195"/>
      <c r="E127" s="195"/>
      <c r="F127" s="195"/>
      <c r="G127" s="195"/>
      <c r="H127" s="195"/>
      <c r="I127" s="195"/>
      <c r="J127" s="195"/>
      <c r="K127" s="195"/>
      <c r="L127" s="195"/>
      <c r="M127" s="195"/>
      <c r="N127" s="195"/>
      <c r="O127" s="195"/>
      <c r="P127" s="195"/>
      <c r="Q127" s="224"/>
      <c r="R127" s="182"/>
      <c r="S127" s="225"/>
      <c r="T127" s="195"/>
      <c r="U127" s="195"/>
      <c r="V127" s="134"/>
    </row>
    <row r="128" spans="1:22" ht="18" hidden="1" customHeight="1">
      <c r="A128" s="226"/>
      <c r="B128" s="273"/>
      <c r="C128" s="273"/>
      <c r="D128" s="227"/>
      <c r="E128" s="227"/>
      <c r="F128" s="227"/>
      <c r="G128" s="227"/>
      <c r="H128" s="227"/>
      <c r="I128" s="227"/>
      <c r="J128" s="227"/>
      <c r="K128" s="311"/>
      <c r="L128" s="311"/>
      <c r="M128" s="227"/>
      <c r="N128" s="227"/>
      <c r="O128" s="311"/>
      <c r="P128" s="311"/>
      <c r="Q128" s="138"/>
      <c r="R128" s="227"/>
      <c r="S128" s="227"/>
      <c r="T128" s="273"/>
      <c r="U128" s="273"/>
      <c r="V128" s="228"/>
    </row>
    <row r="129" spans="1:22" ht="18" hidden="1" customHeight="1">
      <c r="A129" s="96"/>
      <c r="B129" s="7" t="s">
        <v>733</v>
      </c>
      <c r="C129" s="7"/>
      <c r="D129" s="14"/>
      <c r="E129" s="7"/>
      <c r="F129" s="7"/>
      <c r="L129" s="27"/>
      <c r="O129" s="27"/>
      <c r="P129" s="27"/>
      <c r="Q129" s="28"/>
      <c r="T129" s="14"/>
      <c r="U129" s="14"/>
      <c r="V129" s="185"/>
    </row>
    <row r="130" spans="1:22" ht="18" hidden="1" customHeight="1">
      <c r="A130" s="96"/>
      <c r="B130" s="14"/>
      <c r="C130" s="7"/>
      <c r="D130" s="7"/>
      <c r="E130" s="14"/>
      <c r="F130" s="7"/>
      <c r="L130" s="27"/>
      <c r="M130" s="14"/>
      <c r="O130" s="14"/>
      <c r="P130" s="14"/>
      <c r="Q130" s="14"/>
      <c r="R130" s="14"/>
      <c r="S130" s="14"/>
      <c r="T130" s="14"/>
      <c r="U130" s="14"/>
      <c r="V130" s="185"/>
    </row>
    <row r="131" spans="1:22" ht="18" hidden="1" customHeight="1">
      <c r="A131" s="96"/>
      <c r="B131" s="14"/>
      <c r="C131" s="120" t="s">
        <v>734</v>
      </c>
      <c r="D131" s="28" t="s">
        <v>127</v>
      </c>
      <c r="E131" s="805">
        <f>S106</f>
        <v>31500</v>
      </c>
      <c r="F131" s="805"/>
      <c r="G131" s="14"/>
      <c r="H131" s="14"/>
      <c r="I131" s="102"/>
      <c r="J131" s="47"/>
      <c r="K131" s="47"/>
      <c r="L131" s="14"/>
      <c r="M131" s="14"/>
      <c r="N131" s="14"/>
      <c r="O131" s="14"/>
      <c r="P131" s="14"/>
      <c r="Q131" s="14"/>
      <c r="R131" s="14"/>
      <c r="S131" s="14"/>
      <c r="T131" s="14"/>
      <c r="U131" s="14"/>
      <c r="V131" s="185"/>
    </row>
    <row r="132" spans="1:22" ht="18" hidden="1" customHeight="1">
      <c r="A132" s="96"/>
      <c r="B132" s="14"/>
      <c r="C132" s="120"/>
      <c r="D132" s="28"/>
      <c r="E132" s="978" t="str">
        <f>"5 x "&amp;S107&amp;""</f>
        <v>5 x 0</v>
      </c>
      <c r="F132" s="978"/>
      <c r="G132" s="28"/>
      <c r="H132" s="257"/>
      <c r="K132" s="28"/>
      <c r="L132" s="218"/>
      <c r="M132" s="257"/>
      <c r="O132" s="14"/>
      <c r="P132" s="14"/>
      <c r="Q132" s="14"/>
      <c r="R132" s="14"/>
      <c r="S132" s="14"/>
      <c r="T132" s="14"/>
      <c r="U132" s="14"/>
      <c r="V132" s="185"/>
    </row>
    <row r="133" spans="1:22" ht="18" hidden="1" customHeight="1">
      <c r="A133" s="96"/>
      <c r="J133" s="14"/>
      <c r="K133" s="257"/>
      <c r="M133" s="14"/>
      <c r="N133" s="14"/>
      <c r="O133" s="14"/>
      <c r="P133" s="14"/>
      <c r="Q133" s="14"/>
      <c r="R133" s="14"/>
      <c r="S133" s="14"/>
      <c r="T133" s="14"/>
      <c r="U133" s="14"/>
      <c r="V133" s="185"/>
    </row>
    <row r="134" spans="1:22" ht="18" hidden="1" customHeight="1">
      <c r="A134" s="96"/>
      <c r="C134" s="458" t="s">
        <v>734</v>
      </c>
      <c r="D134" s="182" t="s">
        <v>127</v>
      </c>
      <c r="E134" s="1288" t="e">
        <f>S106/5/S107</f>
        <v>#DIV/0!</v>
      </c>
      <c r="F134" s="722"/>
      <c r="G134" s="27"/>
      <c r="H134" s="27"/>
      <c r="I134" s="27"/>
      <c r="J134" s="120"/>
      <c r="K134" s="28"/>
      <c r="L134" s="120"/>
      <c r="M134" s="28"/>
      <c r="N134" s="120"/>
      <c r="O134" s="28"/>
      <c r="P134" s="120"/>
      <c r="Q134" s="296"/>
      <c r="V134" s="185"/>
    </row>
    <row r="135" spans="1:22" ht="18" hidden="1" customHeight="1">
      <c r="A135" s="96"/>
      <c r="C135" s="120"/>
      <c r="D135" s="28"/>
      <c r="E135" s="218"/>
      <c r="F135" s="218"/>
      <c r="G135" s="27"/>
      <c r="H135" s="27"/>
      <c r="I135" s="27"/>
      <c r="J135" s="120"/>
      <c r="K135" s="28"/>
      <c r="L135" s="120"/>
      <c r="M135" s="28"/>
      <c r="N135" s="120"/>
      <c r="O135" s="28"/>
      <c r="P135" s="120"/>
      <c r="Q135" s="296"/>
      <c r="V135" s="185"/>
    </row>
    <row r="136" spans="1:22" ht="18" hidden="1" customHeight="1">
      <c r="A136" s="96"/>
      <c r="B136" s="14" t="s">
        <v>735</v>
      </c>
      <c r="C136" s="14"/>
      <c r="D136" s="14"/>
      <c r="E136" s="7"/>
      <c r="F136" s="102"/>
      <c r="G136" s="7"/>
      <c r="H136" s="7"/>
      <c r="I136" s="239"/>
      <c r="J136" s="120"/>
      <c r="K136" s="28"/>
      <c r="L136" s="120"/>
      <c r="M136" s="28"/>
      <c r="N136" s="120"/>
      <c r="O136" s="28"/>
      <c r="P136" s="120"/>
      <c r="Q136" s="296"/>
      <c r="V136" s="185"/>
    </row>
    <row r="137" spans="1:22" ht="18" hidden="1" customHeight="1">
      <c r="A137" s="96"/>
      <c r="C137" s="14"/>
      <c r="D137" s="14"/>
      <c r="E137" s="689" t="s">
        <v>736</v>
      </c>
      <c r="F137" s="689">
        <v>1</v>
      </c>
      <c r="G137" s="689"/>
      <c r="H137" s="689" t="s">
        <v>312</v>
      </c>
      <c r="I137" s="459" t="s">
        <v>312</v>
      </c>
      <c r="J137" s="120"/>
      <c r="K137" s="28"/>
      <c r="L137" s="120"/>
      <c r="M137" s="28"/>
      <c r="N137" s="120"/>
      <c r="O137" s="28"/>
      <c r="P137" s="120"/>
      <c r="Q137" s="296"/>
      <c r="V137" s="185"/>
    </row>
    <row r="138" spans="1:22" ht="18" hidden="1" customHeight="1">
      <c r="A138" s="96"/>
      <c r="C138" s="14"/>
      <c r="D138" s="14"/>
      <c r="E138" s="723"/>
      <c r="F138" s="273"/>
      <c r="G138" s="274" t="s">
        <v>737</v>
      </c>
      <c r="H138" s="689"/>
      <c r="I138" s="14" t="s">
        <v>141</v>
      </c>
      <c r="J138" s="120"/>
      <c r="K138" s="28"/>
      <c r="L138" s="120"/>
      <c r="M138" s="28"/>
      <c r="N138" s="120"/>
      <c r="O138" s="28"/>
      <c r="P138" s="120"/>
      <c r="Q138" s="296"/>
      <c r="V138" s="185"/>
    </row>
    <row r="139" spans="1:22" ht="18" hidden="1" customHeight="1">
      <c r="A139" s="96"/>
      <c r="C139" s="120"/>
      <c r="D139" s="28"/>
      <c r="E139" s="218"/>
      <c r="F139" s="218"/>
      <c r="G139" s="27"/>
      <c r="H139" s="27"/>
      <c r="I139" s="27"/>
      <c r="J139" s="120"/>
      <c r="K139" s="28"/>
      <c r="L139" s="120"/>
      <c r="M139" s="28"/>
      <c r="N139" s="120"/>
      <c r="O139" s="28"/>
      <c r="P139" s="120"/>
      <c r="Q139" s="296"/>
      <c r="V139" s="185"/>
    </row>
    <row r="140" spans="1:22" ht="18" hidden="1" customHeight="1">
      <c r="A140" s="96"/>
      <c r="B140" s="14" t="s">
        <v>753</v>
      </c>
      <c r="J140" s="120"/>
      <c r="K140" s="28"/>
      <c r="L140" s="120"/>
      <c r="M140" s="28"/>
      <c r="N140" s="121" t="s">
        <v>127</v>
      </c>
      <c r="O140" s="47" t="e">
        <f>#REF!</f>
        <v>#REF!</v>
      </c>
      <c r="P140" s="120"/>
      <c r="Q140" s="296"/>
      <c r="V140" s="185"/>
    </row>
    <row r="141" spans="1:22" ht="18" hidden="1" customHeight="1">
      <c r="A141" s="184"/>
      <c r="C141" s="120"/>
      <c r="D141" s="28"/>
      <c r="E141" s="218"/>
      <c r="F141" s="218"/>
      <c r="G141" s="27"/>
      <c r="H141" s="27"/>
      <c r="I141" s="27"/>
      <c r="J141" s="120"/>
      <c r="K141" s="28"/>
      <c r="L141" s="120"/>
      <c r="M141" s="28"/>
      <c r="N141" s="120"/>
      <c r="O141" s="28"/>
      <c r="P141" s="120"/>
      <c r="Q141" s="296"/>
      <c r="V141" s="185"/>
    </row>
    <row r="142" spans="1:22" ht="18" hidden="1" customHeight="1">
      <c r="A142" s="96"/>
      <c r="C142" s="120"/>
      <c r="F142" s="708">
        <v>1</v>
      </c>
      <c r="G142" s="708"/>
      <c r="H142" s="708"/>
      <c r="I142" s="27"/>
      <c r="J142" s="689" t="s">
        <v>315</v>
      </c>
      <c r="K142" s="1286" t="e">
        <f>O140</f>
        <v>#REF!</v>
      </c>
      <c r="L142" s="120"/>
      <c r="M142" s="28"/>
      <c r="N142" s="120"/>
      <c r="O142" s="28"/>
      <c r="P142" s="120"/>
      <c r="Q142" s="296"/>
      <c r="V142" s="185"/>
    </row>
    <row r="143" spans="1:22" ht="18" hidden="1" customHeight="1">
      <c r="A143" s="184"/>
      <c r="C143" s="120"/>
      <c r="D143" s="120" t="s">
        <v>738</v>
      </c>
      <c r="E143" s="102" t="s">
        <v>127</v>
      </c>
      <c r="F143" s="14" t="s">
        <v>739</v>
      </c>
      <c r="I143" s="27"/>
      <c r="J143" s="684"/>
      <c r="K143" s="1251"/>
      <c r="L143" s="120"/>
      <c r="M143" s="28"/>
      <c r="N143" s="120"/>
      <c r="O143" s="28"/>
      <c r="P143" s="120"/>
      <c r="Q143" s="296"/>
      <c r="V143" s="185"/>
    </row>
    <row r="144" spans="1:22" ht="18" hidden="1" customHeight="1">
      <c r="A144" s="184"/>
      <c r="C144" s="120"/>
      <c r="D144" s="28"/>
      <c r="E144" s="218" t="s">
        <v>127</v>
      </c>
      <c r="F144" s="1287" t="e">
        <f>1*O140/(2*3.14*50)</f>
        <v>#REF!</v>
      </c>
      <c r="G144" s="1287"/>
      <c r="H144" s="28" t="s">
        <v>740</v>
      </c>
      <c r="I144" s="27"/>
      <c r="J144" s="120"/>
      <c r="K144" s="28"/>
      <c r="L144" s="120"/>
      <c r="M144" s="28"/>
      <c r="N144" s="120"/>
      <c r="O144" s="28"/>
      <c r="P144" s="120"/>
      <c r="Q144" s="296"/>
      <c r="V144" s="185"/>
    </row>
    <row r="145" spans="1:22" ht="18" hidden="1" customHeight="1">
      <c r="A145" s="184"/>
      <c r="C145" s="120"/>
      <c r="D145" s="120" t="s">
        <v>738</v>
      </c>
      <c r="E145" s="218" t="s">
        <v>127</v>
      </c>
      <c r="F145" s="1188" t="e">
        <f>F144*1000</f>
        <v>#REF!</v>
      </c>
      <c r="G145" s="1188"/>
      <c r="H145" s="28" t="s">
        <v>343</v>
      </c>
      <c r="I145" s="27"/>
      <c r="J145" s="120"/>
      <c r="K145" s="28"/>
      <c r="L145" s="120"/>
      <c r="M145" s="28"/>
      <c r="N145" s="120"/>
      <c r="O145" s="28"/>
      <c r="P145" s="120"/>
      <c r="Q145" s="296"/>
      <c r="V145" s="185"/>
    </row>
    <row r="146" spans="1:22" ht="18" hidden="1" customHeight="1">
      <c r="A146" s="184"/>
      <c r="B146" s="14" t="s">
        <v>741</v>
      </c>
      <c r="E146" s="28" t="s">
        <v>127</v>
      </c>
      <c r="F146" s="27">
        <v>10</v>
      </c>
      <c r="G146" s="27"/>
      <c r="H146" s="245"/>
      <c r="I146" s="245"/>
      <c r="J146" s="460"/>
      <c r="K146" s="245"/>
      <c r="L146" s="460"/>
      <c r="M146" s="245"/>
      <c r="N146" s="460"/>
      <c r="O146" s="245"/>
      <c r="P146" s="460"/>
      <c r="Q146" s="461"/>
      <c r="V146" s="185"/>
    </row>
    <row r="147" spans="1:22" ht="18" hidden="1" customHeight="1">
      <c r="A147" s="184"/>
      <c r="G147" s="27"/>
      <c r="H147" s="245"/>
      <c r="I147" s="245"/>
      <c r="J147" s="460"/>
      <c r="K147" s="245"/>
      <c r="L147" s="460"/>
      <c r="M147" s="245"/>
      <c r="N147" s="460"/>
      <c r="O147" s="245"/>
      <c r="P147" s="460"/>
      <c r="Q147" s="461"/>
      <c r="V147" s="185"/>
    </row>
    <row r="148" spans="1:22" ht="18" hidden="1" customHeight="1">
      <c r="A148" s="184"/>
      <c r="B148" s="7" t="s">
        <v>742</v>
      </c>
      <c r="F148" s="7"/>
      <c r="G148" s="7"/>
      <c r="H148" s="204"/>
      <c r="I148" s="204"/>
      <c r="V148" s="185"/>
    </row>
    <row r="149" spans="1:22" ht="18" hidden="1" customHeight="1">
      <c r="A149" s="184"/>
      <c r="B149" s="7"/>
      <c r="E149" s="14" t="s">
        <v>754</v>
      </c>
      <c r="F149" s="7"/>
      <c r="G149" s="7"/>
      <c r="V149" s="185"/>
    </row>
    <row r="150" spans="1:22" ht="18" hidden="1" customHeight="1">
      <c r="A150" s="184"/>
      <c r="B150" s="14" t="s">
        <v>744</v>
      </c>
      <c r="C150" s="14"/>
      <c r="D150" s="14"/>
      <c r="E150" s="14"/>
      <c r="F150" s="14"/>
      <c r="G150" s="120"/>
      <c r="H150" s="120"/>
      <c r="V150" s="185"/>
    </row>
    <row r="151" spans="1:22" ht="18" hidden="1" customHeight="1">
      <c r="A151" s="184"/>
      <c r="B151" s="14"/>
      <c r="C151" s="120" t="s">
        <v>745</v>
      </c>
      <c r="D151" s="28" t="s">
        <v>127</v>
      </c>
      <c r="E151" s="1188" t="e">
        <f>MAX(E134,F146)</f>
        <v>#DIV/0!</v>
      </c>
      <c r="F151" s="1188"/>
      <c r="G151" s="47" t="s">
        <v>746</v>
      </c>
      <c r="H151" s="120"/>
      <c r="V151" s="185"/>
    </row>
    <row r="152" spans="1:22" ht="18" hidden="1" customHeight="1">
      <c r="A152" s="184"/>
      <c r="B152" s="7"/>
      <c r="E152" s="14"/>
      <c r="F152" s="7"/>
      <c r="G152" s="7"/>
      <c r="V152" s="185"/>
    </row>
    <row r="153" spans="1:22" ht="18" hidden="1" customHeight="1">
      <c r="A153" s="184"/>
      <c r="B153" s="47" t="s">
        <v>747</v>
      </c>
      <c r="E153" s="14"/>
      <c r="F153" s="7"/>
      <c r="G153" s="7"/>
      <c r="V153" s="185"/>
    </row>
    <row r="154" spans="1:22" ht="18" hidden="1" customHeight="1">
      <c r="A154" s="184"/>
      <c r="B154" s="47" t="s">
        <v>748</v>
      </c>
      <c r="E154" s="14"/>
      <c r="F154" s="7"/>
      <c r="G154" s="7"/>
      <c r="V154" s="185"/>
    </row>
    <row r="155" spans="1:22" ht="18" hidden="1" customHeight="1" thickBot="1">
      <c r="A155" s="184"/>
      <c r="B155" s="102" t="s">
        <v>127</v>
      </c>
      <c r="C155" s="120" t="e">
        <f>E151</f>
        <v>#DIV/0!</v>
      </c>
      <c r="D155" s="28" t="s">
        <v>315</v>
      </c>
      <c r="E155" s="28" t="s">
        <v>419</v>
      </c>
      <c r="F155" s="692">
        <f>S110</f>
        <v>9.3000000000000007</v>
      </c>
      <c r="G155" s="692"/>
      <c r="H155" s="102" t="s">
        <v>347</v>
      </c>
      <c r="I155" s="218">
        <f>S111</f>
        <v>1.1870224400000002</v>
      </c>
      <c r="J155" s="240" t="s">
        <v>347</v>
      </c>
      <c r="K155" s="281">
        <f>J99</f>
        <v>0.01</v>
      </c>
      <c r="L155" s="14" t="s">
        <v>350</v>
      </c>
      <c r="M155" s="14" t="s">
        <v>315</v>
      </c>
      <c r="N155" s="28">
        <v>1</v>
      </c>
      <c r="V155" s="185"/>
    </row>
    <row r="156" spans="1:22" ht="18" hidden="1" customHeight="1" thickBot="1">
      <c r="A156" s="184"/>
      <c r="B156" s="462" t="s">
        <v>528</v>
      </c>
      <c r="C156" s="463" t="s">
        <v>127</v>
      </c>
      <c r="D156" s="464" t="e">
        <f>C155*(F155+I155+K155)*N155</f>
        <v>#DIV/0!</v>
      </c>
      <c r="E156" s="14" t="s">
        <v>305</v>
      </c>
      <c r="F156" s="7"/>
      <c r="G156" s="7"/>
      <c r="V156" s="185"/>
    </row>
    <row r="157" spans="1:22" ht="18" hidden="1" customHeight="1">
      <c r="A157" s="184"/>
      <c r="B157" s="7"/>
      <c r="E157" s="14"/>
      <c r="F157" s="7"/>
      <c r="G157" s="7"/>
      <c r="V157" s="185"/>
    </row>
    <row r="158" spans="1:22" ht="18" hidden="1" customHeight="1">
      <c r="A158" s="184"/>
      <c r="B158" s="47" t="s">
        <v>749</v>
      </c>
      <c r="E158" s="14"/>
      <c r="F158" s="7"/>
      <c r="G158" s="7"/>
      <c r="J158" s="14" t="s">
        <v>750</v>
      </c>
      <c r="L158" s="28" t="s">
        <v>476</v>
      </c>
      <c r="N158" s="14" t="s">
        <v>751</v>
      </c>
      <c r="V158" s="185"/>
    </row>
    <row r="159" spans="1:22" ht="18" hidden="1" customHeight="1">
      <c r="A159" s="184"/>
      <c r="B159" s="7"/>
      <c r="E159" s="14"/>
      <c r="F159" s="7"/>
      <c r="G159" s="7"/>
      <c r="L159" s="28" t="s">
        <v>127</v>
      </c>
      <c r="N159" s="1251" t="e">
        <f>0.8*D156</f>
        <v>#DIV/0!</v>
      </c>
      <c r="O159" s="1251"/>
      <c r="V159" s="185"/>
    </row>
    <row r="160" spans="1:22" ht="18" hidden="1" customHeight="1">
      <c r="A160" s="184"/>
      <c r="B160" s="7"/>
      <c r="E160" s="14"/>
      <c r="F160" s="14" t="s">
        <v>752</v>
      </c>
      <c r="G160" s="7"/>
      <c r="L160" s="28" t="s">
        <v>127</v>
      </c>
      <c r="N160" s="1072" t="e">
        <f>N159*1.2</f>
        <v>#DIV/0!</v>
      </c>
      <c r="O160" s="1072"/>
      <c r="V160" s="185"/>
    </row>
    <row r="161" spans="1:23" ht="18" hidden="1" customHeight="1">
      <c r="A161" s="184"/>
      <c r="B161" s="7"/>
      <c r="E161" s="14"/>
      <c r="F161" s="7"/>
      <c r="G161" s="7"/>
      <c r="K161" s="199" t="s">
        <v>475</v>
      </c>
      <c r="L161" s="28" t="e">
        <f>IF(J162&gt;M162,"&gt;","&lt;")</f>
        <v>#DIV/0!</v>
      </c>
      <c r="M161" s="257" t="s">
        <v>477</v>
      </c>
      <c r="O161" s="18"/>
      <c r="P161" s="268"/>
      <c r="V161" s="185"/>
    </row>
    <row r="162" spans="1:23" ht="18" hidden="1" customHeight="1">
      <c r="A162" s="184"/>
      <c r="D162" s="211"/>
      <c r="E162" s="211"/>
      <c r="F162" s="27"/>
      <c r="G162" s="211"/>
      <c r="J162" s="795">
        <f>S109</f>
        <v>500</v>
      </c>
      <c r="K162" s="795"/>
      <c r="L162" s="27" t="e">
        <f>IF(J162&gt;=M162,"&gt;","&lt;")</f>
        <v>#DIV/0!</v>
      </c>
      <c r="M162" s="795" t="e">
        <f>N160</f>
        <v>#DIV/0!</v>
      </c>
      <c r="N162" s="795"/>
      <c r="P162" s="268"/>
      <c r="V162" s="185"/>
    </row>
    <row r="163" spans="1:23" s="14" customFormat="1" ht="18" hidden="1" customHeight="1">
      <c r="A163" s="184"/>
      <c r="B163" s="30"/>
      <c r="C163" s="30"/>
      <c r="D163" s="30"/>
      <c r="E163" s="30"/>
      <c r="F163" s="30"/>
      <c r="G163" s="30"/>
      <c r="H163" s="30"/>
      <c r="I163" s="30"/>
      <c r="J163" s="30"/>
      <c r="K163" s="244" t="s">
        <v>478</v>
      </c>
      <c r="L163" s="30"/>
      <c r="M163" s="18" t="e">
        <f>IF(J162&gt;M162,"Suitable Dimensions","Under Dimensioned")</f>
        <v>#DIV/0!</v>
      </c>
      <c r="N163" s="30"/>
      <c r="O163" s="30"/>
      <c r="P163" s="30"/>
      <c r="Q163" s="30"/>
      <c r="R163" s="30"/>
      <c r="S163" s="30"/>
      <c r="T163" s="30"/>
      <c r="U163" s="30"/>
      <c r="V163" s="185"/>
    </row>
    <row r="164" spans="1:23" ht="18" hidden="1" customHeight="1">
      <c r="A164" s="184"/>
      <c r="V164" s="185"/>
    </row>
    <row r="165" spans="1:23" ht="18" hidden="1" customHeight="1">
      <c r="A165" s="184"/>
      <c r="V165" s="185"/>
    </row>
    <row r="166" spans="1:23" ht="18" hidden="1" customHeight="1">
      <c r="A166" s="184"/>
      <c r="V166" s="185"/>
    </row>
    <row r="167" spans="1:23" ht="18" hidden="1" customHeight="1">
      <c r="A167" s="452"/>
      <c r="B167" s="207"/>
      <c r="C167" s="207"/>
      <c r="D167" s="207"/>
      <c r="E167" s="207"/>
      <c r="F167" s="207"/>
      <c r="G167" s="207"/>
      <c r="H167" s="207"/>
      <c r="I167" s="207"/>
      <c r="J167" s="207"/>
      <c r="K167" s="207"/>
      <c r="L167" s="207"/>
      <c r="M167" s="207"/>
      <c r="N167" s="207"/>
      <c r="O167" s="207"/>
      <c r="P167" s="207"/>
      <c r="Q167" s="207"/>
      <c r="R167" s="207"/>
      <c r="S167" s="207"/>
      <c r="T167" s="207"/>
      <c r="U167" s="207"/>
      <c r="V167" s="453"/>
    </row>
    <row r="168" spans="1:23" ht="18" hidden="1" customHeight="1">
      <c r="A168" s="194"/>
      <c r="B168" s="195"/>
      <c r="C168" s="195"/>
      <c r="D168" s="195"/>
      <c r="E168" s="195"/>
      <c r="F168" s="195"/>
      <c r="G168" s="195"/>
      <c r="H168" s="195"/>
      <c r="I168" s="195"/>
      <c r="J168" s="195"/>
      <c r="K168" s="195"/>
      <c r="L168" s="195"/>
      <c r="M168" s="195"/>
      <c r="N168" s="195"/>
      <c r="O168" s="195"/>
      <c r="P168" s="195"/>
      <c r="Q168" s="224"/>
      <c r="R168" s="182"/>
      <c r="S168" s="225"/>
      <c r="T168" s="195"/>
      <c r="U168" s="195"/>
      <c r="V168" s="134"/>
    </row>
    <row r="169" spans="1:23" ht="18" hidden="1" customHeight="1">
      <c r="A169" s="226"/>
      <c r="B169" s="227"/>
      <c r="C169" s="227"/>
      <c r="D169" s="227"/>
      <c r="E169" s="227"/>
      <c r="F169" s="227"/>
      <c r="G169" s="227"/>
      <c r="H169" s="227"/>
      <c r="I169" s="227"/>
      <c r="J169" s="227"/>
      <c r="K169" s="227"/>
      <c r="L169" s="227"/>
      <c r="M169" s="227"/>
      <c r="N169" s="227"/>
      <c r="O169" s="227"/>
      <c r="P169" s="227"/>
      <c r="Q169" s="227"/>
      <c r="R169" s="227"/>
      <c r="S169" s="227"/>
      <c r="T169" s="227"/>
      <c r="U169" s="227"/>
      <c r="V169" s="228"/>
    </row>
    <row r="170" spans="1:23" ht="18" hidden="1" customHeight="1">
      <c r="A170" s="184"/>
      <c r="B170" s="854" t="str">
        <f>B88</f>
        <v>T1</v>
      </c>
      <c r="C170" s="831"/>
      <c r="D170" s="854" t="str">
        <f>D88</f>
        <v>Core5</v>
      </c>
      <c r="E170" s="831"/>
      <c r="F170" s="455"/>
      <c r="H170" s="684">
        <f>H88</f>
        <v>0</v>
      </c>
      <c r="I170" s="684"/>
      <c r="J170" s="684"/>
      <c r="K170" s="684"/>
      <c r="L170" s="684"/>
      <c r="M170" s="684"/>
      <c r="P170" s="186"/>
      <c r="S170" s="187" t="s">
        <v>387</v>
      </c>
      <c r="T170" s="854" t="str">
        <f>T88</f>
        <v>REB500</v>
      </c>
      <c r="U170" s="831"/>
      <c r="V170" s="185"/>
    </row>
    <row r="171" spans="1:23" ht="18" hidden="1" customHeight="1">
      <c r="A171" s="456"/>
      <c r="F171" s="455"/>
      <c r="T171" s="854" t="str">
        <f>T89</f>
        <v>P743</v>
      </c>
      <c r="U171" s="831"/>
      <c r="V171" s="185"/>
      <c r="W171" s="30" t="e">
        <f>G236</f>
        <v>#VALUE!</v>
      </c>
    </row>
    <row r="172" spans="1:23" ht="18" hidden="1" customHeight="1">
      <c r="A172" s="184"/>
      <c r="H172" s="708" t="s">
        <v>390</v>
      </c>
      <c r="I172" s="708"/>
      <c r="J172" s="708" t="s">
        <v>391</v>
      </c>
      <c r="K172" s="708"/>
      <c r="L172" s="789" t="s">
        <v>392</v>
      </c>
      <c r="M172" s="789"/>
      <c r="T172" s="854">
        <f>T90</f>
        <v>0</v>
      </c>
      <c r="U172" s="831"/>
      <c r="V172" s="185"/>
    </row>
    <row r="173" spans="1:23" ht="18" hidden="1" customHeight="1">
      <c r="A173" s="184"/>
      <c r="B173" s="47" t="s">
        <v>393</v>
      </c>
      <c r="H173" s="854">
        <f>H91</f>
        <v>2500</v>
      </c>
      <c r="I173" s="831"/>
      <c r="J173" s="854">
        <f>J91</f>
        <v>0</v>
      </c>
      <c r="K173" s="831"/>
      <c r="L173" s="863" t="str">
        <f>L91</f>
        <v>-</v>
      </c>
      <c r="M173" s="864"/>
      <c r="N173" s="191" t="s">
        <v>342</v>
      </c>
      <c r="O173" s="256">
        <f>O91</f>
        <v>1</v>
      </c>
      <c r="P173" s="27" t="s">
        <v>8</v>
      </c>
      <c r="R173" s="255"/>
      <c r="S173" s="255"/>
      <c r="V173" s="185"/>
    </row>
    <row r="174" spans="1:23" ht="18" hidden="1" customHeight="1">
      <c r="A174" s="184"/>
      <c r="B174" s="47" t="s">
        <v>394</v>
      </c>
      <c r="H174" s="14"/>
      <c r="K174" s="14"/>
      <c r="L174" s="854" t="str">
        <f>J92</f>
        <v>PX-B</v>
      </c>
      <c r="M174" s="831"/>
      <c r="N174" s="14"/>
      <c r="V174" s="185"/>
    </row>
    <row r="175" spans="1:23" ht="18" hidden="1" customHeight="1">
      <c r="A175" s="184"/>
      <c r="B175" s="47" t="s">
        <v>396</v>
      </c>
      <c r="K175" s="120" t="s">
        <v>497</v>
      </c>
      <c r="L175" s="781" t="s">
        <v>6</v>
      </c>
      <c r="M175" s="782"/>
      <c r="N175" s="192" t="s">
        <v>333</v>
      </c>
      <c r="V175" s="185"/>
    </row>
    <row r="176" spans="1:23" ht="18" hidden="1" customHeight="1">
      <c r="A176" s="184"/>
      <c r="B176" s="47" t="s">
        <v>398</v>
      </c>
      <c r="K176" s="120" t="s">
        <v>498</v>
      </c>
      <c r="L176" s="781" t="s">
        <v>6</v>
      </c>
      <c r="M176" s="782"/>
      <c r="N176" s="14" t="s">
        <v>305</v>
      </c>
      <c r="V176" s="185"/>
    </row>
    <row r="177" spans="1:25" ht="18" hidden="1" customHeight="1">
      <c r="A177" s="184"/>
      <c r="B177" s="14" t="s">
        <v>401</v>
      </c>
      <c r="K177" s="120" t="s">
        <v>402</v>
      </c>
      <c r="L177" s="781" t="s">
        <v>6</v>
      </c>
      <c r="M177" s="782"/>
      <c r="N177" s="14" t="s">
        <v>403</v>
      </c>
      <c r="V177" s="185"/>
    </row>
    <row r="178" spans="1:25" ht="18" hidden="1" customHeight="1">
      <c r="A178" s="184"/>
      <c r="V178" s="185"/>
    </row>
    <row r="179" spans="1:25" ht="18" hidden="1" customHeight="1">
      <c r="A179" s="193" t="s">
        <v>404</v>
      </c>
      <c r="V179" s="185"/>
    </row>
    <row r="180" spans="1:25" ht="18" hidden="1" customHeight="1">
      <c r="A180" s="184"/>
      <c r="V180" s="185"/>
    </row>
    <row r="181" spans="1:25" ht="18" hidden="1" customHeight="1">
      <c r="A181" s="184"/>
      <c r="B181" s="135" t="s">
        <v>405</v>
      </c>
      <c r="C181" s="273"/>
      <c r="D181" s="139" t="str">
        <f>T170</f>
        <v>REB500</v>
      </c>
      <c r="E181" s="227"/>
      <c r="F181" s="227"/>
      <c r="G181" s="227"/>
      <c r="H181" s="138"/>
      <c r="I181" s="260" t="s">
        <v>127</v>
      </c>
      <c r="J181" s="722">
        <f>J99</f>
        <v>0.01</v>
      </c>
      <c r="K181" s="958"/>
      <c r="L181" s="3" t="s">
        <v>157</v>
      </c>
      <c r="N181" s="197" t="s">
        <v>510</v>
      </c>
      <c r="V181" s="185"/>
    </row>
    <row r="182" spans="1:25" ht="18" hidden="1" customHeight="1">
      <c r="A182" s="184"/>
      <c r="B182" s="96" t="s">
        <v>405</v>
      </c>
      <c r="C182" s="14"/>
      <c r="D182" s="47" t="str">
        <f>T171</f>
        <v>P743</v>
      </c>
      <c r="H182" s="28"/>
      <c r="I182" s="101" t="s">
        <v>127</v>
      </c>
      <c r="J182" s="722">
        <f>J100</f>
        <v>0.1</v>
      </c>
      <c r="K182" s="958"/>
      <c r="L182" s="3" t="s">
        <v>157</v>
      </c>
      <c r="N182" s="120" t="s">
        <v>491</v>
      </c>
      <c r="O182" s="27" t="s">
        <v>127</v>
      </c>
      <c r="P182" s="27" t="s">
        <v>511</v>
      </c>
      <c r="Q182" s="27" t="s">
        <v>315</v>
      </c>
      <c r="R182" s="27" t="s">
        <v>511</v>
      </c>
      <c r="S182" s="27" t="s">
        <v>315</v>
      </c>
      <c r="T182" s="27" t="s">
        <v>420</v>
      </c>
      <c r="V182" s="185"/>
    </row>
    <row r="183" spans="1:25" ht="18" hidden="1" customHeight="1">
      <c r="A183" s="184"/>
      <c r="B183" s="96" t="s">
        <v>405</v>
      </c>
      <c r="C183" s="14"/>
      <c r="D183" s="47">
        <f>T172</f>
        <v>0</v>
      </c>
      <c r="H183" s="28"/>
      <c r="I183" s="101" t="s">
        <v>127</v>
      </c>
      <c r="J183" s="722">
        <f>J101</f>
        <v>0</v>
      </c>
      <c r="K183" s="958"/>
      <c r="L183" s="3" t="s">
        <v>157</v>
      </c>
      <c r="N183" s="27"/>
      <c r="O183" s="27" t="s">
        <v>127</v>
      </c>
      <c r="P183" s="27">
        <f>O173</f>
        <v>1</v>
      </c>
      <c r="Q183" s="27" t="s">
        <v>315</v>
      </c>
      <c r="R183" s="27">
        <f>O173</f>
        <v>1</v>
      </c>
      <c r="S183" s="27" t="s">
        <v>315</v>
      </c>
      <c r="T183" s="27" t="str">
        <f>L175</f>
        <v>-</v>
      </c>
      <c r="V183" s="185"/>
    </row>
    <row r="184" spans="1:25" ht="18" hidden="1" customHeight="1">
      <c r="A184" s="184"/>
      <c r="B184" s="452" t="s">
        <v>412</v>
      </c>
      <c r="C184" s="259"/>
      <c r="D184" s="259"/>
      <c r="E184" s="259"/>
      <c r="F184" s="207"/>
      <c r="G184" s="207"/>
      <c r="H184" s="190"/>
      <c r="I184" s="208" t="s">
        <v>127</v>
      </c>
      <c r="J184" s="1120">
        <f>J102</f>
        <v>1.0770224400000001</v>
      </c>
      <c r="K184" s="987"/>
      <c r="L184" s="297" t="s">
        <v>157</v>
      </c>
      <c r="O184" s="27" t="s">
        <v>127</v>
      </c>
      <c r="P184" s="795" t="e">
        <f>P183*R183*T183</f>
        <v>#VALUE!</v>
      </c>
      <c r="Q184" s="684"/>
      <c r="R184" s="27" t="s">
        <v>157</v>
      </c>
      <c r="V184" s="185"/>
    </row>
    <row r="185" spans="1:25" ht="18" hidden="1" customHeight="1">
      <c r="A185" s="184"/>
      <c r="B185" s="1" t="s">
        <v>413</v>
      </c>
      <c r="C185" s="2"/>
      <c r="D185" s="2"/>
      <c r="E185" s="2"/>
      <c r="F185" s="196"/>
      <c r="G185" s="196"/>
      <c r="H185" s="224" t="s">
        <v>512</v>
      </c>
      <c r="I185" s="183" t="s">
        <v>127</v>
      </c>
      <c r="J185" s="722">
        <f>SUM(J181:J184)</f>
        <v>1.1870224400000002</v>
      </c>
      <c r="K185" s="958"/>
      <c r="L185" s="3" t="s">
        <v>157</v>
      </c>
      <c r="V185" s="185"/>
    </row>
    <row r="186" spans="1:25" ht="18" hidden="1" customHeight="1">
      <c r="A186" s="184"/>
      <c r="B186" s="47"/>
      <c r="C186" s="47"/>
      <c r="D186" s="47"/>
      <c r="E186" s="47"/>
      <c r="H186" s="27"/>
      <c r="I186" s="28"/>
      <c r="J186" s="199"/>
      <c r="L186" s="47"/>
      <c r="S186" s="27"/>
      <c r="V186" s="185"/>
    </row>
    <row r="187" spans="1:25" ht="18" hidden="1" customHeight="1">
      <c r="A187" s="1206" t="s">
        <v>536</v>
      </c>
      <c r="B187" s="1207"/>
      <c r="C187" s="1207"/>
      <c r="D187" s="1207"/>
      <c r="E187" s="1207"/>
      <c r="F187" s="1207"/>
      <c r="G187" s="1207"/>
      <c r="H187" s="1207"/>
      <c r="I187" s="1207"/>
      <c r="J187" s="1207"/>
      <c r="K187" s="1207"/>
      <c r="L187" s="1207"/>
      <c r="M187" s="1207"/>
      <c r="N187" s="1207"/>
      <c r="O187" s="1207"/>
      <c r="P187" s="1207"/>
      <c r="Q187" s="1207"/>
      <c r="R187" s="1207"/>
      <c r="S187" s="1207"/>
      <c r="T187" s="1207"/>
      <c r="U187" s="1207"/>
      <c r="V187" s="1208"/>
    </row>
    <row r="188" spans="1:25" ht="18" hidden="1" customHeight="1">
      <c r="A188" s="1209"/>
      <c r="B188" s="1207"/>
      <c r="C188" s="1207"/>
      <c r="D188" s="1207"/>
      <c r="E188" s="1207"/>
      <c r="F188" s="1207"/>
      <c r="G188" s="1207"/>
      <c r="H188" s="1207"/>
      <c r="I188" s="1207"/>
      <c r="J188" s="1207"/>
      <c r="K188" s="1207"/>
      <c r="L188" s="1207"/>
      <c r="M188" s="1207"/>
      <c r="N188" s="1207"/>
      <c r="O188" s="1207"/>
      <c r="P188" s="1207"/>
      <c r="Q188" s="1207"/>
      <c r="R188" s="1207"/>
      <c r="S188" s="1207"/>
      <c r="T188" s="1207"/>
      <c r="U188" s="1207"/>
      <c r="V188" s="1208"/>
    </row>
    <row r="189" spans="1:25" ht="18" hidden="1" customHeight="1">
      <c r="A189" s="184"/>
      <c r="Q189" s="211"/>
      <c r="R189" s="192"/>
      <c r="V189" s="185"/>
    </row>
    <row r="190" spans="1:25" ht="18" hidden="1" customHeight="1">
      <c r="A190" s="184"/>
      <c r="C190" s="28" t="s">
        <v>473</v>
      </c>
      <c r="D190" s="28" t="s">
        <v>127</v>
      </c>
      <c r="E190" s="28" t="s">
        <v>537</v>
      </c>
      <c r="F190" s="28" t="s">
        <v>493</v>
      </c>
      <c r="G190" s="28" t="s">
        <v>347</v>
      </c>
      <c r="H190" s="28" t="s">
        <v>491</v>
      </c>
      <c r="I190" s="28" t="s">
        <v>538</v>
      </c>
      <c r="J190" s="28" t="s">
        <v>495</v>
      </c>
      <c r="K190" s="28" t="s">
        <v>539</v>
      </c>
      <c r="L190" s="28" t="s">
        <v>511</v>
      </c>
      <c r="M190" s="28" t="s">
        <v>315</v>
      </c>
      <c r="N190" s="28">
        <v>1.3</v>
      </c>
      <c r="O190" s="47" t="s">
        <v>350</v>
      </c>
      <c r="V190" s="185"/>
    </row>
    <row r="191" spans="1:25" ht="18" hidden="1" customHeight="1">
      <c r="A191" s="184" t="s">
        <v>540</v>
      </c>
      <c r="C191" s="14"/>
      <c r="D191" s="28"/>
      <c r="E191" s="14"/>
      <c r="F191" s="14"/>
      <c r="G191" s="14"/>
      <c r="H191" s="14"/>
      <c r="I191" s="14"/>
      <c r="J191" s="14"/>
      <c r="K191" s="14"/>
      <c r="L191" s="14"/>
      <c r="M191" s="14"/>
      <c r="N191" s="14"/>
      <c r="O191" s="14"/>
      <c r="V191" s="185"/>
    </row>
    <row r="192" spans="1:25" ht="18" hidden="1" customHeight="1">
      <c r="A192" s="184"/>
      <c r="C192" s="28" t="s">
        <v>493</v>
      </c>
      <c r="D192" s="28" t="s">
        <v>127</v>
      </c>
      <c r="E192" s="28" t="s">
        <v>537</v>
      </c>
      <c r="F192" s="28">
        <v>1.3</v>
      </c>
      <c r="G192" s="28" t="s">
        <v>315</v>
      </c>
      <c r="H192" s="689" t="s">
        <v>473</v>
      </c>
      <c r="I192" s="716"/>
      <c r="J192" s="28" t="s">
        <v>315</v>
      </c>
      <c r="K192" s="28" t="s">
        <v>511</v>
      </c>
      <c r="L192" s="28" t="s">
        <v>541</v>
      </c>
      <c r="M192" s="28" t="s">
        <v>495</v>
      </c>
      <c r="N192" s="47" t="s">
        <v>542</v>
      </c>
      <c r="O192" s="28" t="s">
        <v>491</v>
      </c>
      <c r="V192" s="185"/>
      <c r="W192" s="279"/>
      <c r="X192" s="279"/>
      <c r="Y192" s="279"/>
    </row>
    <row r="193" spans="1:25" ht="18" hidden="1" customHeight="1">
      <c r="A193" s="184"/>
      <c r="V193" s="185"/>
      <c r="X193" s="279"/>
      <c r="Y193" s="279"/>
    </row>
    <row r="194" spans="1:25" ht="18" hidden="1" customHeight="1">
      <c r="A194" s="168"/>
      <c r="B194" s="5"/>
      <c r="C194" s="47" t="s">
        <v>543</v>
      </c>
      <c r="D194" s="14"/>
      <c r="E194" s="14"/>
      <c r="F194" s="14"/>
      <c r="G194" s="14"/>
      <c r="H194" s="279"/>
      <c r="I194" s="120"/>
      <c r="J194" s="279"/>
      <c r="K194" s="279"/>
      <c r="L194" s="14"/>
      <c r="M194" s="14"/>
      <c r="N194" s="14"/>
      <c r="O194" s="14"/>
      <c r="P194" s="14"/>
      <c r="Q194" s="120" t="s">
        <v>544</v>
      </c>
      <c r="R194" s="102" t="s">
        <v>127</v>
      </c>
      <c r="S194" s="689">
        <f>S112</f>
        <v>1</v>
      </c>
      <c r="T194" s="689"/>
      <c r="U194" s="47" t="s">
        <v>8</v>
      </c>
      <c r="V194" s="185"/>
      <c r="X194" s="279"/>
      <c r="Y194" s="279"/>
    </row>
    <row r="195" spans="1:25" ht="18" hidden="1" customHeight="1">
      <c r="A195" s="168"/>
      <c r="B195" s="5"/>
      <c r="C195" s="47" t="s">
        <v>545</v>
      </c>
      <c r="D195" s="14"/>
      <c r="E195" s="14"/>
      <c r="F195" s="18"/>
      <c r="G195" s="18"/>
      <c r="H195" s="279"/>
      <c r="I195" s="120"/>
      <c r="J195" s="279"/>
      <c r="K195" s="279"/>
      <c r="L195" s="14"/>
      <c r="M195" s="14"/>
      <c r="N195" s="14"/>
      <c r="O195" s="14"/>
      <c r="P195" s="14"/>
      <c r="Q195" s="120" t="s">
        <v>423</v>
      </c>
      <c r="R195" s="102" t="s">
        <v>127</v>
      </c>
      <c r="S195" s="689" t="str">
        <f>L173</f>
        <v>-</v>
      </c>
      <c r="T195" s="689"/>
      <c r="U195" s="14" t="s">
        <v>8</v>
      </c>
      <c r="V195" s="185"/>
    </row>
    <row r="196" spans="1:25" ht="18" hidden="1" customHeight="1">
      <c r="A196" s="168"/>
      <c r="B196" s="5"/>
      <c r="C196" s="47" t="s">
        <v>546</v>
      </c>
      <c r="D196" s="14"/>
      <c r="E196" s="14"/>
      <c r="F196" s="18"/>
      <c r="G196" s="18"/>
      <c r="H196" s="279"/>
      <c r="I196" s="120"/>
      <c r="J196" s="279"/>
      <c r="K196" s="279"/>
      <c r="L196" s="14"/>
      <c r="M196" s="14"/>
      <c r="N196" s="14"/>
      <c r="O196" s="14"/>
      <c r="P196" s="14"/>
      <c r="Q196" s="120" t="s">
        <v>473</v>
      </c>
      <c r="R196" s="102" t="s">
        <v>127</v>
      </c>
      <c r="S196" s="689" t="str">
        <f>L176</f>
        <v>-</v>
      </c>
      <c r="T196" s="689"/>
      <c r="U196" s="14" t="s">
        <v>305</v>
      </c>
      <c r="V196" s="185"/>
      <c r="W196" s="279"/>
      <c r="X196" s="279"/>
      <c r="Y196" s="279"/>
    </row>
    <row r="197" spans="1:25" ht="18" hidden="1" customHeight="1">
      <c r="A197" s="168"/>
      <c r="B197" s="5"/>
      <c r="C197" s="47" t="s">
        <v>547</v>
      </c>
      <c r="D197" s="14"/>
      <c r="E197" s="14"/>
      <c r="F197" s="18"/>
      <c r="G197" s="18"/>
      <c r="H197" s="279"/>
      <c r="I197" s="120"/>
      <c r="J197" s="279"/>
      <c r="K197" s="279"/>
      <c r="L197" s="14"/>
      <c r="M197" s="14"/>
      <c r="N197" s="14"/>
      <c r="O197" s="14"/>
      <c r="P197" s="14"/>
      <c r="Q197" s="120" t="s">
        <v>491</v>
      </c>
      <c r="R197" s="102" t="s">
        <v>127</v>
      </c>
      <c r="S197" s="692" t="e">
        <f>P184</f>
        <v>#VALUE!</v>
      </c>
      <c r="T197" s="689"/>
      <c r="U197" s="14" t="s">
        <v>157</v>
      </c>
      <c r="V197" s="185"/>
    </row>
    <row r="198" spans="1:25" ht="18" hidden="1" customHeight="1">
      <c r="A198" s="168"/>
      <c r="B198" s="5"/>
      <c r="C198" s="47" t="s">
        <v>548</v>
      </c>
      <c r="D198" s="14"/>
      <c r="E198" s="14"/>
      <c r="F198" s="18"/>
      <c r="G198" s="18"/>
      <c r="H198" s="279"/>
      <c r="I198" s="120"/>
      <c r="J198" s="279"/>
      <c r="K198" s="279"/>
      <c r="L198" s="14"/>
      <c r="M198" s="14"/>
      <c r="N198" s="14"/>
      <c r="O198" s="14"/>
      <c r="P198" s="14"/>
      <c r="Q198" s="120" t="s">
        <v>512</v>
      </c>
      <c r="R198" s="102" t="s">
        <v>127</v>
      </c>
      <c r="S198" s="692">
        <f>J185</f>
        <v>1.1870224400000002</v>
      </c>
      <c r="T198" s="689"/>
      <c r="U198" s="14" t="s">
        <v>157</v>
      </c>
      <c r="V198" s="185"/>
    </row>
    <row r="199" spans="1:25" ht="18" hidden="1" customHeight="1">
      <c r="A199" s="168"/>
      <c r="B199" s="5"/>
      <c r="C199" s="47" t="s">
        <v>549</v>
      </c>
      <c r="D199" s="14"/>
      <c r="E199" s="14"/>
      <c r="F199" s="14"/>
      <c r="G199" s="14"/>
      <c r="H199" s="279"/>
      <c r="I199" s="120"/>
      <c r="J199" s="279"/>
      <c r="K199" s="279"/>
      <c r="L199" s="14"/>
      <c r="M199" s="14"/>
      <c r="N199" s="14"/>
      <c r="O199" s="14"/>
      <c r="P199" s="14"/>
      <c r="Q199" s="120" t="s">
        <v>511</v>
      </c>
      <c r="R199" s="102" t="s">
        <v>127</v>
      </c>
      <c r="S199" s="689">
        <f>O173</f>
        <v>1</v>
      </c>
      <c r="T199" s="689"/>
      <c r="U199" s="14" t="s">
        <v>8</v>
      </c>
      <c r="V199" s="185"/>
    </row>
    <row r="200" spans="1:25" ht="18" hidden="1" customHeight="1">
      <c r="A200" s="168"/>
      <c r="B200" s="5"/>
      <c r="C200" s="47" t="s">
        <v>550</v>
      </c>
      <c r="D200" s="14"/>
      <c r="E200" s="14"/>
      <c r="F200" s="14"/>
      <c r="G200" s="14"/>
      <c r="H200" s="279"/>
      <c r="I200" s="120"/>
      <c r="J200" s="279"/>
      <c r="K200" s="279"/>
      <c r="L200" s="14"/>
      <c r="M200" s="14"/>
      <c r="N200" s="14"/>
      <c r="O200" s="14"/>
      <c r="P200" s="14"/>
      <c r="Q200" s="120" t="s">
        <v>495</v>
      </c>
      <c r="R200" s="102" t="s">
        <v>127</v>
      </c>
      <c r="S200" s="689">
        <v>20</v>
      </c>
      <c r="T200" s="689"/>
      <c r="U200" s="47"/>
      <c r="V200" s="185"/>
    </row>
    <row r="201" spans="1:25" ht="18" hidden="1" customHeight="1">
      <c r="A201" s="299"/>
      <c r="B201" s="279"/>
      <c r="C201" s="47" t="s">
        <v>551</v>
      </c>
      <c r="D201" s="14"/>
      <c r="E201" s="14"/>
      <c r="F201" s="14"/>
      <c r="G201" s="14"/>
      <c r="H201" s="279"/>
      <c r="I201" s="120"/>
      <c r="J201" s="279"/>
      <c r="K201" s="279"/>
      <c r="L201" s="14"/>
      <c r="M201" s="14"/>
      <c r="N201" s="279"/>
      <c r="O201" s="279"/>
      <c r="P201" s="14"/>
      <c r="Q201" s="120" t="s">
        <v>493</v>
      </c>
      <c r="R201" s="14"/>
      <c r="S201" s="279"/>
      <c r="T201" s="279"/>
      <c r="U201" s="279"/>
      <c r="V201" s="300"/>
    </row>
    <row r="202" spans="1:25" ht="18" hidden="1" customHeight="1">
      <c r="A202" s="184"/>
      <c r="C202" s="14"/>
      <c r="D202" s="14"/>
      <c r="E202" s="14"/>
      <c r="F202" s="14"/>
      <c r="G202" s="14"/>
      <c r="H202" s="14"/>
      <c r="I202" s="14"/>
      <c r="J202" s="14"/>
      <c r="K202" s="14"/>
      <c r="L202" s="14"/>
      <c r="M202" s="14"/>
      <c r="N202" s="14"/>
      <c r="O202" s="14"/>
      <c r="P202" s="14"/>
      <c r="Q202" s="14"/>
      <c r="R202" s="14"/>
      <c r="S202" s="14"/>
      <c r="T202" s="14"/>
      <c r="U202" s="14"/>
      <c r="V202" s="185"/>
    </row>
    <row r="203" spans="1:25" ht="18" hidden="1" customHeight="1">
      <c r="A203" s="184"/>
      <c r="C203" s="28" t="s">
        <v>493</v>
      </c>
      <c r="D203" s="28" t="s">
        <v>127</v>
      </c>
      <c r="E203" s="28" t="s">
        <v>537</v>
      </c>
      <c r="F203" s="28">
        <v>1.3</v>
      </c>
      <c r="G203" s="28" t="s">
        <v>315</v>
      </c>
      <c r="H203" s="689" t="s">
        <v>473</v>
      </c>
      <c r="I203" s="716"/>
      <c r="J203" s="28" t="s">
        <v>315</v>
      </c>
      <c r="K203" s="28" t="s">
        <v>511</v>
      </c>
      <c r="L203" s="28" t="s">
        <v>541</v>
      </c>
      <c r="M203" s="28" t="s">
        <v>495</v>
      </c>
      <c r="N203" s="47" t="s">
        <v>542</v>
      </c>
      <c r="O203" s="28" t="s">
        <v>491</v>
      </c>
      <c r="V203" s="185"/>
    </row>
    <row r="204" spans="1:25" ht="18" hidden="1" customHeight="1">
      <c r="A204" s="184"/>
      <c r="D204" s="27" t="s">
        <v>127</v>
      </c>
      <c r="E204" s="27" t="s">
        <v>537</v>
      </c>
      <c r="F204" s="27">
        <v>1.3</v>
      </c>
      <c r="G204" s="27" t="s">
        <v>315</v>
      </c>
      <c r="H204" s="684" t="str">
        <f>S196</f>
        <v>-</v>
      </c>
      <c r="I204" s="723"/>
      <c r="J204" s="27" t="s">
        <v>315</v>
      </c>
      <c r="K204" s="27">
        <f>S199</f>
        <v>1</v>
      </c>
      <c r="L204" s="27" t="s">
        <v>541</v>
      </c>
      <c r="M204" s="27">
        <f>S200</f>
        <v>20</v>
      </c>
      <c r="N204" s="296" t="s">
        <v>542</v>
      </c>
      <c r="O204" s="222" t="e">
        <f>S197</f>
        <v>#VALUE!</v>
      </c>
      <c r="V204" s="185"/>
    </row>
    <row r="205" spans="1:25" ht="18" hidden="1" customHeight="1">
      <c r="A205" s="184"/>
      <c r="D205" s="27" t="s">
        <v>127</v>
      </c>
      <c r="E205" s="684" t="e">
        <f>((F204*H204*K204)/M204)-O204</f>
        <v>#VALUE!</v>
      </c>
      <c r="F205" s="684"/>
      <c r="G205" s="27" t="s">
        <v>157</v>
      </c>
      <c r="V205" s="185"/>
    </row>
    <row r="206" spans="1:25" ht="18" hidden="1" customHeight="1">
      <c r="A206" s="184"/>
      <c r="D206" s="27"/>
      <c r="E206" s="27"/>
      <c r="F206" s="27"/>
      <c r="G206" s="27"/>
      <c r="V206" s="185"/>
    </row>
    <row r="207" spans="1:25" s="14" customFormat="1" ht="18" hidden="1" customHeight="1">
      <c r="A207" s="184"/>
      <c r="B207" s="30"/>
      <c r="C207" s="30"/>
      <c r="D207" s="27"/>
      <c r="E207" s="27"/>
      <c r="F207" s="27"/>
      <c r="G207" s="27"/>
      <c r="H207" s="30"/>
      <c r="I207" s="30"/>
      <c r="J207" s="30"/>
      <c r="K207" s="30"/>
      <c r="L207" s="30"/>
      <c r="M207" s="30"/>
      <c r="N207" s="30"/>
      <c r="O207" s="30"/>
      <c r="P207" s="30"/>
      <c r="Q207" s="30"/>
      <c r="R207" s="30"/>
      <c r="S207" s="30"/>
      <c r="T207" s="30"/>
      <c r="U207" s="30"/>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V211" s="185"/>
    </row>
    <row r="212" spans="1:22" ht="18" hidden="1" customHeight="1">
      <c r="A212" s="194"/>
      <c r="B212" s="195"/>
      <c r="C212" s="195"/>
      <c r="D212" s="195"/>
      <c r="E212" s="195"/>
      <c r="F212" s="195"/>
      <c r="G212" s="195"/>
      <c r="H212" s="195"/>
      <c r="I212" s="195"/>
      <c r="J212" s="195"/>
      <c r="K212" s="195"/>
      <c r="L212" s="195"/>
      <c r="M212" s="195"/>
      <c r="N212" s="195"/>
      <c r="O212" s="195"/>
      <c r="P212" s="195"/>
      <c r="Q212" s="224"/>
      <c r="R212" s="182"/>
      <c r="S212" s="225"/>
      <c r="T212" s="195"/>
      <c r="U212" s="195"/>
      <c r="V212" s="134"/>
    </row>
    <row r="213" spans="1:22" ht="18" hidden="1" customHeight="1">
      <c r="A213" s="226"/>
      <c r="B213" s="227"/>
      <c r="C213" s="227"/>
      <c r="D213" s="227"/>
      <c r="E213" s="227"/>
      <c r="F213" s="227"/>
      <c r="G213" s="227"/>
      <c r="H213" s="227"/>
      <c r="I213" s="227"/>
      <c r="J213" s="227"/>
      <c r="K213" s="227"/>
      <c r="L213" s="227"/>
      <c r="M213" s="227"/>
      <c r="N213" s="227"/>
      <c r="O213" s="227"/>
      <c r="P213" s="227"/>
      <c r="Q213" s="227"/>
      <c r="R213" s="227"/>
      <c r="S213" s="227"/>
      <c r="T213" s="227"/>
      <c r="U213" s="227"/>
      <c r="V213" s="228"/>
    </row>
    <row r="214" spans="1:22" ht="18" hidden="1" customHeight="1">
      <c r="A214" s="96" t="s">
        <v>755</v>
      </c>
      <c r="B214" s="14"/>
      <c r="C214" s="14"/>
      <c r="D214" s="14"/>
      <c r="E214" s="14"/>
      <c r="F214" s="14"/>
      <c r="G214" s="14"/>
      <c r="H214" s="14"/>
      <c r="I214" s="14"/>
      <c r="J214" s="14"/>
      <c r="K214" s="14"/>
      <c r="L214" s="14"/>
      <c r="M214" s="14"/>
      <c r="N214" s="14"/>
      <c r="O214" s="14"/>
      <c r="P214" s="28"/>
      <c r="Q214" s="120"/>
      <c r="R214" s="14"/>
      <c r="S214" s="14"/>
      <c r="T214" s="14"/>
      <c r="U214" s="14"/>
      <c r="V214" s="185"/>
    </row>
    <row r="215" spans="1:22" ht="18" hidden="1" customHeight="1">
      <c r="A215" s="96"/>
      <c r="B215" s="14"/>
      <c r="C215" s="14"/>
      <c r="D215" s="14"/>
      <c r="E215" s="14"/>
      <c r="F215" s="14"/>
      <c r="G215" s="14"/>
      <c r="H215" s="14"/>
      <c r="K215" s="14" t="s">
        <v>756</v>
      </c>
      <c r="L215" s="28"/>
      <c r="M215" s="47"/>
      <c r="N215" s="14"/>
      <c r="O215" s="14"/>
      <c r="P215" s="14"/>
      <c r="Q215" s="14"/>
      <c r="R215" s="14"/>
      <c r="S215" s="14"/>
      <c r="T215" s="14"/>
      <c r="U215" s="14"/>
      <c r="V215" s="185"/>
    </row>
    <row r="216" spans="1:22" ht="18" hidden="1" customHeight="1">
      <c r="A216" s="96"/>
      <c r="B216" s="28" t="s">
        <v>745</v>
      </c>
      <c r="C216" s="278" t="s">
        <v>652</v>
      </c>
      <c r="D216" s="14" t="s">
        <v>757</v>
      </c>
      <c r="E216" s="14"/>
      <c r="F216" s="268" t="s">
        <v>758</v>
      </c>
      <c r="K216" s="28" t="s">
        <v>745</v>
      </c>
      <c r="L216" s="28" t="s">
        <v>127</v>
      </c>
      <c r="M216" s="281" t="s">
        <v>759</v>
      </c>
      <c r="N216" s="28"/>
      <c r="O216" s="47"/>
      <c r="P216" s="14"/>
      <c r="Q216" s="14"/>
      <c r="R216" s="14"/>
      <c r="S216" s="14"/>
      <c r="T216" s="14"/>
      <c r="U216" s="14"/>
      <c r="V216" s="185"/>
    </row>
    <row r="217" spans="1:22" ht="18" hidden="1" customHeight="1">
      <c r="A217" s="96"/>
      <c r="B217" s="28" t="s">
        <v>745</v>
      </c>
      <c r="C217" s="278" t="s">
        <v>652</v>
      </c>
      <c r="D217" s="47" t="s">
        <v>760</v>
      </c>
      <c r="E217" s="14"/>
      <c r="F217" s="268" t="s">
        <v>761</v>
      </c>
      <c r="K217" s="28"/>
      <c r="L217" s="28" t="s">
        <v>127</v>
      </c>
      <c r="M217" s="14" t="s">
        <v>762</v>
      </c>
      <c r="N217" s="14"/>
      <c r="O217" s="14"/>
      <c r="P217" s="14"/>
      <c r="Q217" s="14"/>
      <c r="R217" s="14"/>
      <c r="S217" s="14"/>
      <c r="T217" s="14"/>
      <c r="U217" s="14"/>
      <c r="V217" s="185"/>
    </row>
    <row r="218" spans="1:22" ht="18" hidden="1" customHeight="1">
      <c r="A218" s="96"/>
      <c r="B218" s="14"/>
      <c r="C218" s="14"/>
      <c r="D218" s="14"/>
      <c r="E218" s="14"/>
      <c r="F218" s="14"/>
      <c r="G218" s="14"/>
      <c r="H218" s="14"/>
      <c r="K218" s="28" t="s">
        <v>757</v>
      </c>
      <c r="L218" s="28" t="s">
        <v>127</v>
      </c>
      <c r="M218" s="47" t="s">
        <v>763</v>
      </c>
      <c r="N218" s="14"/>
      <c r="O218" s="14"/>
      <c r="P218" s="14"/>
      <c r="Q218" s="14"/>
      <c r="R218" s="14"/>
      <c r="S218" s="14"/>
      <c r="T218" s="14"/>
      <c r="U218" s="14"/>
      <c r="V218" s="185"/>
    </row>
    <row r="219" spans="1:22" ht="18" hidden="1" customHeight="1">
      <c r="A219" s="96"/>
      <c r="B219" s="14"/>
      <c r="C219" s="14"/>
      <c r="K219" s="28" t="s">
        <v>760</v>
      </c>
      <c r="L219" s="28" t="s">
        <v>127</v>
      </c>
      <c r="M219" s="28">
        <v>10</v>
      </c>
      <c r="O219" s="14" t="s">
        <v>764</v>
      </c>
      <c r="P219" s="28" t="s">
        <v>765</v>
      </c>
      <c r="Q219" s="278" t="s">
        <v>766</v>
      </c>
      <c r="R219" s="28">
        <v>120</v>
      </c>
      <c r="S219" s="14" t="s">
        <v>767</v>
      </c>
      <c r="T219" s="14"/>
      <c r="U219" s="14"/>
      <c r="V219" s="185"/>
    </row>
    <row r="220" spans="1:22" ht="18" hidden="1" customHeight="1">
      <c r="A220" s="96"/>
      <c r="B220" s="14"/>
      <c r="C220" s="14"/>
      <c r="L220" s="28" t="s">
        <v>127</v>
      </c>
      <c r="M220" s="27">
        <v>20</v>
      </c>
      <c r="N220" s="14"/>
      <c r="O220" s="14" t="s">
        <v>764</v>
      </c>
      <c r="P220" s="28" t="s">
        <v>765</v>
      </c>
      <c r="Q220" s="278" t="s">
        <v>766</v>
      </c>
      <c r="R220" s="28">
        <v>300</v>
      </c>
      <c r="S220" s="14" t="s">
        <v>767</v>
      </c>
      <c r="T220" s="14"/>
      <c r="U220" s="14"/>
      <c r="V220" s="185"/>
    </row>
    <row r="221" spans="1:22" ht="18" hidden="1" customHeight="1">
      <c r="A221" s="96"/>
      <c r="B221" s="14"/>
      <c r="C221" s="14"/>
      <c r="N221" s="14"/>
      <c r="O221" s="14"/>
      <c r="P221" s="28"/>
      <c r="Q221" s="120"/>
      <c r="R221" s="14"/>
      <c r="S221" s="14"/>
      <c r="T221" s="14"/>
      <c r="U221" s="14"/>
      <c r="V221" s="185"/>
    </row>
    <row r="222" spans="1:22" ht="18" hidden="1" customHeight="1">
      <c r="A222" s="96" t="s">
        <v>768</v>
      </c>
      <c r="B222" s="14"/>
      <c r="C222" s="14"/>
      <c r="K222" s="27" t="s">
        <v>757</v>
      </c>
      <c r="L222" s="27" t="s">
        <v>127</v>
      </c>
      <c r="M222" s="684" t="s">
        <v>425</v>
      </c>
      <c r="N222" s="684"/>
      <c r="O222" s="27" t="s">
        <v>769</v>
      </c>
      <c r="P222" s="27">
        <v>5</v>
      </c>
      <c r="Q222" s="28" t="s">
        <v>315</v>
      </c>
      <c r="R222" s="684" t="s">
        <v>423</v>
      </c>
      <c r="S222" s="684"/>
      <c r="T222" s="14" t="s">
        <v>350</v>
      </c>
      <c r="U222" s="14"/>
      <c r="V222" s="185"/>
    </row>
    <row r="223" spans="1:22" ht="18" hidden="1" customHeight="1">
      <c r="A223" s="96"/>
      <c r="B223" s="14"/>
      <c r="C223" s="14"/>
      <c r="L223" s="27" t="s">
        <v>127</v>
      </c>
      <c r="M223" s="684">
        <f>S194</f>
        <v>1</v>
      </c>
      <c r="N223" s="684"/>
      <c r="O223" s="27" t="s">
        <v>769</v>
      </c>
      <c r="P223" s="27">
        <v>5</v>
      </c>
      <c r="Q223" s="28" t="s">
        <v>315</v>
      </c>
      <c r="R223" s="684" t="str">
        <f>S195</f>
        <v>-</v>
      </c>
      <c r="S223" s="684"/>
      <c r="T223" s="14" t="s">
        <v>350</v>
      </c>
      <c r="U223" s="14"/>
      <c r="V223" s="185"/>
    </row>
    <row r="224" spans="1:22" ht="18" hidden="1" customHeight="1">
      <c r="A224" s="96"/>
      <c r="B224" s="14"/>
      <c r="C224" s="14"/>
      <c r="D224" s="14"/>
      <c r="E224" s="120"/>
      <c r="F224" s="28"/>
      <c r="L224" s="27" t="s">
        <v>127</v>
      </c>
      <c r="M224" s="689" t="e">
        <f>M223/(P223*R223)</f>
        <v>#VALUE!</v>
      </c>
      <c r="N224" s="684"/>
      <c r="O224" s="14"/>
      <c r="P224" s="14"/>
      <c r="Q224" s="14"/>
      <c r="R224" s="14"/>
      <c r="S224" s="14"/>
      <c r="T224" s="14"/>
      <c r="U224" s="14"/>
      <c r="V224" s="185"/>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85"/>
    </row>
    <row r="226" spans="1:22" ht="18" hidden="1" customHeight="1">
      <c r="A226" s="96" t="s">
        <v>770</v>
      </c>
      <c r="B226" s="14"/>
      <c r="C226" s="14"/>
      <c r="D226" s="14"/>
      <c r="E226" s="257" t="s">
        <v>771</v>
      </c>
      <c r="F226" s="14"/>
      <c r="G226" s="28" t="s">
        <v>127</v>
      </c>
      <c r="H226" s="692">
        <f>'[2]Parameters &amp; Fault Cal.'!Q184</f>
        <v>0</v>
      </c>
      <c r="I226" s="684"/>
      <c r="J226" s="30" t="s">
        <v>531</v>
      </c>
      <c r="K226" s="28" t="s">
        <v>760</v>
      </c>
      <c r="L226" s="218" t="s">
        <v>127</v>
      </c>
      <c r="M226" s="692">
        <f>IF(H226&lt;=120,M219,M220)</f>
        <v>10</v>
      </c>
      <c r="N226" s="684"/>
      <c r="O226" s="14"/>
      <c r="P226" s="14"/>
      <c r="Q226" s="14"/>
      <c r="R226" s="14"/>
      <c r="S226" s="14"/>
      <c r="T226" s="14"/>
      <c r="U226" s="14"/>
      <c r="V226" s="185"/>
    </row>
    <row r="227" spans="1:22" ht="18" hidden="1" customHeight="1">
      <c r="A227" s="184"/>
      <c r="J227" s="14"/>
      <c r="K227" s="257"/>
      <c r="M227" s="14"/>
      <c r="N227" s="14"/>
      <c r="O227" s="14"/>
      <c r="P227" s="14"/>
      <c r="Q227" s="14"/>
      <c r="R227" s="14"/>
      <c r="S227" s="14"/>
      <c r="T227" s="14"/>
      <c r="U227" s="14"/>
      <c r="V227" s="185"/>
    </row>
    <row r="228" spans="1:22" ht="18" hidden="1" customHeight="1">
      <c r="A228" s="96" t="s">
        <v>772</v>
      </c>
      <c r="E228" s="199"/>
      <c r="G228" s="27" t="s">
        <v>127</v>
      </c>
      <c r="H228" s="27" t="s">
        <v>495</v>
      </c>
      <c r="I228" s="27" t="s">
        <v>554</v>
      </c>
      <c r="J228" s="120" t="s">
        <v>491</v>
      </c>
      <c r="K228" s="28" t="s">
        <v>347</v>
      </c>
      <c r="L228" s="120" t="s">
        <v>493</v>
      </c>
      <c r="M228" s="28" t="s">
        <v>539</v>
      </c>
      <c r="N228" s="120" t="s">
        <v>491</v>
      </c>
      <c r="O228" s="28" t="s">
        <v>347</v>
      </c>
      <c r="P228" s="120" t="s">
        <v>512</v>
      </c>
      <c r="Q228" s="296" t="s">
        <v>350</v>
      </c>
      <c r="V228" s="185"/>
    </row>
    <row r="229" spans="1:22" ht="18" hidden="1" customHeight="1">
      <c r="A229" s="184"/>
      <c r="G229" s="27" t="s">
        <v>127</v>
      </c>
      <c r="H229" s="242">
        <f>S200</f>
        <v>20</v>
      </c>
      <c r="I229" s="245" t="s">
        <v>554</v>
      </c>
      <c r="J229" s="301" t="e">
        <f>S197</f>
        <v>#VALUE!</v>
      </c>
      <c r="K229" s="245" t="s">
        <v>347</v>
      </c>
      <c r="L229" s="301" t="e">
        <f>E205</f>
        <v>#VALUE!</v>
      </c>
      <c r="M229" s="245" t="s">
        <v>539</v>
      </c>
      <c r="N229" s="301" t="e">
        <f>S197</f>
        <v>#VALUE!</v>
      </c>
      <c r="O229" s="245" t="s">
        <v>347</v>
      </c>
      <c r="P229" s="301">
        <f>S198</f>
        <v>1.1870224400000002</v>
      </c>
      <c r="Q229" s="461" t="s">
        <v>350</v>
      </c>
      <c r="V229" s="185"/>
    </row>
    <row r="230" spans="1:22" ht="18" hidden="1" customHeight="1">
      <c r="A230" s="184"/>
      <c r="G230" s="27" t="s">
        <v>127</v>
      </c>
      <c r="H230" s="795" t="e">
        <f>H229*((J229+L229)/(N229+P229))</f>
        <v>#VALUE!</v>
      </c>
      <c r="I230" s="795"/>
      <c r="V230" s="185"/>
    </row>
    <row r="231" spans="1:22" ht="18" hidden="1" customHeight="1">
      <c r="A231" s="184"/>
      <c r="V231" s="185"/>
    </row>
    <row r="232" spans="1:22" ht="18" hidden="1" customHeight="1">
      <c r="A232" s="184" t="s">
        <v>773</v>
      </c>
      <c r="E232" s="244"/>
      <c r="F232" s="27"/>
      <c r="G232" s="296"/>
      <c r="V232" s="185"/>
    </row>
    <row r="233" spans="1:22" ht="18" hidden="1" customHeight="1">
      <c r="A233" s="184"/>
      <c r="D233" s="211"/>
      <c r="E233" s="211"/>
      <c r="F233" s="27"/>
      <c r="G233" s="211"/>
      <c r="H233" s="211"/>
      <c r="V233" s="185"/>
    </row>
    <row r="234" spans="1:22" ht="18" hidden="1" customHeight="1">
      <c r="A234" s="184"/>
      <c r="D234" s="795" t="e">
        <f>H230</f>
        <v>#VALUE!</v>
      </c>
      <c r="E234" s="684"/>
      <c r="F234" s="27" t="e">
        <f>IF(D234&gt;=G234,"&gt;","&lt;")</f>
        <v>#VALUE!</v>
      </c>
      <c r="G234" s="795" t="e">
        <f>M224</f>
        <v>#VALUE!</v>
      </c>
      <c r="H234" s="684"/>
      <c r="I234" s="18"/>
      <c r="J234" s="268" t="s">
        <v>758</v>
      </c>
      <c r="V234" s="185"/>
    </row>
    <row r="235" spans="1:22" ht="18" hidden="1" customHeight="1">
      <c r="A235" s="184"/>
      <c r="D235" s="795" t="e">
        <f>H230</f>
        <v>#VALUE!</v>
      </c>
      <c r="E235" s="684"/>
      <c r="F235" s="27" t="e">
        <f>IF(D235&gt;=G235,"&gt;","&lt;")</f>
        <v>#VALUE!</v>
      </c>
      <c r="G235" s="795">
        <f>M226</f>
        <v>10</v>
      </c>
      <c r="H235" s="684"/>
      <c r="J235" s="268" t="s">
        <v>761</v>
      </c>
      <c r="V235" s="185"/>
    </row>
    <row r="236" spans="1:22" ht="18" hidden="1" customHeight="1">
      <c r="A236" s="184"/>
      <c r="E236" s="244" t="s">
        <v>478</v>
      </c>
      <c r="G236" s="18" t="e">
        <f>IF(AND(F234="&gt;",F235="&gt;")=TRUE,"Suitably Dimensioned","Under Dimensioned")</f>
        <v>#VALUE!</v>
      </c>
      <c r="V236" s="185"/>
    </row>
    <row r="237" spans="1:22" ht="18" hidden="1" customHeight="1">
      <c r="A237" s="184"/>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s="14" customFormat="1" ht="18" hidden="1" customHeight="1">
      <c r="A251" s="184"/>
      <c r="B251" s="30"/>
      <c r="C251" s="30"/>
      <c r="D251" s="30"/>
      <c r="E251" s="30"/>
      <c r="F251" s="30"/>
      <c r="G251" s="30"/>
      <c r="H251" s="30"/>
      <c r="I251" s="30"/>
      <c r="J251" s="30"/>
      <c r="K251" s="30"/>
      <c r="L251" s="30"/>
      <c r="M251" s="30"/>
      <c r="N251" s="30"/>
      <c r="O251" s="30"/>
      <c r="P251" s="30"/>
      <c r="Q251" s="30"/>
      <c r="R251" s="30"/>
      <c r="S251" s="30"/>
      <c r="T251" s="30"/>
      <c r="U251" s="30"/>
      <c r="V251" s="185"/>
    </row>
    <row r="252" spans="1:22" s="14" customFormat="1" ht="18" customHeight="1">
      <c r="A252" s="184"/>
      <c r="B252" s="30"/>
      <c r="C252" s="30"/>
      <c r="D252" s="30"/>
      <c r="E252" s="30"/>
      <c r="F252" s="30"/>
      <c r="G252" s="30"/>
      <c r="H252" s="30"/>
      <c r="I252" s="30"/>
      <c r="J252" s="30"/>
      <c r="K252" s="30"/>
      <c r="L252" s="30"/>
      <c r="M252" s="30"/>
      <c r="N252" s="30"/>
      <c r="O252" s="30"/>
      <c r="P252" s="30"/>
      <c r="Q252" s="30"/>
      <c r="R252" s="30"/>
      <c r="S252" s="30"/>
      <c r="T252" s="30"/>
      <c r="U252" s="30"/>
      <c r="V252" s="185"/>
    </row>
    <row r="253" spans="1:22" s="14" customFormat="1" ht="18" customHeight="1">
      <c r="A253" s="290"/>
      <c r="B253" s="196"/>
      <c r="C253" s="196"/>
      <c r="D253" s="196"/>
      <c r="E253" s="196"/>
      <c r="F253" s="196"/>
      <c r="G253" s="196"/>
      <c r="H253" s="196"/>
      <c r="I253" s="196"/>
      <c r="J253" s="196"/>
      <c r="K253" s="196"/>
      <c r="L253" s="196"/>
      <c r="M253" s="196"/>
      <c r="N253" s="196"/>
      <c r="O253" s="196"/>
      <c r="P253" s="196"/>
      <c r="Q253" s="196"/>
      <c r="R253" s="196"/>
      <c r="S253" s="196"/>
      <c r="T253" s="196"/>
      <c r="U253" s="196"/>
      <c r="V253" s="291"/>
    </row>
    <row r="254" spans="1:22" s="14" customFormat="1" ht="18" customHeight="1">
      <c r="A254" s="184"/>
      <c r="B254" s="30"/>
      <c r="C254" s="30"/>
      <c r="D254" s="30"/>
      <c r="E254" s="30"/>
      <c r="F254" s="30"/>
      <c r="G254" s="30"/>
      <c r="H254" s="30"/>
      <c r="I254" s="30"/>
      <c r="J254" s="30"/>
      <c r="K254" s="30"/>
      <c r="L254" s="30"/>
      <c r="M254" s="30"/>
      <c r="N254" s="30"/>
      <c r="O254" s="30"/>
      <c r="P254" s="30"/>
      <c r="Q254" s="30"/>
      <c r="R254" s="30"/>
      <c r="S254" s="30"/>
      <c r="T254" s="30"/>
      <c r="U254" s="30"/>
      <c r="V254" s="185"/>
    </row>
    <row r="255" spans="1:22" ht="18" customHeight="1">
      <c r="A255" s="184"/>
      <c r="B255" s="117" t="s">
        <v>884</v>
      </c>
      <c r="V255" s="185"/>
    </row>
    <row r="256" spans="1:22" ht="18" customHeight="1">
      <c r="A256" s="168"/>
      <c r="B256" s="5"/>
      <c r="C256" s="47" t="s">
        <v>545</v>
      </c>
      <c r="D256" s="14"/>
      <c r="E256" s="14"/>
      <c r="F256" s="18"/>
      <c r="G256" s="18"/>
      <c r="H256" s="279"/>
      <c r="I256" s="120"/>
      <c r="J256" s="279"/>
      <c r="K256" s="279"/>
      <c r="L256" s="14"/>
      <c r="M256" s="14"/>
      <c r="N256" s="14"/>
      <c r="O256" s="14"/>
      <c r="P256" s="14"/>
      <c r="Q256" s="120" t="s">
        <v>423</v>
      </c>
      <c r="R256" s="102" t="s">
        <v>127</v>
      </c>
      <c r="S256" s="689">
        <f>H10</f>
        <v>2500</v>
      </c>
      <c r="T256" s="689"/>
      <c r="U256" s="14" t="s">
        <v>8</v>
      </c>
      <c r="V256" s="185"/>
    </row>
    <row r="257" spans="1:25" ht="18" customHeight="1">
      <c r="A257" s="168"/>
      <c r="B257" s="5"/>
      <c r="C257" s="47" t="s">
        <v>817</v>
      </c>
      <c r="D257" s="14"/>
      <c r="E257" s="14"/>
      <c r="F257" s="14"/>
      <c r="G257" s="14"/>
      <c r="H257" s="279"/>
      <c r="I257" s="120"/>
      <c r="J257" s="279"/>
      <c r="K257" s="279"/>
      <c r="L257" s="14"/>
      <c r="M257" s="14"/>
      <c r="N257" s="14"/>
      <c r="O257" s="14"/>
      <c r="P257" s="14"/>
      <c r="Q257" s="120" t="s">
        <v>818</v>
      </c>
      <c r="R257" s="102" t="s">
        <v>127</v>
      </c>
      <c r="S257" s="1237">
        <f>'Parameters &amp; Fault Cal. (4)'!Q10 *1000</f>
        <v>50000</v>
      </c>
      <c r="T257" s="1238"/>
      <c r="U257" s="47" t="s">
        <v>8</v>
      </c>
      <c r="V257" s="185"/>
    </row>
    <row r="258" spans="1:25" ht="18" customHeight="1">
      <c r="A258" s="168"/>
      <c r="B258" s="5"/>
      <c r="C258" s="47" t="s">
        <v>819</v>
      </c>
      <c r="E258" s="14"/>
      <c r="F258" s="18"/>
      <c r="G258" s="18"/>
      <c r="H258" s="279"/>
      <c r="I258" s="120"/>
      <c r="J258" s="279"/>
      <c r="K258" s="279"/>
      <c r="L258" s="14"/>
      <c r="M258" s="14"/>
      <c r="N258" s="14"/>
      <c r="O258" s="14"/>
      <c r="P258" s="14"/>
      <c r="Q258" s="120" t="s">
        <v>820</v>
      </c>
      <c r="R258" s="28" t="s">
        <v>127</v>
      </c>
      <c r="S258" s="692">
        <f>S257/S26*O10</f>
        <v>20</v>
      </c>
      <c r="T258" s="692"/>
      <c r="U258" s="14" t="s">
        <v>8</v>
      </c>
      <c r="V258" s="185"/>
    </row>
    <row r="259" spans="1:25" ht="18" customHeight="1">
      <c r="A259" s="168"/>
      <c r="B259" s="5"/>
      <c r="C259" s="47" t="s">
        <v>821</v>
      </c>
      <c r="D259" s="14"/>
      <c r="E259" s="14"/>
      <c r="F259" s="18"/>
      <c r="G259" s="18"/>
      <c r="H259" s="279"/>
      <c r="I259" s="120"/>
      <c r="J259" s="279"/>
      <c r="K259" s="279"/>
      <c r="L259" s="14"/>
      <c r="M259" s="14"/>
      <c r="N259" s="14"/>
      <c r="O259" s="14"/>
      <c r="P259" s="14"/>
      <c r="Q259" s="120" t="s">
        <v>689</v>
      </c>
      <c r="R259" s="28" t="s">
        <v>127</v>
      </c>
      <c r="S259" s="692">
        <f>J22/O10*O10</f>
        <v>1.1870224400000002</v>
      </c>
      <c r="T259" s="692"/>
      <c r="U259" s="192" t="s">
        <v>333</v>
      </c>
      <c r="V259" s="185"/>
      <c r="X259" s="279"/>
      <c r="Y259" s="279"/>
    </row>
    <row r="260" spans="1:25" ht="18" customHeight="1">
      <c r="A260" s="168"/>
      <c r="B260" s="5"/>
      <c r="C260" s="47" t="s">
        <v>822</v>
      </c>
      <c r="Q260" s="120" t="s">
        <v>823</v>
      </c>
      <c r="R260" s="28" t="s">
        <v>127</v>
      </c>
      <c r="S260" s="1237">
        <f>20*S26</f>
        <v>50000</v>
      </c>
      <c r="T260" s="1238"/>
      <c r="U260" s="14" t="s">
        <v>8</v>
      </c>
      <c r="V260" s="185"/>
      <c r="X260" s="279"/>
      <c r="Y260" s="279"/>
    </row>
    <row r="261" spans="1:25" ht="18" customHeight="1">
      <c r="A261" s="299"/>
      <c r="B261" s="279"/>
      <c r="C261" s="47" t="s">
        <v>824</v>
      </c>
      <c r="Q261" s="244" t="s">
        <v>825</v>
      </c>
      <c r="R261" s="28" t="s">
        <v>127</v>
      </c>
      <c r="S261" s="795">
        <f>S260/S26</f>
        <v>20</v>
      </c>
      <c r="T261" s="795"/>
      <c r="U261" s="14" t="s">
        <v>8</v>
      </c>
      <c r="V261" s="300"/>
      <c r="W261" s="279"/>
      <c r="X261" s="279"/>
      <c r="Y261" s="279"/>
    </row>
    <row r="262" spans="1:25" ht="18" customHeight="1">
      <c r="A262" s="184"/>
      <c r="V262" s="185"/>
    </row>
    <row r="263" spans="1:25" ht="18" customHeight="1">
      <c r="A263" s="193" t="s">
        <v>755</v>
      </c>
      <c r="B263" s="14"/>
      <c r="C263" s="14"/>
      <c r="D263" s="14"/>
      <c r="E263" s="14"/>
      <c r="F263" s="14"/>
      <c r="G263" s="14"/>
      <c r="H263" s="14"/>
      <c r="K263" s="14"/>
      <c r="T263" s="14"/>
      <c r="U263" s="14"/>
      <c r="V263" s="185"/>
    </row>
    <row r="264" spans="1:25" ht="18" customHeight="1">
      <c r="A264" s="96"/>
      <c r="B264" s="14"/>
      <c r="C264" s="14"/>
      <c r="D264" s="14"/>
      <c r="E264" s="14"/>
      <c r="F264" s="14"/>
      <c r="G264" s="14"/>
      <c r="H264" s="14"/>
      <c r="K264" s="14"/>
      <c r="T264" s="14"/>
      <c r="U264" s="14"/>
      <c r="V264" s="185"/>
    </row>
    <row r="265" spans="1:25" ht="18" customHeight="1">
      <c r="A265" s="193" t="s">
        <v>826</v>
      </c>
      <c r="H265" s="28"/>
      <c r="I265" s="28"/>
      <c r="J265" s="28"/>
      <c r="K265" s="28"/>
      <c r="T265" s="14"/>
      <c r="U265" s="14"/>
      <c r="V265" s="185"/>
    </row>
    <row r="266" spans="1:25" ht="18" customHeight="1">
      <c r="A266" s="193"/>
      <c r="H266" s="28"/>
      <c r="I266" s="28"/>
      <c r="J266" s="28"/>
      <c r="K266" s="28"/>
      <c r="T266" s="14"/>
      <c r="U266" s="14"/>
      <c r="V266" s="185"/>
    </row>
    <row r="267" spans="1:25" ht="18" customHeight="1">
      <c r="A267" s="184"/>
      <c r="B267" s="689" t="s">
        <v>473</v>
      </c>
      <c r="C267" s="689"/>
      <c r="D267" s="28" t="s">
        <v>827</v>
      </c>
      <c r="E267" s="28">
        <v>0.5</v>
      </c>
      <c r="F267" s="28" t="s">
        <v>315</v>
      </c>
      <c r="G267" s="689" t="s">
        <v>820</v>
      </c>
      <c r="H267" s="689"/>
      <c r="I267" s="28" t="s">
        <v>672</v>
      </c>
      <c r="J267" s="689" t="s">
        <v>420</v>
      </c>
      <c r="K267" s="689"/>
      <c r="L267" s="28" t="s">
        <v>347</v>
      </c>
      <c r="M267" s="689" t="s">
        <v>689</v>
      </c>
      <c r="N267" s="689"/>
      <c r="O267" s="14" t="s">
        <v>350</v>
      </c>
      <c r="P267" s="14"/>
      <c r="Q267" s="14"/>
      <c r="R267" s="14"/>
      <c r="T267" s="14"/>
      <c r="U267" s="14"/>
      <c r="V267" s="185"/>
    </row>
    <row r="268" spans="1:25" ht="18" customHeight="1">
      <c r="A268" s="184"/>
      <c r="B268" s="14"/>
      <c r="C268" s="14"/>
      <c r="D268" s="102" t="s">
        <v>127</v>
      </c>
      <c r="E268" s="28">
        <v>0.5</v>
      </c>
      <c r="F268" s="28" t="s">
        <v>315</v>
      </c>
      <c r="G268" s="692">
        <f>S258</f>
        <v>20</v>
      </c>
      <c r="H268" s="689"/>
      <c r="I268" s="28" t="s">
        <v>672</v>
      </c>
      <c r="J268" s="692">
        <f>S29</f>
        <v>5</v>
      </c>
      <c r="K268" s="689"/>
      <c r="L268" s="28" t="s">
        <v>347</v>
      </c>
      <c r="M268" s="692">
        <f>S259</f>
        <v>1.1870224400000002</v>
      </c>
      <c r="N268" s="689"/>
      <c r="O268" s="14" t="s">
        <v>350</v>
      </c>
      <c r="S268" s="14"/>
      <c r="T268" s="14"/>
      <c r="U268" s="14"/>
      <c r="V268" s="185"/>
    </row>
    <row r="269" spans="1:25" ht="18" customHeight="1">
      <c r="A269" s="184"/>
      <c r="B269" s="14"/>
      <c r="C269" s="14"/>
      <c r="D269" s="102" t="s">
        <v>127</v>
      </c>
      <c r="E269" s="692">
        <f>E268*G268*(J268+M268)</f>
        <v>61.870224399999998</v>
      </c>
      <c r="F269" s="692"/>
      <c r="G269" s="211"/>
      <c r="H269" s="218"/>
      <c r="I269" s="14"/>
      <c r="J269" s="14"/>
      <c r="K269" s="14"/>
      <c r="L269" s="14"/>
      <c r="M269" s="14"/>
      <c r="N269" s="14"/>
      <c r="O269" s="14"/>
      <c r="P269" s="14"/>
      <c r="Q269" s="14"/>
      <c r="R269" s="14"/>
      <c r="V269" s="185"/>
    </row>
    <row r="270" spans="1:25" ht="18" customHeight="1">
      <c r="A270" s="184"/>
      <c r="B270" s="14"/>
      <c r="C270" s="14"/>
      <c r="D270" s="28"/>
      <c r="E270" s="218"/>
      <c r="F270" s="218"/>
      <c r="G270" s="211"/>
      <c r="H270" s="218"/>
      <c r="I270" s="14"/>
      <c r="J270" s="14"/>
      <c r="K270" s="14"/>
      <c r="L270" s="14"/>
      <c r="M270" s="14"/>
      <c r="N270" s="14"/>
      <c r="O270" s="14"/>
      <c r="P270" s="14"/>
      <c r="Q270" s="14"/>
      <c r="R270" s="14"/>
      <c r="V270" s="185"/>
    </row>
    <row r="271" spans="1:25" ht="18" customHeight="1">
      <c r="A271" s="193" t="s">
        <v>828</v>
      </c>
      <c r="B271" s="14"/>
      <c r="C271" s="14"/>
      <c r="D271" s="28"/>
      <c r="E271" s="218"/>
      <c r="F271" s="218"/>
      <c r="G271" s="211"/>
      <c r="H271" s="218"/>
      <c r="I271" s="14"/>
      <c r="J271" s="14"/>
      <c r="K271" s="14"/>
      <c r="L271" s="14"/>
      <c r="M271" s="14"/>
      <c r="N271" s="14"/>
      <c r="O271" s="14"/>
      <c r="P271" s="14"/>
      <c r="Q271" s="14"/>
      <c r="R271" s="14"/>
      <c r="V271" s="185"/>
    </row>
    <row r="272" spans="1:25" ht="18" customHeight="1">
      <c r="A272" s="184"/>
      <c r="B272" s="14"/>
      <c r="C272" s="14"/>
      <c r="D272" s="28"/>
      <c r="E272" s="218"/>
      <c r="F272" s="218"/>
      <c r="G272" s="211"/>
      <c r="H272" s="218"/>
      <c r="I272" s="14"/>
      <c r="J272" s="14"/>
      <c r="K272" s="14"/>
      <c r="L272" s="14"/>
      <c r="M272" s="14"/>
      <c r="N272" s="14"/>
      <c r="O272" s="14"/>
      <c r="P272" s="14"/>
      <c r="Q272" s="14"/>
      <c r="R272" s="14"/>
      <c r="V272" s="185"/>
    </row>
    <row r="273" spans="1:22" ht="18" customHeight="1">
      <c r="A273" s="184"/>
      <c r="B273" s="689" t="s">
        <v>473</v>
      </c>
      <c r="C273" s="689"/>
      <c r="D273" s="28" t="s">
        <v>827</v>
      </c>
      <c r="E273" s="689" t="s">
        <v>825</v>
      </c>
      <c r="F273" s="689"/>
      <c r="G273" s="28" t="s">
        <v>672</v>
      </c>
      <c r="H273" s="689" t="s">
        <v>420</v>
      </c>
      <c r="I273" s="689"/>
      <c r="J273" s="28" t="s">
        <v>347</v>
      </c>
      <c r="K273" s="689" t="s">
        <v>689</v>
      </c>
      <c r="L273" s="689"/>
      <c r="M273" s="14" t="s">
        <v>350</v>
      </c>
      <c r="P273" s="14"/>
      <c r="Q273" s="14"/>
      <c r="R273" s="14"/>
      <c r="V273" s="185"/>
    </row>
    <row r="274" spans="1:22" ht="18" customHeight="1">
      <c r="A274" s="184"/>
      <c r="B274" s="14"/>
      <c r="C274" s="14"/>
      <c r="D274" s="102" t="s">
        <v>127</v>
      </c>
      <c r="E274" s="692">
        <f>S261</f>
        <v>20</v>
      </c>
      <c r="F274" s="689"/>
      <c r="G274" s="28" t="s">
        <v>672</v>
      </c>
      <c r="H274" s="692">
        <f>S29</f>
        <v>5</v>
      </c>
      <c r="I274" s="689"/>
      <c r="J274" s="28" t="s">
        <v>347</v>
      </c>
      <c r="K274" s="692">
        <f>S259</f>
        <v>1.1870224400000002</v>
      </c>
      <c r="L274" s="689"/>
      <c r="M274" s="14" t="s">
        <v>350</v>
      </c>
      <c r="N274" s="14"/>
      <c r="O274" s="14"/>
      <c r="P274" s="14"/>
      <c r="Q274" s="14"/>
      <c r="R274" s="14"/>
      <c r="V274" s="185"/>
    </row>
    <row r="275" spans="1:22" ht="18" customHeight="1">
      <c r="A275" s="184"/>
      <c r="B275" s="14"/>
      <c r="C275" s="14"/>
      <c r="D275" s="102" t="s">
        <v>127</v>
      </c>
      <c r="E275" s="692">
        <f>E274*(H274+K274)</f>
        <v>123.7404488</v>
      </c>
      <c r="F275" s="692"/>
      <c r="G275" s="211"/>
      <c r="H275" s="218"/>
      <c r="I275" s="14"/>
      <c r="J275" s="14"/>
      <c r="K275" s="14"/>
      <c r="L275" s="14"/>
      <c r="M275" s="14"/>
      <c r="N275" s="14"/>
      <c r="O275" s="14"/>
      <c r="P275" s="14"/>
      <c r="Q275" s="14"/>
      <c r="R275" s="14"/>
      <c r="V275" s="185"/>
    </row>
    <row r="276" spans="1:22" ht="18" customHeight="1">
      <c r="A276" s="184"/>
      <c r="V276" s="185"/>
    </row>
    <row r="277" spans="1:22" ht="18" customHeight="1">
      <c r="A277" s="193" t="s">
        <v>829</v>
      </c>
      <c r="B277" s="197"/>
      <c r="C277" s="197"/>
      <c r="D277" s="197"/>
      <c r="E277" s="14"/>
      <c r="F277" s="14"/>
      <c r="G277" s="14"/>
      <c r="H277" s="14"/>
      <c r="I277" s="14"/>
      <c r="J277" s="14"/>
      <c r="K277" s="14"/>
      <c r="L277" s="14"/>
      <c r="M277" s="14"/>
      <c r="N277" s="14"/>
      <c r="O277" s="14"/>
      <c r="P277" s="27"/>
      <c r="Q277" s="28"/>
      <c r="T277" s="14"/>
      <c r="U277" s="14"/>
      <c r="V277" s="185"/>
    </row>
    <row r="278" spans="1:22" ht="18" customHeight="1">
      <c r="A278" s="193"/>
      <c r="B278" s="197"/>
      <c r="C278" s="197"/>
      <c r="D278" s="197"/>
      <c r="E278" s="14"/>
      <c r="F278" s="14"/>
      <c r="G278" s="14"/>
      <c r="H278" s="14"/>
      <c r="I278" s="14"/>
      <c r="J278" s="14"/>
      <c r="K278" s="14"/>
      <c r="L278" s="14"/>
      <c r="M278" s="14"/>
      <c r="N278" s="14"/>
      <c r="O278" s="14"/>
      <c r="P278" s="27"/>
      <c r="Q278" s="28"/>
      <c r="T278" s="14"/>
      <c r="U278" s="14"/>
      <c r="V278" s="185"/>
    </row>
    <row r="279" spans="1:22" ht="18" customHeight="1">
      <c r="A279" s="96"/>
      <c r="B279" s="197" t="s">
        <v>826</v>
      </c>
      <c r="C279" s="197"/>
      <c r="D279" s="14"/>
      <c r="E279" s="14"/>
      <c r="F279" s="14"/>
      <c r="G279" s="14"/>
      <c r="H279" s="14"/>
      <c r="I279" s="14"/>
      <c r="J279" s="14"/>
      <c r="K279" s="14"/>
      <c r="L279" s="14"/>
      <c r="M279" s="14"/>
      <c r="N279" s="14"/>
      <c r="O279" s="14"/>
      <c r="P279" s="14"/>
      <c r="Q279" s="14"/>
      <c r="R279" s="14"/>
      <c r="S279" s="14"/>
      <c r="T279" s="14"/>
      <c r="U279" s="14"/>
      <c r="V279" s="185"/>
    </row>
    <row r="280" spans="1:22" ht="18" customHeight="1">
      <c r="A280" s="96"/>
      <c r="B280" s="14"/>
      <c r="C280" s="14"/>
      <c r="D280" s="14"/>
      <c r="E280" s="14"/>
      <c r="F280" s="244" t="s">
        <v>475</v>
      </c>
      <c r="G280" s="28" t="str">
        <f>IF(E281&gt;H281, "&gt;","&lt;")</f>
        <v>&gt;</v>
      </c>
      <c r="H280" s="14" t="s">
        <v>477</v>
      </c>
      <c r="I280" s="14"/>
      <c r="J280" s="14"/>
      <c r="K280" s="14"/>
      <c r="L280" s="14" t="s">
        <v>830</v>
      </c>
      <c r="M280" s="14"/>
      <c r="N280" s="14"/>
      <c r="O280" s="14"/>
      <c r="P280" s="14"/>
      <c r="Q280" s="14"/>
      <c r="R280" s="14"/>
      <c r="S280" s="14"/>
      <c r="T280" s="14"/>
      <c r="U280" s="14"/>
      <c r="V280" s="185"/>
    </row>
    <row r="281" spans="1:22" ht="18" customHeight="1">
      <c r="A281" s="96"/>
      <c r="B281" s="14"/>
      <c r="C281" s="14"/>
      <c r="D281" s="14"/>
      <c r="E281" s="834">
        <f>H13</f>
        <v>750</v>
      </c>
      <c r="F281" s="834"/>
      <c r="G281" s="28" t="str">
        <f>G280</f>
        <v>&gt;</v>
      </c>
      <c r="H281" s="692">
        <f>E269</f>
        <v>61.870224399999998</v>
      </c>
      <c r="I281" s="692"/>
      <c r="J281" s="14"/>
      <c r="K281" s="14"/>
      <c r="L281" s="14"/>
      <c r="M281" s="14"/>
      <c r="N281" s="14"/>
      <c r="O281" s="14"/>
      <c r="P281" s="14"/>
      <c r="Q281" s="14"/>
      <c r="R281" s="14"/>
      <c r="S281" s="14"/>
      <c r="T281" s="14"/>
      <c r="U281" s="14"/>
      <c r="V281" s="185"/>
    </row>
    <row r="282" spans="1:22" ht="18" customHeight="1">
      <c r="A282" s="184"/>
      <c r="D282" s="211"/>
      <c r="E282" s="218"/>
      <c r="F282" s="199" t="s">
        <v>831</v>
      </c>
      <c r="G282" s="211"/>
      <c r="H282" s="281" t="s">
        <v>832</v>
      </c>
      <c r="J282" s="28" t="s">
        <v>833</v>
      </c>
      <c r="K282" s="18" t="str">
        <f>IF(G281="&gt;", "Satisfied", "Not Satisfied")</f>
        <v>Satisfied</v>
      </c>
      <c r="P282" s="14"/>
      <c r="Q282" s="14"/>
      <c r="R282" s="14"/>
      <c r="S282" s="14"/>
      <c r="T282" s="14"/>
      <c r="U282" s="14"/>
      <c r="V282" s="185"/>
    </row>
    <row r="283" spans="1:22" ht="18" customHeight="1">
      <c r="A283" s="96"/>
      <c r="B283" s="197" t="s">
        <v>828</v>
      </c>
      <c r="C283" s="197"/>
      <c r="D283" s="14"/>
      <c r="E283" s="14"/>
      <c r="F283" s="14"/>
      <c r="G283" s="14"/>
      <c r="H283" s="14"/>
      <c r="I283" s="14"/>
      <c r="J283" s="14"/>
      <c r="K283" s="14"/>
      <c r="L283" s="14"/>
      <c r="M283" s="14"/>
      <c r="N283" s="14"/>
      <c r="O283" s="14"/>
      <c r="P283" s="120"/>
      <c r="Q283" s="296"/>
      <c r="V283" s="185"/>
    </row>
    <row r="284" spans="1:22" ht="18" customHeight="1">
      <c r="A284" s="96"/>
      <c r="B284" s="14"/>
      <c r="C284" s="14"/>
      <c r="D284" s="14"/>
      <c r="E284" s="14"/>
      <c r="F284" s="244" t="s">
        <v>475</v>
      </c>
      <c r="G284" s="28" t="str">
        <f>IF(E285&gt;H285, "&gt;","&lt;")</f>
        <v>&gt;</v>
      </c>
      <c r="H284" s="14" t="s">
        <v>477</v>
      </c>
      <c r="I284" s="14"/>
      <c r="J284" s="14"/>
      <c r="K284" s="14"/>
      <c r="L284" s="14" t="s">
        <v>834</v>
      </c>
      <c r="M284" s="14"/>
      <c r="N284" s="14"/>
      <c r="O284" s="14"/>
      <c r="P284" s="301"/>
      <c r="Q284" s="461"/>
      <c r="V284" s="185"/>
    </row>
    <row r="285" spans="1:22" ht="18" customHeight="1">
      <c r="A285" s="96"/>
      <c r="B285" s="14"/>
      <c r="C285" s="14"/>
      <c r="D285" s="14"/>
      <c r="E285" s="834">
        <f>H13</f>
        <v>750</v>
      </c>
      <c r="F285" s="834"/>
      <c r="G285" s="28" t="str">
        <f>G284</f>
        <v>&gt;</v>
      </c>
      <c r="H285" s="692">
        <f>E275</f>
        <v>123.7404488</v>
      </c>
      <c r="I285" s="692"/>
      <c r="J285" s="14"/>
      <c r="K285" s="14"/>
      <c r="L285" s="14"/>
      <c r="M285" s="14"/>
      <c r="N285" s="14"/>
      <c r="O285" s="14"/>
      <c r="V285" s="185"/>
    </row>
    <row r="286" spans="1:22" ht="18" customHeight="1">
      <c r="A286" s="184"/>
      <c r="D286" s="211"/>
      <c r="E286" s="14"/>
      <c r="F286" s="199" t="s">
        <v>831</v>
      </c>
      <c r="G286" s="211"/>
      <c r="H286" s="281" t="s">
        <v>828</v>
      </c>
      <c r="J286" s="28" t="s">
        <v>833</v>
      </c>
      <c r="K286" s="18" t="str">
        <f>IF(G285="&gt;", "Satisfied", "Not Satisfied")</f>
        <v>Satisfied</v>
      </c>
      <c r="P286" s="232"/>
      <c r="Q286" s="232"/>
      <c r="R286" s="232"/>
      <c r="S286" s="232"/>
      <c r="T286" s="232"/>
      <c r="U286" s="232"/>
      <c r="V286" s="233"/>
    </row>
    <row r="287" spans="1:22" ht="18" customHeight="1">
      <c r="A287" s="184"/>
      <c r="H287" s="28"/>
      <c r="I287" s="28"/>
      <c r="J287" s="28"/>
      <c r="K287" s="28"/>
      <c r="L287" s="28"/>
      <c r="M287" s="28"/>
      <c r="N287" s="28"/>
      <c r="O287" s="28"/>
      <c r="P287" s="232"/>
      <c r="Q287" s="232"/>
      <c r="R287" s="232"/>
      <c r="S287" s="232"/>
      <c r="T287" s="232"/>
      <c r="U287" s="232"/>
      <c r="V287" s="233"/>
    </row>
    <row r="288" spans="1:22" ht="18" customHeight="1">
      <c r="A288" s="96"/>
      <c r="B288" s="14"/>
      <c r="C288" s="14"/>
      <c r="D288" s="14"/>
      <c r="E288" s="14"/>
      <c r="F288" s="244" t="s">
        <v>478</v>
      </c>
      <c r="G288" s="14"/>
      <c r="H288" s="18" t="str">
        <f>IF(AND(E281&gt;H281,E285&gt;H285),"Suitably Dimentioned","Under Dimentioned")</f>
        <v>Suitably Dimentioned</v>
      </c>
      <c r="I288" s="18"/>
      <c r="J288" s="18"/>
      <c r="K288" s="18"/>
      <c r="L288" s="18"/>
      <c r="M288" s="18"/>
      <c r="N288" s="14"/>
      <c r="O288" s="14"/>
      <c r="V288" s="185"/>
    </row>
    <row r="289" spans="1:22" ht="18" customHeight="1">
      <c r="A289" s="184"/>
      <c r="V289" s="185"/>
    </row>
    <row r="290" spans="1:22" ht="18" customHeight="1">
      <c r="A290" s="194"/>
      <c r="B290" s="195"/>
      <c r="C290" s="195"/>
      <c r="D290" s="195"/>
      <c r="E290" s="195"/>
      <c r="F290" s="195"/>
      <c r="G290" s="195"/>
      <c r="H290" s="195"/>
      <c r="I290" s="195"/>
      <c r="J290" s="195"/>
      <c r="K290" s="195"/>
      <c r="L290" s="195"/>
      <c r="M290" s="195"/>
      <c r="N290" s="195"/>
      <c r="O290" s="195"/>
      <c r="P290" s="195"/>
      <c r="Q290" s="224"/>
      <c r="R290" s="182"/>
      <c r="S290" s="225"/>
      <c r="T290" s="195"/>
      <c r="U290" s="195"/>
      <c r="V290" s="134"/>
    </row>
    <row r="291" spans="1:22" ht="18" customHeight="1">
      <c r="A291" s="226"/>
      <c r="B291" s="227"/>
      <c r="C291" s="227"/>
      <c r="D291" s="227"/>
      <c r="E291" s="227"/>
      <c r="F291" s="227"/>
      <c r="G291" s="227"/>
      <c r="H291" s="227"/>
      <c r="I291" s="227"/>
      <c r="J291" s="227"/>
      <c r="K291" s="227"/>
      <c r="L291" s="227"/>
      <c r="M291" s="227"/>
      <c r="N291" s="227"/>
      <c r="O291" s="227"/>
      <c r="P291" s="227"/>
      <c r="Q291" s="227"/>
      <c r="R291" s="227"/>
      <c r="S291" s="227"/>
      <c r="T291" s="227"/>
      <c r="U291" s="227"/>
      <c r="V291" s="228"/>
    </row>
    <row r="292" spans="1:22" ht="18" customHeight="1">
      <c r="A292" s="262" t="s">
        <v>501</v>
      </c>
      <c r="B292" s="14"/>
      <c r="C292" s="14"/>
      <c r="D292" s="120"/>
      <c r="E292" s="120"/>
      <c r="F292" s="18"/>
      <c r="G292" s="18"/>
      <c r="H292" s="14"/>
      <c r="I292" s="14"/>
      <c r="J292" s="14"/>
      <c r="K292" s="14"/>
      <c r="L292" s="14"/>
      <c r="M292" s="14"/>
      <c r="N292" s="14"/>
      <c r="O292" s="14"/>
      <c r="P292" s="28"/>
      <c r="Q292" s="120"/>
      <c r="R292" s="47"/>
      <c r="S292" s="206"/>
      <c r="T292" s="259"/>
      <c r="U292" s="14"/>
      <c r="V292" s="97"/>
    </row>
    <row r="293" spans="1:22" ht="18" customHeight="1">
      <c r="A293" s="955" t="s">
        <v>85</v>
      </c>
      <c r="B293" s="956"/>
      <c r="C293" s="957"/>
      <c r="D293" s="955" t="s">
        <v>86</v>
      </c>
      <c r="E293" s="956"/>
      <c r="F293" s="957"/>
      <c r="G293" s="955" t="s">
        <v>87</v>
      </c>
      <c r="H293" s="957"/>
      <c r="I293" s="955" t="s">
        <v>88</v>
      </c>
      <c r="J293" s="957"/>
      <c r="K293" s="955" t="s">
        <v>502</v>
      </c>
      <c r="L293" s="957"/>
      <c r="M293" s="955" t="s">
        <v>503</v>
      </c>
      <c r="N293" s="957"/>
      <c r="O293" s="955" t="s">
        <v>504</v>
      </c>
      <c r="P293" s="957"/>
      <c r="Q293" s="955" t="s">
        <v>505</v>
      </c>
      <c r="R293" s="957"/>
      <c r="S293" s="955" t="s">
        <v>93</v>
      </c>
      <c r="T293" s="956"/>
      <c r="U293" s="956"/>
      <c r="V293" s="957"/>
    </row>
    <row r="294" spans="1:22" ht="18" customHeight="1">
      <c r="A294" s="1125"/>
      <c r="B294" s="983"/>
      <c r="C294" s="1126"/>
      <c r="D294" s="1125"/>
      <c r="E294" s="983"/>
      <c r="F294" s="1126"/>
      <c r="G294" s="1125"/>
      <c r="H294" s="1126"/>
      <c r="I294" s="1125"/>
      <c r="J294" s="1126"/>
      <c r="K294" s="1125"/>
      <c r="L294" s="1126"/>
      <c r="M294" s="1125"/>
      <c r="N294" s="1126"/>
      <c r="O294" s="1125"/>
      <c r="P294" s="1126"/>
      <c r="Q294" s="1125"/>
      <c r="R294" s="1126"/>
      <c r="S294" s="1125"/>
      <c r="T294" s="983"/>
      <c r="U294" s="983"/>
      <c r="V294" s="1126"/>
    </row>
    <row r="295" spans="1:22" ht="18" customHeight="1">
      <c r="A295" s="1125"/>
      <c r="B295" s="983"/>
      <c r="C295" s="1126"/>
      <c r="D295" s="1125"/>
      <c r="E295" s="983"/>
      <c r="F295" s="1126"/>
      <c r="G295" s="1125"/>
      <c r="H295" s="1126"/>
      <c r="I295" s="1125"/>
      <c r="J295" s="1126"/>
      <c r="K295" s="1125"/>
      <c r="L295" s="1126"/>
      <c r="M295" s="1125"/>
      <c r="N295" s="1126"/>
      <c r="O295" s="1125"/>
      <c r="P295" s="1126"/>
      <c r="Q295" s="1125"/>
      <c r="R295" s="1126"/>
      <c r="S295" s="1125"/>
      <c r="T295" s="983"/>
      <c r="U295" s="983"/>
      <c r="V295" s="1126"/>
    </row>
    <row r="296" spans="1:22" ht="18" customHeight="1">
      <c r="A296" s="1047"/>
      <c r="B296" s="1048"/>
      <c r="C296" s="1049"/>
      <c r="D296" s="1047"/>
      <c r="E296" s="1048"/>
      <c r="F296" s="1049"/>
      <c r="G296" s="1047"/>
      <c r="H296" s="1049"/>
      <c r="I296" s="1047"/>
      <c r="J296" s="1049"/>
      <c r="K296" s="1047"/>
      <c r="L296" s="1049"/>
      <c r="M296" s="1047"/>
      <c r="N296" s="1049"/>
      <c r="O296" s="1047"/>
      <c r="P296" s="1049"/>
      <c r="Q296" s="1047"/>
      <c r="R296" s="1049"/>
      <c r="S296" s="1047"/>
      <c r="T296" s="1048"/>
      <c r="U296" s="1048"/>
      <c r="V296" s="1049"/>
    </row>
    <row r="297" spans="1:22" ht="18" customHeight="1">
      <c r="A297" s="765" t="str">
        <f>B7</f>
        <v>T1</v>
      </c>
      <c r="B297" s="765" t="str">
        <f>D7</f>
        <v>Core5</v>
      </c>
      <c r="C297" s="765"/>
      <c r="D297" s="870">
        <f>H10</f>
        <v>2500</v>
      </c>
      <c r="E297" s="870"/>
      <c r="F297" s="871">
        <f>O10</f>
        <v>1</v>
      </c>
      <c r="G297" s="870">
        <f>'CT-VT Burdens'!S21</f>
        <v>120</v>
      </c>
      <c r="H297" s="874">
        <f>'CT-VT Burdens'!S10</f>
        <v>6</v>
      </c>
      <c r="I297" s="874" t="str">
        <f>H11</f>
        <v>PX-B</v>
      </c>
      <c r="J297" s="874" t="e">
        <f>#REF!</f>
        <v>#REF!</v>
      </c>
      <c r="K297" s="869">
        <f>H12</f>
        <v>5</v>
      </c>
      <c r="L297" s="869"/>
      <c r="M297" s="869">
        <f>H13</f>
        <v>750</v>
      </c>
      <c r="N297" s="869"/>
      <c r="O297" s="870">
        <f>H14</f>
        <v>60</v>
      </c>
      <c r="P297" s="870"/>
      <c r="Q297" s="879" t="str">
        <f>IF(T8="",T7,IF(T9="",T7&amp;" "&amp;T8,T7&amp;" "&amp;T8&amp;" "&amp;T9))</f>
        <v>REB500 P743</v>
      </c>
      <c r="R297" s="879"/>
      <c r="S297" s="878" t="str">
        <f>M82</f>
        <v>Suitable Dimensions</v>
      </c>
      <c r="T297" s="878"/>
      <c r="U297" s="878"/>
      <c r="V297" s="878"/>
    </row>
    <row r="298" spans="1:22" ht="18" customHeight="1">
      <c r="A298" s="765"/>
      <c r="B298" s="765"/>
      <c r="C298" s="765"/>
      <c r="D298" s="870">
        <f>J10</f>
        <v>0</v>
      </c>
      <c r="E298" s="870"/>
      <c r="F298" s="872"/>
      <c r="G298" s="870"/>
      <c r="H298" s="870"/>
      <c r="I298" s="874"/>
      <c r="J298" s="874"/>
      <c r="K298" s="875" t="s">
        <v>6</v>
      </c>
      <c r="L298" s="869"/>
      <c r="M298" s="875" t="s">
        <v>6</v>
      </c>
      <c r="N298" s="869"/>
      <c r="O298" s="876" t="s">
        <v>6</v>
      </c>
      <c r="P298" s="870"/>
      <c r="Q298" s="879"/>
      <c r="R298" s="879"/>
      <c r="S298" s="877" t="str">
        <f>H288</f>
        <v>Suitably Dimentioned</v>
      </c>
      <c r="T298" s="878"/>
      <c r="U298" s="878"/>
      <c r="V298" s="878"/>
    </row>
    <row r="299" spans="1:22" ht="18" customHeight="1">
      <c r="A299" s="765"/>
      <c r="B299" s="765"/>
      <c r="C299" s="765"/>
      <c r="D299" s="870" t="str">
        <f>L10</f>
        <v>-</v>
      </c>
      <c r="E299" s="870"/>
      <c r="F299" s="873"/>
      <c r="G299" s="870"/>
      <c r="H299" s="870"/>
      <c r="I299" s="874"/>
      <c r="J299" s="874"/>
      <c r="K299" s="869" t="str">
        <f>L175</f>
        <v>-</v>
      </c>
      <c r="L299" s="869"/>
      <c r="M299" s="869" t="str">
        <f>L176</f>
        <v>-</v>
      </c>
      <c r="N299" s="869"/>
      <c r="O299" s="870" t="str">
        <f>L177</f>
        <v>-</v>
      </c>
      <c r="P299" s="870"/>
      <c r="Q299" s="879"/>
      <c r="R299" s="879"/>
      <c r="S299" s="878" t="s">
        <v>6</v>
      </c>
      <c r="T299" s="878"/>
      <c r="U299" s="878"/>
      <c r="V299" s="878"/>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84"/>
      <c r="V307" s="185"/>
    </row>
    <row r="308" spans="1:22" ht="18" customHeight="1">
      <c r="A308" s="184"/>
      <c r="V308" s="185"/>
    </row>
    <row r="309" spans="1:22" ht="18" customHeight="1">
      <c r="A309" s="184"/>
      <c r="V309" s="185"/>
    </row>
    <row r="310" spans="1:22" ht="18" customHeight="1">
      <c r="A310" s="184"/>
      <c r="V310" s="185"/>
    </row>
    <row r="311" spans="1:22" ht="18" customHeight="1">
      <c r="A311" s="184"/>
      <c r="V311" s="185"/>
    </row>
    <row r="312" spans="1:22" ht="18" customHeight="1">
      <c r="A312" s="184"/>
      <c r="V312" s="185"/>
    </row>
    <row r="313" spans="1:22" ht="18" customHeight="1">
      <c r="A313" s="184"/>
      <c r="V313" s="185"/>
    </row>
    <row r="314" spans="1:22" ht="18" customHeight="1">
      <c r="A314" s="184"/>
      <c r="V314" s="185"/>
    </row>
    <row r="315" spans="1:22" ht="18" customHeight="1">
      <c r="A315" s="184"/>
      <c r="V315" s="185"/>
    </row>
    <row r="316" spans="1:22" ht="18" customHeight="1">
      <c r="A316" s="184"/>
      <c r="V316" s="185"/>
    </row>
    <row r="317" spans="1:22" ht="18" customHeight="1">
      <c r="A317" s="184"/>
      <c r="V317" s="185"/>
    </row>
    <row r="318" spans="1:22" ht="18" customHeight="1">
      <c r="A318" s="184"/>
      <c r="V318" s="185"/>
    </row>
    <row r="319" spans="1:22" ht="18" customHeight="1">
      <c r="A319" s="184"/>
      <c r="V319" s="185"/>
    </row>
    <row r="320" spans="1:22" ht="18" customHeight="1">
      <c r="A320" s="184"/>
      <c r="V320" s="185"/>
    </row>
    <row r="321" spans="1:22" ht="18" customHeight="1">
      <c r="A321" s="184"/>
      <c r="V321" s="185"/>
    </row>
    <row r="322" spans="1:22" ht="18" customHeight="1">
      <c r="A322" s="184"/>
      <c r="V322" s="185"/>
    </row>
    <row r="323" spans="1:22" ht="18" customHeight="1">
      <c r="A323" s="184"/>
      <c r="V323" s="185"/>
    </row>
    <row r="324" spans="1:22" ht="18" customHeight="1">
      <c r="A324" s="184"/>
      <c r="V324" s="185"/>
    </row>
    <row r="325" spans="1:22" ht="18" customHeight="1">
      <c r="A325" s="184"/>
      <c r="V325" s="185"/>
    </row>
    <row r="326" spans="1:22" s="14" customFormat="1" ht="18" customHeight="1">
      <c r="A326" s="184"/>
      <c r="B326" s="30"/>
      <c r="C326" s="30"/>
      <c r="D326" s="30"/>
      <c r="E326" s="30"/>
      <c r="F326" s="30"/>
      <c r="G326" s="30"/>
      <c r="H326" s="30"/>
      <c r="I326" s="30"/>
      <c r="J326" s="30"/>
      <c r="K326" s="30"/>
      <c r="L326" s="30"/>
      <c r="M326" s="30"/>
      <c r="N326" s="30"/>
      <c r="O326" s="30"/>
      <c r="P326" s="30"/>
      <c r="Q326" s="30"/>
      <c r="R326" s="30"/>
      <c r="S326" s="30"/>
      <c r="T326" s="30"/>
      <c r="U326" s="30"/>
      <c r="V326" s="185"/>
    </row>
    <row r="327" spans="1:22" ht="18" customHeight="1">
      <c r="A327" s="184"/>
      <c r="V327" s="185"/>
    </row>
    <row r="328" spans="1:22" ht="18" customHeight="1">
      <c r="A328" s="184"/>
      <c r="V328" s="185"/>
    </row>
    <row r="329" spans="1:22" ht="18" customHeight="1">
      <c r="A329" s="184"/>
      <c r="V329" s="185"/>
    </row>
    <row r="330" spans="1:22" ht="18" customHeight="1">
      <c r="A330" s="184"/>
      <c r="V330" s="185"/>
    </row>
    <row r="331" spans="1:22" ht="18" customHeight="1">
      <c r="A331" s="194"/>
      <c r="B331" s="195"/>
      <c r="C331" s="195"/>
      <c r="D331" s="195"/>
      <c r="E331" s="195"/>
      <c r="F331" s="195"/>
      <c r="G331" s="195"/>
      <c r="H331" s="195"/>
      <c r="I331" s="195"/>
      <c r="J331" s="195"/>
      <c r="K331" s="195"/>
      <c r="L331" s="195"/>
      <c r="M331" s="195"/>
      <c r="N331" s="195"/>
      <c r="O331" s="195"/>
      <c r="P331" s="195"/>
      <c r="Q331" s="224"/>
      <c r="R331" s="182"/>
      <c r="S331" s="225"/>
      <c r="T331" s="195"/>
      <c r="U331" s="195"/>
      <c r="V331" s="134"/>
    </row>
  </sheetData>
  <mergeCells count="221">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8:C88"/>
    <mergeCell ref="D88:E88"/>
    <mergeCell ref="H88:M88"/>
    <mergeCell ref="F58:H58"/>
    <mergeCell ref="J58:J59"/>
    <mergeCell ref="K58:K59"/>
    <mergeCell ref="F61:G61"/>
    <mergeCell ref="F62:G62"/>
    <mergeCell ref="F74:G74"/>
    <mergeCell ref="H91:I91"/>
    <mergeCell ref="J91:K91"/>
    <mergeCell ref="L91:M91"/>
    <mergeCell ref="J92:K92"/>
    <mergeCell ref="J93:K93"/>
    <mergeCell ref="J94:K94"/>
    <mergeCell ref="T88:U88"/>
    <mergeCell ref="T89:U89"/>
    <mergeCell ref="H90:I90"/>
    <mergeCell ref="J90:K90"/>
    <mergeCell ref="L90:M90"/>
    <mergeCell ref="T90:U90"/>
    <mergeCell ref="J103:K103"/>
    <mergeCell ref="S106:T106"/>
    <mergeCell ref="S107:T107"/>
    <mergeCell ref="S108:T108"/>
    <mergeCell ref="S109:T109"/>
    <mergeCell ref="S110:T110"/>
    <mergeCell ref="J95:K95"/>
    <mergeCell ref="J99:K99"/>
    <mergeCell ref="J100:K100"/>
    <mergeCell ref="J101:K101"/>
    <mergeCell ref="J102:K102"/>
    <mergeCell ref="P102:Q102"/>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H173:I173"/>
    <mergeCell ref="J173:K173"/>
    <mergeCell ref="L173:M173"/>
    <mergeCell ref="L174:M174"/>
    <mergeCell ref="L175:M175"/>
    <mergeCell ref="L176:M176"/>
    <mergeCell ref="T170:U170"/>
    <mergeCell ref="T171:U171"/>
    <mergeCell ref="H172:I172"/>
    <mergeCell ref="J172:K172"/>
    <mergeCell ref="L172:M172"/>
    <mergeCell ref="T172:U172"/>
    <mergeCell ref="J185:K185"/>
    <mergeCell ref="A187:V188"/>
    <mergeCell ref="H192:I192"/>
    <mergeCell ref="S194:T194"/>
    <mergeCell ref="S195:T195"/>
    <mergeCell ref="S196:T196"/>
    <mergeCell ref="L177:M177"/>
    <mergeCell ref="J181:K181"/>
    <mergeCell ref="J182:K182"/>
    <mergeCell ref="J183:K183"/>
    <mergeCell ref="J184:K184"/>
    <mergeCell ref="P184:Q184"/>
    <mergeCell ref="R222:S222"/>
    <mergeCell ref="M223:N223"/>
    <mergeCell ref="R223:S223"/>
    <mergeCell ref="M224:N224"/>
    <mergeCell ref="S197:T197"/>
    <mergeCell ref="S198:T198"/>
    <mergeCell ref="S199:T199"/>
    <mergeCell ref="S200:T200"/>
    <mergeCell ref="H203:I203"/>
    <mergeCell ref="H204:I204"/>
    <mergeCell ref="H226:I226"/>
    <mergeCell ref="M226:N226"/>
    <mergeCell ref="H230:I230"/>
    <mergeCell ref="D234:E234"/>
    <mergeCell ref="G234:H234"/>
    <mergeCell ref="D235:E235"/>
    <mergeCell ref="G235:H235"/>
    <mergeCell ref="E205:F205"/>
    <mergeCell ref="M222:N222"/>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M297:N297"/>
    <mergeCell ref="O297:P297"/>
    <mergeCell ref="Q297:R299"/>
    <mergeCell ref="S297:V297"/>
    <mergeCell ref="D298:E298"/>
    <mergeCell ref="K298:L298"/>
    <mergeCell ref="M298:N298"/>
    <mergeCell ref="O298:P298"/>
    <mergeCell ref="S298:V298"/>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s>
  <conditionalFormatting sqref="H288">
    <cfRule type="cellIs" dxfId="115" priority="1" stopIfTrue="1" operator="equal">
      <formula>"Under Dimentioned"</formula>
    </cfRule>
  </conditionalFormatting>
  <conditionalFormatting sqref="I234 G236">
    <cfRule type="cellIs" dxfId="114" priority="4" stopIfTrue="1" operator="equal">
      <formula>"Under Dimentioned"</formula>
    </cfRule>
  </conditionalFormatting>
  <conditionalFormatting sqref="O80 M82:M84">
    <cfRule type="cellIs" dxfId="113" priority="2" stopIfTrue="1" operator="equal">
      <formula>"Under Dimentioned"</formula>
    </cfRule>
  </conditionalFormatting>
  <conditionalFormatting sqref="O161 M163">
    <cfRule type="cellIs" dxfId="112"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codeName="Sheet36">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[5]Title!R1</f>
        <v>N-19957.1-DF5W</v>
      </c>
      <c r="S1" s="1068"/>
      <c r="T1" s="1068"/>
      <c r="U1" s="1068"/>
      <c r="V1" s="776"/>
      <c r="W1" s="14"/>
      <c r="X1" s="14"/>
    </row>
    <row r="2" spans="1:24"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[5]Title!R2</f>
        <v>45925</v>
      </c>
      <c r="S2" s="1068"/>
      <c r="T2" s="1068"/>
      <c r="U2" s="1068"/>
      <c r="V2" s="776"/>
      <c r="W2" s="14"/>
      <c r="X2" s="14"/>
    </row>
    <row r="3" spans="1:24" ht="18" customHeight="1">
      <c r="A3" s="923"/>
      <c r="B3" s="924"/>
      <c r="C3" s="924"/>
      <c r="D3" s="924"/>
      <c r="E3" s="924"/>
      <c r="F3" s="924"/>
      <c r="G3" s="925"/>
      <c r="H3" s="1083" t="str">
        <f>[5]Title!H3</f>
        <v>33kV DF5W SS</v>
      </c>
      <c r="I3" s="1084"/>
      <c r="J3" s="1084"/>
      <c r="K3" s="1084"/>
      <c r="L3" s="1084"/>
      <c r="M3" s="1084"/>
      <c r="N3" s="1085"/>
      <c r="O3" s="885" t="str">
        <f>[5]Title!O3</f>
        <v>Document No.</v>
      </c>
      <c r="P3" s="886"/>
      <c r="Q3" s="887"/>
      <c r="R3" s="775" t="str">
        <f>[5]Title!R3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[5]Title!O4</f>
        <v>Revision No.</v>
      </c>
      <c r="P4" s="886"/>
      <c r="Q4" s="887"/>
      <c r="R4" s="775" t="str">
        <f>[5]Title!R4</f>
        <v>A</v>
      </c>
      <c r="S4" s="1068"/>
      <c r="T4" s="1068"/>
      <c r="U4" s="1068"/>
      <c r="V4" s="776"/>
      <c r="W4" s="14"/>
      <c r="X4" s="14"/>
    </row>
    <row r="5" spans="1:24" ht="18" customHeight="1">
      <c r="A5" s="880" t="str">
        <f>[5]Title!A5</f>
        <v>Prep. By</v>
      </c>
      <c r="B5" s="943"/>
      <c r="C5" s="25" t="str">
        <f>[5]Title!C5</f>
        <v>AP</v>
      </c>
      <c r="D5" s="880" t="str">
        <f>[5]Title!D5</f>
        <v>Checked By</v>
      </c>
      <c r="E5" s="881"/>
      <c r="F5" s="943"/>
      <c r="G5" s="25" t="str">
        <f>[5]Title!G5</f>
        <v>RB</v>
      </c>
      <c r="H5" s="944" t="s">
        <v>384</v>
      </c>
      <c r="I5" s="945"/>
      <c r="J5" s="945"/>
      <c r="K5" s="945"/>
      <c r="L5" s="945"/>
      <c r="M5" s="945"/>
      <c r="N5" s="946"/>
      <c r="O5" s="947" t="str">
        <f>[5]Title!O5</f>
        <v>Contractor</v>
      </c>
      <c r="P5" s="948"/>
      <c r="Q5" s="949"/>
      <c r="R5" s="775" t="str">
        <f>[5]Title!R5</f>
        <v>HITACHI</v>
      </c>
      <c r="S5" s="1068"/>
      <c r="T5" s="1068"/>
      <c r="U5" s="1068"/>
      <c r="V5" s="776"/>
      <c r="W5" s="14"/>
      <c r="X5" s="14"/>
    </row>
    <row r="6" spans="1:24" ht="18" customHeight="1">
      <c r="A6" s="184"/>
      <c r="V6" s="185"/>
    </row>
    <row r="7" spans="1:24" ht="18" customHeight="1">
      <c r="A7" s="184"/>
      <c r="B7" s="1075" t="s">
        <v>108</v>
      </c>
      <c r="C7" s="1076"/>
      <c r="D7" s="1092" t="s">
        <v>112</v>
      </c>
      <c r="E7" s="1093"/>
      <c r="F7" s="455"/>
      <c r="H7" s="684" t="s">
        <v>711</v>
      </c>
      <c r="I7" s="684"/>
      <c r="J7" s="684"/>
      <c r="K7" s="684"/>
      <c r="L7" s="684"/>
      <c r="M7" s="684"/>
      <c r="P7" s="186"/>
      <c r="S7" s="187" t="s">
        <v>387</v>
      </c>
      <c r="T7" s="1075" t="s">
        <v>882</v>
      </c>
      <c r="U7" s="1076"/>
      <c r="V7" s="185"/>
    </row>
    <row r="8" spans="1:24" ht="18" customHeight="1">
      <c r="A8" s="456"/>
      <c r="F8" s="455"/>
      <c r="T8" s="1075"/>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1500</v>
      </c>
      <c r="I10" s="1091"/>
      <c r="J10" s="1075"/>
      <c r="K10" s="1076"/>
      <c r="L10" s="1075"/>
      <c r="M10" s="1076"/>
      <c r="N10" s="191" t="s">
        <v>342</v>
      </c>
      <c r="O10" s="501">
        <v>1</v>
      </c>
      <c r="P10" s="27" t="s">
        <v>8</v>
      </c>
      <c r="R10" s="255"/>
      <c r="S10" s="255"/>
      <c r="V10" s="185"/>
    </row>
    <row r="11" spans="1:24" ht="18" customHeight="1">
      <c r="A11" s="184"/>
      <c r="B11" s="47" t="s">
        <v>394</v>
      </c>
      <c r="H11" s="1075" t="s">
        <v>312</v>
      </c>
      <c r="I11" s="1076"/>
      <c r="V11" s="185"/>
    </row>
    <row r="12" spans="1:24" ht="18" customHeight="1">
      <c r="A12" s="184"/>
      <c r="B12" s="47" t="s">
        <v>396</v>
      </c>
      <c r="G12" s="120" t="s">
        <v>497</v>
      </c>
      <c r="H12" s="1224">
        <v>6</v>
      </c>
      <c r="I12" s="1225"/>
      <c r="J12" s="192" t="s">
        <v>333</v>
      </c>
      <c r="V12" s="185"/>
    </row>
    <row r="13" spans="1:24" ht="18" customHeight="1">
      <c r="A13" s="184"/>
      <c r="B13" s="47" t="s">
        <v>398</v>
      </c>
      <c r="G13" s="120" t="s">
        <v>498</v>
      </c>
      <c r="H13" s="1075">
        <v>500</v>
      </c>
      <c r="I13" s="1076"/>
      <c r="J13" s="14" t="s">
        <v>305</v>
      </c>
      <c r="U13" s="18"/>
      <c r="V13" s="185"/>
      <c r="W13" s="30" t="str">
        <f>H57</f>
        <v>Suitably Dimentioned</v>
      </c>
    </row>
    <row r="14" spans="1:24" ht="18" customHeight="1">
      <c r="A14" s="184"/>
      <c r="B14" s="14" t="s">
        <v>401</v>
      </c>
      <c r="G14" s="120" t="s">
        <v>402</v>
      </c>
      <c r="H14" s="1075">
        <v>10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P743</v>
      </c>
      <c r="E18" s="227"/>
      <c r="F18" s="227"/>
      <c r="G18" s="227"/>
      <c r="H18" s="138"/>
      <c r="I18" s="260" t="s">
        <v>127</v>
      </c>
      <c r="J18" s="1077">
        <f>'[8]CT-VT Burdens'!Q64</f>
        <v>0.1</v>
      </c>
      <c r="K18" s="1078"/>
      <c r="L18" s="3" t="s">
        <v>157</v>
      </c>
      <c r="N18" s="197"/>
      <c r="V18" s="185"/>
    </row>
    <row r="19" spans="1:25" ht="18" customHeight="1">
      <c r="A19" s="184"/>
      <c r="B19" s="96" t="s">
        <v>405</v>
      </c>
      <c r="C19" s="14"/>
      <c r="D19" s="47">
        <f>T8</f>
        <v>0</v>
      </c>
      <c r="E19" s="14"/>
      <c r="G19" s="199"/>
      <c r="H19" s="27"/>
      <c r="I19" s="101" t="s">
        <v>127</v>
      </c>
      <c r="J19" s="1220"/>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'[8]CT-VT Burdens'!S23</f>
        <v>0.56186130000000001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0.66186129999999999</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68"/>
      <c r="B24" s="5"/>
      <c r="C24" s="47" t="s">
        <v>817</v>
      </c>
      <c r="D24" s="14"/>
      <c r="E24" s="14"/>
      <c r="F24" s="14"/>
      <c r="G24" s="14"/>
      <c r="H24" s="279"/>
      <c r="I24" s="120"/>
      <c r="J24" s="279"/>
      <c r="K24" s="279"/>
      <c r="L24" s="14"/>
      <c r="M24" s="14"/>
      <c r="N24" s="14"/>
      <c r="O24" s="14"/>
      <c r="P24" s="14"/>
      <c r="Q24" s="120" t="s">
        <v>818</v>
      </c>
      <c r="R24" s="102" t="s">
        <v>127</v>
      </c>
      <c r="S24" s="1237">
        <f>'[8]Fault Calc'!Q31</f>
        <v>55677</v>
      </c>
      <c r="T24" s="1238"/>
      <c r="U24" s="47" t="s">
        <v>8</v>
      </c>
      <c r="V24" s="185"/>
    </row>
    <row r="25" spans="1:25" ht="18" customHeight="1">
      <c r="A25" s="168"/>
      <c r="B25" s="5"/>
      <c r="C25" s="47" t="s">
        <v>654</v>
      </c>
      <c r="D25" s="14"/>
      <c r="E25" s="14"/>
      <c r="F25" s="18"/>
      <c r="G25" s="18"/>
      <c r="H25" s="279"/>
      <c r="I25" s="120"/>
      <c r="J25" s="279"/>
      <c r="K25" s="279"/>
      <c r="L25" s="14"/>
      <c r="M25" s="14"/>
      <c r="N25" s="14"/>
      <c r="O25" s="14"/>
      <c r="P25" s="14"/>
      <c r="Q25" s="120" t="s">
        <v>423</v>
      </c>
      <c r="R25" s="102" t="s">
        <v>127</v>
      </c>
      <c r="S25" s="689">
        <f>H10</f>
        <v>1500</v>
      </c>
      <c r="T25" s="689"/>
      <c r="U25" s="14" t="s">
        <v>8</v>
      </c>
      <c r="V25" s="185"/>
    </row>
    <row r="26" spans="1:25" ht="18" customHeight="1">
      <c r="A26" s="168"/>
      <c r="B26" s="5"/>
      <c r="C26" s="47" t="s">
        <v>819</v>
      </c>
      <c r="E26" s="14"/>
      <c r="F26" s="18"/>
      <c r="G26" s="18"/>
      <c r="H26" s="279"/>
      <c r="I26" s="120"/>
      <c r="J26" s="279"/>
      <c r="K26" s="279"/>
      <c r="L26" s="14"/>
      <c r="M26" s="14"/>
      <c r="N26" s="14"/>
      <c r="O26" s="14"/>
      <c r="P26" s="14"/>
      <c r="Q26" s="120" t="s">
        <v>820</v>
      </c>
      <c r="R26" s="28" t="s">
        <v>127</v>
      </c>
      <c r="S26" s="692">
        <f>S24/S25*O10</f>
        <v>37.118000000000002</v>
      </c>
      <c r="T26" s="692"/>
      <c r="U26" s="14" t="s">
        <v>8</v>
      </c>
      <c r="V26" s="185"/>
    </row>
    <row r="27" spans="1:25" ht="18" customHeight="1">
      <c r="A27" s="168"/>
      <c r="B27" s="5"/>
      <c r="C27" s="47" t="s">
        <v>821</v>
      </c>
      <c r="D27" s="14"/>
      <c r="E27" s="14"/>
      <c r="F27" s="18"/>
      <c r="G27" s="18"/>
      <c r="H27" s="279"/>
      <c r="I27" s="120"/>
      <c r="J27" s="279"/>
      <c r="K27" s="279"/>
      <c r="L27" s="14"/>
      <c r="M27" s="14"/>
      <c r="N27" s="14"/>
      <c r="O27" s="14"/>
      <c r="P27" s="14"/>
      <c r="Q27" s="120" t="s">
        <v>689</v>
      </c>
      <c r="R27" s="28" t="s">
        <v>127</v>
      </c>
      <c r="S27" s="692">
        <f>J22/O10*O10</f>
        <v>0.66186129999999999</v>
      </c>
      <c r="T27" s="692"/>
      <c r="U27" s="192" t="s">
        <v>333</v>
      </c>
      <c r="V27" s="185"/>
      <c r="X27" s="279"/>
      <c r="Y27" s="279"/>
    </row>
    <row r="28" spans="1:25" ht="18" customHeight="1">
      <c r="A28" s="168"/>
      <c r="B28" s="5"/>
      <c r="C28" s="47" t="s">
        <v>822</v>
      </c>
      <c r="Q28" s="120" t="s">
        <v>823</v>
      </c>
      <c r="R28" s="28" t="s">
        <v>127</v>
      </c>
      <c r="S28" s="1237">
        <f>20*S25</f>
        <v>30000</v>
      </c>
      <c r="T28" s="1238"/>
      <c r="U28" s="14" t="s">
        <v>8</v>
      </c>
      <c r="V28" s="185"/>
      <c r="X28" s="279"/>
      <c r="Y28" s="279"/>
    </row>
    <row r="29" spans="1:25" ht="18" customHeight="1">
      <c r="A29" s="299"/>
      <c r="B29" s="279"/>
      <c r="C29" s="47" t="s">
        <v>824</v>
      </c>
      <c r="Q29" s="244" t="s">
        <v>825</v>
      </c>
      <c r="R29" s="28" t="s">
        <v>127</v>
      </c>
      <c r="S29" s="795">
        <f>S28/S25</f>
        <v>20</v>
      </c>
      <c r="T29" s="795"/>
      <c r="U29" s="14" t="s">
        <v>8</v>
      </c>
      <c r="V29" s="300"/>
      <c r="W29" s="279"/>
      <c r="X29" s="279"/>
      <c r="Y29" s="279"/>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85"/>
    </row>
    <row r="31" spans="1:25" ht="18" customHeight="1">
      <c r="A31" s="193" t="s">
        <v>755</v>
      </c>
      <c r="B31" s="14"/>
      <c r="C31" s="14"/>
      <c r="D31" s="14"/>
      <c r="E31" s="14"/>
      <c r="F31" s="14"/>
      <c r="G31" s="14"/>
      <c r="H31" s="14"/>
      <c r="K31" s="14"/>
      <c r="T31" s="14"/>
      <c r="U31" s="14"/>
      <c r="V31" s="185"/>
    </row>
    <row r="32" spans="1:25" ht="18" customHeight="1">
      <c r="A32" s="96"/>
      <c r="B32" s="14"/>
      <c r="C32" s="14"/>
      <c r="D32" s="14"/>
      <c r="E32" s="14"/>
      <c r="F32" s="14"/>
      <c r="G32" s="14"/>
      <c r="H32" s="14"/>
      <c r="K32" s="14"/>
      <c r="T32" s="14"/>
      <c r="U32" s="14"/>
      <c r="V32" s="185"/>
    </row>
    <row r="33" spans="1:22" ht="18" customHeight="1">
      <c r="A33" s="193" t="s">
        <v>826</v>
      </c>
      <c r="H33" s="28"/>
      <c r="I33" s="28"/>
      <c r="J33" s="28"/>
      <c r="K33" s="28"/>
      <c r="T33" s="14"/>
      <c r="U33" s="14"/>
      <c r="V33" s="185"/>
    </row>
    <row r="34" spans="1:22" ht="18" customHeight="1">
      <c r="A34" s="193"/>
      <c r="H34" s="28"/>
      <c r="I34" s="28"/>
      <c r="J34" s="28"/>
      <c r="K34" s="28"/>
      <c r="T34" s="14"/>
      <c r="U34" s="14"/>
      <c r="V34" s="185"/>
    </row>
    <row r="35" spans="1:22" ht="18" customHeight="1">
      <c r="A35" s="184"/>
      <c r="B35" s="689" t="s">
        <v>473</v>
      </c>
      <c r="C35" s="689"/>
      <c r="D35" s="28" t="s">
        <v>827</v>
      </c>
      <c r="E35" s="28">
        <v>0.5</v>
      </c>
      <c r="F35" s="28" t="s">
        <v>315</v>
      </c>
      <c r="G35" s="689" t="s">
        <v>820</v>
      </c>
      <c r="H35" s="689"/>
      <c r="I35" s="28" t="s">
        <v>672</v>
      </c>
      <c r="J35" s="689" t="s">
        <v>420</v>
      </c>
      <c r="K35" s="689"/>
      <c r="L35" s="28" t="s">
        <v>347</v>
      </c>
      <c r="M35" s="689" t="s">
        <v>689</v>
      </c>
      <c r="N35" s="689"/>
      <c r="O35" s="14" t="s">
        <v>350</v>
      </c>
      <c r="P35" s="14"/>
      <c r="Q35" s="14"/>
      <c r="R35" s="14"/>
      <c r="T35" s="14"/>
      <c r="U35" s="14"/>
      <c r="V35" s="185"/>
    </row>
    <row r="36" spans="1:22" ht="18" customHeight="1">
      <c r="A36" s="184"/>
      <c r="B36" s="14"/>
      <c r="C36" s="14"/>
      <c r="D36" s="102" t="s">
        <v>127</v>
      </c>
      <c r="E36" s="28">
        <v>0.5</v>
      </c>
      <c r="F36" s="28" t="s">
        <v>315</v>
      </c>
      <c r="G36" s="692">
        <f>S26</f>
        <v>37.118000000000002</v>
      </c>
      <c r="H36" s="689"/>
      <c r="I36" s="28" t="s">
        <v>672</v>
      </c>
      <c r="J36" s="689">
        <f>H12</f>
        <v>6</v>
      </c>
      <c r="K36" s="689"/>
      <c r="L36" s="28" t="s">
        <v>347</v>
      </c>
      <c r="M36" s="692">
        <f>S27</f>
        <v>0.66186129999999999</v>
      </c>
      <c r="N36" s="689"/>
      <c r="O36" s="14" t="s">
        <v>350</v>
      </c>
      <c r="S36" s="14"/>
      <c r="T36" s="14"/>
      <c r="U36" s="14"/>
      <c r="V36" s="185"/>
    </row>
    <row r="37" spans="1:22" ht="18" customHeight="1">
      <c r="A37" s="184"/>
      <c r="B37" s="14"/>
      <c r="C37" s="14"/>
      <c r="D37" s="102" t="s">
        <v>127</v>
      </c>
      <c r="E37" s="692">
        <f>E36*G36*(J36+M36)</f>
        <v>123.63748386670001</v>
      </c>
      <c r="F37" s="692"/>
      <c r="G37" s="211"/>
      <c r="H37" s="218"/>
      <c r="I37" s="14"/>
      <c r="J37" s="14"/>
      <c r="K37" s="14"/>
      <c r="L37" s="14"/>
      <c r="M37" s="14"/>
      <c r="N37" s="14"/>
      <c r="O37" s="14"/>
      <c r="P37" s="14"/>
      <c r="Q37" s="14"/>
      <c r="R37" s="14"/>
      <c r="V37" s="185"/>
    </row>
    <row r="38" spans="1:22" ht="18" customHeight="1">
      <c r="A38" s="184"/>
      <c r="B38" s="14"/>
      <c r="C38" s="14"/>
      <c r="D38" s="28"/>
      <c r="E38" s="218"/>
      <c r="F38" s="218"/>
      <c r="G38" s="211"/>
      <c r="H38" s="218"/>
      <c r="I38" s="14"/>
      <c r="J38" s="14"/>
      <c r="K38" s="14"/>
      <c r="L38" s="14"/>
      <c r="M38" s="14"/>
      <c r="N38" s="14"/>
      <c r="O38" s="14"/>
      <c r="P38" s="14"/>
      <c r="Q38" s="14"/>
      <c r="R38" s="14"/>
      <c r="V38" s="185"/>
    </row>
    <row r="39" spans="1:22" ht="18" customHeight="1">
      <c r="A39" s="193" t="s">
        <v>828</v>
      </c>
      <c r="B39" s="14"/>
      <c r="C39" s="14"/>
      <c r="D39" s="28"/>
      <c r="E39" s="218"/>
      <c r="F39" s="218"/>
      <c r="G39" s="211"/>
      <c r="H39" s="218"/>
      <c r="I39" s="14"/>
      <c r="J39" s="14"/>
      <c r="K39" s="14"/>
      <c r="L39" s="14"/>
      <c r="M39" s="14"/>
      <c r="N39" s="14"/>
      <c r="O39" s="14"/>
      <c r="P39" s="14"/>
      <c r="Q39" s="14"/>
      <c r="R39" s="14"/>
      <c r="V39" s="185"/>
    </row>
    <row r="40" spans="1:22" ht="18" customHeight="1">
      <c r="A40" s="184"/>
      <c r="B40" s="14"/>
      <c r="C40" s="14"/>
      <c r="D40" s="28"/>
      <c r="E40" s="218"/>
      <c r="F40" s="218"/>
      <c r="G40" s="211"/>
      <c r="H40" s="218"/>
      <c r="I40" s="14"/>
      <c r="J40" s="14"/>
      <c r="K40" s="14"/>
      <c r="L40" s="14"/>
      <c r="M40" s="14"/>
      <c r="N40" s="14"/>
      <c r="O40" s="14"/>
      <c r="P40" s="14"/>
      <c r="Q40" s="14"/>
      <c r="R40" s="14"/>
      <c r="V40" s="185"/>
    </row>
    <row r="41" spans="1:22" ht="18" customHeight="1">
      <c r="A41" s="184"/>
      <c r="B41" s="689" t="s">
        <v>473</v>
      </c>
      <c r="C41" s="689"/>
      <c r="D41" s="28" t="s">
        <v>827</v>
      </c>
      <c r="E41" s="689" t="s">
        <v>825</v>
      </c>
      <c r="F41" s="689"/>
      <c r="G41" s="28" t="s">
        <v>672</v>
      </c>
      <c r="H41" s="689" t="s">
        <v>420</v>
      </c>
      <c r="I41" s="689"/>
      <c r="J41" s="28" t="s">
        <v>347</v>
      </c>
      <c r="K41" s="689" t="s">
        <v>689</v>
      </c>
      <c r="L41" s="689"/>
      <c r="M41" s="14" t="s">
        <v>350</v>
      </c>
      <c r="P41" s="14"/>
      <c r="Q41" s="14"/>
      <c r="R41" s="14"/>
      <c r="V41" s="185"/>
    </row>
    <row r="42" spans="1:22" ht="18" customHeight="1">
      <c r="A42" s="184"/>
      <c r="B42" s="14"/>
      <c r="C42" s="14"/>
      <c r="D42" s="102" t="s">
        <v>127</v>
      </c>
      <c r="E42" s="692">
        <f>S29</f>
        <v>20</v>
      </c>
      <c r="F42" s="689"/>
      <c r="G42" s="28" t="s">
        <v>672</v>
      </c>
      <c r="H42" s="689">
        <f>H12</f>
        <v>6</v>
      </c>
      <c r="I42" s="689"/>
      <c r="J42" s="28" t="s">
        <v>347</v>
      </c>
      <c r="K42" s="692">
        <f>S27</f>
        <v>0.66186129999999999</v>
      </c>
      <c r="L42" s="689"/>
      <c r="M42" s="14" t="s">
        <v>350</v>
      </c>
      <c r="N42" s="14"/>
      <c r="O42" s="14"/>
      <c r="P42" s="14"/>
      <c r="Q42" s="14"/>
      <c r="R42" s="14"/>
      <c r="V42" s="185"/>
    </row>
    <row r="43" spans="1:22" ht="18" customHeight="1">
      <c r="A43" s="184"/>
      <c r="B43" s="14"/>
      <c r="C43" s="14"/>
      <c r="D43" s="102" t="s">
        <v>127</v>
      </c>
      <c r="E43" s="692">
        <f>E42*(H42+K42)</f>
        <v>133.23722599999999</v>
      </c>
      <c r="F43" s="692"/>
      <c r="G43" s="211"/>
      <c r="H43" s="218"/>
      <c r="I43" s="14"/>
      <c r="J43" s="14"/>
      <c r="K43" s="14"/>
      <c r="L43" s="14"/>
      <c r="M43" s="14"/>
      <c r="N43" s="14"/>
      <c r="O43" s="14"/>
      <c r="P43" s="14"/>
      <c r="Q43" s="14"/>
      <c r="R43" s="14"/>
      <c r="V43" s="185"/>
    </row>
    <row r="44" spans="1:22" s="14" customFormat="1" ht="18" customHeight="1">
      <c r="A44" s="194"/>
      <c r="B44" s="195"/>
      <c r="C44" s="195"/>
      <c r="D44" s="195"/>
      <c r="E44" s="195"/>
      <c r="F44" s="195"/>
      <c r="G44" s="195"/>
      <c r="H44" s="195"/>
      <c r="I44" s="195"/>
      <c r="J44" s="195"/>
      <c r="K44" s="195"/>
      <c r="L44" s="195"/>
      <c r="M44" s="195"/>
      <c r="N44" s="195"/>
      <c r="O44" s="195"/>
      <c r="P44" s="195"/>
      <c r="Q44" s="224"/>
      <c r="R44" s="182"/>
      <c r="S44" s="225"/>
      <c r="T44" s="195"/>
      <c r="U44" s="195"/>
      <c r="V44" s="134"/>
    </row>
    <row r="45" spans="1:22" s="14" customFormat="1" ht="18" customHeight="1">
      <c r="A45" s="135"/>
      <c r="B45" s="273"/>
      <c r="C45" s="273"/>
      <c r="D45" s="273"/>
      <c r="E45" s="273"/>
      <c r="F45" s="273"/>
      <c r="G45" s="273"/>
      <c r="H45" s="273"/>
      <c r="I45" s="273"/>
      <c r="J45" s="273"/>
      <c r="K45" s="273"/>
      <c r="L45" s="273"/>
      <c r="M45" s="273"/>
      <c r="N45" s="273"/>
      <c r="O45" s="273"/>
      <c r="P45" s="273"/>
      <c r="Q45" s="274"/>
      <c r="R45" s="138"/>
      <c r="S45" s="275"/>
      <c r="T45" s="273"/>
      <c r="U45" s="273"/>
      <c r="V45" s="276"/>
    </row>
    <row r="46" spans="1:22" ht="18" customHeight="1">
      <c r="A46" s="193" t="s">
        <v>829</v>
      </c>
      <c r="B46" s="197"/>
      <c r="C46" s="197"/>
      <c r="D46" s="197"/>
      <c r="E46" s="14"/>
      <c r="F46" s="14"/>
      <c r="G46" s="14"/>
      <c r="H46" s="14"/>
      <c r="I46" s="14"/>
      <c r="J46" s="14"/>
      <c r="K46" s="14"/>
      <c r="L46" s="14"/>
      <c r="M46" s="14"/>
      <c r="N46" s="14"/>
      <c r="O46" s="14"/>
      <c r="P46" s="27"/>
      <c r="Q46" s="28"/>
      <c r="T46" s="14"/>
      <c r="U46" s="14"/>
      <c r="V46" s="185"/>
    </row>
    <row r="47" spans="1:22" ht="18" customHeight="1">
      <c r="A47" s="193"/>
      <c r="B47" s="197"/>
      <c r="C47" s="197"/>
      <c r="D47" s="197"/>
      <c r="E47" s="14"/>
      <c r="F47" s="14"/>
      <c r="G47" s="14"/>
      <c r="H47" s="14"/>
      <c r="I47" s="14"/>
      <c r="J47" s="14"/>
      <c r="K47" s="14"/>
      <c r="L47" s="14"/>
      <c r="M47" s="14"/>
      <c r="N47" s="14"/>
      <c r="O47" s="14"/>
      <c r="P47" s="27"/>
      <c r="Q47" s="28"/>
      <c r="T47" s="14"/>
      <c r="U47" s="14"/>
      <c r="V47" s="185"/>
    </row>
    <row r="48" spans="1:22" ht="18" customHeight="1">
      <c r="A48" s="96"/>
      <c r="B48" s="197" t="s">
        <v>826</v>
      </c>
      <c r="C48" s="197"/>
      <c r="D48" s="14"/>
      <c r="E48" s="14"/>
      <c r="F48" s="14"/>
      <c r="G48" s="14"/>
      <c r="H48" s="14"/>
      <c r="I48" s="14"/>
      <c r="J48" s="14"/>
      <c r="K48" s="14"/>
      <c r="L48" s="14"/>
      <c r="M48" s="14"/>
      <c r="N48" s="14"/>
      <c r="O48" s="14"/>
      <c r="P48" s="14"/>
      <c r="Q48" s="14"/>
      <c r="R48" s="14"/>
      <c r="S48" s="14"/>
      <c r="T48" s="14"/>
      <c r="U48" s="14"/>
      <c r="V48" s="185"/>
    </row>
    <row r="49" spans="1:22" ht="18" customHeight="1">
      <c r="A49" s="96"/>
      <c r="B49" s="14"/>
      <c r="C49" s="14"/>
      <c r="D49" s="14"/>
      <c r="E49" s="14"/>
      <c r="F49" s="244" t="s">
        <v>475</v>
      </c>
      <c r="G49" s="28" t="str">
        <f>IF(E50&gt;H50, "&gt;","&lt;")</f>
        <v>&gt;</v>
      </c>
      <c r="H49" s="14" t="s">
        <v>477</v>
      </c>
      <c r="I49" s="14"/>
      <c r="J49" s="14"/>
      <c r="K49" s="14"/>
      <c r="L49" s="14" t="s">
        <v>830</v>
      </c>
      <c r="M49" s="14"/>
      <c r="N49" s="14"/>
      <c r="O49" s="14"/>
      <c r="P49" s="14"/>
      <c r="Q49" s="14"/>
      <c r="R49" s="14"/>
      <c r="S49" s="14"/>
      <c r="T49" s="14"/>
      <c r="U49" s="14"/>
      <c r="V49" s="185"/>
    </row>
    <row r="50" spans="1:22" ht="18" customHeight="1">
      <c r="A50" s="96"/>
      <c r="B50" s="14"/>
      <c r="C50" s="14"/>
      <c r="D50" s="14"/>
      <c r="E50" s="834">
        <f>H13</f>
        <v>500</v>
      </c>
      <c r="F50" s="834"/>
      <c r="G50" s="28" t="str">
        <f>G49</f>
        <v>&gt;</v>
      </c>
      <c r="H50" s="692">
        <f>E37</f>
        <v>123.63748386670001</v>
      </c>
      <c r="I50" s="692"/>
      <c r="J50" s="14"/>
      <c r="K50" s="14"/>
      <c r="L50" s="14"/>
      <c r="M50" s="14"/>
      <c r="N50" s="14"/>
      <c r="O50" s="14"/>
      <c r="P50" s="14"/>
      <c r="Q50" s="14"/>
      <c r="R50" s="14"/>
      <c r="S50" s="14"/>
      <c r="T50" s="14"/>
      <c r="U50" s="14"/>
      <c r="V50" s="185"/>
    </row>
    <row r="51" spans="1:22" ht="18" customHeight="1">
      <c r="A51" s="184"/>
      <c r="D51" s="211"/>
      <c r="E51" s="218"/>
      <c r="F51" s="199" t="s">
        <v>831</v>
      </c>
      <c r="G51" s="211"/>
      <c r="H51" s="281" t="s">
        <v>832</v>
      </c>
      <c r="J51" s="28" t="s">
        <v>833</v>
      </c>
      <c r="K51" s="18" t="str">
        <f>IF(G50="&gt;", "Satisfied", "Not Satisfied")</f>
        <v>Satisfied</v>
      </c>
      <c r="P51" s="14"/>
      <c r="Q51" s="14"/>
      <c r="R51" s="14"/>
      <c r="S51" s="14"/>
      <c r="T51" s="14"/>
      <c r="U51" s="14"/>
      <c r="V51" s="185"/>
    </row>
    <row r="52" spans="1:22" ht="18" customHeight="1">
      <c r="A52" s="96"/>
      <c r="B52" s="197" t="s">
        <v>828</v>
      </c>
      <c r="C52" s="197"/>
      <c r="D52" s="14"/>
      <c r="E52" s="14"/>
      <c r="F52" s="14"/>
      <c r="G52" s="14"/>
      <c r="H52" s="14"/>
      <c r="I52" s="14"/>
      <c r="J52" s="14"/>
      <c r="K52" s="14"/>
      <c r="L52" s="14"/>
      <c r="M52" s="14"/>
      <c r="N52" s="14"/>
      <c r="O52" s="14"/>
      <c r="P52" s="120"/>
      <c r="Q52" s="296"/>
      <c r="V52" s="185"/>
    </row>
    <row r="53" spans="1:22" ht="18" customHeight="1">
      <c r="A53" s="96"/>
      <c r="B53" s="14"/>
      <c r="C53" s="14"/>
      <c r="D53" s="14"/>
      <c r="E53" s="14"/>
      <c r="F53" s="244" t="s">
        <v>475</v>
      </c>
      <c r="G53" s="28" t="str">
        <f>IF(E54&gt;H54, "&gt;","&lt;")</f>
        <v>&gt;</v>
      </c>
      <c r="H53" s="14" t="s">
        <v>477</v>
      </c>
      <c r="I53" s="14"/>
      <c r="J53" s="14"/>
      <c r="K53" s="14"/>
      <c r="L53" s="14" t="s">
        <v>834</v>
      </c>
      <c r="M53" s="14"/>
      <c r="N53" s="14"/>
      <c r="O53" s="14"/>
      <c r="P53" s="301"/>
      <c r="Q53" s="461"/>
      <c r="V53" s="185"/>
    </row>
    <row r="54" spans="1:22" ht="18" customHeight="1">
      <c r="A54" s="96"/>
      <c r="B54" s="14"/>
      <c r="C54" s="14"/>
      <c r="D54" s="14"/>
      <c r="E54" s="834">
        <f>H13</f>
        <v>500</v>
      </c>
      <c r="F54" s="834"/>
      <c r="G54" s="28" t="str">
        <f>G53</f>
        <v>&gt;</v>
      </c>
      <c r="H54" s="692">
        <f>E43</f>
        <v>133.23722599999999</v>
      </c>
      <c r="I54" s="692"/>
      <c r="J54" s="14"/>
      <c r="K54" s="14"/>
      <c r="L54" s="14"/>
      <c r="M54" s="14"/>
      <c r="N54" s="14"/>
      <c r="O54" s="14"/>
      <c r="V54" s="185"/>
    </row>
    <row r="55" spans="1:22" ht="18" customHeight="1">
      <c r="A55" s="184"/>
      <c r="D55" s="211"/>
      <c r="E55" s="14"/>
      <c r="F55" s="199" t="s">
        <v>831</v>
      </c>
      <c r="G55" s="211"/>
      <c r="H55" s="281" t="s">
        <v>828</v>
      </c>
      <c r="J55" s="28" t="s">
        <v>833</v>
      </c>
      <c r="K55" s="18" t="str">
        <f>IF(G54="&gt;", "Satisfied", "Not Satisfied")</f>
        <v>Satisfied</v>
      </c>
      <c r="P55" s="232"/>
      <c r="Q55" s="232"/>
      <c r="R55" s="232"/>
      <c r="S55" s="232"/>
      <c r="T55" s="232"/>
      <c r="U55" s="232"/>
      <c r="V55" s="233"/>
    </row>
    <row r="56" spans="1:22" ht="18" customHeight="1">
      <c r="A56" s="184"/>
      <c r="H56" s="28"/>
      <c r="I56" s="28"/>
      <c r="J56" s="28"/>
      <c r="K56" s="28"/>
      <c r="L56" s="28"/>
      <c r="M56" s="28"/>
      <c r="N56" s="28"/>
      <c r="O56" s="28"/>
      <c r="P56" s="232"/>
      <c r="Q56" s="232"/>
      <c r="R56" s="232"/>
      <c r="S56" s="232"/>
      <c r="T56" s="232"/>
      <c r="U56" s="232"/>
      <c r="V56" s="233"/>
    </row>
    <row r="57" spans="1:22" ht="18" customHeight="1">
      <c r="A57" s="96"/>
      <c r="B57" s="14"/>
      <c r="C57" s="14"/>
      <c r="D57" s="14"/>
      <c r="E57" s="14"/>
      <c r="F57" s="244" t="s">
        <v>478</v>
      </c>
      <c r="G57" s="14"/>
      <c r="H57" s="18" t="str">
        <f>IF(AND(E50&gt;H50,E54&gt;H54),"Suitably Dimentioned","Under Dimentioned")</f>
        <v>Suitably Dimentioned</v>
      </c>
      <c r="I57" s="18"/>
      <c r="J57" s="18"/>
      <c r="K57" s="18"/>
      <c r="L57" s="18"/>
      <c r="M57" s="18"/>
      <c r="N57" s="14"/>
      <c r="O57" s="14"/>
      <c r="V57" s="185"/>
    </row>
    <row r="58" spans="1:22" ht="18" customHeight="1">
      <c r="A58" s="184"/>
      <c r="B58" s="27"/>
      <c r="C58" s="27"/>
      <c r="D58" s="27"/>
      <c r="E58" s="28"/>
      <c r="F58" s="27"/>
      <c r="G58" s="28"/>
      <c r="H58" s="27"/>
      <c r="I58" s="28"/>
      <c r="J58" s="27"/>
      <c r="K58" s="27"/>
      <c r="L58" s="27"/>
      <c r="M58" s="27"/>
      <c r="V58" s="185"/>
    </row>
    <row r="59" spans="1:22" ht="18" customHeight="1">
      <c r="A59" s="184"/>
      <c r="C59" s="27"/>
      <c r="D59" s="245"/>
      <c r="E59" s="221"/>
      <c r="F59" s="245"/>
      <c r="G59" s="222"/>
      <c r="H59" s="245"/>
      <c r="I59" s="245"/>
      <c r="J59" s="245"/>
      <c r="K59" s="245"/>
      <c r="L59" s="245"/>
      <c r="M59" s="27"/>
      <c r="V59" s="185"/>
    </row>
    <row r="60" spans="1:22" ht="18" customHeight="1">
      <c r="A60" s="184"/>
      <c r="C60" s="27"/>
      <c r="D60" s="204"/>
      <c r="E60" s="204"/>
      <c r="G60" s="18"/>
      <c r="V60" s="185"/>
    </row>
    <row r="61" spans="1:22" s="14" customFormat="1" ht="18" customHeight="1">
      <c r="A61" s="96"/>
      <c r="Q61" s="120"/>
      <c r="R61" s="28"/>
      <c r="S61" s="525"/>
      <c r="V61" s="381"/>
    </row>
    <row r="62" spans="1:22" s="14" customFormat="1" ht="18" customHeight="1">
      <c r="A62" s="96"/>
      <c r="Q62" s="120"/>
      <c r="R62" s="28"/>
      <c r="S62" s="525"/>
      <c r="V62" s="381"/>
    </row>
    <row r="63" spans="1:22" s="14" customFormat="1" ht="18" customHeight="1">
      <c r="A63" s="96"/>
      <c r="Q63" s="120"/>
      <c r="R63" s="28"/>
      <c r="S63" s="525"/>
      <c r="V63" s="381"/>
    </row>
    <row r="64" spans="1:22" s="14" customFormat="1" ht="18" customHeight="1">
      <c r="A64" s="96"/>
      <c r="Q64" s="120"/>
      <c r="R64" s="28"/>
      <c r="S64" s="525"/>
      <c r="V64" s="381"/>
    </row>
    <row r="65" spans="1:22" s="14" customFormat="1" ht="18" customHeight="1">
      <c r="A65" s="96"/>
      <c r="Q65" s="120"/>
      <c r="R65" s="28"/>
      <c r="S65" s="525"/>
      <c r="V65" s="381"/>
    </row>
    <row r="66" spans="1:22" s="14" customFormat="1" ht="18" customHeight="1">
      <c r="A66" s="96"/>
      <c r="Q66" s="120"/>
      <c r="R66" s="28"/>
      <c r="S66" s="525"/>
      <c r="V66" s="381"/>
    </row>
    <row r="67" spans="1:22" s="14" customFormat="1" ht="18" customHeight="1">
      <c r="A67" s="96"/>
      <c r="Q67" s="120"/>
      <c r="R67" s="28"/>
      <c r="S67" s="525"/>
      <c r="V67" s="381"/>
    </row>
    <row r="68" spans="1:22" s="14" customFormat="1" ht="18" customHeight="1">
      <c r="A68" s="96"/>
      <c r="Q68" s="120"/>
      <c r="R68" s="28"/>
      <c r="S68" s="525"/>
      <c r="V68" s="381"/>
    </row>
    <row r="69" spans="1:22" s="14" customFormat="1" ht="18" customHeight="1">
      <c r="A69" s="96"/>
      <c r="Q69" s="120"/>
      <c r="R69" s="28"/>
      <c r="S69" s="525"/>
      <c r="V69" s="381"/>
    </row>
    <row r="70" spans="1:22" s="14" customFormat="1" ht="18" customHeight="1">
      <c r="A70" s="96"/>
      <c r="Q70" s="120"/>
      <c r="R70" s="28"/>
      <c r="S70" s="525"/>
      <c r="V70" s="381"/>
    </row>
    <row r="71" spans="1:22" s="14" customFormat="1" ht="18" customHeight="1">
      <c r="A71" s="96"/>
      <c r="Q71" s="120"/>
      <c r="R71" s="28"/>
      <c r="S71" s="525"/>
      <c r="V71" s="381"/>
    </row>
    <row r="72" spans="1:22" s="14" customFormat="1" ht="18" customHeight="1">
      <c r="A72" s="96"/>
      <c r="Q72" s="120"/>
      <c r="R72" s="28"/>
      <c r="S72" s="525"/>
      <c r="V72" s="381"/>
    </row>
    <row r="73" spans="1:22" s="14" customFormat="1" ht="18" customHeight="1">
      <c r="A73" s="96"/>
      <c r="Q73" s="120"/>
      <c r="R73" s="28"/>
      <c r="S73" s="525"/>
      <c r="V73" s="381"/>
    </row>
    <row r="74" spans="1:22" s="14" customFormat="1" ht="18" customHeight="1">
      <c r="A74" s="96"/>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96"/>
      <c r="Q85" s="120"/>
      <c r="R85" s="28"/>
      <c r="S85" s="525"/>
      <c r="V85" s="381"/>
    </row>
    <row r="86" spans="1:23" s="14" customFormat="1" ht="18" customHeight="1">
      <c r="A86" s="96"/>
      <c r="Q86" s="120"/>
      <c r="R86" s="28"/>
      <c r="S86" s="525"/>
      <c r="V86" s="381"/>
    </row>
    <row r="87" spans="1:23" s="14" customFormat="1" ht="18" customHeight="1">
      <c r="A87" s="96"/>
      <c r="Q87" s="120"/>
      <c r="R87" s="28"/>
      <c r="S87" s="525"/>
      <c r="V87" s="381"/>
    </row>
    <row r="88" spans="1:23" s="14" customFormat="1" ht="18" customHeight="1">
      <c r="A88" s="194"/>
      <c r="B88" s="195"/>
      <c r="C88" s="195"/>
      <c r="D88" s="195"/>
      <c r="E88" s="195"/>
      <c r="F88" s="195"/>
      <c r="G88" s="195"/>
      <c r="H88" s="195"/>
      <c r="I88" s="195"/>
      <c r="J88" s="195"/>
      <c r="K88" s="195"/>
      <c r="L88" s="195"/>
      <c r="M88" s="195"/>
      <c r="N88" s="195"/>
      <c r="O88" s="195"/>
      <c r="P88" s="195"/>
      <c r="Q88" s="224"/>
      <c r="R88" s="182"/>
      <c r="S88" s="225"/>
      <c r="T88" s="195"/>
      <c r="U88" s="195"/>
      <c r="V88" s="134"/>
    </row>
    <row r="89" spans="1:23" ht="18" hidden="1"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hidden="1" customHeight="1">
      <c r="A90" s="184"/>
      <c r="B90" s="854" t="str">
        <f>B7</f>
        <v>T1</v>
      </c>
      <c r="C90" s="831"/>
      <c r="D90" s="854" t="str">
        <f>D7</f>
        <v>Core5</v>
      </c>
      <c r="E90" s="831"/>
      <c r="F90" s="455"/>
      <c r="H90" s="684" t="s">
        <v>711</v>
      </c>
      <c r="I90" s="684"/>
      <c r="J90" s="684"/>
      <c r="K90" s="684"/>
      <c r="L90" s="684"/>
      <c r="M90" s="684"/>
      <c r="P90" s="186"/>
      <c r="S90" s="187" t="s">
        <v>387</v>
      </c>
      <c r="T90" s="854" t="str">
        <f>T7</f>
        <v>P743</v>
      </c>
      <c r="U90" s="831"/>
      <c r="V90" s="185"/>
    </row>
    <row r="91" spans="1:23" ht="18" hidden="1" customHeight="1">
      <c r="A91" s="456"/>
      <c r="F91" s="455"/>
      <c r="T91" s="854">
        <f>T8</f>
        <v>0</v>
      </c>
      <c r="U91" s="831"/>
      <c r="V91" s="185"/>
    </row>
    <row r="92" spans="1:23" ht="18" hidden="1" customHeight="1">
      <c r="A92" s="184"/>
      <c r="H92" s="708" t="s">
        <v>390</v>
      </c>
      <c r="I92" s="708"/>
      <c r="J92" s="789" t="s">
        <v>391</v>
      </c>
      <c r="K92" s="789"/>
      <c r="L92" s="790" t="s">
        <v>392</v>
      </c>
      <c r="M92" s="790"/>
      <c r="T92" s="854">
        <f>T9</f>
        <v>0</v>
      </c>
      <c r="U92" s="831"/>
      <c r="V92" s="185"/>
    </row>
    <row r="93" spans="1:23" ht="18" hidden="1" customHeight="1">
      <c r="A93" s="184"/>
      <c r="B93" s="47" t="s">
        <v>393</v>
      </c>
      <c r="H93" s="854">
        <f>H10</f>
        <v>1500</v>
      </c>
      <c r="I93" s="831"/>
      <c r="J93" s="863">
        <f>J10</f>
        <v>0</v>
      </c>
      <c r="K93" s="864"/>
      <c r="L93" s="854">
        <f>L10</f>
        <v>0</v>
      </c>
      <c r="M93" s="831"/>
      <c r="N93" s="191" t="s">
        <v>342</v>
      </c>
      <c r="O93" s="256">
        <f>O10</f>
        <v>1</v>
      </c>
      <c r="P93" s="27" t="s">
        <v>8</v>
      </c>
      <c r="R93" s="255"/>
      <c r="S93" s="255"/>
      <c r="V93" s="185"/>
    </row>
    <row r="94" spans="1:23" ht="18" hidden="1" customHeight="1">
      <c r="A94" s="184"/>
      <c r="B94" s="47" t="s">
        <v>394</v>
      </c>
      <c r="J94" s="854" t="str">
        <f>H11</f>
        <v>X</v>
      </c>
      <c r="K94" s="831"/>
      <c r="V94" s="185"/>
    </row>
    <row r="95" spans="1:23" ht="18" hidden="1" customHeight="1">
      <c r="A95" s="184"/>
      <c r="B95" s="47" t="s">
        <v>396</v>
      </c>
      <c r="I95" s="120" t="s">
        <v>497</v>
      </c>
      <c r="J95" s="1224"/>
      <c r="K95" s="1225"/>
      <c r="L95" s="192" t="s">
        <v>333</v>
      </c>
      <c r="V95" s="185"/>
    </row>
    <row r="96" spans="1:23" ht="18" hidden="1" customHeight="1">
      <c r="A96" s="184"/>
      <c r="B96" s="47" t="s">
        <v>398</v>
      </c>
      <c r="I96" s="120" t="s">
        <v>498</v>
      </c>
      <c r="J96" s="1075"/>
      <c r="K96" s="1076"/>
      <c r="L96" s="14" t="s">
        <v>305</v>
      </c>
      <c r="U96" s="18"/>
      <c r="V96" s="185"/>
      <c r="W96" s="30" t="str">
        <f>H145</f>
        <v>Under Dimentioned</v>
      </c>
    </row>
    <row r="97" spans="1:22" ht="18" hidden="1" customHeight="1">
      <c r="A97" s="184"/>
      <c r="B97" s="14" t="s">
        <v>401</v>
      </c>
      <c r="I97" s="120" t="s">
        <v>402</v>
      </c>
      <c r="J97" s="1075"/>
      <c r="K97" s="1076"/>
      <c r="L97" s="14" t="s">
        <v>403</v>
      </c>
      <c r="V97" s="185"/>
    </row>
    <row r="98" spans="1:22" ht="18" hidden="1" customHeight="1">
      <c r="A98" s="184"/>
      <c r="V98" s="185"/>
    </row>
    <row r="99" spans="1:22" ht="18" hidden="1" customHeight="1">
      <c r="A99" s="193" t="s">
        <v>404</v>
      </c>
      <c r="V99" s="185"/>
    </row>
    <row r="100" spans="1:22" ht="18" hidden="1" customHeight="1">
      <c r="A100" s="184"/>
      <c r="V100" s="185"/>
    </row>
    <row r="101" spans="1:22" ht="18" hidden="1" customHeight="1">
      <c r="A101" s="184"/>
      <c r="B101" s="135" t="s">
        <v>405</v>
      </c>
      <c r="C101" s="273"/>
      <c r="D101" s="139" t="str">
        <f>T90</f>
        <v>P743</v>
      </c>
      <c r="E101" s="227"/>
      <c r="F101" s="227"/>
      <c r="G101" s="227"/>
      <c r="H101" s="138"/>
      <c r="I101" s="260" t="s">
        <v>127</v>
      </c>
      <c r="J101" s="696">
        <f>J18</f>
        <v>0.1</v>
      </c>
      <c r="K101" s="722"/>
      <c r="L101" s="3" t="s">
        <v>157</v>
      </c>
      <c r="N101" s="197"/>
      <c r="V101" s="185"/>
    </row>
    <row r="102" spans="1:22" ht="18" hidden="1" customHeight="1">
      <c r="A102" s="184"/>
      <c r="B102" s="96" t="s">
        <v>405</v>
      </c>
      <c r="C102" s="14"/>
      <c r="D102" s="47">
        <f>T91</f>
        <v>0</v>
      </c>
      <c r="E102" s="14"/>
      <c r="G102" s="199"/>
      <c r="H102" s="27"/>
      <c r="I102" s="101" t="s">
        <v>127</v>
      </c>
      <c r="J102" s="696">
        <f>J19</f>
        <v>0</v>
      </c>
      <c r="K102" s="722"/>
      <c r="L102" s="202" t="s">
        <v>157</v>
      </c>
      <c r="N102" s="28"/>
      <c r="O102" s="27"/>
      <c r="P102" s="28"/>
      <c r="Q102" s="102"/>
      <c r="R102" s="28"/>
      <c r="S102" s="27"/>
      <c r="T102" s="28"/>
      <c r="V102" s="185"/>
    </row>
    <row r="103" spans="1:22" ht="18" hidden="1" customHeight="1">
      <c r="A103" s="184"/>
      <c r="B103" s="96" t="s">
        <v>405</v>
      </c>
      <c r="C103" s="14"/>
      <c r="D103" s="47">
        <f>T92</f>
        <v>0</v>
      </c>
      <c r="E103" s="14"/>
      <c r="G103" s="199"/>
      <c r="H103" s="27"/>
      <c r="I103" s="101" t="s">
        <v>127</v>
      </c>
      <c r="J103" s="696">
        <f>J20</f>
        <v>0</v>
      </c>
      <c r="K103" s="722"/>
      <c r="L103" s="202" t="s">
        <v>157</v>
      </c>
      <c r="N103" s="27"/>
      <c r="O103" s="27"/>
      <c r="P103" s="27"/>
      <c r="Q103" s="102"/>
      <c r="R103" s="27"/>
      <c r="S103" s="27"/>
      <c r="T103" s="27"/>
      <c r="V103" s="185"/>
    </row>
    <row r="104" spans="1:22" ht="18" hidden="1" customHeight="1">
      <c r="A104" s="184"/>
      <c r="B104" s="184" t="s">
        <v>412</v>
      </c>
      <c r="C104" s="14"/>
      <c r="D104" s="14"/>
      <c r="E104" s="14"/>
      <c r="H104" s="27"/>
      <c r="I104" s="101" t="s">
        <v>127</v>
      </c>
      <c r="J104" s="696">
        <f>J21</f>
        <v>0.56186130000000001</v>
      </c>
      <c r="K104" s="722"/>
      <c r="L104" s="297" t="s">
        <v>157</v>
      </c>
      <c r="N104" s="27"/>
      <c r="O104" s="27"/>
      <c r="P104" s="204"/>
      <c r="R104" s="192"/>
      <c r="S104" s="27"/>
      <c r="T104" s="27"/>
      <c r="V104" s="185"/>
    </row>
    <row r="105" spans="1:22" ht="18" hidden="1" customHeight="1">
      <c r="A105" s="184"/>
      <c r="B105" s="1" t="s">
        <v>413</v>
      </c>
      <c r="C105" s="2"/>
      <c r="D105" s="2"/>
      <c r="E105" s="2"/>
      <c r="F105" s="196"/>
      <c r="G105" s="196"/>
      <c r="H105" s="224" t="s">
        <v>512</v>
      </c>
      <c r="I105" s="183" t="s">
        <v>127</v>
      </c>
      <c r="J105" s="722">
        <f>SUM(J101:J104)</f>
        <v>0.66186129999999999</v>
      </c>
      <c r="K105" s="958"/>
      <c r="L105" s="3" t="s">
        <v>157</v>
      </c>
      <c r="V105" s="185"/>
    </row>
    <row r="106" spans="1:22" ht="18" hidden="1" customHeight="1">
      <c r="A106" s="184"/>
      <c r="B106" s="47"/>
      <c r="C106" s="47"/>
      <c r="D106" s="47"/>
      <c r="E106" s="47"/>
      <c r="H106" s="27"/>
      <c r="I106" s="28"/>
      <c r="J106" s="199"/>
      <c r="L106" s="47"/>
      <c r="O106" s="27"/>
      <c r="P106" s="211"/>
      <c r="Q106" s="27"/>
      <c r="R106" s="204"/>
      <c r="S106" s="27"/>
      <c r="V106" s="185"/>
    </row>
    <row r="107" spans="1:22" ht="18" hidden="1" customHeight="1">
      <c r="A107" s="168"/>
      <c r="B107" s="5"/>
      <c r="C107" s="47" t="s">
        <v>817</v>
      </c>
      <c r="D107" s="14"/>
      <c r="E107" s="14"/>
      <c r="F107" s="14"/>
      <c r="G107" s="14"/>
      <c r="H107" s="279"/>
      <c r="I107" s="120"/>
      <c r="J107" s="279"/>
      <c r="K107" s="279"/>
      <c r="L107" s="14"/>
      <c r="M107" s="14"/>
      <c r="N107" s="14"/>
      <c r="O107" s="14"/>
      <c r="P107" s="14"/>
      <c r="Q107" s="120" t="s">
        <v>818</v>
      </c>
      <c r="R107" s="102" t="s">
        <v>127</v>
      </c>
      <c r="S107" s="854">
        <f>S24</f>
        <v>55677</v>
      </c>
      <c r="T107" s="831"/>
      <c r="U107" s="47" t="s">
        <v>8</v>
      </c>
      <c r="V107" s="185"/>
    </row>
    <row r="108" spans="1:22" ht="18" hidden="1" customHeight="1">
      <c r="A108" s="168"/>
      <c r="B108" s="5"/>
      <c r="C108" s="47" t="s">
        <v>654</v>
      </c>
      <c r="D108" s="14"/>
      <c r="E108" s="14"/>
      <c r="F108" s="18"/>
      <c r="G108" s="18"/>
      <c r="H108" s="279"/>
      <c r="I108" s="120"/>
      <c r="J108" s="279"/>
      <c r="K108" s="279"/>
      <c r="L108" s="14"/>
      <c r="M108" s="14"/>
      <c r="N108" s="14"/>
      <c r="O108" s="14"/>
      <c r="P108" s="14"/>
      <c r="Q108" s="120" t="s">
        <v>423</v>
      </c>
      <c r="R108" s="102" t="s">
        <v>127</v>
      </c>
      <c r="S108" s="689">
        <f>H93</f>
        <v>1500</v>
      </c>
      <c r="T108" s="689"/>
      <c r="U108" s="14" t="s">
        <v>8</v>
      </c>
      <c r="V108" s="185"/>
    </row>
    <row r="109" spans="1:22" ht="18" hidden="1" customHeight="1">
      <c r="A109" s="168"/>
      <c r="B109" s="5"/>
      <c r="C109" s="47" t="s">
        <v>819</v>
      </c>
      <c r="E109" s="14"/>
      <c r="F109" s="18"/>
      <c r="G109" s="18"/>
      <c r="H109" s="279"/>
      <c r="I109" s="120"/>
      <c r="J109" s="279"/>
      <c r="K109" s="279"/>
      <c r="L109" s="14"/>
      <c r="M109" s="14"/>
      <c r="N109" s="14"/>
      <c r="O109" s="14"/>
      <c r="P109" s="14"/>
      <c r="Q109" s="120" t="s">
        <v>820</v>
      </c>
      <c r="R109" s="28" t="s">
        <v>127</v>
      </c>
      <c r="S109" s="692">
        <f>S107/S108*O93</f>
        <v>37.118000000000002</v>
      </c>
      <c r="T109" s="692"/>
      <c r="U109" s="14" t="s">
        <v>8</v>
      </c>
      <c r="V109" s="185"/>
    </row>
    <row r="110" spans="1:22" ht="18" hidden="1" customHeight="1">
      <c r="A110" s="168"/>
      <c r="B110" s="5"/>
      <c r="C110" s="47" t="s">
        <v>821</v>
      </c>
      <c r="D110" s="14"/>
      <c r="E110" s="14"/>
      <c r="F110" s="18"/>
      <c r="G110" s="18"/>
      <c r="H110" s="279"/>
      <c r="I110" s="120"/>
      <c r="J110" s="279"/>
      <c r="K110" s="279"/>
      <c r="L110" s="14"/>
      <c r="M110" s="14"/>
      <c r="N110" s="14"/>
      <c r="O110" s="14"/>
      <c r="P110" s="14"/>
      <c r="Q110" s="120" t="s">
        <v>689</v>
      </c>
      <c r="R110" s="28" t="s">
        <v>127</v>
      </c>
      <c r="S110" s="692">
        <f>J105/O93*O93</f>
        <v>0.66186129999999999</v>
      </c>
      <c r="T110" s="692"/>
      <c r="U110" s="192" t="s">
        <v>333</v>
      </c>
      <c r="V110" s="185"/>
    </row>
    <row r="111" spans="1:22" ht="18" hidden="1" customHeight="1">
      <c r="A111" s="168"/>
      <c r="B111" s="5"/>
      <c r="C111" s="47" t="s">
        <v>822</v>
      </c>
      <c r="Q111" s="120" t="s">
        <v>823</v>
      </c>
      <c r="R111" s="28" t="s">
        <v>127</v>
      </c>
      <c r="S111" s="854">
        <f>S28</f>
        <v>30000</v>
      </c>
      <c r="T111" s="831"/>
      <c r="U111" s="14" t="s">
        <v>8</v>
      </c>
      <c r="V111" s="185"/>
    </row>
    <row r="112" spans="1:22" ht="18" hidden="1" customHeight="1">
      <c r="A112" s="299"/>
      <c r="B112" s="279"/>
      <c r="C112" s="47" t="s">
        <v>824</v>
      </c>
      <c r="Q112" s="244" t="s">
        <v>825</v>
      </c>
      <c r="R112" s="28" t="s">
        <v>127</v>
      </c>
      <c r="S112" s="795">
        <f>S111/S108</f>
        <v>20</v>
      </c>
      <c r="T112" s="795"/>
      <c r="U112" s="14" t="s">
        <v>8</v>
      </c>
      <c r="V112" s="300"/>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85"/>
    </row>
    <row r="114" spans="1:22" ht="18" hidden="1" customHeight="1">
      <c r="A114" s="193" t="s">
        <v>755</v>
      </c>
      <c r="B114" s="14"/>
      <c r="C114" s="14"/>
      <c r="D114" s="14"/>
      <c r="E114" s="14"/>
      <c r="F114" s="14"/>
      <c r="G114" s="14"/>
      <c r="H114" s="14"/>
      <c r="K114" s="14"/>
      <c r="T114" s="14"/>
      <c r="U114" s="14"/>
      <c r="V114" s="185"/>
    </row>
    <row r="115" spans="1:22" ht="18" hidden="1" customHeight="1">
      <c r="A115" s="96"/>
      <c r="B115" s="14"/>
      <c r="C115" s="14"/>
      <c r="D115" s="14"/>
      <c r="E115" s="14"/>
      <c r="F115" s="14"/>
      <c r="G115" s="14"/>
      <c r="H115" s="14"/>
      <c r="K115" s="14"/>
      <c r="T115" s="14"/>
      <c r="U115" s="14"/>
      <c r="V115" s="185"/>
    </row>
    <row r="116" spans="1:22" ht="18" hidden="1" customHeight="1">
      <c r="A116" s="193" t="s">
        <v>826</v>
      </c>
      <c r="H116" s="28"/>
      <c r="I116" s="28"/>
      <c r="J116" s="28"/>
      <c r="K116" s="28"/>
      <c r="T116" s="14"/>
      <c r="U116" s="14"/>
      <c r="V116" s="185"/>
    </row>
    <row r="117" spans="1:22" ht="18" hidden="1" customHeight="1">
      <c r="A117" s="193"/>
      <c r="H117" s="28"/>
      <c r="I117" s="28"/>
      <c r="J117" s="28"/>
      <c r="K117" s="28"/>
      <c r="T117" s="14"/>
      <c r="U117" s="14"/>
      <c r="V117" s="185"/>
    </row>
    <row r="118" spans="1:22" ht="18" hidden="1" customHeight="1">
      <c r="A118" s="184"/>
      <c r="B118" s="689" t="s">
        <v>473</v>
      </c>
      <c r="C118" s="689"/>
      <c r="D118" s="28" t="s">
        <v>827</v>
      </c>
      <c r="E118" s="28">
        <v>0.5</v>
      </c>
      <c r="F118" s="28" t="s">
        <v>315</v>
      </c>
      <c r="G118" s="689" t="s">
        <v>820</v>
      </c>
      <c r="H118" s="689"/>
      <c r="I118" s="28" t="s">
        <v>672</v>
      </c>
      <c r="J118" s="689" t="s">
        <v>420</v>
      </c>
      <c r="K118" s="689"/>
      <c r="L118" s="28" t="s">
        <v>347</v>
      </c>
      <c r="M118" s="689" t="s">
        <v>689</v>
      </c>
      <c r="N118" s="689"/>
      <c r="O118" s="14" t="s">
        <v>350</v>
      </c>
      <c r="P118" s="14"/>
      <c r="Q118" s="14"/>
      <c r="R118" s="14"/>
      <c r="T118" s="14"/>
      <c r="U118" s="14"/>
      <c r="V118" s="185"/>
    </row>
    <row r="119" spans="1:22" ht="18" hidden="1" customHeight="1">
      <c r="A119" s="184"/>
      <c r="B119" s="14"/>
      <c r="C119" s="14"/>
      <c r="D119" s="102" t="s">
        <v>127</v>
      </c>
      <c r="E119" s="28">
        <v>0.5</v>
      </c>
      <c r="F119" s="28" t="s">
        <v>315</v>
      </c>
      <c r="G119" s="692">
        <f>S109</f>
        <v>37.118000000000002</v>
      </c>
      <c r="H119" s="689"/>
      <c r="I119" s="28" t="s">
        <v>672</v>
      </c>
      <c r="J119" s="689">
        <f>J95</f>
        <v>0</v>
      </c>
      <c r="K119" s="689"/>
      <c r="L119" s="28" t="s">
        <v>347</v>
      </c>
      <c r="M119" s="692">
        <f>S110</f>
        <v>0.66186129999999999</v>
      </c>
      <c r="N119" s="689"/>
      <c r="O119" s="14" t="s">
        <v>350</v>
      </c>
      <c r="S119" s="14"/>
      <c r="T119" s="14"/>
      <c r="U119" s="14"/>
      <c r="V119" s="185"/>
    </row>
    <row r="120" spans="1:22" ht="18" hidden="1" customHeight="1">
      <c r="A120" s="184"/>
      <c r="B120" s="14"/>
      <c r="C120" s="14"/>
      <c r="D120" s="102" t="s">
        <v>127</v>
      </c>
      <c r="E120" s="692">
        <f>E119*G119*(J119+M119)</f>
        <v>12.283483866700001</v>
      </c>
      <c r="F120" s="692"/>
      <c r="G120" s="211"/>
      <c r="H120" s="218"/>
      <c r="I120" s="14"/>
      <c r="J120" s="14"/>
      <c r="K120" s="14"/>
      <c r="L120" s="14"/>
      <c r="M120" s="14"/>
      <c r="N120" s="14"/>
      <c r="O120" s="14"/>
      <c r="P120" s="14"/>
      <c r="Q120" s="14"/>
      <c r="R120" s="14"/>
      <c r="V120" s="185"/>
    </row>
    <row r="121" spans="1:22" ht="18" hidden="1" customHeight="1">
      <c r="A121" s="184"/>
      <c r="B121" s="14"/>
      <c r="C121" s="14"/>
      <c r="D121" s="28"/>
      <c r="E121" s="218"/>
      <c r="F121" s="218"/>
      <c r="G121" s="211"/>
      <c r="H121" s="218"/>
      <c r="I121" s="14"/>
      <c r="J121" s="14"/>
      <c r="K121" s="14"/>
      <c r="L121" s="14"/>
      <c r="M121" s="14"/>
      <c r="N121" s="14"/>
      <c r="O121" s="14"/>
      <c r="P121" s="14"/>
      <c r="Q121" s="14"/>
      <c r="R121" s="14"/>
      <c r="V121" s="185"/>
    </row>
    <row r="122" spans="1:22" ht="18" hidden="1" customHeight="1">
      <c r="A122" s="193" t="s">
        <v>828</v>
      </c>
      <c r="B122" s="14"/>
      <c r="C122" s="14"/>
      <c r="D122" s="28"/>
      <c r="E122" s="218"/>
      <c r="F122" s="218"/>
      <c r="G122" s="211"/>
      <c r="H122" s="218"/>
      <c r="I122" s="14"/>
      <c r="J122" s="14"/>
      <c r="K122" s="14"/>
      <c r="L122" s="14"/>
      <c r="M122" s="14"/>
      <c r="N122" s="14"/>
      <c r="O122" s="14"/>
      <c r="P122" s="14"/>
      <c r="Q122" s="14"/>
      <c r="R122" s="14"/>
      <c r="V122" s="185"/>
    </row>
    <row r="123" spans="1:22" ht="18" hidden="1" customHeight="1">
      <c r="A123" s="184"/>
      <c r="B123" s="14"/>
      <c r="C123" s="14"/>
      <c r="D123" s="28"/>
      <c r="E123" s="218"/>
      <c r="F123" s="218"/>
      <c r="G123" s="211"/>
      <c r="H123" s="218"/>
      <c r="I123" s="14"/>
      <c r="J123" s="14"/>
      <c r="K123" s="14"/>
      <c r="L123" s="14"/>
      <c r="M123" s="14"/>
      <c r="N123" s="14"/>
      <c r="O123" s="14"/>
      <c r="P123" s="14"/>
      <c r="Q123" s="14"/>
      <c r="R123" s="14"/>
      <c r="V123" s="185"/>
    </row>
    <row r="124" spans="1:22" ht="18" hidden="1" customHeight="1">
      <c r="A124" s="184"/>
      <c r="B124" s="689" t="s">
        <v>473</v>
      </c>
      <c r="C124" s="689"/>
      <c r="D124" s="28" t="s">
        <v>827</v>
      </c>
      <c r="E124" s="689" t="s">
        <v>825</v>
      </c>
      <c r="F124" s="689"/>
      <c r="G124" s="28" t="s">
        <v>672</v>
      </c>
      <c r="H124" s="689" t="s">
        <v>420</v>
      </c>
      <c r="I124" s="689"/>
      <c r="J124" s="28" t="s">
        <v>347</v>
      </c>
      <c r="K124" s="689" t="s">
        <v>689</v>
      </c>
      <c r="L124" s="689"/>
      <c r="M124" s="14" t="s">
        <v>350</v>
      </c>
      <c r="P124" s="14"/>
      <c r="Q124" s="14"/>
      <c r="R124" s="14"/>
      <c r="V124" s="185"/>
    </row>
    <row r="125" spans="1:22" ht="18" hidden="1" customHeight="1">
      <c r="A125" s="184"/>
      <c r="B125" s="14"/>
      <c r="C125" s="14"/>
      <c r="D125" s="102" t="s">
        <v>127</v>
      </c>
      <c r="E125" s="692">
        <f>S112</f>
        <v>20</v>
      </c>
      <c r="F125" s="689"/>
      <c r="G125" s="28" t="s">
        <v>672</v>
      </c>
      <c r="H125" s="689">
        <f>J95</f>
        <v>0</v>
      </c>
      <c r="I125" s="689"/>
      <c r="J125" s="28" t="s">
        <v>347</v>
      </c>
      <c r="K125" s="692">
        <f>S110</f>
        <v>0.66186129999999999</v>
      </c>
      <c r="L125" s="689"/>
      <c r="M125" s="14" t="s">
        <v>350</v>
      </c>
      <c r="N125" s="14"/>
      <c r="O125" s="14"/>
      <c r="P125" s="14"/>
      <c r="Q125" s="14"/>
      <c r="R125" s="14"/>
      <c r="V125" s="185"/>
    </row>
    <row r="126" spans="1:22" ht="18" hidden="1" customHeight="1">
      <c r="A126" s="184"/>
      <c r="B126" s="14"/>
      <c r="C126" s="14"/>
      <c r="D126" s="102" t="s">
        <v>127</v>
      </c>
      <c r="E126" s="692">
        <f>E125*(H125+K125)</f>
        <v>13.237226</v>
      </c>
      <c r="F126" s="692"/>
      <c r="G126" s="211"/>
      <c r="H126" s="218"/>
      <c r="I126" s="14"/>
      <c r="J126" s="14"/>
      <c r="K126" s="14"/>
      <c r="L126" s="14"/>
      <c r="M126" s="14"/>
      <c r="N126" s="14"/>
      <c r="O126" s="14"/>
      <c r="P126" s="14"/>
      <c r="Q126" s="14"/>
      <c r="R126" s="14"/>
      <c r="V126" s="185"/>
    </row>
    <row r="127" spans="1:22" ht="18" hidden="1" customHeight="1">
      <c r="A127" s="184"/>
      <c r="B127" s="14"/>
      <c r="C127" s="14"/>
      <c r="D127" s="102"/>
      <c r="E127" s="218"/>
      <c r="F127" s="218"/>
      <c r="G127" s="211"/>
      <c r="H127" s="218"/>
      <c r="I127" s="14"/>
      <c r="J127" s="14"/>
      <c r="K127" s="14"/>
      <c r="L127" s="14"/>
      <c r="M127" s="14"/>
      <c r="N127" s="14"/>
      <c r="O127" s="14"/>
      <c r="P127" s="14"/>
      <c r="Q127" s="14"/>
      <c r="R127" s="14"/>
      <c r="V127" s="185"/>
    </row>
    <row r="128" spans="1:22" ht="18" hidden="1" customHeight="1">
      <c r="A128" s="184"/>
      <c r="B128" s="14"/>
      <c r="C128" s="14"/>
      <c r="D128" s="102"/>
      <c r="E128" s="218"/>
      <c r="F128" s="218"/>
      <c r="G128" s="211"/>
      <c r="H128" s="218"/>
      <c r="I128" s="14"/>
      <c r="J128" s="14"/>
      <c r="K128" s="14"/>
      <c r="L128" s="14"/>
      <c r="M128" s="14"/>
      <c r="N128" s="14"/>
      <c r="O128" s="14"/>
      <c r="P128" s="14"/>
      <c r="Q128" s="14"/>
      <c r="R128" s="14"/>
      <c r="V128" s="185"/>
    </row>
    <row r="129" spans="1:22" ht="18" hidden="1" customHeight="1">
      <c r="A129" s="184"/>
      <c r="B129" s="14"/>
      <c r="C129" s="14"/>
      <c r="D129" s="102"/>
      <c r="E129" s="218"/>
      <c r="F129" s="218"/>
      <c r="G129" s="211"/>
      <c r="H129" s="218"/>
      <c r="I129" s="14"/>
      <c r="J129" s="14"/>
      <c r="K129" s="14"/>
      <c r="L129" s="14"/>
      <c r="M129" s="14"/>
      <c r="N129" s="14"/>
      <c r="O129" s="14"/>
      <c r="P129" s="14"/>
      <c r="Q129" s="14"/>
      <c r="R129" s="14"/>
      <c r="V129" s="185"/>
    </row>
    <row r="130" spans="1:22" ht="18" hidden="1" customHeight="1">
      <c r="A130" s="184"/>
      <c r="G130" s="211"/>
      <c r="H130" s="218"/>
      <c r="J130" s="28"/>
      <c r="K130" s="28"/>
      <c r="L130" s="28"/>
      <c r="M130" s="28"/>
      <c r="N130" s="28"/>
      <c r="O130" s="28"/>
      <c r="P130" s="28"/>
      <c r="Q130" s="28"/>
      <c r="R130" s="28"/>
      <c r="V130" s="185"/>
    </row>
    <row r="131" spans="1:22" ht="18" hidden="1" customHeight="1">
      <c r="A131" s="184"/>
      <c r="V131" s="185"/>
    </row>
    <row r="132" spans="1:22" ht="18" hidden="1" customHeight="1">
      <c r="A132" s="194"/>
      <c r="B132" s="195"/>
      <c r="C132" s="195"/>
      <c r="D132" s="195"/>
      <c r="E132" s="195"/>
      <c r="F132" s="195"/>
      <c r="G132" s="195"/>
      <c r="H132" s="195"/>
      <c r="I132" s="195"/>
      <c r="J132" s="195"/>
      <c r="K132" s="195"/>
      <c r="L132" s="195"/>
      <c r="M132" s="195"/>
      <c r="N132" s="195"/>
      <c r="O132" s="195"/>
      <c r="P132" s="195"/>
      <c r="Q132" s="224"/>
      <c r="R132" s="182"/>
      <c r="S132" s="225"/>
      <c r="T132" s="195"/>
      <c r="U132" s="195"/>
      <c r="V132" s="134"/>
    </row>
    <row r="133" spans="1:22" ht="18" hidden="1" customHeight="1">
      <c r="A133" s="135"/>
      <c r="B133" s="273"/>
      <c r="C133" s="273"/>
      <c r="D133" s="273"/>
      <c r="E133" s="273"/>
      <c r="F133" s="273"/>
      <c r="G133" s="273"/>
      <c r="H133" s="273"/>
      <c r="I133" s="273"/>
      <c r="J133" s="273"/>
      <c r="K133" s="273"/>
      <c r="L133" s="273"/>
      <c r="M133" s="273"/>
      <c r="N133" s="273"/>
      <c r="O133" s="273"/>
      <c r="P133" s="273"/>
      <c r="Q133" s="274"/>
      <c r="R133" s="138"/>
      <c r="S133" s="275"/>
      <c r="T133" s="273"/>
      <c r="U133" s="273"/>
      <c r="V133" s="276"/>
    </row>
    <row r="134" spans="1:22" ht="18" hidden="1" customHeight="1">
      <c r="A134" s="193" t="s">
        <v>829</v>
      </c>
      <c r="B134" s="197"/>
      <c r="C134" s="197"/>
      <c r="D134" s="197"/>
      <c r="E134" s="14"/>
      <c r="F134" s="14"/>
      <c r="G134" s="14"/>
      <c r="H134" s="14"/>
      <c r="I134" s="14"/>
      <c r="J134" s="14"/>
      <c r="K134" s="14"/>
      <c r="L134" s="14"/>
      <c r="M134" s="14"/>
      <c r="N134" s="14"/>
      <c r="O134" s="14"/>
      <c r="P134" s="27"/>
      <c r="Q134" s="28"/>
      <c r="T134" s="14"/>
      <c r="U134" s="14"/>
      <c r="V134" s="185"/>
    </row>
    <row r="135" spans="1:22" ht="18" hidden="1" customHeight="1">
      <c r="A135" s="193"/>
      <c r="B135" s="197"/>
      <c r="C135" s="197"/>
      <c r="D135" s="197"/>
      <c r="E135" s="14"/>
      <c r="F135" s="14"/>
      <c r="G135" s="14"/>
      <c r="H135" s="14"/>
      <c r="I135" s="14"/>
      <c r="J135" s="14"/>
      <c r="K135" s="14"/>
      <c r="L135" s="14"/>
      <c r="M135" s="14"/>
      <c r="N135" s="14"/>
      <c r="O135" s="14"/>
      <c r="P135" s="27"/>
      <c r="Q135" s="28"/>
      <c r="T135" s="14"/>
      <c r="U135" s="14"/>
      <c r="V135" s="185"/>
    </row>
    <row r="136" spans="1:22" ht="18" hidden="1" customHeight="1">
      <c r="A136" s="96"/>
      <c r="B136" s="197" t="s">
        <v>826</v>
      </c>
      <c r="C136" s="197"/>
      <c r="D136" s="14"/>
      <c r="E136" s="14"/>
      <c r="F136" s="14"/>
      <c r="G136" s="14"/>
      <c r="H136" s="14"/>
      <c r="I136" s="14"/>
      <c r="J136" s="14"/>
      <c r="K136" s="14"/>
      <c r="L136" s="14"/>
      <c r="M136" s="14"/>
      <c r="N136" s="14"/>
      <c r="O136" s="14"/>
      <c r="P136" s="14"/>
      <c r="Q136" s="14"/>
      <c r="R136" s="14"/>
      <c r="S136" s="14"/>
      <c r="T136" s="14"/>
      <c r="U136" s="14"/>
      <c r="V136" s="185"/>
    </row>
    <row r="137" spans="1:22" ht="18" hidden="1" customHeight="1">
      <c r="A137" s="96"/>
      <c r="B137" s="14"/>
      <c r="C137" s="14"/>
      <c r="D137" s="14"/>
      <c r="E137" s="14"/>
      <c r="F137" s="244" t="s">
        <v>475</v>
      </c>
      <c r="G137" s="28" t="str">
        <f>IF(E138&gt;H138, "&gt;","&lt;")</f>
        <v>&lt;</v>
      </c>
      <c r="H137" s="14" t="s">
        <v>477</v>
      </c>
      <c r="I137" s="14"/>
      <c r="J137" s="14"/>
      <c r="K137" s="14"/>
      <c r="L137" s="14" t="s">
        <v>830</v>
      </c>
      <c r="M137" s="14"/>
      <c r="N137" s="14"/>
      <c r="O137" s="14"/>
      <c r="P137" s="14"/>
      <c r="Q137" s="14"/>
      <c r="R137" s="14"/>
      <c r="S137" s="14"/>
      <c r="T137" s="14"/>
      <c r="U137" s="14"/>
      <c r="V137" s="185"/>
    </row>
    <row r="138" spans="1:22" ht="18" hidden="1" customHeight="1">
      <c r="A138" s="96"/>
      <c r="B138" s="14"/>
      <c r="C138" s="14"/>
      <c r="D138" s="14"/>
      <c r="E138" s="834">
        <f>J96</f>
        <v>0</v>
      </c>
      <c r="F138" s="834"/>
      <c r="G138" s="28" t="str">
        <f>G137</f>
        <v>&lt;</v>
      </c>
      <c r="H138" s="692">
        <f>E120</f>
        <v>12.283483866700001</v>
      </c>
      <c r="I138" s="692"/>
      <c r="J138" s="14"/>
      <c r="K138" s="14"/>
      <c r="L138" s="14"/>
      <c r="M138" s="14"/>
      <c r="N138" s="14"/>
      <c r="O138" s="14"/>
      <c r="P138" s="14"/>
      <c r="Q138" s="14"/>
      <c r="R138" s="14"/>
      <c r="S138" s="14"/>
      <c r="T138" s="14"/>
      <c r="U138" s="14"/>
      <c r="V138" s="185"/>
    </row>
    <row r="139" spans="1:22" ht="18" hidden="1" customHeight="1">
      <c r="A139" s="184"/>
      <c r="D139" s="211"/>
      <c r="E139" s="218"/>
      <c r="F139" s="199" t="s">
        <v>831</v>
      </c>
      <c r="G139" s="211"/>
      <c r="H139" s="281" t="s">
        <v>832</v>
      </c>
      <c r="J139" s="28" t="s">
        <v>833</v>
      </c>
      <c r="K139" s="18" t="str">
        <f>IF(G138="&gt;", "Satisfied", "Not Satisfied")</f>
        <v>Not Satisfied</v>
      </c>
      <c r="P139" s="14"/>
      <c r="Q139" s="14"/>
      <c r="R139" s="14"/>
      <c r="S139" s="14"/>
      <c r="T139" s="14"/>
      <c r="U139" s="14"/>
      <c r="V139" s="185"/>
    </row>
    <row r="140" spans="1:22" ht="18" hidden="1" customHeight="1">
      <c r="A140" s="96"/>
      <c r="B140" s="197" t="s">
        <v>828</v>
      </c>
      <c r="C140" s="197"/>
      <c r="D140" s="14"/>
      <c r="E140" s="14"/>
      <c r="F140" s="14"/>
      <c r="G140" s="14"/>
      <c r="H140" s="14"/>
      <c r="I140" s="14"/>
      <c r="J140" s="14"/>
      <c r="K140" s="14"/>
      <c r="L140" s="14"/>
      <c r="M140" s="14"/>
      <c r="N140" s="14"/>
      <c r="O140" s="14"/>
      <c r="P140" s="120"/>
      <c r="Q140" s="296"/>
      <c r="V140" s="185"/>
    </row>
    <row r="141" spans="1:22" ht="18" hidden="1" customHeight="1">
      <c r="A141" s="96"/>
      <c r="B141" s="14"/>
      <c r="C141" s="14"/>
      <c r="D141" s="14"/>
      <c r="E141" s="14"/>
      <c r="F141" s="244" t="s">
        <v>475</v>
      </c>
      <c r="G141" s="28" t="str">
        <f>IF(E142&gt;H142, "&gt;","&lt;")</f>
        <v>&lt;</v>
      </c>
      <c r="H141" s="14" t="s">
        <v>477</v>
      </c>
      <c r="I141" s="14"/>
      <c r="J141" s="14"/>
      <c r="K141" s="14"/>
      <c r="L141" s="14" t="s">
        <v>834</v>
      </c>
      <c r="M141" s="14"/>
      <c r="N141" s="14"/>
      <c r="O141" s="14"/>
      <c r="P141" s="301"/>
      <c r="Q141" s="461"/>
      <c r="V141" s="185"/>
    </row>
    <row r="142" spans="1:22" ht="18" hidden="1" customHeight="1">
      <c r="A142" s="96"/>
      <c r="B142" s="14"/>
      <c r="C142" s="14"/>
      <c r="D142" s="14"/>
      <c r="E142" s="834">
        <f>J96</f>
        <v>0</v>
      </c>
      <c r="F142" s="834"/>
      <c r="G142" s="28" t="str">
        <f>G141</f>
        <v>&lt;</v>
      </c>
      <c r="H142" s="692">
        <f>E126</f>
        <v>13.237226</v>
      </c>
      <c r="I142" s="692"/>
      <c r="J142" s="14"/>
      <c r="K142" s="14"/>
      <c r="L142" s="14"/>
      <c r="M142" s="14"/>
      <c r="N142" s="14"/>
      <c r="O142" s="14"/>
      <c r="V142" s="185"/>
    </row>
    <row r="143" spans="1:22" ht="18" hidden="1" customHeight="1">
      <c r="A143" s="184"/>
      <c r="D143" s="211"/>
      <c r="E143" s="14"/>
      <c r="F143" s="199" t="s">
        <v>831</v>
      </c>
      <c r="G143" s="211"/>
      <c r="H143" s="281" t="s">
        <v>828</v>
      </c>
      <c r="J143" s="28" t="s">
        <v>833</v>
      </c>
      <c r="K143" s="18" t="str">
        <f>IF(G142="&gt;", "Satisfied", "Not Satisfied")</f>
        <v>Not Satisfied</v>
      </c>
      <c r="P143" s="232"/>
      <c r="Q143" s="232"/>
      <c r="R143" s="232"/>
      <c r="S143" s="232"/>
      <c r="T143" s="232"/>
      <c r="U143" s="232"/>
      <c r="V143" s="233"/>
    </row>
    <row r="144" spans="1:22" ht="18" hidden="1" customHeight="1">
      <c r="A144" s="184"/>
      <c r="H144" s="28"/>
      <c r="I144" s="28"/>
      <c r="J144" s="28"/>
      <c r="K144" s="28"/>
      <c r="L144" s="28"/>
      <c r="M144" s="28"/>
      <c r="N144" s="28"/>
      <c r="O144" s="28"/>
      <c r="P144" s="232"/>
      <c r="Q144" s="232"/>
      <c r="R144" s="232"/>
      <c r="S144" s="232"/>
      <c r="T144" s="232"/>
      <c r="U144" s="232"/>
      <c r="V144" s="233"/>
    </row>
    <row r="145" spans="1:22" ht="18" hidden="1" customHeight="1">
      <c r="A145" s="96"/>
      <c r="B145" s="14"/>
      <c r="C145" s="14"/>
      <c r="D145" s="14"/>
      <c r="E145" s="14"/>
      <c r="F145" s="244" t="s">
        <v>478</v>
      </c>
      <c r="G145" s="14"/>
      <c r="H145" s="18" t="str">
        <f>IF(AND(E138&gt;H138,E142&gt;H142),"Suitably Dimentioned","Under Dimentioned")</f>
        <v>Under Dimentioned</v>
      </c>
      <c r="I145" s="18"/>
      <c r="J145" s="18"/>
      <c r="K145" s="18"/>
      <c r="L145" s="18"/>
      <c r="M145" s="18"/>
      <c r="N145" s="14"/>
      <c r="O145" s="14"/>
      <c r="V145" s="185"/>
    </row>
    <row r="146" spans="1:22" ht="18" hidden="1" customHeight="1">
      <c r="A146" s="184"/>
      <c r="B146" s="27"/>
      <c r="C146" s="27"/>
      <c r="D146" s="27"/>
      <c r="E146" s="28"/>
      <c r="F146" s="27"/>
      <c r="G146" s="28"/>
      <c r="H146" s="27"/>
      <c r="I146" s="28"/>
      <c r="J146" s="27"/>
      <c r="K146" s="27"/>
      <c r="L146" s="27"/>
      <c r="M146" s="27"/>
      <c r="V146" s="185"/>
    </row>
    <row r="147" spans="1:22" ht="18" hidden="1" customHeight="1">
      <c r="A147" s="184"/>
      <c r="C147" s="27"/>
      <c r="D147" s="245"/>
      <c r="E147" s="221"/>
      <c r="F147" s="245"/>
      <c r="G147" s="222"/>
      <c r="H147" s="245"/>
      <c r="I147" s="245"/>
      <c r="J147" s="245"/>
      <c r="K147" s="245"/>
      <c r="L147" s="245"/>
      <c r="M147" s="27"/>
      <c r="V147" s="185"/>
    </row>
    <row r="148" spans="1:22" ht="18" hidden="1" customHeight="1">
      <c r="A148" s="184"/>
      <c r="C148" s="27"/>
      <c r="D148" s="204"/>
      <c r="E148" s="204"/>
      <c r="G148" s="18"/>
      <c r="V148" s="185"/>
    </row>
    <row r="149" spans="1:22" ht="18" hidden="1" customHeight="1">
      <c r="A149" s="96"/>
      <c r="B149" s="14"/>
      <c r="C149" s="14"/>
      <c r="D149" s="14"/>
      <c r="E149" s="14"/>
      <c r="F149" s="14"/>
      <c r="G149" s="14"/>
      <c r="H149" s="14"/>
      <c r="I149" s="14"/>
      <c r="J149" s="14"/>
      <c r="K149" s="14"/>
      <c r="L149" s="14"/>
      <c r="M149" s="14"/>
      <c r="N149" s="14"/>
      <c r="O149" s="14"/>
      <c r="P149" s="14"/>
      <c r="Q149" s="120"/>
      <c r="R149" s="28"/>
      <c r="S149" s="525"/>
      <c r="T149" s="14"/>
      <c r="U149" s="14"/>
      <c r="V149" s="381"/>
    </row>
    <row r="150" spans="1:22" ht="18" hidden="1" customHeight="1">
      <c r="A150" s="96"/>
      <c r="B150" s="14"/>
      <c r="C150" s="14"/>
      <c r="D150" s="14"/>
      <c r="E150" s="14"/>
      <c r="F150" s="14"/>
      <c r="G150" s="14"/>
      <c r="H150" s="14"/>
      <c r="I150" s="14"/>
      <c r="J150" s="14"/>
      <c r="K150" s="14"/>
      <c r="L150" s="14"/>
      <c r="M150" s="14"/>
      <c r="N150" s="14"/>
      <c r="O150" s="14"/>
      <c r="P150" s="14"/>
      <c r="Q150" s="120"/>
      <c r="R150" s="28"/>
      <c r="S150" s="525"/>
      <c r="T150" s="14"/>
      <c r="U150" s="14"/>
      <c r="V150" s="381"/>
    </row>
    <row r="151" spans="1:22" ht="18" hidden="1" customHeight="1">
      <c r="A151" s="96"/>
      <c r="B151" s="14"/>
      <c r="C151" s="14"/>
      <c r="D151" s="14"/>
      <c r="E151" s="14"/>
      <c r="F151" s="14"/>
      <c r="G151" s="14"/>
      <c r="H151" s="14"/>
      <c r="I151" s="14"/>
      <c r="J151" s="14"/>
      <c r="K151" s="14"/>
      <c r="L151" s="14"/>
      <c r="M151" s="14"/>
      <c r="N151" s="14"/>
      <c r="O151" s="14"/>
      <c r="P151" s="14"/>
      <c r="Q151" s="120"/>
      <c r="R151" s="28"/>
      <c r="S151" s="525"/>
      <c r="T151" s="14"/>
      <c r="U151" s="14"/>
      <c r="V151" s="381"/>
    </row>
    <row r="152" spans="1:22" ht="18" hidden="1" customHeight="1">
      <c r="A152" s="96"/>
      <c r="B152" s="14"/>
      <c r="C152" s="14"/>
      <c r="D152" s="14"/>
      <c r="E152" s="14"/>
      <c r="F152" s="14"/>
      <c r="G152" s="14"/>
      <c r="H152" s="14"/>
      <c r="I152" s="14"/>
      <c r="J152" s="14"/>
      <c r="K152" s="14"/>
      <c r="L152" s="14"/>
      <c r="M152" s="14"/>
      <c r="N152" s="14"/>
      <c r="O152" s="14"/>
      <c r="P152" s="14"/>
      <c r="Q152" s="120"/>
      <c r="R152" s="28"/>
      <c r="S152" s="525"/>
      <c r="T152" s="14"/>
      <c r="U152" s="14"/>
      <c r="V152" s="381"/>
    </row>
    <row r="153" spans="1:22" ht="18" hidden="1" customHeight="1">
      <c r="A153" s="96"/>
      <c r="B153" s="14"/>
      <c r="C153" s="14"/>
      <c r="D153" s="14"/>
      <c r="E153" s="14"/>
      <c r="F153" s="14"/>
      <c r="G153" s="14"/>
      <c r="H153" s="14"/>
      <c r="I153" s="14"/>
      <c r="J153" s="14"/>
      <c r="K153" s="14"/>
      <c r="L153" s="14"/>
      <c r="M153" s="14"/>
      <c r="N153" s="14"/>
      <c r="O153" s="14"/>
      <c r="P153" s="14"/>
      <c r="Q153" s="120"/>
      <c r="R153" s="28"/>
      <c r="S153" s="525"/>
      <c r="T153" s="14"/>
      <c r="U153" s="14"/>
      <c r="V153" s="381"/>
    </row>
    <row r="154" spans="1:22" ht="18" hidden="1" customHeight="1">
      <c r="A154" s="96"/>
      <c r="B154" s="14"/>
      <c r="C154" s="14"/>
      <c r="D154" s="14"/>
      <c r="E154" s="14"/>
      <c r="F154" s="14"/>
      <c r="G154" s="14"/>
      <c r="H154" s="14"/>
      <c r="I154" s="14"/>
      <c r="J154" s="14"/>
      <c r="K154" s="14"/>
      <c r="L154" s="14"/>
      <c r="M154" s="14"/>
      <c r="N154" s="14"/>
      <c r="O154" s="14"/>
      <c r="P154" s="14"/>
      <c r="Q154" s="120"/>
      <c r="R154" s="28"/>
      <c r="S154" s="525"/>
      <c r="T154" s="14"/>
      <c r="U154" s="14"/>
      <c r="V154" s="381"/>
    </row>
    <row r="155" spans="1:22" ht="18" hidden="1"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hidden="1"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hidden="1"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hidden="1"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hidden="1"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hidden="1"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2" ht="18" hidden="1"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2" ht="18" hidden="1"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2" ht="18" hidden="1"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2" ht="18" hidden="1"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2" ht="18" hidden="1" customHeight="1">
      <c r="A165" s="96"/>
      <c r="B165" s="14"/>
      <c r="C165" s="14"/>
      <c r="D165" s="14"/>
      <c r="E165" s="14"/>
      <c r="F165" s="14"/>
      <c r="G165" s="14"/>
      <c r="H165" s="14"/>
      <c r="I165" s="14"/>
      <c r="J165" s="14"/>
      <c r="K165" s="14"/>
      <c r="L165" s="14"/>
      <c r="M165" s="14"/>
      <c r="N165" s="14"/>
      <c r="O165" s="14"/>
      <c r="P165" s="14"/>
      <c r="Q165" s="120"/>
      <c r="R165" s="28"/>
      <c r="S165" s="525"/>
      <c r="T165" s="14"/>
      <c r="U165" s="14"/>
      <c r="V165" s="381"/>
    </row>
    <row r="166" spans="1:22" ht="18" hidden="1" customHeight="1">
      <c r="A166" s="96"/>
      <c r="B166" s="14"/>
      <c r="C166" s="14"/>
      <c r="D166" s="14"/>
      <c r="E166" s="14"/>
      <c r="F166" s="14"/>
      <c r="G166" s="14"/>
      <c r="H166" s="14"/>
      <c r="I166" s="14"/>
      <c r="J166" s="14"/>
      <c r="K166" s="14"/>
      <c r="L166" s="14"/>
      <c r="M166" s="14"/>
      <c r="N166" s="14"/>
      <c r="O166" s="14"/>
      <c r="P166" s="14"/>
      <c r="Q166" s="120"/>
      <c r="R166" s="28"/>
      <c r="S166" s="525"/>
      <c r="T166" s="14"/>
      <c r="U166" s="14"/>
      <c r="V166" s="381"/>
    </row>
    <row r="167" spans="1:22" ht="18" hidden="1" customHeight="1">
      <c r="A167" s="96"/>
      <c r="B167" s="14"/>
      <c r="C167" s="14"/>
      <c r="D167" s="14"/>
      <c r="E167" s="14"/>
      <c r="F167" s="14"/>
      <c r="G167" s="14"/>
      <c r="H167" s="14"/>
      <c r="I167" s="14"/>
      <c r="J167" s="14"/>
      <c r="K167" s="14"/>
      <c r="L167" s="14"/>
      <c r="M167" s="14"/>
      <c r="N167" s="14"/>
      <c r="O167" s="14"/>
      <c r="P167" s="14"/>
      <c r="Q167" s="120"/>
      <c r="R167" s="28"/>
      <c r="S167" s="525"/>
      <c r="T167" s="14"/>
      <c r="U167" s="14"/>
      <c r="V167" s="381"/>
    </row>
    <row r="168" spans="1:22" ht="18" hidden="1" customHeight="1">
      <c r="A168" s="96"/>
      <c r="B168" s="14"/>
      <c r="C168" s="14"/>
      <c r="D168" s="14"/>
      <c r="E168" s="14"/>
      <c r="F168" s="14"/>
      <c r="G168" s="14"/>
      <c r="H168" s="14"/>
      <c r="I168" s="14"/>
      <c r="J168" s="14"/>
      <c r="K168" s="14"/>
      <c r="L168" s="14"/>
      <c r="M168" s="14"/>
      <c r="N168" s="14"/>
      <c r="O168" s="14"/>
      <c r="P168" s="14"/>
      <c r="Q168" s="120"/>
      <c r="R168" s="28"/>
      <c r="S168" s="525"/>
      <c r="T168" s="14"/>
      <c r="U168" s="14"/>
      <c r="V168" s="381"/>
    </row>
    <row r="169" spans="1:22" ht="18" hidden="1" customHeight="1">
      <c r="A169" s="96"/>
      <c r="B169" s="14"/>
      <c r="C169" s="14"/>
      <c r="D169" s="14"/>
      <c r="E169" s="14"/>
      <c r="F169" s="14"/>
      <c r="G169" s="14"/>
      <c r="H169" s="14"/>
      <c r="I169" s="14"/>
      <c r="J169" s="14"/>
      <c r="K169" s="14"/>
      <c r="L169" s="14"/>
      <c r="M169" s="14"/>
      <c r="N169" s="14"/>
      <c r="O169" s="14"/>
      <c r="P169" s="14"/>
      <c r="Q169" s="120"/>
      <c r="R169" s="28"/>
      <c r="S169" s="525"/>
      <c r="T169" s="14"/>
      <c r="U169" s="14"/>
      <c r="V169" s="381"/>
    </row>
    <row r="170" spans="1:22" ht="18" hidden="1" customHeight="1">
      <c r="A170" s="96"/>
      <c r="B170" s="14"/>
      <c r="C170" s="14"/>
      <c r="D170" s="14"/>
      <c r="E170" s="14"/>
      <c r="F170" s="14"/>
      <c r="G170" s="14"/>
      <c r="H170" s="14"/>
      <c r="I170" s="14"/>
      <c r="J170" s="14"/>
      <c r="K170" s="14"/>
      <c r="L170" s="14"/>
      <c r="M170" s="14"/>
      <c r="N170" s="14"/>
      <c r="O170" s="14"/>
      <c r="P170" s="14"/>
      <c r="Q170" s="120"/>
      <c r="R170" s="28"/>
      <c r="S170" s="525"/>
      <c r="T170" s="14"/>
      <c r="U170" s="14"/>
      <c r="V170" s="381"/>
    </row>
    <row r="171" spans="1:22" ht="18" hidden="1" customHeight="1">
      <c r="A171" s="96"/>
      <c r="B171" s="14"/>
      <c r="C171" s="14"/>
      <c r="D171" s="14"/>
      <c r="E171" s="14"/>
      <c r="F171" s="14"/>
      <c r="G171" s="14"/>
      <c r="H171" s="14"/>
      <c r="I171" s="14"/>
      <c r="J171" s="14"/>
      <c r="K171" s="14"/>
      <c r="L171" s="14"/>
      <c r="M171" s="14"/>
      <c r="N171" s="14"/>
      <c r="O171" s="14"/>
      <c r="P171" s="14"/>
      <c r="Q171" s="120"/>
      <c r="R171" s="28"/>
      <c r="S171" s="525"/>
      <c r="T171" s="14"/>
      <c r="U171" s="14"/>
      <c r="V171" s="381"/>
    </row>
    <row r="172" spans="1:22" ht="18" hidden="1" customHeight="1">
      <c r="A172" s="96"/>
      <c r="B172" s="14"/>
      <c r="C172" s="14"/>
      <c r="D172" s="14"/>
      <c r="E172" s="14"/>
      <c r="F172" s="14"/>
      <c r="G172" s="14"/>
      <c r="H172" s="14"/>
      <c r="I172" s="14"/>
      <c r="J172" s="14"/>
      <c r="K172" s="14"/>
      <c r="L172" s="14"/>
      <c r="M172" s="14"/>
      <c r="N172" s="14"/>
      <c r="O172" s="14"/>
      <c r="P172" s="14"/>
      <c r="Q172" s="120"/>
      <c r="R172" s="28"/>
      <c r="S172" s="525"/>
      <c r="T172" s="14"/>
      <c r="U172" s="14"/>
      <c r="V172" s="381"/>
    </row>
    <row r="173" spans="1:22" ht="18" hidden="1" customHeight="1">
      <c r="A173" s="96"/>
      <c r="B173" s="14"/>
      <c r="C173" s="14"/>
      <c r="D173" s="14"/>
      <c r="E173" s="14"/>
      <c r="F173" s="14"/>
      <c r="G173" s="14"/>
      <c r="H173" s="14"/>
      <c r="I173" s="14"/>
      <c r="J173" s="14"/>
      <c r="K173" s="14"/>
      <c r="L173" s="14"/>
      <c r="M173" s="14"/>
      <c r="N173" s="14"/>
      <c r="O173" s="14"/>
      <c r="P173" s="14"/>
      <c r="Q173" s="120"/>
      <c r="R173" s="28"/>
      <c r="S173" s="525"/>
      <c r="T173" s="14"/>
      <c r="U173" s="14"/>
      <c r="V173" s="381"/>
    </row>
    <row r="174" spans="1:22" ht="18" hidden="1" customHeight="1">
      <c r="A174" s="96"/>
      <c r="B174" s="14"/>
      <c r="C174" s="14"/>
      <c r="D174" s="14"/>
      <c r="E174" s="14"/>
      <c r="F174" s="14"/>
      <c r="G174" s="14"/>
      <c r="H174" s="14"/>
      <c r="I174" s="14"/>
      <c r="J174" s="14"/>
      <c r="K174" s="14"/>
      <c r="L174" s="14"/>
      <c r="M174" s="14"/>
      <c r="N174" s="14"/>
      <c r="O174" s="14"/>
      <c r="P174" s="14"/>
      <c r="Q174" s="120"/>
      <c r="R174" s="28"/>
      <c r="S174" s="525"/>
      <c r="T174" s="14"/>
      <c r="U174" s="14"/>
      <c r="V174" s="381"/>
    </row>
    <row r="175" spans="1:22" ht="18" hidden="1" customHeight="1">
      <c r="A175" s="96"/>
      <c r="B175" s="14"/>
      <c r="C175" s="14"/>
      <c r="D175" s="14"/>
      <c r="E175" s="14"/>
      <c r="F175" s="14"/>
      <c r="G175" s="14"/>
      <c r="H175" s="14"/>
      <c r="I175" s="14"/>
      <c r="J175" s="14"/>
      <c r="K175" s="14"/>
      <c r="L175" s="14"/>
      <c r="M175" s="14"/>
      <c r="N175" s="14"/>
      <c r="O175" s="14"/>
      <c r="P175" s="14"/>
      <c r="Q175" s="120"/>
      <c r="R175" s="28"/>
      <c r="S175" s="525"/>
      <c r="T175" s="14"/>
      <c r="U175" s="14"/>
      <c r="V175" s="381"/>
    </row>
    <row r="176" spans="1:22" ht="18" hidden="1" customHeight="1">
      <c r="A176" s="194"/>
      <c r="B176" s="195"/>
      <c r="C176" s="195"/>
      <c r="D176" s="195"/>
      <c r="E176" s="195"/>
      <c r="F176" s="195"/>
      <c r="G176" s="195"/>
      <c r="H176" s="195"/>
      <c r="I176" s="195"/>
      <c r="J176" s="195"/>
      <c r="K176" s="195"/>
      <c r="L176" s="195"/>
      <c r="M176" s="195"/>
      <c r="N176" s="195"/>
      <c r="O176" s="195"/>
      <c r="P176" s="195"/>
      <c r="Q176" s="224"/>
      <c r="R176" s="182"/>
      <c r="S176" s="225"/>
      <c r="T176" s="195"/>
      <c r="U176" s="195"/>
      <c r="V176" s="134" t="s">
        <v>552</v>
      </c>
    </row>
    <row r="177" spans="1:23" ht="18" hidden="1" customHeight="1">
      <c r="A177" s="226"/>
      <c r="B177" s="227"/>
      <c r="C177" s="227"/>
      <c r="D177" s="227"/>
      <c r="E177" s="227"/>
      <c r="F177" s="227"/>
      <c r="G177" s="227"/>
      <c r="H177" s="227"/>
      <c r="I177" s="227"/>
      <c r="J177" s="227"/>
      <c r="K177" s="227"/>
      <c r="L177" s="227"/>
      <c r="M177" s="227"/>
      <c r="N177" s="227"/>
      <c r="O177" s="227"/>
      <c r="P177" s="227"/>
      <c r="Q177" s="227"/>
      <c r="R177" s="227"/>
      <c r="S177" s="227"/>
      <c r="T177" s="227"/>
      <c r="U177" s="227"/>
      <c r="V177" s="228"/>
    </row>
    <row r="178" spans="1:23" ht="18" hidden="1" customHeight="1">
      <c r="A178" s="184"/>
      <c r="B178" s="854" t="str">
        <f>B90</f>
        <v>T1</v>
      </c>
      <c r="C178" s="831"/>
      <c r="D178" s="854" t="str">
        <f>D90</f>
        <v>Core5</v>
      </c>
      <c r="E178" s="831"/>
      <c r="F178" s="455"/>
      <c r="H178" s="684" t="s">
        <v>711</v>
      </c>
      <c r="I178" s="684"/>
      <c r="J178" s="684"/>
      <c r="K178" s="684"/>
      <c r="L178" s="684"/>
      <c r="M178" s="684"/>
      <c r="P178" s="186"/>
      <c r="S178" s="187" t="s">
        <v>387</v>
      </c>
      <c r="T178" s="854" t="str">
        <f>T90</f>
        <v>P743</v>
      </c>
      <c r="U178" s="831"/>
      <c r="V178" s="185"/>
    </row>
    <row r="179" spans="1:23" ht="18" hidden="1" customHeight="1">
      <c r="A179" s="456"/>
      <c r="F179" s="455"/>
      <c r="T179" s="854">
        <f>T91</f>
        <v>0</v>
      </c>
      <c r="U179" s="831"/>
      <c r="V179" s="185"/>
    </row>
    <row r="180" spans="1:23" ht="18" hidden="1" customHeight="1">
      <c r="A180" s="184"/>
      <c r="H180" s="708" t="s">
        <v>390</v>
      </c>
      <c r="I180" s="708"/>
      <c r="J180" s="708" t="s">
        <v>391</v>
      </c>
      <c r="K180" s="708"/>
      <c r="L180" s="789" t="s">
        <v>392</v>
      </c>
      <c r="M180" s="789"/>
      <c r="T180" s="854">
        <f>T92</f>
        <v>0</v>
      </c>
      <c r="U180" s="831"/>
      <c r="V180" s="185"/>
    </row>
    <row r="181" spans="1:23" ht="18" hidden="1" customHeight="1">
      <c r="A181" s="184"/>
      <c r="B181" s="47" t="s">
        <v>393</v>
      </c>
      <c r="H181" s="854">
        <f>H93</f>
        <v>1500</v>
      </c>
      <c r="I181" s="831"/>
      <c r="J181" s="854">
        <f>J93</f>
        <v>0</v>
      </c>
      <c r="K181" s="831"/>
      <c r="L181" s="863">
        <f>L93</f>
        <v>0</v>
      </c>
      <c r="M181" s="864"/>
      <c r="N181" s="191" t="s">
        <v>342</v>
      </c>
      <c r="O181" s="256">
        <f>O93</f>
        <v>1</v>
      </c>
      <c r="P181" s="27" t="s">
        <v>8</v>
      </c>
      <c r="R181" s="255"/>
      <c r="S181" s="255"/>
      <c r="V181" s="185"/>
    </row>
    <row r="182" spans="1:23" ht="18" hidden="1" customHeight="1">
      <c r="A182" s="184"/>
      <c r="B182" s="47" t="s">
        <v>394</v>
      </c>
      <c r="L182" s="854" t="str">
        <f>J94</f>
        <v>X</v>
      </c>
      <c r="M182" s="831"/>
      <c r="V182" s="185"/>
    </row>
    <row r="183" spans="1:23" ht="18" hidden="1" customHeight="1">
      <c r="A183" s="184"/>
      <c r="B183" s="47" t="s">
        <v>396</v>
      </c>
      <c r="K183" s="120" t="s">
        <v>497</v>
      </c>
      <c r="L183" s="1224"/>
      <c r="M183" s="1225"/>
      <c r="N183" s="192" t="s">
        <v>333</v>
      </c>
      <c r="V183" s="185"/>
    </row>
    <row r="184" spans="1:23" ht="18" hidden="1" customHeight="1">
      <c r="A184" s="184"/>
      <c r="B184" s="47" t="s">
        <v>398</v>
      </c>
      <c r="K184" s="120" t="s">
        <v>498</v>
      </c>
      <c r="L184" s="1075"/>
      <c r="M184" s="1076"/>
      <c r="N184" s="14" t="s">
        <v>305</v>
      </c>
      <c r="U184" s="18"/>
      <c r="V184" s="185"/>
      <c r="W184" s="30" t="e">
        <f>H233</f>
        <v>#DIV/0!</v>
      </c>
    </row>
    <row r="185" spans="1:23" ht="18" hidden="1" customHeight="1">
      <c r="A185" s="184"/>
      <c r="B185" s="14" t="s">
        <v>401</v>
      </c>
      <c r="K185" s="120" t="s">
        <v>402</v>
      </c>
      <c r="L185" s="1075"/>
      <c r="M185" s="1076"/>
      <c r="N185" s="14" t="s">
        <v>403</v>
      </c>
      <c r="V185" s="185"/>
    </row>
    <row r="186" spans="1:23" ht="18" hidden="1" customHeight="1">
      <c r="A186" s="184"/>
      <c r="V186" s="185"/>
    </row>
    <row r="187" spans="1:23" ht="18" hidden="1" customHeight="1">
      <c r="A187" s="193" t="s">
        <v>404</v>
      </c>
      <c r="V187" s="185"/>
    </row>
    <row r="188" spans="1:23" ht="18" hidden="1" customHeight="1">
      <c r="A188" s="184"/>
      <c r="V188" s="185"/>
    </row>
    <row r="189" spans="1:23" ht="18" hidden="1" customHeight="1">
      <c r="A189" s="184"/>
      <c r="B189" s="135" t="s">
        <v>405</v>
      </c>
      <c r="C189" s="273"/>
      <c r="D189" s="139" t="str">
        <f>T178</f>
        <v>P743</v>
      </c>
      <c r="E189" s="227"/>
      <c r="F189" s="227"/>
      <c r="G189" s="227"/>
      <c r="H189" s="138"/>
      <c r="I189" s="260" t="s">
        <v>127</v>
      </c>
      <c r="J189" s="696">
        <f>J101</f>
        <v>0.1</v>
      </c>
      <c r="K189" s="722"/>
      <c r="L189" s="3" t="s">
        <v>157</v>
      </c>
      <c r="N189" s="197"/>
      <c r="V189" s="185"/>
    </row>
    <row r="190" spans="1:23" ht="18" hidden="1" customHeight="1">
      <c r="A190" s="184"/>
      <c r="B190" s="96" t="s">
        <v>405</v>
      </c>
      <c r="C190" s="14"/>
      <c r="D190" s="47">
        <f>T179</f>
        <v>0</v>
      </c>
      <c r="E190" s="14"/>
      <c r="G190" s="199"/>
      <c r="H190" s="27"/>
      <c r="I190" s="101" t="s">
        <v>127</v>
      </c>
      <c r="J190" s="696">
        <f>J102</f>
        <v>0</v>
      </c>
      <c r="K190" s="722"/>
      <c r="L190" s="202" t="s">
        <v>157</v>
      </c>
      <c r="N190" s="28"/>
      <c r="O190" s="27"/>
      <c r="P190" s="28"/>
      <c r="Q190" s="102"/>
      <c r="R190" s="28"/>
      <c r="S190" s="27"/>
      <c r="T190" s="28"/>
      <c r="V190" s="185"/>
    </row>
    <row r="191" spans="1:23" ht="18" hidden="1" customHeight="1">
      <c r="A191" s="184"/>
      <c r="B191" s="96" t="s">
        <v>405</v>
      </c>
      <c r="C191" s="14"/>
      <c r="D191" s="47">
        <f>T180</f>
        <v>0</v>
      </c>
      <c r="E191" s="14"/>
      <c r="G191" s="199"/>
      <c r="H191" s="27"/>
      <c r="I191" s="101" t="s">
        <v>127</v>
      </c>
      <c r="J191" s="696">
        <f>J103</f>
        <v>0</v>
      </c>
      <c r="K191" s="722"/>
      <c r="L191" s="202" t="s">
        <v>157</v>
      </c>
      <c r="N191" s="27"/>
      <c r="O191" s="27"/>
      <c r="P191" s="27"/>
      <c r="Q191" s="102"/>
      <c r="R191" s="27"/>
      <c r="S191" s="27"/>
      <c r="T191" s="27"/>
      <c r="V191" s="185"/>
    </row>
    <row r="192" spans="1:23" ht="18" hidden="1" customHeight="1">
      <c r="A192" s="184"/>
      <c r="B192" s="184" t="s">
        <v>412</v>
      </c>
      <c r="C192" s="14"/>
      <c r="D192" s="14"/>
      <c r="E192" s="14"/>
      <c r="H192" s="27"/>
      <c r="I192" s="101" t="s">
        <v>127</v>
      </c>
      <c r="J192" s="696">
        <f>J104</f>
        <v>0.56186130000000001</v>
      </c>
      <c r="K192" s="722"/>
      <c r="L192" s="297" t="s">
        <v>157</v>
      </c>
      <c r="N192" s="27"/>
      <c r="O192" s="27"/>
      <c r="P192" s="204"/>
      <c r="R192" s="192"/>
      <c r="S192" s="27"/>
      <c r="T192" s="27"/>
      <c r="V192" s="185"/>
    </row>
    <row r="193" spans="1:22" ht="18" hidden="1" customHeight="1">
      <c r="A193" s="184"/>
      <c r="B193" s="1" t="s">
        <v>413</v>
      </c>
      <c r="C193" s="2"/>
      <c r="D193" s="2"/>
      <c r="E193" s="2"/>
      <c r="F193" s="196"/>
      <c r="G193" s="196"/>
      <c r="H193" s="224" t="s">
        <v>512</v>
      </c>
      <c r="I193" s="183" t="s">
        <v>127</v>
      </c>
      <c r="J193" s="722">
        <f>SUM(J189:J192)</f>
        <v>0.66186129999999999</v>
      </c>
      <c r="K193" s="958"/>
      <c r="L193" s="3" t="s">
        <v>157</v>
      </c>
      <c r="V193" s="185"/>
    </row>
    <row r="194" spans="1:22" ht="18" hidden="1" customHeight="1">
      <c r="A194" s="184"/>
      <c r="B194" s="47"/>
      <c r="C194" s="47"/>
      <c r="D194" s="47"/>
      <c r="E194" s="47"/>
      <c r="H194" s="27"/>
      <c r="I194" s="28"/>
      <c r="J194" s="199"/>
      <c r="L194" s="47"/>
      <c r="O194" s="27"/>
      <c r="P194" s="211"/>
      <c r="Q194" s="27"/>
      <c r="R194" s="204"/>
      <c r="S194" s="27"/>
      <c r="V194" s="185"/>
    </row>
    <row r="195" spans="1:22" ht="18" hidden="1" customHeight="1">
      <c r="A195" s="168"/>
      <c r="B195" s="5"/>
      <c r="C195" s="47" t="s">
        <v>817</v>
      </c>
      <c r="D195" s="14"/>
      <c r="E195" s="14"/>
      <c r="F195" s="14"/>
      <c r="G195" s="14"/>
      <c r="H195" s="279"/>
      <c r="I195" s="120"/>
      <c r="J195" s="279"/>
      <c r="K195" s="279"/>
      <c r="L195" s="14"/>
      <c r="M195" s="14"/>
      <c r="N195" s="14"/>
      <c r="O195" s="14"/>
      <c r="P195" s="14"/>
      <c r="Q195" s="120" t="s">
        <v>818</v>
      </c>
      <c r="R195" s="102" t="s">
        <v>127</v>
      </c>
      <c r="S195" s="854">
        <f>S107</f>
        <v>55677</v>
      </c>
      <c r="T195" s="831"/>
      <c r="U195" s="47" t="s">
        <v>8</v>
      </c>
      <c r="V195" s="185"/>
    </row>
    <row r="196" spans="1:22" ht="18" hidden="1" customHeight="1">
      <c r="A196" s="168"/>
      <c r="B196" s="5"/>
      <c r="C196" s="47" t="s">
        <v>654</v>
      </c>
      <c r="D196" s="14"/>
      <c r="E196" s="14"/>
      <c r="F196" s="18"/>
      <c r="G196" s="18"/>
      <c r="H196" s="279"/>
      <c r="I196" s="120"/>
      <c r="J196" s="279"/>
      <c r="K196" s="279"/>
      <c r="L196" s="14"/>
      <c r="M196" s="14"/>
      <c r="N196" s="14"/>
      <c r="O196" s="14"/>
      <c r="P196" s="14"/>
      <c r="Q196" s="120" t="s">
        <v>423</v>
      </c>
      <c r="R196" s="102" t="s">
        <v>127</v>
      </c>
      <c r="S196" s="689">
        <f>L181</f>
        <v>0</v>
      </c>
      <c r="T196" s="689"/>
      <c r="U196" s="14" t="s">
        <v>8</v>
      </c>
      <c r="V196" s="185"/>
    </row>
    <row r="197" spans="1:22" ht="18" hidden="1" customHeight="1">
      <c r="A197" s="168"/>
      <c r="B197" s="5"/>
      <c r="C197" s="47" t="s">
        <v>819</v>
      </c>
      <c r="E197" s="14"/>
      <c r="F197" s="18"/>
      <c r="G197" s="18"/>
      <c r="H197" s="279"/>
      <c r="I197" s="120"/>
      <c r="J197" s="279"/>
      <c r="K197" s="279"/>
      <c r="L197" s="14"/>
      <c r="M197" s="14"/>
      <c r="N197" s="14"/>
      <c r="O197" s="14"/>
      <c r="P197" s="14"/>
      <c r="Q197" s="120" t="s">
        <v>820</v>
      </c>
      <c r="R197" s="28" t="s">
        <v>127</v>
      </c>
      <c r="S197" s="692" t="e">
        <f>S195/S196*O181</f>
        <v>#DIV/0!</v>
      </c>
      <c r="T197" s="692"/>
      <c r="U197" s="14" t="s">
        <v>8</v>
      </c>
      <c r="V197" s="185"/>
    </row>
    <row r="198" spans="1:22" ht="18" hidden="1" customHeight="1">
      <c r="A198" s="168"/>
      <c r="B198" s="5"/>
      <c r="C198" s="47" t="s">
        <v>821</v>
      </c>
      <c r="D198" s="14"/>
      <c r="E198" s="14"/>
      <c r="F198" s="18"/>
      <c r="G198" s="18"/>
      <c r="H198" s="279"/>
      <c r="I198" s="120"/>
      <c r="J198" s="279"/>
      <c r="K198" s="279"/>
      <c r="L198" s="14"/>
      <c r="M198" s="14"/>
      <c r="N198" s="14"/>
      <c r="O198" s="14"/>
      <c r="P198" s="14"/>
      <c r="Q198" s="120" t="s">
        <v>689</v>
      </c>
      <c r="R198" s="28" t="s">
        <v>127</v>
      </c>
      <c r="S198" s="692">
        <f>J193/O181*O181</f>
        <v>0.66186129999999999</v>
      </c>
      <c r="T198" s="692"/>
      <c r="U198" s="192" t="s">
        <v>333</v>
      </c>
      <c r="V198" s="185"/>
    </row>
    <row r="199" spans="1:22" ht="18" hidden="1" customHeight="1">
      <c r="A199" s="168"/>
      <c r="B199" s="5"/>
      <c r="C199" s="47" t="s">
        <v>822</v>
      </c>
      <c r="Q199" s="120" t="s">
        <v>823</v>
      </c>
      <c r="R199" s="28" t="s">
        <v>127</v>
      </c>
      <c r="S199" s="854">
        <f>S111</f>
        <v>30000</v>
      </c>
      <c r="T199" s="831"/>
      <c r="U199" s="14" t="s">
        <v>8</v>
      </c>
      <c r="V199" s="185"/>
    </row>
    <row r="200" spans="1:22" ht="18" hidden="1" customHeight="1">
      <c r="A200" s="299"/>
      <c r="B200" s="279"/>
      <c r="C200" s="47" t="s">
        <v>824</v>
      </c>
      <c r="Q200" s="244" t="s">
        <v>825</v>
      </c>
      <c r="R200" s="28" t="s">
        <v>127</v>
      </c>
      <c r="S200" s="795" t="e">
        <f>S199/S196</f>
        <v>#DIV/0!</v>
      </c>
      <c r="T200" s="795"/>
      <c r="U200" s="14" t="s">
        <v>8</v>
      </c>
      <c r="V200" s="300"/>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85"/>
    </row>
    <row r="202" spans="1:22" ht="18" hidden="1" customHeight="1">
      <c r="A202" s="193" t="s">
        <v>755</v>
      </c>
      <c r="B202" s="14"/>
      <c r="C202" s="14"/>
      <c r="D202" s="14"/>
      <c r="E202" s="14"/>
      <c r="F202" s="14"/>
      <c r="G202" s="14"/>
      <c r="H202" s="14"/>
      <c r="K202" s="14"/>
      <c r="T202" s="14"/>
      <c r="U202" s="14"/>
      <c r="V202" s="185"/>
    </row>
    <row r="203" spans="1:22" ht="18" hidden="1" customHeight="1">
      <c r="A203" s="96"/>
      <c r="B203" s="14"/>
      <c r="C203" s="14"/>
      <c r="D203" s="14"/>
      <c r="E203" s="14"/>
      <c r="F203" s="14"/>
      <c r="G203" s="14"/>
      <c r="H203" s="14"/>
      <c r="K203" s="14"/>
      <c r="T203" s="14"/>
      <c r="U203" s="14"/>
      <c r="V203" s="185"/>
    </row>
    <row r="204" spans="1:22" ht="18" hidden="1" customHeight="1">
      <c r="A204" s="193" t="s">
        <v>826</v>
      </c>
      <c r="H204" s="28"/>
      <c r="I204" s="28"/>
      <c r="J204" s="28"/>
      <c r="K204" s="28"/>
      <c r="T204" s="14"/>
      <c r="U204" s="14"/>
      <c r="V204" s="185"/>
    </row>
    <row r="205" spans="1:22" ht="18" hidden="1" customHeight="1">
      <c r="A205" s="193"/>
      <c r="H205" s="28"/>
      <c r="I205" s="28"/>
      <c r="J205" s="28"/>
      <c r="K205" s="28"/>
      <c r="T205" s="14"/>
      <c r="U205" s="14"/>
      <c r="V205" s="185"/>
    </row>
    <row r="206" spans="1:22" ht="18" hidden="1" customHeight="1">
      <c r="A206" s="184"/>
      <c r="B206" s="689" t="s">
        <v>473</v>
      </c>
      <c r="C206" s="689"/>
      <c r="D206" s="28" t="s">
        <v>827</v>
      </c>
      <c r="E206" s="28">
        <v>0.5</v>
      </c>
      <c r="F206" s="28" t="s">
        <v>315</v>
      </c>
      <c r="G206" s="689" t="s">
        <v>820</v>
      </c>
      <c r="H206" s="689"/>
      <c r="I206" s="28" t="s">
        <v>672</v>
      </c>
      <c r="J206" s="689" t="s">
        <v>420</v>
      </c>
      <c r="K206" s="689"/>
      <c r="L206" s="28" t="s">
        <v>347</v>
      </c>
      <c r="M206" s="689" t="s">
        <v>689</v>
      </c>
      <c r="N206" s="689"/>
      <c r="O206" s="14" t="s">
        <v>350</v>
      </c>
      <c r="P206" s="14"/>
      <c r="Q206" s="14"/>
      <c r="R206" s="14"/>
      <c r="T206" s="14"/>
      <c r="U206" s="14"/>
      <c r="V206" s="185"/>
    </row>
    <row r="207" spans="1:22" ht="18" hidden="1" customHeight="1">
      <c r="A207" s="184"/>
      <c r="B207" s="14"/>
      <c r="C207" s="14"/>
      <c r="D207" s="102" t="s">
        <v>127</v>
      </c>
      <c r="E207" s="28">
        <v>0.5</v>
      </c>
      <c r="F207" s="28" t="s">
        <v>315</v>
      </c>
      <c r="G207" s="692" t="e">
        <f>S197</f>
        <v>#DIV/0!</v>
      </c>
      <c r="H207" s="689"/>
      <c r="I207" s="28" t="s">
        <v>672</v>
      </c>
      <c r="J207" s="689">
        <f>L183</f>
        <v>0</v>
      </c>
      <c r="K207" s="689"/>
      <c r="L207" s="28" t="s">
        <v>347</v>
      </c>
      <c r="M207" s="692">
        <f>S198</f>
        <v>0.66186129999999999</v>
      </c>
      <c r="N207" s="689"/>
      <c r="O207" s="14" t="s">
        <v>350</v>
      </c>
      <c r="S207" s="14"/>
      <c r="T207" s="14"/>
      <c r="U207" s="14"/>
      <c r="V207" s="185"/>
    </row>
    <row r="208" spans="1:22" ht="18" hidden="1" customHeight="1">
      <c r="A208" s="184"/>
      <c r="B208" s="14"/>
      <c r="C208" s="14"/>
      <c r="D208" s="102" t="s">
        <v>127</v>
      </c>
      <c r="E208" s="692" t="e">
        <f>E207*G207*(J207+M207)</f>
        <v>#DIV/0!</v>
      </c>
      <c r="F208" s="692"/>
      <c r="G208" s="211"/>
      <c r="H208" s="218"/>
      <c r="I208" s="14"/>
      <c r="J208" s="14"/>
      <c r="K208" s="14"/>
      <c r="L208" s="14"/>
      <c r="M208" s="14"/>
      <c r="N208" s="14"/>
      <c r="O208" s="14"/>
      <c r="P208" s="14"/>
      <c r="Q208" s="14"/>
      <c r="R208" s="14"/>
      <c r="V208" s="185"/>
    </row>
    <row r="209" spans="1:22" ht="18" hidden="1" customHeight="1">
      <c r="A209" s="184"/>
      <c r="B209" s="14"/>
      <c r="C209" s="14"/>
      <c r="D209" s="28"/>
      <c r="E209" s="218"/>
      <c r="F209" s="218"/>
      <c r="G209" s="211"/>
      <c r="H209" s="218"/>
      <c r="I209" s="14"/>
      <c r="J209" s="14"/>
      <c r="K209" s="14"/>
      <c r="L209" s="14"/>
      <c r="M209" s="14"/>
      <c r="N209" s="14"/>
      <c r="O209" s="14"/>
      <c r="P209" s="14"/>
      <c r="Q209" s="14"/>
      <c r="R209" s="14"/>
      <c r="V209" s="185"/>
    </row>
    <row r="210" spans="1:22" ht="18" hidden="1" customHeight="1">
      <c r="A210" s="193" t="s">
        <v>828</v>
      </c>
      <c r="B210" s="14"/>
      <c r="C210" s="14"/>
      <c r="D210" s="28"/>
      <c r="E210" s="218"/>
      <c r="F210" s="218"/>
      <c r="G210" s="211"/>
      <c r="H210" s="218"/>
      <c r="I210" s="14"/>
      <c r="J210" s="14"/>
      <c r="K210" s="14"/>
      <c r="L210" s="14"/>
      <c r="M210" s="14"/>
      <c r="N210" s="14"/>
      <c r="O210" s="14"/>
      <c r="P210" s="14"/>
      <c r="Q210" s="14"/>
      <c r="R210" s="14"/>
      <c r="V210" s="185"/>
    </row>
    <row r="211" spans="1:22" ht="18" hidden="1" customHeight="1">
      <c r="A211" s="184"/>
      <c r="B211" s="14"/>
      <c r="C211" s="14"/>
      <c r="D211" s="28"/>
      <c r="E211" s="218"/>
      <c r="F211" s="218"/>
      <c r="G211" s="211"/>
      <c r="H211" s="218"/>
      <c r="I211" s="14"/>
      <c r="J211" s="14"/>
      <c r="K211" s="14"/>
      <c r="L211" s="14"/>
      <c r="M211" s="14"/>
      <c r="N211" s="14"/>
      <c r="O211" s="14"/>
      <c r="P211" s="14"/>
      <c r="Q211" s="14"/>
      <c r="R211" s="14"/>
      <c r="V211" s="185"/>
    </row>
    <row r="212" spans="1:22" ht="18" hidden="1" customHeight="1">
      <c r="A212" s="184"/>
      <c r="B212" s="689" t="s">
        <v>473</v>
      </c>
      <c r="C212" s="689"/>
      <c r="D212" s="28" t="s">
        <v>827</v>
      </c>
      <c r="E212" s="689" t="s">
        <v>825</v>
      </c>
      <c r="F212" s="689"/>
      <c r="G212" s="28" t="s">
        <v>672</v>
      </c>
      <c r="H212" s="689" t="s">
        <v>420</v>
      </c>
      <c r="I212" s="689"/>
      <c r="J212" s="28" t="s">
        <v>347</v>
      </c>
      <c r="K212" s="689" t="s">
        <v>689</v>
      </c>
      <c r="L212" s="689"/>
      <c r="M212" s="14" t="s">
        <v>350</v>
      </c>
      <c r="P212" s="14"/>
      <c r="Q212" s="14"/>
      <c r="R212" s="14"/>
      <c r="V212" s="185"/>
    </row>
    <row r="213" spans="1:22" ht="18" hidden="1" customHeight="1">
      <c r="A213" s="184"/>
      <c r="B213" s="14"/>
      <c r="C213" s="14"/>
      <c r="D213" s="102" t="s">
        <v>127</v>
      </c>
      <c r="E213" s="692" t="e">
        <f>S200</f>
        <v>#DIV/0!</v>
      </c>
      <c r="F213" s="689"/>
      <c r="G213" s="28" t="s">
        <v>672</v>
      </c>
      <c r="H213" s="689">
        <f>L183</f>
        <v>0</v>
      </c>
      <c r="I213" s="689"/>
      <c r="J213" s="28" t="s">
        <v>347</v>
      </c>
      <c r="K213" s="692">
        <f>S198</f>
        <v>0.66186129999999999</v>
      </c>
      <c r="L213" s="689"/>
      <c r="M213" s="14" t="s">
        <v>350</v>
      </c>
      <c r="N213" s="14"/>
      <c r="O213" s="14"/>
      <c r="P213" s="14"/>
      <c r="Q213" s="14"/>
      <c r="R213" s="14"/>
      <c r="V213" s="185"/>
    </row>
    <row r="214" spans="1:22" ht="18" hidden="1" customHeight="1">
      <c r="A214" s="184"/>
      <c r="B214" s="14"/>
      <c r="C214" s="14"/>
      <c r="D214" s="102" t="s">
        <v>127</v>
      </c>
      <c r="E214" s="692" t="e">
        <f>E213*(H213+K213)</f>
        <v>#DIV/0!</v>
      </c>
      <c r="F214" s="692"/>
      <c r="G214" s="211"/>
      <c r="H214" s="218"/>
      <c r="I214" s="14"/>
      <c r="J214" s="14"/>
      <c r="K214" s="14"/>
      <c r="L214" s="14"/>
      <c r="M214" s="14"/>
      <c r="N214" s="14"/>
      <c r="O214" s="14"/>
      <c r="P214" s="14"/>
      <c r="Q214" s="14"/>
      <c r="R214" s="14"/>
      <c r="V214" s="185"/>
    </row>
    <row r="215" spans="1:22" ht="18" hidden="1" customHeight="1">
      <c r="A215" s="184"/>
      <c r="B215" s="14"/>
      <c r="C215" s="14"/>
      <c r="D215" s="102"/>
      <c r="E215" s="218"/>
      <c r="F215" s="218"/>
      <c r="G215" s="211"/>
      <c r="H215" s="218"/>
      <c r="I215" s="14"/>
      <c r="J215" s="14"/>
      <c r="K215" s="14"/>
      <c r="L215" s="14"/>
      <c r="M215" s="14"/>
      <c r="N215" s="14"/>
      <c r="O215" s="14"/>
      <c r="P215" s="14"/>
      <c r="Q215" s="14"/>
      <c r="R215" s="14"/>
      <c r="V215" s="185"/>
    </row>
    <row r="216" spans="1:22" ht="18" hidden="1" customHeight="1">
      <c r="A216" s="184"/>
      <c r="B216" s="14"/>
      <c r="C216" s="14"/>
      <c r="D216" s="102"/>
      <c r="E216" s="218"/>
      <c r="F216" s="218"/>
      <c r="G216" s="211"/>
      <c r="H216" s="218"/>
      <c r="I216" s="14"/>
      <c r="J216" s="14"/>
      <c r="K216" s="14"/>
      <c r="L216" s="14"/>
      <c r="M216" s="14"/>
      <c r="N216" s="14"/>
      <c r="O216" s="14"/>
      <c r="P216" s="14"/>
      <c r="Q216" s="14"/>
      <c r="R216" s="14"/>
      <c r="V216" s="185"/>
    </row>
    <row r="217" spans="1:22" ht="18" hidden="1" customHeight="1">
      <c r="A217" s="184"/>
      <c r="B217" s="14"/>
      <c r="C217" s="14"/>
      <c r="D217" s="102"/>
      <c r="E217" s="218"/>
      <c r="F217" s="218"/>
      <c r="G217" s="211"/>
      <c r="H217" s="218"/>
      <c r="I217" s="14"/>
      <c r="J217" s="14"/>
      <c r="K217" s="14"/>
      <c r="L217" s="14"/>
      <c r="M217" s="14"/>
      <c r="N217" s="14"/>
      <c r="O217" s="14"/>
      <c r="P217" s="14"/>
      <c r="Q217" s="14"/>
      <c r="R217" s="14"/>
      <c r="V217" s="185"/>
    </row>
    <row r="218" spans="1:22" ht="18" hidden="1" customHeight="1">
      <c r="A218" s="184"/>
      <c r="G218" s="211"/>
      <c r="H218" s="218"/>
      <c r="J218" s="28"/>
      <c r="K218" s="28"/>
      <c r="L218" s="28"/>
      <c r="M218" s="28"/>
      <c r="N218" s="28"/>
      <c r="O218" s="28"/>
      <c r="P218" s="28"/>
      <c r="Q218" s="28"/>
      <c r="R218" s="28"/>
      <c r="V218" s="185"/>
    </row>
    <row r="219" spans="1:22" ht="18" hidden="1" customHeight="1">
      <c r="A219" s="184"/>
      <c r="V219" s="185"/>
    </row>
    <row r="220" spans="1:22" ht="18" hidden="1" customHeight="1">
      <c r="A220" s="194"/>
      <c r="B220" s="195"/>
      <c r="C220" s="195"/>
      <c r="D220" s="195"/>
      <c r="E220" s="195"/>
      <c r="F220" s="195"/>
      <c r="G220" s="195"/>
      <c r="H220" s="195"/>
      <c r="I220" s="195"/>
      <c r="J220" s="195"/>
      <c r="K220" s="195"/>
      <c r="L220" s="195"/>
      <c r="M220" s="195"/>
      <c r="N220" s="195"/>
      <c r="O220" s="195"/>
      <c r="P220" s="195"/>
      <c r="Q220" s="224"/>
      <c r="R220" s="182"/>
      <c r="S220" s="225"/>
      <c r="T220" s="195"/>
      <c r="U220" s="195"/>
      <c r="V220" s="134" t="s">
        <v>552</v>
      </c>
    </row>
    <row r="221" spans="1:22" ht="18" hidden="1" customHeight="1">
      <c r="A221" s="135"/>
      <c r="B221" s="273"/>
      <c r="C221" s="273"/>
      <c r="D221" s="273"/>
      <c r="E221" s="273"/>
      <c r="F221" s="273"/>
      <c r="G221" s="273"/>
      <c r="H221" s="273"/>
      <c r="I221" s="273"/>
      <c r="J221" s="273"/>
      <c r="K221" s="273"/>
      <c r="L221" s="273"/>
      <c r="M221" s="273"/>
      <c r="N221" s="273"/>
      <c r="O221" s="273"/>
      <c r="P221" s="273"/>
      <c r="Q221" s="274"/>
      <c r="R221" s="138"/>
      <c r="S221" s="275"/>
      <c r="T221" s="273"/>
      <c r="U221" s="273"/>
      <c r="V221" s="276"/>
    </row>
    <row r="222" spans="1:22" ht="18" hidden="1" customHeight="1">
      <c r="A222" s="193" t="s">
        <v>829</v>
      </c>
      <c r="B222" s="197"/>
      <c r="C222" s="197"/>
      <c r="D222" s="197"/>
      <c r="E222" s="14"/>
      <c r="F222" s="14"/>
      <c r="G222" s="14"/>
      <c r="H222" s="14"/>
      <c r="I222" s="14"/>
      <c r="J222" s="14"/>
      <c r="K222" s="14"/>
      <c r="L222" s="14"/>
      <c r="M222" s="14"/>
      <c r="N222" s="14"/>
      <c r="O222" s="14"/>
      <c r="P222" s="27"/>
      <c r="Q222" s="28"/>
      <c r="T222" s="14"/>
      <c r="U222" s="14"/>
      <c r="V222" s="185"/>
    </row>
    <row r="223" spans="1:22" ht="18" hidden="1" customHeight="1">
      <c r="A223" s="193"/>
      <c r="B223" s="197"/>
      <c r="C223" s="197"/>
      <c r="D223" s="197"/>
      <c r="E223" s="14"/>
      <c r="F223" s="14"/>
      <c r="G223" s="14"/>
      <c r="H223" s="14"/>
      <c r="I223" s="14"/>
      <c r="J223" s="14"/>
      <c r="K223" s="14"/>
      <c r="L223" s="14"/>
      <c r="M223" s="14"/>
      <c r="N223" s="14"/>
      <c r="O223" s="14"/>
      <c r="P223" s="27"/>
      <c r="Q223" s="28"/>
      <c r="T223" s="14"/>
      <c r="U223" s="14"/>
      <c r="V223" s="185"/>
    </row>
    <row r="224" spans="1:22" ht="18" hidden="1" customHeight="1">
      <c r="A224" s="96"/>
      <c r="B224" s="197" t="s">
        <v>826</v>
      </c>
      <c r="C224" s="197"/>
      <c r="D224" s="14"/>
      <c r="E224" s="14"/>
      <c r="F224" s="14"/>
      <c r="G224" s="14"/>
      <c r="H224" s="14"/>
      <c r="I224" s="14"/>
      <c r="J224" s="14"/>
      <c r="K224" s="14"/>
      <c r="L224" s="14"/>
      <c r="M224" s="14"/>
      <c r="N224" s="14"/>
      <c r="O224" s="14"/>
      <c r="P224" s="14"/>
      <c r="Q224" s="14"/>
      <c r="R224" s="14"/>
      <c r="S224" s="14"/>
      <c r="T224" s="14"/>
      <c r="U224" s="14"/>
      <c r="V224" s="185"/>
    </row>
    <row r="225" spans="1:22" ht="18" hidden="1" customHeight="1">
      <c r="A225" s="96"/>
      <c r="B225" s="14"/>
      <c r="C225" s="14"/>
      <c r="D225" s="14"/>
      <c r="E225" s="14"/>
      <c r="F225" s="244" t="s">
        <v>475</v>
      </c>
      <c r="G225" s="28" t="e">
        <f>IF(E226&gt;H226, "&gt;","&lt;")</f>
        <v>#DIV/0!</v>
      </c>
      <c r="H225" s="14" t="s">
        <v>477</v>
      </c>
      <c r="I225" s="14"/>
      <c r="J225" s="14"/>
      <c r="K225" s="14"/>
      <c r="L225" s="14" t="s">
        <v>830</v>
      </c>
      <c r="M225" s="14"/>
      <c r="N225" s="14"/>
      <c r="O225" s="14"/>
      <c r="P225" s="14"/>
      <c r="Q225" s="14"/>
      <c r="R225" s="14"/>
      <c r="S225" s="14"/>
      <c r="T225" s="14"/>
      <c r="U225" s="14"/>
      <c r="V225" s="185"/>
    </row>
    <row r="226" spans="1:22" ht="18" hidden="1" customHeight="1">
      <c r="A226" s="96"/>
      <c r="B226" s="14"/>
      <c r="C226" s="14"/>
      <c r="D226" s="14"/>
      <c r="E226" s="834">
        <f>L184</f>
        <v>0</v>
      </c>
      <c r="F226" s="834"/>
      <c r="G226" s="28" t="e">
        <f>G225</f>
        <v>#DIV/0!</v>
      </c>
      <c r="H226" s="692" t="e">
        <f>E208</f>
        <v>#DIV/0!</v>
      </c>
      <c r="I226" s="692"/>
      <c r="J226" s="14"/>
      <c r="K226" s="14"/>
      <c r="L226" s="14"/>
      <c r="M226" s="14"/>
      <c r="N226" s="14"/>
      <c r="O226" s="14"/>
      <c r="P226" s="14"/>
      <c r="Q226" s="14"/>
      <c r="R226" s="14"/>
      <c r="S226" s="14"/>
      <c r="T226" s="14"/>
      <c r="U226" s="14"/>
      <c r="V226" s="185"/>
    </row>
    <row r="227" spans="1:22" ht="18" hidden="1" customHeight="1">
      <c r="A227" s="184"/>
      <c r="D227" s="211"/>
      <c r="E227" s="218"/>
      <c r="F227" s="199" t="s">
        <v>831</v>
      </c>
      <c r="G227" s="211"/>
      <c r="H227" s="281" t="s">
        <v>832</v>
      </c>
      <c r="J227" s="28" t="s">
        <v>833</v>
      </c>
      <c r="K227" s="18" t="e">
        <f>IF(G226="&gt;", "Satisfied", "Not Satisfied")</f>
        <v>#DIV/0!</v>
      </c>
      <c r="P227" s="14"/>
      <c r="Q227" s="14"/>
      <c r="R227" s="14"/>
      <c r="S227" s="14"/>
      <c r="T227" s="14"/>
      <c r="U227" s="14"/>
      <c r="V227" s="185"/>
    </row>
    <row r="228" spans="1:22" ht="18" hidden="1" customHeight="1">
      <c r="A228" s="96"/>
      <c r="B228" s="197" t="s">
        <v>828</v>
      </c>
      <c r="C228" s="197"/>
      <c r="D228" s="14"/>
      <c r="E228" s="14"/>
      <c r="F228" s="14"/>
      <c r="G228" s="14"/>
      <c r="H228" s="14"/>
      <c r="I228" s="14"/>
      <c r="J228" s="14"/>
      <c r="K228" s="14"/>
      <c r="L228" s="14"/>
      <c r="M228" s="14"/>
      <c r="N228" s="14"/>
      <c r="O228" s="14"/>
      <c r="P228" s="120"/>
      <c r="Q228" s="296"/>
      <c r="V228" s="185"/>
    </row>
    <row r="229" spans="1:22" ht="18" hidden="1" customHeight="1">
      <c r="A229" s="96"/>
      <c r="B229" s="14"/>
      <c r="C229" s="14"/>
      <c r="D229" s="14"/>
      <c r="E229" s="14"/>
      <c r="F229" s="244" t="s">
        <v>475</v>
      </c>
      <c r="G229" s="28" t="e">
        <f>IF(E230&gt;H230, "&gt;","&lt;")</f>
        <v>#DIV/0!</v>
      </c>
      <c r="H229" s="14" t="s">
        <v>477</v>
      </c>
      <c r="I229" s="14"/>
      <c r="J229" s="14"/>
      <c r="K229" s="14"/>
      <c r="L229" s="14" t="s">
        <v>834</v>
      </c>
      <c r="M229" s="14"/>
      <c r="N229" s="14"/>
      <c r="O229" s="14"/>
      <c r="P229" s="301"/>
      <c r="Q229" s="461"/>
      <c r="V229" s="185"/>
    </row>
    <row r="230" spans="1:22" ht="18" hidden="1" customHeight="1">
      <c r="A230" s="96"/>
      <c r="B230" s="14"/>
      <c r="C230" s="14"/>
      <c r="D230" s="14"/>
      <c r="E230" s="834">
        <f>L184</f>
        <v>0</v>
      </c>
      <c r="F230" s="834"/>
      <c r="G230" s="28" t="e">
        <f>G229</f>
        <v>#DIV/0!</v>
      </c>
      <c r="H230" s="692" t="e">
        <f>E214</f>
        <v>#DIV/0!</v>
      </c>
      <c r="I230" s="692"/>
      <c r="J230" s="14"/>
      <c r="K230" s="14"/>
      <c r="L230" s="14"/>
      <c r="M230" s="14"/>
      <c r="N230" s="14"/>
      <c r="O230" s="14"/>
      <c r="V230" s="185"/>
    </row>
    <row r="231" spans="1:22" ht="18" hidden="1" customHeight="1">
      <c r="A231" s="184"/>
      <c r="D231" s="211"/>
      <c r="E231" s="14"/>
      <c r="F231" s="199" t="s">
        <v>831</v>
      </c>
      <c r="G231" s="211"/>
      <c r="H231" s="281" t="s">
        <v>828</v>
      </c>
      <c r="J231" s="28" t="s">
        <v>833</v>
      </c>
      <c r="K231" s="18" t="e">
        <f>IF(G230="&gt;", "Satisfied", "Not Satisfied")</f>
        <v>#DIV/0!</v>
      </c>
      <c r="P231" s="232"/>
      <c r="Q231" s="232"/>
      <c r="R231" s="232"/>
      <c r="S231" s="232"/>
      <c r="T231" s="232"/>
      <c r="U231" s="232"/>
      <c r="V231" s="233"/>
    </row>
    <row r="232" spans="1:22" ht="18" hidden="1" customHeight="1">
      <c r="A232" s="184"/>
      <c r="H232" s="28"/>
      <c r="I232" s="28"/>
      <c r="J232" s="28"/>
      <c r="K232" s="28"/>
      <c r="L232" s="28"/>
      <c r="M232" s="28"/>
      <c r="N232" s="28"/>
      <c r="O232" s="28"/>
      <c r="P232" s="232"/>
      <c r="Q232" s="232"/>
      <c r="R232" s="232"/>
      <c r="S232" s="232"/>
      <c r="T232" s="232"/>
      <c r="U232" s="232"/>
      <c r="V232" s="233"/>
    </row>
    <row r="233" spans="1:22" ht="18" hidden="1" customHeight="1">
      <c r="A233" s="96"/>
      <c r="B233" s="14"/>
      <c r="C233" s="14"/>
      <c r="D233" s="14"/>
      <c r="E233" s="14"/>
      <c r="F233" s="244" t="s">
        <v>478</v>
      </c>
      <c r="G233" s="14"/>
      <c r="H233" s="18" t="e">
        <f>IF(AND(E226&gt;H226,E230&gt;H230),"Suitably Dimentioned","Under Dimentioned")</f>
        <v>#DIV/0!</v>
      </c>
      <c r="I233" s="18"/>
      <c r="J233" s="18"/>
      <c r="K233" s="18"/>
      <c r="L233" s="18"/>
      <c r="M233" s="18"/>
      <c r="N233" s="14"/>
      <c r="O233" s="14"/>
      <c r="V233" s="185"/>
    </row>
    <row r="234" spans="1:22" ht="18" hidden="1" customHeight="1">
      <c r="A234" s="184"/>
      <c r="B234" s="27"/>
      <c r="C234" s="27"/>
      <c r="D234" s="27"/>
      <c r="E234" s="28"/>
      <c r="F234" s="27"/>
      <c r="G234" s="28"/>
      <c r="H234" s="27"/>
      <c r="I234" s="28"/>
      <c r="J234" s="27"/>
      <c r="K234" s="27"/>
      <c r="L234" s="27"/>
      <c r="M234" s="27"/>
      <c r="V234" s="185"/>
    </row>
    <row r="235" spans="1:22" ht="18" hidden="1" customHeight="1">
      <c r="A235" s="184"/>
      <c r="C235" s="27"/>
      <c r="D235" s="245"/>
      <c r="E235" s="221"/>
      <c r="F235" s="245"/>
      <c r="G235" s="222"/>
      <c r="H235" s="245"/>
      <c r="I235" s="245"/>
      <c r="J235" s="245"/>
      <c r="K235" s="245"/>
      <c r="L235" s="245"/>
      <c r="M235" s="27"/>
      <c r="V235" s="185"/>
    </row>
    <row r="236" spans="1:22" ht="18" hidden="1" customHeight="1">
      <c r="A236" s="184"/>
      <c r="C236" s="27"/>
      <c r="D236" s="204"/>
      <c r="E236" s="204"/>
      <c r="G236" s="18"/>
      <c r="V236" s="185"/>
    </row>
    <row r="237" spans="1:22" ht="18" hidden="1" customHeight="1">
      <c r="A237" s="96"/>
      <c r="B237" s="14"/>
      <c r="C237" s="14"/>
      <c r="D237" s="14"/>
      <c r="E237" s="14"/>
      <c r="F237" s="14"/>
      <c r="G237" s="14"/>
      <c r="H237" s="14"/>
      <c r="I237" s="14"/>
      <c r="J237" s="14"/>
      <c r="K237" s="14"/>
      <c r="L237" s="14"/>
      <c r="M237" s="14"/>
      <c r="N237" s="14"/>
      <c r="O237" s="14"/>
      <c r="P237" s="14"/>
      <c r="Q237" s="120"/>
      <c r="R237" s="28"/>
      <c r="S237" s="525"/>
      <c r="T237" s="14"/>
      <c r="U237" s="14"/>
      <c r="V237" s="381"/>
    </row>
    <row r="238" spans="1:22" ht="18" hidden="1" customHeight="1">
      <c r="A238" s="96"/>
      <c r="B238" s="14"/>
      <c r="C238" s="14"/>
      <c r="D238" s="14"/>
      <c r="E238" s="14"/>
      <c r="F238" s="14"/>
      <c r="G238" s="14"/>
      <c r="H238" s="14"/>
      <c r="I238" s="14"/>
      <c r="J238" s="14"/>
      <c r="K238" s="14"/>
      <c r="L238" s="14"/>
      <c r="M238" s="14"/>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96"/>
      <c r="B253" s="14"/>
      <c r="C253" s="14"/>
      <c r="D253" s="14"/>
      <c r="E253" s="14"/>
      <c r="F253" s="14"/>
      <c r="G253" s="14"/>
      <c r="H253" s="14"/>
      <c r="I253" s="14"/>
      <c r="J253" s="14"/>
      <c r="K253" s="14"/>
      <c r="L253" s="14"/>
      <c r="M253" s="14"/>
      <c r="N253" s="14"/>
      <c r="O253" s="14"/>
      <c r="P253" s="14"/>
      <c r="Q253" s="120"/>
      <c r="R253" s="28"/>
      <c r="S253" s="525"/>
      <c r="T253" s="14"/>
      <c r="U253" s="14"/>
      <c r="V253" s="381"/>
    </row>
    <row r="254" spans="1:22" ht="18" hidden="1" customHeight="1">
      <c r="A254" s="96"/>
      <c r="B254" s="14"/>
      <c r="C254" s="14"/>
      <c r="D254" s="14"/>
      <c r="E254" s="14"/>
      <c r="F254" s="14"/>
      <c r="G254" s="14"/>
      <c r="H254" s="14"/>
      <c r="I254" s="14"/>
      <c r="J254" s="14"/>
      <c r="K254" s="14"/>
      <c r="L254" s="14"/>
      <c r="M254" s="14"/>
      <c r="N254" s="14"/>
      <c r="O254" s="14"/>
      <c r="P254" s="14"/>
      <c r="Q254" s="120"/>
      <c r="R254" s="28"/>
      <c r="S254" s="525"/>
      <c r="T254" s="14"/>
      <c r="U254" s="14"/>
      <c r="V254" s="381"/>
    </row>
    <row r="255" spans="1:22" ht="18" hidden="1" customHeight="1">
      <c r="A255" s="96"/>
      <c r="B255" s="14"/>
      <c r="C255" s="14"/>
      <c r="D255" s="14"/>
      <c r="E255" s="14"/>
      <c r="F255" s="14"/>
      <c r="G255" s="14"/>
      <c r="H255" s="14"/>
      <c r="I255" s="14"/>
      <c r="J255" s="14"/>
      <c r="K255" s="14"/>
      <c r="L255" s="14"/>
      <c r="M255" s="14"/>
      <c r="N255" s="14"/>
      <c r="O255" s="14"/>
      <c r="P255" s="14"/>
      <c r="Q255" s="120"/>
      <c r="R255" s="28"/>
      <c r="S255" s="525"/>
      <c r="T255" s="14"/>
      <c r="U255" s="14"/>
      <c r="V255" s="381"/>
    </row>
    <row r="256" spans="1:22" ht="18" hidden="1" customHeight="1">
      <c r="A256" s="96"/>
      <c r="B256" s="14"/>
      <c r="C256" s="14"/>
      <c r="D256" s="14"/>
      <c r="E256" s="14"/>
      <c r="F256" s="14"/>
      <c r="G256" s="14"/>
      <c r="H256" s="14"/>
      <c r="I256" s="14"/>
      <c r="J256" s="14"/>
      <c r="K256" s="14"/>
      <c r="L256" s="14"/>
      <c r="M256" s="14"/>
      <c r="N256" s="14"/>
      <c r="O256" s="14"/>
      <c r="P256" s="14"/>
      <c r="Q256" s="120"/>
      <c r="R256" s="28"/>
      <c r="S256" s="525"/>
      <c r="T256" s="14"/>
      <c r="U256" s="14"/>
      <c r="V256" s="381"/>
    </row>
    <row r="257" spans="1:22" ht="18" hidden="1" customHeight="1">
      <c r="A257" s="96"/>
      <c r="B257" s="14"/>
      <c r="C257" s="14"/>
      <c r="D257" s="14"/>
      <c r="E257" s="14"/>
      <c r="F257" s="14"/>
      <c r="G257" s="14"/>
      <c r="H257" s="14"/>
      <c r="I257" s="14"/>
      <c r="J257" s="14"/>
      <c r="K257" s="14"/>
      <c r="L257" s="14"/>
      <c r="M257" s="14"/>
      <c r="N257" s="14"/>
      <c r="O257" s="14"/>
      <c r="P257" s="14"/>
      <c r="Q257" s="120"/>
      <c r="R257" s="28"/>
      <c r="S257" s="525"/>
      <c r="T257" s="14"/>
      <c r="U257" s="14"/>
      <c r="V257" s="381"/>
    </row>
    <row r="258" spans="1:22" ht="18" hidden="1" customHeight="1">
      <c r="A258" s="96"/>
      <c r="B258" s="14"/>
      <c r="C258" s="14"/>
      <c r="D258" s="14"/>
      <c r="E258" s="14"/>
      <c r="F258" s="14"/>
      <c r="G258" s="14"/>
      <c r="H258" s="14"/>
      <c r="I258" s="14"/>
      <c r="J258" s="14"/>
      <c r="K258" s="14"/>
      <c r="L258" s="14"/>
      <c r="M258" s="14"/>
      <c r="N258" s="14"/>
      <c r="O258" s="14"/>
      <c r="P258" s="14"/>
      <c r="Q258" s="120"/>
      <c r="R258" s="28"/>
      <c r="S258" s="525"/>
      <c r="T258" s="14"/>
      <c r="U258" s="14"/>
      <c r="V258" s="381"/>
    </row>
    <row r="259" spans="1:22" ht="18" hidden="1" customHeight="1">
      <c r="A259" s="96"/>
      <c r="B259" s="14"/>
      <c r="C259" s="14"/>
      <c r="D259" s="14"/>
      <c r="E259" s="14"/>
      <c r="F259" s="14"/>
      <c r="G259" s="14"/>
      <c r="H259" s="14"/>
      <c r="I259" s="14"/>
      <c r="J259" s="14"/>
      <c r="K259" s="14"/>
      <c r="L259" s="14"/>
      <c r="M259" s="14"/>
      <c r="N259" s="14"/>
      <c r="O259" s="14"/>
      <c r="P259" s="14"/>
      <c r="Q259" s="120"/>
      <c r="R259" s="28"/>
      <c r="S259" s="525"/>
      <c r="T259" s="14"/>
      <c r="U259" s="14"/>
      <c r="V259" s="381"/>
    </row>
    <row r="260" spans="1:22" ht="18" hidden="1" customHeight="1">
      <c r="A260" s="96"/>
      <c r="B260" s="14"/>
      <c r="C260" s="14"/>
      <c r="D260" s="14"/>
      <c r="E260" s="14"/>
      <c r="F260" s="14"/>
      <c r="G260" s="14"/>
      <c r="H260" s="14"/>
      <c r="I260" s="14"/>
      <c r="J260" s="14"/>
      <c r="K260" s="14"/>
      <c r="L260" s="14"/>
      <c r="M260" s="14"/>
      <c r="N260" s="14"/>
      <c r="O260" s="14"/>
      <c r="P260" s="14"/>
      <c r="Q260" s="120"/>
      <c r="R260" s="28"/>
      <c r="S260" s="525"/>
      <c r="T260" s="14"/>
      <c r="U260" s="14"/>
      <c r="V260" s="381"/>
    </row>
    <row r="261" spans="1:22" ht="18" hidden="1" customHeight="1">
      <c r="A261" s="96"/>
      <c r="B261" s="14"/>
      <c r="C261" s="14"/>
      <c r="D261" s="14"/>
      <c r="E261" s="14"/>
      <c r="F261" s="14"/>
      <c r="G261" s="14"/>
      <c r="H261" s="14"/>
      <c r="I261" s="14"/>
      <c r="J261" s="14"/>
      <c r="K261" s="14"/>
      <c r="L261" s="14"/>
      <c r="M261" s="14"/>
      <c r="N261" s="14"/>
      <c r="O261" s="14"/>
      <c r="P261" s="14"/>
      <c r="Q261" s="120"/>
      <c r="R261" s="28"/>
      <c r="S261" s="525"/>
      <c r="T261" s="14"/>
      <c r="U261" s="14"/>
      <c r="V261" s="381"/>
    </row>
    <row r="262" spans="1:22" ht="18" hidden="1" customHeight="1">
      <c r="A262" s="96"/>
      <c r="B262" s="14"/>
      <c r="C262" s="14"/>
      <c r="D262" s="14"/>
      <c r="E262" s="14"/>
      <c r="F262" s="14"/>
      <c r="G262" s="14"/>
      <c r="H262" s="14"/>
      <c r="I262" s="14"/>
      <c r="J262" s="14"/>
      <c r="K262" s="14"/>
      <c r="L262" s="14"/>
      <c r="M262" s="14"/>
      <c r="N262" s="14"/>
      <c r="O262" s="14"/>
      <c r="P262" s="14"/>
      <c r="Q262" s="120"/>
      <c r="R262" s="28"/>
      <c r="S262" s="525"/>
      <c r="T262" s="14"/>
      <c r="U262" s="14"/>
      <c r="V262" s="381"/>
    </row>
    <row r="263" spans="1:22" ht="18" hidden="1" customHeight="1">
      <c r="A263" s="96"/>
      <c r="B263" s="14"/>
      <c r="C263" s="14"/>
      <c r="D263" s="14"/>
      <c r="E263" s="14"/>
      <c r="F263" s="14"/>
      <c r="G263" s="14"/>
      <c r="H263" s="14"/>
      <c r="I263" s="14"/>
      <c r="J263" s="14"/>
      <c r="K263" s="14"/>
      <c r="L263" s="14"/>
      <c r="M263" s="14"/>
      <c r="N263" s="14"/>
      <c r="O263" s="14"/>
      <c r="P263" s="14"/>
      <c r="Q263" s="120"/>
      <c r="R263" s="28"/>
      <c r="S263" s="525"/>
      <c r="T263" s="14"/>
      <c r="U263" s="14"/>
      <c r="V263" s="381"/>
    </row>
    <row r="264" spans="1:22" ht="18" hidden="1" customHeight="1">
      <c r="A264" s="194"/>
      <c r="B264" s="195"/>
      <c r="C264" s="195"/>
      <c r="D264" s="195"/>
      <c r="E264" s="195"/>
      <c r="F264" s="195"/>
      <c r="G264" s="195"/>
      <c r="H264" s="195"/>
      <c r="I264" s="195"/>
      <c r="J264" s="195"/>
      <c r="K264" s="195"/>
      <c r="L264" s="195"/>
      <c r="M264" s="195"/>
      <c r="N264" s="195"/>
      <c r="O264" s="195"/>
      <c r="P264" s="195"/>
      <c r="Q264" s="224"/>
      <c r="R264" s="182"/>
      <c r="S264" s="225"/>
      <c r="T264" s="195"/>
      <c r="U264" s="195"/>
      <c r="V264" s="134" t="s">
        <v>552</v>
      </c>
    </row>
    <row r="265" spans="1:22" ht="18" customHeight="1">
      <c r="A265" s="226"/>
      <c r="B265" s="227"/>
      <c r="C265" s="227"/>
      <c r="D265" s="227"/>
      <c r="E265" s="227"/>
      <c r="F265" s="227"/>
      <c r="G265" s="227"/>
      <c r="H265" s="227"/>
      <c r="I265" s="227"/>
      <c r="J265" s="227"/>
      <c r="K265" s="227"/>
      <c r="L265" s="227"/>
      <c r="M265" s="227"/>
      <c r="N265" s="227"/>
      <c r="O265" s="227"/>
      <c r="P265" s="227"/>
      <c r="Q265" s="227"/>
      <c r="R265" s="227"/>
      <c r="S265" s="227"/>
      <c r="T265" s="227"/>
      <c r="U265" s="227"/>
      <c r="V265" s="228"/>
    </row>
    <row r="266" spans="1:22" ht="18" customHeight="1">
      <c r="A266" s="262" t="s">
        <v>532</v>
      </c>
      <c r="B266" s="14"/>
      <c r="C266" s="14"/>
      <c r="D266" s="120"/>
      <c r="E266" s="120"/>
      <c r="F266" s="18"/>
      <c r="G266" s="18"/>
      <c r="H266" s="14"/>
      <c r="I266" s="14"/>
      <c r="J266" s="14"/>
      <c r="K266" s="14"/>
      <c r="L266" s="14"/>
      <c r="M266" s="14"/>
      <c r="N266" s="14"/>
      <c r="O266" s="14"/>
      <c r="P266" s="28"/>
      <c r="Q266" s="120"/>
      <c r="R266" s="47"/>
      <c r="S266" s="206"/>
      <c r="T266" s="259"/>
      <c r="U266" s="14"/>
      <c r="V266" s="97"/>
    </row>
    <row r="267" spans="1:22" ht="18" customHeight="1">
      <c r="A267" s="955" t="s">
        <v>85</v>
      </c>
      <c r="B267" s="956"/>
      <c r="C267" s="1132"/>
      <c r="D267" s="955" t="s">
        <v>86</v>
      </c>
      <c r="E267" s="1146"/>
      <c r="F267" s="1146"/>
      <c r="G267" s="1132"/>
      <c r="H267" s="955" t="s">
        <v>87</v>
      </c>
      <c r="I267" s="957"/>
      <c r="J267" s="955" t="s">
        <v>88</v>
      </c>
      <c r="K267" s="1132"/>
      <c r="L267" s="955" t="s">
        <v>502</v>
      </c>
      <c r="M267" s="956"/>
      <c r="N267" s="957" t="s">
        <v>556</v>
      </c>
      <c r="O267" s="955" t="s">
        <v>557</v>
      </c>
      <c r="P267" s="956"/>
      <c r="Q267" s="1132"/>
      <c r="R267" s="955" t="s">
        <v>558</v>
      </c>
      <c r="S267" s="1135"/>
      <c r="T267" s="1133"/>
      <c r="U267" s="955" t="s">
        <v>505</v>
      </c>
      <c r="V267" s="1139"/>
    </row>
    <row r="268" spans="1:22" ht="18" customHeight="1">
      <c r="A268" s="1125"/>
      <c r="B268" s="983"/>
      <c r="C268" s="1133"/>
      <c r="D268" s="1136"/>
      <c r="E268" s="1135"/>
      <c r="F268" s="1135"/>
      <c r="G268" s="1133"/>
      <c r="H268" s="1125"/>
      <c r="I268" s="1126"/>
      <c r="J268" s="1136"/>
      <c r="K268" s="1133"/>
      <c r="L268" s="1125"/>
      <c r="M268" s="983"/>
      <c r="N268" s="1126"/>
      <c r="O268" s="1125"/>
      <c r="P268" s="983"/>
      <c r="Q268" s="1133"/>
      <c r="R268" s="1136"/>
      <c r="S268" s="1135"/>
      <c r="T268" s="1133"/>
      <c r="U268" s="1140"/>
      <c r="V268" s="1141"/>
    </row>
    <row r="269" spans="1:22" ht="18" customHeight="1">
      <c r="A269" s="1047"/>
      <c r="B269" s="1048"/>
      <c r="C269" s="1134"/>
      <c r="D269" s="1137"/>
      <c r="E269" s="1138"/>
      <c r="F269" s="1138"/>
      <c r="G269" s="1134"/>
      <c r="H269" s="1047"/>
      <c r="I269" s="1049"/>
      <c r="J269" s="1137"/>
      <c r="K269" s="1134"/>
      <c r="L269" s="1047"/>
      <c r="M269" s="1048"/>
      <c r="N269" s="1049"/>
      <c r="O269" s="1047"/>
      <c r="P269" s="1048"/>
      <c r="Q269" s="1134"/>
      <c r="R269" s="1137"/>
      <c r="S269" s="1138"/>
      <c r="T269" s="1134"/>
      <c r="U269" s="1142"/>
      <c r="V269" s="1143"/>
    </row>
    <row r="270" spans="1:22" ht="18" customHeight="1">
      <c r="A270" s="765" t="str">
        <f>B178</f>
        <v>T1</v>
      </c>
      <c r="B270" s="1144"/>
      <c r="C270" s="871" t="str">
        <f>D178</f>
        <v>Core5</v>
      </c>
      <c r="D270" s="871">
        <f>H181</f>
        <v>1500</v>
      </c>
      <c r="E270" s="871">
        <f>J181</f>
        <v>0</v>
      </c>
      <c r="F270" s="871">
        <f>L181</f>
        <v>0</v>
      </c>
      <c r="G270" s="871">
        <f>O181</f>
        <v>1</v>
      </c>
      <c r="H270" s="871">
        <f>'[8]CT-VT Burdens'!S20</f>
        <v>75</v>
      </c>
      <c r="I270" s="1036">
        <f>'[8]CT-VT Burdens'!S11</f>
        <v>6</v>
      </c>
      <c r="J270" s="869" t="str">
        <f>L182</f>
        <v>X</v>
      </c>
      <c r="K270" s="869"/>
      <c r="L270" s="871">
        <f>H12</f>
        <v>6</v>
      </c>
      <c r="M270" s="871">
        <f>J95</f>
        <v>0</v>
      </c>
      <c r="N270" s="871">
        <f>L183</f>
        <v>0</v>
      </c>
      <c r="O270" s="871">
        <f>H13</f>
        <v>500</v>
      </c>
      <c r="P270" s="871">
        <f>J96</f>
        <v>0</v>
      </c>
      <c r="Q270" s="871">
        <f>L184</f>
        <v>0</v>
      </c>
      <c r="R270" s="871">
        <f>H14</f>
        <v>10</v>
      </c>
      <c r="S270" s="871">
        <f>J97</f>
        <v>0</v>
      </c>
      <c r="T270" s="871">
        <f>L185</f>
        <v>0</v>
      </c>
      <c r="U270" s="775" t="str">
        <f>T178</f>
        <v>P743</v>
      </c>
      <c r="V270" s="776"/>
    </row>
    <row r="271" spans="1:22" ht="18" customHeight="1">
      <c r="A271" s="765"/>
      <c r="B271" s="1144"/>
      <c r="C271" s="1130"/>
      <c r="D271" s="1130"/>
      <c r="E271" s="1130"/>
      <c r="F271" s="1130"/>
      <c r="G271" s="1130"/>
      <c r="H271" s="1130"/>
      <c r="I271" s="1130"/>
      <c r="J271" s="1129"/>
      <c r="K271" s="1129"/>
      <c r="L271" s="1130"/>
      <c r="M271" s="1130"/>
      <c r="N271" s="1130"/>
      <c r="O271" s="1130"/>
      <c r="P271" s="1130"/>
      <c r="Q271" s="1130"/>
      <c r="R271" s="1130"/>
      <c r="S271" s="1130"/>
      <c r="T271" s="1130"/>
      <c r="U271" s="775">
        <f>T179</f>
        <v>0</v>
      </c>
      <c r="V271" s="776"/>
    </row>
    <row r="272" spans="1:22" ht="18" customHeight="1">
      <c r="A272" s="765"/>
      <c r="B272" s="1144"/>
      <c r="C272" s="1131"/>
      <c r="D272" s="1131"/>
      <c r="E272" s="1131"/>
      <c r="F272" s="1131"/>
      <c r="G272" s="1131"/>
      <c r="H272" s="1131"/>
      <c r="I272" s="1131"/>
      <c r="J272" s="1129"/>
      <c r="K272" s="1129"/>
      <c r="L272" s="1131"/>
      <c r="M272" s="1131"/>
      <c r="N272" s="1131"/>
      <c r="O272" s="1131"/>
      <c r="P272" s="1131"/>
      <c r="Q272" s="1131"/>
      <c r="R272" s="1131"/>
      <c r="S272" s="1131"/>
      <c r="T272" s="1131"/>
      <c r="U272" s="1334">
        <f>T180</f>
        <v>0</v>
      </c>
      <c r="V272" s="776"/>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84"/>
      <c r="V307" s="185"/>
    </row>
    <row r="308" spans="1:22" ht="18" customHeight="1">
      <c r="A308" s="194"/>
      <c r="B308" s="195"/>
      <c r="C308" s="195"/>
      <c r="D308" s="195"/>
      <c r="E308" s="195"/>
      <c r="F308" s="195"/>
      <c r="G308" s="195"/>
      <c r="H308" s="195"/>
      <c r="I308" s="195"/>
      <c r="J308" s="195"/>
      <c r="K308" s="195"/>
      <c r="L308" s="195"/>
      <c r="M308" s="195"/>
      <c r="N308" s="195"/>
      <c r="O308" s="195"/>
      <c r="P308" s="195"/>
      <c r="Q308" s="224"/>
      <c r="R308" s="182"/>
      <c r="S308" s="225"/>
      <c r="T308" s="195"/>
      <c r="U308" s="195"/>
      <c r="V308" s="134"/>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90:C90"/>
    <mergeCell ref="D90:E90"/>
    <mergeCell ref="H90:M90"/>
    <mergeCell ref="E37:F37"/>
    <mergeCell ref="B41:C41"/>
    <mergeCell ref="E41:F41"/>
    <mergeCell ref="H41:I41"/>
    <mergeCell ref="K41:L41"/>
    <mergeCell ref="E42:F42"/>
    <mergeCell ref="H42:I42"/>
    <mergeCell ref="K42:L42"/>
    <mergeCell ref="T90:U90"/>
    <mergeCell ref="T91:U91"/>
    <mergeCell ref="H92:I92"/>
    <mergeCell ref="J92:K92"/>
    <mergeCell ref="L92:M92"/>
    <mergeCell ref="T92:U92"/>
    <mergeCell ref="E43:F43"/>
    <mergeCell ref="E50:F50"/>
    <mergeCell ref="H50:I50"/>
    <mergeCell ref="E54:F54"/>
    <mergeCell ref="H54:I54"/>
    <mergeCell ref="J97:K97"/>
    <mergeCell ref="J101:K101"/>
    <mergeCell ref="J102:K102"/>
    <mergeCell ref="J103:K103"/>
    <mergeCell ref="J104:K104"/>
    <mergeCell ref="J105:K105"/>
    <mergeCell ref="H93:I93"/>
    <mergeCell ref="J93:K93"/>
    <mergeCell ref="L93:M93"/>
    <mergeCell ref="J94:K94"/>
    <mergeCell ref="J95:K95"/>
    <mergeCell ref="J96:K96"/>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B178:C178"/>
    <mergeCell ref="D178:E178"/>
    <mergeCell ref="H178:M178"/>
    <mergeCell ref="E120:F120"/>
    <mergeCell ref="B124:C124"/>
    <mergeCell ref="E124:F124"/>
    <mergeCell ref="H124:I124"/>
    <mergeCell ref="K124:L124"/>
    <mergeCell ref="E125:F125"/>
    <mergeCell ref="H125:I125"/>
    <mergeCell ref="K125:L125"/>
    <mergeCell ref="T178:U178"/>
    <mergeCell ref="T179:U179"/>
    <mergeCell ref="H180:I180"/>
    <mergeCell ref="J180:K180"/>
    <mergeCell ref="L180:M180"/>
    <mergeCell ref="T180:U180"/>
    <mergeCell ref="E126:F126"/>
    <mergeCell ref="E138:F138"/>
    <mergeCell ref="H138:I138"/>
    <mergeCell ref="E142:F142"/>
    <mergeCell ref="H142:I142"/>
    <mergeCell ref="L185:M185"/>
    <mergeCell ref="J189:K189"/>
    <mergeCell ref="J190:K190"/>
    <mergeCell ref="J191:K191"/>
    <mergeCell ref="J192:K192"/>
    <mergeCell ref="J193:K193"/>
    <mergeCell ref="H181:I181"/>
    <mergeCell ref="J181:K181"/>
    <mergeCell ref="L181:M181"/>
    <mergeCell ref="L182:M182"/>
    <mergeCell ref="L183:M183"/>
    <mergeCell ref="L184:M184"/>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A267:C269"/>
    <mergeCell ref="D267:G269"/>
    <mergeCell ref="H267:I269"/>
    <mergeCell ref="E208:F208"/>
    <mergeCell ref="B212:C212"/>
    <mergeCell ref="E212:F212"/>
    <mergeCell ref="H212:I212"/>
    <mergeCell ref="K212:L212"/>
    <mergeCell ref="E213:F213"/>
    <mergeCell ref="H213:I213"/>
    <mergeCell ref="K213:L213"/>
    <mergeCell ref="L270:L272"/>
    <mergeCell ref="M270:M272"/>
    <mergeCell ref="E214:F214"/>
    <mergeCell ref="E226:F226"/>
    <mergeCell ref="H226:I226"/>
    <mergeCell ref="E230:F230"/>
    <mergeCell ref="H230:I230"/>
    <mergeCell ref="J267:K269"/>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s>
  <conditionalFormatting sqref="G60 G148 G236">
    <cfRule type="cellIs" dxfId="111" priority="2" stopIfTrue="1" operator="equal">
      <formula>"Under Dimentioned"</formula>
    </cfRule>
  </conditionalFormatting>
  <conditionalFormatting sqref="H57 H145 H233">
    <cfRule type="cellIs" dxfId="110"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zoomScaleNormal="100" zoomScaleSheetLayoutView="100" workbookViewId="0">
      <selection activeCell="V40" sqref="V40"/>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892</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781" t="s">
        <v>108</v>
      </c>
      <c r="C7" s="782"/>
      <c r="D7" s="781" t="s">
        <v>106</v>
      </c>
      <c r="E7" s="782"/>
      <c r="F7" s="255"/>
      <c r="H7" s="684" t="s">
        <v>907</v>
      </c>
      <c r="I7" s="684"/>
      <c r="J7" s="684"/>
      <c r="K7" s="684"/>
      <c r="L7" s="684"/>
      <c r="M7" s="684"/>
      <c r="P7" s="186"/>
      <c r="R7" s="255"/>
      <c r="S7" s="187" t="s">
        <v>387</v>
      </c>
      <c r="T7" s="1216" t="s">
        <v>244</v>
      </c>
      <c r="U7" s="1247"/>
      <c r="V7" s="185"/>
    </row>
    <row r="8" spans="1:24" ht="18" customHeight="1">
      <c r="A8" s="184"/>
      <c r="B8" s="538"/>
      <c r="C8" s="538"/>
      <c r="D8" s="547"/>
      <c r="E8" s="547"/>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2500</v>
      </c>
      <c r="I10" s="792"/>
      <c r="J10" s="781" t="s">
        <v>6</v>
      </c>
      <c r="K10" s="782"/>
      <c r="L10" s="781" t="s">
        <v>6</v>
      </c>
      <c r="M10" s="782"/>
      <c r="N10" s="191" t="s">
        <v>342</v>
      </c>
      <c r="O10" s="125">
        <v>1</v>
      </c>
      <c r="P10" s="27" t="s">
        <v>8</v>
      </c>
      <c r="T10" s="1216"/>
      <c r="U10" s="1247"/>
      <c r="V10" s="185"/>
    </row>
    <row r="11" spans="1:24" ht="18" customHeight="1">
      <c r="A11" s="184"/>
      <c r="B11" s="47" t="s">
        <v>394</v>
      </c>
      <c r="H11" s="781" t="s">
        <v>901</v>
      </c>
      <c r="I11" s="782"/>
      <c r="T11" s="1248"/>
      <c r="U11" s="1248"/>
      <c r="V11" s="185"/>
    </row>
    <row r="12" spans="1:24" ht="18" customHeight="1">
      <c r="A12" s="184"/>
      <c r="B12" s="47" t="s">
        <v>396</v>
      </c>
      <c r="G12" s="120" t="s">
        <v>497</v>
      </c>
      <c r="H12" s="781">
        <v>5</v>
      </c>
      <c r="I12" s="782"/>
      <c r="J12" s="192" t="s">
        <v>333</v>
      </c>
      <c r="T12" s="295"/>
      <c r="U12" s="18"/>
      <c r="V12" s="185"/>
    </row>
    <row r="13" spans="1:24" ht="18" customHeight="1">
      <c r="A13" s="184"/>
      <c r="B13" s="30" t="s">
        <v>568</v>
      </c>
      <c r="G13" s="120" t="s">
        <v>569</v>
      </c>
      <c r="H13" s="781">
        <v>5</v>
      </c>
      <c r="I13" s="782"/>
      <c r="T13" s="295"/>
      <c r="U13" s="18"/>
      <c r="V13" s="185"/>
      <c r="W13" s="30" t="str">
        <f>J47</f>
        <v>Suitable Dimensions</v>
      </c>
    </row>
    <row r="14" spans="1:24" ht="18" customHeight="1">
      <c r="A14" s="184"/>
      <c r="B14" s="47" t="s">
        <v>562</v>
      </c>
      <c r="G14" s="120" t="s">
        <v>493</v>
      </c>
      <c r="H14" s="781">
        <v>10</v>
      </c>
      <c r="I14" s="782"/>
      <c r="J14" s="30"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5</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5</v>
      </c>
      <c r="Q22" s="684"/>
      <c r="R22" s="27" t="s">
        <v>157</v>
      </c>
      <c r="S22" s="27"/>
      <c r="T22" s="27"/>
      <c r="V22" s="185"/>
    </row>
    <row r="23" spans="1:31" ht="18" customHeight="1">
      <c r="A23" s="184"/>
      <c r="B23" s="1" t="s">
        <v>413</v>
      </c>
      <c r="C23" s="2"/>
      <c r="D23" s="2"/>
      <c r="E23" s="2"/>
      <c r="F23" s="196"/>
      <c r="G23" s="196"/>
      <c r="H23" s="224" t="s">
        <v>512</v>
      </c>
      <c r="I23" s="183" t="s">
        <v>127</v>
      </c>
      <c r="J23" s="722">
        <f>SUM(J18:K22)</f>
        <v>1.0850224400000001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2500</v>
      </c>
      <c r="Q25" s="1251"/>
      <c r="R25" s="192" t="s">
        <v>8</v>
      </c>
      <c r="V25" s="185"/>
    </row>
    <row r="26" spans="1:31" ht="18" customHeight="1">
      <c r="A26" s="184"/>
      <c r="B26" s="47" t="s">
        <v>547</v>
      </c>
      <c r="C26" s="47"/>
      <c r="D26" s="47"/>
      <c r="E26" s="47"/>
      <c r="H26" s="27"/>
      <c r="I26" s="28"/>
      <c r="J26" s="199"/>
      <c r="L26" s="47"/>
      <c r="N26" s="120" t="s">
        <v>572</v>
      </c>
      <c r="O26" s="28" t="s">
        <v>127</v>
      </c>
      <c r="P26" s="1251">
        <f>H12</f>
        <v>5</v>
      </c>
      <c r="Q26" s="1251"/>
      <c r="R26" s="304" t="s">
        <v>157</v>
      </c>
      <c r="V26" s="185"/>
    </row>
    <row r="27" spans="1:31" ht="18" customHeight="1">
      <c r="A27" s="184"/>
      <c r="B27" s="47" t="s">
        <v>548</v>
      </c>
      <c r="C27" s="47"/>
      <c r="D27" s="47"/>
      <c r="E27" s="47"/>
      <c r="H27" s="27"/>
      <c r="I27" s="28"/>
      <c r="J27" s="199"/>
      <c r="L27" s="47"/>
      <c r="N27" s="120" t="s">
        <v>573</v>
      </c>
      <c r="O27" s="28" t="s">
        <v>127</v>
      </c>
      <c r="P27" s="1072">
        <f>J23</f>
        <v>1.0850224400000001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244" t="s">
        <v>575</v>
      </c>
      <c r="O29" s="28" t="s">
        <v>127</v>
      </c>
      <c r="P29" s="1251">
        <f>H13</f>
        <v>5</v>
      </c>
      <c r="Q29" s="1251"/>
      <c r="R29" s="192"/>
      <c r="V29" s="185"/>
    </row>
    <row r="30" spans="1:31" ht="18" customHeight="1">
      <c r="A30" s="184"/>
      <c r="B30" s="296" t="s">
        <v>576</v>
      </c>
      <c r="C30" s="47"/>
      <c r="D30" s="47"/>
      <c r="E30" s="47"/>
      <c r="H30" s="27"/>
      <c r="I30" s="28"/>
      <c r="J30" s="199"/>
      <c r="L30" s="47"/>
      <c r="N30" s="244"/>
      <c r="O30" s="28" t="s">
        <v>127</v>
      </c>
      <c r="P30" s="1072">
        <v>20</v>
      </c>
      <c r="Q30" s="1072"/>
      <c r="R30" s="192"/>
      <c r="S30" s="14"/>
      <c r="V30" s="185"/>
      <c r="Y30" s="30" t="s">
        <v>577</v>
      </c>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1.0850224400000001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520">
        <f>P29</f>
        <v>5</v>
      </c>
      <c r="K38" s="245" t="s">
        <v>554</v>
      </c>
      <c r="L38" s="301">
        <f>P22</f>
        <v>5</v>
      </c>
      <c r="M38" s="245" t="s">
        <v>347</v>
      </c>
      <c r="N38" s="242">
        <f>H14</f>
        <v>10</v>
      </c>
      <c r="O38" s="245" t="s">
        <v>539</v>
      </c>
      <c r="P38" s="301">
        <f>P22</f>
        <v>5</v>
      </c>
      <c r="Q38" s="245" t="s">
        <v>347</v>
      </c>
      <c r="R38" s="301">
        <f>J23</f>
        <v>1.0850224400000001</v>
      </c>
      <c r="S38" s="296" t="s">
        <v>350</v>
      </c>
      <c r="V38" s="185"/>
    </row>
    <row r="39" spans="1:22" ht="18" customHeight="1">
      <c r="A39" s="184"/>
      <c r="I39" s="27" t="s">
        <v>127</v>
      </c>
      <c r="J39" s="1111">
        <f>J38*((L38+N38)/(P38+R38))</f>
        <v>12.325344851152265</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10</v>
      </c>
      <c r="H43" s="684"/>
      <c r="I43" s="27" t="str">
        <f>IF(G43&gt;J43,"&gt;","&lt;")</f>
        <v>&gt;</v>
      </c>
      <c r="J43" s="795">
        <f>J35</f>
        <v>1.0850224400000001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&gt;</v>
      </c>
      <c r="J46" s="795">
        <f>J39</f>
        <v>12.325344851152265</v>
      </c>
      <c r="K46" s="795"/>
      <c r="R46" s="14"/>
      <c r="S46" s="186" t="str">
        <f>IF(G46&gt;J46,"Satisfied","Not satisfied")</f>
        <v>Satisfied</v>
      </c>
      <c r="V46" s="185"/>
    </row>
    <row r="47" spans="1:22" ht="18" customHeight="1">
      <c r="A47" s="184"/>
      <c r="D47" s="47"/>
      <c r="H47" s="244" t="s">
        <v>478</v>
      </c>
      <c r="J47" s="18" t="str">
        <f>IF(AND(I43="&gt;",I46="&gt;")=TRUE,"Suitable Dimensions","Not suitable")</f>
        <v>Suitable Dimensions</v>
      </c>
      <c r="O47" s="27"/>
      <c r="P47" s="211"/>
      <c r="Q47" s="211"/>
      <c r="R47" s="192"/>
      <c r="V47" s="185"/>
    </row>
    <row r="48" spans="1:22" ht="18" customHeight="1">
      <c r="A48" s="290"/>
      <c r="B48" s="196"/>
      <c r="C48" s="196"/>
      <c r="D48" s="2"/>
      <c r="E48" s="196"/>
      <c r="F48" s="196"/>
      <c r="G48" s="196"/>
      <c r="H48" s="306"/>
      <c r="I48" s="196"/>
      <c r="J48" s="510"/>
      <c r="K48" s="196"/>
      <c r="L48" s="196"/>
      <c r="M48" s="196"/>
      <c r="N48" s="196"/>
      <c r="O48" s="307"/>
      <c r="P48" s="308"/>
      <c r="Q48" s="308"/>
      <c r="R48" s="309"/>
      <c r="S48" s="196"/>
      <c r="T48" s="196"/>
      <c r="U48" s="196"/>
      <c r="V48" s="291"/>
    </row>
    <row r="49" spans="1:22" ht="18" customHeight="1">
      <c r="A49" s="226"/>
      <c r="B49" s="227"/>
      <c r="C49" s="227"/>
      <c r="D49" s="139"/>
      <c r="E49" s="227"/>
      <c r="F49" s="227"/>
      <c r="G49" s="227"/>
      <c r="H49" s="561"/>
      <c r="I49" s="227"/>
      <c r="J49" s="537"/>
      <c r="K49" s="227"/>
      <c r="L49" s="227"/>
      <c r="M49" s="227"/>
      <c r="N49" s="227"/>
      <c r="O49" s="311"/>
      <c r="P49" s="511"/>
      <c r="Q49" s="511"/>
      <c r="R49" s="562"/>
      <c r="S49" s="227"/>
      <c r="T49" s="227"/>
      <c r="U49" s="227"/>
      <c r="V49" s="228"/>
    </row>
    <row r="50" spans="1:22" ht="18" customHeight="1">
      <c r="A50" s="262" t="s">
        <v>501</v>
      </c>
      <c r="B50" s="7"/>
      <c r="C50" s="7"/>
      <c r="D50" s="124"/>
      <c r="E50" s="124"/>
      <c r="F50" s="115"/>
      <c r="G50" s="115"/>
      <c r="H50" s="7"/>
      <c r="I50" s="7"/>
      <c r="J50" s="7"/>
      <c r="K50" s="14"/>
      <c r="L50" s="14"/>
      <c r="M50" s="14"/>
      <c r="N50" s="14"/>
      <c r="O50" s="14"/>
      <c r="P50" s="28"/>
      <c r="Q50" s="120"/>
      <c r="R50" s="47"/>
      <c r="S50" s="206"/>
      <c r="T50" s="259"/>
      <c r="U50" s="14"/>
      <c r="V50" s="97"/>
    </row>
    <row r="51" spans="1:22" ht="18" customHeight="1">
      <c r="A51" s="955" t="s">
        <v>85</v>
      </c>
      <c r="B51" s="956"/>
      <c r="C51" s="957"/>
      <c r="D51" s="955" t="s">
        <v>86</v>
      </c>
      <c r="E51" s="956"/>
      <c r="F51" s="957"/>
      <c r="G51" s="955" t="s">
        <v>87</v>
      </c>
      <c r="H51" s="957"/>
      <c r="I51" s="955" t="s">
        <v>88</v>
      </c>
      <c r="J51" s="957"/>
      <c r="K51" s="955" t="s">
        <v>502</v>
      </c>
      <c r="L51" s="957"/>
      <c r="M51" s="955" t="s">
        <v>102</v>
      </c>
      <c r="N51" s="957"/>
      <c r="O51" s="955"/>
      <c r="P51" s="957"/>
      <c r="Q51" s="955" t="s">
        <v>505</v>
      </c>
      <c r="R51" s="957"/>
      <c r="S51" s="955" t="s">
        <v>93</v>
      </c>
      <c r="T51" s="956"/>
      <c r="U51" s="956"/>
      <c r="V51" s="957"/>
    </row>
    <row r="52" spans="1:22" ht="18" customHeight="1">
      <c r="A52" s="1125"/>
      <c r="B52" s="983"/>
      <c r="C52" s="1126"/>
      <c r="D52" s="1125"/>
      <c r="E52" s="983"/>
      <c r="F52" s="1126"/>
      <c r="G52" s="1125"/>
      <c r="H52" s="1126"/>
      <c r="I52" s="1125"/>
      <c r="J52" s="1126"/>
      <c r="K52" s="1125"/>
      <c r="L52" s="1126"/>
      <c r="M52" s="1125"/>
      <c r="N52" s="1126"/>
      <c r="O52" s="1125"/>
      <c r="P52" s="1126"/>
      <c r="Q52" s="1125"/>
      <c r="R52" s="1126"/>
      <c r="S52" s="1125"/>
      <c r="T52" s="983"/>
      <c r="U52" s="983"/>
      <c r="V52" s="1126"/>
    </row>
    <row r="53" spans="1:22" ht="18" customHeight="1">
      <c r="A53" s="1125"/>
      <c r="B53" s="983"/>
      <c r="C53" s="1126"/>
      <c r="D53" s="1125"/>
      <c r="E53" s="983"/>
      <c r="F53" s="1126"/>
      <c r="G53" s="1125"/>
      <c r="H53" s="1126"/>
      <c r="I53" s="1125"/>
      <c r="J53" s="1126"/>
      <c r="K53" s="1125"/>
      <c r="L53" s="1126"/>
      <c r="M53" s="1125"/>
      <c r="N53" s="1126"/>
      <c r="O53" s="1125"/>
      <c r="P53" s="1126"/>
      <c r="Q53" s="1125"/>
      <c r="R53" s="1126"/>
      <c r="S53" s="1125"/>
      <c r="T53" s="983"/>
      <c r="U53" s="983"/>
      <c r="V53" s="1126"/>
    </row>
    <row r="54" spans="1:22" ht="18" customHeight="1">
      <c r="A54" s="1047"/>
      <c r="B54" s="1048"/>
      <c r="C54" s="1049"/>
      <c r="D54" s="1047"/>
      <c r="E54" s="1048"/>
      <c r="F54" s="1049"/>
      <c r="G54" s="1047"/>
      <c r="H54" s="1049"/>
      <c r="I54" s="1047"/>
      <c r="J54" s="1049"/>
      <c r="K54" s="1047"/>
      <c r="L54" s="1049"/>
      <c r="M54" s="1047"/>
      <c r="N54" s="1049"/>
      <c r="O54" s="1047"/>
      <c r="P54" s="1049"/>
      <c r="Q54" s="1047"/>
      <c r="R54" s="1049"/>
      <c r="S54" s="1047"/>
      <c r="T54" s="1048"/>
      <c r="U54" s="1048"/>
      <c r="V54" s="1049"/>
    </row>
    <row r="55" spans="1:22" ht="18" customHeight="1">
      <c r="A55" s="765" t="str">
        <f>B7</f>
        <v>T1</v>
      </c>
      <c r="B55" s="765" t="str">
        <f>D7</f>
        <v>Core6</v>
      </c>
      <c r="C55" s="765"/>
      <c r="D55" s="870">
        <f>H10</f>
        <v>2500</v>
      </c>
      <c r="E55" s="870"/>
      <c r="F55" s="871">
        <f>O10</f>
        <v>1</v>
      </c>
      <c r="G55" s="961">
        <f>'CT-VT Burdens'!S21</f>
        <v>120</v>
      </c>
      <c r="H55" s="959">
        <f>'CT-VT Burdens'!S10</f>
        <v>6</v>
      </c>
      <c r="I55" s="874" t="str">
        <f>H11</f>
        <v>0.2S</v>
      </c>
      <c r="J55" s="874"/>
      <c r="K55" s="869">
        <f>H12</f>
        <v>5</v>
      </c>
      <c r="L55" s="869"/>
      <c r="M55" s="869">
        <f>H14</f>
        <v>10</v>
      </c>
      <c r="N55" s="869"/>
      <c r="O55" s="870" t="s">
        <v>6</v>
      </c>
      <c r="P55" s="870"/>
      <c r="Q55" s="879" t="str">
        <f>CONCATENATE(T7," ",T8," ",T9," ",T10)</f>
        <v xml:space="preserve">XC-RACK   </v>
      </c>
      <c r="R55" s="879"/>
      <c r="S55" s="878" t="str">
        <f>J47</f>
        <v>Suitable Dimensions</v>
      </c>
      <c r="T55" s="878"/>
      <c r="U55" s="878"/>
      <c r="V55" s="878"/>
    </row>
    <row r="56" spans="1:22" ht="18" customHeight="1">
      <c r="A56" s="765"/>
      <c r="B56" s="765"/>
      <c r="C56" s="765"/>
      <c r="D56" s="870" t="str">
        <f>J10</f>
        <v>-</v>
      </c>
      <c r="E56" s="870"/>
      <c r="F56" s="872"/>
      <c r="G56" s="961"/>
      <c r="H56" s="959"/>
      <c r="I56" s="874"/>
      <c r="J56" s="874"/>
      <c r="K56" s="875" t="s">
        <v>6</v>
      </c>
      <c r="L56" s="869"/>
      <c r="M56" s="875" t="s">
        <v>6</v>
      </c>
      <c r="N56" s="869"/>
      <c r="O56" s="870" t="s">
        <v>6</v>
      </c>
      <c r="P56" s="870"/>
      <c r="Q56" s="879"/>
      <c r="R56" s="879"/>
      <c r="S56" s="877" t="s">
        <v>6</v>
      </c>
      <c r="T56" s="878"/>
      <c r="U56" s="878"/>
      <c r="V56" s="878"/>
    </row>
    <row r="57" spans="1:22" ht="18" customHeight="1">
      <c r="A57" s="765"/>
      <c r="B57" s="765"/>
      <c r="C57" s="765"/>
      <c r="D57" s="870" t="s">
        <v>6</v>
      </c>
      <c r="E57" s="870"/>
      <c r="F57" s="873"/>
      <c r="G57" s="961"/>
      <c r="H57" s="959"/>
      <c r="I57" s="874"/>
      <c r="J57" s="874"/>
      <c r="K57" s="869" t="s">
        <v>6</v>
      </c>
      <c r="L57" s="869"/>
      <c r="M57" s="869" t="s">
        <v>6</v>
      </c>
      <c r="N57" s="869"/>
      <c r="O57" s="870" t="s">
        <v>6</v>
      </c>
      <c r="P57" s="870"/>
      <c r="Q57" s="879"/>
      <c r="R57" s="879"/>
      <c r="S57" s="878" t="s">
        <v>6</v>
      </c>
      <c r="T57" s="878"/>
      <c r="U57" s="878"/>
      <c r="V57" s="878"/>
    </row>
    <row r="58" spans="1:22" ht="18" customHeight="1">
      <c r="A58" s="265"/>
      <c r="B58" s="239"/>
      <c r="C58" s="239"/>
      <c r="D58" s="239"/>
      <c r="E58" s="239"/>
      <c r="F58" s="239"/>
      <c r="G58" s="239"/>
      <c r="H58" s="239"/>
      <c r="I58" s="239"/>
      <c r="J58" s="93"/>
      <c r="K58" s="93"/>
      <c r="L58" s="239"/>
      <c r="M58" s="239"/>
      <c r="N58" s="239"/>
      <c r="O58" s="239"/>
      <c r="P58" s="239"/>
      <c r="Q58" s="239"/>
      <c r="R58" s="239"/>
      <c r="S58" s="239"/>
      <c r="T58" s="239"/>
      <c r="U58" s="103"/>
      <c r="V58" s="310"/>
    </row>
    <row r="59" spans="1:22" ht="18" customHeight="1">
      <c r="A59" s="265"/>
      <c r="B59" s="239"/>
      <c r="C59" s="239"/>
      <c r="D59" s="239"/>
      <c r="E59" s="239"/>
      <c r="F59" s="239"/>
      <c r="G59" s="239"/>
      <c r="H59" s="239"/>
      <c r="I59" s="239"/>
      <c r="J59" s="93"/>
      <c r="K59" s="93"/>
      <c r="L59" s="239"/>
      <c r="M59" s="239"/>
      <c r="N59" s="239"/>
      <c r="O59" s="239"/>
      <c r="P59" s="239"/>
      <c r="Q59" s="239"/>
      <c r="R59" s="239"/>
      <c r="S59" s="239"/>
      <c r="T59" s="239"/>
      <c r="U59" s="103"/>
      <c r="V59" s="310"/>
    </row>
    <row r="60" spans="1:22" ht="18" customHeight="1">
      <c r="A60" s="265"/>
      <c r="B60" s="239"/>
      <c r="C60" s="239"/>
      <c r="D60" s="239"/>
      <c r="E60" s="239"/>
      <c r="F60" s="239"/>
      <c r="G60" s="239"/>
      <c r="H60" s="239"/>
      <c r="I60" s="239"/>
      <c r="J60" s="93"/>
      <c r="K60" s="93"/>
      <c r="L60" s="239"/>
      <c r="M60" s="239"/>
      <c r="N60" s="239"/>
      <c r="O60" s="239"/>
      <c r="P60" s="239"/>
      <c r="Q60" s="239"/>
      <c r="R60" s="239"/>
      <c r="S60" s="239"/>
      <c r="T60" s="239"/>
      <c r="U60" s="103"/>
      <c r="V60" s="310"/>
    </row>
    <row r="61" spans="1:22" ht="18" customHeight="1">
      <c r="A61" s="265"/>
      <c r="B61" s="239"/>
      <c r="C61" s="239"/>
      <c r="D61" s="239"/>
      <c r="E61" s="239"/>
      <c r="F61" s="239"/>
      <c r="G61" s="239"/>
      <c r="H61" s="239"/>
      <c r="I61" s="239"/>
      <c r="J61" s="93"/>
      <c r="K61" s="93"/>
      <c r="L61" s="239"/>
      <c r="M61" s="239"/>
      <c r="N61" s="239"/>
      <c r="O61" s="239"/>
      <c r="P61" s="239"/>
      <c r="Q61" s="239"/>
      <c r="R61" s="239"/>
      <c r="S61" s="239"/>
      <c r="T61" s="239"/>
      <c r="U61" s="103"/>
      <c r="V61" s="310"/>
    </row>
    <row r="62" spans="1:22" ht="18" customHeight="1">
      <c r="A62" s="265"/>
      <c r="B62" s="239"/>
      <c r="C62" s="239"/>
      <c r="D62" s="239"/>
      <c r="E62" s="239"/>
      <c r="F62" s="239"/>
      <c r="G62" s="239"/>
      <c r="H62" s="239"/>
      <c r="I62" s="239"/>
      <c r="J62" s="93"/>
      <c r="K62" s="93"/>
      <c r="L62" s="239"/>
      <c r="M62" s="239"/>
      <c r="N62" s="239"/>
      <c r="O62" s="239"/>
      <c r="P62" s="239"/>
      <c r="Q62" s="239"/>
      <c r="R62" s="239"/>
      <c r="S62" s="239"/>
      <c r="T62" s="239"/>
      <c r="U62" s="103"/>
      <c r="V62" s="310"/>
    </row>
    <row r="63" spans="1:22" ht="18" customHeight="1">
      <c r="A63" s="265"/>
      <c r="B63" s="239"/>
      <c r="C63" s="239"/>
      <c r="D63" s="239"/>
      <c r="E63" s="239"/>
      <c r="F63" s="239"/>
      <c r="G63" s="239"/>
      <c r="H63" s="239"/>
      <c r="I63" s="239"/>
      <c r="J63" s="93"/>
      <c r="K63" s="93"/>
      <c r="L63" s="239"/>
      <c r="M63" s="239"/>
      <c r="N63" s="239"/>
      <c r="O63" s="239"/>
      <c r="P63" s="239"/>
      <c r="Q63" s="239"/>
      <c r="R63" s="239"/>
      <c r="S63" s="239"/>
      <c r="T63" s="239"/>
      <c r="U63" s="103"/>
      <c r="V63" s="310"/>
    </row>
    <row r="64" spans="1:22" ht="18" customHeight="1">
      <c r="A64" s="265"/>
      <c r="B64" s="239"/>
      <c r="C64" s="239"/>
      <c r="D64" s="239"/>
      <c r="E64" s="239"/>
      <c r="F64" s="239"/>
      <c r="G64" s="239"/>
      <c r="H64" s="239"/>
      <c r="I64" s="239"/>
      <c r="J64" s="93"/>
      <c r="K64" s="93"/>
      <c r="L64" s="239"/>
      <c r="M64" s="239"/>
      <c r="N64" s="239"/>
      <c r="O64" s="239"/>
      <c r="P64" s="239"/>
      <c r="Q64" s="239"/>
      <c r="R64" s="239"/>
      <c r="S64" s="239"/>
      <c r="T64" s="239"/>
      <c r="U64" s="103"/>
      <c r="V64" s="310"/>
    </row>
    <row r="65" spans="1:22" ht="18" customHeight="1">
      <c r="A65" s="265"/>
      <c r="B65" s="239"/>
      <c r="C65" s="239"/>
      <c r="D65" s="239"/>
      <c r="E65" s="239"/>
      <c r="F65" s="239"/>
      <c r="G65" s="239"/>
      <c r="H65" s="239"/>
      <c r="I65" s="239"/>
      <c r="J65" s="93"/>
      <c r="K65" s="93"/>
      <c r="L65" s="239"/>
      <c r="M65" s="239"/>
      <c r="N65" s="239"/>
      <c r="O65" s="239"/>
      <c r="P65" s="239"/>
      <c r="Q65" s="239"/>
      <c r="R65" s="239"/>
      <c r="S65" s="239"/>
      <c r="T65" s="239"/>
      <c r="U65" s="103"/>
      <c r="V65" s="310"/>
    </row>
    <row r="66" spans="1:22" ht="18" customHeight="1">
      <c r="A66" s="265"/>
      <c r="B66" s="239"/>
      <c r="C66" s="239"/>
      <c r="D66" s="239"/>
      <c r="E66" s="239"/>
      <c r="F66" s="239"/>
      <c r="G66" s="239"/>
      <c r="H66" s="239"/>
      <c r="I66" s="239"/>
      <c r="J66" s="93"/>
      <c r="K66" s="93"/>
      <c r="L66" s="239"/>
      <c r="M66" s="239"/>
      <c r="N66" s="239"/>
      <c r="O66" s="239"/>
      <c r="P66" s="239"/>
      <c r="Q66" s="239"/>
      <c r="R66" s="239"/>
      <c r="S66" s="239"/>
      <c r="T66" s="239"/>
      <c r="U66" s="103"/>
      <c r="V66" s="310"/>
    </row>
    <row r="67" spans="1:22" ht="18" customHeight="1">
      <c r="A67" s="265"/>
      <c r="B67" s="239"/>
      <c r="C67" s="239"/>
      <c r="D67" s="239"/>
      <c r="E67" s="239"/>
      <c r="F67" s="239"/>
      <c r="G67" s="239"/>
      <c r="H67" s="239"/>
      <c r="I67" s="239"/>
      <c r="J67" s="93"/>
      <c r="K67" s="93"/>
      <c r="L67" s="239"/>
      <c r="M67" s="239"/>
      <c r="N67" s="239"/>
      <c r="O67" s="239"/>
      <c r="P67" s="239"/>
      <c r="Q67" s="239"/>
      <c r="R67" s="239"/>
      <c r="S67" s="239"/>
      <c r="T67" s="239"/>
      <c r="U67" s="103"/>
      <c r="V67" s="310"/>
    </row>
    <row r="68" spans="1:22" ht="18" customHeight="1">
      <c r="A68" s="265"/>
      <c r="B68" s="239"/>
      <c r="C68" s="239"/>
      <c r="D68" s="239"/>
      <c r="E68" s="239"/>
      <c r="F68" s="239"/>
      <c r="G68" s="239"/>
      <c r="H68" s="239"/>
      <c r="I68" s="239"/>
      <c r="J68" s="93"/>
      <c r="K68" s="93"/>
      <c r="L68" s="239"/>
      <c r="M68" s="239"/>
      <c r="N68" s="239"/>
      <c r="O68" s="239"/>
      <c r="P68" s="239"/>
      <c r="Q68" s="239"/>
      <c r="R68" s="239"/>
      <c r="S68" s="239"/>
      <c r="T68" s="239"/>
      <c r="U68" s="103"/>
      <c r="V68" s="310"/>
    </row>
    <row r="69" spans="1:22" ht="18" customHeight="1">
      <c r="A69" s="265"/>
      <c r="B69" s="239"/>
      <c r="C69" s="239"/>
      <c r="D69" s="239"/>
      <c r="E69" s="239"/>
      <c r="F69" s="239"/>
      <c r="G69" s="239"/>
      <c r="H69" s="239"/>
      <c r="I69" s="239"/>
      <c r="J69" s="93"/>
      <c r="K69" s="93"/>
      <c r="L69" s="239"/>
      <c r="M69" s="239"/>
      <c r="N69" s="239"/>
      <c r="O69" s="239"/>
      <c r="P69" s="239"/>
      <c r="Q69" s="239"/>
      <c r="R69" s="239"/>
      <c r="S69" s="239"/>
      <c r="T69" s="239"/>
      <c r="U69" s="103"/>
      <c r="V69" s="310"/>
    </row>
    <row r="70" spans="1:22" ht="18" customHeight="1">
      <c r="A70" s="265"/>
      <c r="B70" s="239"/>
      <c r="C70" s="239"/>
      <c r="D70" s="239"/>
      <c r="E70" s="239"/>
      <c r="F70" s="239"/>
      <c r="G70" s="239"/>
      <c r="H70" s="239"/>
      <c r="I70" s="239"/>
      <c r="J70" s="93"/>
      <c r="K70" s="93"/>
      <c r="L70" s="239"/>
      <c r="M70" s="239"/>
      <c r="N70" s="239"/>
      <c r="O70" s="239"/>
      <c r="P70" s="239"/>
      <c r="Q70" s="239"/>
      <c r="R70" s="239"/>
      <c r="S70" s="239"/>
      <c r="T70" s="239"/>
      <c r="U70" s="103"/>
      <c r="V70" s="310"/>
    </row>
    <row r="71" spans="1:22" ht="18" customHeight="1">
      <c r="A71" s="265"/>
      <c r="B71" s="239"/>
      <c r="C71" s="239"/>
      <c r="D71" s="239"/>
      <c r="E71" s="239"/>
      <c r="F71" s="239"/>
      <c r="G71" s="239"/>
      <c r="H71" s="239"/>
      <c r="I71" s="239"/>
      <c r="J71" s="93"/>
      <c r="K71" s="93"/>
      <c r="L71" s="239"/>
      <c r="M71" s="239"/>
      <c r="N71" s="239"/>
      <c r="O71" s="239"/>
      <c r="P71" s="239"/>
      <c r="Q71" s="239"/>
      <c r="R71" s="239"/>
      <c r="S71" s="239"/>
      <c r="T71" s="239"/>
      <c r="U71" s="103"/>
      <c r="V71" s="310"/>
    </row>
    <row r="72" spans="1:22" ht="18" customHeight="1">
      <c r="A72" s="265"/>
      <c r="B72" s="239"/>
      <c r="C72" s="239"/>
      <c r="D72" s="239"/>
      <c r="E72" s="239"/>
      <c r="F72" s="239"/>
      <c r="G72" s="239"/>
      <c r="H72" s="239"/>
      <c r="I72" s="239"/>
      <c r="J72" s="93"/>
      <c r="K72" s="93"/>
      <c r="L72" s="239"/>
      <c r="M72" s="239"/>
      <c r="N72" s="239"/>
      <c r="O72" s="239"/>
      <c r="P72" s="239"/>
      <c r="Q72" s="239"/>
      <c r="R72" s="239"/>
      <c r="S72" s="239"/>
      <c r="T72" s="239"/>
      <c r="U72" s="103"/>
      <c r="V72" s="310"/>
    </row>
    <row r="73" spans="1:22" ht="18" customHeight="1">
      <c r="A73" s="265"/>
      <c r="B73" s="239"/>
      <c r="C73" s="239"/>
      <c r="D73" s="239"/>
      <c r="E73" s="239"/>
      <c r="F73" s="239"/>
      <c r="G73" s="239"/>
      <c r="H73" s="239"/>
      <c r="I73" s="239"/>
      <c r="J73" s="93"/>
      <c r="K73" s="93"/>
      <c r="L73" s="239"/>
      <c r="M73" s="239"/>
      <c r="N73" s="239"/>
      <c r="O73" s="239"/>
      <c r="P73" s="239"/>
      <c r="Q73" s="239"/>
      <c r="R73" s="239"/>
      <c r="S73" s="239"/>
      <c r="T73" s="239"/>
      <c r="U73" s="103"/>
      <c r="V73" s="310"/>
    </row>
    <row r="74" spans="1:22" ht="18" customHeight="1">
      <c r="A74" s="265"/>
      <c r="B74" s="239"/>
      <c r="C74" s="239"/>
      <c r="D74" s="239"/>
      <c r="E74" s="239"/>
      <c r="F74" s="239"/>
      <c r="G74" s="239"/>
      <c r="H74" s="239"/>
      <c r="I74" s="239"/>
      <c r="J74" s="93"/>
      <c r="K74" s="93"/>
      <c r="L74" s="239"/>
      <c r="M74" s="239"/>
      <c r="N74" s="239"/>
      <c r="O74" s="239"/>
      <c r="P74" s="239"/>
      <c r="Q74" s="239"/>
      <c r="R74" s="239"/>
      <c r="S74" s="239"/>
      <c r="T74" s="239"/>
      <c r="U74" s="103"/>
      <c r="V74" s="310"/>
    </row>
    <row r="75" spans="1:22" ht="18" customHeight="1">
      <c r="A75" s="265"/>
      <c r="B75" s="239"/>
      <c r="C75" s="239"/>
      <c r="D75" s="239"/>
      <c r="E75" s="239"/>
      <c r="F75" s="239"/>
      <c r="G75" s="239"/>
      <c r="H75" s="239"/>
      <c r="I75" s="239"/>
      <c r="J75" s="93"/>
      <c r="K75" s="93"/>
      <c r="L75" s="239"/>
      <c r="M75" s="239"/>
      <c r="N75" s="239"/>
      <c r="O75" s="239"/>
      <c r="P75" s="239"/>
      <c r="Q75" s="239"/>
      <c r="R75" s="239"/>
      <c r="S75" s="239"/>
      <c r="T75" s="239"/>
      <c r="U75" s="103"/>
      <c r="V75" s="310"/>
    </row>
    <row r="76" spans="1:22" ht="18" customHeight="1">
      <c r="A76" s="265"/>
      <c r="B76" s="239"/>
      <c r="C76" s="239"/>
      <c r="D76" s="239"/>
      <c r="E76" s="239"/>
      <c r="F76" s="239"/>
      <c r="G76" s="239"/>
      <c r="H76" s="239"/>
      <c r="I76" s="239"/>
      <c r="J76" s="93"/>
      <c r="K76" s="93"/>
      <c r="L76" s="239"/>
      <c r="M76" s="239"/>
      <c r="N76" s="239"/>
      <c r="O76" s="239"/>
      <c r="P76" s="239"/>
      <c r="Q76" s="239"/>
      <c r="R76" s="239"/>
      <c r="S76" s="239"/>
      <c r="T76" s="239"/>
      <c r="U76" s="103"/>
      <c r="V76" s="310"/>
    </row>
    <row r="77" spans="1:22" ht="18" customHeight="1">
      <c r="A77" s="265"/>
      <c r="B77" s="239"/>
      <c r="C77" s="239"/>
      <c r="D77" s="239"/>
      <c r="E77" s="239"/>
      <c r="F77" s="239"/>
      <c r="G77" s="239"/>
      <c r="H77" s="239"/>
      <c r="I77" s="239"/>
      <c r="J77" s="93"/>
      <c r="K77" s="93"/>
      <c r="L77" s="239"/>
      <c r="M77" s="239"/>
      <c r="N77" s="239"/>
      <c r="O77" s="239"/>
      <c r="P77" s="239"/>
      <c r="Q77" s="239"/>
      <c r="R77" s="239"/>
      <c r="S77" s="239"/>
      <c r="T77" s="239"/>
      <c r="U77" s="103"/>
      <c r="V77" s="310"/>
    </row>
    <row r="78" spans="1:22" ht="18" customHeight="1">
      <c r="A78" s="265"/>
      <c r="B78" s="239"/>
      <c r="C78" s="239"/>
      <c r="D78" s="239"/>
      <c r="E78" s="239"/>
      <c r="F78" s="239"/>
      <c r="G78" s="239"/>
      <c r="H78" s="239"/>
      <c r="I78" s="239"/>
      <c r="J78" s="93"/>
      <c r="K78" s="93"/>
      <c r="L78" s="239"/>
      <c r="M78" s="239"/>
      <c r="N78" s="239"/>
      <c r="O78" s="239"/>
      <c r="P78" s="239"/>
      <c r="Q78" s="239"/>
      <c r="R78" s="239"/>
      <c r="S78" s="239"/>
      <c r="T78" s="239"/>
      <c r="U78" s="103"/>
      <c r="V78" s="310"/>
    </row>
    <row r="79" spans="1:22" ht="18" customHeight="1">
      <c r="A79" s="265"/>
      <c r="B79" s="239"/>
      <c r="C79" s="239"/>
      <c r="D79" s="239"/>
      <c r="E79" s="239"/>
      <c r="F79" s="239"/>
      <c r="G79" s="239"/>
      <c r="H79" s="239"/>
      <c r="I79" s="239"/>
      <c r="J79" s="93"/>
      <c r="K79" s="93"/>
      <c r="L79" s="239"/>
      <c r="M79" s="239"/>
      <c r="N79" s="239"/>
      <c r="O79" s="239"/>
      <c r="P79" s="239"/>
      <c r="Q79" s="239"/>
      <c r="R79" s="239"/>
      <c r="S79" s="239"/>
      <c r="T79" s="239"/>
      <c r="U79" s="103"/>
      <c r="V79" s="310"/>
    </row>
    <row r="80" spans="1:22" ht="18" customHeight="1">
      <c r="A80" s="265"/>
      <c r="B80" s="239"/>
      <c r="C80" s="239"/>
      <c r="D80" s="239"/>
      <c r="E80" s="239"/>
      <c r="F80" s="239"/>
      <c r="G80" s="239"/>
      <c r="H80" s="239"/>
      <c r="I80" s="239"/>
      <c r="J80" s="93"/>
      <c r="K80" s="93"/>
      <c r="L80" s="239"/>
      <c r="M80" s="239"/>
      <c r="N80" s="239"/>
      <c r="O80" s="239"/>
      <c r="P80" s="239"/>
      <c r="Q80" s="239"/>
      <c r="R80" s="239"/>
      <c r="S80" s="239"/>
      <c r="T80" s="239"/>
      <c r="U80" s="103"/>
      <c r="V80" s="310"/>
    </row>
    <row r="81" spans="1:22" ht="18" customHeight="1">
      <c r="A81" s="265"/>
      <c r="B81" s="239"/>
      <c r="C81" s="239"/>
      <c r="D81" s="239"/>
      <c r="E81" s="239"/>
      <c r="F81" s="239"/>
      <c r="G81" s="239"/>
      <c r="H81" s="239"/>
      <c r="I81" s="239"/>
      <c r="J81" s="93"/>
      <c r="K81" s="93"/>
      <c r="L81" s="239"/>
      <c r="M81" s="239"/>
      <c r="N81" s="239"/>
      <c r="O81" s="239"/>
      <c r="P81" s="239"/>
      <c r="Q81" s="239"/>
      <c r="R81" s="239"/>
      <c r="S81" s="239"/>
      <c r="T81" s="239"/>
      <c r="U81" s="103"/>
      <c r="V81" s="310"/>
    </row>
    <row r="82" spans="1:22" ht="18" customHeight="1">
      <c r="A82" s="265"/>
      <c r="B82" s="239"/>
      <c r="C82" s="239"/>
      <c r="D82" s="239"/>
      <c r="E82" s="239"/>
      <c r="F82" s="239"/>
      <c r="G82" s="239"/>
      <c r="H82" s="239"/>
      <c r="I82" s="239"/>
      <c r="J82" s="93"/>
      <c r="K82" s="93"/>
      <c r="L82" s="239"/>
      <c r="M82" s="239"/>
      <c r="N82" s="239"/>
      <c r="O82" s="239"/>
      <c r="P82" s="239"/>
      <c r="Q82" s="239"/>
      <c r="R82" s="239"/>
      <c r="S82" s="239"/>
      <c r="T82" s="239"/>
      <c r="U82" s="103"/>
      <c r="V82" s="310"/>
    </row>
    <row r="83" spans="1:22" ht="18" customHeight="1">
      <c r="A83" s="265"/>
      <c r="B83" s="239"/>
      <c r="C83" s="239"/>
      <c r="D83" s="239"/>
      <c r="E83" s="239"/>
      <c r="F83" s="239"/>
      <c r="G83" s="239"/>
      <c r="H83" s="239"/>
      <c r="I83" s="239"/>
      <c r="J83" s="93"/>
      <c r="K83" s="93"/>
      <c r="L83" s="239"/>
      <c r="M83" s="239"/>
      <c r="N83" s="239"/>
      <c r="O83" s="239"/>
      <c r="P83" s="239"/>
      <c r="Q83" s="239"/>
      <c r="R83" s="239"/>
      <c r="S83" s="239"/>
      <c r="T83" s="239"/>
      <c r="U83" s="103"/>
      <c r="V83" s="310"/>
    </row>
    <row r="84" spans="1:22" ht="18" customHeight="1">
      <c r="A84" s="265"/>
      <c r="B84" s="239"/>
      <c r="C84" s="239"/>
      <c r="D84" s="239"/>
      <c r="E84" s="239"/>
      <c r="F84" s="239"/>
      <c r="G84" s="239"/>
      <c r="H84" s="239"/>
      <c r="I84" s="239"/>
      <c r="J84" s="93"/>
      <c r="K84" s="93"/>
      <c r="L84" s="239"/>
      <c r="M84" s="239"/>
      <c r="N84" s="239"/>
      <c r="O84" s="239"/>
      <c r="P84" s="239"/>
      <c r="Q84" s="239"/>
      <c r="R84" s="239"/>
      <c r="S84" s="239"/>
      <c r="T84" s="239"/>
      <c r="U84" s="103"/>
      <c r="V84" s="310"/>
    </row>
    <row r="85" spans="1:22" ht="18" customHeight="1">
      <c r="A85" s="265"/>
      <c r="B85" s="239"/>
      <c r="C85" s="239"/>
      <c r="D85" s="239"/>
      <c r="E85" s="239"/>
      <c r="F85" s="239"/>
      <c r="G85" s="239"/>
      <c r="H85" s="239"/>
      <c r="I85" s="239"/>
      <c r="J85" s="93"/>
      <c r="K85" s="93"/>
      <c r="L85" s="239"/>
      <c r="M85" s="239"/>
      <c r="N85" s="239"/>
      <c r="O85" s="239"/>
      <c r="P85" s="239"/>
      <c r="Q85" s="239"/>
      <c r="R85" s="239"/>
      <c r="S85" s="239"/>
      <c r="T85" s="239"/>
      <c r="U85" s="103"/>
      <c r="V85" s="310"/>
    </row>
    <row r="86" spans="1:22" ht="18" customHeight="1">
      <c r="A86" s="265"/>
      <c r="B86" s="239"/>
      <c r="C86" s="239"/>
      <c r="D86" s="239"/>
      <c r="E86" s="239"/>
      <c r="F86" s="239"/>
      <c r="G86" s="239"/>
      <c r="H86" s="239"/>
      <c r="I86" s="239"/>
      <c r="J86" s="93"/>
      <c r="K86" s="93"/>
      <c r="L86" s="239"/>
      <c r="M86" s="239"/>
      <c r="N86" s="239"/>
      <c r="O86" s="239"/>
      <c r="P86" s="239"/>
      <c r="Q86" s="239"/>
      <c r="R86" s="239"/>
      <c r="S86" s="239"/>
      <c r="T86" s="239"/>
      <c r="U86" s="103"/>
      <c r="V86" s="310"/>
    </row>
    <row r="87" spans="1:22" ht="18" customHeight="1">
      <c r="A87" s="265"/>
      <c r="B87" s="239"/>
      <c r="C87" s="239"/>
      <c r="D87" s="239"/>
      <c r="E87" s="239"/>
      <c r="F87" s="239"/>
      <c r="G87" s="239"/>
      <c r="H87" s="239"/>
      <c r="I87" s="239"/>
      <c r="J87" s="93"/>
      <c r="K87" s="93"/>
      <c r="L87" s="239"/>
      <c r="M87" s="239"/>
      <c r="N87" s="239"/>
      <c r="O87" s="239"/>
      <c r="P87" s="239"/>
      <c r="Q87" s="239"/>
      <c r="R87" s="239"/>
      <c r="S87" s="239"/>
      <c r="T87" s="239"/>
      <c r="U87" s="103"/>
      <c r="V87" s="310"/>
    </row>
    <row r="88" spans="1:22" ht="18" customHeight="1">
      <c r="A88" s="184"/>
      <c r="V88" s="185"/>
    </row>
    <row r="89" spans="1:22" s="14" customFormat="1" ht="18" customHeight="1">
      <c r="A89" s="194"/>
      <c r="B89" s="195"/>
      <c r="C89" s="195"/>
      <c r="D89" s="195"/>
      <c r="E89" s="195"/>
      <c r="F89" s="195"/>
      <c r="G89" s="195"/>
      <c r="H89" s="195"/>
      <c r="I89" s="195"/>
      <c r="J89" s="195"/>
      <c r="K89" s="195"/>
      <c r="L89" s="195"/>
      <c r="M89" s="195"/>
      <c r="N89" s="195"/>
      <c r="O89" s="195"/>
      <c r="P89" s="195"/>
      <c r="Q89" s="224"/>
      <c r="R89" s="182"/>
      <c r="S89" s="225"/>
      <c r="T89" s="195"/>
      <c r="U89" s="195"/>
      <c r="V89" s="134"/>
    </row>
  </sheetData>
  <mergeCells count="88">
    <mergeCell ref="H55:H57"/>
    <mergeCell ref="D56:E56"/>
    <mergeCell ref="K56:L56"/>
    <mergeCell ref="M56:N56"/>
    <mergeCell ref="O56:P56"/>
    <mergeCell ref="D57:E57"/>
    <mergeCell ref="K57:L57"/>
    <mergeCell ref="M57:N57"/>
    <mergeCell ref="O57:P57"/>
    <mergeCell ref="A55:A57"/>
    <mergeCell ref="B55:C57"/>
    <mergeCell ref="D55:E55"/>
    <mergeCell ref="F55:F57"/>
    <mergeCell ref="G55:G57"/>
    <mergeCell ref="S57:V57"/>
    <mergeCell ref="I55:J57"/>
    <mergeCell ref="K55:L55"/>
    <mergeCell ref="M55:N55"/>
    <mergeCell ref="O55:P55"/>
    <mergeCell ref="Q55:R57"/>
    <mergeCell ref="S55:V55"/>
    <mergeCell ref="S56:V56"/>
    <mergeCell ref="A51:C54"/>
    <mergeCell ref="D51:F54"/>
    <mergeCell ref="G51:H54"/>
    <mergeCell ref="I51:J54"/>
    <mergeCell ref="K51:L54"/>
    <mergeCell ref="S32:T32"/>
    <mergeCell ref="M51:N54"/>
    <mergeCell ref="J36:K36"/>
    <mergeCell ref="J39:K39"/>
    <mergeCell ref="G43:H43"/>
    <mergeCell ref="J43:K43"/>
    <mergeCell ref="G46:H46"/>
    <mergeCell ref="J46:K46"/>
    <mergeCell ref="O51:P54"/>
    <mergeCell ref="Q51:R54"/>
    <mergeCell ref="S51:V54"/>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H7:M7"/>
    <mergeCell ref="H12:I12"/>
    <mergeCell ref="H13:I13"/>
    <mergeCell ref="H14:I14"/>
    <mergeCell ref="J18:K18"/>
    <mergeCell ref="J19:K1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T7:U7"/>
    <mergeCell ref="T8:U8"/>
    <mergeCell ref="H9:I9"/>
    <mergeCell ref="J9:K9"/>
    <mergeCell ref="L9:M9"/>
    <mergeCell ref="T9:U9"/>
  </mergeCells>
  <conditionalFormatting sqref="I47:J49">
    <cfRule type="cellIs" dxfId="109" priority="2" stopIfTrue="1" operator="equal">
      <formula>"Not suitable"</formula>
    </cfRule>
  </conditionalFormatting>
  <conditionalFormatting sqref="S43 S46">
    <cfRule type="cellIs" dxfId="108"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codeName="Sheet37">
    <tabColor rgb="FFFFFF00"/>
  </sheetPr>
  <dimension ref="A1:AE89"/>
  <sheetViews>
    <sheetView showZeros="0" view="pageBreakPreview" topLeftCell="A21" zoomScaleNormal="100" zoomScaleSheetLayoutView="100" workbookViewId="0">
      <selection activeCell="U38" sqref="U3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892</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781" t="s">
        <v>108</v>
      </c>
      <c r="C7" s="782"/>
      <c r="D7" s="781" t="s">
        <v>906</v>
      </c>
      <c r="E7" s="782"/>
      <c r="F7" s="255"/>
      <c r="H7" s="684" t="s">
        <v>908</v>
      </c>
      <c r="I7" s="684"/>
      <c r="J7" s="684"/>
      <c r="K7" s="684"/>
      <c r="L7" s="684"/>
      <c r="M7" s="684"/>
      <c r="P7" s="186"/>
      <c r="R7" s="255"/>
      <c r="S7" s="187" t="s">
        <v>387</v>
      </c>
      <c r="T7" s="1216" t="s">
        <v>244</v>
      </c>
      <c r="U7" s="1247"/>
      <c r="V7" s="185"/>
    </row>
    <row r="8" spans="1:24" ht="18" customHeight="1">
      <c r="A8" s="184"/>
      <c r="B8" s="538"/>
      <c r="C8" s="538"/>
      <c r="D8" s="538"/>
      <c r="E8" s="538"/>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2000</v>
      </c>
      <c r="I10" s="792"/>
      <c r="J10" s="781" t="s">
        <v>6</v>
      </c>
      <c r="K10" s="782"/>
      <c r="L10" s="781" t="s">
        <v>6</v>
      </c>
      <c r="M10" s="782"/>
      <c r="N10" s="191" t="s">
        <v>342</v>
      </c>
      <c r="O10" s="125">
        <v>1</v>
      </c>
      <c r="P10" s="27" t="s">
        <v>8</v>
      </c>
      <c r="T10" s="1216"/>
      <c r="U10" s="1247"/>
      <c r="V10" s="185"/>
    </row>
    <row r="11" spans="1:24" ht="18" customHeight="1">
      <c r="A11" s="184"/>
      <c r="B11" s="47" t="s">
        <v>394</v>
      </c>
      <c r="H11" s="781" t="s">
        <v>901</v>
      </c>
      <c r="I11" s="782"/>
      <c r="T11" s="1248"/>
      <c r="U11" s="1248"/>
      <c r="V11" s="185"/>
    </row>
    <row r="12" spans="1:24" ht="18" customHeight="1">
      <c r="A12" s="184"/>
      <c r="B12" s="47" t="s">
        <v>396</v>
      </c>
      <c r="G12" s="120" t="s">
        <v>497</v>
      </c>
      <c r="H12" s="781">
        <v>5</v>
      </c>
      <c r="I12" s="782"/>
      <c r="J12" s="192" t="s">
        <v>333</v>
      </c>
      <c r="T12" s="295"/>
      <c r="U12" s="18"/>
      <c r="V12" s="185"/>
    </row>
    <row r="13" spans="1:24" ht="18" customHeight="1">
      <c r="A13" s="184"/>
      <c r="B13" s="30" t="s">
        <v>568</v>
      </c>
      <c r="G13" s="120" t="s">
        <v>569</v>
      </c>
      <c r="H13" s="781">
        <v>5</v>
      </c>
      <c r="I13" s="782"/>
      <c r="T13" s="295"/>
      <c r="U13" s="18"/>
      <c r="V13" s="185"/>
      <c r="W13" s="30" t="str">
        <f>J46</f>
        <v>Suitable Dimensions</v>
      </c>
    </row>
    <row r="14" spans="1:24" ht="18" customHeight="1">
      <c r="A14" s="184"/>
      <c r="B14" s="47" t="s">
        <v>562</v>
      </c>
      <c r="G14" s="120" t="s">
        <v>493</v>
      </c>
      <c r="H14" s="781">
        <v>10</v>
      </c>
      <c r="I14" s="782"/>
      <c r="J14" s="30"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5</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5</v>
      </c>
      <c r="Q22" s="684"/>
      <c r="R22" s="27" t="s">
        <v>157</v>
      </c>
      <c r="S22" s="27"/>
      <c r="T22" s="27"/>
      <c r="V22" s="185"/>
    </row>
    <row r="23" spans="1:31" ht="18" customHeight="1">
      <c r="A23" s="184"/>
      <c r="B23" s="1" t="s">
        <v>413</v>
      </c>
      <c r="C23" s="2"/>
      <c r="D23" s="2"/>
      <c r="E23" s="2"/>
      <c r="F23" s="196"/>
      <c r="G23" s="196"/>
      <c r="H23" s="224" t="s">
        <v>512</v>
      </c>
      <c r="I23" s="183" t="s">
        <v>127</v>
      </c>
      <c r="J23" s="722">
        <f>SUM(J18:K22)</f>
        <v>1.0850224400000001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2000</v>
      </c>
      <c r="Q25" s="1251"/>
      <c r="R25" s="192" t="s">
        <v>8</v>
      </c>
      <c r="V25" s="185"/>
    </row>
    <row r="26" spans="1:31" ht="18" customHeight="1">
      <c r="A26" s="184"/>
      <c r="B26" s="47" t="s">
        <v>547</v>
      </c>
      <c r="C26" s="47"/>
      <c r="D26" s="47"/>
      <c r="E26" s="47"/>
      <c r="H26" s="27"/>
      <c r="I26" s="28"/>
      <c r="J26" s="199"/>
      <c r="L26" s="47"/>
      <c r="N26" s="120" t="s">
        <v>572</v>
      </c>
      <c r="O26" s="28" t="s">
        <v>127</v>
      </c>
      <c r="P26" s="1251">
        <f>H12</f>
        <v>5</v>
      </c>
      <c r="Q26" s="1251"/>
      <c r="R26" s="304" t="s">
        <v>157</v>
      </c>
      <c r="V26" s="185"/>
    </row>
    <row r="27" spans="1:31" ht="18" customHeight="1">
      <c r="A27" s="184"/>
      <c r="B27" s="47" t="s">
        <v>548</v>
      </c>
      <c r="C27" s="47"/>
      <c r="D27" s="47"/>
      <c r="E27" s="47"/>
      <c r="H27" s="27"/>
      <c r="I27" s="28"/>
      <c r="J27" s="199"/>
      <c r="L27" s="47"/>
      <c r="N27" s="120" t="s">
        <v>573</v>
      </c>
      <c r="O27" s="28" t="s">
        <v>127</v>
      </c>
      <c r="P27" s="1072">
        <f>J23</f>
        <v>1.0850224400000001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244" t="s">
        <v>575</v>
      </c>
      <c r="O29" s="28" t="s">
        <v>127</v>
      </c>
      <c r="P29" s="1251">
        <f>H13</f>
        <v>5</v>
      </c>
      <c r="Q29" s="1251"/>
      <c r="R29" s="192"/>
      <c r="V29" s="185"/>
    </row>
    <row r="30" spans="1:31" ht="18" customHeight="1">
      <c r="A30" s="184"/>
      <c r="B30" s="296" t="s">
        <v>576</v>
      </c>
      <c r="C30" s="47"/>
      <c r="D30" s="47"/>
      <c r="E30" s="47"/>
      <c r="H30" s="27"/>
      <c r="I30" s="28"/>
      <c r="J30" s="199"/>
      <c r="L30" s="47"/>
      <c r="N30" s="244"/>
      <c r="O30" s="28" t="s">
        <v>127</v>
      </c>
      <c r="P30" s="1072">
        <v>20</v>
      </c>
      <c r="Q30" s="1072"/>
      <c r="R30" s="192"/>
      <c r="S30" s="14"/>
      <c r="V30" s="185"/>
      <c r="Y30" s="30" t="s">
        <v>577</v>
      </c>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1.0850224400000001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520">
        <f>P29</f>
        <v>5</v>
      </c>
      <c r="K38" s="245" t="s">
        <v>554</v>
      </c>
      <c r="L38" s="301">
        <f>P22</f>
        <v>5</v>
      </c>
      <c r="M38" s="245" t="s">
        <v>347</v>
      </c>
      <c r="N38" s="242">
        <f>H14</f>
        <v>10</v>
      </c>
      <c r="O38" s="245" t="s">
        <v>539</v>
      </c>
      <c r="P38" s="301">
        <f>P22</f>
        <v>5</v>
      </c>
      <c r="Q38" s="245" t="s">
        <v>347</v>
      </c>
      <c r="R38" s="301">
        <f>J23</f>
        <v>1.0850224400000001</v>
      </c>
      <c r="S38" s="296" t="s">
        <v>350</v>
      </c>
      <c r="V38" s="185"/>
    </row>
    <row r="39" spans="1:22" ht="18" customHeight="1">
      <c r="A39" s="184"/>
      <c r="I39" s="27" t="s">
        <v>127</v>
      </c>
      <c r="J39" s="1111">
        <f>J38*((L38+N38)/(P38+R38))</f>
        <v>12.325344851152265</v>
      </c>
      <c r="K39" s="1111"/>
      <c r="L39" s="242"/>
      <c r="M39" s="242"/>
      <c r="N39" s="242"/>
      <c r="O39" s="242"/>
      <c r="P39" s="242"/>
      <c r="Q39" s="242"/>
      <c r="R39" s="242"/>
      <c r="V39" s="185"/>
    </row>
    <row r="40" spans="1:22" ht="18" customHeight="1">
      <c r="A40" s="96" t="s">
        <v>584</v>
      </c>
      <c r="I40" s="28"/>
      <c r="J40" s="211"/>
      <c r="K40" s="27"/>
      <c r="V40" s="185"/>
    </row>
    <row r="41" spans="1:22" ht="18" customHeight="1">
      <c r="A41" s="184"/>
      <c r="B41" s="28">
        <v>1</v>
      </c>
      <c r="D41" s="14"/>
      <c r="H41" s="120" t="s">
        <v>492</v>
      </c>
      <c r="I41" s="28" t="s">
        <v>476</v>
      </c>
      <c r="J41" s="47" t="s">
        <v>104</v>
      </c>
      <c r="S41" s="14" t="s">
        <v>585</v>
      </c>
      <c r="V41" s="185"/>
    </row>
    <row r="42" spans="1:22" ht="18" customHeight="1">
      <c r="A42" s="184"/>
      <c r="G42" s="684">
        <f>H14</f>
        <v>10</v>
      </c>
      <c r="H42" s="684"/>
      <c r="I42" s="27" t="str">
        <f>IF(G42&gt;J42,"&gt;","&lt;")</f>
        <v>&gt;</v>
      </c>
      <c r="J42" s="795">
        <f>J35</f>
        <v>1.0850224400000001</v>
      </c>
      <c r="K42" s="684"/>
      <c r="S42" s="186" t="str">
        <f>IF(G42&gt;J42,"Satisfied","Not satisfied")</f>
        <v>Satisfied</v>
      </c>
      <c r="V42" s="185"/>
    </row>
    <row r="43" spans="1:22" ht="18" customHeight="1">
      <c r="A43" s="184"/>
      <c r="D43" s="14"/>
      <c r="H43" s="120"/>
      <c r="I43" s="27"/>
      <c r="R43" s="14"/>
      <c r="V43" s="185"/>
    </row>
    <row r="44" spans="1:22" ht="18" customHeight="1">
      <c r="A44" s="184"/>
      <c r="B44" s="28">
        <v>2</v>
      </c>
      <c r="D44" s="14"/>
      <c r="H44" s="244" t="s">
        <v>586</v>
      </c>
      <c r="I44" s="28" t="s">
        <v>476</v>
      </c>
      <c r="J44" s="14" t="s">
        <v>105</v>
      </c>
      <c r="K44" s="14"/>
      <c r="S44" s="14" t="s">
        <v>587</v>
      </c>
      <c r="V44" s="185"/>
    </row>
    <row r="45" spans="1:22" ht="18" customHeight="1">
      <c r="A45" s="184"/>
      <c r="D45" s="14"/>
      <c r="G45" s="795">
        <f>P30</f>
        <v>20</v>
      </c>
      <c r="H45" s="795"/>
      <c r="I45" s="27" t="str">
        <f>IF(G45&gt;J45,"&gt;","&lt;")</f>
        <v>&gt;</v>
      </c>
      <c r="J45" s="795">
        <f>J39</f>
        <v>12.325344851152265</v>
      </c>
      <c r="K45" s="795"/>
      <c r="R45" s="14"/>
      <c r="S45" s="186" t="str">
        <f>IF(G45&gt;J45,"Satisfied","Not satisfied")</f>
        <v>Satisfied</v>
      </c>
      <c r="V45" s="185"/>
    </row>
    <row r="46" spans="1:22" ht="18" customHeight="1">
      <c r="A46" s="184"/>
      <c r="D46" s="47"/>
      <c r="H46" s="244" t="s">
        <v>478</v>
      </c>
      <c r="J46" s="18" t="str">
        <f>IF(AND(I42="&gt;",I45="&gt;")=TRUE,"Suitable Dimensions","Not suitable")</f>
        <v>Suitable Dimensions</v>
      </c>
      <c r="O46" s="27"/>
      <c r="P46" s="211"/>
      <c r="Q46" s="211"/>
      <c r="R46" s="192"/>
      <c r="V46" s="185"/>
    </row>
    <row r="47" spans="1:22" ht="18" customHeight="1">
      <c r="A47" s="184"/>
      <c r="D47" s="47"/>
      <c r="H47" s="244"/>
      <c r="J47" s="18"/>
      <c r="O47" s="27"/>
      <c r="P47" s="211"/>
      <c r="Q47" s="211"/>
      <c r="R47" s="192"/>
      <c r="V47" s="185"/>
    </row>
    <row r="48" spans="1:22" ht="17.399999999999999" customHeight="1">
      <c r="A48" s="290"/>
      <c r="B48" s="196"/>
      <c r="C48" s="196"/>
      <c r="D48" s="196"/>
      <c r="E48" s="196"/>
      <c r="F48" s="196"/>
      <c r="G48" s="196"/>
      <c r="H48" s="196"/>
      <c r="I48" s="196"/>
      <c r="J48" s="196"/>
      <c r="K48" s="196"/>
      <c r="L48" s="196"/>
      <c r="M48" s="196"/>
      <c r="N48" s="196"/>
      <c r="O48" s="196"/>
      <c r="P48" s="196"/>
      <c r="Q48" s="196"/>
      <c r="R48" s="196"/>
      <c r="S48" s="196"/>
      <c r="T48" s="196"/>
      <c r="U48" s="196"/>
      <c r="V48" s="291"/>
    </row>
    <row r="49" spans="1:22" ht="17.399999999999999"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2" ht="18" customHeight="1">
      <c r="A50" s="262" t="s">
        <v>501</v>
      </c>
      <c r="B50" s="7"/>
      <c r="C50" s="7"/>
      <c r="D50" s="124"/>
      <c r="E50" s="124"/>
      <c r="F50" s="115"/>
      <c r="G50" s="115"/>
      <c r="H50" s="7"/>
      <c r="I50" s="7"/>
      <c r="J50" s="7"/>
      <c r="K50" s="14"/>
      <c r="L50" s="14"/>
      <c r="M50" s="14"/>
      <c r="N50" s="14"/>
      <c r="O50" s="14"/>
      <c r="P50" s="28"/>
      <c r="Q50" s="120"/>
      <c r="R50" s="47"/>
      <c r="S50" s="206"/>
      <c r="T50" s="259"/>
      <c r="U50" s="14"/>
      <c r="V50" s="97"/>
    </row>
    <row r="51" spans="1:22" ht="18" customHeight="1">
      <c r="A51" s="955" t="s">
        <v>85</v>
      </c>
      <c r="B51" s="956"/>
      <c r="C51" s="957"/>
      <c r="D51" s="955" t="s">
        <v>86</v>
      </c>
      <c r="E51" s="956"/>
      <c r="F51" s="957"/>
      <c r="G51" s="955" t="s">
        <v>87</v>
      </c>
      <c r="H51" s="957"/>
      <c r="I51" s="955" t="s">
        <v>88</v>
      </c>
      <c r="J51" s="957"/>
      <c r="K51" s="955" t="s">
        <v>502</v>
      </c>
      <c r="L51" s="957"/>
      <c r="M51" s="955" t="s">
        <v>102</v>
      </c>
      <c r="N51" s="957"/>
      <c r="O51" s="955"/>
      <c r="P51" s="957"/>
      <c r="Q51" s="955" t="s">
        <v>505</v>
      </c>
      <c r="R51" s="957"/>
      <c r="S51" s="955" t="s">
        <v>93</v>
      </c>
      <c r="T51" s="956"/>
      <c r="U51" s="956"/>
      <c r="V51" s="957"/>
    </row>
    <row r="52" spans="1:22" ht="18" customHeight="1">
      <c r="A52" s="1125"/>
      <c r="B52" s="983"/>
      <c r="C52" s="1126"/>
      <c r="D52" s="1125"/>
      <c r="E52" s="983"/>
      <c r="F52" s="1126"/>
      <c r="G52" s="1125"/>
      <c r="H52" s="1126"/>
      <c r="I52" s="1125"/>
      <c r="J52" s="1126"/>
      <c r="K52" s="1125"/>
      <c r="L52" s="1126"/>
      <c r="M52" s="1125"/>
      <c r="N52" s="1126"/>
      <c r="O52" s="1125"/>
      <c r="P52" s="1126"/>
      <c r="Q52" s="1125"/>
      <c r="R52" s="1126"/>
      <c r="S52" s="1125"/>
      <c r="T52" s="983"/>
      <c r="U52" s="983"/>
      <c r="V52" s="1126"/>
    </row>
    <row r="53" spans="1:22" ht="18" customHeight="1">
      <c r="A53" s="1125"/>
      <c r="B53" s="983"/>
      <c r="C53" s="1126"/>
      <c r="D53" s="1125"/>
      <c r="E53" s="983"/>
      <c r="F53" s="1126"/>
      <c r="G53" s="1125"/>
      <c r="H53" s="1126"/>
      <c r="I53" s="1125"/>
      <c r="J53" s="1126"/>
      <c r="K53" s="1125"/>
      <c r="L53" s="1126"/>
      <c r="M53" s="1125"/>
      <c r="N53" s="1126"/>
      <c r="O53" s="1125"/>
      <c r="P53" s="1126"/>
      <c r="Q53" s="1125"/>
      <c r="R53" s="1126"/>
      <c r="S53" s="1125"/>
      <c r="T53" s="983"/>
      <c r="U53" s="983"/>
      <c r="V53" s="1126"/>
    </row>
    <row r="54" spans="1:22" ht="18" customHeight="1">
      <c r="A54" s="1047"/>
      <c r="B54" s="1048"/>
      <c r="C54" s="1049"/>
      <c r="D54" s="1047"/>
      <c r="E54" s="1048"/>
      <c r="F54" s="1049"/>
      <c r="G54" s="1047"/>
      <c r="H54" s="1049"/>
      <c r="I54" s="1047"/>
      <c r="J54" s="1049"/>
      <c r="K54" s="1047"/>
      <c r="L54" s="1049"/>
      <c r="M54" s="1047"/>
      <c r="N54" s="1049"/>
      <c r="O54" s="1047"/>
      <c r="P54" s="1049"/>
      <c r="Q54" s="1047"/>
      <c r="R54" s="1049"/>
      <c r="S54" s="1047"/>
      <c r="T54" s="1048"/>
      <c r="U54" s="1048"/>
      <c r="V54" s="1049"/>
    </row>
    <row r="55" spans="1:22" ht="18" customHeight="1">
      <c r="A55" s="765" t="str">
        <f>B7</f>
        <v>T1</v>
      </c>
      <c r="B55" s="765" t="str">
        <f>D7</f>
        <v>Core7</v>
      </c>
      <c r="C55" s="765"/>
      <c r="D55" s="870">
        <f>H10</f>
        <v>2000</v>
      </c>
      <c r="E55" s="870"/>
      <c r="F55" s="871">
        <f>O10</f>
        <v>1</v>
      </c>
      <c r="G55" s="961">
        <f>'CT-VT Burdens'!S21</f>
        <v>120</v>
      </c>
      <c r="H55" s="959">
        <f>'CT-VT Burdens'!S10</f>
        <v>6</v>
      </c>
      <c r="I55" s="874" t="str">
        <f>H11</f>
        <v>0.2S</v>
      </c>
      <c r="J55" s="874"/>
      <c r="K55" s="869">
        <f>H12</f>
        <v>5</v>
      </c>
      <c r="L55" s="869"/>
      <c r="M55" s="869">
        <f>H14</f>
        <v>10</v>
      </c>
      <c r="N55" s="869"/>
      <c r="O55" s="870" t="s">
        <v>6</v>
      </c>
      <c r="P55" s="870"/>
      <c r="Q55" s="879" t="str">
        <f>CONCATENATE(T7," ",T8," ",T9," ",T10)</f>
        <v xml:space="preserve">XC-RACK   </v>
      </c>
      <c r="R55" s="879"/>
      <c r="S55" s="878" t="str">
        <f>J46</f>
        <v>Suitable Dimensions</v>
      </c>
      <c r="T55" s="878"/>
      <c r="U55" s="878"/>
      <c r="V55" s="878"/>
    </row>
    <row r="56" spans="1:22" ht="18" customHeight="1">
      <c r="A56" s="765"/>
      <c r="B56" s="765"/>
      <c r="C56" s="765"/>
      <c r="D56" s="870" t="str">
        <f>J10</f>
        <v>-</v>
      </c>
      <c r="E56" s="870"/>
      <c r="F56" s="872"/>
      <c r="G56" s="961"/>
      <c r="H56" s="959"/>
      <c r="I56" s="874"/>
      <c r="J56" s="874"/>
      <c r="K56" s="875" t="s">
        <v>6</v>
      </c>
      <c r="L56" s="869"/>
      <c r="M56" s="875" t="s">
        <v>6</v>
      </c>
      <c r="N56" s="869"/>
      <c r="O56" s="870" t="s">
        <v>6</v>
      </c>
      <c r="P56" s="870"/>
      <c r="Q56" s="879"/>
      <c r="R56" s="879"/>
      <c r="S56" s="877" t="s">
        <v>6</v>
      </c>
      <c r="T56" s="878"/>
      <c r="U56" s="878"/>
      <c r="V56" s="878"/>
    </row>
    <row r="57" spans="1:22" ht="18" customHeight="1">
      <c r="A57" s="765"/>
      <c r="B57" s="765"/>
      <c r="C57" s="765"/>
      <c r="D57" s="870" t="s">
        <v>6</v>
      </c>
      <c r="E57" s="870"/>
      <c r="F57" s="873"/>
      <c r="G57" s="961"/>
      <c r="H57" s="959"/>
      <c r="I57" s="874"/>
      <c r="J57" s="874"/>
      <c r="K57" s="869" t="s">
        <v>6</v>
      </c>
      <c r="L57" s="869"/>
      <c r="M57" s="869" t="s">
        <v>6</v>
      </c>
      <c r="N57" s="869"/>
      <c r="O57" s="870" t="s">
        <v>6</v>
      </c>
      <c r="P57" s="870"/>
      <c r="Q57" s="879"/>
      <c r="R57" s="879"/>
      <c r="S57" s="878" t="s">
        <v>6</v>
      </c>
      <c r="T57" s="878"/>
      <c r="U57" s="878"/>
      <c r="V57" s="878"/>
    </row>
    <row r="58" spans="1:22" ht="18" customHeight="1">
      <c r="A58" s="265"/>
      <c r="B58" s="239"/>
      <c r="C58" s="239"/>
      <c r="D58" s="239"/>
      <c r="E58" s="239"/>
      <c r="F58" s="239"/>
      <c r="G58" s="239"/>
      <c r="H58" s="239"/>
      <c r="I58" s="239"/>
      <c r="J58" s="93"/>
      <c r="K58" s="93"/>
      <c r="L58" s="239"/>
      <c r="M58" s="239"/>
      <c r="N58" s="239"/>
      <c r="O58" s="239"/>
      <c r="P58" s="239"/>
      <c r="Q58" s="239"/>
      <c r="R58" s="239"/>
      <c r="S58" s="239"/>
      <c r="T58" s="239"/>
      <c r="U58" s="103"/>
      <c r="V58" s="310"/>
    </row>
    <row r="59" spans="1:22" ht="18" customHeight="1">
      <c r="A59" s="265"/>
      <c r="B59" s="239"/>
      <c r="C59" s="239"/>
      <c r="D59" s="239"/>
      <c r="E59" s="239"/>
      <c r="F59" s="239"/>
      <c r="G59" s="239"/>
      <c r="H59" s="239"/>
      <c r="I59" s="239"/>
      <c r="J59" s="93"/>
      <c r="K59" s="93"/>
      <c r="L59" s="239"/>
      <c r="M59" s="239"/>
      <c r="N59" s="239"/>
      <c r="O59" s="239"/>
      <c r="P59" s="239"/>
      <c r="Q59" s="239"/>
      <c r="R59" s="239"/>
      <c r="S59" s="239"/>
      <c r="T59" s="239"/>
      <c r="U59" s="103"/>
      <c r="V59" s="310"/>
    </row>
    <row r="60" spans="1:22" ht="18" customHeight="1">
      <c r="A60" s="265"/>
      <c r="B60" s="239"/>
      <c r="C60" s="239"/>
      <c r="D60" s="239"/>
      <c r="E60" s="239"/>
      <c r="F60" s="239"/>
      <c r="G60" s="239"/>
      <c r="H60" s="239"/>
      <c r="I60" s="239"/>
      <c r="J60" s="93"/>
      <c r="K60" s="93"/>
      <c r="L60" s="239"/>
      <c r="M60" s="239"/>
      <c r="N60" s="239"/>
      <c r="O60" s="239"/>
      <c r="P60" s="239"/>
      <c r="Q60" s="239"/>
      <c r="R60" s="239"/>
      <c r="S60" s="239"/>
      <c r="T60" s="239"/>
      <c r="U60" s="103"/>
      <c r="V60" s="310"/>
    </row>
    <row r="61" spans="1:22" ht="18" customHeight="1">
      <c r="A61" s="265"/>
      <c r="B61" s="239"/>
      <c r="C61" s="239"/>
      <c r="D61" s="239"/>
      <c r="E61" s="239"/>
      <c r="F61" s="239"/>
      <c r="G61" s="239"/>
      <c r="H61" s="239"/>
      <c r="I61" s="239"/>
      <c r="J61" s="93"/>
      <c r="K61" s="93"/>
      <c r="L61" s="239"/>
      <c r="M61" s="239"/>
      <c r="N61" s="239"/>
      <c r="O61" s="239"/>
      <c r="P61" s="239"/>
      <c r="Q61" s="239"/>
      <c r="R61" s="239"/>
      <c r="S61" s="239"/>
      <c r="T61" s="239"/>
      <c r="U61" s="103"/>
      <c r="V61" s="310"/>
    </row>
    <row r="62" spans="1:22" ht="18" customHeight="1">
      <c r="A62" s="265"/>
      <c r="B62" s="239"/>
      <c r="C62" s="239"/>
      <c r="D62" s="239"/>
      <c r="E62" s="239"/>
      <c r="F62" s="239"/>
      <c r="G62" s="239"/>
      <c r="H62" s="239"/>
      <c r="I62" s="239"/>
      <c r="J62" s="93"/>
      <c r="K62" s="93"/>
      <c r="L62" s="239"/>
      <c r="M62" s="239"/>
      <c r="N62" s="239"/>
      <c r="O62" s="239"/>
      <c r="P62" s="239"/>
      <c r="Q62" s="239"/>
      <c r="R62" s="239"/>
      <c r="S62" s="239"/>
      <c r="T62" s="239"/>
      <c r="U62" s="103"/>
      <c r="V62" s="310"/>
    </row>
    <row r="63" spans="1:22" ht="18" customHeight="1">
      <c r="A63" s="265"/>
      <c r="B63" s="239"/>
      <c r="C63" s="239"/>
      <c r="D63" s="239"/>
      <c r="E63" s="239"/>
      <c r="F63" s="239"/>
      <c r="G63" s="239"/>
      <c r="H63" s="239"/>
      <c r="I63" s="239"/>
      <c r="J63" s="93"/>
      <c r="K63" s="93"/>
      <c r="L63" s="239"/>
      <c r="M63" s="239"/>
      <c r="N63" s="239"/>
      <c r="O63" s="239"/>
      <c r="P63" s="239"/>
      <c r="Q63" s="239"/>
      <c r="R63" s="239"/>
      <c r="S63" s="239"/>
      <c r="T63" s="239"/>
      <c r="U63" s="103"/>
      <c r="V63" s="310"/>
    </row>
    <row r="64" spans="1:22" ht="18" customHeight="1">
      <c r="A64" s="265"/>
      <c r="B64" s="239"/>
      <c r="C64" s="239"/>
      <c r="D64" s="239"/>
      <c r="E64" s="239"/>
      <c r="F64" s="239"/>
      <c r="G64" s="239"/>
      <c r="H64" s="239"/>
      <c r="I64" s="239"/>
      <c r="J64" s="93"/>
      <c r="K64" s="93"/>
      <c r="L64" s="239"/>
      <c r="M64" s="239"/>
      <c r="N64" s="239"/>
      <c r="O64" s="239"/>
      <c r="P64" s="239"/>
      <c r="Q64" s="239"/>
      <c r="R64" s="239"/>
      <c r="S64" s="239"/>
      <c r="T64" s="239"/>
      <c r="U64" s="103"/>
      <c r="V64" s="310"/>
    </row>
    <row r="65" spans="1:22" ht="18" customHeight="1">
      <c r="A65" s="265"/>
      <c r="B65" s="239"/>
      <c r="C65" s="239"/>
      <c r="D65" s="239"/>
      <c r="E65" s="239"/>
      <c r="F65" s="239"/>
      <c r="G65" s="239"/>
      <c r="H65" s="239"/>
      <c r="I65" s="239"/>
      <c r="J65" s="93"/>
      <c r="K65" s="93"/>
      <c r="L65" s="239"/>
      <c r="M65" s="239"/>
      <c r="N65" s="239"/>
      <c r="O65" s="239"/>
      <c r="P65" s="239"/>
      <c r="Q65" s="239"/>
      <c r="R65" s="239"/>
      <c r="S65" s="239"/>
      <c r="T65" s="239"/>
      <c r="U65" s="103"/>
      <c r="V65" s="310"/>
    </row>
    <row r="66" spans="1:22" ht="18" customHeight="1">
      <c r="A66" s="265"/>
      <c r="B66" s="239"/>
      <c r="C66" s="239"/>
      <c r="D66" s="239"/>
      <c r="E66" s="239"/>
      <c r="F66" s="239"/>
      <c r="G66" s="239"/>
      <c r="H66" s="239"/>
      <c r="I66" s="239"/>
      <c r="J66" s="93"/>
      <c r="K66" s="93"/>
      <c r="L66" s="239"/>
      <c r="M66" s="239"/>
      <c r="N66" s="239"/>
      <c r="O66" s="239"/>
      <c r="P66" s="239"/>
      <c r="Q66" s="239"/>
      <c r="R66" s="239"/>
      <c r="S66" s="239"/>
      <c r="T66" s="239"/>
      <c r="U66" s="103"/>
      <c r="V66" s="310"/>
    </row>
    <row r="67" spans="1:22" ht="18" customHeight="1">
      <c r="A67" s="265"/>
      <c r="B67" s="239"/>
      <c r="C67" s="239"/>
      <c r="D67" s="239"/>
      <c r="E67" s="239"/>
      <c r="F67" s="239"/>
      <c r="G67" s="239"/>
      <c r="H67" s="239"/>
      <c r="I67" s="239"/>
      <c r="J67" s="93"/>
      <c r="K67" s="93"/>
      <c r="L67" s="239"/>
      <c r="M67" s="239"/>
      <c r="N67" s="239"/>
      <c r="O67" s="239"/>
      <c r="P67" s="239"/>
      <c r="Q67" s="239"/>
      <c r="R67" s="239"/>
      <c r="S67" s="239"/>
      <c r="T67" s="239"/>
      <c r="U67" s="103"/>
      <c r="V67" s="310"/>
    </row>
    <row r="68" spans="1:22" ht="18" customHeight="1">
      <c r="A68" s="265"/>
      <c r="B68" s="239"/>
      <c r="C68" s="239"/>
      <c r="D68" s="239"/>
      <c r="E68" s="239"/>
      <c r="F68" s="239"/>
      <c r="G68" s="239"/>
      <c r="H68" s="239"/>
      <c r="I68" s="239"/>
      <c r="J68" s="93"/>
      <c r="K68" s="93"/>
      <c r="L68" s="239"/>
      <c r="M68" s="239"/>
      <c r="N68" s="239"/>
      <c r="O68" s="239"/>
      <c r="P68" s="239"/>
      <c r="Q68" s="239"/>
      <c r="R68" s="239"/>
      <c r="S68" s="239"/>
      <c r="T68" s="239"/>
      <c r="U68" s="103"/>
      <c r="V68" s="310"/>
    </row>
    <row r="69" spans="1:22" ht="18" customHeight="1">
      <c r="A69" s="265"/>
      <c r="B69" s="239"/>
      <c r="C69" s="239"/>
      <c r="D69" s="239"/>
      <c r="E69" s="239"/>
      <c r="F69" s="239"/>
      <c r="G69" s="239"/>
      <c r="H69" s="239"/>
      <c r="I69" s="239"/>
      <c r="J69" s="93"/>
      <c r="K69" s="93"/>
      <c r="L69" s="239"/>
      <c r="M69" s="239"/>
      <c r="N69" s="239"/>
      <c r="O69" s="239"/>
      <c r="P69" s="239"/>
      <c r="Q69" s="239"/>
      <c r="R69" s="239"/>
      <c r="S69" s="239"/>
      <c r="T69" s="239"/>
      <c r="U69" s="103"/>
      <c r="V69" s="310"/>
    </row>
    <row r="70" spans="1:22" ht="18" customHeight="1">
      <c r="A70" s="265"/>
      <c r="B70" s="239"/>
      <c r="C70" s="239"/>
      <c r="D70" s="239"/>
      <c r="E70" s="239"/>
      <c r="F70" s="239"/>
      <c r="G70" s="239"/>
      <c r="H70" s="239"/>
      <c r="I70" s="239"/>
      <c r="J70" s="93"/>
      <c r="K70" s="93"/>
      <c r="L70" s="239"/>
      <c r="M70" s="239"/>
      <c r="N70" s="239"/>
      <c r="O70" s="239"/>
      <c r="P70" s="239"/>
      <c r="Q70" s="239"/>
      <c r="R70" s="239"/>
      <c r="S70" s="239"/>
      <c r="T70" s="239"/>
      <c r="U70" s="103"/>
      <c r="V70" s="310"/>
    </row>
    <row r="71" spans="1:22" ht="18" customHeight="1">
      <c r="A71" s="265"/>
      <c r="B71" s="239"/>
      <c r="C71" s="239"/>
      <c r="D71" s="239"/>
      <c r="E71" s="239"/>
      <c r="F71" s="239"/>
      <c r="G71" s="239"/>
      <c r="H71" s="239"/>
      <c r="I71" s="239"/>
      <c r="J71" s="93"/>
      <c r="K71" s="93"/>
      <c r="L71" s="239"/>
      <c r="M71" s="239"/>
      <c r="N71" s="239"/>
      <c r="O71" s="239"/>
      <c r="P71" s="239"/>
      <c r="Q71" s="239"/>
      <c r="R71" s="239"/>
      <c r="S71" s="239"/>
      <c r="T71" s="239"/>
      <c r="U71" s="103"/>
      <c r="V71" s="310"/>
    </row>
    <row r="72" spans="1:22" ht="18" customHeight="1">
      <c r="A72" s="265"/>
      <c r="B72" s="239"/>
      <c r="C72" s="239"/>
      <c r="D72" s="239"/>
      <c r="E72" s="239"/>
      <c r="F72" s="239"/>
      <c r="G72" s="239"/>
      <c r="H72" s="239"/>
      <c r="I72" s="239"/>
      <c r="J72" s="93"/>
      <c r="K72" s="93"/>
      <c r="L72" s="239"/>
      <c r="M72" s="239"/>
      <c r="N72" s="239"/>
      <c r="O72" s="239"/>
      <c r="P72" s="239"/>
      <c r="Q72" s="239"/>
      <c r="R72" s="239"/>
      <c r="S72" s="239"/>
      <c r="T72" s="239"/>
      <c r="U72" s="103"/>
      <c r="V72" s="310"/>
    </row>
    <row r="73" spans="1:22" ht="18" customHeight="1">
      <c r="A73" s="265"/>
      <c r="B73" s="239"/>
      <c r="C73" s="239"/>
      <c r="D73" s="239"/>
      <c r="E73" s="239"/>
      <c r="F73" s="239"/>
      <c r="G73" s="239"/>
      <c r="H73" s="239"/>
      <c r="I73" s="239"/>
      <c r="J73" s="93"/>
      <c r="K73" s="93"/>
      <c r="L73" s="239"/>
      <c r="M73" s="239"/>
      <c r="N73" s="239"/>
      <c r="O73" s="239"/>
      <c r="P73" s="239"/>
      <c r="Q73" s="239"/>
      <c r="R73" s="239"/>
      <c r="S73" s="239"/>
      <c r="T73" s="239"/>
      <c r="U73" s="103"/>
      <c r="V73" s="310"/>
    </row>
    <row r="74" spans="1:22" ht="18" customHeight="1">
      <c r="A74" s="265"/>
      <c r="B74" s="239"/>
      <c r="C74" s="239"/>
      <c r="D74" s="239"/>
      <c r="E74" s="239"/>
      <c r="F74" s="239"/>
      <c r="G74" s="239"/>
      <c r="H74" s="239"/>
      <c r="I74" s="239"/>
      <c r="J74" s="93"/>
      <c r="K74" s="93"/>
      <c r="L74" s="239"/>
      <c r="M74" s="239"/>
      <c r="N74" s="239"/>
      <c r="O74" s="239"/>
      <c r="P74" s="239"/>
      <c r="Q74" s="239"/>
      <c r="R74" s="239"/>
      <c r="S74" s="239"/>
      <c r="T74" s="239"/>
      <c r="U74" s="103"/>
      <c r="V74" s="310"/>
    </row>
    <row r="75" spans="1:22" ht="18" customHeight="1">
      <c r="A75" s="265"/>
      <c r="B75" s="239"/>
      <c r="C75" s="239"/>
      <c r="D75" s="239"/>
      <c r="E75" s="239"/>
      <c r="F75" s="239"/>
      <c r="G75" s="239"/>
      <c r="H75" s="239"/>
      <c r="I75" s="239"/>
      <c r="J75" s="93"/>
      <c r="K75" s="93"/>
      <c r="L75" s="239"/>
      <c r="M75" s="239"/>
      <c r="N75" s="239"/>
      <c r="O75" s="239"/>
      <c r="P75" s="239"/>
      <c r="Q75" s="239"/>
      <c r="R75" s="239"/>
      <c r="S75" s="239"/>
      <c r="T75" s="239"/>
      <c r="U75" s="103"/>
      <c r="V75" s="310"/>
    </row>
    <row r="76" spans="1:22" ht="18" customHeight="1">
      <c r="A76" s="265"/>
      <c r="B76" s="239"/>
      <c r="C76" s="239"/>
      <c r="D76" s="239"/>
      <c r="E76" s="239"/>
      <c r="F76" s="239"/>
      <c r="G76" s="239"/>
      <c r="H76" s="239"/>
      <c r="I76" s="239"/>
      <c r="J76" s="93"/>
      <c r="K76" s="93"/>
      <c r="L76" s="239"/>
      <c r="M76" s="239"/>
      <c r="N76" s="239"/>
      <c r="O76" s="239"/>
      <c r="P76" s="239"/>
      <c r="Q76" s="239"/>
      <c r="R76" s="239"/>
      <c r="S76" s="239"/>
      <c r="T76" s="239"/>
      <c r="U76" s="103"/>
      <c r="V76" s="310"/>
    </row>
    <row r="77" spans="1:22" ht="18" customHeight="1">
      <c r="A77" s="265"/>
      <c r="B77" s="239"/>
      <c r="C77" s="239"/>
      <c r="D77" s="239"/>
      <c r="E77" s="239"/>
      <c r="F77" s="239"/>
      <c r="G77" s="239"/>
      <c r="H77" s="239"/>
      <c r="I77" s="239"/>
      <c r="J77" s="93"/>
      <c r="K77" s="93"/>
      <c r="L77" s="239"/>
      <c r="M77" s="239"/>
      <c r="N77" s="239"/>
      <c r="O77" s="239"/>
      <c r="P77" s="239"/>
      <c r="Q77" s="239"/>
      <c r="R77" s="239"/>
      <c r="S77" s="239"/>
      <c r="T77" s="239"/>
      <c r="U77" s="103"/>
      <c r="V77" s="310"/>
    </row>
    <row r="78" spans="1:22" ht="18" customHeight="1">
      <c r="A78" s="265"/>
      <c r="B78" s="239"/>
      <c r="C78" s="239"/>
      <c r="D78" s="239"/>
      <c r="E78" s="239"/>
      <c r="F78" s="239"/>
      <c r="G78" s="239"/>
      <c r="H78" s="239"/>
      <c r="I78" s="239"/>
      <c r="J78" s="93"/>
      <c r="K78" s="93"/>
      <c r="L78" s="239"/>
      <c r="M78" s="239"/>
      <c r="N78" s="239"/>
      <c r="O78" s="239"/>
      <c r="P78" s="239"/>
      <c r="Q78" s="239"/>
      <c r="R78" s="239"/>
      <c r="S78" s="239"/>
      <c r="T78" s="239"/>
      <c r="U78" s="103"/>
      <c r="V78" s="310"/>
    </row>
    <row r="79" spans="1:22" ht="18" customHeight="1">
      <c r="A79" s="265"/>
      <c r="B79" s="239"/>
      <c r="C79" s="239"/>
      <c r="D79" s="239"/>
      <c r="E79" s="239"/>
      <c r="F79" s="239"/>
      <c r="G79" s="239"/>
      <c r="H79" s="239"/>
      <c r="I79" s="239"/>
      <c r="J79" s="93"/>
      <c r="K79" s="93"/>
      <c r="L79" s="239"/>
      <c r="M79" s="239"/>
      <c r="N79" s="239"/>
      <c r="O79" s="239"/>
      <c r="P79" s="239"/>
      <c r="Q79" s="239"/>
      <c r="R79" s="239"/>
      <c r="S79" s="239"/>
      <c r="T79" s="239"/>
      <c r="U79" s="103"/>
      <c r="V79" s="310"/>
    </row>
    <row r="80" spans="1:22" ht="18" customHeight="1">
      <c r="A80" s="265"/>
      <c r="B80" s="239"/>
      <c r="C80" s="239"/>
      <c r="D80" s="239"/>
      <c r="E80" s="239"/>
      <c r="F80" s="239"/>
      <c r="G80" s="239"/>
      <c r="H80" s="239"/>
      <c r="I80" s="239"/>
      <c r="J80" s="93"/>
      <c r="K80" s="93"/>
      <c r="L80" s="239"/>
      <c r="M80" s="239"/>
      <c r="N80" s="239"/>
      <c r="O80" s="239"/>
      <c r="P80" s="239"/>
      <c r="Q80" s="239"/>
      <c r="R80" s="239"/>
      <c r="S80" s="239"/>
      <c r="T80" s="239"/>
      <c r="U80" s="103"/>
      <c r="V80" s="310"/>
    </row>
    <row r="81" spans="1:22" ht="18" customHeight="1">
      <c r="A81" s="265"/>
      <c r="B81" s="239"/>
      <c r="C81" s="239"/>
      <c r="D81" s="239"/>
      <c r="E81" s="239"/>
      <c r="F81" s="239"/>
      <c r="G81" s="239"/>
      <c r="H81" s="239"/>
      <c r="I81" s="239"/>
      <c r="J81" s="93"/>
      <c r="K81" s="93"/>
      <c r="L81" s="239"/>
      <c r="M81" s="239"/>
      <c r="N81" s="239"/>
      <c r="O81" s="239"/>
      <c r="P81" s="239"/>
      <c r="Q81" s="239"/>
      <c r="R81" s="239"/>
      <c r="S81" s="239"/>
      <c r="T81" s="239"/>
      <c r="U81" s="103"/>
      <c r="V81" s="310"/>
    </row>
    <row r="82" spans="1:22" ht="18" customHeight="1">
      <c r="A82" s="265"/>
      <c r="B82" s="239"/>
      <c r="C82" s="239"/>
      <c r="D82" s="239"/>
      <c r="E82" s="239"/>
      <c r="F82" s="239"/>
      <c r="G82" s="239"/>
      <c r="H82" s="239"/>
      <c r="I82" s="239"/>
      <c r="J82" s="93"/>
      <c r="K82" s="93"/>
      <c r="L82" s="239"/>
      <c r="M82" s="239"/>
      <c r="N82" s="239"/>
      <c r="O82" s="239"/>
      <c r="P82" s="239"/>
      <c r="Q82" s="239"/>
      <c r="R82" s="239"/>
      <c r="S82" s="239"/>
      <c r="T82" s="239"/>
      <c r="U82" s="103"/>
      <c r="V82" s="310"/>
    </row>
    <row r="83" spans="1:22" ht="18" customHeight="1">
      <c r="A83" s="265"/>
      <c r="B83" s="239"/>
      <c r="C83" s="239"/>
      <c r="D83" s="239"/>
      <c r="E83" s="239"/>
      <c r="F83" s="239"/>
      <c r="G83" s="239"/>
      <c r="H83" s="239"/>
      <c r="I83" s="239"/>
      <c r="J83" s="93"/>
      <c r="K83" s="93"/>
      <c r="L83" s="239"/>
      <c r="M83" s="239"/>
      <c r="N83" s="239"/>
      <c r="O83" s="239"/>
      <c r="P83" s="239"/>
      <c r="Q83" s="239"/>
      <c r="R83" s="239"/>
      <c r="S83" s="239"/>
      <c r="T83" s="239"/>
      <c r="U83" s="103"/>
      <c r="V83" s="310"/>
    </row>
    <row r="84" spans="1:22" ht="18" customHeight="1">
      <c r="A84" s="265"/>
      <c r="B84" s="239"/>
      <c r="C84" s="239"/>
      <c r="D84" s="239"/>
      <c r="E84" s="239"/>
      <c r="F84" s="239"/>
      <c r="G84" s="239"/>
      <c r="H84" s="239"/>
      <c r="I84" s="239"/>
      <c r="J84" s="93"/>
      <c r="K84" s="93"/>
      <c r="L84" s="239"/>
      <c r="M84" s="239"/>
      <c r="N84" s="239"/>
      <c r="O84" s="239"/>
      <c r="P84" s="239"/>
      <c r="Q84" s="239"/>
      <c r="R84" s="239"/>
      <c r="S84" s="239"/>
      <c r="T84" s="239"/>
      <c r="U84" s="103"/>
      <c r="V84" s="310"/>
    </row>
    <row r="85" spans="1:22" ht="18" customHeight="1">
      <c r="A85" s="265"/>
      <c r="B85" s="239"/>
      <c r="C85" s="239"/>
      <c r="D85" s="239"/>
      <c r="E85" s="239"/>
      <c r="F85" s="239"/>
      <c r="G85" s="239"/>
      <c r="H85" s="239"/>
      <c r="I85" s="239"/>
      <c r="J85" s="93"/>
      <c r="K85" s="93"/>
      <c r="L85" s="239"/>
      <c r="M85" s="239"/>
      <c r="N85" s="239"/>
      <c r="O85" s="239"/>
      <c r="P85" s="239"/>
      <c r="Q85" s="239"/>
      <c r="R85" s="239"/>
      <c r="S85" s="239"/>
      <c r="T85" s="239"/>
      <c r="U85" s="103"/>
      <c r="V85" s="310"/>
    </row>
    <row r="86" spans="1:22" ht="18" customHeight="1">
      <c r="A86" s="265"/>
      <c r="B86" s="239"/>
      <c r="C86" s="239"/>
      <c r="D86" s="239"/>
      <c r="E86" s="239"/>
      <c r="F86" s="239"/>
      <c r="G86" s="239"/>
      <c r="H86" s="239"/>
      <c r="I86" s="239"/>
      <c r="J86" s="93"/>
      <c r="K86" s="93"/>
      <c r="L86" s="239"/>
      <c r="M86" s="239"/>
      <c r="N86" s="239"/>
      <c r="O86" s="239"/>
      <c r="P86" s="239"/>
      <c r="Q86" s="239"/>
      <c r="R86" s="239"/>
      <c r="S86" s="239"/>
      <c r="T86" s="239"/>
      <c r="U86" s="103"/>
      <c r="V86" s="310"/>
    </row>
    <row r="87" spans="1:22" ht="18" customHeight="1">
      <c r="A87" s="265"/>
      <c r="B87" s="239"/>
      <c r="C87" s="239"/>
      <c r="D87" s="239"/>
      <c r="E87" s="239"/>
      <c r="F87" s="239"/>
      <c r="G87" s="239"/>
      <c r="H87" s="239"/>
      <c r="I87" s="239"/>
      <c r="J87" s="93"/>
      <c r="K87" s="93"/>
      <c r="L87" s="239"/>
      <c r="M87" s="239"/>
      <c r="N87" s="239"/>
      <c r="O87" s="239"/>
      <c r="P87" s="239"/>
      <c r="Q87" s="239"/>
      <c r="R87" s="239"/>
      <c r="S87" s="239"/>
      <c r="T87" s="239"/>
      <c r="U87" s="103"/>
      <c r="V87" s="310"/>
    </row>
    <row r="88" spans="1:22" ht="18" customHeight="1">
      <c r="A88" s="184"/>
      <c r="V88" s="185"/>
    </row>
    <row r="89" spans="1:22" s="14" customFormat="1" ht="18" customHeight="1">
      <c r="A89" s="194"/>
      <c r="B89" s="195"/>
      <c r="C89" s="195"/>
      <c r="D89" s="195"/>
      <c r="E89" s="195"/>
      <c r="F89" s="195"/>
      <c r="G89" s="195"/>
      <c r="H89" s="195"/>
      <c r="I89" s="195"/>
      <c r="J89" s="195"/>
      <c r="K89" s="195"/>
      <c r="L89" s="195"/>
      <c r="M89" s="195"/>
      <c r="N89" s="195"/>
      <c r="O89" s="195"/>
      <c r="P89" s="195"/>
      <c r="Q89" s="224"/>
      <c r="R89" s="182"/>
      <c r="S89" s="225"/>
      <c r="T89" s="195"/>
      <c r="U89" s="195"/>
      <c r="V89" s="134"/>
    </row>
  </sheetData>
  <mergeCells count="88">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 ref="T10:U10"/>
    <mergeCell ref="H11:I11"/>
    <mergeCell ref="T11:U11"/>
    <mergeCell ref="H7:M7"/>
    <mergeCell ref="T7:U7"/>
    <mergeCell ref="T8:U8"/>
    <mergeCell ref="H9:I9"/>
    <mergeCell ref="J9:K9"/>
    <mergeCell ref="L9:M9"/>
    <mergeCell ref="T9:U9"/>
    <mergeCell ref="J20:K20"/>
    <mergeCell ref="H10:I10"/>
    <mergeCell ref="J10:K10"/>
    <mergeCell ref="L10:M10"/>
    <mergeCell ref="S32:T32"/>
    <mergeCell ref="H12:I12"/>
    <mergeCell ref="H13:I13"/>
    <mergeCell ref="H14:I14"/>
    <mergeCell ref="J18:K18"/>
    <mergeCell ref="J19:K19"/>
    <mergeCell ref="J35:K35"/>
    <mergeCell ref="M35:N35"/>
    <mergeCell ref="J21:K21"/>
    <mergeCell ref="J22:K22"/>
    <mergeCell ref="P22:Q22"/>
    <mergeCell ref="J23:K23"/>
    <mergeCell ref="P25:Q25"/>
    <mergeCell ref="P26:Q26"/>
    <mergeCell ref="P27:Q27"/>
    <mergeCell ref="P28:Q28"/>
    <mergeCell ref="P29:Q29"/>
    <mergeCell ref="P30:Q30"/>
    <mergeCell ref="J36:K36"/>
    <mergeCell ref="J39:K39"/>
    <mergeCell ref="G42:H42"/>
    <mergeCell ref="J42:K42"/>
    <mergeCell ref="G45:H45"/>
    <mergeCell ref="J45:K45"/>
    <mergeCell ref="A51:C54"/>
    <mergeCell ref="D51:F54"/>
    <mergeCell ref="G51:H54"/>
    <mergeCell ref="I51:J54"/>
    <mergeCell ref="A55:A57"/>
    <mergeCell ref="B55:C57"/>
    <mergeCell ref="D55:E55"/>
    <mergeCell ref="F55:F57"/>
    <mergeCell ref="G55:G57"/>
    <mergeCell ref="K51:L54"/>
    <mergeCell ref="D56:E56"/>
    <mergeCell ref="K56:L56"/>
    <mergeCell ref="D57:E57"/>
    <mergeCell ref="K57:L57"/>
    <mergeCell ref="H55:H57"/>
    <mergeCell ref="M57:N57"/>
    <mergeCell ref="O57:P57"/>
    <mergeCell ref="S57:V57"/>
    <mergeCell ref="I55:J57"/>
    <mergeCell ref="K55:L55"/>
    <mergeCell ref="M55:N55"/>
    <mergeCell ref="O55:P55"/>
    <mergeCell ref="Q55:R57"/>
    <mergeCell ref="S55:V55"/>
    <mergeCell ref="M51:N54"/>
    <mergeCell ref="O51:P54"/>
    <mergeCell ref="Q51:R54"/>
    <mergeCell ref="S51:V54"/>
    <mergeCell ref="M56:N56"/>
    <mergeCell ref="O56:P56"/>
    <mergeCell ref="S56:V56"/>
  </mergeCells>
  <conditionalFormatting sqref="I46:J47">
    <cfRule type="cellIs" dxfId="107" priority="2" stopIfTrue="1" operator="equal">
      <formula>"Not suitable"</formula>
    </cfRule>
  </conditionalFormatting>
  <conditionalFormatting sqref="S42 S45">
    <cfRule type="cellIs" dxfId="106"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codeName="Sheet38">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[4]Title!O2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[4]Title!O3</f>
        <v>Document No.</v>
      </c>
      <c r="P3" s="886"/>
      <c r="Q3" s="887"/>
      <c r="R3" s="1292" t="str">
        <f>Title!R3</f>
        <v>-</v>
      </c>
      <c r="S3" s="1293"/>
      <c r="T3" s="1293"/>
      <c r="U3" s="1293"/>
      <c r="V3" s="1294"/>
      <c r="W3" s="14"/>
      <c r="X3" s="14"/>
    </row>
    <row r="4" spans="1:24" ht="18" customHeight="1">
      <c r="A4" s="926"/>
      <c r="B4" s="927"/>
      <c r="C4" s="927"/>
      <c r="D4" s="927"/>
      <c r="E4" s="927"/>
      <c r="F4" s="927"/>
      <c r="G4" s="928"/>
      <c r="H4" s="1086"/>
      <c r="I4" s="1087"/>
      <c r="J4" s="1087"/>
      <c r="K4" s="1087"/>
      <c r="L4" s="1087"/>
      <c r="M4" s="1087"/>
      <c r="N4" s="1088"/>
      <c r="O4" s="885" t="str">
        <f>[4]Title!O4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[4]Title!D5</f>
        <v>Checked By</v>
      </c>
      <c r="E5" s="881"/>
      <c r="F5" s="943"/>
      <c r="G5" s="25" t="str">
        <f>[4]Title!G5</f>
        <v>LN</v>
      </c>
      <c r="H5" s="1229" t="s">
        <v>892</v>
      </c>
      <c r="I5" s="1230"/>
      <c r="J5" s="1230"/>
      <c r="K5" s="1230"/>
      <c r="L5" s="1230"/>
      <c r="M5" s="1230"/>
      <c r="N5" s="1231"/>
      <c r="O5" s="947" t="str">
        <f>[4]Title!O5</f>
        <v>Contractor</v>
      </c>
      <c r="P5" s="948"/>
      <c r="Q5" s="949"/>
      <c r="R5" s="775" t="str">
        <f>Title!R5</f>
        <v>HITACHI</v>
      </c>
      <c r="S5" s="1068"/>
      <c r="T5" s="1068"/>
      <c r="U5" s="1068"/>
      <c r="V5" s="776"/>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75" t="s">
        <v>113</v>
      </c>
      <c r="E7" s="1076"/>
      <c r="F7" s="255"/>
      <c r="H7" s="14"/>
      <c r="I7" s="14"/>
      <c r="J7" s="14"/>
      <c r="K7" s="14"/>
      <c r="L7" s="14"/>
      <c r="M7" s="14"/>
      <c r="P7" s="186"/>
      <c r="S7" s="187" t="s">
        <v>387</v>
      </c>
      <c r="T7" s="1075" t="s">
        <v>893</v>
      </c>
      <c r="U7" s="1076"/>
      <c r="V7" s="185"/>
    </row>
    <row r="8" spans="1:24" ht="18" customHeight="1">
      <c r="A8" s="184"/>
      <c r="B8"/>
      <c r="C8"/>
      <c r="D8"/>
      <c r="E8"/>
      <c r="F8" s="255"/>
      <c r="T8"/>
      <c r="U8"/>
      <c r="V8" s="185"/>
    </row>
    <row r="9" spans="1:24" ht="18" customHeight="1">
      <c r="A9" s="184"/>
      <c r="H9" s="789" t="s">
        <v>390</v>
      </c>
      <c r="I9" s="789"/>
      <c r="J9" s="790" t="s">
        <v>391</v>
      </c>
      <c r="K9" s="790"/>
      <c r="L9" s="790" t="s">
        <v>392</v>
      </c>
      <c r="M9" s="790"/>
      <c r="T9"/>
      <c r="U9"/>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v>750</v>
      </c>
      <c r="I13" s="1076"/>
      <c r="J13" s="14" t="s">
        <v>305</v>
      </c>
      <c r="V13" s="185"/>
      <c r="W13" s="30" t="str">
        <f>G58</f>
        <v>Suitably Dimentioned</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2" ht="18" customHeight="1">
      <c r="A17" s="184"/>
      <c r="V17" s="185"/>
    </row>
    <row r="18" spans="1:22" ht="18" customHeight="1">
      <c r="A18" s="184"/>
      <c r="B18" s="135" t="s">
        <v>405</v>
      </c>
      <c r="C18" s="273"/>
      <c r="D18" s="139" t="str">
        <f>T7</f>
        <v>REF650</v>
      </c>
      <c r="E18" s="227"/>
      <c r="F18" s="227"/>
      <c r="G18" s="227"/>
      <c r="H18" s="138"/>
      <c r="I18" s="260" t="s">
        <v>127</v>
      </c>
      <c r="J18" s="1079">
        <f>'CT-VT Burdens'!Q104</f>
        <v>0.02</v>
      </c>
      <c r="K18" s="1080"/>
      <c r="L18" s="3" t="s">
        <v>157</v>
      </c>
      <c r="N18" s="197" t="s">
        <v>510</v>
      </c>
      <c r="V18" s="185"/>
    </row>
    <row r="19" spans="1:22" ht="18" customHeight="1">
      <c r="A19" s="184"/>
      <c r="B19" s="96" t="s">
        <v>405</v>
      </c>
      <c r="D19" s="296">
        <f>T8</f>
        <v>0</v>
      </c>
      <c r="I19" s="177" t="s">
        <v>127</v>
      </c>
      <c r="J19" s="1232"/>
      <c r="K19" s="1233"/>
      <c r="L19" s="198" t="s">
        <v>157</v>
      </c>
      <c r="P19" s="244"/>
      <c r="V19" s="185"/>
    </row>
    <row r="20" spans="1:22" ht="18" customHeight="1">
      <c r="A20" s="184"/>
      <c r="B20" s="96" t="s">
        <v>405</v>
      </c>
      <c r="C20" s="14"/>
      <c r="D20" s="47">
        <f>T9</f>
        <v>0</v>
      </c>
      <c r="E20" s="14"/>
      <c r="G20" s="199"/>
      <c r="H20" s="27"/>
      <c r="I20" s="101" t="s">
        <v>127</v>
      </c>
      <c r="J20" s="1220"/>
      <c r="K20" s="1221"/>
      <c r="L20" s="202" t="s">
        <v>157</v>
      </c>
      <c r="N20" s="28" t="s">
        <v>491</v>
      </c>
      <c r="O20" s="27" t="s">
        <v>127</v>
      </c>
      <c r="P20" s="27" t="s">
        <v>511</v>
      </c>
      <c r="Q20" s="27" t="s">
        <v>315</v>
      </c>
      <c r="R20" s="27" t="s">
        <v>511</v>
      </c>
      <c r="S20" s="27" t="s">
        <v>315</v>
      </c>
      <c r="T20" s="27" t="s">
        <v>420</v>
      </c>
      <c r="V20" s="185"/>
    </row>
    <row r="21" spans="1:22" ht="18" customHeight="1">
      <c r="A21" s="184"/>
      <c r="B21" s="184" t="s">
        <v>412</v>
      </c>
      <c r="C21" s="14"/>
      <c r="D21" s="14"/>
      <c r="E21" s="14"/>
      <c r="H21" s="27"/>
      <c r="I21" s="101" t="s">
        <v>127</v>
      </c>
      <c r="J21" s="1081">
        <f>'CT-VT Burdens'!S69</f>
        <v>2.5889401199999997</v>
      </c>
      <c r="K21" s="1082"/>
      <c r="L21" s="297" t="s">
        <v>157</v>
      </c>
      <c r="O21" s="27" t="s">
        <v>127</v>
      </c>
      <c r="P21" s="27">
        <f>O10</f>
        <v>1</v>
      </c>
      <c r="Q21" s="27" t="s">
        <v>315</v>
      </c>
      <c r="R21" s="27">
        <f>O10</f>
        <v>1</v>
      </c>
      <c r="S21" s="27" t="s">
        <v>315</v>
      </c>
      <c r="T21" s="27">
        <f>H12</f>
        <v>5</v>
      </c>
      <c r="V21" s="185"/>
    </row>
    <row r="22" spans="1:22" ht="18" customHeight="1">
      <c r="A22" s="184"/>
      <c r="B22" s="1" t="s">
        <v>413</v>
      </c>
      <c r="C22" s="2"/>
      <c r="D22" s="2"/>
      <c r="E22" s="2"/>
      <c r="F22" s="196"/>
      <c r="G22" s="196"/>
      <c r="H22" s="224" t="s">
        <v>512</v>
      </c>
      <c r="I22" s="183" t="s">
        <v>127</v>
      </c>
      <c r="J22" s="722">
        <f>SUM(J18:J21)</f>
        <v>2.6089401199999998</v>
      </c>
      <c r="K22" s="958"/>
      <c r="L22" s="3" t="s">
        <v>157</v>
      </c>
      <c r="O22" s="27" t="s">
        <v>127</v>
      </c>
      <c r="P22" s="795">
        <f>P21*R21*T21</f>
        <v>5</v>
      </c>
      <c r="Q22" s="684"/>
      <c r="R22" s="27" t="s">
        <v>157</v>
      </c>
      <c r="S22" s="27"/>
      <c r="T22" s="27"/>
      <c r="V22" s="185"/>
    </row>
    <row r="23" spans="1:22" ht="18" customHeight="1">
      <c r="A23" s="184"/>
      <c r="B23" s="47"/>
      <c r="C23" s="47"/>
      <c r="D23" s="47"/>
      <c r="E23" s="47"/>
      <c r="H23" s="27"/>
      <c r="I23" s="28"/>
      <c r="J23" s="199"/>
      <c r="L23" s="47"/>
      <c r="O23" s="27"/>
      <c r="P23" s="211"/>
      <c r="Q23" s="27"/>
      <c r="R23" s="204"/>
      <c r="S23" s="27"/>
      <c r="V23" s="185"/>
    </row>
    <row r="24" spans="1:22"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row>
    <row r="25" spans="1:22"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2" ht="18" customHeight="1">
      <c r="A26" s="184"/>
      <c r="Q26" s="211"/>
      <c r="R26" s="192"/>
      <c r="V26" s="185"/>
    </row>
    <row r="27" spans="1:22" ht="18" customHeight="1">
      <c r="A27" s="184"/>
      <c r="C27" s="28" t="s">
        <v>473</v>
      </c>
      <c r="D27" s="28" t="s">
        <v>127</v>
      </c>
      <c r="E27" s="28" t="s">
        <v>537</v>
      </c>
      <c r="F27" s="28" t="s">
        <v>493</v>
      </c>
      <c r="G27" s="28" t="s">
        <v>347</v>
      </c>
      <c r="H27" s="28" t="s">
        <v>491</v>
      </c>
      <c r="I27" s="28" t="s">
        <v>538</v>
      </c>
      <c r="J27" s="28" t="s">
        <v>495</v>
      </c>
      <c r="K27" s="28" t="s">
        <v>539</v>
      </c>
      <c r="L27" s="28" t="s">
        <v>511</v>
      </c>
      <c r="M27" s="28" t="s">
        <v>315</v>
      </c>
      <c r="N27" s="28">
        <v>1.3</v>
      </c>
      <c r="O27" s="47" t="s">
        <v>350</v>
      </c>
      <c r="V27" s="185"/>
    </row>
    <row r="28" spans="1:22" ht="18" customHeight="1">
      <c r="A28" s="539" t="s">
        <v>540</v>
      </c>
      <c r="C28" s="28"/>
      <c r="D28" s="28"/>
      <c r="E28" s="14"/>
      <c r="F28" s="14"/>
      <c r="G28" s="14"/>
      <c r="H28" s="14"/>
      <c r="I28" s="14"/>
      <c r="J28" s="14"/>
      <c r="K28" s="14"/>
      <c r="L28" s="14"/>
      <c r="M28" s="14"/>
      <c r="N28" s="14"/>
      <c r="O28" s="14"/>
      <c r="V28" s="185"/>
    </row>
    <row r="29" spans="1:22" ht="18" customHeight="1">
      <c r="A29" s="184"/>
      <c r="C29" s="28" t="s">
        <v>493</v>
      </c>
      <c r="D29" s="28" t="s">
        <v>127</v>
      </c>
      <c r="E29" s="28" t="s">
        <v>537</v>
      </c>
      <c r="F29" s="28">
        <v>1.3</v>
      </c>
      <c r="G29" s="28" t="s">
        <v>315</v>
      </c>
      <c r="H29" s="689" t="s">
        <v>473</v>
      </c>
      <c r="I29" s="716"/>
      <c r="J29" s="28" t="s">
        <v>315</v>
      </c>
      <c r="K29" s="28" t="s">
        <v>511</v>
      </c>
      <c r="L29" s="28" t="s">
        <v>541</v>
      </c>
      <c r="M29" s="28" t="s">
        <v>495</v>
      </c>
      <c r="N29" s="47" t="s">
        <v>542</v>
      </c>
      <c r="O29" s="28" t="s">
        <v>491</v>
      </c>
      <c r="V29" s="185"/>
    </row>
    <row r="30" spans="1:22" ht="18" customHeight="1">
      <c r="A30" s="184"/>
      <c r="V30" s="185"/>
    </row>
    <row r="31" spans="1:22" ht="18" customHeight="1">
      <c r="A31" s="168"/>
      <c r="B31" s="5"/>
      <c r="C31" s="47" t="s">
        <v>543</v>
      </c>
      <c r="D31" s="14"/>
      <c r="E31" s="14"/>
      <c r="F31" s="14"/>
      <c r="G31" s="14"/>
      <c r="H31" s="279"/>
      <c r="I31" s="120"/>
      <c r="J31" s="279"/>
      <c r="K31" s="279"/>
      <c r="L31" s="14"/>
      <c r="M31" s="14"/>
      <c r="N31" s="14"/>
      <c r="O31" s="14"/>
      <c r="P31" s="14"/>
      <c r="Q31" s="120" t="s">
        <v>544</v>
      </c>
      <c r="R31" s="102" t="s">
        <v>127</v>
      </c>
      <c r="S31" s="689">
        <f>'Parameters &amp; Fault Cal. (4)'!Q10 *1000</f>
        <v>50000</v>
      </c>
      <c r="T31" s="689"/>
      <c r="U31" s="47" t="s">
        <v>8</v>
      </c>
      <c r="V31" s="185"/>
    </row>
    <row r="32" spans="1:22" ht="18" customHeight="1">
      <c r="A32" s="168"/>
      <c r="B32" s="5"/>
      <c r="C32" s="47" t="s">
        <v>545</v>
      </c>
      <c r="D32" s="14"/>
      <c r="E32" s="14"/>
      <c r="F32" s="18"/>
      <c r="G32" s="18"/>
      <c r="H32" s="279"/>
      <c r="I32" s="120"/>
      <c r="J32" s="279"/>
      <c r="K32" s="279"/>
      <c r="L32" s="14"/>
      <c r="M32" s="14"/>
      <c r="N32" s="14"/>
      <c r="O32" s="14"/>
      <c r="P32" s="14"/>
      <c r="Q32" s="120" t="s">
        <v>423</v>
      </c>
      <c r="R32" s="102" t="s">
        <v>127</v>
      </c>
      <c r="S32" s="689">
        <f>H10</f>
        <v>2500</v>
      </c>
      <c r="T32" s="689"/>
      <c r="U32" s="14" t="s">
        <v>8</v>
      </c>
      <c r="V32" s="185"/>
    </row>
    <row r="33" spans="1:25" ht="18" customHeight="1">
      <c r="A33" s="168"/>
      <c r="B33" s="5"/>
      <c r="C33" s="47" t="s">
        <v>546</v>
      </c>
      <c r="D33" s="14"/>
      <c r="E33" s="14"/>
      <c r="F33" s="18"/>
      <c r="G33" s="18"/>
      <c r="H33" s="279"/>
      <c r="I33" s="120"/>
      <c r="J33" s="279"/>
      <c r="K33" s="279"/>
      <c r="L33" s="14"/>
      <c r="M33" s="14"/>
      <c r="N33" s="14"/>
      <c r="O33" s="14"/>
      <c r="P33" s="14"/>
      <c r="Q33" s="120" t="s">
        <v>473</v>
      </c>
      <c r="R33" s="102" t="s">
        <v>127</v>
      </c>
      <c r="S33" s="689">
        <f>H13</f>
        <v>750</v>
      </c>
      <c r="T33" s="689"/>
      <c r="U33" s="14" t="s">
        <v>305</v>
      </c>
      <c r="V33" s="185"/>
    </row>
    <row r="34" spans="1:25" ht="18" customHeight="1">
      <c r="A34" s="168"/>
      <c r="B34" s="5"/>
      <c r="C34" s="47" t="s">
        <v>547</v>
      </c>
      <c r="D34" s="14"/>
      <c r="E34" s="14"/>
      <c r="F34" s="18"/>
      <c r="G34" s="18"/>
      <c r="H34" s="279"/>
      <c r="I34" s="120"/>
      <c r="J34" s="279"/>
      <c r="K34" s="279"/>
      <c r="L34" s="14"/>
      <c r="M34" s="14"/>
      <c r="N34" s="14"/>
      <c r="O34" s="14"/>
      <c r="P34" s="14"/>
      <c r="Q34" s="120" t="s">
        <v>491</v>
      </c>
      <c r="R34" s="102" t="s">
        <v>127</v>
      </c>
      <c r="S34" s="692">
        <f>P22</f>
        <v>5</v>
      </c>
      <c r="T34" s="689"/>
      <c r="U34" s="14" t="s">
        <v>157</v>
      </c>
      <c r="V34" s="185"/>
      <c r="W34" s="279"/>
      <c r="X34" s="279"/>
      <c r="Y34" s="279"/>
    </row>
    <row r="35" spans="1:25" ht="18" customHeight="1">
      <c r="A35" s="168"/>
      <c r="B35" s="5"/>
      <c r="C35" s="47" t="s">
        <v>548</v>
      </c>
      <c r="D35" s="14"/>
      <c r="E35" s="14"/>
      <c r="F35" s="18"/>
      <c r="G35" s="18"/>
      <c r="H35" s="279"/>
      <c r="I35" s="120"/>
      <c r="J35" s="279"/>
      <c r="K35" s="279"/>
      <c r="L35" s="14"/>
      <c r="M35" s="14"/>
      <c r="N35" s="14"/>
      <c r="O35" s="14"/>
      <c r="P35" s="14"/>
      <c r="Q35" s="120" t="s">
        <v>512</v>
      </c>
      <c r="R35" s="102" t="s">
        <v>127</v>
      </c>
      <c r="S35" s="692">
        <f>J22</f>
        <v>2.6089401199999998</v>
      </c>
      <c r="T35" s="689"/>
      <c r="U35" s="14" t="s">
        <v>157</v>
      </c>
      <c r="V35" s="185"/>
      <c r="X35" s="279"/>
      <c r="Y35" s="279"/>
    </row>
    <row r="36" spans="1:25" ht="18" customHeight="1">
      <c r="A36" s="168"/>
      <c r="B36" s="5"/>
      <c r="C36" s="47" t="s">
        <v>549</v>
      </c>
      <c r="D36" s="14"/>
      <c r="E36" s="14"/>
      <c r="F36" s="14"/>
      <c r="G36" s="14"/>
      <c r="H36" s="279"/>
      <c r="I36" s="120"/>
      <c r="J36" s="279"/>
      <c r="K36" s="279"/>
      <c r="L36" s="14"/>
      <c r="M36" s="14"/>
      <c r="N36" s="14"/>
      <c r="O36" s="14"/>
      <c r="P36" s="14"/>
      <c r="Q36" s="120" t="s">
        <v>511</v>
      </c>
      <c r="R36" s="102" t="s">
        <v>127</v>
      </c>
      <c r="S36" s="689">
        <f>O10</f>
        <v>1</v>
      </c>
      <c r="T36" s="689"/>
      <c r="U36" s="14" t="s">
        <v>8</v>
      </c>
      <c r="V36" s="185"/>
      <c r="X36" s="279"/>
      <c r="Y36" s="279"/>
    </row>
    <row r="37" spans="1:25" ht="18" customHeight="1">
      <c r="A37" s="168"/>
      <c r="B37" s="5"/>
      <c r="C37" s="47" t="s">
        <v>550</v>
      </c>
      <c r="D37" s="14"/>
      <c r="E37" s="14"/>
      <c r="F37" s="14"/>
      <c r="G37" s="14"/>
      <c r="H37" s="279"/>
      <c r="I37" s="120"/>
      <c r="J37" s="279"/>
      <c r="K37" s="279"/>
      <c r="L37" s="14"/>
      <c r="M37" s="14"/>
      <c r="N37" s="14"/>
      <c r="O37" s="14"/>
      <c r="P37" s="14"/>
      <c r="Q37" s="120" t="s">
        <v>495</v>
      </c>
      <c r="R37" s="102" t="s">
        <v>127</v>
      </c>
      <c r="S37" s="689">
        <v>20</v>
      </c>
      <c r="T37" s="689"/>
      <c r="U37" s="47"/>
      <c r="V37" s="185"/>
    </row>
    <row r="38" spans="1:25" ht="18" customHeight="1">
      <c r="A38" s="299"/>
      <c r="B38" s="279"/>
      <c r="C38" s="47" t="s">
        <v>492</v>
      </c>
      <c r="D38" s="14"/>
      <c r="E38" s="14"/>
      <c r="F38" s="14"/>
      <c r="G38" s="14"/>
      <c r="H38" s="279"/>
      <c r="I38" s="120"/>
      <c r="J38" s="279"/>
      <c r="K38" s="279"/>
      <c r="L38" s="14"/>
      <c r="M38" s="14"/>
      <c r="N38" s="279"/>
      <c r="O38" s="279"/>
      <c r="P38" s="14"/>
      <c r="Q38" s="120" t="s">
        <v>493</v>
      </c>
      <c r="R38" s="27" t="s">
        <v>127</v>
      </c>
      <c r="S38" s="684">
        <f>E42</f>
        <v>43.75</v>
      </c>
      <c r="T38" s="684"/>
      <c r="U38" s="279"/>
      <c r="V38" s="300"/>
      <c r="W38" s="279"/>
      <c r="X38" s="279"/>
      <c r="Y38" s="279"/>
    </row>
    <row r="39" spans="1:25" ht="18" customHeight="1">
      <c r="A39" s="184"/>
      <c r="V39" s="185"/>
    </row>
    <row r="40" spans="1:25" ht="18" customHeight="1">
      <c r="A40" s="184"/>
      <c r="C40" s="28" t="s">
        <v>493</v>
      </c>
      <c r="D40" s="28" t="s">
        <v>127</v>
      </c>
      <c r="E40" s="28" t="s">
        <v>537</v>
      </c>
      <c r="F40" s="221">
        <v>1.3</v>
      </c>
      <c r="G40" s="221" t="s">
        <v>315</v>
      </c>
      <c r="H40" s="805" t="s">
        <v>473</v>
      </c>
      <c r="I40" s="815"/>
      <c r="J40" s="221" t="s">
        <v>315</v>
      </c>
      <c r="K40" s="221" t="s">
        <v>511</v>
      </c>
      <c r="L40" s="221" t="s">
        <v>541</v>
      </c>
      <c r="M40" s="221" t="s">
        <v>495</v>
      </c>
      <c r="N40" s="527" t="s">
        <v>542</v>
      </c>
      <c r="O40" s="221" t="s">
        <v>491</v>
      </c>
      <c r="V40" s="185"/>
    </row>
    <row r="41" spans="1:25" ht="18" customHeight="1">
      <c r="A41" s="184"/>
      <c r="C41" s="120"/>
      <c r="D41" s="27" t="s">
        <v>127</v>
      </c>
      <c r="E41" s="27" t="s">
        <v>537</v>
      </c>
      <c r="F41" s="245">
        <v>1.3</v>
      </c>
      <c r="G41" s="245" t="s">
        <v>315</v>
      </c>
      <c r="H41" s="993">
        <f>S33</f>
        <v>750</v>
      </c>
      <c r="I41" s="1234"/>
      <c r="J41" s="245" t="s">
        <v>315</v>
      </c>
      <c r="K41" s="245">
        <f>S36</f>
        <v>1</v>
      </c>
      <c r="L41" s="245" t="s">
        <v>541</v>
      </c>
      <c r="M41" s="245">
        <f>S37</f>
        <v>20</v>
      </c>
      <c r="N41" s="461" t="s">
        <v>542</v>
      </c>
      <c r="O41" s="502">
        <f>S34</f>
        <v>5</v>
      </c>
      <c r="V41" s="185"/>
    </row>
    <row r="42" spans="1:25" ht="18" customHeight="1">
      <c r="A42" s="184"/>
      <c r="D42" s="27" t="s">
        <v>127</v>
      </c>
      <c r="E42" s="684">
        <f>((F41*H41)/(K41*M41))-O41</f>
        <v>43.75</v>
      </c>
      <c r="F42" s="684"/>
      <c r="G42" s="27" t="s">
        <v>157</v>
      </c>
      <c r="V42" s="185"/>
    </row>
    <row r="43" spans="1:25" ht="18" customHeight="1">
      <c r="A43" s="184"/>
      <c r="D43" s="27"/>
      <c r="E43" s="27"/>
      <c r="F43" s="27"/>
      <c r="G43" s="27"/>
      <c r="V43" s="185"/>
    </row>
    <row r="44" spans="1:25" ht="18" customHeight="1">
      <c r="A44" s="184"/>
      <c r="D44" s="27"/>
      <c r="E44" s="27"/>
      <c r="F44" s="27"/>
      <c r="G44" s="27"/>
      <c r="V44" s="185"/>
    </row>
    <row r="45" spans="1:25" ht="18" customHeight="1">
      <c r="A45" s="184"/>
      <c r="D45" s="27"/>
      <c r="E45" s="27"/>
      <c r="F45" s="27"/>
      <c r="G45" s="27"/>
      <c r="V45" s="185"/>
    </row>
    <row r="46" spans="1:25" ht="18" customHeight="1">
      <c r="A46" s="290"/>
      <c r="B46" s="196"/>
      <c r="C46" s="196"/>
      <c r="D46" s="307"/>
      <c r="E46" s="307"/>
      <c r="F46" s="307"/>
      <c r="G46" s="307"/>
      <c r="H46" s="196"/>
      <c r="I46" s="196"/>
      <c r="J46" s="196"/>
      <c r="K46" s="196"/>
      <c r="L46" s="196"/>
      <c r="M46" s="196"/>
      <c r="N46" s="196"/>
      <c r="O46" s="196"/>
      <c r="P46" s="196"/>
      <c r="Q46" s="196"/>
      <c r="R46" s="196"/>
      <c r="S46" s="196"/>
      <c r="T46" s="196"/>
      <c r="U46" s="196"/>
      <c r="V46" s="291"/>
    </row>
    <row r="47" spans="1:25" ht="18" customHeight="1">
      <c r="A47" s="226"/>
      <c r="B47" s="227"/>
      <c r="C47" s="227"/>
      <c r="D47" s="311"/>
      <c r="E47" s="311"/>
      <c r="F47" s="311"/>
      <c r="G47" s="311"/>
      <c r="H47" s="227"/>
      <c r="I47" s="227"/>
      <c r="J47" s="227"/>
      <c r="K47" s="227"/>
      <c r="L47" s="227"/>
      <c r="M47" s="227"/>
      <c r="N47" s="227"/>
      <c r="O47" s="227"/>
      <c r="P47" s="227"/>
      <c r="Q47" s="227"/>
      <c r="R47" s="227"/>
      <c r="S47" s="227"/>
      <c r="T47" s="227"/>
      <c r="U47" s="227"/>
      <c r="V47" s="228"/>
    </row>
    <row r="48" spans="1:25" ht="18" customHeight="1">
      <c r="A48" s="184"/>
      <c r="E48" s="244" t="s">
        <v>111</v>
      </c>
      <c r="F48" s="27" t="s">
        <v>127</v>
      </c>
      <c r="G48" s="689" t="s">
        <v>544</v>
      </c>
      <c r="H48" s="689"/>
      <c r="I48" s="191" t="s">
        <v>342</v>
      </c>
      <c r="J48" s="684" t="s">
        <v>423</v>
      </c>
      <c r="K48" s="684"/>
      <c r="V48" s="185"/>
    </row>
    <row r="49" spans="1:22" ht="18" customHeight="1">
      <c r="A49" s="184"/>
      <c r="F49" s="27" t="s">
        <v>127</v>
      </c>
      <c r="G49" s="684">
        <f>S31</f>
        <v>50000</v>
      </c>
      <c r="H49" s="684"/>
      <c r="I49" s="191" t="s">
        <v>342</v>
      </c>
      <c r="J49" s="684">
        <f>S32</f>
        <v>2500</v>
      </c>
      <c r="K49" s="684"/>
      <c r="V49" s="185"/>
    </row>
    <row r="50" spans="1:22" ht="18" customHeight="1">
      <c r="A50" s="184"/>
      <c r="F50" s="27" t="s">
        <v>127</v>
      </c>
      <c r="G50" s="795">
        <f>G49/J49</f>
        <v>20</v>
      </c>
      <c r="H50" s="795"/>
      <c r="I50" s="27"/>
      <c r="J50" s="27"/>
      <c r="K50" s="27"/>
      <c r="V50" s="185"/>
    </row>
    <row r="51" spans="1:22" ht="18" customHeight="1">
      <c r="A51" s="184"/>
      <c r="V51" s="185"/>
    </row>
    <row r="52" spans="1:22" ht="18" customHeight="1">
      <c r="A52" s="184"/>
      <c r="E52" s="244" t="s">
        <v>553</v>
      </c>
      <c r="F52" s="27" t="s">
        <v>127</v>
      </c>
      <c r="G52" s="245" t="s">
        <v>495</v>
      </c>
      <c r="H52" s="245" t="s">
        <v>554</v>
      </c>
      <c r="I52" s="221" t="s">
        <v>491</v>
      </c>
      <c r="J52" s="221" t="s">
        <v>347</v>
      </c>
      <c r="K52" s="221" t="s">
        <v>493</v>
      </c>
      <c r="L52" s="221" t="s">
        <v>539</v>
      </c>
      <c r="M52" s="221" t="s">
        <v>491</v>
      </c>
      <c r="N52" s="221" t="s">
        <v>347</v>
      </c>
      <c r="O52" s="221" t="s">
        <v>512</v>
      </c>
      <c r="P52" s="27" t="s">
        <v>350</v>
      </c>
      <c r="V52" s="185"/>
    </row>
    <row r="53" spans="1:22" ht="18" customHeight="1">
      <c r="A53" s="184"/>
      <c r="F53" s="27" t="s">
        <v>127</v>
      </c>
      <c r="G53" s="245">
        <f>S37</f>
        <v>20</v>
      </c>
      <c r="H53" s="245" t="s">
        <v>554</v>
      </c>
      <c r="I53" s="301">
        <f>S34</f>
        <v>5</v>
      </c>
      <c r="J53" s="245" t="s">
        <v>347</v>
      </c>
      <c r="K53" s="301">
        <f>E42</f>
        <v>43.75</v>
      </c>
      <c r="L53" s="245" t="s">
        <v>539</v>
      </c>
      <c r="M53" s="301">
        <f>S34</f>
        <v>5</v>
      </c>
      <c r="N53" s="245" t="s">
        <v>347</v>
      </c>
      <c r="O53" s="301">
        <f>S35</f>
        <v>2.6089401199999998</v>
      </c>
      <c r="P53" s="27" t="s">
        <v>350</v>
      </c>
      <c r="V53" s="185"/>
    </row>
    <row r="54" spans="1:22" ht="18" customHeight="1">
      <c r="A54" s="184"/>
      <c r="F54" s="27" t="s">
        <v>127</v>
      </c>
      <c r="G54" s="1111">
        <f>G53*((I53+K53)/(M53+O53))</f>
        <v>128.13874003781751</v>
      </c>
      <c r="H54" s="1111"/>
      <c r="I54" s="242"/>
      <c r="J54" s="242"/>
      <c r="K54" s="242"/>
      <c r="L54" s="242"/>
      <c r="M54" s="242"/>
      <c r="N54" s="242"/>
      <c r="O54" s="242"/>
      <c r="V54" s="185"/>
    </row>
    <row r="55" spans="1:22" ht="18" customHeight="1">
      <c r="A55" s="184"/>
      <c r="V55" s="185"/>
    </row>
    <row r="56" spans="1:22" ht="18" customHeight="1">
      <c r="A56" s="184"/>
      <c r="E56" s="244" t="s">
        <v>555</v>
      </c>
      <c r="F56" s="27" t="str">
        <f>IF(D57&gt;G57,"&gt;","&lt;")</f>
        <v>&gt;</v>
      </c>
      <c r="G56" s="296" t="s">
        <v>111</v>
      </c>
      <c r="V56" s="185"/>
    </row>
    <row r="57" spans="1:22" ht="18" customHeight="1">
      <c r="A57" s="184"/>
      <c r="D57" s="795">
        <f>G54</f>
        <v>128.13874003781751</v>
      </c>
      <c r="E57" s="795"/>
      <c r="F57" s="27" t="str">
        <f>F56</f>
        <v>&gt;</v>
      </c>
      <c r="G57" s="795">
        <f>G50</f>
        <v>20</v>
      </c>
      <c r="H57" s="795"/>
      <c r="V57" s="185"/>
    </row>
    <row r="58" spans="1:22" ht="18" customHeight="1">
      <c r="A58" s="184"/>
      <c r="E58" s="244" t="s">
        <v>478</v>
      </c>
      <c r="G58" s="18" t="str">
        <f>IF(F56="&gt;","Suitably Dimentioned","Under Dimentioned")</f>
        <v>Suitably Dimentioned</v>
      </c>
      <c r="V58" s="185"/>
    </row>
    <row r="59" spans="1:22" ht="18" customHeight="1">
      <c r="A59" s="184"/>
      <c r="V59" s="185"/>
    </row>
    <row r="60" spans="1:22" ht="18" customHeight="1">
      <c r="A60" s="184"/>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452"/>
      <c r="B86" s="207"/>
      <c r="C86" s="207"/>
      <c r="D86" s="207"/>
      <c r="E86" s="207"/>
      <c r="F86" s="207"/>
      <c r="G86" s="207"/>
      <c r="H86" s="207"/>
      <c r="I86" s="207"/>
      <c r="J86" s="207"/>
      <c r="K86" s="207"/>
      <c r="L86" s="207"/>
      <c r="M86" s="207"/>
      <c r="N86" s="207"/>
      <c r="O86" s="207"/>
      <c r="P86" s="207"/>
      <c r="Q86" s="207"/>
      <c r="R86" s="207"/>
      <c r="S86" s="207"/>
      <c r="T86" s="207"/>
      <c r="U86" s="207"/>
      <c r="V86" s="453"/>
    </row>
    <row r="87" spans="1:22" ht="18" customHeight="1">
      <c r="A87" s="290"/>
      <c r="B87" s="196"/>
      <c r="C87" s="196"/>
      <c r="D87" s="196"/>
      <c r="E87" s="196"/>
      <c r="F87" s="196"/>
      <c r="G87" s="196"/>
      <c r="H87" s="196"/>
      <c r="I87" s="196"/>
      <c r="J87" s="196"/>
      <c r="K87" s="196"/>
      <c r="L87" s="196"/>
      <c r="M87" s="196"/>
      <c r="N87" s="196"/>
      <c r="O87" s="196"/>
      <c r="P87" s="196"/>
      <c r="Q87" s="196"/>
      <c r="R87" s="196"/>
      <c r="S87" s="196"/>
      <c r="T87" s="196"/>
      <c r="U87" s="196"/>
      <c r="V87" s="291"/>
    </row>
    <row r="88" spans="1:22" ht="18"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2" ht="18" customHeight="1">
      <c r="A89" s="262" t="s">
        <v>532</v>
      </c>
      <c r="B89" s="14"/>
      <c r="C89" s="14"/>
      <c r="D89" s="120"/>
      <c r="E89" s="120"/>
      <c r="F89" s="18"/>
      <c r="G89" s="18"/>
      <c r="H89" s="14"/>
      <c r="I89" s="14"/>
      <c r="J89" s="14"/>
      <c r="K89" s="14"/>
      <c r="L89" s="14"/>
      <c r="M89" s="14"/>
      <c r="N89" s="14"/>
      <c r="O89" s="14"/>
      <c r="P89" s="28"/>
      <c r="Q89" s="120"/>
      <c r="R89" s="47"/>
      <c r="S89" s="206"/>
      <c r="T89" s="259"/>
      <c r="U89" s="14"/>
      <c r="V89" s="97"/>
    </row>
    <row r="90" spans="1:22" ht="56.4" customHeight="1">
      <c r="A90" s="868" t="s">
        <v>85</v>
      </c>
      <c r="B90" s="868"/>
      <c r="C90" s="869"/>
      <c r="D90" s="868" t="s">
        <v>86</v>
      </c>
      <c r="E90" s="868"/>
      <c r="F90" s="868"/>
      <c r="G90" s="868" t="s">
        <v>87</v>
      </c>
      <c r="H90" s="868"/>
      <c r="I90" s="868" t="s">
        <v>88</v>
      </c>
      <c r="J90" s="868"/>
      <c r="K90" s="955" t="s">
        <v>89</v>
      </c>
      <c r="L90" s="957"/>
      <c r="M90" s="955" t="s">
        <v>90</v>
      </c>
      <c r="N90" s="957"/>
      <c r="O90" s="955" t="s">
        <v>91</v>
      </c>
      <c r="P90" s="957"/>
      <c r="Q90" s="955" t="s">
        <v>92</v>
      </c>
      <c r="R90" s="957"/>
      <c r="S90" s="868" t="s">
        <v>93</v>
      </c>
      <c r="T90" s="868"/>
      <c r="U90" s="868"/>
      <c r="V90" s="868"/>
    </row>
    <row r="91" spans="1:22" ht="18" customHeight="1">
      <c r="A91" s="869" t="str">
        <f>B7</f>
        <v>T1</v>
      </c>
      <c r="B91" s="765" t="str">
        <f>D7</f>
        <v>Core4</v>
      </c>
      <c r="C91" s="765"/>
      <c r="D91" s="870">
        <f>H10</f>
        <v>2500</v>
      </c>
      <c r="E91" s="870"/>
      <c r="F91" s="871">
        <f>O10</f>
        <v>1</v>
      </c>
      <c r="G91" s="961">
        <f>'CT-VT Burdens'!S21</f>
        <v>120</v>
      </c>
      <c r="H91" s="874">
        <f>'CT-VT Burdens'!S10</f>
        <v>6</v>
      </c>
      <c r="I91" s="874" t="str">
        <f>H11</f>
        <v>PX-B</v>
      </c>
      <c r="J91" s="874"/>
      <c r="K91" s="869">
        <f>H12</f>
        <v>5</v>
      </c>
      <c r="L91" s="869"/>
      <c r="M91" s="869">
        <f>H13</f>
        <v>750</v>
      </c>
      <c r="N91" s="869"/>
      <c r="O91" s="870">
        <f>H14</f>
        <v>60</v>
      </c>
      <c r="P91" s="870"/>
      <c r="Q91" s="879" t="str">
        <f>T7</f>
        <v>REF650</v>
      </c>
      <c r="R91" s="879"/>
      <c r="S91" s="878" t="str">
        <f>G58</f>
        <v>Suitably Dimentioned</v>
      </c>
      <c r="T91" s="878"/>
      <c r="U91" s="878"/>
      <c r="V91" s="878"/>
    </row>
    <row r="92" spans="1:22" ht="18" customHeight="1">
      <c r="A92" s="869"/>
      <c r="B92" s="765"/>
      <c r="C92" s="765"/>
      <c r="D92" s="870" t="s">
        <v>6</v>
      </c>
      <c r="E92" s="870"/>
      <c r="F92" s="872"/>
      <c r="G92" s="961"/>
      <c r="H92" s="870"/>
      <c r="I92" s="874"/>
      <c r="J92" s="874"/>
      <c r="K92" s="869" t="s">
        <v>6</v>
      </c>
      <c r="L92" s="869"/>
      <c r="M92" s="869" t="s">
        <v>6</v>
      </c>
      <c r="N92" s="869"/>
      <c r="O92" s="870" t="s">
        <v>6</v>
      </c>
      <c r="P92" s="870"/>
      <c r="Q92" s="879"/>
      <c r="R92" s="879"/>
      <c r="S92" s="878" t="s">
        <v>6</v>
      </c>
      <c r="T92" s="878"/>
      <c r="U92" s="878"/>
      <c r="V92" s="878"/>
    </row>
    <row r="93" spans="1:22" ht="18" customHeight="1">
      <c r="A93" s="869"/>
      <c r="B93" s="765"/>
      <c r="C93" s="765"/>
      <c r="D93" s="870" t="s">
        <v>6</v>
      </c>
      <c r="E93" s="870"/>
      <c r="F93" s="873"/>
      <c r="G93" s="961"/>
      <c r="H93" s="870"/>
      <c r="I93" s="874"/>
      <c r="J93" s="874"/>
      <c r="K93" s="869" t="s">
        <v>6</v>
      </c>
      <c r="L93" s="869"/>
      <c r="M93" s="869" t="s">
        <v>6</v>
      </c>
      <c r="N93" s="869"/>
      <c r="O93" s="870" t="s">
        <v>6</v>
      </c>
      <c r="P93" s="870"/>
      <c r="Q93" s="879"/>
      <c r="R93" s="879"/>
      <c r="S93" s="878" t="s">
        <v>6</v>
      </c>
      <c r="T93" s="878"/>
      <c r="U93" s="878"/>
      <c r="V93" s="878"/>
    </row>
    <row r="94" spans="1:22" ht="18" customHeight="1">
      <c r="A94" s="184"/>
      <c r="V94" s="185"/>
    </row>
    <row r="95" spans="1:22" ht="18" customHeight="1">
      <c r="A95" s="184"/>
      <c r="V95" s="185"/>
    </row>
    <row r="96" spans="1:22" ht="18" customHeight="1">
      <c r="A96" s="184"/>
      <c r="V96" s="185"/>
    </row>
    <row r="97" spans="1:22" ht="18" customHeight="1">
      <c r="A97" s="184"/>
      <c r="V97" s="185"/>
    </row>
    <row r="98" spans="1:22" ht="18" customHeight="1">
      <c r="A98" s="184"/>
      <c r="V98" s="185"/>
    </row>
    <row r="99" spans="1:22" ht="18" customHeight="1">
      <c r="A99" s="184"/>
      <c r="V99" s="185"/>
    </row>
    <row r="100" spans="1:22" ht="18" customHeight="1">
      <c r="A100" s="184"/>
      <c r="V100" s="185"/>
    </row>
    <row r="101" spans="1:22" ht="18" customHeight="1">
      <c r="A101" s="184"/>
      <c r="V101" s="185"/>
    </row>
    <row r="102" spans="1:22" ht="18" customHeight="1">
      <c r="A102" s="184"/>
      <c r="V102" s="185"/>
    </row>
    <row r="103" spans="1:22" ht="18" customHeight="1">
      <c r="A103" s="184"/>
      <c r="V103" s="185"/>
    </row>
    <row r="104" spans="1:22" ht="18" customHeight="1">
      <c r="A104" s="184"/>
      <c r="V104" s="185"/>
    </row>
    <row r="105" spans="1:22" ht="18" customHeight="1">
      <c r="A105" s="184"/>
      <c r="V105" s="185"/>
    </row>
    <row r="106" spans="1:22" ht="18" customHeight="1">
      <c r="A106" s="184"/>
      <c r="V106" s="185"/>
    </row>
    <row r="107" spans="1:22" ht="18" customHeight="1">
      <c r="A107" s="184"/>
      <c r="V107" s="185"/>
    </row>
    <row r="108" spans="1:22" ht="18" customHeight="1">
      <c r="A108" s="184"/>
      <c r="V108" s="185"/>
    </row>
    <row r="109" spans="1:22" ht="18" customHeight="1">
      <c r="A109" s="184"/>
      <c r="V109" s="185"/>
    </row>
    <row r="110" spans="1:22" ht="18" customHeight="1">
      <c r="A110" s="184"/>
      <c r="V110" s="185"/>
    </row>
    <row r="111" spans="1:22" ht="18" customHeight="1">
      <c r="A111" s="184"/>
      <c r="V111" s="185"/>
    </row>
    <row r="112" spans="1:22" ht="18" customHeight="1">
      <c r="A112" s="184"/>
      <c r="V112" s="185"/>
    </row>
    <row r="113" spans="1:22" ht="18" customHeight="1">
      <c r="A113" s="184"/>
      <c r="V113" s="185"/>
    </row>
    <row r="114" spans="1:22" ht="18" customHeight="1">
      <c r="A114" s="184"/>
      <c r="V114" s="185"/>
    </row>
    <row r="115" spans="1:22" ht="18" customHeight="1">
      <c r="A115" s="184"/>
      <c r="V115" s="185"/>
    </row>
    <row r="116" spans="1:22" ht="18" customHeight="1">
      <c r="A116" s="184"/>
      <c r="V116" s="185"/>
    </row>
    <row r="117" spans="1:22" ht="18" customHeight="1">
      <c r="A117" s="184"/>
      <c r="V117" s="185"/>
    </row>
    <row r="118" spans="1:22" ht="18" customHeight="1">
      <c r="A118" s="184"/>
      <c r="V118" s="185"/>
    </row>
    <row r="119" spans="1:22" ht="18" customHeight="1">
      <c r="A119" s="184"/>
      <c r="V119" s="185"/>
    </row>
    <row r="120" spans="1:22" ht="18" customHeight="1">
      <c r="A120" s="184"/>
      <c r="V120" s="185"/>
    </row>
    <row r="121" spans="1:22" ht="18" customHeight="1">
      <c r="A121" s="184"/>
      <c r="V121" s="185"/>
    </row>
    <row r="122" spans="1:22" ht="18" customHeight="1">
      <c r="A122" s="184"/>
      <c r="V122" s="185"/>
    </row>
    <row r="123" spans="1:22" ht="18" customHeight="1">
      <c r="A123" s="184"/>
      <c r="V123" s="185"/>
    </row>
    <row r="124" spans="1:22" ht="18" customHeight="1">
      <c r="A124" s="184"/>
      <c r="V124" s="185"/>
    </row>
    <row r="125" spans="1:22" ht="18" customHeight="1">
      <c r="A125" s="184"/>
      <c r="V125" s="185"/>
    </row>
    <row r="126" spans="1:22" ht="18" customHeight="1">
      <c r="A126" s="290"/>
      <c r="B126" s="196"/>
      <c r="C126" s="196"/>
      <c r="D126" s="196"/>
      <c r="E126" s="196"/>
      <c r="F126" s="196"/>
      <c r="G126" s="196"/>
      <c r="H126" s="196"/>
      <c r="I126" s="196"/>
      <c r="J126" s="196"/>
      <c r="K126" s="196"/>
      <c r="L126" s="196"/>
      <c r="M126" s="196"/>
      <c r="N126" s="196"/>
      <c r="O126" s="196"/>
      <c r="P126" s="196"/>
      <c r="Q126" s="196"/>
      <c r="R126" s="196"/>
      <c r="S126" s="196"/>
      <c r="T126" s="196"/>
      <c r="U126" s="196"/>
      <c r="V126" s="291"/>
    </row>
  </sheetData>
  <mergeCells count="88">
    <mergeCell ref="M93:N93"/>
    <mergeCell ref="O93:P93"/>
    <mergeCell ref="S93:V93"/>
    <mergeCell ref="I91:J93"/>
    <mergeCell ref="K91:L91"/>
    <mergeCell ref="M91:N91"/>
    <mergeCell ref="O91:P91"/>
    <mergeCell ref="Q91:R93"/>
    <mergeCell ref="S91:V91"/>
    <mergeCell ref="K92:L92"/>
    <mergeCell ref="M92:N92"/>
    <mergeCell ref="O92:P92"/>
    <mergeCell ref="S92:V92"/>
    <mergeCell ref="A91:A93"/>
    <mergeCell ref="B91:C93"/>
    <mergeCell ref="D91:E91"/>
    <mergeCell ref="F91:F93"/>
    <mergeCell ref="G91:G93"/>
    <mergeCell ref="H91:H93"/>
    <mergeCell ref="D92:E92"/>
    <mergeCell ref="D93:E93"/>
    <mergeCell ref="I90:J90"/>
    <mergeCell ref="K90:L90"/>
    <mergeCell ref="K93:L93"/>
    <mergeCell ref="M90:N90"/>
    <mergeCell ref="O90:P90"/>
    <mergeCell ref="Q90:R90"/>
    <mergeCell ref="S90:V90"/>
    <mergeCell ref="G50:H50"/>
    <mergeCell ref="G54:H54"/>
    <mergeCell ref="D57:E57"/>
    <mergeCell ref="G57:H57"/>
    <mergeCell ref="A90:C90"/>
    <mergeCell ref="D90:F90"/>
    <mergeCell ref="G90:H90"/>
    <mergeCell ref="H41:I41"/>
    <mergeCell ref="E42:F42"/>
    <mergeCell ref="G48:H48"/>
    <mergeCell ref="J48:K48"/>
    <mergeCell ref="G49:H49"/>
    <mergeCell ref="J49:K49"/>
    <mergeCell ref="H40:I40"/>
    <mergeCell ref="P22:Q22"/>
    <mergeCell ref="A24:V25"/>
    <mergeCell ref="H29:I29"/>
    <mergeCell ref="S31:T31"/>
    <mergeCell ref="S32:T32"/>
    <mergeCell ref="S33:T33"/>
    <mergeCell ref="J22:K22"/>
    <mergeCell ref="S34:T34"/>
    <mergeCell ref="S35:T35"/>
    <mergeCell ref="S36:T36"/>
    <mergeCell ref="S37:T37"/>
    <mergeCell ref="S38:T38"/>
    <mergeCell ref="H14:I14"/>
    <mergeCell ref="J18:K18"/>
    <mergeCell ref="J19:K19"/>
    <mergeCell ref="J20:K20"/>
    <mergeCell ref="J21:K21"/>
    <mergeCell ref="H13:I13"/>
    <mergeCell ref="B7:C7"/>
    <mergeCell ref="D7:E7"/>
    <mergeCell ref="T7:U7"/>
    <mergeCell ref="H9:I9"/>
    <mergeCell ref="J9:K9"/>
    <mergeCell ref="L9:M9"/>
    <mergeCell ref="H10:I10"/>
    <mergeCell ref="J10:K10"/>
    <mergeCell ref="L10:M10"/>
    <mergeCell ref="H11:I11"/>
    <mergeCell ref="H12:I12"/>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58">
    <cfRule type="cellIs" dxfId="105"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649D-BB1B-4E8F-AD7A-E7CB77129191}">
  <sheetPr>
    <tabColor indexed="62"/>
  </sheetPr>
  <dimension ref="A1:Y293"/>
  <sheetViews>
    <sheetView showZeros="0" view="pageBreakPreview" topLeftCell="A7" zoomScale="145" zoomScaleNormal="100" zoomScaleSheetLayoutView="145" workbookViewId="0">
      <selection activeCell="J21" sqref="J21:K21"/>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108</v>
      </c>
      <c r="C7" s="1076"/>
      <c r="D7" s="1092" t="s">
        <v>113</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2000</v>
      </c>
      <c r="I10" s="1091"/>
      <c r="J10" s="1075">
        <v>3200</v>
      </c>
      <c r="K10" s="1076"/>
      <c r="L10" s="1075"/>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224">
        <v>3.5</v>
      </c>
      <c r="I12" s="1225"/>
      <c r="J12" s="192" t="s">
        <v>333</v>
      </c>
      <c r="V12" s="185"/>
    </row>
    <row r="13" spans="1:24" ht="18" customHeight="1">
      <c r="A13" s="184"/>
      <c r="B13" s="47" t="s">
        <v>398</v>
      </c>
      <c r="G13" s="120" t="s">
        <v>498</v>
      </c>
      <c r="H13" s="1075">
        <v>500</v>
      </c>
      <c r="I13" s="1076"/>
      <c r="J13" s="14" t="s">
        <v>305</v>
      </c>
      <c r="U13" s="18"/>
      <c r="V13" s="185"/>
      <c r="W13" s="30" t="str">
        <f>H74</f>
        <v>Suitably Dimentioned</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Burdens'!S36</f>
        <v>1.25652618</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1.45652618</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1.45652618</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1.45652618</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3.5</v>
      </c>
      <c r="M39" s="689"/>
      <c r="N39" s="689" t="s">
        <v>347</v>
      </c>
      <c r="O39" s="692">
        <f>S29</f>
        <v>1.45652618</v>
      </c>
      <c r="P39" s="689"/>
      <c r="Q39" s="689" t="s">
        <v>674</v>
      </c>
      <c r="R39" s="689">
        <f>S27</f>
        <v>1</v>
      </c>
      <c r="S39" s="14"/>
      <c r="T39" s="14"/>
      <c r="U39" s="14"/>
      <c r="V39" s="185"/>
    </row>
    <row r="40" spans="1:22" ht="18" customHeight="1">
      <c r="A40" s="184"/>
      <c r="B40" s="14"/>
      <c r="C40" s="14"/>
      <c r="D40" s="689"/>
      <c r="E40" s="689"/>
      <c r="F40" s="689"/>
      <c r="G40" s="211">
        <v>1.3</v>
      </c>
      <c r="H40" s="218" t="s">
        <v>315</v>
      </c>
      <c r="I40" s="689">
        <f>S26</f>
        <v>2000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47.658905576923075</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3.5</v>
      </c>
      <c r="I51" s="689"/>
      <c r="J51" s="689" t="s">
        <v>347</v>
      </c>
      <c r="K51" s="692">
        <f>S29</f>
        <v>1.45652618</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381.2712446153846</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500</v>
      </c>
      <c r="F67" s="692"/>
      <c r="G67" s="28" t="str">
        <f>G66</f>
        <v>&gt;</v>
      </c>
      <c r="H67" s="692">
        <f>E42</f>
        <v>47.658905576923075</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500</v>
      </c>
      <c r="F71" s="692"/>
      <c r="G71" s="28" t="str">
        <f>G70</f>
        <v>&gt;</v>
      </c>
      <c r="H71" s="692">
        <f>E54</f>
        <v>381.2712446153846</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Dimentioned",IF(AND(G66="&gt;",G70="&gt;"),"Over Dimentioned",IF(G66="&lt;","Under Dimentioned","")))</f>
        <v>Suitably Dimentioned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T1</v>
      </c>
      <c r="C87" s="831"/>
      <c r="D87" s="854" t="str">
        <f>D7</f>
        <v>Core4</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2000</v>
      </c>
      <c r="I90" s="831"/>
      <c r="J90" s="863">
        <f>J10</f>
        <v>3200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Dimentioned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1.25652618</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1.45652618</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3200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1.45652618</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1.45652618</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1.45652618</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3200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38.801239062500002</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1.45652618</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496.65585999999996</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38.801239062500002</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496.65585999999996</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Dimentioned",IF(AND(G146="&gt;",G150="&gt;"),"Over Dimentioned",IF(G146="&lt;","Under Dimentioned","")))</f>
        <v>Suitably Dimentioned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T1</v>
      </c>
      <c r="C167" s="831"/>
      <c r="D167" s="854" t="str">
        <f>D87</f>
        <v>Core4</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2000</v>
      </c>
      <c r="I170" s="831"/>
      <c r="J170" s="854">
        <f>J90</f>
        <v>3200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1.25652618</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1.45652618</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1.45652618</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1.45652618</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1.45652618</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1.45652618</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112.04047538461538</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112.04047538461538</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T1</v>
      </c>
      <c r="B261" s="765" t="str">
        <f>D7</f>
        <v>Core4</v>
      </c>
      <c r="C261" s="765"/>
      <c r="D261" s="870">
        <f>H10</f>
        <v>2000</v>
      </c>
      <c r="E261" s="870"/>
      <c r="F261" s="871">
        <f>O10</f>
        <v>1</v>
      </c>
      <c r="G261" s="961">
        <f>'CT-VT Burdens'!S21</f>
        <v>120</v>
      </c>
      <c r="H261" s="959">
        <f>'CT-VT Burdens'!S10</f>
        <v>6</v>
      </c>
      <c r="I261" s="874" t="str">
        <f>H11</f>
        <v>PX</v>
      </c>
      <c r="J261" s="874"/>
      <c r="K261" s="869">
        <f>H12</f>
        <v>3.5</v>
      </c>
      <c r="L261" s="869"/>
      <c r="M261" s="869">
        <f>H13</f>
        <v>500</v>
      </c>
      <c r="N261" s="869"/>
      <c r="O261" s="870">
        <f>H14</f>
        <v>20</v>
      </c>
      <c r="P261" s="870"/>
      <c r="Q261" s="879" t="str">
        <f>CONCATENATE(T7," ",T8," ",T9," ",T10)</f>
        <v xml:space="preserve">7SS522 6MU85  </v>
      </c>
      <c r="R261" s="879"/>
      <c r="S261" s="878" t="str">
        <f>H74</f>
        <v>Suitably Dimentioned</v>
      </c>
      <c r="T261" s="878"/>
      <c r="U261" s="878"/>
      <c r="V261" s="878"/>
    </row>
    <row r="262" spans="1:22" ht="18" customHeight="1">
      <c r="A262" s="765"/>
      <c r="B262" s="765"/>
      <c r="C262" s="765"/>
      <c r="D262" s="870">
        <f>J10</f>
        <v>3200</v>
      </c>
      <c r="E262" s="870"/>
      <c r="F262" s="872"/>
      <c r="G262" s="961"/>
      <c r="H262" s="959"/>
      <c r="I262" s="874"/>
      <c r="J262" s="874"/>
      <c r="K262" s="875">
        <f>J92</f>
        <v>5</v>
      </c>
      <c r="L262" s="869"/>
      <c r="M262" s="875">
        <f>J93</f>
        <v>900</v>
      </c>
      <c r="N262" s="869"/>
      <c r="O262" s="870">
        <f>J94</f>
        <v>10</v>
      </c>
      <c r="P262" s="870"/>
      <c r="Q262" s="879"/>
      <c r="R262" s="879"/>
      <c r="S262" s="877" t="str">
        <f>H154</f>
        <v>Suitably Dimentioned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O257:P260"/>
    <mergeCell ref="Q257:R260"/>
    <mergeCell ref="S257:V260"/>
    <mergeCell ref="A261:A263"/>
    <mergeCell ref="B261:C263"/>
    <mergeCell ref="D261:E261"/>
    <mergeCell ref="F261:F263"/>
    <mergeCell ref="G261:G263"/>
    <mergeCell ref="D263:E263"/>
    <mergeCell ref="K263:L263"/>
    <mergeCell ref="M263:N263"/>
    <mergeCell ref="O263:P263"/>
    <mergeCell ref="S263:V263"/>
    <mergeCell ref="S261:V261"/>
    <mergeCell ref="D262:E262"/>
    <mergeCell ref="K262:L262"/>
    <mergeCell ref="M262:N262"/>
    <mergeCell ref="O262:P262"/>
    <mergeCell ref="S262:V262"/>
    <mergeCell ref="H261:H263"/>
    <mergeCell ref="I261:J263"/>
    <mergeCell ref="K261:L261"/>
    <mergeCell ref="M261:N261"/>
    <mergeCell ref="O261:P261"/>
    <mergeCell ref="K215:L216"/>
    <mergeCell ref="M215:M216"/>
    <mergeCell ref="N215:N216"/>
    <mergeCell ref="E216:F216"/>
    <mergeCell ref="E218:F218"/>
    <mergeCell ref="E231:F231"/>
    <mergeCell ref="H231:I231"/>
    <mergeCell ref="K257:L260"/>
    <mergeCell ref="M257:N260"/>
    <mergeCell ref="D215:D216"/>
    <mergeCell ref="E215:F215"/>
    <mergeCell ref="G215:G216"/>
    <mergeCell ref="H215:I216"/>
    <mergeCell ref="J215:J216"/>
    <mergeCell ref="E235:F235"/>
    <mergeCell ref="H235:I235"/>
    <mergeCell ref="A257:C260"/>
    <mergeCell ref="D257:F260"/>
    <mergeCell ref="G257:H260"/>
    <mergeCell ref="I257:J260"/>
    <mergeCell ref="E202:F202"/>
    <mergeCell ref="B212:C213"/>
    <mergeCell ref="D212:D213"/>
    <mergeCell ref="E212:F212"/>
    <mergeCell ref="G212:G213"/>
    <mergeCell ref="H212:I213"/>
    <mergeCell ref="L199:M200"/>
    <mergeCell ref="N199:N200"/>
    <mergeCell ref="O199:P200"/>
    <mergeCell ref="J212:J213"/>
    <mergeCell ref="K212:L213"/>
    <mergeCell ref="M212:M213"/>
    <mergeCell ref="N212:N213"/>
    <mergeCell ref="E213:F213"/>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9:T109"/>
    <mergeCell ref="S110:T110"/>
    <mergeCell ref="B116:C117"/>
    <mergeCell ref="D116:D117"/>
    <mergeCell ref="E116:E117"/>
    <mergeCell ref="F116:F117"/>
    <mergeCell ref="G116:J116"/>
    <mergeCell ref="K116:K117"/>
    <mergeCell ref="L116:M117"/>
    <mergeCell ref="S106:T106"/>
    <mergeCell ref="S107:T107"/>
    <mergeCell ref="J91:K91"/>
    <mergeCell ref="J92:K92"/>
    <mergeCell ref="J93:K93"/>
    <mergeCell ref="J94:K94"/>
    <mergeCell ref="J98:K98"/>
    <mergeCell ref="J99:K99"/>
    <mergeCell ref="S108:T108"/>
    <mergeCell ref="H90:I90"/>
    <mergeCell ref="J90:K90"/>
    <mergeCell ref="L90:M90"/>
    <mergeCell ref="E71:F71"/>
    <mergeCell ref="H71:I71"/>
    <mergeCell ref="J100:K100"/>
    <mergeCell ref="J101:K101"/>
    <mergeCell ref="J102:K102"/>
    <mergeCell ref="S105:T105"/>
    <mergeCell ref="T87:U87"/>
    <mergeCell ref="N51:N52"/>
    <mergeCell ref="E52:F52"/>
    <mergeCell ref="E54:F54"/>
    <mergeCell ref="E67:F67"/>
    <mergeCell ref="H67:I67"/>
    <mergeCell ref="T88:U88"/>
    <mergeCell ref="H89:I89"/>
    <mergeCell ref="J89:K89"/>
    <mergeCell ref="L89:M89"/>
    <mergeCell ref="T89:U89"/>
    <mergeCell ref="D51:D52"/>
    <mergeCell ref="E51:F51"/>
    <mergeCell ref="G51:G52"/>
    <mergeCell ref="H51:I52"/>
    <mergeCell ref="J51:J52"/>
    <mergeCell ref="K51:L52"/>
    <mergeCell ref="B87:C87"/>
    <mergeCell ref="D87:E87"/>
    <mergeCell ref="H87:M87"/>
    <mergeCell ref="M51:M52"/>
    <mergeCell ref="B48:C49"/>
    <mergeCell ref="D48:D49"/>
    <mergeCell ref="E48:F48"/>
    <mergeCell ref="G48:G49"/>
    <mergeCell ref="H48:I49"/>
    <mergeCell ref="J48:J49"/>
    <mergeCell ref="N39:N40"/>
    <mergeCell ref="O39:P40"/>
    <mergeCell ref="Q39:Q40"/>
    <mergeCell ref="K48:L49"/>
    <mergeCell ref="M48:M49"/>
    <mergeCell ref="N48:N49"/>
    <mergeCell ref="E49:F49"/>
    <mergeCell ref="R39:R40"/>
    <mergeCell ref="I40:J40"/>
    <mergeCell ref="E42:F42"/>
    <mergeCell ref="D39:D40"/>
    <mergeCell ref="E39:E40"/>
    <mergeCell ref="F39:F40"/>
    <mergeCell ref="G39:J39"/>
    <mergeCell ref="K39:K40"/>
    <mergeCell ref="L39:M40"/>
    <mergeCell ref="L36:M37"/>
    <mergeCell ref="N36:N37"/>
    <mergeCell ref="O36:P37"/>
    <mergeCell ref="Q36:Q37"/>
    <mergeCell ref="R36:R37"/>
    <mergeCell ref="I37:J37"/>
    <mergeCell ref="B36:C37"/>
    <mergeCell ref="D36:D37"/>
    <mergeCell ref="E36:E37"/>
    <mergeCell ref="F36:F37"/>
    <mergeCell ref="G36:J36"/>
    <mergeCell ref="K36:K37"/>
    <mergeCell ref="S25:T25"/>
    <mergeCell ref="S26:T26"/>
    <mergeCell ref="S27:T27"/>
    <mergeCell ref="S28:T28"/>
    <mergeCell ref="S29:T29"/>
    <mergeCell ref="S30:T30"/>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1 G207 G225">
    <cfRule type="cellIs" dxfId="104" priority="8" stopIfTrue="1" operator="equal">
      <formula>"Under Dimentioned"</formula>
    </cfRule>
  </conditionalFormatting>
  <conditionalFormatting sqref="H74">
    <cfRule type="cellIs" dxfId="103" priority="5" stopIfTrue="1" operator="equal">
      <formula>"Under Dimentioned"</formula>
    </cfRule>
    <cfRule type="cellIs" dxfId="102" priority="6" stopIfTrue="1" operator="equal">
      <formula>"Over Dimentioned"</formula>
    </cfRule>
  </conditionalFormatting>
  <conditionalFormatting sqref="H154 H238">
    <cfRule type="containsText" dxfId="101" priority="7" operator="containsText" text="Under Dimentioned">
      <formula>NOT(ISERROR(SEARCH("Under Dimentioned",H154)))</formula>
    </cfRule>
  </conditionalFormatting>
  <conditionalFormatting sqref="H154">
    <cfRule type="cellIs" dxfId="100" priority="3" stopIfTrue="1" operator="equal">
      <formula>"Under Dimentioned"</formula>
    </cfRule>
    <cfRule type="cellIs" dxfId="99" priority="4" stopIfTrue="1" operator="equal">
      <formula>"Over Dimentioned"</formula>
    </cfRule>
  </conditionalFormatting>
  <conditionalFormatting sqref="H238">
    <cfRule type="cellIs" dxfId="98" priority="1" stopIfTrue="1" operator="equal">
      <formula>"Under Dimentioned"</formula>
    </cfRule>
    <cfRule type="cellIs" dxfId="97" priority="2" stopIfTrue="1" operator="equal">
      <formula>"Over Dimentioned"</formula>
    </cfRule>
  </conditionalFormatting>
  <dataValidations count="2">
    <dataValidation type="list" allowBlank="1" showInputMessage="1" showErrorMessage="1" sqref="D87 D167" xr:uid="{18D91B98-0FF3-4345-B8E9-E50A733175F5}">
      <formula1>"Core1,Core2,Core3"</formula1>
    </dataValidation>
    <dataValidation type="list" allowBlank="1" showInputMessage="1" showErrorMessage="1" sqref="D7:E7" xr:uid="{79DCC495-ACC8-44B9-9F34-8FB418ABF697}">
      <formula1>"Core1,Core2,Core3,Core4"</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8F6E-D820-4699-8979-FED5CCEA1D4E}">
  <sheetPr>
    <tabColor rgb="FF00B050"/>
  </sheetPr>
  <dimension ref="A1:AE176"/>
  <sheetViews>
    <sheetView showZeros="0" view="pageBreakPreview" zoomScale="115" zoomScaleNormal="100" zoomScaleSheetLayoutView="115" workbookViewId="0">
      <selection activeCell="X21" sqref="X2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1066</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108</v>
      </c>
      <c r="C7" s="782"/>
      <c r="D7" s="781" t="s">
        <v>109</v>
      </c>
      <c r="E7" s="782"/>
      <c r="F7" s="255"/>
      <c r="H7" s="684" t="s">
        <v>1045</v>
      </c>
      <c r="I7" s="684"/>
      <c r="J7" s="684"/>
      <c r="K7" s="684"/>
      <c r="L7" s="684"/>
      <c r="M7" s="684"/>
      <c r="P7" s="186"/>
      <c r="R7" s="255"/>
      <c r="S7" s="187" t="s">
        <v>387</v>
      </c>
      <c r="T7" s="1216" t="s">
        <v>1056</v>
      </c>
      <c r="U7" s="1247"/>
      <c r="V7" s="185"/>
    </row>
    <row r="8" spans="1:24" ht="18" customHeight="1">
      <c r="A8" s="184"/>
      <c r="B8" s="538"/>
      <c r="C8" s="538"/>
      <c r="D8" s="547"/>
      <c r="E8" s="547"/>
      <c r="F8" s="255"/>
      <c r="T8" s="1216" t="s">
        <v>1059</v>
      </c>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1600</v>
      </c>
      <c r="I10" s="792"/>
      <c r="J10" s="781">
        <v>400</v>
      </c>
      <c r="K10" s="782"/>
      <c r="L10" s="781" t="s">
        <v>6</v>
      </c>
      <c r="M10" s="782"/>
      <c r="N10" s="191" t="s">
        <v>342</v>
      </c>
      <c r="O10" s="125">
        <v>1</v>
      </c>
      <c r="P10" s="27" t="s">
        <v>8</v>
      </c>
      <c r="T10" s="1216"/>
      <c r="U10" s="1247"/>
      <c r="V10" s="185"/>
    </row>
    <row r="11" spans="1:24" ht="18" customHeight="1">
      <c r="A11" s="184"/>
      <c r="B11" s="47" t="s">
        <v>394</v>
      </c>
      <c r="H11" s="781">
        <v>0.5</v>
      </c>
      <c r="I11" s="782"/>
      <c r="T11" s="1248"/>
      <c r="U11" s="1248"/>
      <c r="V11" s="185"/>
    </row>
    <row r="12" spans="1:24" ht="18" customHeight="1">
      <c r="A12" s="184"/>
      <c r="B12" s="47" t="s">
        <v>396</v>
      </c>
      <c r="G12" s="120" t="s">
        <v>497</v>
      </c>
      <c r="H12" s="781">
        <v>4</v>
      </c>
      <c r="I12" s="782"/>
      <c r="J12" s="192" t="s">
        <v>333</v>
      </c>
      <c r="T12" s="295"/>
      <c r="U12" s="18"/>
      <c r="V12" s="185"/>
    </row>
    <row r="13" spans="1:24" ht="18" customHeight="1">
      <c r="A13" s="184"/>
      <c r="B13" s="30" t="s">
        <v>568</v>
      </c>
      <c r="G13" s="120" t="s">
        <v>569</v>
      </c>
      <c r="H13" s="781">
        <v>5</v>
      </c>
      <c r="I13" s="782"/>
      <c r="T13" s="295"/>
      <c r="U13" s="18"/>
      <c r="V13" s="185"/>
      <c r="W13" s="30" t="str">
        <f>J47</f>
        <v>Not suitable</v>
      </c>
    </row>
    <row r="14" spans="1:24" ht="18" customHeight="1">
      <c r="A14" s="184"/>
      <c r="B14" s="47" t="s">
        <v>562</v>
      </c>
      <c r="G14" s="120" t="s">
        <v>493</v>
      </c>
      <c r="H14" s="781">
        <v>30</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hidden="1" customHeight="1">
      <c r="A17" s="184"/>
      <c r="V17" s="185"/>
    </row>
    <row r="18" spans="1:31" ht="18" customHeight="1">
      <c r="A18" s="184"/>
      <c r="B18" s="135" t="s">
        <v>405</v>
      </c>
      <c r="C18" s="273"/>
      <c r="D18" s="139" t="str">
        <f>T7</f>
        <v>SEL2240</v>
      </c>
      <c r="E18" s="227"/>
      <c r="F18" s="227"/>
      <c r="G18" s="227"/>
      <c r="H18" s="138"/>
      <c r="I18" s="260" t="s">
        <v>127</v>
      </c>
      <c r="J18" s="1104">
        <f>'CT-VT Burdens'!Q135</f>
        <v>0.1</v>
      </c>
      <c r="K18" s="1193"/>
      <c r="L18" s="3" t="s">
        <v>157</v>
      </c>
      <c r="N18" s="197" t="s">
        <v>510</v>
      </c>
      <c r="V18" s="185"/>
      <c r="AC18" s="14" t="s">
        <v>570</v>
      </c>
      <c r="AE18" s="14" t="s">
        <v>571</v>
      </c>
    </row>
    <row r="19" spans="1:31" ht="18" customHeight="1">
      <c r="A19" s="184"/>
      <c r="B19" s="96" t="s">
        <v>405</v>
      </c>
      <c r="D19" s="296" t="str">
        <f>T8</f>
        <v>6MD85</v>
      </c>
      <c r="I19" s="177" t="s">
        <v>127</v>
      </c>
      <c r="J19" s="1106">
        <f>'CT-VT Burdens'!Q155</f>
        <v>0.1</v>
      </c>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4</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4</v>
      </c>
      <c r="Q22" s="684"/>
      <c r="R22" s="27" t="s">
        <v>157</v>
      </c>
      <c r="S22" s="27"/>
      <c r="T22" s="27"/>
      <c r="V22" s="185"/>
    </row>
    <row r="23" spans="1:31" ht="18" customHeight="1">
      <c r="A23" s="184"/>
      <c r="B23" s="1" t="s">
        <v>413</v>
      </c>
      <c r="C23" s="2"/>
      <c r="D23" s="2"/>
      <c r="E23" s="2"/>
      <c r="F23" s="196"/>
      <c r="G23" s="196"/>
      <c r="H23" s="224" t="s">
        <v>512</v>
      </c>
      <c r="I23" s="183" t="s">
        <v>127</v>
      </c>
      <c r="J23" s="722">
        <f>SUM(J18:K22)</f>
        <v>1.2770224400000001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1600</v>
      </c>
      <c r="Q25" s="1251"/>
      <c r="R25" s="192" t="s">
        <v>8</v>
      </c>
      <c r="V25" s="185"/>
    </row>
    <row r="26" spans="1:31" ht="18" customHeight="1">
      <c r="A26" s="184"/>
      <c r="B26" s="47" t="s">
        <v>547</v>
      </c>
      <c r="C26" s="47"/>
      <c r="D26" s="47"/>
      <c r="E26" s="47"/>
      <c r="H26" s="27"/>
      <c r="I26" s="28"/>
      <c r="J26" s="199"/>
      <c r="L26" s="47"/>
      <c r="N26" s="120" t="s">
        <v>572</v>
      </c>
      <c r="O26" s="28" t="s">
        <v>127</v>
      </c>
      <c r="P26" s="1251">
        <f>H12</f>
        <v>4</v>
      </c>
      <c r="Q26" s="1251"/>
      <c r="R26" s="304" t="s">
        <v>157</v>
      </c>
      <c r="V26" s="185"/>
    </row>
    <row r="27" spans="1:31" ht="18" customHeight="1">
      <c r="A27" s="184"/>
      <c r="B27" s="47" t="s">
        <v>548</v>
      </c>
      <c r="C27" s="47"/>
      <c r="D27" s="47"/>
      <c r="E27" s="47"/>
      <c r="H27" s="27"/>
      <c r="I27" s="28"/>
      <c r="J27" s="199"/>
      <c r="L27" s="47"/>
      <c r="N27" s="120" t="s">
        <v>573</v>
      </c>
      <c r="O27" s="28" t="s">
        <v>127</v>
      </c>
      <c r="P27" s="1072">
        <f>J23</f>
        <v>1.2770224400000001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296" t="s">
        <v>576</v>
      </c>
      <c r="C30" s="47"/>
      <c r="D30" s="47"/>
      <c r="E30" s="47"/>
      <c r="H30" s="27"/>
      <c r="I30" s="28"/>
      <c r="J30" s="199"/>
      <c r="L30" s="47"/>
      <c r="O30" s="28" t="s">
        <v>127</v>
      </c>
      <c r="P30" s="1072">
        <v>25</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c r="D34" s="47"/>
      <c r="E34" s="47"/>
      <c r="H34" s="27"/>
      <c r="I34" s="28"/>
      <c r="J34" s="199"/>
      <c r="L34" s="47"/>
      <c r="O34" s="27"/>
      <c r="P34" s="211"/>
      <c r="Q34" s="211"/>
      <c r="R34" s="192"/>
      <c r="V34" s="185"/>
    </row>
    <row r="35" spans="1:22" ht="18" customHeight="1">
      <c r="A35" s="184"/>
      <c r="B35" s="47"/>
      <c r="C35" s="47" t="s">
        <v>581</v>
      </c>
      <c r="D35" s="47"/>
      <c r="E35" s="47"/>
      <c r="H35" s="27"/>
      <c r="I35" s="28" t="s">
        <v>127</v>
      </c>
      <c r="J35" s="281" t="s">
        <v>582</v>
      </c>
      <c r="L35" s="47"/>
      <c r="O35" s="27"/>
      <c r="P35" s="28" t="s">
        <v>347</v>
      </c>
      <c r="Q35" s="14" t="s">
        <v>583</v>
      </c>
      <c r="R35" s="192"/>
      <c r="V35" s="185"/>
    </row>
    <row r="36" spans="1:22" ht="18" customHeight="1">
      <c r="A36" s="184"/>
      <c r="I36" s="28" t="s">
        <v>127</v>
      </c>
      <c r="J36" s="795">
        <f>J23</f>
        <v>1.2770224400000001</v>
      </c>
      <c r="K36" s="684"/>
      <c r="L36" s="28"/>
      <c r="M36" s="795"/>
      <c r="N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245">
        <f>H13</f>
        <v>5</v>
      </c>
      <c r="K38" s="245" t="s">
        <v>554</v>
      </c>
      <c r="L38" s="301">
        <f>P22</f>
        <v>4</v>
      </c>
      <c r="M38" s="245" t="s">
        <v>347</v>
      </c>
      <c r="N38" s="242">
        <f>H14</f>
        <v>30</v>
      </c>
      <c r="O38" s="245" t="s">
        <v>539</v>
      </c>
      <c r="P38" s="301">
        <f>P22</f>
        <v>4</v>
      </c>
      <c r="Q38" s="245" t="s">
        <v>347</v>
      </c>
      <c r="R38" s="301">
        <f>J23</f>
        <v>1.2770224400000001</v>
      </c>
      <c r="S38" s="296" t="s">
        <v>350</v>
      </c>
      <c r="V38" s="185"/>
    </row>
    <row r="39" spans="1:22" ht="18" customHeight="1">
      <c r="A39" s="184"/>
      <c r="I39" s="27" t="s">
        <v>127</v>
      </c>
      <c r="J39" s="1111">
        <f>J38*((L38+N38)/(P38+R38))</f>
        <v>32.215136837659536</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30</v>
      </c>
      <c r="H43" s="684"/>
      <c r="I43" s="27" t="str">
        <f>IF(G43&gt;J43,"&gt;","&lt;")</f>
        <v>&gt;</v>
      </c>
      <c r="J43" s="795">
        <f>J36</f>
        <v>1.2770224400000001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25</v>
      </c>
      <c r="H46" s="795"/>
      <c r="I46" s="27" t="str">
        <f>IF(G46&gt;J46,"&gt;","&lt;")</f>
        <v>&lt;</v>
      </c>
      <c r="J46" s="795">
        <f>J39</f>
        <v>32.215136837659536</v>
      </c>
      <c r="K46" s="795"/>
      <c r="R46" s="14"/>
      <c r="S46" s="186" t="str">
        <f>IF(G46&gt;J46,"Satisfied","Not satisfied")</f>
        <v>Not satisfied</v>
      </c>
      <c r="V46" s="185"/>
    </row>
    <row r="47" spans="1:22" ht="18" customHeight="1">
      <c r="A47" s="184"/>
      <c r="D47" s="47"/>
      <c r="H47" s="244" t="s">
        <v>478</v>
      </c>
      <c r="J47" s="18" t="str">
        <f>IF(AND(I43="&gt;",I46="&gt;")=TRUE,"Suitably Dimensioned","Not suitable")</f>
        <v>Not suitable</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customHeight="1">
      <c r="A50" s="184"/>
      <c r="B50" s="835" t="str">
        <f>B7</f>
        <v>T1</v>
      </c>
      <c r="C50" s="836"/>
      <c r="D50" s="1112" t="str">
        <f>D7</f>
        <v>Core3</v>
      </c>
      <c r="E50" s="1113"/>
      <c r="F50" s="255"/>
      <c r="H50" s="684" t="str">
        <f>H7</f>
        <v>(Metering + BCU + PQM)</v>
      </c>
      <c r="I50" s="684"/>
      <c r="J50" s="684"/>
      <c r="K50" s="684"/>
      <c r="L50" s="684"/>
      <c r="M50" s="684"/>
      <c r="P50" s="186"/>
      <c r="R50" s="255"/>
      <c r="S50" s="187" t="s">
        <v>387</v>
      </c>
      <c r="T50" s="1216" t="str">
        <f>T7</f>
        <v>SEL2240</v>
      </c>
      <c r="U50" s="1247"/>
      <c r="V50" s="185"/>
    </row>
    <row r="51" spans="1:23" ht="18" customHeight="1">
      <c r="A51" s="184"/>
      <c r="B51" s="1118">
        <f>B8</f>
        <v>0</v>
      </c>
      <c r="C51" s="1118"/>
      <c r="D51" s="1114"/>
      <c r="E51" s="1115"/>
      <c r="F51" s="255"/>
      <c r="T51" s="1216" t="str">
        <f>T8</f>
        <v>6MD85</v>
      </c>
      <c r="U51" s="1247"/>
      <c r="V51" s="185"/>
    </row>
    <row r="52" spans="1:23" ht="18" customHeight="1">
      <c r="A52" s="184"/>
      <c r="H52" s="708" t="s">
        <v>390</v>
      </c>
      <c r="I52" s="708"/>
      <c r="J52" s="789" t="s">
        <v>391</v>
      </c>
      <c r="K52" s="789"/>
      <c r="L52" s="790" t="s">
        <v>392</v>
      </c>
      <c r="M52" s="790"/>
      <c r="T52" s="1216">
        <f>T9</f>
        <v>0</v>
      </c>
      <c r="U52" s="1247"/>
      <c r="V52" s="185"/>
    </row>
    <row r="53" spans="1:23" ht="18" customHeight="1">
      <c r="A53" s="184"/>
      <c r="B53" s="47" t="s">
        <v>393</v>
      </c>
      <c r="H53" s="835">
        <f>H10</f>
        <v>1600</v>
      </c>
      <c r="I53" s="836"/>
      <c r="J53" s="843">
        <f>J10</f>
        <v>400</v>
      </c>
      <c r="K53" s="844"/>
      <c r="L53" s="835" t="str">
        <f>L10</f>
        <v>-</v>
      </c>
      <c r="M53" s="836"/>
      <c r="N53" s="191" t="s">
        <v>342</v>
      </c>
      <c r="O53" s="488">
        <f>O10</f>
        <v>1</v>
      </c>
      <c r="P53" s="27" t="s">
        <v>8</v>
      </c>
      <c r="T53" s="1216"/>
      <c r="U53" s="1247"/>
      <c r="V53" s="185"/>
    </row>
    <row r="54" spans="1:23" ht="18" customHeight="1">
      <c r="A54" s="184"/>
      <c r="B54" s="47" t="s">
        <v>394</v>
      </c>
      <c r="H54" s="14"/>
      <c r="I54" s="14"/>
      <c r="J54" s="835">
        <f>H11</f>
        <v>0.5</v>
      </c>
      <c r="K54" s="836"/>
      <c r="L54" s="14"/>
      <c r="M54" s="14"/>
      <c r="V54" s="185"/>
    </row>
    <row r="55" spans="1:23" ht="18" customHeight="1">
      <c r="A55" s="184"/>
      <c r="B55" s="47" t="s">
        <v>396</v>
      </c>
      <c r="I55" s="120" t="s">
        <v>497</v>
      </c>
      <c r="J55" s="781">
        <v>1</v>
      </c>
      <c r="K55" s="782"/>
      <c r="L55" s="192" t="s">
        <v>333</v>
      </c>
      <c r="T55" s="295"/>
      <c r="U55" s="18"/>
      <c r="V55" s="185"/>
    </row>
    <row r="56" spans="1:23" ht="18" customHeight="1">
      <c r="A56" s="184"/>
      <c r="B56" s="30" t="s">
        <v>568</v>
      </c>
      <c r="I56" s="120" t="s">
        <v>569</v>
      </c>
      <c r="J56" s="781">
        <v>5</v>
      </c>
      <c r="K56" s="782"/>
      <c r="T56" s="295"/>
      <c r="U56" s="18"/>
      <c r="V56" s="185"/>
      <c r="W56" s="30" t="str">
        <f>J88</f>
        <v>Suitably Dimensioned</v>
      </c>
    </row>
    <row r="57" spans="1:23" ht="18" customHeight="1">
      <c r="A57" s="184"/>
      <c r="B57" s="47" t="s">
        <v>562</v>
      </c>
      <c r="I57" s="120" t="s">
        <v>493</v>
      </c>
      <c r="J57" s="781">
        <v>7.5</v>
      </c>
      <c r="K57" s="782"/>
      <c r="L57" s="14" t="s">
        <v>157</v>
      </c>
      <c r="T57" s="295"/>
      <c r="U57" s="18"/>
      <c r="V57" s="185"/>
    </row>
    <row r="58" spans="1:23" ht="18" customHeight="1">
      <c r="A58" s="184"/>
      <c r="V58" s="185"/>
    </row>
    <row r="59" spans="1:23" ht="18" customHeight="1">
      <c r="A59" s="193" t="s">
        <v>404</v>
      </c>
      <c r="V59" s="185"/>
    </row>
    <row r="60" spans="1:23" ht="18" customHeight="1">
      <c r="A60" s="184"/>
      <c r="V60" s="185"/>
    </row>
    <row r="61" spans="1:23" ht="18" customHeight="1">
      <c r="A61" s="184"/>
      <c r="B61" s="135" t="s">
        <v>405</v>
      </c>
      <c r="C61" s="273"/>
      <c r="D61" s="139" t="str">
        <f>D18</f>
        <v>SEL2240</v>
      </c>
      <c r="E61" s="227"/>
      <c r="F61" s="227"/>
      <c r="G61" s="227"/>
      <c r="H61" s="138"/>
      <c r="I61" s="260" t="s">
        <v>127</v>
      </c>
      <c r="J61" s="1213">
        <f t="shared" ref="J61:J66" si="0">J18</f>
        <v>0.1</v>
      </c>
      <c r="K61" s="1252"/>
      <c r="L61" s="3" t="s">
        <v>157</v>
      </c>
      <c r="N61" s="197" t="s">
        <v>510</v>
      </c>
      <c r="V61" s="185"/>
    </row>
    <row r="62" spans="1:23" ht="18" customHeight="1">
      <c r="A62" s="184"/>
      <c r="B62" s="96" t="s">
        <v>405</v>
      </c>
      <c r="D62" s="296" t="str">
        <f>D19</f>
        <v>6MD85</v>
      </c>
      <c r="I62" s="177" t="s">
        <v>127</v>
      </c>
      <c r="J62" s="1119">
        <f t="shared" si="0"/>
        <v>0.1</v>
      </c>
      <c r="K62" s="989"/>
      <c r="L62" s="198" t="s">
        <v>157</v>
      </c>
      <c r="P62" s="244"/>
      <c r="V62" s="185"/>
    </row>
    <row r="63" spans="1:23" ht="18"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1</v>
      </c>
      <c r="V64" s="185"/>
    </row>
    <row r="65" spans="1:22" ht="18" customHeight="1">
      <c r="A65" s="184"/>
      <c r="B65" s="184" t="s">
        <v>412</v>
      </c>
      <c r="C65" s="14"/>
      <c r="D65" s="47"/>
      <c r="E65" s="14"/>
      <c r="H65" s="27"/>
      <c r="I65" s="101" t="s">
        <v>127</v>
      </c>
      <c r="J65" s="1120">
        <f t="shared" si="0"/>
        <v>1.0770224400000001</v>
      </c>
      <c r="K65" s="987"/>
      <c r="L65" s="297" t="s">
        <v>157</v>
      </c>
      <c r="O65" s="27" t="s">
        <v>127</v>
      </c>
      <c r="P65" s="795">
        <f>P64*R64*T64</f>
        <v>1</v>
      </c>
      <c r="Q65" s="684"/>
      <c r="R65" s="27" t="s">
        <v>157</v>
      </c>
      <c r="S65" s="27"/>
      <c r="T65" s="27"/>
      <c r="V65" s="185"/>
    </row>
    <row r="66" spans="1:22" ht="18" customHeight="1">
      <c r="A66" s="184"/>
      <c r="B66" s="1" t="s">
        <v>413</v>
      </c>
      <c r="C66" s="2"/>
      <c r="D66" s="2"/>
      <c r="E66" s="2"/>
      <c r="F66" s="196"/>
      <c r="G66" s="196"/>
      <c r="H66" s="224" t="s">
        <v>512</v>
      </c>
      <c r="I66" s="183" t="s">
        <v>127</v>
      </c>
      <c r="J66" s="722">
        <f t="shared" si="0"/>
        <v>1.2770224400000001</v>
      </c>
      <c r="K66" s="958"/>
      <c r="L66" s="3" t="s">
        <v>157</v>
      </c>
      <c r="O66" s="27"/>
      <c r="P66" s="211"/>
      <c r="Q66" s="211"/>
      <c r="R66" s="192"/>
      <c r="V66" s="185"/>
    </row>
    <row r="67" spans="1:22" ht="18" customHeight="1">
      <c r="A67" s="184"/>
      <c r="B67" s="47"/>
      <c r="C67" s="47"/>
      <c r="D67" s="47"/>
      <c r="E67" s="47"/>
      <c r="H67" s="27"/>
      <c r="I67" s="28"/>
      <c r="J67" s="218"/>
      <c r="K67" s="27"/>
      <c r="L67" s="47"/>
      <c r="O67" s="27"/>
      <c r="P67" s="211"/>
      <c r="Q67" s="211"/>
      <c r="R67" s="192"/>
      <c r="V67" s="185"/>
    </row>
    <row r="68" spans="1:22" ht="18" customHeight="1">
      <c r="A68" s="184"/>
      <c r="B68" s="47" t="s">
        <v>545</v>
      </c>
      <c r="C68" s="47"/>
      <c r="D68" s="47"/>
      <c r="E68" s="47"/>
      <c r="H68" s="27"/>
      <c r="I68" s="28"/>
      <c r="J68" s="199"/>
      <c r="L68" s="47"/>
      <c r="N68" s="120" t="s">
        <v>423</v>
      </c>
      <c r="O68" s="28" t="s">
        <v>127</v>
      </c>
      <c r="P68" s="1251">
        <f>J53</f>
        <v>400</v>
      </c>
      <c r="Q68" s="1251"/>
      <c r="R68" s="192" t="s">
        <v>8</v>
      </c>
      <c r="V68" s="185"/>
    </row>
    <row r="69" spans="1:22" ht="18" customHeight="1">
      <c r="A69" s="184"/>
      <c r="B69" s="47" t="s">
        <v>547</v>
      </c>
      <c r="C69" s="47"/>
      <c r="D69" s="47"/>
      <c r="E69" s="47"/>
      <c r="H69" s="27"/>
      <c r="I69" s="28"/>
      <c r="J69" s="199"/>
      <c r="L69" s="47"/>
      <c r="N69" s="120" t="s">
        <v>572</v>
      </c>
      <c r="O69" s="28" t="s">
        <v>127</v>
      </c>
      <c r="P69" s="1251">
        <f>J55</f>
        <v>1</v>
      </c>
      <c r="Q69" s="1251"/>
      <c r="R69" s="304" t="s">
        <v>157</v>
      </c>
      <c r="V69" s="185"/>
    </row>
    <row r="70" spans="1:22" ht="18" customHeight="1">
      <c r="A70" s="184"/>
      <c r="B70" s="47" t="s">
        <v>548</v>
      </c>
      <c r="C70" s="47"/>
      <c r="D70" s="47"/>
      <c r="E70" s="47"/>
      <c r="H70" s="27"/>
      <c r="I70" s="28"/>
      <c r="J70" s="199"/>
      <c r="L70" s="47"/>
      <c r="N70" s="120" t="s">
        <v>573</v>
      </c>
      <c r="O70" s="28" t="s">
        <v>127</v>
      </c>
      <c r="P70" s="1072">
        <f>J66</f>
        <v>1.2770224400000001</v>
      </c>
      <c r="Q70" s="1251"/>
      <c r="R70" s="304" t="s">
        <v>157</v>
      </c>
      <c r="V70" s="185"/>
    </row>
    <row r="71" spans="1:22" ht="18" customHeight="1">
      <c r="A71" s="184"/>
      <c r="B71" s="47" t="s">
        <v>549</v>
      </c>
      <c r="C71" s="47"/>
      <c r="D71" s="47"/>
      <c r="E71" s="47"/>
      <c r="H71" s="27"/>
      <c r="I71" s="28"/>
      <c r="J71" s="199"/>
      <c r="L71" s="47"/>
      <c r="N71" s="120" t="s">
        <v>511</v>
      </c>
      <c r="O71" s="28" t="s">
        <v>127</v>
      </c>
      <c r="P71" s="1251">
        <f>O53</f>
        <v>1</v>
      </c>
      <c r="Q71" s="1251"/>
      <c r="R71" s="192" t="s">
        <v>8</v>
      </c>
      <c r="V71" s="185"/>
    </row>
    <row r="72" spans="1:22" ht="18" customHeight="1">
      <c r="A72" s="184"/>
      <c r="B72" s="47" t="s">
        <v>574</v>
      </c>
      <c r="C72" s="47"/>
      <c r="D72" s="47"/>
      <c r="E72" s="47"/>
      <c r="H72" s="27"/>
      <c r="I72" s="28"/>
      <c r="J72" s="199"/>
      <c r="L72" s="47"/>
      <c r="N72" s="120" t="s">
        <v>495</v>
      </c>
      <c r="O72" s="28" t="s">
        <v>127</v>
      </c>
      <c r="P72" s="1251">
        <v>10</v>
      </c>
      <c r="Q72" s="1251"/>
      <c r="R72" s="192"/>
      <c r="V72" s="185"/>
    </row>
    <row r="73" spans="1:22" ht="18" customHeight="1">
      <c r="A73" s="184"/>
      <c r="B73" s="47" t="s">
        <v>577</v>
      </c>
      <c r="C73" s="47"/>
      <c r="D73" s="47"/>
      <c r="E73" s="47"/>
      <c r="H73" s="27"/>
      <c r="I73" s="28"/>
      <c r="J73" s="199"/>
      <c r="L73" s="47"/>
      <c r="O73" s="28" t="s">
        <v>127</v>
      </c>
      <c r="P73" s="1072">
        <v>25</v>
      </c>
      <c r="Q73" s="1072"/>
      <c r="R73" s="192" t="s">
        <v>129</v>
      </c>
      <c r="S73" s="14" t="s">
        <v>170</v>
      </c>
      <c r="V73" s="185"/>
    </row>
    <row r="74" spans="1:22" ht="18" hidden="1" customHeight="1">
      <c r="A74" s="184"/>
      <c r="B74" s="47"/>
      <c r="C74" s="47"/>
      <c r="D74" s="47"/>
      <c r="E74" s="47"/>
      <c r="H74" s="27"/>
      <c r="I74" s="28"/>
      <c r="J74" s="218"/>
      <c r="K74" s="27"/>
      <c r="L74" s="47"/>
      <c r="O74" s="27"/>
      <c r="P74" s="211"/>
      <c r="Q74" s="211"/>
      <c r="R74" s="192"/>
      <c r="V74" s="185"/>
    </row>
    <row r="75" spans="1:22" ht="18" customHeight="1">
      <c r="A75" s="184"/>
      <c r="B75" s="47"/>
      <c r="C75" s="47" t="s">
        <v>579</v>
      </c>
      <c r="D75" s="47"/>
      <c r="E75" s="47"/>
      <c r="H75" s="27"/>
      <c r="I75" s="28"/>
      <c r="J75" s="199"/>
      <c r="L75" s="47"/>
      <c r="O75" s="27"/>
      <c r="P75" s="211"/>
      <c r="Q75" s="305" t="s">
        <v>580</v>
      </c>
      <c r="R75" s="102" t="s">
        <v>127</v>
      </c>
      <c r="S75" s="775">
        <v>25</v>
      </c>
      <c r="T75" s="776"/>
      <c r="V75" s="185" t="s">
        <v>129</v>
      </c>
    </row>
    <row r="76" spans="1:22" ht="18" customHeight="1">
      <c r="A76" s="184"/>
      <c r="B76" s="47"/>
      <c r="C76" s="47" t="s">
        <v>581</v>
      </c>
      <c r="D76" s="47"/>
      <c r="E76" s="47"/>
      <c r="H76" s="27"/>
      <c r="I76" s="28" t="s">
        <v>127</v>
      </c>
      <c r="J76" s="281" t="s">
        <v>582</v>
      </c>
      <c r="L76" s="47"/>
      <c r="O76" s="27"/>
      <c r="P76" s="28" t="s">
        <v>347</v>
      </c>
      <c r="Q76" s="14" t="s">
        <v>583</v>
      </c>
      <c r="R76" s="192"/>
      <c r="V76" s="185"/>
    </row>
    <row r="77" spans="1:22" ht="18" customHeight="1">
      <c r="A77" s="184"/>
      <c r="I77" s="28" t="s">
        <v>127</v>
      </c>
      <c r="J77" s="795">
        <f>J66</f>
        <v>1.2770224400000001</v>
      </c>
      <c r="K77" s="684"/>
      <c r="L77" s="28"/>
      <c r="M77" s="795"/>
      <c r="N77" s="684"/>
      <c r="V77" s="185"/>
    </row>
    <row r="78" spans="1:22" ht="18" customHeight="1">
      <c r="A78" s="184"/>
      <c r="I78" s="28"/>
      <c r="J78" s="204"/>
      <c r="V78" s="185"/>
    </row>
    <row r="79" spans="1:22" ht="18" customHeight="1">
      <c r="A79" s="184"/>
      <c r="F79" s="244"/>
      <c r="H79" s="120" t="s">
        <v>105</v>
      </c>
      <c r="I79" s="27" t="s">
        <v>127</v>
      </c>
      <c r="J79" s="27" t="s">
        <v>569</v>
      </c>
      <c r="K79" s="27" t="s">
        <v>554</v>
      </c>
      <c r="L79" s="120" t="s">
        <v>491</v>
      </c>
      <c r="M79" s="28" t="s">
        <v>347</v>
      </c>
      <c r="N79" s="120" t="s">
        <v>493</v>
      </c>
      <c r="O79" s="28" t="s">
        <v>539</v>
      </c>
      <c r="P79" s="120" t="s">
        <v>491</v>
      </c>
      <c r="Q79" s="28" t="s">
        <v>347</v>
      </c>
      <c r="R79" s="120" t="s">
        <v>512</v>
      </c>
      <c r="S79" s="296" t="s">
        <v>350</v>
      </c>
      <c r="V79" s="185"/>
    </row>
    <row r="80" spans="1:22" ht="18" customHeight="1">
      <c r="A80" s="184"/>
      <c r="I80" s="27" t="s">
        <v>127</v>
      </c>
      <c r="J80" s="245">
        <f>J56</f>
        <v>5</v>
      </c>
      <c r="K80" s="245" t="s">
        <v>554</v>
      </c>
      <c r="L80" s="301">
        <f>P65</f>
        <v>1</v>
      </c>
      <c r="M80" s="245" t="s">
        <v>347</v>
      </c>
      <c r="N80" s="242">
        <f>J57</f>
        <v>7.5</v>
      </c>
      <c r="O80" s="245" t="s">
        <v>539</v>
      </c>
      <c r="P80" s="301">
        <f>P65</f>
        <v>1</v>
      </c>
      <c r="Q80" s="245" t="s">
        <v>347</v>
      </c>
      <c r="R80" s="301">
        <f>J66</f>
        <v>1.2770224400000001</v>
      </c>
      <c r="S80" s="296" t="s">
        <v>350</v>
      </c>
      <c r="V80" s="185"/>
    </row>
    <row r="81" spans="1:22" ht="18" customHeight="1">
      <c r="A81" s="184"/>
      <c r="I81" s="27" t="s">
        <v>127</v>
      </c>
      <c r="J81" s="1111">
        <f>J80*((L80+N80)/(P80+R80))</f>
        <v>18.664726027030284</v>
      </c>
      <c r="K81" s="1111"/>
      <c r="L81" s="242"/>
      <c r="M81" s="242"/>
      <c r="N81" s="242"/>
      <c r="O81" s="242"/>
      <c r="P81" s="242"/>
      <c r="Q81" s="242"/>
      <c r="R81" s="242"/>
      <c r="V81" s="185"/>
    </row>
    <row r="82" spans="1:22" ht="18" customHeight="1">
      <c r="A82" s="96" t="s">
        <v>584</v>
      </c>
      <c r="I82" s="28"/>
      <c r="J82" s="211"/>
      <c r="K82" s="27"/>
      <c r="V82" s="185"/>
    </row>
    <row r="83" spans="1:22" ht="18" customHeight="1">
      <c r="A83" s="184"/>
      <c r="B83" s="28">
        <v>1</v>
      </c>
      <c r="D83" s="14"/>
      <c r="H83" s="120" t="s">
        <v>492</v>
      </c>
      <c r="I83" s="28" t="s">
        <v>476</v>
      </c>
      <c r="J83" s="47" t="s">
        <v>104</v>
      </c>
      <c r="S83" s="14" t="s">
        <v>585</v>
      </c>
      <c r="V83" s="185"/>
    </row>
    <row r="84" spans="1:22" ht="18" customHeight="1">
      <c r="A84" s="184"/>
      <c r="G84" s="684">
        <f>J57</f>
        <v>7.5</v>
      </c>
      <c r="H84" s="684"/>
      <c r="I84" s="27" t="str">
        <f>IF(G84&gt;J84,"&gt;","&lt;")</f>
        <v>&gt;</v>
      </c>
      <c r="J84" s="795">
        <f>J77</f>
        <v>1.2770224400000001</v>
      </c>
      <c r="K84" s="684"/>
      <c r="S84" s="186" t="str">
        <f>IF(G84&gt;J84,"Satisfied","Not satisfied")</f>
        <v>Satisfied</v>
      </c>
      <c r="V84" s="185"/>
    </row>
    <row r="85" spans="1:22" ht="18" customHeight="1">
      <c r="A85" s="184"/>
      <c r="D85" s="14"/>
      <c r="H85" s="120"/>
      <c r="I85" s="27"/>
      <c r="R85" s="14"/>
      <c r="V85" s="185"/>
    </row>
    <row r="86" spans="1:22" ht="18" customHeight="1">
      <c r="A86" s="184"/>
      <c r="B86" s="28">
        <v>2</v>
      </c>
      <c r="D86" s="14"/>
      <c r="H86" s="244" t="s">
        <v>586</v>
      </c>
      <c r="I86" s="28" t="s">
        <v>476</v>
      </c>
      <c r="J86" s="14" t="s">
        <v>105</v>
      </c>
      <c r="K86" s="14"/>
      <c r="S86" s="14" t="s">
        <v>587</v>
      </c>
      <c r="V86" s="185"/>
    </row>
    <row r="87" spans="1:22" ht="18" customHeight="1">
      <c r="A87" s="184"/>
      <c r="D87" s="14"/>
      <c r="G87" s="795">
        <f>P73</f>
        <v>25</v>
      </c>
      <c r="H87" s="795"/>
      <c r="I87" s="27" t="str">
        <f>IF(G87&gt;J87,"&gt;","&lt;")</f>
        <v>&gt;</v>
      </c>
      <c r="J87" s="795">
        <f>J81</f>
        <v>18.664726027030284</v>
      </c>
      <c r="K87" s="795"/>
      <c r="R87" s="14"/>
      <c r="S87" s="186" t="str">
        <f>IF(G87&gt;J87,"Satisfied","Not satisfied")</f>
        <v>Satisfied</v>
      </c>
      <c r="V87" s="185"/>
    </row>
    <row r="88" spans="1:22" ht="18" customHeight="1">
      <c r="A88" s="184"/>
      <c r="D88" s="47"/>
      <c r="H88" s="244" t="s">
        <v>478</v>
      </c>
      <c r="J88" s="18" t="str">
        <f>IF(AND(I84="&gt;",I87="&gt;")=TRUE,"Suitably Dimensioned","Not suitable")</f>
        <v>Suitably Dimensioned</v>
      </c>
      <c r="O88" s="27"/>
      <c r="P88" s="211"/>
      <c r="Q88" s="211"/>
      <c r="R88" s="192"/>
      <c r="V88" s="185"/>
    </row>
    <row r="89" spans="1:22" ht="18" customHeight="1">
      <c r="A89" s="290"/>
      <c r="B89" s="196"/>
      <c r="C89" s="196"/>
      <c r="D89" s="2"/>
      <c r="E89" s="196"/>
      <c r="F89" s="196"/>
      <c r="G89" s="196"/>
      <c r="H89" s="306"/>
      <c r="I89" s="196"/>
      <c r="J89" s="195"/>
      <c r="K89" s="196"/>
      <c r="L89" s="196"/>
      <c r="M89" s="196"/>
      <c r="N89" s="196"/>
      <c r="O89" s="307"/>
      <c r="P89" s="308"/>
      <c r="Q89" s="308"/>
      <c r="R89" s="309"/>
      <c r="S89" s="196"/>
      <c r="T89" s="196"/>
      <c r="U89" s="196"/>
      <c r="V89" s="291"/>
    </row>
    <row r="90" spans="1:22" ht="18" hidden="1" customHeight="1">
      <c r="A90" s="184"/>
      <c r="D90" s="47"/>
      <c r="H90" s="244"/>
      <c r="J90" s="14"/>
      <c r="O90" s="27"/>
      <c r="P90" s="211"/>
      <c r="Q90" s="211"/>
      <c r="R90" s="192"/>
      <c r="V90" s="185"/>
    </row>
    <row r="91" spans="1:22" s="14" customFormat="1" ht="18" hidden="1" customHeight="1">
      <c r="A91" s="194"/>
      <c r="B91" s="195"/>
      <c r="C91" s="195"/>
      <c r="D91" s="195"/>
      <c r="E91" s="195"/>
      <c r="F91" s="195"/>
      <c r="G91" s="195"/>
      <c r="H91" s="195"/>
      <c r="I91" s="195"/>
      <c r="J91" s="195"/>
      <c r="K91" s="195"/>
      <c r="L91" s="195"/>
      <c r="M91" s="195"/>
      <c r="N91" s="195"/>
      <c r="O91" s="195"/>
      <c r="P91" s="195"/>
      <c r="Q91" s="224"/>
      <c r="R91" s="182"/>
      <c r="S91" s="225"/>
      <c r="T91" s="195"/>
      <c r="U91" s="195"/>
      <c r="V91" s="134"/>
    </row>
    <row r="92" spans="1:22" ht="18" hidden="1" customHeight="1">
      <c r="A92" s="226"/>
      <c r="B92" s="227"/>
      <c r="C92" s="227"/>
      <c r="D92" s="227"/>
      <c r="E92" s="227"/>
      <c r="F92" s="227"/>
      <c r="G92" s="227"/>
      <c r="H92" s="227"/>
      <c r="I92" s="227"/>
      <c r="J92" s="227"/>
      <c r="K92" s="227"/>
      <c r="L92" s="227"/>
      <c r="M92" s="227"/>
      <c r="N92" s="227"/>
      <c r="O92" s="227"/>
      <c r="P92" s="227"/>
      <c r="Q92" s="227"/>
      <c r="R92" s="227"/>
      <c r="S92" s="227"/>
      <c r="T92" s="227"/>
      <c r="U92" s="227"/>
      <c r="V92" s="228"/>
    </row>
    <row r="93" spans="1:22" ht="18" hidden="1" customHeight="1">
      <c r="A93" s="184"/>
      <c r="B93" s="854" t="str">
        <f>B50</f>
        <v>T1</v>
      </c>
      <c r="C93" s="831"/>
      <c r="D93" s="855" t="str">
        <f>D50</f>
        <v>Core3</v>
      </c>
      <c r="E93" s="856"/>
      <c r="F93" s="255"/>
      <c r="H93" s="684" t="str">
        <f>H50</f>
        <v>(Metering + BCU + PQM)</v>
      </c>
      <c r="I93" s="684"/>
      <c r="J93" s="684"/>
      <c r="K93" s="684"/>
      <c r="L93" s="684"/>
      <c r="M93" s="684"/>
      <c r="P93" s="186"/>
      <c r="V93" s="185"/>
    </row>
    <row r="94" spans="1:22" ht="18" hidden="1" customHeight="1">
      <c r="A94" s="184"/>
      <c r="B94" s="853">
        <f>B51</f>
        <v>0</v>
      </c>
      <c r="C94" s="853"/>
      <c r="D94" s="857"/>
      <c r="E94" s="858"/>
      <c r="F94" s="255"/>
      <c r="V94" s="185"/>
    </row>
    <row r="95" spans="1:22" ht="18" hidden="1" customHeight="1">
      <c r="A95" s="184"/>
      <c r="H95" s="708" t="s">
        <v>390</v>
      </c>
      <c r="I95" s="708"/>
      <c r="J95" s="708" t="s">
        <v>391</v>
      </c>
      <c r="K95" s="708"/>
      <c r="L95" s="789" t="s">
        <v>392</v>
      </c>
      <c r="M95" s="789"/>
      <c r="V95" s="185"/>
    </row>
    <row r="96" spans="1:22" ht="18" hidden="1" customHeight="1">
      <c r="A96" s="184"/>
      <c r="B96" s="47" t="s">
        <v>393</v>
      </c>
      <c r="H96" s="854">
        <f>H53</f>
        <v>1600</v>
      </c>
      <c r="I96" s="831"/>
      <c r="J96" s="854">
        <f>J53</f>
        <v>400</v>
      </c>
      <c r="K96" s="831"/>
      <c r="L96" s="863" t="str">
        <f>L53</f>
        <v>-</v>
      </c>
      <c r="M96" s="864"/>
      <c r="N96" s="191" t="s">
        <v>342</v>
      </c>
      <c r="O96" s="256">
        <f>O53</f>
        <v>1</v>
      </c>
      <c r="P96" s="27" t="s">
        <v>8</v>
      </c>
      <c r="V96" s="185"/>
    </row>
    <row r="97" spans="1:23" ht="18" hidden="1" customHeight="1">
      <c r="A97" s="184"/>
      <c r="B97" s="47" t="s">
        <v>394</v>
      </c>
      <c r="H97" s="14"/>
      <c r="I97" s="14"/>
      <c r="K97" s="14"/>
      <c r="L97" s="854">
        <f>J54</f>
        <v>0.5</v>
      </c>
      <c r="M97" s="831"/>
      <c r="N97" s="14"/>
      <c r="V97" s="185"/>
    </row>
    <row r="98" spans="1:23" ht="18" hidden="1" customHeight="1">
      <c r="A98" s="184"/>
      <c r="B98" s="47" t="s">
        <v>396</v>
      </c>
      <c r="I98" s="120"/>
      <c r="K98" s="120" t="s">
        <v>497</v>
      </c>
      <c r="L98" s="781" t="s">
        <v>6</v>
      </c>
      <c r="M98" s="782"/>
      <c r="N98" s="192" t="s">
        <v>333</v>
      </c>
      <c r="T98" s="295"/>
      <c r="U98" s="18"/>
      <c r="V98" s="185"/>
    </row>
    <row r="99" spans="1:23" ht="18" hidden="1" customHeight="1">
      <c r="A99" s="184"/>
      <c r="B99" s="30" t="s">
        <v>568</v>
      </c>
      <c r="I99" s="120"/>
      <c r="K99" s="120" t="s">
        <v>569</v>
      </c>
      <c r="L99" s="781" t="s">
        <v>6</v>
      </c>
      <c r="M99" s="782"/>
      <c r="T99" s="295"/>
      <c r="U99" s="18"/>
      <c r="V99" s="185"/>
      <c r="W99" s="30" t="e">
        <f>J128</f>
        <v>#VALUE!</v>
      </c>
    </row>
    <row r="100" spans="1:23" ht="18" hidden="1" customHeight="1">
      <c r="A100" s="184"/>
      <c r="B100" s="47" t="s">
        <v>562</v>
      </c>
      <c r="I100" s="120"/>
      <c r="K100" s="120" t="s">
        <v>493</v>
      </c>
      <c r="L100" s="781" t="s">
        <v>6</v>
      </c>
      <c r="M100" s="782"/>
      <c r="N100" s="14" t="s">
        <v>157</v>
      </c>
      <c r="T100" s="295"/>
      <c r="U100" s="18"/>
      <c r="V100" s="185"/>
    </row>
    <row r="101" spans="1:23" ht="18" hidden="1" customHeight="1">
      <c r="A101" s="184"/>
      <c r="V101" s="185"/>
    </row>
    <row r="102" spans="1:23" ht="18" hidden="1" customHeight="1">
      <c r="A102" s="193" t="s">
        <v>404</v>
      </c>
      <c r="V102" s="185"/>
    </row>
    <row r="103" spans="1:23" ht="18" hidden="1" customHeight="1">
      <c r="A103" s="184"/>
      <c r="V103" s="185"/>
    </row>
    <row r="104" spans="1:23" ht="18" hidden="1" customHeight="1">
      <c r="A104" s="184"/>
      <c r="B104" s="135" t="s">
        <v>405</v>
      </c>
      <c r="C104" s="273"/>
      <c r="D104" s="139" t="str">
        <f>D61</f>
        <v>SEL2240</v>
      </c>
      <c r="E104" s="227"/>
      <c r="F104" s="227"/>
      <c r="G104" s="227"/>
      <c r="H104" s="138"/>
      <c r="I104" s="260" t="s">
        <v>127</v>
      </c>
      <c r="J104" s="722">
        <f t="shared" ref="J104:J109" si="1">J61</f>
        <v>0.1</v>
      </c>
      <c r="K104" s="958"/>
      <c r="L104" s="3" t="s">
        <v>157</v>
      </c>
      <c r="N104" s="197" t="s">
        <v>510</v>
      </c>
      <c r="V104" s="185"/>
    </row>
    <row r="105" spans="1:23" ht="18" hidden="1" customHeight="1">
      <c r="A105" s="184"/>
      <c r="B105" s="96" t="s">
        <v>405</v>
      </c>
      <c r="D105" s="296" t="str">
        <f>D62</f>
        <v>6MD85</v>
      </c>
      <c r="I105" s="177" t="s">
        <v>127</v>
      </c>
      <c r="J105" s="1119">
        <f t="shared" si="1"/>
        <v>0.1</v>
      </c>
      <c r="K105" s="989"/>
      <c r="L105" s="198" t="s">
        <v>157</v>
      </c>
      <c r="P105" s="244"/>
      <c r="V105" s="185"/>
    </row>
    <row r="106" spans="1:23" ht="18" hidden="1" customHeight="1">
      <c r="A106" s="184"/>
      <c r="B106" s="96" t="s">
        <v>405</v>
      </c>
      <c r="C106" s="14"/>
      <c r="D106" s="47">
        <f>D63</f>
        <v>0</v>
      </c>
      <c r="E106" s="14"/>
      <c r="G106" s="199"/>
      <c r="H106" s="27"/>
      <c r="I106" s="101" t="s">
        <v>127</v>
      </c>
      <c r="J106" s="696">
        <f t="shared" si="1"/>
        <v>0</v>
      </c>
      <c r="K106" s="820"/>
      <c r="L106" s="202" t="s">
        <v>157</v>
      </c>
      <c r="N106" s="120" t="s">
        <v>491</v>
      </c>
      <c r="O106" s="27" t="s">
        <v>127</v>
      </c>
      <c r="P106" s="27" t="s">
        <v>511</v>
      </c>
      <c r="Q106" s="27" t="s">
        <v>315</v>
      </c>
      <c r="R106" s="27" t="s">
        <v>511</v>
      </c>
      <c r="S106" s="27" t="s">
        <v>315</v>
      </c>
      <c r="T106" s="27" t="s">
        <v>420</v>
      </c>
      <c r="V106" s="185"/>
    </row>
    <row r="107" spans="1:23" ht="18" hidden="1" customHeight="1">
      <c r="A107" s="184"/>
      <c r="B107" s="96" t="s">
        <v>405</v>
      </c>
      <c r="C107" s="14"/>
      <c r="D107" s="47">
        <f>T10</f>
        <v>0</v>
      </c>
      <c r="E107" s="14"/>
      <c r="G107" s="199"/>
      <c r="H107" s="27"/>
      <c r="I107" s="101" t="s">
        <v>127</v>
      </c>
      <c r="J107" s="696">
        <f t="shared" si="1"/>
        <v>0</v>
      </c>
      <c r="K107" s="820"/>
      <c r="L107" s="202" t="s">
        <v>157</v>
      </c>
      <c r="O107" s="27" t="s">
        <v>127</v>
      </c>
      <c r="P107" s="27">
        <f>O96</f>
        <v>1</v>
      </c>
      <c r="Q107" s="27" t="s">
        <v>315</v>
      </c>
      <c r="R107" s="27">
        <f>O96</f>
        <v>1</v>
      </c>
      <c r="S107" s="27" t="s">
        <v>315</v>
      </c>
      <c r="T107" s="27" t="str">
        <f>L98</f>
        <v>-</v>
      </c>
      <c r="V107" s="185"/>
    </row>
    <row r="108" spans="1:23" ht="18" hidden="1" customHeight="1">
      <c r="A108" s="184"/>
      <c r="B108" s="184" t="s">
        <v>412</v>
      </c>
      <c r="C108" s="14"/>
      <c r="D108" s="47"/>
      <c r="E108" s="14"/>
      <c r="H108" s="27"/>
      <c r="I108" s="101" t="s">
        <v>127</v>
      </c>
      <c r="J108" s="1120">
        <f t="shared" si="1"/>
        <v>1.0770224400000001</v>
      </c>
      <c r="K108" s="987"/>
      <c r="L108" s="297" t="s">
        <v>157</v>
      </c>
      <c r="O108" s="27" t="s">
        <v>127</v>
      </c>
      <c r="P108" s="795" t="e">
        <f>P107*R107*T107</f>
        <v>#VALUE!</v>
      </c>
      <c r="Q108" s="684"/>
      <c r="R108" s="27" t="s">
        <v>157</v>
      </c>
      <c r="S108" s="27"/>
      <c r="T108" s="27"/>
      <c r="V108" s="185"/>
    </row>
    <row r="109" spans="1:23" ht="18" hidden="1" customHeight="1">
      <c r="A109" s="184"/>
      <c r="B109" s="1" t="s">
        <v>413</v>
      </c>
      <c r="C109" s="2"/>
      <c r="D109" s="2"/>
      <c r="E109" s="2"/>
      <c r="F109" s="196"/>
      <c r="G109" s="196"/>
      <c r="H109" s="224" t="s">
        <v>512</v>
      </c>
      <c r="I109" s="183" t="s">
        <v>127</v>
      </c>
      <c r="J109" s="766">
        <f t="shared" si="1"/>
        <v>1.2770224400000001</v>
      </c>
      <c r="K109" s="958"/>
      <c r="L109" s="3" t="s">
        <v>157</v>
      </c>
      <c r="O109" s="27"/>
      <c r="P109" s="211"/>
      <c r="Q109" s="211"/>
      <c r="R109" s="192"/>
      <c r="V109" s="185"/>
    </row>
    <row r="110" spans="1:23" ht="18" hidden="1" customHeight="1">
      <c r="A110" s="184"/>
      <c r="V110" s="185"/>
    </row>
    <row r="111" spans="1:23" ht="18" hidden="1" customHeight="1">
      <c r="A111" s="184"/>
      <c r="B111" s="47"/>
      <c r="C111" s="47" t="s">
        <v>579</v>
      </c>
      <c r="D111" s="47"/>
      <c r="E111" s="47"/>
      <c r="H111" s="27"/>
      <c r="I111" s="28"/>
      <c r="J111" s="199"/>
      <c r="L111" s="47"/>
      <c r="O111" s="27"/>
      <c r="P111" s="211"/>
      <c r="Q111" s="305" t="s">
        <v>580</v>
      </c>
      <c r="R111" s="102" t="s">
        <v>127</v>
      </c>
      <c r="S111" s="775">
        <f>S75</f>
        <v>25</v>
      </c>
      <c r="T111" s="776"/>
      <c r="V111" s="185"/>
    </row>
    <row r="112" spans="1:23" ht="18" hidden="1" customHeight="1">
      <c r="A112" s="184"/>
      <c r="B112" s="47"/>
      <c r="C112" s="47"/>
      <c r="D112" s="47"/>
      <c r="E112" s="47"/>
      <c r="H112" s="27"/>
      <c r="I112" s="28"/>
      <c r="J112" s="199"/>
      <c r="L112" s="47"/>
      <c r="O112" s="27"/>
      <c r="P112" s="211"/>
      <c r="Q112" s="211"/>
      <c r="R112" s="192"/>
      <c r="V112" s="185"/>
    </row>
    <row r="113" spans="1:22" ht="18" hidden="1" customHeight="1">
      <c r="A113" s="184"/>
      <c r="B113" s="47"/>
      <c r="C113" s="47" t="s">
        <v>581</v>
      </c>
      <c r="D113" s="47"/>
      <c r="E113" s="47"/>
      <c r="H113" s="27"/>
      <c r="I113" s="28" t="s">
        <v>127</v>
      </c>
      <c r="J113" s="281" t="s">
        <v>588</v>
      </c>
      <c r="L113" s="47"/>
      <c r="M113" s="28" t="s">
        <v>347</v>
      </c>
      <c r="N113" s="14" t="s">
        <v>589</v>
      </c>
      <c r="O113" s="27"/>
      <c r="P113" s="211"/>
      <c r="Q113" s="211"/>
      <c r="R113" s="192"/>
      <c r="V113" s="185"/>
    </row>
    <row r="114" spans="1:22" ht="18" hidden="1" customHeight="1">
      <c r="A114" s="184"/>
      <c r="I114" s="28" t="s">
        <v>127</v>
      </c>
      <c r="J114" s="795" t="e">
        <f>P108</f>
        <v>#VALUE!</v>
      </c>
      <c r="K114" s="684"/>
      <c r="L114" s="28" t="s">
        <v>347</v>
      </c>
      <c r="M114" s="795">
        <f>J109</f>
        <v>1.2770224400000001</v>
      </c>
      <c r="N114" s="684"/>
      <c r="V114" s="185"/>
    </row>
    <row r="115" spans="1:22" ht="18" hidden="1" customHeight="1">
      <c r="A115" s="184"/>
      <c r="I115" s="28" t="s">
        <v>127</v>
      </c>
      <c r="J115" s="795" t="e">
        <f>J114+M114</f>
        <v>#VALUE!</v>
      </c>
      <c r="K115" s="684"/>
      <c r="V115" s="185"/>
    </row>
    <row r="116" spans="1:22" ht="18" hidden="1" customHeight="1">
      <c r="A116" s="184"/>
      <c r="V116" s="185"/>
    </row>
    <row r="117" spans="1:22" ht="18" hidden="1" customHeight="1">
      <c r="A117" s="184"/>
      <c r="F117" s="244"/>
      <c r="H117" s="120" t="s">
        <v>105</v>
      </c>
      <c r="I117" s="27" t="s">
        <v>127</v>
      </c>
      <c r="J117" s="27" t="s">
        <v>569</v>
      </c>
      <c r="K117" s="27" t="s">
        <v>554</v>
      </c>
      <c r="L117" s="120" t="s">
        <v>491</v>
      </c>
      <c r="M117" s="28" t="s">
        <v>347</v>
      </c>
      <c r="N117" s="120" t="s">
        <v>493</v>
      </c>
      <c r="O117" s="28" t="s">
        <v>539</v>
      </c>
      <c r="P117" s="120" t="s">
        <v>491</v>
      </c>
      <c r="Q117" s="28" t="s">
        <v>347</v>
      </c>
      <c r="R117" s="120" t="s">
        <v>512</v>
      </c>
      <c r="S117" s="296" t="s">
        <v>350</v>
      </c>
      <c r="V117" s="185"/>
    </row>
    <row r="118" spans="1:22" ht="18" hidden="1" customHeight="1">
      <c r="A118" s="184"/>
      <c r="I118" s="27" t="s">
        <v>127</v>
      </c>
      <c r="J118" s="245" t="str">
        <f>L99</f>
        <v>-</v>
      </c>
      <c r="K118" s="245" t="s">
        <v>554</v>
      </c>
      <c r="L118" s="301" t="e">
        <f>P108</f>
        <v>#VALUE!</v>
      </c>
      <c r="M118" s="245" t="s">
        <v>347</v>
      </c>
      <c r="N118" s="242" t="str">
        <f>L100</f>
        <v>-</v>
      </c>
      <c r="O118" s="245" t="s">
        <v>539</v>
      </c>
      <c r="P118" s="301" t="e">
        <f>P108</f>
        <v>#VALUE!</v>
      </c>
      <c r="Q118" s="245" t="s">
        <v>347</v>
      </c>
      <c r="R118" s="301">
        <f>J109</f>
        <v>1.2770224400000001</v>
      </c>
      <c r="S118" s="296" t="s">
        <v>350</v>
      </c>
      <c r="V118" s="185"/>
    </row>
    <row r="119" spans="1:22" ht="18" hidden="1" customHeight="1">
      <c r="A119" s="184"/>
      <c r="I119" s="27" t="s">
        <v>127</v>
      </c>
      <c r="J119" s="1111" t="e">
        <f>J118*((L118+N118)/(P118+R118))</f>
        <v>#VALUE!</v>
      </c>
      <c r="K119" s="1111"/>
      <c r="L119" s="242"/>
      <c r="M119" s="242"/>
      <c r="N119" s="242"/>
      <c r="O119" s="242"/>
      <c r="P119" s="242"/>
      <c r="Q119" s="242"/>
      <c r="R119" s="242"/>
      <c r="V119" s="185"/>
    </row>
    <row r="120" spans="1:22" ht="18" hidden="1" customHeight="1">
      <c r="A120" s="184"/>
      <c r="I120" s="28"/>
      <c r="J120" s="211"/>
      <c r="K120" s="27"/>
      <c r="V120" s="185"/>
    </row>
    <row r="121" spans="1:22" ht="18" hidden="1" customHeight="1">
      <c r="A121" s="96" t="s">
        <v>584</v>
      </c>
      <c r="I121" s="28"/>
      <c r="J121" s="211"/>
      <c r="K121" s="27"/>
      <c r="V121" s="185"/>
    </row>
    <row r="122" spans="1:22" ht="18" hidden="1" customHeight="1">
      <c r="A122" s="184"/>
      <c r="B122" s="28">
        <v>1</v>
      </c>
      <c r="D122" s="14"/>
      <c r="H122" s="120" t="s">
        <v>492</v>
      </c>
      <c r="I122" s="28" t="s">
        <v>476</v>
      </c>
      <c r="J122" s="47" t="s">
        <v>104</v>
      </c>
      <c r="S122" s="14" t="s">
        <v>585</v>
      </c>
      <c r="V122" s="185"/>
    </row>
    <row r="123" spans="1:22" ht="18" hidden="1" customHeight="1">
      <c r="A123" s="184"/>
      <c r="G123" s="684" t="str">
        <f>L100</f>
        <v>-</v>
      </c>
      <c r="H123" s="684"/>
      <c r="I123" s="27" t="e">
        <f>IF(G123&gt;J123,"&gt;","&lt;")</f>
        <v>#VALUE!</v>
      </c>
      <c r="J123" s="795" t="e">
        <f>J115</f>
        <v>#VALUE!</v>
      </c>
      <c r="K123" s="684"/>
      <c r="S123" s="186" t="e">
        <f>IF(G123&gt;J123,"Satisfied","Not satisfied")</f>
        <v>#VALUE!</v>
      </c>
      <c r="V123" s="185"/>
    </row>
    <row r="124" spans="1:22" ht="18" hidden="1" customHeight="1">
      <c r="A124" s="184"/>
      <c r="D124" s="14"/>
      <c r="H124" s="120"/>
      <c r="I124" s="27"/>
      <c r="R124" s="14"/>
      <c r="V124" s="185"/>
    </row>
    <row r="125" spans="1:22" ht="18" hidden="1" customHeight="1">
      <c r="A125" s="184"/>
      <c r="B125" s="28">
        <v>2</v>
      </c>
      <c r="D125" s="14"/>
      <c r="H125" s="244" t="s">
        <v>586</v>
      </c>
      <c r="I125" s="28" t="s">
        <v>476</v>
      </c>
      <c r="J125" s="14" t="s">
        <v>105</v>
      </c>
      <c r="K125" s="14"/>
      <c r="S125" s="14" t="s">
        <v>587</v>
      </c>
      <c r="V125" s="185"/>
    </row>
    <row r="126" spans="1:22" ht="18" hidden="1" customHeight="1">
      <c r="A126" s="184"/>
      <c r="D126" s="14"/>
      <c r="G126" s="795">
        <f>S111</f>
        <v>25</v>
      </c>
      <c r="H126" s="795"/>
      <c r="I126" s="27" t="e">
        <f>IF(G126&gt;J126,"&gt;","&lt;")</f>
        <v>#VALUE!</v>
      </c>
      <c r="J126" s="795" t="e">
        <f>J119</f>
        <v>#VALUE!</v>
      </c>
      <c r="K126" s="795"/>
      <c r="R126" s="14"/>
      <c r="S126" s="186" t="e">
        <f>IF(G126&gt;J126,"Satisfied","Not satisfied")</f>
        <v>#VALUE!</v>
      </c>
      <c r="V126" s="185"/>
    </row>
    <row r="127" spans="1:22" ht="18" hidden="1" customHeight="1">
      <c r="A127" s="184"/>
      <c r="D127" s="47"/>
      <c r="I127" s="27"/>
      <c r="O127" s="27"/>
      <c r="P127" s="211"/>
      <c r="Q127" s="211"/>
      <c r="R127" s="192"/>
      <c r="V127" s="185"/>
    </row>
    <row r="128" spans="1:22" ht="18" hidden="1" customHeight="1">
      <c r="A128" s="184"/>
      <c r="D128" s="47"/>
      <c r="H128" s="244" t="s">
        <v>478</v>
      </c>
      <c r="J128" s="18" t="e">
        <f>IF(AND(I123="&gt;",I126="&gt;")=TRUE,"Suitably Dimentioned","Not suitable")</f>
        <v>#VALUE!</v>
      </c>
      <c r="O128" s="27"/>
      <c r="P128" s="211"/>
      <c r="Q128" s="211"/>
      <c r="R128" s="192"/>
      <c r="V128" s="185"/>
    </row>
    <row r="129" spans="1:22" ht="18" hidden="1" customHeight="1">
      <c r="A129" s="184"/>
      <c r="D129" s="47"/>
      <c r="H129" s="244"/>
      <c r="J129" s="18"/>
      <c r="O129" s="27"/>
      <c r="P129" s="211"/>
      <c r="Q129" s="211"/>
      <c r="R129" s="192"/>
      <c r="V129" s="185"/>
    </row>
    <row r="130" spans="1:22" ht="18" hidden="1" customHeight="1">
      <c r="A130" s="184"/>
      <c r="D130" s="47"/>
      <c r="H130" s="244"/>
      <c r="J130" s="18"/>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B134" s="47"/>
      <c r="C134" s="47"/>
      <c r="D134" s="47"/>
      <c r="E134" s="47"/>
      <c r="H134" s="27"/>
      <c r="I134" s="28"/>
      <c r="J134" s="199"/>
      <c r="L134" s="47"/>
      <c r="O134" s="27"/>
      <c r="P134" s="211"/>
      <c r="Q134" s="211"/>
      <c r="R134" s="192"/>
      <c r="V134" s="185"/>
    </row>
    <row r="135" spans="1:22" s="14" customFormat="1" ht="18" hidden="1" customHeight="1">
      <c r="A135" s="194"/>
      <c r="B135" s="195"/>
      <c r="C135" s="195"/>
      <c r="D135" s="195"/>
      <c r="E135" s="195"/>
      <c r="F135" s="195"/>
      <c r="G135" s="195"/>
      <c r="H135" s="195"/>
      <c r="I135" s="195"/>
      <c r="J135" s="195"/>
      <c r="K135" s="195"/>
      <c r="L135" s="195"/>
      <c r="M135" s="195"/>
      <c r="N135" s="195"/>
      <c r="O135" s="195"/>
      <c r="P135" s="195"/>
      <c r="Q135" s="224"/>
      <c r="R135" s="182"/>
      <c r="S135" s="225"/>
      <c r="T135" s="195"/>
      <c r="U135" s="195"/>
      <c r="V135" s="134" t="s">
        <v>552</v>
      </c>
    </row>
    <row r="136" spans="1:22" ht="18" hidden="1" customHeight="1">
      <c r="A136" s="226"/>
      <c r="B136" s="227"/>
      <c r="C136" s="227"/>
      <c r="D136" s="227"/>
      <c r="E136" s="227"/>
      <c r="F136" s="227"/>
      <c r="G136" s="227"/>
      <c r="H136" s="227"/>
      <c r="I136" s="227"/>
      <c r="J136" s="227"/>
      <c r="K136" s="227"/>
      <c r="L136" s="227"/>
      <c r="M136" s="227"/>
      <c r="N136" s="227"/>
      <c r="O136" s="227"/>
      <c r="P136" s="227"/>
      <c r="Q136" s="227"/>
      <c r="R136" s="227"/>
      <c r="S136" s="227"/>
      <c r="T136" s="227"/>
      <c r="U136" s="227"/>
      <c r="V136" s="228"/>
    </row>
    <row r="137" spans="1:22" ht="18" customHeight="1">
      <c r="A137" s="262" t="s">
        <v>532</v>
      </c>
      <c r="B137" s="14"/>
      <c r="C137" s="14"/>
      <c r="D137" s="120"/>
      <c r="E137" s="120"/>
      <c r="F137" s="18"/>
      <c r="G137" s="18"/>
      <c r="H137" s="14"/>
      <c r="I137" s="14"/>
      <c r="J137" s="14"/>
      <c r="K137" s="14"/>
      <c r="L137" s="14"/>
      <c r="M137" s="14"/>
      <c r="N137" s="14"/>
      <c r="O137" s="14"/>
      <c r="P137" s="28"/>
      <c r="Q137" s="120"/>
      <c r="R137" s="47"/>
      <c r="S137" s="206"/>
      <c r="T137" s="259"/>
      <c r="U137" s="14"/>
      <c r="V137" s="97"/>
    </row>
    <row r="138" spans="1:22" ht="18" customHeight="1">
      <c r="A138" s="955" t="s">
        <v>85</v>
      </c>
      <c r="B138" s="956"/>
      <c r="C138" s="957"/>
      <c r="D138" s="955" t="s">
        <v>86</v>
      </c>
      <c r="E138" s="956"/>
      <c r="F138" s="957"/>
      <c r="G138" s="955" t="s">
        <v>87</v>
      </c>
      <c r="H138" s="957"/>
      <c r="I138" s="955" t="s">
        <v>88</v>
      </c>
      <c r="J138" s="957"/>
      <c r="K138" s="955" t="s">
        <v>502</v>
      </c>
      <c r="L138" s="957"/>
      <c r="M138" s="955" t="s">
        <v>102</v>
      </c>
      <c r="N138" s="957"/>
      <c r="O138" s="955"/>
      <c r="P138" s="957"/>
      <c r="Q138" s="955" t="s">
        <v>505</v>
      </c>
      <c r="R138" s="957"/>
      <c r="S138" s="955" t="s">
        <v>93</v>
      </c>
      <c r="T138" s="956"/>
      <c r="U138" s="956"/>
      <c r="V138" s="957"/>
    </row>
    <row r="139" spans="1:22" ht="18" customHeight="1">
      <c r="A139" s="1125"/>
      <c r="B139" s="983"/>
      <c r="C139" s="1126"/>
      <c r="D139" s="1125"/>
      <c r="E139" s="983"/>
      <c r="F139" s="1126"/>
      <c r="G139" s="1125"/>
      <c r="H139" s="1126"/>
      <c r="I139" s="1125"/>
      <c r="J139" s="1126"/>
      <c r="K139" s="1125"/>
      <c r="L139" s="1126"/>
      <c r="M139" s="1125"/>
      <c r="N139" s="1126"/>
      <c r="O139" s="1125"/>
      <c r="P139" s="1126"/>
      <c r="Q139" s="1125"/>
      <c r="R139" s="1126"/>
      <c r="S139" s="1125"/>
      <c r="T139" s="983"/>
      <c r="U139" s="983"/>
      <c r="V139" s="1126"/>
    </row>
    <row r="140" spans="1:22" ht="18" customHeight="1">
      <c r="A140" s="1125"/>
      <c r="B140" s="983"/>
      <c r="C140" s="1126"/>
      <c r="D140" s="1125"/>
      <c r="E140" s="983"/>
      <c r="F140" s="1126"/>
      <c r="G140" s="1125"/>
      <c r="H140" s="1126"/>
      <c r="I140" s="1125"/>
      <c r="J140" s="1126"/>
      <c r="K140" s="1125"/>
      <c r="L140" s="1126"/>
      <c r="M140" s="1125"/>
      <c r="N140" s="1126"/>
      <c r="O140" s="1125"/>
      <c r="P140" s="1126"/>
      <c r="Q140" s="1125"/>
      <c r="R140" s="1126"/>
      <c r="S140" s="1125"/>
      <c r="T140" s="983"/>
      <c r="U140" s="983"/>
      <c r="V140" s="1126"/>
    </row>
    <row r="141" spans="1:22" ht="18" customHeight="1">
      <c r="A141" s="1047"/>
      <c r="B141" s="1048"/>
      <c r="C141" s="1049"/>
      <c r="D141" s="1047"/>
      <c r="E141" s="1048"/>
      <c r="F141" s="1049"/>
      <c r="G141" s="1047"/>
      <c r="H141" s="1049"/>
      <c r="I141" s="1047"/>
      <c r="J141" s="1049"/>
      <c r="K141" s="1047"/>
      <c r="L141" s="1049"/>
      <c r="M141" s="1047"/>
      <c r="N141" s="1049"/>
      <c r="O141" s="1047"/>
      <c r="P141" s="1049"/>
      <c r="Q141" s="1047"/>
      <c r="R141" s="1049"/>
      <c r="S141" s="1047"/>
      <c r="T141" s="1048"/>
      <c r="U141" s="1048"/>
      <c r="V141" s="1049"/>
    </row>
    <row r="142" spans="1:22" ht="18" customHeight="1">
      <c r="A142" s="765" t="str">
        <f>B93</f>
        <v>T1</v>
      </c>
      <c r="B142" s="765" t="str">
        <f>D93</f>
        <v>Core3</v>
      </c>
      <c r="C142" s="765"/>
      <c r="D142" s="870">
        <f>H96</f>
        <v>1600</v>
      </c>
      <c r="E142" s="870"/>
      <c r="F142" s="871">
        <f>O96</f>
        <v>1</v>
      </c>
      <c r="G142" s="961">
        <f>'CT-VT Burdens'!S21</f>
        <v>120</v>
      </c>
      <c r="H142" s="959">
        <f>'CT-VT Burdens'!S10</f>
        <v>6</v>
      </c>
      <c r="I142" s="874">
        <f>L97</f>
        <v>0.5</v>
      </c>
      <c r="J142" s="874"/>
      <c r="K142" s="869">
        <f>H12</f>
        <v>4</v>
      </c>
      <c r="L142" s="869"/>
      <c r="M142" s="869">
        <f>H14</f>
        <v>30</v>
      </c>
      <c r="N142" s="869"/>
      <c r="O142" s="870" t="s">
        <v>6</v>
      </c>
      <c r="P142" s="870"/>
      <c r="Q142" s="879" t="str">
        <f>CONCATENATE(T7," + "," ",T8," ",T9," ",T10)</f>
        <v xml:space="preserve">SEL2240 +  6MD85  </v>
      </c>
      <c r="R142" s="879"/>
      <c r="S142" s="878" t="str">
        <f>J47</f>
        <v>Not suitable</v>
      </c>
      <c r="T142" s="878"/>
      <c r="U142" s="878"/>
      <c r="V142" s="878"/>
    </row>
    <row r="143" spans="1:22" ht="18" customHeight="1">
      <c r="A143" s="765"/>
      <c r="B143" s="765"/>
      <c r="C143" s="765"/>
      <c r="D143" s="870">
        <f>J96</f>
        <v>400</v>
      </c>
      <c r="E143" s="870"/>
      <c r="F143" s="872"/>
      <c r="G143" s="961"/>
      <c r="H143" s="959"/>
      <c r="I143" s="874"/>
      <c r="J143" s="874"/>
      <c r="K143" s="875">
        <f>J55</f>
        <v>1</v>
      </c>
      <c r="L143" s="869"/>
      <c r="M143" s="875">
        <f>J57</f>
        <v>7.5</v>
      </c>
      <c r="N143" s="869"/>
      <c r="O143" s="870" t="s">
        <v>6</v>
      </c>
      <c r="P143" s="870"/>
      <c r="Q143" s="879"/>
      <c r="R143" s="879"/>
      <c r="S143" s="877" t="str">
        <f>J88</f>
        <v>Suitably Dimensioned</v>
      </c>
      <c r="T143" s="878"/>
      <c r="U143" s="878"/>
      <c r="V143" s="878"/>
    </row>
    <row r="144" spans="1:22" ht="18" customHeight="1">
      <c r="A144" s="765"/>
      <c r="B144" s="765"/>
      <c r="C144" s="765"/>
      <c r="D144" s="870" t="s">
        <v>6</v>
      </c>
      <c r="E144" s="870"/>
      <c r="F144" s="873"/>
      <c r="G144" s="961"/>
      <c r="H144" s="959"/>
      <c r="I144" s="874"/>
      <c r="J144" s="874"/>
      <c r="K144" s="869" t="s">
        <v>6</v>
      </c>
      <c r="L144" s="869"/>
      <c r="M144" s="869" t="s">
        <v>6</v>
      </c>
      <c r="N144" s="869"/>
      <c r="O144" s="870" t="s">
        <v>6</v>
      </c>
      <c r="P144" s="870"/>
      <c r="Q144" s="879"/>
      <c r="R144" s="879"/>
      <c r="S144" s="878" t="s">
        <v>6</v>
      </c>
      <c r="T144" s="878"/>
      <c r="U144" s="878"/>
      <c r="V144" s="878"/>
    </row>
    <row r="145" spans="1:22" ht="18" customHeight="1">
      <c r="A145" s="265"/>
      <c r="B145" s="239"/>
      <c r="C145" s="239"/>
      <c r="D145" s="239"/>
      <c r="E145" s="239"/>
      <c r="F145" s="239"/>
      <c r="G145" s="239"/>
      <c r="H145" s="239"/>
      <c r="I145" s="239"/>
      <c r="J145" s="93"/>
      <c r="K145" s="93"/>
      <c r="L145" s="239"/>
      <c r="M145" s="239"/>
      <c r="N145" s="239"/>
      <c r="O145" s="239"/>
      <c r="P145" s="239"/>
      <c r="Q145" s="239"/>
      <c r="R145" s="239"/>
      <c r="S145" s="239"/>
      <c r="T145" s="239"/>
      <c r="U145" s="103"/>
      <c r="V145" s="310"/>
    </row>
    <row r="146" spans="1:22" ht="18" customHeight="1">
      <c r="A146" s="265"/>
      <c r="B146" s="239"/>
      <c r="C146" s="239"/>
      <c r="D146" s="239"/>
      <c r="E146" s="239"/>
      <c r="F146" s="239"/>
      <c r="G146" s="239"/>
      <c r="H146" s="239"/>
      <c r="I146" s="239"/>
      <c r="J146" s="93"/>
      <c r="K146" s="93"/>
      <c r="L146" s="239"/>
      <c r="M146" s="239"/>
      <c r="N146" s="239"/>
      <c r="O146" s="239"/>
      <c r="P146" s="239"/>
      <c r="Q146" s="239"/>
      <c r="R146" s="239"/>
      <c r="S146" s="239"/>
      <c r="T146" s="239"/>
      <c r="U146" s="103"/>
      <c r="V146" s="310"/>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184"/>
      <c r="V175" s="185"/>
    </row>
    <row r="176" spans="1:22" s="14" customFormat="1" ht="18" customHeight="1">
      <c r="A176" s="194"/>
      <c r="B176" s="195"/>
      <c r="C176" s="195"/>
      <c r="D176" s="195"/>
      <c r="E176" s="195"/>
      <c r="F176" s="195"/>
      <c r="G176" s="195"/>
      <c r="H176" s="195"/>
      <c r="I176" s="195"/>
      <c r="J176" s="195"/>
      <c r="K176" s="195"/>
      <c r="L176" s="195"/>
      <c r="M176" s="195"/>
      <c r="N176" s="195"/>
      <c r="O176" s="195"/>
      <c r="P176" s="195"/>
      <c r="Q176" s="224"/>
      <c r="R176" s="182"/>
      <c r="S176" s="225"/>
      <c r="T176" s="195"/>
      <c r="U176" s="195"/>
      <c r="V176" s="134"/>
    </row>
  </sheetData>
  <mergeCells count="156">
    <mergeCell ref="S142:V142"/>
    <mergeCell ref="O138:P141"/>
    <mergeCell ref="Q138:R141"/>
    <mergeCell ref="S138:V141"/>
    <mergeCell ref="A142:A144"/>
    <mergeCell ref="B142:C144"/>
    <mergeCell ref="D142:E142"/>
    <mergeCell ref="F142:F144"/>
    <mergeCell ref="G142:G144"/>
    <mergeCell ref="H142:H144"/>
    <mergeCell ref="D143:E143"/>
    <mergeCell ref="K143:L143"/>
    <mergeCell ref="M143:N143"/>
    <mergeCell ref="O143:P143"/>
    <mergeCell ref="S143:V143"/>
    <mergeCell ref="D144:E144"/>
    <mergeCell ref="K144:L144"/>
    <mergeCell ref="M144:N144"/>
    <mergeCell ref="O144:P144"/>
    <mergeCell ref="S144:V144"/>
    <mergeCell ref="I142:J144"/>
    <mergeCell ref="K142:L142"/>
    <mergeCell ref="M142:N142"/>
    <mergeCell ref="O142:P142"/>
    <mergeCell ref="Q142:R144"/>
    <mergeCell ref="G126:H126"/>
    <mergeCell ref="J126:K126"/>
    <mergeCell ref="A138:C141"/>
    <mergeCell ref="D138:F141"/>
    <mergeCell ref="G138:H141"/>
    <mergeCell ref="I138:J141"/>
    <mergeCell ref="K138:L141"/>
    <mergeCell ref="J114:K114"/>
    <mergeCell ref="M114:N114"/>
    <mergeCell ref="J115:K115"/>
    <mergeCell ref="J119:K119"/>
    <mergeCell ref="G123:H123"/>
    <mergeCell ref="J123:K123"/>
    <mergeCell ref="M138:N141"/>
    <mergeCell ref="J106:K106"/>
    <mergeCell ref="J107:K107"/>
    <mergeCell ref="J108:K108"/>
    <mergeCell ref="P108:Q108"/>
    <mergeCell ref="J109:K109"/>
    <mergeCell ref="S111:T111"/>
    <mergeCell ref="L97:M97"/>
    <mergeCell ref="L98:M98"/>
    <mergeCell ref="L99:M99"/>
    <mergeCell ref="L100:M100"/>
    <mergeCell ref="J104:K104"/>
    <mergeCell ref="J105:K105"/>
    <mergeCell ref="H95:I95"/>
    <mergeCell ref="J95:K95"/>
    <mergeCell ref="L95:M95"/>
    <mergeCell ref="H96:I96"/>
    <mergeCell ref="J96:K96"/>
    <mergeCell ref="L96:M96"/>
    <mergeCell ref="J81:K81"/>
    <mergeCell ref="G84:H84"/>
    <mergeCell ref="J84:K84"/>
    <mergeCell ref="G87:H87"/>
    <mergeCell ref="J87:K87"/>
    <mergeCell ref="B93:C93"/>
    <mergeCell ref="D93:E94"/>
    <mergeCell ref="H93:M93"/>
    <mergeCell ref="B94:C94"/>
    <mergeCell ref="P71:Q71"/>
    <mergeCell ref="P72:Q72"/>
    <mergeCell ref="P73:Q73"/>
    <mergeCell ref="S75:T75"/>
    <mergeCell ref="J77:K77"/>
    <mergeCell ref="M77:N77"/>
    <mergeCell ref="J65:K65"/>
    <mergeCell ref="P65:Q65"/>
    <mergeCell ref="J66:K66"/>
    <mergeCell ref="P68:Q68"/>
    <mergeCell ref="P69:Q69"/>
    <mergeCell ref="P70:Q70"/>
    <mergeCell ref="J56:K56"/>
    <mergeCell ref="J57:K57"/>
    <mergeCell ref="J61:K61"/>
    <mergeCell ref="J62:K62"/>
    <mergeCell ref="J63:K63"/>
    <mergeCell ref="J64:K64"/>
    <mergeCell ref="H53:I53"/>
    <mergeCell ref="J53:K53"/>
    <mergeCell ref="L53:M53"/>
    <mergeCell ref="T53:U53"/>
    <mergeCell ref="J54:K54"/>
    <mergeCell ref="J55:K55"/>
    <mergeCell ref="T50:U50"/>
    <mergeCell ref="B51:C51"/>
    <mergeCell ref="T51:U51"/>
    <mergeCell ref="H52:I52"/>
    <mergeCell ref="J52:K52"/>
    <mergeCell ref="L52:M52"/>
    <mergeCell ref="T52:U52"/>
    <mergeCell ref="J39:K39"/>
    <mergeCell ref="G43:H43"/>
    <mergeCell ref="J43:K43"/>
    <mergeCell ref="G46:H46"/>
    <mergeCell ref="J46:K46"/>
    <mergeCell ref="B50:C50"/>
    <mergeCell ref="D50:E51"/>
    <mergeCell ref="H50:M50"/>
    <mergeCell ref="P27:Q27"/>
    <mergeCell ref="P28:Q28"/>
    <mergeCell ref="P29:Q29"/>
    <mergeCell ref="P30:Q30"/>
    <mergeCell ref="S32:T32"/>
    <mergeCell ref="J36:K36"/>
    <mergeCell ref="M36:N36"/>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88:J90 I127:J133">
    <cfRule type="cellIs" dxfId="96" priority="2" stopIfTrue="1" operator="equal">
      <formula>"Not suitable"</formula>
    </cfRule>
  </conditionalFormatting>
  <conditionalFormatting sqref="S43 S46 S84 S87 S123 S126">
    <cfRule type="cellIs" dxfId="95" priority="1" stopIfTrue="1" operator="equal">
      <formula>"Not satisfied"</formula>
    </cfRule>
  </conditionalFormatting>
  <dataValidations count="2">
    <dataValidation type="list" allowBlank="1" showInputMessage="1" showErrorMessage="1" sqref="WVL983041:WVM983042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7:E65538 IZ65537:JA65538 SV65537:SW65538 ACR65537:ACS65538 AMN65537:AMO65538 AWJ65537:AWK65538 BGF65537:BGG65538 BQB65537:BQC65538 BZX65537:BZY65538 CJT65537:CJU65538 CTP65537:CTQ65538 DDL65537:DDM65538 DNH65537:DNI65538 DXD65537:DXE65538 EGZ65537:EHA65538 EQV65537:EQW65538 FAR65537:FAS65538 FKN65537:FKO65538 FUJ65537:FUK65538 GEF65537:GEG65538 GOB65537:GOC65538 GXX65537:GXY65538 HHT65537:HHU65538 HRP65537:HRQ65538 IBL65537:IBM65538 ILH65537:ILI65538 IVD65537:IVE65538 JEZ65537:JFA65538 JOV65537:JOW65538 JYR65537:JYS65538 KIN65537:KIO65538 KSJ65537:KSK65538 LCF65537:LCG65538 LMB65537:LMC65538 LVX65537:LVY65538 MFT65537:MFU65538 MPP65537:MPQ65538 MZL65537:MZM65538 NJH65537:NJI65538 NTD65537:NTE65538 OCZ65537:ODA65538 OMV65537:OMW65538 OWR65537:OWS65538 PGN65537:PGO65538 PQJ65537:PQK65538 QAF65537:QAG65538 QKB65537:QKC65538 QTX65537:QTY65538 RDT65537:RDU65538 RNP65537:RNQ65538 RXL65537:RXM65538 SHH65537:SHI65538 SRD65537:SRE65538 TAZ65537:TBA65538 TKV65537:TKW65538 TUR65537:TUS65538 UEN65537:UEO65538 UOJ65537:UOK65538 UYF65537:UYG65538 VIB65537:VIC65538 VRX65537:VRY65538 WBT65537:WBU65538 WLP65537:WLQ65538 WVL65537:WVM65538 D131073:E131074 IZ131073:JA131074 SV131073:SW131074 ACR131073:ACS131074 AMN131073:AMO131074 AWJ131073:AWK131074 BGF131073:BGG131074 BQB131073:BQC131074 BZX131073:BZY131074 CJT131073:CJU131074 CTP131073:CTQ131074 DDL131073:DDM131074 DNH131073:DNI131074 DXD131073:DXE131074 EGZ131073:EHA131074 EQV131073:EQW131074 FAR131073:FAS131074 FKN131073:FKO131074 FUJ131073:FUK131074 GEF131073:GEG131074 GOB131073:GOC131074 GXX131073:GXY131074 HHT131073:HHU131074 HRP131073:HRQ131074 IBL131073:IBM131074 ILH131073:ILI131074 IVD131073:IVE131074 JEZ131073:JFA131074 JOV131073:JOW131074 JYR131073:JYS131074 KIN131073:KIO131074 KSJ131073:KSK131074 LCF131073:LCG131074 LMB131073:LMC131074 LVX131073:LVY131074 MFT131073:MFU131074 MPP131073:MPQ131074 MZL131073:MZM131074 NJH131073:NJI131074 NTD131073:NTE131074 OCZ131073:ODA131074 OMV131073:OMW131074 OWR131073:OWS131074 PGN131073:PGO131074 PQJ131073:PQK131074 QAF131073:QAG131074 QKB131073:QKC131074 QTX131073:QTY131074 RDT131073:RDU131074 RNP131073:RNQ131074 RXL131073:RXM131074 SHH131073:SHI131074 SRD131073:SRE131074 TAZ131073:TBA131074 TKV131073:TKW131074 TUR131073:TUS131074 UEN131073:UEO131074 UOJ131073:UOK131074 UYF131073:UYG131074 VIB131073:VIC131074 VRX131073:VRY131074 WBT131073:WBU131074 WLP131073:WLQ131074 WVL131073:WVM131074 D196609:E196610 IZ196609:JA196610 SV196609:SW196610 ACR196609:ACS196610 AMN196609:AMO196610 AWJ196609:AWK196610 BGF196609:BGG196610 BQB196609:BQC196610 BZX196609:BZY196610 CJT196609:CJU196610 CTP196609:CTQ196610 DDL196609:DDM196610 DNH196609:DNI196610 DXD196609:DXE196610 EGZ196609:EHA196610 EQV196609:EQW196610 FAR196609:FAS196610 FKN196609:FKO196610 FUJ196609:FUK196610 GEF196609:GEG196610 GOB196609:GOC196610 GXX196609:GXY196610 HHT196609:HHU196610 HRP196609:HRQ196610 IBL196609:IBM196610 ILH196609:ILI196610 IVD196609:IVE196610 JEZ196609:JFA196610 JOV196609:JOW196610 JYR196609:JYS196610 KIN196609:KIO196610 KSJ196609:KSK196610 LCF196609:LCG196610 LMB196609:LMC196610 LVX196609:LVY196610 MFT196609:MFU196610 MPP196609:MPQ196610 MZL196609:MZM196610 NJH196609:NJI196610 NTD196609:NTE196610 OCZ196609:ODA196610 OMV196609:OMW196610 OWR196609:OWS196610 PGN196609:PGO196610 PQJ196609:PQK196610 QAF196609:QAG196610 QKB196609:QKC196610 QTX196609:QTY196610 RDT196609:RDU196610 RNP196609:RNQ196610 RXL196609:RXM196610 SHH196609:SHI196610 SRD196609:SRE196610 TAZ196609:TBA196610 TKV196609:TKW196610 TUR196609:TUS196610 UEN196609:UEO196610 UOJ196609:UOK196610 UYF196609:UYG196610 VIB196609:VIC196610 VRX196609:VRY196610 WBT196609:WBU196610 WLP196609:WLQ196610 WVL196609:WVM196610 D262145:E262146 IZ262145:JA262146 SV262145:SW262146 ACR262145:ACS262146 AMN262145:AMO262146 AWJ262145:AWK262146 BGF262145:BGG262146 BQB262145:BQC262146 BZX262145:BZY262146 CJT262145:CJU262146 CTP262145:CTQ262146 DDL262145:DDM262146 DNH262145:DNI262146 DXD262145:DXE262146 EGZ262145:EHA262146 EQV262145:EQW262146 FAR262145:FAS262146 FKN262145:FKO262146 FUJ262145:FUK262146 GEF262145:GEG262146 GOB262145:GOC262146 GXX262145:GXY262146 HHT262145:HHU262146 HRP262145:HRQ262146 IBL262145:IBM262146 ILH262145:ILI262146 IVD262145:IVE262146 JEZ262145:JFA262146 JOV262145:JOW262146 JYR262145:JYS262146 KIN262145:KIO262146 KSJ262145:KSK262146 LCF262145:LCG262146 LMB262145:LMC262146 LVX262145:LVY262146 MFT262145:MFU262146 MPP262145:MPQ262146 MZL262145:MZM262146 NJH262145:NJI262146 NTD262145:NTE262146 OCZ262145:ODA262146 OMV262145:OMW262146 OWR262145:OWS262146 PGN262145:PGO262146 PQJ262145:PQK262146 QAF262145:QAG262146 QKB262145:QKC262146 QTX262145:QTY262146 RDT262145:RDU262146 RNP262145:RNQ262146 RXL262145:RXM262146 SHH262145:SHI262146 SRD262145:SRE262146 TAZ262145:TBA262146 TKV262145:TKW262146 TUR262145:TUS262146 UEN262145:UEO262146 UOJ262145:UOK262146 UYF262145:UYG262146 VIB262145:VIC262146 VRX262145:VRY262146 WBT262145:WBU262146 WLP262145:WLQ262146 WVL262145:WVM262146 D327681:E327682 IZ327681:JA327682 SV327681:SW327682 ACR327681:ACS327682 AMN327681:AMO327682 AWJ327681:AWK327682 BGF327681:BGG327682 BQB327681:BQC327682 BZX327681:BZY327682 CJT327681:CJU327682 CTP327681:CTQ327682 DDL327681:DDM327682 DNH327681:DNI327682 DXD327681:DXE327682 EGZ327681:EHA327682 EQV327681:EQW327682 FAR327681:FAS327682 FKN327681:FKO327682 FUJ327681:FUK327682 GEF327681:GEG327682 GOB327681:GOC327682 GXX327681:GXY327682 HHT327681:HHU327682 HRP327681:HRQ327682 IBL327681:IBM327682 ILH327681:ILI327682 IVD327681:IVE327682 JEZ327681:JFA327682 JOV327681:JOW327682 JYR327681:JYS327682 KIN327681:KIO327682 KSJ327681:KSK327682 LCF327681:LCG327682 LMB327681:LMC327682 LVX327681:LVY327682 MFT327681:MFU327682 MPP327681:MPQ327682 MZL327681:MZM327682 NJH327681:NJI327682 NTD327681:NTE327682 OCZ327681:ODA327682 OMV327681:OMW327682 OWR327681:OWS327682 PGN327681:PGO327682 PQJ327681:PQK327682 QAF327681:QAG327682 QKB327681:QKC327682 QTX327681:QTY327682 RDT327681:RDU327682 RNP327681:RNQ327682 RXL327681:RXM327682 SHH327681:SHI327682 SRD327681:SRE327682 TAZ327681:TBA327682 TKV327681:TKW327682 TUR327681:TUS327682 UEN327681:UEO327682 UOJ327681:UOK327682 UYF327681:UYG327682 VIB327681:VIC327682 VRX327681:VRY327682 WBT327681:WBU327682 WLP327681:WLQ327682 WVL327681:WVM327682 D393217:E393218 IZ393217:JA393218 SV393217:SW393218 ACR393217:ACS393218 AMN393217:AMO393218 AWJ393217:AWK393218 BGF393217:BGG393218 BQB393217:BQC393218 BZX393217:BZY393218 CJT393217:CJU393218 CTP393217:CTQ393218 DDL393217:DDM393218 DNH393217:DNI393218 DXD393217:DXE393218 EGZ393217:EHA393218 EQV393217:EQW393218 FAR393217:FAS393218 FKN393217:FKO393218 FUJ393217:FUK393218 GEF393217:GEG393218 GOB393217:GOC393218 GXX393217:GXY393218 HHT393217:HHU393218 HRP393217:HRQ393218 IBL393217:IBM393218 ILH393217:ILI393218 IVD393217:IVE393218 JEZ393217:JFA393218 JOV393217:JOW393218 JYR393217:JYS393218 KIN393217:KIO393218 KSJ393217:KSK393218 LCF393217:LCG393218 LMB393217:LMC393218 LVX393217:LVY393218 MFT393217:MFU393218 MPP393217:MPQ393218 MZL393217:MZM393218 NJH393217:NJI393218 NTD393217:NTE393218 OCZ393217:ODA393218 OMV393217:OMW393218 OWR393217:OWS393218 PGN393217:PGO393218 PQJ393217:PQK393218 QAF393217:QAG393218 QKB393217:QKC393218 QTX393217:QTY393218 RDT393217:RDU393218 RNP393217:RNQ393218 RXL393217:RXM393218 SHH393217:SHI393218 SRD393217:SRE393218 TAZ393217:TBA393218 TKV393217:TKW393218 TUR393217:TUS393218 UEN393217:UEO393218 UOJ393217:UOK393218 UYF393217:UYG393218 VIB393217:VIC393218 VRX393217:VRY393218 WBT393217:WBU393218 WLP393217:WLQ393218 WVL393217:WVM393218 D458753:E458754 IZ458753:JA458754 SV458753:SW458754 ACR458753:ACS458754 AMN458753:AMO458754 AWJ458753:AWK458754 BGF458753:BGG458754 BQB458753:BQC458754 BZX458753:BZY458754 CJT458753:CJU458754 CTP458753:CTQ458754 DDL458753:DDM458754 DNH458753:DNI458754 DXD458753:DXE458754 EGZ458753:EHA458754 EQV458753:EQW458754 FAR458753:FAS458754 FKN458753:FKO458754 FUJ458753:FUK458754 GEF458753:GEG458754 GOB458753:GOC458754 GXX458753:GXY458754 HHT458753:HHU458754 HRP458753:HRQ458754 IBL458753:IBM458754 ILH458753:ILI458754 IVD458753:IVE458754 JEZ458753:JFA458754 JOV458753:JOW458754 JYR458753:JYS458754 KIN458753:KIO458754 KSJ458753:KSK458754 LCF458753:LCG458754 LMB458753:LMC458754 LVX458753:LVY458754 MFT458753:MFU458754 MPP458753:MPQ458754 MZL458753:MZM458754 NJH458753:NJI458754 NTD458753:NTE458754 OCZ458753:ODA458754 OMV458753:OMW458754 OWR458753:OWS458754 PGN458753:PGO458754 PQJ458753:PQK458754 QAF458753:QAG458754 QKB458753:QKC458754 QTX458753:QTY458754 RDT458753:RDU458754 RNP458753:RNQ458754 RXL458753:RXM458754 SHH458753:SHI458754 SRD458753:SRE458754 TAZ458753:TBA458754 TKV458753:TKW458754 TUR458753:TUS458754 UEN458753:UEO458754 UOJ458753:UOK458754 UYF458753:UYG458754 VIB458753:VIC458754 VRX458753:VRY458754 WBT458753:WBU458754 WLP458753:WLQ458754 WVL458753:WVM458754 D524289:E524290 IZ524289:JA524290 SV524289:SW524290 ACR524289:ACS524290 AMN524289:AMO524290 AWJ524289:AWK524290 BGF524289:BGG524290 BQB524289:BQC524290 BZX524289:BZY524290 CJT524289:CJU524290 CTP524289:CTQ524290 DDL524289:DDM524290 DNH524289:DNI524290 DXD524289:DXE524290 EGZ524289:EHA524290 EQV524289:EQW524290 FAR524289:FAS524290 FKN524289:FKO524290 FUJ524289:FUK524290 GEF524289:GEG524290 GOB524289:GOC524290 GXX524289:GXY524290 HHT524289:HHU524290 HRP524289:HRQ524290 IBL524289:IBM524290 ILH524289:ILI524290 IVD524289:IVE524290 JEZ524289:JFA524290 JOV524289:JOW524290 JYR524289:JYS524290 KIN524289:KIO524290 KSJ524289:KSK524290 LCF524289:LCG524290 LMB524289:LMC524290 LVX524289:LVY524290 MFT524289:MFU524290 MPP524289:MPQ524290 MZL524289:MZM524290 NJH524289:NJI524290 NTD524289:NTE524290 OCZ524289:ODA524290 OMV524289:OMW524290 OWR524289:OWS524290 PGN524289:PGO524290 PQJ524289:PQK524290 QAF524289:QAG524290 QKB524289:QKC524290 QTX524289:QTY524290 RDT524289:RDU524290 RNP524289:RNQ524290 RXL524289:RXM524290 SHH524289:SHI524290 SRD524289:SRE524290 TAZ524289:TBA524290 TKV524289:TKW524290 TUR524289:TUS524290 UEN524289:UEO524290 UOJ524289:UOK524290 UYF524289:UYG524290 VIB524289:VIC524290 VRX524289:VRY524290 WBT524289:WBU524290 WLP524289:WLQ524290 WVL524289:WVM524290 D589825:E589826 IZ589825:JA589826 SV589825:SW589826 ACR589825:ACS589826 AMN589825:AMO589826 AWJ589825:AWK589826 BGF589825:BGG589826 BQB589825:BQC589826 BZX589825:BZY589826 CJT589825:CJU589826 CTP589825:CTQ589826 DDL589825:DDM589826 DNH589825:DNI589826 DXD589825:DXE589826 EGZ589825:EHA589826 EQV589825:EQW589826 FAR589825:FAS589826 FKN589825:FKO589826 FUJ589825:FUK589826 GEF589825:GEG589826 GOB589825:GOC589826 GXX589825:GXY589826 HHT589825:HHU589826 HRP589825:HRQ589826 IBL589825:IBM589826 ILH589825:ILI589826 IVD589825:IVE589826 JEZ589825:JFA589826 JOV589825:JOW589826 JYR589825:JYS589826 KIN589825:KIO589826 KSJ589825:KSK589826 LCF589825:LCG589826 LMB589825:LMC589826 LVX589825:LVY589826 MFT589825:MFU589826 MPP589825:MPQ589826 MZL589825:MZM589826 NJH589825:NJI589826 NTD589825:NTE589826 OCZ589825:ODA589826 OMV589825:OMW589826 OWR589825:OWS589826 PGN589825:PGO589826 PQJ589825:PQK589826 QAF589825:QAG589826 QKB589825:QKC589826 QTX589825:QTY589826 RDT589825:RDU589826 RNP589825:RNQ589826 RXL589825:RXM589826 SHH589825:SHI589826 SRD589825:SRE589826 TAZ589825:TBA589826 TKV589825:TKW589826 TUR589825:TUS589826 UEN589825:UEO589826 UOJ589825:UOK589826 UYF589825:UYG589826 VIB589825:VIC589826 VRX589825:VRY589826 WBT589825:WBU589826 WLP589825:WLQ589826 WVL589825:WVM589826 D655361:E655362 IZ655361:JA655362 SV655361:SW655362 ACR655361:ACS655362 AMN655361:AMO655362 AWJ655361:AWK655362 BGF655361:BGG655362 BQB655361:BQC655362 BZX655361:BZY655362 CJT655361:CJU655362 CTP655361:CTQ655362 DDL655361:DDM655362 DNH655361:DNI655362 DXD655361:DXE655362 EGZ655361:EHA655362 EQV655361:EQW655362 FAR655361:FAS655362 FKN655361:FKO655362 FUJ655361:FUK655362 GEF655361:GEG655362 GOB655361:GOC655362 GXX655361:GXY655362 HHT655361:HHU655362 HRP655361:HRQ655362 IBL655361:IBM655362 ILH655361:ILI655362 IVD655361:IVE655362 JEZ655361:JFA655362 JOV655361:JOW655362 JYR655361:JYS655362 KIN655361:KIO655362 KSJ655361:KSK655362 LCF655361:LCG655362 LMB655361:LMC655362 LVX655361:LVY655362 MFT655361:MFU655362 MPP655361:MPQ655362 MZL655361:MZM655362 NJH655361:NJI655362 NTD655361:NTE655362 OCZ655361:ODA655362 OMV655361:OMW655362 OWR655361:OWS655362 PGN655361:PGO655362 PQJ655361:PQK655362 QAF655361:QAG655362 QKB655361:QKC655362 QTX655361:QTY655362 RDT655361:RDU655362 RNP655361:RNQ655362 RXL655361:RXM655362 SHH655361:SHI655362 SRD655361:SRE655362 TAZ655361:TBA655362 TKV655361:TKW655362 TUR655361:TUS655362 UEN655361:UEO655362 UOJ655361:UOK655362 UYF655361:UYG655362 VIB655361:VIC655362 VRX655361:VRY655362 WBT655361:WBU655362 WLP655361:WLQ655362 WVL655361:WVM655362 D720897:E720898 IZ720897:JA720898 SV720897:SW720898 ACR720897:ACS720898 AMN720897:AMO720898 AWJ720897:AWK720898 BGF720897:BGG720898 BQB720897:BQC720898 BZX720897:BZY720898 CJT720897:CJU720898 CTP720897:CTQ720898 DDL720897:DDM720898 DNH720897:DNI720898 DXD720897:DXE720898 EGZ720897:EHA720898 EQV720897:EQW720898 FAR720897:FAS720898 FKN720897:FKO720898 FUJ720897:FUK720898 GEF720897:GEG720898 GOB720897:GOC720898 GXX720897:GXY720898 HHT720897:HHU720898 HRP720897:HRQ720898 IBL720897:IBM720898 ILH720897:ILI720898 IVD720897:IVE720898 JEZ720897:JFA720898 JOV720897:JOW720898 JYR720897:JYS720898 KIN720897:KIO720898 KSJ720897:KSK720898 LCF720897:LCG720898 LMB720897:LMC720898 LVX720897:LVY720898 MFT720897:MFU720898 MPP720897:MPQ720898 MZL720897:MZM720898 NJH720897:NJI720898 NTD720897:NTE720898 OCZ720897:ODA720898 OMV720897:OMW720898 OWR720897:OWS720898 PGN720897:PGO720898 PQJ720897:PQK720898 QAF720897:QAG720898 QKB720897:QKC720898 QTX720897:QTY720898 RDT720897:RDU720898 RNP720897:RNQ720898 RXL720897:RXM720898 SHH720897:SHI720898 SRD720897:SRE720898 TAZ720897:TBA720898 TKV720897:TKW720898 TUR720897:TUS720898 UEN720897:UEO720898 UOJ720897:UOK720898 UYF720897:UYG720898 VIB720897:VIC720898 VRX720897:VRY720898 WBT720897:WBU720898 WLP720897:WLQ720898 WVL720897:WVM720898 D786433:E786434 IZ786433:JA786434 SV786433:SW786434 ACR786433:ACS786434 AMN786433:AMO786434 AWJ786433:AWK786434 BGF786433:BGG786434 BQB786433:BQC786434 BZX786433:BZY786434 CJT786433:CJU786434 CTP786433:CTQ786434 DDL786433:DDM786434 DNH786433:DNI786434 DXD786433:DXE786434 EGZ786433:EHA786434 EQV786433:EQW786434 FAR786433:FAS786434 FKN786433:FKO786434 FUJ786433:FUK786434 GEF786433:GEG786434 GOB786433:GOC786434 GXX786433:GXY786434 HHT786433:HHU786434 HRP786433:HRQ786434 IBL786433:IBM786434 ILH786433:ILI786434 IVD786433:IVE786434 JEZ786433:JFA786434 JOV786433:JOW786434 JYR786433:JYS786434 KIN786433:KIO786434 KSJ786433:KSK786434 LCF786433:LCG786434 LMB786433:LMC786434 LVX786433:LVY786434 MFT786433:MFU786434 MPP786433:MPQ786434 MZL786433:MZM786434 NJH786433:NJI786434 NTD786433:NTE786434 OCZ786433:ODA786434 OMV786433:OMW786434 OWR786433:OWS786434 PGN786433:PGO786434 PQJ786433:PQK786434 QAF786433:QAG786434 QKB786433:QKC786434 QTX786433:QTY786434 RDT786433:RDU786434 RNP786433:RNQ786434 RXL786433:RXM786434 SHH786433:SHI786434 SRD786433:SRE786434 TAZ786433:TBA786434 TKV786433:TKW786434 TUR786433:TUS786434 UEN786433:UEO786434 UOJ786433:UOK786434 UYF786433:UYG786434 VIB786433:VIC786434 VRX786433:VRY786434 WBT786433:WBU786434 WLP786433:WLQ786434 WVL786433:WVM786434 D851969:E851970 IZ851969:JA851970 SV851969:SW851970 ACR851969:ACS851970 AMN851969:AMO851970 AWJ851969:AWK851970 BGF851969:BGG851970 BQB851969:BQC851970 BZX851969:BZY851970 CJT851969:CJU851970 CTP851969:CTQ851970 DDL851969:DDM851970 DNH851969:DNI851970 DXD851969:DXE851970 EGZ851969:EHA851970 EQV851969:EQW851970 FAR851969:FAS851970 FKN851969:FKO851970 FUJ851969:FUK851970 GEF851969:GEG851970 GOB851969:GOC851970 GXX851969:GXY851970 HHT851969:HHU851970 HRP851969:HRQ851970 IBL851969:IBM851970 ILH851969:ILI851970 IVD851969:IVE851970 JEZ851969:JFA851970 JOV851969:JOW851970 JYR851969:JYS851970 KIN851969:KIO851970 KSJ851969:KSK851970 LCF851969:LCG851970 LMB851969:LMC851970 LVX851969:LVY851970 MFT851969:MFU851970 MPP851969:MPQ851970 MZL851969:MZM851970 NJH851969:NJI851970 NTD851969:NTE851970 OCZ851969:ODA851970 OMV851969:OMW851970 OWR851969:OWS851970 PGN851969:PGO851970 PQJ851969:PQK851970 QAF851969:QAG851970 QKB851969:QKC851970 QTX851969:QTY851970 RDT851969:RDU851970 RNP851969:RNQ851970 RXL851969:RXM851970 SHH851969:SHI851970 SRD851969:SRE851970 TAZ851969:TBA851970 TKV851969:TKW851970 TUR851969:TUS851970 UEN851969:UEO851970 UOJ851969:UOK851970 UYF851969:UYG851970 VIB851969:VIC851970 VRX851969:VRY851970 WBT851969:WBU851970 WLP851969:WLQ851970 WVL851969:WVM851970 D917505:E917506 IZ917505:JA917506 SV917505:SW917506 ACR917505:ACS917506 AMN917505:AMO917506 AWJ917505:AWK917506 BGF917505:BGG917506 BQB917505:BQC917506 BZX917505:BZY917506 CJT917505:CJU917506 CTP917505:CTQ917506 DDL917505:DDM917506 DNH917505:DNI917506 DXD917505:DXE917506 EGZ917505:EHA917506 EQV917505:EQW917506 FAR917505:FAS917506 FKN917505:FKO917506 FUJ917505:FUK917506 GEF917505:GEG917506 GOB917505:GOC917506 GXX917505:GXY917506 HHT917505:HHU917506 HRP917505:HRQ917506 IBL917505:IBM917506 ILH917505:ILI917506 IVD917505:IVE917506 JEZ917505:JFA917506 JOV917505:JOW917506 JYR917505:JYS917506 KIN917505:KIO917506 KSJ917505:KSK917506 LCF917505:LCG917506 LMB917505:LMC917506 LVX917505:LVY917506 MFT917505:MFU917506 MPP917505:MPQ917506 MZL917505:MZM917506 NJH917505:NJI917506 NTD917505:NTE917506 OCZ917505:ODA917506 OMV917505:OMW917506 OWR917505:OWS917506 PGN917505:PGO917506 PQJ917505:PQK917506 QAF917505:QAG917506 QKB917505:QKC917506 QTX917505:QTY917506 RDT917505:RDU917506 RNP917505:RNQ917506 RXL917505:RXM917506 SHH917505:SHI917506 SRD917505:SRE917506 TAZ917505:TBA917506 TKV917505:TKW917506 TUR917505:TUS917506 UEN917505:UEO917506 UOJ917505:UOK917506 UYF917505:UYG917506 VIB917505:VIC917506 VRX917505:VRY917506 WBT917505:WBU917506 WLP917505:WLQ917506 WVL917505:WVM917506 D983041:E983042 IZ983041:JA983042 SV983041:SW983042 ACR983041:ACS983042 AMN983041:AMO983042 AWJ983041:AWK983042 BGF983041:BGG983042 BQB983041:BQC983042 BZX983041:BZY983042 CJT983041:CJU983042 CTP983041:CTQ983042 DDL983041:DDM983042 DNH983041:DNI983042 DXD983041:DXE983042 EGZ983041:EHA983042 EQV983041:EQW983042 FAR983041:FAS983042 FKN983041:FKO983042 FUJ983041:FUK983042 GEF983041:GEG983042 GOB983041:GOC983042 GXX983041:GXY983042 HHT983041:HHU983042 HRP983041:HRQ983042 IBL983041:IBM983042 ILH983041:ILI983042 IVD983041:IVE983042 JEZ983041:JFA983042 JOV983041:JOW983042 JYR983041:JYS983042 KIN983041:KIO983042 KSJ983041:KSK983042 LCF983041:LCG983042 LMB983041:LMC983042 LVX983041:LVY983042 MFT983041:MFU983042 MPP983041:MPQ983042 MZL983041:MZM983042 NJH983041:NJI983042 NTD983041:NTE983042 OCZ983041:ODA983042 OMV983041:OMW983042 OWR983041:OWS983042 PGN983041:PGO983042 PQJ983041:PQK983042 QAF983041:QAG983042 QKB983041:QKC983042 QTX983041:QTY983042 RDT983041:RDU983042 RNP983041:RNQ983042 RXL983041:RXM983042 SHH983041:SHI983042 SRD983041:SRE983042 TAZ983041:TBA983042 TKV983041:TKW983042 TUR983041:TUS983042 UEN983041:UEO983042 UOJ983041:UOK983042 UYF983041:UYG983042 VIB983041:VIC983042 VRX983041:VRY983042 WBT983041:WBU983042 WLP983041:WLQ983042 D7:D8 E8" xr:uid="{478B471E-5929-4537-B226-CB38D9744BDB}">
      <formula1>"Core1,Core2,Core3,Core4,Core5"</formula1>
    </dataValidation>
    <dataValidation type="list" allowBlank="1" showInputMessage="1" showErrorMessage="1" sqref="D93 IZ93 SV93 ACR93 AMN93 AWJ93 BGF93 BQB93 BZX93 CJT93 CTP93 DDL93 DNH93 DXD93 EGZ93 EQV93 FAR93 FKN93 FUJ93 GEF93 GOB93 GXX93 HHT93 HRP93 IBL93 ILH93 IVD93 JEZ93 JOV93 JYR93 KIN93 KSJ93 LCF93 LMB93 LVX93 MFT93 MPP93 MZL93 NJH93 NTD93 OCZ93 OMV93 OWR93 PGN93 PQJ93 QAF93 QKB93 QTX93 RDT93 RNP93 RXL93 SHH93 SRD93 TAZ93 TKV93 TUR93 UEN93 UOJ93 UYF93 VIB93 VRX93 WBT93 WLP93 WVL93 D65627 IZ65627 SV65627 ACR65627 AMN65627 AWJ65627 BGF65627 BQB65627 BZX65627 CJT65627 CTP65627 DDL65627 DNH65627 DXD65627 EGZ65627 EQV65627 FAR65627 FKN65627 FUJ65627 GEF65627 GOB65627 GXX65627 HHT65627 HRP65627 IBL65627 ILH65627 IVD65627 JEZ65627 JOV65627 JYR65627 KIN65627 KSJ65627 LCF65627 LMB65627 LVX65627 MFT65627 MPP65627 MZL65627 NJH65627 NTD65627 OCZ65627 OMV65627 OWR65627 PGN65627 PQJ65627 QAF65627 QKB65627 QTX65627 RDT65627 RNP65627 RXL65627 SHH65627 SRD65627 TAZ65627 TKV65627 TUR65627 UEN65627 UOJ65627 UYF65627 VIB65627 VRX65627 WBT65627 WLP65627 WVL65627 D131163 IZ131163 SV131163 ACR131163 AMN131163 AWJ131163 BGF131163 BQB131163 BZX131163 CJT131163 CTP131163 DDL131163 DNH131163 DXD131163 EGZ131163 EQV131163 FAR131163 FKN131163 FUJ131163 GEF131163 GOB131163 GXX131163 HHT131163 HRP131163 IBL131163 ILH131163 IVD131163 JEZ131163 JOV131163 JYR131163 KIN131163 KSJ131163 LCF131163 LMB131163 LVX131163 MFT131163 MPP131163 MZL131163 NJH131163 NTD131163 OCZ131163 OMV131163 OWR131163 PGN131163 PQJ131163 QAF131163 QKB131163 QTX131163 RDT131163 RNP131163 RXL131163 SHH131163 SRD131163 TAZ131163 TKV131163 TUR131163 UEN131163 UOJ131163 UYF131163 VIB131163 VRX131163 WBT131163 WLP131163 WVL131163 D196699 IZ196699 SV196699 ACR196699 AMN196699 AWJ196699 BGF196699 BQB196699 BZX196699 CJT196699 CTP196699 DDL196699 DNH196699 DXD196699 EGZ196699 EQV196699 FAR196699 FKN196699 FUJ196699 GEF196699 GOB196699 GXX196699 HHT196699 HRP196699 IBL196699 ILH196699 IVD196699 JEZ196699 JOV196699 JYR196699 KIN196699 KSJ196699 LCF196699 LMB196699 LVX196699 MFT196699 MPP196699 MZL196699 NJH196699 NTD196699 OCZ196699 OMV196699 OWR196699 PGN196699 PQJ196699 QAF196699 QKB196699 QTX196699 RDT196699 RNP196699 RXL196699 SHH196699 SRD196699 TAZ196699 TKV196699 TUR196699 UEN196699 UOJ196699 UYF196699 VIB196699 VRX196699 WBT196699 WLP196699 WVL196699 D262235 IZ262235 SV262235 ACR262235 AMN262235 AWJ262235 BGF262235 BQB262235 BZX262235 CJT262235 CTP262235 DDL262235 DNH262235 DXD262235 EGZ262235 EQV262235 FAR262235 FKN262235 FUJ262235 GEF262235 GOB262235 GXX262235 HHT262235 HRP262235 IBL262235 ILH262235 IVD262235 JEZ262235 JOV262235 JYR262235 KIN262235 KSJ262235 LCF262235 LMB262235 LVX262235 MFT262235 MPP262235 MZL262235 NJH262235 NTD262235 OCZ262235 OMV262235 OWR262235 PGN262235 PQJ262235 QAF262235 QKB262235 QTX262235 RDT262235 RNP262235 RXL262235 SHH262235 SRD262235 TAZ262235 TKV262235 TUR262235 UEN262235 UOJ262235 UYF262235 VIB262235 VRX262235 WBT262235 WLP262235 WVL262235 D327771 IZ327771 SV327771 ACR327771 AMN327771 AWJ327771 BGF327771 BQB327771 BZX327771 CJT327771 CTP327771 DDL327771 DNH327771 DXD327771 EGZ327771 EQV327771 FAR327771 FKN327771 FUJ327771 GEF327771 GOB327771 GXX327771 HHT327771 HRP327771 IBL327771 ILH327771 IVD327771 JEZ327771 JOV327771 JYR327771 KIN327771 KSJ327771 LCF327771 LMB327771 LVX327771 MFT327771 MPP327771 MZL327771 NJH327771 NTD327771 OCZ327771 OMV327771 OWR327771 PGN327771 PQJ327771 QAF327771 QKB327771 QTX327771 RDT327771 RNP327771 RXL327771 SHH327771 SRD327771 TAZ327771 TKV327771 TUR327771 UEN327771 UOJ327771 UYF327771 VIB327771 VRX327771 WBT327771 WLP327771 WVL327771 D393307 IZ393307 SV393307 ACR393307 AMN393307 AWJ393307 BGF393307 BQB393307 BZX393307 CJT393307 CTP393307 DDL393307 DNH393307 DXD393307 EGZ393307 EQV393307 FAR393307 FKN393307 FUJ393307 GEF393307 GOB393307 GXX393307 HHT393307 HRP393307 IBL393307 ILH393307 IVD393307 JEZ393307 JOV393307 JYR393307 KIN393307 KSJ393307 LCF393307 LMB393307 LVX393307 MFT393307 MPP393307 MZL393307 NJH393307 NTD393307 OCZ393307 OMV393307 OWR393307 PGN393307 PQJ393307 QAF393307 QKB393307 QTX393307 RDT393307 RNP393307 RXL393307 SHH393307 SRD393307 TAZ393307 TKV393307 TUR393307 UEN393307 UOJ393307 UYF393307 VIB393307 VRX393307 WBT393307 WLP393307 WVL393307 D458843 IZ458843 SV458843 ACR458843 AMN458843 AWJ458843 BGF458843 BQB458843 BZX458843 CJT458843 CTP458843 DDL458843 DNH458843 DXD458843 EGZ458843 EQV458843 FAR458843 FKN458843 FUJ458843 GEF458843 GOB458843 GXX458843 HHT458843 HRP458843 IBL458843 ILH458843 IVD458843 JEZ458843 JOV458843 JYR458843 KIN458843 KSJ458843 LCF458843 LMB458843 LVX458843 MFT458843 MPP458843 MZL458843 NJH458843 NTD458843 OCZ458843 OMV458843 OWR458843 PGN458843 PQJ458843 QAF458843 QKB458843 QTX458843 RDT458843 RNP458843 RXL458843 SHH458843 SRD458843 TAZ458843 TKV458843 TUR458843 UEN458843 UOJ458843 UYF458843 VIB458843 VRX458843 WBT458843 WLP458843 WVL458843 D524379 IZ524379 SV524379 ACR524379 AMN524379 AWJ524379 BGF524379 BQB524379 BZX524379 CJT524379 CTP524379 DDL524379 DNH524379 DXD524379 EGZ524379 EQV524379 FAR524379 FKN524379 FUJ524379 GEF524379 GOB524379 GXX524379 HHT524379 HRP524379 IBL524379 ILH524379 IVD524379 JEZ524379 JOV524379 JYR524379 KIN524379 KSJ524379 LCF524379 LMB524379 LVX524379 MFT524379 MPP524379 MZL524379 NJH524379 NTD524379 OCZ524379 OMV524379 OWR524379 PGN524379 PQJ524379 QAF524379 QKB524379 QTX524379 RDT524379 RNP524379 RXL524379 SHH524379 SRD524379 TAZ524379 TKV524379 TUR524379 UEN524379 UOJ524379 UYF524379 VIB524379 VRX524379 WBT524379 WLP524379 WVL524379 D589915 IZ589915 SV589915 ACR589915 AMN589915 AWJ589915 BGF589915 BQB589915 BZX589915 CJT589915 CTP589915 DDL589915 DNH589915 DXD589915 EGZ589915 EQV589915 FAR589915 FKN589915 FUJ589915 GEF589915 GOB589915 GXX589915 HHT589915 HRP589915 IBL589915 ILH589915 IVD589915 JEZ589915 JOV589915 JYR589915 KIN589915 KSJ589915 LCF589915 LMB589915 LVX589915 MFT589915 MPP589915 MZL589915 NJH589915 NTD589915 OCZ589915 OMV589915 OWR589915 PGN589915 PQJ589915 QAF589915 QKB589915 QTX589915 RDT589915 RNP589915 RXL589915 SHH589915 SRD589915 TAZ589915 TKV589915 TUR589915 UEN589915 UOJ589915 UYF589915 VIB589915 VRX589915 WBT589915 WLP589915 WVL589915 D655451 IZ655451 SV655451 ACR655451 AMN655451 AWJ655451 BGF655451 BQB655451 BZX655451 CJT655451 CTP655451 DDL655451 DNH655451 DXD655451 EGZ655451 EQV655451 FAR655451 FKN655451 FUJ655451 GEF655451 GOB655451 GXX655451 HHT655451 HRP655451 IBL655451 ILH655451 IVD655451 JEZ655451 JOV655451 JYR655451 KIN655451 KSJ655451 LCF655451 LMB655451 LVX655451 MFT655451 MPP655451 MZL655451 NJH655451 NTD655451 OCZ655451 OMV655451 OWR655451 PGN655451 PQJ655451 QAF655451 QKB655451 QTX655451 RDT655451 RNP655451 RXL655451 SHH655451 SRD655451 TAZ655451 TKV655451 TUR655451 UEN655451 UOJ655451 UYF655451 VIB655451 VRX655451 WBT655451 WLP655451 WVL655451 D720987 IZ720987 SV720987 ACR720987 AMN720987 AWJ720987 BGF720987 BQB720987 BZX720987 CJT720987 CTP720987 DDL720987 DNH720987 DXD720987 EGZ720987 EQV720987 FAR720987 FKN720987 FUJ720987 GEF720987 GOB720987 GXX720987 HHT720987 HRP720987 IBL720987 ILH720987 IVD720987 JEZ720987 JOV720987 JYR720987 KIN720987 KSJ720987 LCF720987 LMB720987 LVX720987 MFT720987 MPP720987 MZL720987 NJH720987 NTD720987 OCZ720987 OMV720987 OWR720987 PGN720987 PQJ720987 QAF720987 QKB720987 QTX720987 RDT720987 RNP720987 RXL720987 SHH720987 SRD720987 TAZ720987 TKV720987 TUR720987 UEN720987 UOJ720987 UYF720987 VIB720987 VRX720987 WBT720987 WLP720987 WVL720987 D786523 IZ786523 SV786523 ACR786523 AMN786523 AWJ786523 BGF786523 BQB786523 BZX786523 CJT786523 CTP786523 DDL786523 DNH786523 DXD786523 EGZ786523 EQV786523 FAR786523 FKN786523 FUJ786523 GEF786523 GOB786523 GXX786523 HHT786523 HRP786523 IBL786523 ILH786523 IVD786523 JEZ786523 JOV786523 JYR786523 KIN786523 KSJ786523 LCF786523 LMB786523 LVX786523 MFT786523 MPP786523 MZL786523 NJH786523 NTD786523 OCZ786523 OMV786523 OWR786523 PGN786523 PQJ786523 QAF786523 QKB786523 QTX786523 RDT786523 RNP786523 RXL786523 SHH786523 SRD786523 TAZ786523 TKV786523 TUR786523 UEN786523 UOJ786523 UYF786523 VIB786523 VRX786523 WBT786523 WLP786523 WVL786523 D852059 IZ852059 SV852059 ACR852059 AMN852059 AWJ852059 BGF852059 BQB852059 BZX852059 CJT852059 CTP852059 DDL852059 DNH852059 DXD852059 EGZ852059 EQV852059 FAR852059 FKN852059 FUJ852059 GEF852059 GOB852059 GXX852059 HHT852059 HRP852059 IBL852059 ILH852059 IVD852059 JEZ852059 JOV852059 JYR852059 KIN852059 KSJ852059 LCF852059 LMB852059 LVX852059 MFT852059 MPP852059 MZL852059 NJH852059 NTD852059 OCZ852059 OMV852059 OWR852059 PGN852059 PQJ852059 QAF852059 QKB852059 QTX852059 RDT852059 RNP852059 RXL852059 SHH852059 SRD852059 TAZ852059 TKV852059 TUR852059 UEN852059 UOJ852059 UYF852059 VIB852059 VRX852059 WBT852059 WLP852059 WVL852059 D917595 IZ917595 SV917595 ACR917595 AMN917595 AWJ917595 BGF917595 BQB917595 BZX917595 CJT917595 CTP917595 DDL917595 DNH917595 DXD917595 EGZ917595 EQV917595 FAR917595 FKN917595 FUJ917595 GEF917595 GOB917595 GXX917595 HHT917595 HRP917595 IBL917595 ILH917595 IVD917595 JEZ917595 JOV917595 JYR917595 KIN917595 KSJ917595 LCF917595 LMB917595 LVX917595 MFT917595 MPP917595 MZL917595 NJH917595 NTD917595 OCZ917595 OMV917595 OWR917595 PGN917595 PQJ917595 QAF917595 QKB917595 QTX917595 RDT917595 RNP917595 RXL917595 SHH917595 SRD917595 TAZ917595 TKV917595 TUR917595 UEN917595 UOJ917595 UYF917595 VIB917595 VRX917595 WBT917595 WLP917595 WVL917595 D983131 IZ983131 SV983131 ACR983131 AMN983131 AWJ983131 BGF983131 BQB983131 BZX983131 CJT983131 CTP983131 DDL983131 DNH983131 DXD983131 EGZ983131 EQV983131 FAR983131 FKN983131 FUJ983131 GEF983131 GOB983131 GXX983131 HHT983131 HRP983131 IBL983131 ILH983131 IVD983131 JEZ983131 JOV983131 JYR983131 KIN983131 KSJ983131 LCF983131 LMB983131 LVX983131 MFT983131 MPP983131 MZL983131 NJH983131 NTD983131 OCZ983131 OMV983131 OWR983131 PGN983131 PQJ983131 QAF983131 QKB983131 QTX983131 RDT983131 RNP983131 RXL983131 SHH983131 SRD983131 TAZ983131 TKV983131 TUR983131 UEN983131 UOJ983131 UYF983131 VIB983131 VRX983131 WBT983131 WLP983131 WVL983131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1 IZ65581 SV65581 ACR65581 AMN65581 AWJ65581 BGF65581 BQB65581 BZX65581 CJT65581 CTP65581 DDL65581 DNH65581 DXD65581 EGZ65581 EQV65581 FAR65581 FKN65581 FUJ65581 GEF65581 GOB65581 GXX65581 HHT65581 HRP65581 IBL65581 ILH65581 IVD65581 JEZ65581 JOV65581 JYR65581 KIN65581 KSJ65581 LCF65581 LMB65581 LVX65581 MFT65581 MPP65581 MZL65581 NJH65581 NTD65581 OCZ65581 OMV65581 OWR65581 PGN65581 PQJ65581 QAF65581 QKB65581 QTX65581 RDT65581 RNP65581 RXL65581 SHH65581 SRD65581 TAZ65581 TKV65581 TUR65581 UEN65581 UOJ65581 UYF65581 VIB65581 VRX65581 WBT65581 WLP65581 WVL65581 D131117 IZ131117 SV131117 ACR131117 AMN131117 AWJ131117 BGF131117 BQB131117 BZX131117 CJT131117 CTP131117 DDL131117 DNH131117 DXD131117 EGZ131117 EQV131117 FAR131117 FKN131117 FUJ131117 GEF131117 GOB131117 GXX131117 HHT131117 HRP131117 IBL131117 ILH131117 IVD131117 JEZ131117 JOV131117 JYR131117 KIN131117 KSJ131117 LCF131117 LMB131117 LVX131117 MFT131117 MPP131117 MZL131117 NJH131117 NTD131117 OCZ131117 OMV131117 OWR131117 PGN131117 PQJ131117 QAF131117 QKB131117 QTX131117 RDT131117 RNP131117 RXL131117 SHH131117 SRD131117 TAZ131117 TKV131117 TUR131117 UEN131117 UOJ131117 UYF131117 VIB131117 VRX131117 WBT131117 WLP131117 WVL131117 D196653 IZ196653 SV196653 ACR196653 AMN196653 AWJ196653 BGF196653 BQB196653 BZX196653 CJT196653 CTP196653 DDL196653 DNH196653 DXD196653 EGZ196653 EQV196653 FAR196653 FKN196653 FUJ196653 GEF196653 GOB196653 GXX196653 HHT196653 HRP196653 IBL196653 ILH196653 IVD196653 JEZ196653 JOV196653 JYR196653 KIN196653 KSJ196653 LCF196653 LMB196653 LVX196653 MFT196653 MPP196653 MZL196653 NJH196653 NTD196653 OCZ196653 OMV196653 OWR196653 PGN196653 PQJ196653 QAF196653 QKB196653 QTX196653 RDT196653 RNP196653 RXL196653 SHH196653 SRD196653 TAZ196653 TKV196653 TUR196653 UEN196653 UOJ196653 UYF196653 VIB196653 VRX196653 WBT196653 WLP196653 WVL196653 D262189 IZ262189 SV262189 ACR262189 AMN262189 AWJ262189 BGF262189 BQB262189 BZX262189 CJT262189 CTP262189 DDL262189 DNH262189 DXD262189 EGZ262189 EQV262189 FAR262189 FKN262189 FUJ262189 GEF262189 GOB262189 GXX262189 HHT262189 HRP262189 IBL262189 ILH262189 IVD262189 JEZ262189 JOV262189 JYR262189 KIN262189 KSJ262189 LCF262189 LMB262189 LVX262189 MFT262189 MPP262189 MZL262189 NJH262189 NTD262189 OCZ262189 OMV262189 OWR262189 PGN262189 PQJ262189 QAF262189 QKB262189 QTX262189 RDT262189 RNP262189 RXL262189 SHH262189 SRD262189 TAZ262189 TKV262189 TUR262189 UEN262189 UOJ262189 UYF262189 VIB262189 VRX262189 WBT262189 WLP262189 WVL262189 D327725 IZ327725 SV327725 ACR327725 AMN327725 AWJ327725 BGF327725 BQB327725 BZX327725 CJT327725 CTP327725 DDL327725 DNH327725 DXD327725 EGZ327725 EQV327725 FAR327725 FKN327725 FUJ327725 GEF327725 GOB327725 GXX327725 HHT327725 HRP327725 IBL327725 ILH327725 IVD327725 JEZ327725 JOV327725 JYR327725 KIN327725 KSJ327725 LCF327725 LMB327725 LVX327725 MFT327725 MPP327725 MZL327725 NJH327725 NTD327725 OCZ327725 OMV327725 OWR327725 PGN327725 PQJ327725 QAF327725 QKB327725 QTX327725 RDT327725 RNP327725 RXL327725 SHH327725 SRD327725 TAZ327725 TKV327725 TUR327725 UEN327725 UOJ327725 UYF327725 VIB327725 VRX327725 WBT327725 WLP327725 WVL327725 D393261 IZ393261 SV393261 ACR393261 AMN393261 AWJ393261 BGF393261 BQB393261 BZX393261 CJT393261 CTP393261 DDL393261 DNH393261 DXD393261 EGZ393261 EQV393261 FAR393261 FKN393261 FUJ393261 GEF393261 GOB393261 GXX393261 HHT393261 HRP393261 IBL393261 ILH393261 IVD393261 JEZ393261 JOV393261 JYR393261 KIN393261 KSJ393261 LCF393261 LMB393261 LVX393261 MFT393261 MPP393261 MZL393261 NJH393261 NTD393261 OCZ393261 OMV393261 OWR393261 PGN393261 PQJ393261 QAF393261 QKB393261 QTX393261 RDT393261 RNP393261 RXL393261 SHH393261 SRD393261 TAZ393261 TKV393261 TUR393261 UEN393261 UOJ393261 UYF393261 VIB393261 VRX393261 WBT393261 WLP393261 WVL393261 D458797 IZ458797 SV458797 ACR458797 AMN458797 AWJ458797 BGF458797 BQB458797 BZX458797 CJT458797 CTP458797 DDL458797 DNH458797 DXD458797 EGZ458797 EQV458797 FAR458797 FKN458797 FUJ458797 GEF458797 GOB458797 GXX458797 HHT458797 HRP458797 IBL458797 ILH458797 IVD458797 JEZ458797 JOV458797 JYR458797 KIN458797 KSJ458797 LCF458797 LMB458797 LVX458797 MFT458797 MPP458797 MZL458797 NJH458797 NTD458797 OCZ458797 OMV458797 OWR458797 PGN458797 PQJ458797 QAF458797 QKB458797 QTX458797 RDT458797 RNP458797 RXL458797 SHH458797 SRD458797 TAZ458797 TKV458797 TUR458797 UEN458797 UOJ458797 UYF458797 VIB458797 VRX458797 WBT458797 WLP458797 WVL458797 D524333 IZ524333 SV524333 ACR524333 AMN524333 AWJ524333 BGF524333 BQB524333 BZX524333 CJT524333 CTP524333 DDL524333 DNH524333 DXD524333 EGZ524333 EQV524333 FAR524333 FKN524333 FUJ524333 GEF524333 GOB524333 GXX524333 HHT524333 HRP524333 IBL524333 ILH524333 IVD524333 JEZ524333 JOV524333 JYR524333 KIN524333 KSJ524333 LCF524333 LMB524333 LVX524333 MFT524333 MPP524333 MZL524333 NJH524333 NTD524333 OCZ524333 OMV524333 OWR524333 PGN524333 PQJ524333 QAF524333 QKB524333 QTX524333 RDT524333 RNP524333 RXL524333 SHH524333 SRD524333 TAZ524333 TKV524333 TUR524333 UEN524333 UOJ524333 UYF524333 VIB524333 VRX524333 WBT524333 WLP524333 WVL524333 D589869 IZ589869 SV589869 ACR589869 AMN589869 AWJ589869 BGF589869 BQB589869 BZX589869 CJT589869 CTP589869 DDL589869 DNH589869 DXD589869 EGZ589869 EQV589869 FAR589869 FKN589869 FUJ589869 GEF589869 GOB589869 GXX589869 HHT589869 HRP589869 IBL589869 ILH589869 IVD589869 JEZ589869 JOV589869 JYR589869 KIN589869 KSJ589869 LCF589869 LMB589869 LVX589869 MFT589869 MPP589869 MZL589869 NJH589869 NTD589869 OCZ589869 OMV589869 OWR589869 PGN589869 PQJ589869 QAF589869 QKB589869 QTX589869 RDT589869 RNP589869 RXL589869 SHH589869 SRD589869 TAZ589869 TKV589869 TUR589869 UEN589869 UOJ589869 UYF589869 VIB589869 VRX589869 WBT589869 WLP589869 WVL589869 D655405 IZ655405 SV655405 ACR655405 AMN655405 AWJ655405 BGF655405 BQB655405 BZX655405 CJT655405 CTP655405 DDL655405 DNH655405 DXD655405 EGZ655405 EQV655405 FAR655405 FKN655405 FUJ655405 GEF655405 GOB655405 GXX655405 HHT655405 HRP655405 IBL655405 ILH655405 IVD655405 JEZ655405 JOV655405 JYR655405 KIN655405 KSJ655405 LCF655405 LMB655405 LVX655405 MFT655405 MPP655405 MZL655405 NJH655405 NTD655405 OCZ655405 OMV655405 OWR655405 PGN655405 PQJ655405 QAF655405 QKB655405 QTX655405 RDT655405 RNP655405 RXL655405 SHH655405 SRD655405 TAZ655405 TKV655405 TUR655405 UEN655405 UOJ655405 UYF655405 VIB655405 VRX655405 WBT655405 WLP655405 WVL655405 D720941 IZ720941 SV720941 ACR720941 AMN720941 AWJ720941 BGF720941 BQB720941 BZX720941 CJT720941 CTP720941 DDL720941 DNH720941 DXD720941 EGZ720941 EQV720941 FAR720941 FKN720941 FUJ720941 GEF720941 GOB720941 GXX720941 HHT720941 HRP720941 IBL720941 ILH720941 IVD720941 JEZ720941 JOV720941 JYR720941 KIN720941 KSJ720941 LCF720941 LMB720941 LVX720941 MFT720941 MPP720941 MZL720941 NJH720941 NTD720941 OCZ720941 OMV720941 OWR720941 PGN720941 PQJ720941 QAF720941 QKB720941 QTX720941 RDT720941 RNP720941 RXL720941 SHH720941 SRD720941 TAZ720941 TKV720941 TUR720941 UEN720941 UOJ720941 UYF720941 VIB720941 VRX720941 WBT720941 WLP720941 WVL720941 D786477 IZ786477 SV786477 ACR786477 AMN786477 AWJ786477 BGF786477 BQB786477 BZX786477 CJT786477 CTP786477 DDL786477 DNH786477 DXD786477 EGZ786477 EQV786477 FAR786477 FKN786477 FUJ786477 GEF786477 GOB786477 GXX786477 HHT786477 HRP786477 IBL786477 ILH786477 IVD786477 JEZ786477 JOV786477 JYR786477 KIN786477 KSJ786477 LCF786477 LMB786477 LVX786477 MFT786477 MPP786477 MZL786477 NJH786477 NTD786477 OCZ786477 OMV786477 OWR786477 PGN786477 PQJ786477 QAF786477 QKB786477 QTX786477 RDT786477 RNP786477 RXL786477 SHH786477 SRD786477 TAZ786477 TKV786477 TUR786477 UEN786477 UOJ786477 UYF786477 VIB786477 VRX786477 WBT786477 WLP786477 WVL786477 D852013 IZ852013 SV852013 ACR852013 AMN852013 AWJ852013 BGF852013 BQB852013 BZX852013 CJT852013 CTP852013 DDL852013 DNH852013 DXD852013 EGZ852013 EQV852013 FAR852013 FKN852013 FUJ852013 GEF852013 GOB852013 GXX852013 HHT852013 HRP852013 IBL852013 ILH852013 IVD852013 JEZ852013 JOV852013 JYR852013 KIN852013 KSJ852013 LCF852013 LMB852013 LVX852013 MFT852013 MPP852013 MZL852013 NJH852013 NTD852013 OCZ852013 OMV852013 OWR852013 PGN852013 PQJ852013 QAF852013 QKB852013 QTX852013 RDT852013 RNP852013 RXL852013 SHH852013 SRD852013 TAZ852013 TKV852013 TUR852013 UEN852013 UOJ852013 UYF852013 VIB852013 VRX852013 WBT852013 WLP852013 WVL852013 D917549 IZ917549 SV917549 ACR917549 AMN917549 AWJ917549 BGF917549 BQB917549 BZX917549 CJT917549 CTP917549 DDL917549 DNH917549 DXD917549 EGZ917549 EQV917549 FAR917549 FKN917549 FUJ917549 GEF917549 GOB917549 GXX917549 HHT917549 HRP917549 IBL917549 ILH917549 IVD917549 JEZ917549 JOV917549 JYR917549 KIN917549 KSJ917549 LCF917549 LMB917549 LVX917549 MFT917549 MPP917549 MZL917549 NJH917549 NTD917549 OCZ917549 OMV917549 OWR917549 PGN917549 PQJ917549 QAF917549 QKB917549 QTX917549 RDT917549 RNP917549 RXL917549 SHH917549 SRD917549 TAZ917549 TKV917549 TUR917549 UEN917549 UOJ917549 UYF917549 VIB917549 VRX917549 WBT917549 WLP917549 WVL917549 D983085 IZ983085 SV983085 ACR983085 AMN983085 AWJ983085 BGF983085 BQB983085 BZX983085 CJT983085 CTP983085 DDL983085 DNH983085 DXD983085 EGZ983085 EQV983085 FAR983085 FKN983085 FUJ983085 GEF983085 GOB983085 GXX983085 HHT983085 HRP983085 IBL983085 ILH983085 IVD983085 JEZ983085 JOV983085 JYR983085 KIN983085 KSJ983085 LCF983085 LMB983085 LVX983085 MFT983085 MPP983085 MZL983085 NJH983085 NTD983085 OCZ983085 OMV983085 OWR983085 PGN983085 PQJ983085 QAF983085 QKB983085 QTX983085 RDT983085 RNP983085 RXL983085 SHH983085 SRD983085 TAZ983085 TKV983085 TUR983085 UEN983085 UOJ983085 UYF983085 VIB983085 VRX983085 WBT983085 WLP983085 WVL983085" xr:uid="{4B860721-68C5-4D3D-9851-14F96AD54CA9}">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9" max="21" man="1"/>
  </rowBreaks>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codeName="Sheet39">
    <tabColor rgb="FF99CCFF"/>
  </sheetPr>
  <dimension ref="A1:Y45"/>
  <sheetViews>
    <sheetView topLeftCell="A4" zoomScale="85" zoomScaleNormal="85"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1038</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180"/>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81"/>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codeName="Sheet40">
    <tabColor rgb="FFFFFF00"/>
  </sheetPr>
  <dimension ref="A1:AC464"/>
  <sheetViews>
    <sheetView showZeros="0" view="pageBreakPreview" topLeftCell="A43" zoomScale="115" zoomScaleNormal="100" zoomScaleSheetLayoutView="115" workbookViewId="0">
      <selection activeCell="V89" sqref="V89"/>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7"/>
      <c r="X1" s="7"/>
    </row>
    <row r="2" spans="1:29"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7"/>
      <c r="X2" s="7"/>
    </row>
    <row r="3" spans="1:29"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7"/>
      <c r="X3" s="7"/>
    </row>
    <row r="4" spans="1:29"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7"/>
      <c r="X4" s="7"/>
    </row>
    <row r="5" spans="1:29" ht="18" customHeight="1">
      <c r="A5" s="880" t="str">
        <f>Title!A5</f>
        <v>Prep. By</v>
      </c>
      <c r="B5" s="943"/>
      <c r="C5" s="25" t="str">
        <f>Title!C5</f>
        <v>AP</v>
      </c>
      <c r="D5" s="880" t="str">
        <f>Title!D5</f>
        <v>Checked By</v>
      </c>
      <c r="E5" s="881"/>
      <c r="F5" s="943"/>
      <c r="G5" s="25" t="str">
        <f>Title!G5</f>
        <v>RB</v>
      </c>
      <c r="H5" s="944" t="s">
        <v>900</v>
      </c>
      <c r="I5" s="945"/>
      <c r="J5" s="945"/>
      <c r="K5" s="945"/>
      <c r="L5" s="945"/>
      <c r="M5" s="945"/>
      <c r="N5" s="946"/>
      <c r="O5" s="947" t="str">
        <f>Title!O5</f>
        <v>Contractor</v>
      </c>
      <c r="P5" s="948"/>
      <c r="Q5" s="949"/>
      <c r="R5" s="775" t="str">
        <f>Title!R5</f>
        <v>HITACHI</v>
      </c>
      <c r="S5" s="1068"/>
      <c r="T5" s="1068"/>
      <c r="U5" s="1068"/>
      <c r="V5" s="776"/>
      <c r="W5" s="7"/>
      <c r="X5" s="7"/>
    </row>
    <row r="6" spans="1:29" ht="18" customHeight="1">
      <c r="A6" s="9"/>
      <c r="V6" s="10"/>
    </row>
    <row r="7" spans="1:29" ht="18" customHeight="1">
      <c r="A7" s="9"/>
      <c r="B7" s="1099" t="s">
        <v>108</v>
      </c>
      <c r="C7" s="1100"/>
      <c r="D7" s="1099" t="s">
        <v>385</v>
      </c>
      <c r="E7" s="1101"/>
      <c r="F7" s="689"/>
      <c r="G7" s="689"/>
      <c r="H7" s="689" t="s">
        <v>386</v>
      </c>
      <c r="I7" s="689"/>
      <c r="J7" s="689"/>
      <c r="K7" s="689"/>
      <c r="L7" s="689"/>
      <c r="M7" s="689"/>
      <c r="N7" s="689"/>
      <c r="S7" s="187" t="s">
        <v>387</v>
      </c>
      <c r="T7" s="781" t="s">
        <v>388</v>
      </c>
      <c r="U7" s="782"/>
      <c r="V7" s="10"/>
      <c r="W7" s="30" t="s">
        <v>389</v>
      </c>
    </row>
    <row r="8" spans="1:29" ht="18" customHeight="1">
      <c r="A8" s="9"/>
      <c r="B8" s="1097"/>
      <c r="C8" s="1098"/>
      <c r="D8" s="1102"/>
      <c r="E8" s="1103"/>
      <c r="T8" s="781"/>
      <c r="U8" s="782"/>
      <c r="V8" s="10"/>
    </row>
    <row r="9" spans="1:29" ht="18" customHeight="1">
      <c r="A9" s="9"/>
      <c r="H9" s="789" t="s">
        <v>390</v>
      </c>
      <c r="I9" s="789"/>
      <c r="J9" s="790" t="s">
        <v>391</v>
      </c>
      <c r="K9" s="790"/>
      <c r="L9" s="790" t="s">
        <v>392</v>
      </c>
      <c r="M9" s="790"/>
      <c r="T9" s="781"/>
      <c r="U9" s="782"/>
      <c r="V9" s="10"/>
    </row>
    <row r="10" spans="1:29" ht="18" customHeight="1">
      <c r="A10" s="9"/>
      <c r="B10" s="47" t="s">
        <v>393</v>
      </c>
      <c r="H10" s="791">
        <v>2500</v>
      </c>
      <c r="I10" s="792"/>
      <c r="J10" s="781" t="s">
        <v>6</v>
      </c>
      <c r="K10" s="782"/>
      <c r="L10" s="781" t="s">
        <v>6</v>
      </c>
      <c r="M10" s="782"/>
      <c r="N10" s="191" t="s">
        <v>342</v>
      </c>
      <c r="O10" s="125">
        <v>1</v>
      </c>
      <c r="P10" s="27" t="s">
        <v>8</v>
      </c>
      <c r="V10" s="10"/>
    </row>
    <row r="11" spans="1:29" ht="18" customHeight="1">
      <c r="A11" s="9"/>
      <c r="B11" s="47" t="s">
        <v>394</v>
      </c>
      <c r="H11" s="781" t="s">
        <v>815</v>
      </c>
      <c r="I11" s="782"/>
      <c r="V11" s="10"/>
    </row>
    <row r="12" spans="1:29" ht="18" customHeight="1">
      <c r="A12" s="9"/>
      <c r="B12" s="47" t="s">
        <v>396</v>
      </c>
      <c r="G12" s="120" t="s">
        <v>397</v>
      </c>
      <c r="H12" s="781">
        <v>5</v>
      </c>
      <c r="I12" s="782"/>
      <c r="J12" s="192" t="s">
        <v>333</v>
      </c>
      <c r="M12" s="14"/>
      <c r="V12" s="10"/>
    </row>
    <row r="13" spans="1:29" ht="18" customHeight="1">
      <c r="A13" s="9"/>
      <c r="B13" s="47" t="s">
        <v>398</v>
      </c>
      <c r="G13" s="120" t="s">
        <v>399</v>
      </c>
      <c r="H13" s="781">
        <v>3750</v>
      </c>
      <c r="I13" s="782"/>
      <c r="J13" s="14" t="s">
        <v>305</v>
      </c>
      <c r="V13" s="10"/>
      <c r="W13" s="30" t="s">
        <v>400</v>
      </c>
      <c r="AA13" s="30"/>
      <c r="AB13" s="785">
        <f>Q120</f>
        <v>262.1898082240229</v>
      </c>
      <c r="AC13" s="786"/>
    </row>
    <row r="14" spans="1:29" ht="18" customHeight="1">
      <c r="A14" s="9"/>
      <c r="B14" s="14" t="s">
        <v>401</v>
      </c>
      <c r="G14" s="120" t="s">
        <v>402</v>
      </c>
      <c r="H14" s="781">
        <v>60</v>
      </c>
      <c r="I14" s="782"/>
      <c r="J14" s="14" t="s">
        <v>403</v>
      </c>
      <c r="M14" s="14"/>
      <c r="V14" s="10"/>
    </row>
    <row r="15" spans="1:29" ht="18" customHeight="1">
      <c r="A15" s="9"/>
      <c r="V15" s="10"/>
    </row>
    <row r="16" spans="1:29" ht="18" customHeight="1">
      <c r="A16" s="116" t="s">
        <v>404</v>
      </c>
      <c r="V16" s="10"/>
    </row>
    <row r="17" spans="1:22" ht="18" customHeight="1">
      <c r="A17" s="9"/>
      <c r="V17" s="10"/>
    </row>
    <row r="18" spans="1:22" ht="18" customHeight="1">
      <c r="A18" s="9"/>
      <c r="B18" s="194" t="s">
        <v>405</v>
      </c>
      <c r="C18" s="195"/>
      <c r="D18" s="195" t="str">
        <f>T7</f>
        <v>RED670</v>
      </c>
      <c r="E18" s="423"/>
      <c r="F18" s="423"/>
      <c r="G18" s="423"/>
      <c r="H18" s="182" t="s">
        <v>406</v>
      </c>
      <c r="I18" s="183" t="s">
        <v>127</v>
      </c>
      <c r="J18" s="787">
        <f>'CT-VT Burdens'!Q104</f>
        <v>0.02</v>
      </c>
      <c r="K18" s="788"/>
      <c r="L18" s="202" t="s">
        <v>157</v>
      </c>
      <c r="N18" s="197" t="s">
        <v>407</v>
      </c>
      <c r="V18" s="10"/>
    </row>
    <row r="19" spans="1:22" ht="18" customHeight="1">
      <c r="A19" s="9"/>
      <c r="B19" s="184" t="s">
        <v>405</v>
      </c>
      <c r="D19" s="424">
        <f>T8</f>
        <v>0</v>
      </c>
      <c r="E19" s="14"/>
      <c r="I19" s="28" t="s">
        <v>127</v>
      </c>
      <c r="J19" s="787"/>
      <c r="K19" s="788"/>
      <c r="L19" s="297" t="s">
        <v>157</v>
      </c>
      <c r="N19" s="27" t="s">
        <v>408</v>
      </c>
      <c r="O19" s="27" t="s">
        <v>127</v>
      </c>
      <c r="P19" s="27" t="s">
        <v>409</v>
      </c>
      <c r="Q19" s="191" t="s">
        <v>410</v>
      </c>
      <c r="R19" s="27" t="s">
        <v>411</v>
      </c>
      <c r="S19" s="27" t="s">
        <v>315</v>
      </c>
      <c r="T19" s="27" t="s">
        <v>411</v>
      </c>
      <c r="U19" s="30" t="s">
        <v>350</v>
      </c>
      <c r="V19" s="10"/>
    </row>
    <row r="20" spans="1:22" ht="18" customHeight="1">
      <c r="A20" s="9"/>
      <c r="B20" s="184" t="s">
        <v>405</v>
      </c>
      <c r="D20" s="424"/>
      <c r="E20" s="14"/>
      <c r="G20" s="199"/>
      <c r="H20" s="425"/>
      <c r="I20" s="101" t="s">
        <v>127</v>
      </c>
      <c r="J20" s="787"/>
      <c r="K20" s="788"/>
      <c r="L20" s="426" t="s">
        <v>157</v>
      </c>
      <c r="O20" s="27" t="s">
        <v>127</v>
      </c>
      <c r="P20" s="204">
        <f>J22</f>
        <v>1.0970224400000002</v>
      </c>
      <c r="Q20" s="191" t="s">
        <v>410</v>
      </c>
      <c r="R20" s="27">
        <f>O10</f>
        <v>1</v>
      </c>
      <c r="S20" s="27" t="s">
        <v>315</v>
      </c>
      <c r="T20" s="27">
        <f>O10</f>
        <v>1</v>
      </c>
      <c r="U20" s="30" t="s">
        <v>350</v>
      </c>
      <c r="V20" s="10"/>
    </row>
    <row r="21" spans="1:22" ht="18" customHeight="1">
      <c r="A21" s="9"/>
      <c r="B21" s="184" t="s">
        <v>412</v>
      </c>
      <c r="H21" s="425"/>
      <c r="I21" s="427" t="s">
        <v>127</v>
      </c>
      <c r="J21" s="793">
        <f>'CT-VT Burdens'!S24</f>
        <v>1.0770224400000001</v>
      </c>
      <c r="K21" s="794"/>
      <c r="L21" s="426" t="s">
        <v>157</v>
      </c>
      <c r="O21" s="27" t="s">
        <v>127</v>
      </c>
      <c r="P21" s="795">
        <f>P20/(R20*T20)</f>
        <v>1.0970224400000002</v>
      </c>
      <c r="Q21" s="795"/>
      <c r="R21" s="192" t="s">
        <v>333</v>
      </c>
      <c r="V21" s="10"/>
    </row>
    <row r="22" spans="1:22" ht="18" customHeight="1">
      <c r="A22" s="9"/>
      <c r="B22" s="205" t="s">
        <v>413</v>
      </c>
      <c r="C22" s="206"/>
      <c r="D22" s="206"/>
      <c r="E22" s="206"/>
      <c r="F22" s="346"/>
      <c r="G22" s="346"/>
      <c r="H22" s="190" t="s">
        <v>409</v>
      </c>
      <c r="I22" s="208" t="s">
        <v>127</v>
      </c>
      <c r="J22" s="766">
        <f>SUM(J18:K21)</f>
        <v>1.0970224400000002</v>
      </c>
      <c r="K22" s="796"/>
      <c r="L22" s="428" t="s">
        <v>157</v>
      </c>
      <c r="V22" s="10"/>
    </row>
    <row r="23" spans="1:22" ht="18" customHeight="1">
      <c r="A23" s="9"/>
      <c r="V23" s="10"/>
    </row>
    <row r="24" spans="1:22" ht="18" customHeight="1">
      <c r="A24" s="116" t="s">
        <v>414</v>
      </c>
      <c r="V24" s="10"/>
    </row>
    <row r="25" spans="1:22" ht="18" customHeight="1">
      <c r="A25" s="678" t="s">
        <v>415</v>
      </c>
      <c r="B25" s="679"/>
      <c r="C25" s="679"/>
      <c r="D25" s="679"/>
      <c r="E25" s="679"/>
      <c r="F25" s="679"/>
      <c r="G25" s="679"/>
      <c r="H25" s="679"/>
      <c r="I25" s="679"/>
      <c r="J25" s="679"/>
      <c r="K25" s="679"/>
      <c r="L25" s="679"/>
      <c r="M25" s="679"/>
      <c r="N25" s="679"/>
      <c r="O25" s="679"/>
      <c r="P25" s="679"/>
      <c r="Q25" s="679"/>
      <c r="R25" s="679"/>
      <c r="S25" s="679"/>
      <c r="T25" s="679"/>
      <c r="U25" s="679"/>
      <c r="V25" s="680"/>
    </row>
    <row r="26" spans="1:22" ht="18" customHeight="1">
      <c r="A26" s="678"/>
      <c r="B26" s="679"/>
      <c r="C26" s="679"/>
      <c r="D26" s="679"/>
      <c r="E26" s="679"/>
      <c r="F26" s="679"/>
      <c r="G26" s="679"/>
      <c r="H26" s="679"/>
      <c r="I26" s="679"/>
      <c r="J26" s="679"/>
      <c r="K26" s="679"/>
      <c r="L26" s="679"/>
      <c r="M26" s="679"/>
      <c r="N26" s="679"/>
      <c r="O26" s="679"/>
      <c r="P26" s="679"/>
      <c r="Q26" s="679"/>
      <c r="R26" s="679"/>
      <c r="S26" s="679"/>
      <c r="T26" s="679"/>
      <c r="U26" s="679"/>
      <c r="V26" s="680"/>
    </row>
    <row r="27" spans="1:22" ht="18" customHeight="1">
      <c r="A27" s="193" t="s">
        <v>416</v>
      </c>
      <c r="V27" s="10"/>
    </row>
    <row r="28" spans="1:22" ht="18" customHeight="1">
      <c r="A28" s="799" t="s">
        <v>417</v>
      </c>
      <c r="B28" s="800"/>
      <c r="C28" s="800"/>
      <c r="D28" s="14"/>
      <c r="E28" s="7"/>
      <c r="F28" s="802" t="s">
        <v>418</v>
      </c>
      <c r="G28" s="804"/>
      <c r="H28" s="689" t="s">
        <v>315</v>
      </c>
      <c r="I28" s="708" t="s">
        <v>411</v>
      </c>
      <c r="J28" s="803"/>
      <c r="K28" s="689" t="s">
        <v>315</v>
      </c>
      <c r="L28" s="802" t="s">
        <v>419</v>
      </c>
      <c r="M28" s="689" t="s">
        <v>420</v>
      </c>
      <c r="N28" s="729" t="s">
        <v>347</v>
      </c>
      <c r="O28" s="689" t="s">
        <v>408</v>
      </c>
      <c r="P28" s="689" t="s">
        <v>347</v>
      </c>
      <c r="Q28" s="759" t="s">
        <v>421</v>
      </c>
      <c r="R28" s="797"/>
      <c r="S28" s="797"/>
      <c r="T28" s="798" t="s">
        <v>350</v>
      </c>
      <c r="U28" s="230" t="s">
        <v>422</v>
      </c>
      <c r="V28" s="112"/>
    </row>
    <row r="29" spans="1:22" ht="18" customHeight="1">
      <c r="A29" s="801"/>
      <c r="B29" s="800"/>
      <c r="C29" s="800"/>
      <c r="D29" s="14"/>
      <c r="E29" s="7"/>
      <c r="F29" s="804"/>
      <c r="G29" s="804"/>
      <c r="H29" s="689"/>
      <c r="I29" s="689" t="s">
        <v>423</v>
      </c>
      <c r="J29" s="804"/>
      <c r="K29" s="689"/>
      <c r="L29" s="802"/>
      <c r="M29" s="689"/>
      <c r="N29" s="729"/>
      <c r="O29" s="689"/>
      <c r="P29" s="689"/>
      <c r="Q29" s="28" t="s">
        <v>146</v>
      </c>
      <c r="R29" s="28" t="s">
        <v>315</v>
      </c>
      <c r="S29" s="28" t="s">
        <v>146</v>
      </c>
      <c r="T29" s="798"/>
      <c r="U29" s="7"/>
      <c r="V29" s="112"/>
    </row>
    <row r="30" spans="1:22" ht="18" customHeight="1">
      <c r="A30" s="193" t="s">
        <v>424</v>
      </c>
      <c r="L30" s="429"/>
      <c r="M30" s="425"/>
      <c r="O30" s="425"/>
      <c r="V30" s="10"/>
    </row>
    <row r="31" spans="1:22" ht="18" customHeight="1">
      <c r="A31" s="799" t="s">
        <v>417</v>
      </c>
      <c r="B31" s="800"/>
      <c r="C31" s="800"/>
      <c r="D31" s="689">
        <v>2</v>
      </c>
      <c r="E31" s="689" t="s">
        <v>315</v>
      </c>
      <c r="F31" s="802" t="s">
        <v>425</v>
      </c>
      <c r="G31" s="804"/>
      <c r="H31" s="689" t="s">
        <v>315</v>
      </c>
      <c r="I31" s="708" t="s">
        <v>411</v>
      </c>
      <c r="J31" s="803"/>
      <c r="K31" s="689" t="s">
        <v>315</v>
      </c>
      <c r="L31" s="802" t="s">
        <v>419</v>
      </c>
      <c r="M31" s="689" t="s">
        <v>420</v>
      </c>
      <c r="N31" s="729" t="s">
        <v>347</v>
      </c>
      <c r="O31" s="689" t="s">
        <v>408</v>
      </c>
      <c r="P31" s="689" t="s">
        <v>347</v>
      </c>
      <c r="Q31" s="759" t="s">
        <v>421</v>
      </c>
      <c r="R31" s="797"/>
      <c r="S31" s="797"/>
      <c r="T31" s="798" t="s">
        <v>350</v>
      </c>
      <c r="U31" s="230" t="s">
        <v>426</v>
      </c>
      <c r="V31" s="112"/>
    </row>
    <row r="32" spans="1:22" ht="18" customHeight="1">
      <c r="A32" s="801"/>
      <c r="B32" s="800"/>
      <c r="C32" s="800"/>
      <c r="D32" s="689"/>
      <c r="E32" s="689"/>
      <c r="F32" s="804"/>
      <c r="G32" s="804"/>
      <c r="H32" s="689"/>
      <c r="I32" s="689" t="s">
        <v>423</v>
      </c>
      <c r="J32" s="804"/>
      <c r="K32" s="689"/>
      <c r="L32" s="802"/>
      <c r="M32" s="689"/>
      <c r="N32" s="729"/>
      <c r="O32" s="689"/>
      <c r="P32" s="689"/>
      <c r="Q32" s="28" t="s">
        <v>146</v>
      </c>
      <c r="R32" s="28" t="s">
        <v>315</v>
      </c>
      <c r="S32" s="28" t="s">
        <v>146</v>
      </c>
      <c r="T32" s="798"/>
      <c r="U32" s="7"/>
      <c r="V32" s="112"/>
    </row>
    <row r="33" spans="1:22" ht="18" customHeight="1">
      <c r="A33" s="9"/>
      <c r="V33" s="10"/>
    </row>
    <row r="34" spans="1:22" ht="18" customHeight="1">
      <c r="A34" s="9"/>
      <c r="B34" s="14" t="s">
        <v>427</v>
      </c>
      <c r="C34" s="14"/>
      <c r="D34" s="103"/>
      <c r="E34" s="103"/>
      <c r="F34" s="14"/>
      <c r="G34" s="14"/>
      <c r="H34" s="5"/>
      <c r="I34" s="5"/>
      <c r="J34" s="5"/>
      <c r="P34" s="120" t="s">
        <v>428</v>
      </c>
      <c r="V34" s="10"/>
    </row>
    <row r="35" spans="1:22" ht="18" customHeight="1">
      <c r="A35" s="9"/>
      <c r="B35" s="14" t="s">
        <v>429</v>
      </c>
      <c r="C35" s="14"/>
      <c r="D35" s="103"/>
      <c r="E35" s="103"/>
      <c r="F35" s="14"/>
      <c r="G35" s="14"/>
      <c r="H35" s="5"/>
      <c r="I35" s="5"/>
      <c r="J35" s="5"/>
      <c r="P35" s="120" t="s">
        <v>430</v>
      </c>
      <c r="Q35" s="234" t="s">
        <v>127</v>
      </c>
      <c r="R35" s="684">
        <f>H10</f>
        <v>2500</v>
      </c>
      <c r="S35" s="684"/>
      <c r="T35" s="14" t="s">
        <v>8</v>
      </c>
      <c r="V35" s="10"/>
    </row>
    <row r="36" spans="1:22" ht="18" customHeight="1">
      <c r="A36" s="9"/>
      <c r="B36" s="14" t="s">
        <v>431</v>
      </c>
      <c r="C36" s="14"/>
      <c r="D36" s="14"/>
      <c r="E36" s="14"/>
      <c r="F36" s="14"/>
      <c r="G36" s="14"/>
      <c r="H36" s="14"/>
      <c r="I36" s="14"/>
      <c r="J36" s="14"/>
      <c r="P36" s="120" t="s">
        <v>418</v>
      </c>
      <c r="Q36" s="234" t="s">
        <v>127</v>
      </c>
      <c r="R36" s="684">
        <f>'Parameters &amp; Fault Cal. (4)'!Q32</f>
        <v>50000</v>
      </c>
      <c r="S36" s="684"/>
      <c r="T36" s="14" t="s">
        <v>8</v>
      </c>
      <c r="V36" s="10"/>
    </row>
    <row r="37" spans="1:22" ht="18" customHeight="1">
      <c r="A37" s="9"/>
      <c r="B37" s="14" t="s">
        <v>432</v>
      </c>
      <c r="C37" s="14"/>
      <c r="D37" s="14"/>
      <c r="E37" s="14"/>
      <c r="F37" s="14"/>
      <c r="G37" s="14"/>
      <c r="H37" s="14"/>
      <c r="I37" s="14"/>
      <c r="J37" s="14"/>
      <c r="P37" s="120" t="s">
        <v>425</v>
      </c>
      <c r="Q37" s="234" t="s">
        <v>127</v>
      </c>
      <c r="R37" s="713">
        <f>'Parameters &amp; Fault Cal. (4)'!M71</f>
        <v>42229.804278926844</v>
      </c>
      <c r="S37" s="684"/>
      <c r="T37" s="14" t="s">
        <v>8</v>
      </c>
      <c r="U37" s="30" t="s">
        <v>433</v>
      </c>
      <c r="V37" s="10"/>
    </row>
    <row r="38" spans="1:22" ht="18" customHeight="1">
      <c r="A38" s="9"/>
      <c r="B38" s="14"/>
      <c r="C38" s="14"/>
      <c r="D38" s="14"/>
      <c r="E38" s="14"/>
      <c r="F38" s="14"/>
      <c r="G38" s="14"/>
      <c r="H38" s="14"/>
      <c r="I38" s="14"/>
      <c r="J38" s="14"/>
      <c r="P38" s="120"/>
      <c r="Q38" s="234" t="s">
        <v>127</v>
      </c>
      <c r="R38" s="713">
        <f>'Parameters &amp; Fault Cal. (4)'!M92</f>
        <v>43475.278268251794</v>
      </c>
      <c r="S38" s="684"/>
      <c r="T38" s="14" t="s">
        <v>8</v>
      </c>
      <c r="U38" s="30" t="s">
        <v>434</v>
      </c>
      <c r="V38" s="10"/>
    </row>
    <row r="39" spans="1:22" ht="18" customHeight="1">
      <c r="A39" s="9"/>
      <c r="B39" s="14" t="s">
        <v>435</v>
      </c>
      <c r="C39" s="14"/>
      <c r="D39" s="103"/>
      <c r="E39" s="103"/>
      <c r="F39" s="14"/>
      <c r="G39" s="14"/>
      <c r="H39" s="5"/>
      <c r="I39" s="5"/>
      <c r="J39" s="5"/>
      <c r="P39" s="120" t="s">
        <v>436</v>
      </c>
      <c r="Q39" s="234" t="s">
        <v>127</v>
      </c>
      <c r="R39" s="684">
        <f>'CT-VT Burdens'!S17</f>
        <v>1</v>
      </c>
      <c r="S39" s="684"/>
      <c r="T39" s="14" t="s">
        <v>8</v>
      </c>
      <c r="V39" s="10"/>
    </row>
    <row r="40" spans="1:22" ht="18" customHeight="1">
      <c r="A40" s="9"/>
      <c r="B40" s="14" t="s">
        <v>437</v>
      </c>
      <c r="C40" s="14"/>
      <c r="D40" s="103"/>
      <c r="E40" s="103"/>
      <c r="F40" s="14"/>
      <c r="G40" s="14"/>
      <c r="H40" s="5"/>
      <c r="I40" s="5"/>
      <c r="J40" s="5"/>
      <c r="P40" s="120" t="s">
        <v>438</v>
      </c>
      <c r="Q40" s="234" t="s">
        <v>127</v>
      </c>
      <c r="R40" s="684">
        <f>'CT-VT Burdens'!S18</f>
        <v>1</v>
      </c>
      <c r="S40" s="684"/>
      <c r="T40" s="14" t="s">
        <v>8</v>
      </c>
      <c r="V40" s="10"/>
    </row>
    <row r="41" spans="1:22" ht="18" customHeight="1">
      <c r="A41" s="9"/>
      <c r="B41" s="14" t="s">
        <v>439</v>
      </c>
      <c r="C41" s="14"/>
      <c r="D41" s="103"/>
      <c r="E41" s="103"/>
      <c r="F41" s="14"/>
      <c r="G41" s="14"/>
      <c r="H41" s="5"/>
      <c r="I41" s="5"/>
      <c r="J41" s="5"/>
      <c r="P41" s="120" t="s">
        <v>440</v>
      </c>
      <c r="Q41" s="234" t="s">
        <v>127</v>
      </c>
      <c r="R41" s="684">
        <f>H12</f>
        <v>5</v>
      </c>
      <c r="S41" s="684"/>
      <c r="T41" s="192" t="s">
        <v>333</v>
      </c>
      <c r="V41" s="10"/>
    </row>
    <row r="42" spans="1:22" ht="18" customHeight="1">
      <c r="A42" s="9"/>
      <c r="B42" s="7" t="s">
        <v>153</v>
      </c>
      <c r="C42" s="14"/>
      <c r="D42" s="14"/>
      <c r="E42" s="14"/>
      <c r="F42" s="14"/>
      <c r="G42" s="14"/>
      <c r="H42" s="14"/>
      <c r="I42" s="14"/>
      <c r="J42" s="14"/>
      <c r="P42" s="237" t="s">
        <v>441</v>
      </c>
      <c r="Q42" s="234" t="s">
        <v>127</v>
      </c>
      <c r="R42" s="795">
        <f>P21</f>
        <v>1.0970224400000002</v>
      </c>
      <c r="S42" s="684"/>
      <c r="T42" s="192" t="s">
        <v>333</v>
      </c>
      <c r="V42" s="10"/>
    </row>
    <row r="43" spans="1:22" ht="18" customHeight="1">
      <c r="A43" s="9"/>
      <c r="B43" s="40" t="s">
        <v>442</v>
      </c>
      <c r="C43" s="14"/>
      <c r="D43" s="14"/>
      <c r="E43" s="14"/>
      <c r="F43" s="14"/>
      <c r="G43" s="14"/>
      <c r="H43" s="5"/>
      <c r="I43" s="5"/>
      <c r="J43" s="5"/>
      <c r="P43" s="237" t="s">
        <v>443</v>
      </c>
      <c r="Q43" s="234" t="s">
        <v>127</v>
      </c>
      <c r="R43" s="795">
        <f>J18</f>
        <v>0.02</v>
      </c>
      <c r="S43" s="684"/>
      <c r="T43" s="14" t="s">
        <v>157</v>
      </c>
      <c r="V43" s="10"/>
    </row>
    <row r="44" spans="1:22" ht="18" customHeight="1">
      <c r="A44" s="9"/>
      <c r="B44" s="40"/>
      <c r="C44" s="14"/>
      <c r="D44" s="14"/>
      <c r="E44" s="14"/>
      <c r="F44" s="14"/>
      <c r="G44" s="14"/>
      <c r="H44" s="5"/>
      <c r="I44" s="5"/>
      <c r="J44" s="5"/>
      <c r="P44" s="237"/>
      <c r="Q44" s="234"/>
      <c r="R44" s="211"/>
      <c r="S44" s="27"/>
      <c r="T44" s="14"/>
      <c r="V44" s="10"/>
    </row>
    <row r="45" spans="1:22" s="7" customFormat="1" ht="18" customHeight="1">
      <c r="A45" s="382"/>
      <c r="B45" s="20"/>
      <c r="C45" s="20"/>
      <c r="D45" s="20"/>
      <c r="E45" s="20"/>
      <c r="F45" s="20"/>
      <c r="G45" s="20"/>
      <c r="H45" s="20"/>
      <c r="I45" s="20"/>
      <c r="J45" s="20"/>
      <c r="K45" s="20"/>
      <c r="L45" s="20"/>
      <c r="M45" s="20"/>
      <c r="N45" s="20"/>
      <c r="O45" s="20"/>
      <c r="P45" s="20"/>
      <c r="Q45" s="21"/>
      <c r="R45" s="22"/>
      <c r="S45" s="23"/>
      <c r="T45" s="20"/>
      <c r="U45" s="20"/>
      <c r="V45" s="134"/>
    </row>
    <row r="46" spans="1:22" ht="18" customHeight="1">
      <c r="A46" s="383" t="s">
        <v>416</v>
      </c>
      <c r="B46" s="384"/>
      <c r="C46" s="384"/>
      <c r="D46" s="384"/>
      <c r="E46" s="384"/>
      <c r="F46" s="384"/>
      <c r="G46" s="384"/>
      <c r="H46" s="384"/>
      <c r="I46" s="384"/>
      <c r="J46" s="384"/>
      <c r="K46" s="384"/>
      <c r="L46" s="384"/>
      <c r="M46" s="384"/>
      <c r="N46" s="384"/>
      <c r="O46" s="384"/>
      <c r="P46" s="384"/>
      <c r="Q46" s="384"/>
      <c r="R46" s="384"/>
      <c r="S46" s="384"/>
      <c r="T46" s="384"/>
      <c r="U46" s="384"/>
      <c r="V46" s="395"/>
    </row>
    <row r="47" spans="1:22" ht="18" customHeight="1">
      <c r="A47" s="799" t="s">
        <v>417</v>
      </c>
      <c r="B47" s="800"/>
      <c r="C47" s="800"/>
      <c r="D47" s="14"/>
      <c r="E47" s="7"/>
      <c r="F47" s="808">
        <f>R36</f>
        <v>50000</v>
      </c>
      <c r="G47" s="1307"/>
      <c r="H47" s="805" t="s">
        <v>315</v>
      </c>
      <c r="I47" s="809">
        <f>R39</f>
        <v>1</v>
      </c>
      <c r="J47" s="810"/>
      <c r="K47" s="805" t="s">
        <v>315</v>
      </c>
      <c r="L47" s="808" t="s">
        <v>419</v>
      </c>
      <c r="M47" s="815">
        <f>R41</f>
        <v>5</v>
      </c>
      <c r="N47" s="816" t="s">
        <v>347</v>
      </c>
      <c r="O47" s="817">
        <f>R42</f>
        <v>1.0970224400000002</v>
      </c>
      <c r="P47" s="805" t="s">
        <v>347</v>
      </c>
      <c r="Q47" s="806">
        <f>R43</f>
        <v>0.02</v>
      </c>
      <c r="R47" s="807"/>
      <c r="S47" s="807"/>
      <c r="T47" s="798" t="s">
        <v>350</v>
      </c>
      <c r="U47" s="230" t="s">
        <v>422</v>
      </c>
      <c r="V47" s="112"/>
    </row>
    <row r="48" spans="1:22" ht="18" customHeight="1">
      <c r="A48" s="801"/>
      <c r="B48" s="800"/>
      <c r="C48" s="800"/>
      <c r="D48" s="14"/>
      <c r="E48" s="7"/>
      <c r="F48" s="1307"/>
      <c r="G48" s="1307"/>
      <c r="H48" s="805"/>
      <c r="I48" s="805">
        <f>R35</f>
        <v>2500</v>
      </c>
      <c r="J48" s="811"/>
      <c r="K48" s="805"/>
      <c r="L48" s="808"/>
      <c r="M48" s="815"/>
      <c r="N48" s="816"/>
      <c r="O48" s="815"/>
      <c r="P48" s="805"/>
      <c r="Q48" s="221">
        <f>R40</f>
        <v>1</v>
      </c>
      <c r="R48" s="221" t="s">
        <v>315</v>
      </c>
      <c r="S48" s="221">
        <f>R40</f>
        <v>1</v>
      </c>
      <c r="T48" s="798"/>
      <c r="U48" s="7"/>
      <c r="V48" s="112"/>
    </row>
    <row r="49" spans="1:22" ht="18" customHeight="1">
      <c r="A49" s="9"/>
      <c r="L49" s="429"/>
      <c r="V49" s="10"/>
    </row>
    <row r="50" spans="1:22" ht="18" customHeight="1">
      <c r="A50" s="9"/>
      <c r="C50" s="27" t="s">
        <v>127</v>
      </c>
      <c r="D50" s="812">
        <f>F47*(I47/I48)*(M47+O47+(Q47/(Q48*S48)))</f>
        <v>122.34044879999999</v>
      </c>
      <c r="E50" s="813"/>
      <c r="F50" s="27" t="s">
        <v>305</v>
      </c>
      <c r="L50" s="429"/>
      <c r="V50" s="10"/>
    </row>
    <row r="51" spans="1:22" ht="18" customHeight="1">
      <c r="A51" s="9"/>
      <c r="L51" s="429"/>
      <c r="V51" s="10"/>
    </row>
    <row r="52" spans="1:22" ht="18" customHeight="1">
      <c r="A52" s="193" t="s">
        <v>444</v>
      </c>
      <c r="L52" s="429"/>
      <c r="V52" s="10"/>
    </row>
    <row r="53" spans="1:22" ht="18" customHeight="1">
      <c r="A53" s="799" t="s">
        <v>417</v>
      </c>
      <c r="B53" s="800"/>
      <c r="C53" s="800"/>
      <c r="D53" s="805">
        <v>2</v>
      </c>
      <c r="E53" s="805" t="s">
        <v>315</v>
      </c>
      <c r="F53" s="814">
        <f>R37</f>
        <v>42229.804278926844</v>
      </c>
      <c r="G53" s="811"/>
      <c r="H53" s="805" t="s">
        <v>315</v>
      </c>
      <c r="I53" s="809">
        <f>R39</f>
        <v>1</v>
      </c>
      <c r="J53" s="810"/>
      <c r="K53" s="805" t="s">
        <v>315</v>
      </c>
      <c r="L53" s="808" t="s">
        <v>419</v>
      </c>
      <c r="M53" s="815">
        <f>R41</f>
        <v>5</v>
      </c>
      <c r="N53" s="816" t="s">
        <v>347</v>
      </c>
      <c r="O53" s="817">
        <f>R42</f>
        <v>1.0970224400000002</v>
      </c>
      <c r="P53" s="805" t="s">
        <v>347</v>
      </c>
      <c r="Q53" s="807">
        <f>Q47</f>
        <v>0.02</v>
      </c>
      <c r="R53" s="807"/>
      <c r="S53" s="807"/>
      <c r="T53" s="798" t="s">
        <v>350</v>
      </c>
      <c r="U53" s="230" t="s">
        <v>426</v>
      </c>
      <c r="V53" s="112"/>
    </row>
    <row r="54" spans="1:22" ht="18" customHeight="1">
      <c r="A54" s="801"/>
      <c r="B54" s="800"/>
      <c r="C54" s="800"/>
      <c r="D54" s="805"/>
      <c r="E54" s="805"/>
      <c r="F54" s="811"/>
      <c r="G54" s="811"/>
      <c r="H54" s="805"/>
      <c r="I54" s="805">
        <f>R35</f>
        <v>2500</v>
      </c>
      <c r="J54" s="811"/>
      <c r="K54" s="805"/>
      <c r="L54" s="808"/>
      <c r="M54" s="815"/>
      <c r="N54" s="816"/>
      <c r="O54" s="815"/>
      <c r="P54" s="805"/>
      <c r="Q54" s="221">
        <f>R40</f>
        <v>1</v>
      </c>
      <c r="R54" s="221" t="s">
        <v>315</v>
      </c>
      <c r="S54" s="221">
        <f>R40</f>
        <v>1</v>
      </c>
      <c r="T54" s="798"/>
      <c r="U54" s="7"/>
      <c r="V54" s="112"/>
    </row>
    <row r="55" spans="1:22" ht="18" customHeight="1">
      <c r="A55" s="9"/>
      <c r="L55" s="429"/>
      <c r="V55" s="10"/>
    </row>
    <row r="56" spans="1:22" ht="18" customHeight="1">
      <c r="A56" s="9"/>
      <c r="C56" s="27" t="s">
        <v>127</v>
      </c>
      <c r="D56" s="812">
        <f>D53*F53*(I53/I54)*(M53+O53+(Q53/(Q54*S54)))</f>
        <v>206.65652832880281</v>
      </c>
      <c r="E56" s="813"/>
      <c r="F56" s="27" t="s">
        <v>305</v>
      </c>
      <c r="L56" s="429"/>
      <c r="V56" s="10"/>
    </row>
    <row r="57" spans="1:22" ht="18" customHeight="1">
      <c r="A57" s="9"/>
      <c r="L57" s="429"/>
      <c r="V57" s="10"/>
    </row>
    <row r="58" spans="1:22" ht="18" customHeight="1">
      <c r="A58" s="193" t="s">
        <v>445</v>
      </c>
      <c r="L58" s="429"/>
      <c r="V58" s="10"/>
    </row>
    <row r="59" spans="1:22" ht="18" customHeight="1">
      <c r="A59" s="799" t="s">
        <v>417</v>
      </c>
      <c r="B59" s="800"/>
      <c r="C59" s="800"/>
      <c r="D59" s="805">
        <v>2</v>
      </c>
      <c r="E59" s="805" t="s">
        <v>315</v>
      </c>
      <c r="F59" s="814">
        <f>R38</f>
        <v>43475.278268251794</v>
      </c>
      <c r="G59" s="811"/>
      <c r="H59" s="805" t="s">
        <v>315</v>
      </c>
      <c r="I59" s="809">
        <f>R39</f>
        <v>1</v>
      </c>
      <c r="J59" s="810"/>
      <c r="K59" s="805" t="s">
        <v>315</v>
      </c>
      <c r="L59" s="808" t="s">
        <v>419</v>
      </c>
      <c r="M59" s="815">
        <f>R41</f>
        <v>5</v>
      </c>
      <c r="N59" s="816" t="s">
        <v>347</v>
      </c>
      <c r="O59" s="817">
        <f>R42</f>
        <v>1.0970224400000002</v>
      </c>
      <c r="P59" s="805" t="s">
        <v>347</v>
      </c>
      <c r="Q59" s="807">
        <f>R43</f>
        <v>0.02</v>
      </c>
      <c r="R59" s="807"/>
      <c r="S59" s="807"/>
      <c r="T59" s="798" t="s">
        <v>350</v>
      </c>
      <c r="U59" s="230" t="s">
        <v>426</v>
      </c>
      <c r="V59" s="112"/>
    </row>
    <row r="60" spans="1:22" ht="18" customHeight="1">
      <c r="A60" s="801"/>
      <c r="B60" s="800"/>
      <c r="C60" s="800"/>
      <c r="D60" s="805"/>
      <c r="E60" s="805"/>
      <c r="F60" s="811"/>
      <c r="G60" s="811"/>
      <c r="H60" s="805"/>
      <c r="I60" s="805">
        <f>R35</f>
        <v>2500</v>
      </c>
      <c r="J60" s="811"/>
      <c r="K60" s="805"/>
      <c r="L60" s="808"/>
      <c r="M60" s="815"/>
      <c r="N60" s="816"/>
      <c r="O60" s="815"/>
      <c r="P60" s="805"/>
      <c r="Q60" s="221">
        <f>R40</f>
        <v>1</v>
      </c>
      <c r="R60" s="221" t="s">
        <v>315</v>
      </c>
      <c r="S60" s="221">
        <f>R40</f>
        <v>1</v>
      </c>
      <c r="T60" s="798"/>
      <c r="U60" s="7"/>
      <c r="V60" s="112"/>
    </row>
    <row r="61" spans="1:22" ht="18" customHeight="1">
      <c r="A61" s="9"/>
      <c r="V61" s="10"/>
    </row>
    <row r="62" spans="1:22" ht="18" customHeight="1">
      <c r="A62" s="9"/>
      <c r="C62" s="27" t="s">
        <v>127</v>
      </c>
      <c r="D62" s="812">
        <f>D59*F59*(I59/I60)*(M59+O59+(Q59/(Q60*S60)))</f>
        <v>212.75140220171244</v>
      </c>
      <c r="E62" s="813"/>
      <c r="F62" s="27" t="s">
        <v>305</v>
      </c>
      <c r="V62" s="10"/>
    </row>
    <row r="63" spans="1:22" ht="18" customHeight="1">
      <c r="A63" s="9"/>
      <c r="V63" s="10"/>
    </row>
    <row r="64" spans="1:22" ht="18" customHeight="1">
      <c r="A64" s="116" t="s">
        <v>446</v>
      </c>
      <c r="V64" s="10"/>
    </row>
    <row r="65" spans="1:22" ht="18" customHeight="1">
      <c r="A65" s="678" t="s">
        <v>415</v>
      </c>
      <c r="B65" s="679"/>
      <c r="C65" s="679"/>
      <c r="D65" s="679"/>
      <c r="E65" s="679"/>
      <c r="F65" s="679"/>
      <c r="G65" s="679"/>
      <c r="H65" s="679"/>
      <c r="I65" s="679"/>
      <c r="J65" s="679"/>
      <c r="K65" s="679"/>
      <c r="L65" s="679"/>
      <c r="M65" s="679"/>
      <c r="N65" s="679"/>
      <c r="O65" s="679"/>
      <c r="P65" s="679"/>
      <c r="Q65" s="679"/>
      <c r="R65" s="679"/>
      <c r="S65" s="679"/>
      <c r="T65" s="679"/>
      <c r="U65" s="679"/>
      <c r="V65" s="680"/>
    </row>
    <row r="66" spans="1:22" ht="18" customHeight="1">
      <c r="A66" s="678"/>
      <c r="B66" s="679"/>
      <c r="C66" s="679"/>
      <c r="D66" s="679"/>
      <c r="E66" s="679"/>
      <c r="F66" s="679"/>
      <c r="G66" s="679"/>
      <c r="H66" s="679"/>
      <c r="I66" s="679"/>
      <c r="J66" s="679"/>
      <c r="K66" s="679"/>
      <c r="L66" s="679"/>
      <c r="M66" s="679"/>
      <c r="N66" s="679"/>
      <c r="O66" s="679"/>
      <c r="P66" s="679"/>
      <c r="Q66" s="679"/>
      <c r="R66" s="679"/>
      <c r="S66" s="679"/>
      <c r="T66" s="679"/>
      <c r="U66" s="679"/>
      <c r="V66" s="680"/>
    </row>
    <row r="67" spans="1:22" ht="18" customHeight="1">
      <c r="A67" s="193" t="s">
        <v>416</v>
      </c>
      <c r="V67" s="10"/>
    </row>
    <row r="68" spans="1:22" ht="18" customHeight="1">
      <c r="A68" s="799" t="s">
        <v>417</v>
      </c>
      <c r="B68" s="800"/>
      <c r="C68" s="800"/>
      <c r="D68" s="802" t="s">
        <v>418</v>
      </c>
      <c r="E68" s="804"/>
      <c r="F68" s="689" t="s">
        <v>315</v>
      </c>
      <c r="G68" s="708" t="s">
        <v>436</v>
      </c>
      <c r="H68" s="803"/>
      <c r="I68" s="689" t="s">
        <v>315</v>
      </c>
      <c r="J68" s="708" t="s">
        <v>135</v>
      </c>
      <c r="K68" s="689" t="s">
        <v>315</v>
      </c>
      <c r="L68" s="802" t="s">
        <v>419</v>
      </c>
      <c r="M68" s="689" t="s">
        <v>440</v>
      </c>
      <c r="N68" s="729" t="s">
        <v>347</v>
      </c>
      <c r="O68" s="689" t="s">
        <v>447</v>
      </c>
      <c r="P68" s="689" t="s">
        <v>347</v>
      </c>
      <c r="Q68" s="759" t="s">
        <v>448</v>
      </c>
      <c r="R68" s="797"/>
      <c r="S68" s="797"/>
      <c r="T68" s="798" t="s">
        <v>350</v>
      </c>
      <c r="U68" s="230" t="s">
        <v>422</v>
      </c>
      <c r="V68" s="112"/>
    </row>
    <row r="69" spans="1:22" ht="18" customHeight="1">
      <c r="A69" s="801"/>
      <c r="B69" s="800"/>
      <c r="C69" s="800"/>
      <c r="D69" s="804"/>
      <c r="E69" s="804"/>
      <c r="F69" s="689"/>
      <c r="G69" s="689" t="s">
        <v>430</v>
      </c>
      <c r="H69" s="804"/>
      <c r="I69" s="689"/>
      <c r="J69" s="689"/>
      <c r="K69" s="689"/>
      <c r="L69" s="802"/>
      <c r="M69" s="689"/>
      <c r="N69" s="729"/>
      <c r="O69" s="689"/>
      <c r="P69" s="689"/>
      <c r="Q69" s="28" t="s">
        <v>438</v>
      </c>
      <c r="R69" s="28" t="s">
        <v>315</v>
      </c>
      <c r="S69" s="28" t="s">
        <v>438</v>
      </c>
      <c r="T69" s="798"/>
      <c r="U69" s="7"/>
      <c r="V69" s="112"/>
    </row>
    <row r="70" spans="1:22" ht="18" customHeight="1">
      <c r="A70" s="193" t="s">
        <v>449</v>
      </c>
      <c r="I70" s="7"/>
      <c r="J70" s="7"/>
      <c r="K70" s="7"/>
      <c r="L70" s="429"/>
      <c r="M70" s="425"/>
      <c r="O70" s="425"/>
      <c r="V70" s="10"/>
    </row>
    <row r="71" spans="1:22" ht="18" customHeight="1">
      <c r="A71" s="799" t="s">
        <v>417</v>
      </c>
      <c r="B71" s="800"/>
      <c r="C71" s="800"/>
      <c r="D71" s="802" t="s">
        <v>450</v>
      </c>
      <c r="E71" s="804"/>
      <c r="F71" s="689" t="s">
        <v>315</v>
      </c>
      <c r="G71" s="708" t="s">
        <v>436</v>
      </c>
      <c r="H71" s="803"/>
      <c r="I71" s="689" t="s">
        <v>315</v>
      </c>
      <c r="J71" s="708" t="s">
        <v>451</v>
      </c>
      <c r="K71" s="689" t="s">
        <v>315</v>
      </c>
      <c r="L71" s="802" t="s">
        <v>419</v>
      </c>
      <c r="M71" s="689" t="s">
        <v>440</v>
      </c>
      <c r="N71" s="729" t="s">
        <v>347</v>
      </c>
      <c r="O71" s="689" t="s">
        <v>447</v>
      </c>
      <c r="P71" s="689" t="s">
        <v>347</v>
      </c>
      <c r="Q71" s="759" t="s">
        <v>448</v>
      </c>
      <c r="R71" s="797"/>
      <c r="S71" s="797"/>
      <c r="T71" s="798" t="s">
        <v>350</v>
      </c>
      <c r="U71" s="230" t="s">
        <v>426</v>
      </c>
      <c r="V71" s="112"/>
    </row>
    <row r="72" spans="1:22" ht="18" customHeight="1">
      <c r="A72" s="801"/>
      <c r="B72" s="800"/>
      <c r="C72" s="800"/>
      <c r="D72" s="804"/>
      <c r="E72" s="804"/>
      <c r="F72" s="689"/>
      <c r="G72" s="689" t="s">
        <v>430</v>
      </c>
      <c r="H72" s="804"/>
      <c r="I72" s="689"/>
      <c r="J72" s="689"/>
      <c r="K72" s="689"/>
      <c r="L72" s="802"/>
      <c r="M72" s="689"/>
      <c r="N72" s="729"/>
      <c r="O72" s="689"/>
      <c r="P72" s="689"/>
      <c r="Q72" s="28" t="s">
        <v>438</v>
      </c>
      <c r="R72" s="28" t="s">
        <v>315</v>
      </c>
      <c r="S72" s="28" t="s">
        <v>438</v>
      </c>
      <c r="T72" s="798"/>
      <c r="U72" s="7"/>
      <c r="V72" s="112"/>
    </row>
    <row r="73" spans="1:22" ht="18" customHeight="1">
      <c r="A73" s="9"/>
      <c r="V73" s="10"/>
    </row>
    <row r="74" spans="1:22" ht="18" customHeight="1">
      <c r="A74" s="9"/>
      <c r="B74" s="14" t="s">
        <v>427</v>
      </c>
      <c r="P74" s="120" t="s">
        <v>428</v>
      </c>
      <c r="V74" s="10"/>
    </row>
    <row r="75" spans="1:22" ht="18" customHeight="1">
      <c r="A75" s="9"/>
      <c r="B75" s="14" t="s">
        <v>429</v>
      </c>
      <c r="P75" s="120" t="s">
        <v>430</v>
      </c>
      <c r="Q75" s="234" t="s">
        <v>127</v>
      </c>
      <c r="R75" s="684">
        <f>R35</f>
        <v>2500</v>
      </c>
      <c r="S75" s="684"/>
      <c r="T75" s="14" t="s">
        <v>8</v>
      </c>
      <c r="V75" s="10"/>
    </row>
    <row r="76" spans="1:22" ht="18" customHeight="1">
      <c r="A76" s="9"/>
      <c r="B76" s="14" t="s">
        <v>431</v>
      </c>
      <c r="P76" s="120" t="s">
        <v>418</v>
      </c>
      <c r="Q76" s="234" t="s">
        <v>127</v>
      </c>
      <c r="R76" s="684">
        <f>R36</f>
        <v>50000</v>
      </c>
      <c r="S76" s="684"/>
      <c r="T76" s="14" t="s">
        <v>8</v>
      </c>
      <c r="V76" s="10"/>
    </row>
    <row r="77" spans="1:22" ht="18" customHeight="1">
      <c r="A77" s="9"/>
      <c r="B77" s="14" t="s">
        <v>452</v>
      </c>
      <c r="P77" s="120" t="s">
        <v>450</v>
      </c>
      <c r="Q77" s="234" t="s">
        <v>127</v>
      </c>
      <c r="R77" s="713">
        <f>'Parameters &amp; Fault Cal. (4)'!M112</f>
        <v>43584.822413584639</v>
      </c>
      <c r="S77" s="684"/>
      <c r="T77" s="14" t="s">
        <v>8</v>
      </c>
      <c r="U77" s="30" t="s">
        <v>433</v>
      </c>
      <c r="V77" s="10"/>
    </row>
    <row r="78" spans="1:22" ht="18" customHeight="1">
      <c r="A78" s="9"/>
      <c r="B78" s="14"/>
      <c r="P78" s="120"/>
      <c r="Q78" s="234" t="s">
        <v>127</v>
      </c>
      <c r="R78" s="713">
        <f>'Parameters &amp; Fault Cal. (4)'!M133</f>
        <v>44648.255952235893</v>
      </c>
      <c r="S78" s="684"/>
      <c r="T78" s="14" t="s">
        <v>8</v>
      </c>
      <c r="U78" s="30" t="s">
        <v>434</v>
      </c>
      <c r="V78" s="10"/>
    </row>
    <row r="79" spans="1:22" ht="18" customHeight="1">
      <c r="A79" s="9"/>
      <c r="B79" s="14" t="s">
        <v>453</v>
      </c>
      <c r="P79" s="120" t="s">
        <v>436</v>
      </c>
      <c r="Q79" s="234" t="s">
        <v>127</v>
      </c>
      <c r="R79" s="684">
        <f>R39</f>
        <v>1</v>
      </c>
      <c r="S79" s="684"/>
      <c r="T79" s="14" t="s">
        <v>8</v>
      </c>
      <c r="V79" s="10"/>
    </row>
    <row r="80" spans="1:22" ht="18" customHeight="1">
      <c r="A80" s="9"/>
      <c r="B80" s="14" t="s">
        <v>437</v>
      </c>
      <c r="P80" s="120" t="s">
        <v>438</v>
      </c>
      <c r="Q80" s="234" t="s">
        <v>127</v>
      </c>
      <c r="R80" s="684">
        <f>R40</f>
        <v>1</v>
      </c>
      <c r="S80" s="684"/>
      <c r="T80" s="14" t="s">
        <v>8</v>
      </c>
      <c r="V80" s="10"/>
    </row>
    <row r="81" spans="1:22" ht="18" customHeight="1">
      <c r="A81" s="9"/>
      <c r="B81" s="14" t="s">
        <v>439</v>
      </c>
      <c r="P81" s="120" t="s">
        <v>440</v>
      </c>
      <c r="Q81" s="234" t="s">
        <v>127</v>
      </c>
      <c r="R81" s="684">
        <f>R41</f>
        <v>5</v>
      </c>
      <c r="S81" s="684"/>
      <c r="T81" s="192" t="s">
        <v>333</v>
      </c>
      <c r="V81" s="10"/>
    </row>
    <row r="82" spans="1:22" ht="18" customHeight="1">
      <c r="A82" s="9"/>
      <c r="B82" s="14" t="s">
        <v>454</v>
      </c>
      <c r="P82" s="237" t="s">
        <v>441</v>
      </c>
      <c r="Q82" s="234" t="s">
        <v>127</v>
      </c>
      <c r="R82" s="795">
        <f>R42</f>
        <v>1.0970224400000002</v>
      </c>
      <c r="S82" s="684"/>
      <c r="T82" s="192" t="s">
        <v>333</v>
      </c>
      <c r="V82" s="10"/>
    </row>
    <row r="83" spans="1:22" ht="18" customHeight="1">
      <c r="A83" s="9"/>
      <c r="B83" s="40" t="s">
        <v>442</v>
      </c>
      <c r="P83" s="237" t="s">
        <v>443</v>
      </c>
      <c r="Q83" s="234" t="s">
        <v>127</v>
      </c>
      <c r="R83" s="795">
        <f>J18</f>
        <v>0.02</v>
      </c>
      <c r="S83" s="684"/>
      <c r="T83" s="14" t="s">
        <v>157</v>
      </c>
      <c r="V83" s="10"/>
    </row>
    <row r="84" spans="1:22" ht="18" customHeight="1">
      <c r="A84" s="9"/>
      <c r="B84" s="40"/>
      <c r="P84" s="237"/>
      <c r="Q84" s="234"/>
      <c r="R84" s="211"/>
      <c r="S84" s="27"/>
      <c r="T84" s="14"/>
      <c r="V84" s="10"/>
    </row>
    <row r="85" spans="1:22" s="7" customFormat="1" ht="18" customHeight="1">
      <c r="A85" s="382"/>
      <c r="B85" s="20"/>
      <c r="C85" s="20"/>
      <c r="D85" s="20"/>
      <c r="E85" s="20"/>
      <c r="F85" s="20"/>
      <c r="G85" s="20"/>
      <c r="H85" s="20"/>
      <c r="I85" s="20"/>
      <c r="J85" s="20"/>
      <c r="K85" s="20"/>
      <c r="L85" s="20"/>
      <c r="M85" s="20"/>
      <c r="N85" s="20"/>
      <c r="O85" s="20"/>
      <c r="P85" s="20"/>
      <c r="Q85" s="21"/>
      <c r="R85" s="22"/>
      <c r="S85" s="23"/>
      <c r="T85" s="20"/>
      <c r="U85" s="20"/>
      <c r="V85" s="134"/>
    </row>
    <row r="86" spans="1:22" ht="18" customHeight="1">
      <c r="A86" s="431" t="s">
        <v>455</v>
      </c>
      <c r="B86" s="432"/>
      <c r="C86" s="433"/>
      <c r="D86" s="434"/>
      <c r="E86" s="433"/>
      <c r="F86" s="434"/>
      <c r="G86" s="434"/>
      <c r="H86" s="432"/>
      <c r="I86" s="432"/>
      <c r="J86" s="432"/>
      <c r="K86" s="435"/>
      <c r="L86" s="435"/>
      <c r="M86" s="111"/>
      <c r="N86" s="434"/>
      <c r="O86" s="434"/>
      <c r="P86" s="435"/>
      <c r="Q86" s="436"/>
      <c r="R86" s="111"/>
      <c r="S86" s="111"/>
      <c r="T86" s="111"/>
      <c r="U86" s="111"/>
      <c r="V86" s="140"/>
    </row>
    <row r="87" spans="1:22" ht="18" customHeight="1">
      <c r="A87" s="96" t="s">
        <v>456</v>
      </c>
      <c r="B87" s="152"/>
      <c r="C87" s="437"/>
      <c r="D87" s="376"/>
      <c r="E87" s="437"/>
      <c r="F87" s="376"/>
      <c r="G87" s="376"/>
      <c r="H87" s="152"/>
      <c r="I87" s="152"/>
      <c r="J87" s="152"/>
      <c r="K87" s="153"/>
      <c r="L87" s="153"/>
      <c r="M87" s="7"/>
      <c r="N87" s="376"/>
      <c r="O87" s="376"/>
      <c r="P87" s="153"/>
      <c r="Q87" s="438"/>
      <c r="R87" s="7"/>
      <c r="S87" s="7"/>
      <c r="T87" s="7"/>
      <c r="U87" s="7"/>
      <c r="V87" s="112"/>
    </row>
    <row r="88" spans="1:22" ht="18" customHeight="1">
      <c r="A88" s="396"/>
      <c r="B88" s="152"/>
      <c r="C88" s="437"/>
      <c r="D88" s="7"/>
      <c r="E88" s="7"/>
      <c r="F88" s="7"/>
      <c r="G88" s="376"/>
      <c r="H88" s="439" t="s">
        <v>457</v>
      </c>
      <c r="I88" s="14" t="s">
        <v>458</v>
      </c>
      <c r="J88" s="7"/>
      <c r="K88" s="28" t="s">
        <v>459</v>
      </c>
      <c r="L88" s="28" t="s">
        <v>135</v>
      </c>
      <c r="M88" s="440"/>
      <c r="N88" s="376"/>
      <c r="O88" s="376"/>
      <c r="P88" s="102" t="s">
        <v>127</v>
      </c>
      <c r="Q88" s="28">
        <v>1</v>
      </c>
      <c r="R88" s="7"/>
      <c r="S88" s="7"/>
      <c r="T88" s="7"/>
      <c r="U88" s="7"/>
      <c r="V88" s="112"/>
    </row>
    <row r="89" spans="1:22" ht="18" customHeight="1">
      <c r="A89" s="396"/>
      <c r="B89" s="152"/>
      <c r="C89" s="437"/>
      <c r="D89" s="7"/>
      <c r="E89" s="7"/>
      <c r="F89" s="7"/>
      <c r="G89" s="376"/>
      <c r="H89" s="439"/>
      <c r="I89" s="14"/>
      <c r="J89" s="7"/>
      <c r="K89" s="28"/>
      <c r="L89" s="28"/>
      <c r="M89" s="440"/>
      <c r="N89" s="376"/>
      <c r="O89" s="376"/>
      <c r="P89" s="102"/>
      <c r="Q89" s="28"/>
      <c r="R89" s="7"/>
      <c r="S89" s="7"/>
      <c r="T89" s="7"/>
      <c r="U89" s="7"/>
      <c r="V89" s="112"/>
    </row>
    <row r="90" spans="1:22" ht="18" customHeight="1">
      <c r="A90" s="96" t="s">
        <v>460</v>
      </c>
      <c r="B90" s="152"/>
      <c r="C90" s="437"/>
      <c r="D90" s="376"/>
      <c r="E90" s="437"/>
      <c r="F90" s="376"/>
      <c r="G90" s="376"/>
      <c r="H90" s="152"/>
      <c r="I90" s="7"/>
      <c r="J90" s="7"/>
      <c r="K90" s="121"/>
      <c r="L90" s="121"/>
      <c r="M90" s="7"/>
      <c r="N90" s="376"/>
      <c r="O90" s="376"/>
      <c r="P90" s="153"/>
      <c r="Q90" s="438"/>
      <c r="V90" s="10"/>
    </row>
    <row r="91" spans="1:22" ht="18" customHeight="1">
      <c r="A91" s="96" t="s">
        <v>461</v>
      </c>
      <c r="B91" s="152"/>
      <c r="C91" s="437"/>
      <c r="D91" s="376"/>
      <c r="E91" s="437"/>
      <c r="F91" s="376"/>
      <c r="G91" s="376"/>
      <c r="H91" s="152"/>
      <c r="I91" s="7"/>
      <c r="J91" s="7"/>
      <c r="K91" s="121"/>
      <c r="L91" s="121"/>
      <c r="M91" s="7"/>
      <c r="N91" s="376"/>
      <c r="O91" s="376"/>
      <c r="P91" s="153"/>
      <c r="Q91" s="438"/>
      <c r="V91" s="10"/>
    </row>
    <row r="92" spans="1:22" ht="18" customHeight="1">
      <c r="A92" s="396"/>
      <c r="B92" s="152"/>
      <c r="C92" s="437"/>
      <c r="D92" s="7"/>
      <c r="E92" s="7"/>
      <c r="F92" s="7"/>
      <c r="G92" s="376"/>
      <c r="H92" s="439" t="s">
        <v>457</v>
      </c>
      <c r="I92" s="14" t="s">
        <v>462</v>
      </c>
      <c r="J92" s="7"/>
      <c r="K92" s="28" t="s">
        <v>459</v>
      </c>
      <c r="L92" s="28" t="s">
        <v>451</v>
      </c>
      <c r="M92" s="440"/>
      <c r="N92" s="376"/>
      <c r="O92" s="376"/>
      <c r="P92" s="102" t="s">
        <v>127</v>
      </c>
      <c r="Q92" s="28">
        <v>3</v>
      </c>
      <c r="V92" s="10"/>
    </row>
    <row r="93" spans="1:22" ht="18" customHeight="1">
      <c r="A93" s="396"/>
      <c r="B93" s="152"/>
      <c r="C93" s="437"/>
      <c r="D93" s="7"/>
      <c r="E93" s="7"/>
      <c r="F93" s="7"/>
      <c r="G93" s="376"/>
      <c r="H93" s="439"/>
      <c r="I93" s="14"/>
      <c r="J93" s="7"/>
      <c r="K93" s="28"/>
      <c r="L93" s="28"/>
      <c r="M93" s="440"/>
      <c r="N93" s="376"/>
      <c r="O93" s="376"/>
      <c r="P93" s="102"/>
      <c r="Q93" s="28"/>
      <c r="V93" s="10"/>
    </row>
    <row r="94" spans="1:22" ht="18" customHeight="1">
      <c r="A94" s="193" t="s">
        <v>416</v>
      </c>
      <c r="V94" s="10"/>
    </row>
    <row r="95" spans="1:22" ht="18" customHeight="1">
      <c r="A95" s="114"/>
      <c r="B95" s="7"/>
      <c r="C95" s="7"/>
      <c r="D95" s="7"/>
      <c r="E95" s="7"/>
      <c r="F95" s="7"/>
      <c r="G95" s="14" t="s">
        <v>463</v>
      </c>
      <c r="H95" s="7"/>
      <c r="I95" s="7"/>
      <c r="J95" s="7"/>
      <c r="K95" s="28" t="s">
        <v>127</v>
      </c>
      <c r="L95" s="692">
        <f>'Parameters &amp; Fault Cal. (4)'!Q60</f>
        <v>47.727272727272727</v>
      </c>
      <c r="M95" s="689"/>
      <c r="N95" s="14" t="s">
        <v>464</v>
      </c>
      <c r="O95" s="28" t="s">
        <v>135</v>
      </c>
      <c r="P95" s="28" t="s">
        <v>127</v>
      </c>
      <c r="Q95" s="28">
        <f>IF(L95&lt;=400,Q88,Q89)</f>
        <v>1</v>
      </c>
      <c r="R95" s="7"/>
      <c r="S95" s="7"/>
      <c r="T95" s="7"/>
      <c r="V95" s="10"/>
    </row>
    <row r="96" spans="1:22" ht="18" customHeight="1">
      <c r="A96" s="799" t="s">
        <v>417</v>
      </c>
      <c r="B96" s="800"/>
      <c r="C96" s="800"/>
      <c r="D96" s="808">
        <f>R76</f>
        <v>50000</v>
      </c>
      <c r="E96" s="818"/>
      <c r="F96" s="805" t="s">
        <v>315</v>
      </c>
      <c r="G96" s="809">
        <f>R79</f>
        <v>1</v>
      </c>
      <c r="H96" s="821"/>
      <c r="I96" s="805" t="s">
        <v>315</v>
      </c>
      <c r="J96" s="822">
        <f>Q95</f>
        <v>1</v>
      </c>
      <c r="K96" s="805" t="s">
        <v>315</v>
      </c>
      <c r="L96" s="808" t="s">
        <v>419</v>
      </c>
      <c r="M96" s="815">
        <f>R81</f>
        <v>5</v>
      </c>
      <c r="N96" s="816" t="s">
        <v>347</v>
      </c>
      <c r="O96" s="817">
        <f>R82</f>
        <v>1.0970224400000002</v>
      </c>
      <c r="P96" s="805" t="s">
        <v>347</v>
      </c>
      <c r="Q96" s="807">
        <f>R83</f>
        <v>0.02</v>
      </c>
      <c r="R96" s="807"/>
      <c r="S96" s="807"/>
      <c r="T96" s="798" t="s">
        <v>350</v>
      </c>
      <c r="U96" s="230" t="s">
        <v>422</v>
      </c>
      <c r="V96" s="112"/>
    </row>
    <row r="97" spans="1:22" ht="18" customHeight="1">
      <c r="A97" s="801"/>
      <c r="B97" s="800"/>
      <c r="C97" s="800"/>
      <c r="D97" s="818"/>
      <c r="E97" s="818"/>
      <c r="F97" s="805"/>
      <c r="G97" s="805">
        <f>R75</f>
        <v>2500</v>
      </c>
      <c r="H97" s="818"/>
      <c r="I97" s="805"/>
      <c r="J97" s="805"/>
      <c r="K97" s="805"/>
      <c r="L97" s="808"/>
      <c r="M97" s="815"/>
      <c r="N97" s="816"/>
      <c r="O97" s="815"/>
      <c r="P97" s="805"/>
      <c r="Q97" s="221">
        <f>R80</f>
        <v>1</v>
      </c>
      <c r="R97" s="221" t="s">
        <v>315</v>
      </c>
      <c r="S97" s="221">
        <f>R80</f>
        <v>1</v>
      </c>
      <c r="T97" s="798"/>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127</v>
      </c>
      <c r="D99" s="819">
        <f>D96*(G96/G97)*J96*(M96+O96+(Q96/(Q97*S97)))</f>
        <v>122.34044879999999</v>
      </c>
      <c r="E99" s="820"/>
      <c r="F99" s="27" t="s">
        <v>305</v>
      </c>
      <c r="V99" s="10"/>
    </row>
    <row r="100" spans="1:22" ht="18" customHeight="1">
      <c r="A100" s="9"/>
      <c r="V100" s="10"/>
    </row>
    <row r="101" spans="1:22" ht="18" customHeight="1">
      <c r="A101" s="193" t="s">
        <v>465</v>
      </c>
      <c r="V101" s="10"/>
    </row>
    <row r="102" spans="1:22" ht="18" customHeight="1">
      <c r="A102" s="9"/>
      <c r="E102" s="30" t="s">
        <v>466</v>
      </c>
      <c r="K102" s="27" t="s">
        <v>127</v>
      </c>
      <c r="L102" s="795">
        <f>'Parameters &amp; Fault Cal. (4)'!Q118</f>
        <v>41.979419477826461</v>
      </c>
      <c r="M102" s="684"/>
      <c r="N102" s="30" t="s">
        <v>464</v>
      </c>
      <c r="O102" s="28" t="s">
        <v>451</v>
      </c>
      <c r="P102" s="27" t="s">
        <v>127</v>
      </c>
      <c r="Q102" s="27">
        <f>IF(L102&lt;=200,Q92,Q93)</f>
        <v>3</v>
      </c>
      <c r="V102" s="10"/>
    </row>
    <row r="103" spans="1:22" ht="18" customHeight="1">
      <c r="A103" s="799" t="s">
        <v>417</v>
      </c>
      <c r="B103" s="800"/>
      <c r="C103" s="800"/>
      <c r="D103" s="814">
        <f>R77</f>
        <v>43584.822413584639</v>
      </c>
      <c r="E103" s="811"/>
      <c r="F103" s="805" t="s">
        <v>315</v>
      </c>
      <c r="G103" s="809">
        <f>R79</f>
        <v>1</v>
      </c>
      <c r="H103" s="810"/>
      <c r="I103" s="805" t="s">
        <v>315</v>
      </c>
      <c r="J103" s="822">
        <f>Q102</f>
        <v>3</v>
      </c>
      <c r="K103" s="805" t="s">
        <v>315</v>
      </c>
      <c r="L103" s="808" t="s">
        <v>419</v>
      </c>
      <c r="M103" s="815">
        <f>R81</f>
        <v>5</v>
      </c>
      <c r="N103" s="816" t="s">
        <v>347</v>
      </c>
      <c r="O103" s="817">
        <f>R82</f>
        <v>1.0970224400000002</v>
      </c>
      <c r="P103" s="805" t="s">
        <v>347</v>
      </c>
      <c r="Q103" s="807">
        <f>R83</f>
        <v>0.02</v>
      </c>
      <c r="R103" s="807"/>
      <c r="S103" s="807"/>
      <c r="T103" s="798" t="s">
        <v>350</v>
      </c>
      <c r="U103" s="230" t="s">
        <v>426</v>
      </c>
      <c r="V103" s="112"/>
    </row>
    <row r="104" spans="1:22" ht="18" customHeight="1">
      <c r="A104" s="801"/>
      <c r="B104" s="800"/>
      <c r="C104" s="800"/>
      <c r="D104" s="811"/>
      <c r="E104" s="811"/>
      <c r="F104" s="805"/>
      <c r="G104" s="805">
        <f>R75</f>
        <v>2500</v>
      </c>
      <c r="H104" s="811"/>
      <c r="I104" s="805"/>
      <c r="J104" s="805"/>
      <c r="K104" s="805"/>
      <c r="L104" s="808"/>
      <c r="M104" s="815"/>
      <c r="N104" s="816"/>
      <c r="O104" s="815"/>
      <c r="P104" s="805"/>
      <c r="Q104" s="221">
        <f>R80</f>
        <v>1</v>
      </c>
      <c r="R104" s="221" t="s">
        <v>315</v>
      </c>
      <c r="S104" s="221">
        <f>R80</f>
        <v>1</v>
      </c>
      <c r="T104" s="798"/>
      <c r="U104" s="7"/>
      <c r="V104" s="112"/>
    </row>
    <row r="105" spans="1:22" ht="18" customHeight="1">
      <c r="A105" s="9"/>
      <c r="I105" s="7"/>
      <c r="J105" s="7"/>
      <c r="K105" s="7"/>
      <c r="V105" s="10"/>
    </row>
    <row r="106" spans="1:22" ht="18" customHeight="1">
      <c r="A106" s="9"/>
      <c r="C106" s="27" t="s">
        <v>127</v>
      </c>
      <c r="D106" s="819">
        <f>D103*(G103/G104)*J103*(M103+O103+(Q103/(Q104*S104)))</f>
        <v>319.93120409677465</v>
      </c>
      <c r="E106" s="820"/>
      <c r="F106" s="27" t="s">
        <v>305</v>
      </c>
      <c r="I106" s="7"/>
      <c r="J106" s="7"/>
      <c r="K106" s="7"/>
      <c r="V106" s="10"/>
    </row>
    <row r="107" spans="1:22" ht="18" customHeight="1">
      <c r="A107" s="9"/>
      <c r="I107" s="7"/>
      <c r="J107" s="7"/>
      <c r="K107" s="7"/>
      <c r="V107" s="10"/>
    </row>
    <row r="108" spans="1:22" ht="18" customHeight="1">
      <c r="A108" s="193" t="s">
        <v>467</v>
      </c>
      <c r="I108" s="7"/>
      <c r="J108" s="7"/>
      <c r="K108" s="7"/>
      <c r="V108" s="10"/>
    </row>
    <row r="109" spans="1:22" ht="18" customHeight="1">
      <c r="A109" s="9"/>
      <c r="E109" s="30" t="s">
        <v>468</v>
      </c>
      <c r="I109" s="7"/>
      <c r="J109" s="7"/>
      <c r="K109" s="28" t="s">
        <v>127</v>
      </c>
      <c r="L109" s="795">
        <f>'Parameters &amp; Fault Cal. (4)'!Q142</f>
        <v>29.635036773964003</v>
      </c>
      <c r="M109" s="684"/>
      <c r="N109" s="27" t="s">
        <v>464</v>
      </c>
      <c r="O109" s="28" t="s">
        <v>451</v>
      </c>
      <c r="P109" s="27" t="s">
        <v>127</v>
      </c>
      <c r="Q109" s="27">
        <f>IF(L109&lt;=200,Q92,Q93)</f>
        <v>3</v>
      </c>
      <c r="V109" s="10"/>
    </row>
    <row r="110" spans="1:22" ht="18" customHeight="1">
      <c r="A110" s="799" t="s">
        <v>417</v>
      </c>
      <c r="B110" s="800"/>
      <c r="C110" s="800"/>
      <c r="D110" s="814">
        <f>R78</f>
        <v>44648.255952235893</v>
      </c>
      <c r="E110" s="811"/>
      <c r="F110" s="805" t="s">
        <v>315</v>
      </c>
      <c r="G110" s="809">
        <f>R79</f>
        <v>1</v>
      </c>
      <c r="H110" s="810"/>
      <c r="I110" s="805" t="s">
        <v>315</v>
      </c>
      <c r="J110" s="822">
        <f>Q109</f>
        <v>3</v>
      </c>
      <c r="K110" s="805" t="s">
        <v>315</v>
      </c>
      <c r="L110" s="808" t="s">
        <v>419</v>
      </c>
      <c r="M110" s="815">
        <f>R81</f>
        <v>5</v>
      </c>
      <c r="N110" s="816" t="s">
        <v>347</v>
      </c>
      <c r="O110" s="817">
        <f>R82</f>
        <v>1.0970224400000002</v>
      </c>
      <c r="P110" s="805" t="s">
        <v>347</v>
      </c>
      <c r="Q110" s="807">
        <f>R83</f>
        <v>0.02</v>
      </c>
      <c r="R110" s="807"/>
      <c r="S110" s="807"/>
      <c r="T110" s="798" t="s">
        <v>350</v>
      </c>
      <c r="U110" s="230" t="s">
        <v>426</v>
      </c>
      <c r="V110" s="112"/>
    </row>
    <row r="111" spans="1:22" ht="18" customHeight="1">
      <c r="A111" s="801"/>
      <c r="B111" s="800"/>
      <c r="C111" s="800"/>
      <c r="D111" s="811"/>
      <c r="E111" s="811"/>
      <c r="F111" s="805"/>
      <c r="G111" s="805">
        <f>R75</f>
        <v>2500</v>
      </c>
      <c r="H111" s="811"/>
      <c r="I111" s="805"/>
      <c r="J111" s="805"/>
      <c r="K111" s="805"/>
      <c r="L111" s="808"/>
      <c r="M111" s="815"/>
      <c r="N111" s="816"/>
      <c r="O111" s="815"/>
      <c r="P111" s="805"/>
      <c r="Q111" s="221">
        <f>R80</f>
        <v>1</v>
      </c>
      <c r="R111" s="221" t="s">
        <v>315</v>
      </c>
      <c r="S111" s="221">
        <f>R80</f>
        <v>1</v>
      </c>
      <c r="T111" s="798"/>
      <c r="U111" s="7"/>
      <c r="V111" s="112"/>
    </row>
    <row r="112" spans="1:22" ht="18" customHeight="1">
      <c r="A112" s="9"/>
      <c r="V112" s="10"/>
    </row>
    <row r="113" spans="1:26" ht="18" customHeight="1">
      <c r="A113" s="9"/>
      <c r="C113" s="30" t="s">
        <v>127</v>
      </c>
      <c r="D113" s="823">
        <f>D110*(G110/G111)*J110*(M110+O110+(Q110/(Q111*S111)))</f>
        <v>327.73726028002864</v>
      </c>
      <c r="E113" s="824"/>
      <c r="F113" s="27" t="s">
        <v>305</v>
      </c>
      <c r="V113" s="10"/>
    </row>
    <row r="114" spans="1:26" ht="18" customHeight="1">
      <c r="A114" s="9"/>
      <c r="V114" s="10"/>
    </row>
    <row r="115" spans="1:26" ht="18" customHeight="1">
      <c r="A115" s="184" t="s">
        <v>469</v>
      </c>
      <c r="M115" s="825">
        <f>H10</f>
        <v>2500</v>
      </c>
      <c r="N115" s="826"/>
      <c r="O115" s="30" t="s">
        <v>470</v>
      </c>
      <c r="Q115" s="812">
        <f>MAX(D50,D56,D62,D99,D106,D113)</f>
        <v>327.73726028002864</v>
      </c>
      <c r="R115" s="813"/>
      <c r="S115" s="30" t="s">
        <v>305</v>
      </c>
      <c r="V115" s="10"/>
    </row>
    <row r="116" spans="1:26" ht="18" customHeight="1">
      <c r="A116" s="351" t="s">
        <v>471</v>
      </c>
      <c r="B116" s="7"/>
      <c r="C116" s="7"/>
      <c r="D116" s="441"/>
      <c r="E116" s="7"/>
      <c r="F116" s="7"/>
      <c r="G116" s="372"/>
      <c r="H116" s="7"/>
      <c r="J116" s="7"/>
      <c r="K116" s="7"/>
      <c r="L116" s="7"/>
      <c r="M116" s="7"/>
      <c r="N116" s="7"/>
      <c r="O116" s="7"/>
      <c r="P116" s="250"/>
      <c r="Q116" s="251"/>
      <c r="R116" s="372"/>
      <c r="S116" s="7"/>
      <c r="V116" s="10"/>
    </row>
    <row r="117" spans="1:26" ht="18" customHeight="1">
      <c r="A117" s="96" t="s">
        <v>472</v>
      </c>
      <c r="V117" s="10"/>
    </row>
    <row r="118" spans="1:26" ht="18" customHeight="1">
      <c r="A118" s="9"/>
      <c r="N118" s="7"/>
      <c r="O118" s="28" t="s">
        <v>473</v>
      </c>
      <c r="P118" s="102" t="s">
        <v>127</v>
      </c>
      <c r="Q118" s="694" t="s">
        <v>474</v>
      </c>
      <c r="R118" s="694"/>
      <c r="S118" s="28" t="s">
        <v>315</v>
      </c>
      <c r="T118" s="28">
        <v>0.8</v>
      </c>
      <c r="V118" s="10"/>
    </row>
    <row r="119" spans="1:26" ht="18" customHeight="1">
      <c r="A119" s="9"/>
      <c r="N119" s="252"/>
      <c r="O119" s="28"/>
      <c r="P119" s="102" t="s">
        <v>127</v>
      </c>
      <c r="Q119" s="829">
        <f>+Q115</f>
        <v>327.73726028002864</v>
      </c>
      <c r="R119" s="708"/>
      <c r="S119" s="222" t="s">
        <v>315</v>
      </c>
      <c r="T119" s="253">
        <f>+T118</f>
        <v>0.8</v>
      </c>
      <c r="V119" s="10"/>
    </row>
    <row r="120" spans="1:26" ht="18" customHeight="1">
      <c r="A120" s="9"/>
      <c r="O120" s="28"/>
      <c r="P120" s="28" t="s">
        <v>127</v>
      </c>
      <c r="Q120" s="830">
        <f>Q119*T119</f>
        <v>262.1898082240229</v>
      </c>
      <c r="R120" s="831"/>
      <c r="S120" s="47" t="s">
        <v>305</v>
      </c>
      <c r="T120" s="28"/>
      <c r="V120" s="10"/>
    </row>
    <row r="121" spans="1:26" ht="18" customHeight="1">
      <c r="A121" s="9"/>
      <c r="D121" s="14" t="s">
        <v>475</v>
      </c>
      <c r="G121" s="27" t="s">
        <v>476</v>
      </c>
      <c r="H121" s="14" t="s">
        <v>477</v>
      </c>
      <c r="V121" s="10"/>
      <c r="Z121" t="str">
        <f>IF(E122&gt;H122,"&gt;","&lt;")</f>
        <v>&gt;</v>
      </c>
    </row>
    <row r="122" spans="1:26" ht="18" customHeight="1">
      <c r="A122" s="9"/>
      <c r="E122" s="684">
        <f>H13</f>
        <v>3750</v>
      </c>
      <c r="F122" s="684"/>
      <c r="G122" s="27" t="s">
        <v>476</v>
      </c>
      <c r="H122" s="795">
        <f>Q120</f>
        <v>262.1898082240229</v>
      </c>
      <c r="I122" s="684"/>
      <c r="V122" s="10"/>
    </row>
    <row r="123" spans="1:26" ht="18" customHeight="1">
      <c r="A123" s="9"/>
      <c r="F123" s="244" t="s">
        <v>478</v>
      </c>
      <c r="H123" s="18" t="str">
        <f>IF(E122&gt;H122,"Suitably Dimensioned","Under Dimensioned")</f>
        <v>Suitably Dimensioned</v>
      </c>
      <c r="V123" s="10"/>
      <c r="Z123" t="str">
        <f>IF(G121="&gt;","Suitably Dimensioned","Under Dimensioned")</f>
        <v>Suitably Dimensioned</v>
      </c>
    </row>
    <row r="124" spans="1:26" ht="18" customHeight="1">
      <c r="A124" s="9"/>
      <c r="F124" s="244"/>
      <c r="H124" s="18"/>
      <c r="V124" s="10"/>
    </row>
    <row r="125" spans="1:26" s="7" customFormat="1" ht="18" customHeight="1">
      <c r="A125" s="382"/>
      <c r="B125" s="20"/>
      <c r="C125" s="20"/>
      <c r="D125" s="20"/>
      <c r="E125" s="20"/>
      <c r="F125" s="20"/>
      <c r="G125" s="20"/>
      <c r="H125" s="20"/>
      <c r="I125" s="20"/>
      <c r="J125" s="20"/>
      <c r="K125" s="20"/>
      <c r="L125" s="20"/>
      <c r="M125" s="20"/>
      <c r="N125" s="20"/>
      <c r="O125" s="20"/>
      <c r="P125" s="20"/>
      <c r="Q125" s="21"/>
      <c r="R125" s="22"/>
      <c r="S125" s="23"/>
      <c r="T125" s="20"/>
      <c r="U125" s="20"/>
      <c r="V125" s="134"/>
    </row>
    <row r="126" spans="1:26" ht="18" hidden="1" customHeight="1">
      <c r="A126" s="442"/>
      <c r="B126" s="384"/>
      <c r="C126" s="384"/>
      <c r="D126" s="384"/>
      <c r="E126" s="384"/>
      <c r="F126" s="384"/>
      <c r="G126" s="384"/>
      <c r="H126" s="384"/>
      <c r="I126" s="384"/>
      <c r="J126" s="384"/>
      <c r="K126" s="384"/>
      <c r="L126" s="384"/>
      <c r="M126" s="384"/>
      <c r="N126" s="384"/>
      <c r="O126" s="384"/>
      <c r="P126" s="384"/>
      <c r="Q126" s="384"/>
      <c r="R126" s="384"/>
      <c r="S126" s="384"/>
      <c r="T126" s="384"/>
      <c r="U126" s="384"/>
      <c r="V126" s="395"/>
    </row>
    <row r="127" spans="1:26" ht="18" hidden="1" customHeight="1">
      <c r="A127" s="116" t="s">
        <v>479</v>
      </c>
      <c r="V127" s="10"/>
    </row>
    <row r="128" spans="1:26" ht="18" hidden="1" customHeight="1">
      <c r="A128" s="678" t="s">
        <v>480</v>
      </c>
      <c r="B128" s="1207"/>
      <c r="C128" s="1207"/>
      <c r="D128" s="1207"/>
      <c r="E128" s="1207"/>
      <c r="F128" s="1207"/>
      <c r="G128" s="1207"/>
      <c r="H128" s="1207"/>
      <c r="I128" s="1207"/>
      <c r="J128" s="1207"/>
      <c r="K128" s="1207"/>
      <c r="L128" s="1207"/>
      <c r="M128" s="1207"/>
      <c r="N128" s="1207"/>
      <c r="O128" s="1207"/>
      <c r="P128" s="1207"/>
      <c r="Q128" s="1207"/>
      <c r="R128" s="1207"/>
      <c r="S128" s="1207"/>
      <c r="T128" s="1207"/>
      <c r="U128" s="1207"/>
      <c r="V128" s="1208"/>
    </row>
    <row r="129" spans="1:22" ht="18" hidden="1" customHeight="1">
      <c r="A129" s="1209"/>
      <c r="B129" s="1207"/>
      <c r="C129" s="1207"/>
      <c r="D129" s="1207"/>
      <c r="E129" s="1207"/>
      <c r="F129" s="1207"/>
      <c r="G129" s="1207"/>
      <c r="H129" s="1207"/>
      <c r="I129" s="1207"/>
      <c r="J129" s="1207"/>
      <c r="K129" s="1207"/>
      <c r="L129" s="1207"/>
      <c r="M129" s="1207"/>
      <c r="N129" s="1207"/>
      <c r="O129" s="1207"/>
      <c r="P129" s="1207"/>
      <c r="Q129" s="1207"/>
      <c r="R129" s="1207"/>
      <c r="S129" s="1207"/>
      <c r="T129" s="1207"/>
      <c r="U129" s="1207"/>
      <c r="V129" s="1208"/>
    </row>
    <row r="130" spans="1:22" ht="18" hidden="1" customHeight="1">
      <c r="A130" s="443"/>
      <c r="B130" s="5"/>
      <c r="C130" s="5"/>
      <c r="D130" s="5"/>
      <c r="E130" s="5"/>
      <c r="F130" s="30"/>
      <c r="G130" s="30"/>
      <c r="H130" s="30"/>
      <c r="I130" s="30"/>
      <c r="J130" s="30"/>
      <c r="K130" s="30"/>
      <c r="L130" s="30"/>
      <c r="M130" s="212"/>
      <c r="N130" s="212"/>
      <c r="O130" s="103"/>
      <c r="P130" s="30"/>
      <c r="Q130" s="223"/>
      <c r="R130" s="14"/>
      <c r="S130" s="214"/>
      <c r="T130" s="30"/>
      <c r="U130" s="30"/>
      <c r="V130" s="185"/>
    </row>
    <row r="131" spans="1:22" ht="18" hidden="1" customHeight="1">
      <c r="A131" s="799" t="s">
        <v>417</v>
      </c>
      <c r="B131" s="802"/>
      <c r="C131" s="802"/>
      <c r="D131" s="689">
        <v>5</v>
      </c>
      <c r="E131" s="689" t="s">
        <v>315</v>
      </c>
      <c r="F131" s="689" t="s">
        <v>481</v>
      </c>
      <c r="G131" s="684"/>
      <c r="H131" s="689" t="s">
        <v>315</v>
      </c>
      <c r="I131" s="708" t="s">
        <v>482</v>
      </c>
      <c r="J131" s="828"/>
      <c r="K131" s="689" t="s">
        <v>315</v>
      </c>
      <c r="L131" s="716" t="s">
        <v>419</v>
      </c>
      <c r="M131" s="716" t="s">
        <v>420</v>
      </c>
      <c r="N131" s="729" t="s">
        <v>347</v>
      </c>
      <c r="O131" s="716" t="s">
        <v>408</v>
      </c>
      <c r="P131" s="689" t="s">
        <v>347</v>
      </c>
      <c r="Q131" s="759" t="s">
        <v>421</v>
      </c>
      <c r="R131" s="797"/>
      <c r="S131" s="797"/>
      <c r="T131" s="798" t="s">
        <v>350</v>
      </c>
      <c r="U131" s="230" t="s">
        <v>422</v>
      </c>
      <c r="V131" s="97"/>
    </row>
    <row r="132" spans="1:22" ht="18" hidden="1" customHeight="1">
      <c r="A132" s="827"/>
      <c r="B132" s="802"/>
      <c r="C132" s="802"/>
      <c r="D132" s="689"/>
      <c r="E132" s="689"/>
      <c r="F132" s="684"/>
      <c r="G132" s="684"/>
      <c r="H132" s="689"/>
      <c r="I132" s="689" t="s">
        <v>483</v>
      </c>
      <c r="J132" s="723"/>
      <c r="K132" s="689"/>
      <c r="L132" s="716"/>
      <c r="M132" s="716"/>
      <c r="N132" s="729"/>
      <c r="O132" s="716"/>
      <c r="P132" s="689"/>
      <c r="Q132" s="28" t="s">
        <v>146</v>
      </c>
      <c r="R132" s="28" t="s">
        <v>315</v>
      </c>
      <c r="S132" s="28" t="s">
        <v>146</v>
      </c>
      <c r="T132" s="798"/>
      <c r="U132" s="14"/>
      <c r="V132" s="97"/>
    </row>
    <row r="133" spans="1:22" ht="18" hidden="1" customHeight="1">
      <c r="A133" s="147"/>
      <c r="B133" s="14" t="s">
        <v>427</v>
      </c>
      <c r="C133" s="14"/>
      <c r="D133" s="103"/>
      <c r="E133" s="103"/>
      <c r="F133" s="14"/>
      <c r="G133" s="14"/>
      <c r="H133" s="5"/>
      <c r="I133" s="5"/>
      <c r="J133" s="5"/>
      <c r="K133" s="30"/>
      <c r="L133" s="30"/>
      <c r="M133" s="30"/>
      <c r="N133" s="30"/>
      <c r="O133" s="30"/>
      <c r="P133" s="120" t="s">
        <v>428</v>
      </c>
      <c r="Q133" s="30"/>
      <c r="R133" s="30"/>
      <c r="S133" s="30"/>
      <c r="T133" s="30"/>
      <c r="U133" s="444"/>
      <c r="V133" s="445"/>
    </row>
    <row r="134" spans="1:22" ht="18" hidden="1" customHeight="1">
      <c r="A134" s="446"/>
      <c r="B134" s="14" t="s">
        <v>429</v>
      </c>
      <c r="C134" s="14"/>
      <c r="D134" s="103"/>
      <c r="E134" s="103"/>
      <c r="F134" s="14"/>
      <c r="G134" s="14"/>
      <c r="H134" s="5"/>
      <c r="I134" s="5"/>
      <c r="J134" s="5"/>
      <c r="K134" s="30"/>
      <c r="L134" s="30"/>
      <c r="M134" s="30"/>
      <c r="N134" s="30"/>
      <c r="O134" s="30"/>
      <c r="P134" s="120" t="s">
        <v>484</v>
      </c>
      <c r="Q134" s="234" t="s">
        <v>127</v>
      </c>
      <c r="R134" s="684">
        <f>R35</f>
        <v>2500</v>
      </c>
      <c r="S134" s="684"/>
      <c r="T134" s="14" t="s">
        <v>8</v>
      </c>
      <c r="U134" s="444"/>
      <c r="V134" s="445"/>
    </row>
    <row r="135" spans="1:22" ht="18" hidden="1" customHeight="1">
      <c r="A135" s="446"/>
      <c r="B135" s="14" t="s">
        <v>485</v>
      </c>
      <c r="C135" s="14"/>
      <c r="D135" s="14"/>
      <c r="E135" s="14"/>
      <c r="F135" s="14"/>
      <c r="G135" s="14"/>
      <c r="H135" s="14"/>
      <c r="I135" s="14"/>
      <c r="J135" s="14"/>
      <c r="K135" s="30"/>
      <c r="L135" s="30"/>
      <c r="M135" s="30"/>
      <c r="N135" s="30"/>
      <c r="O135" s="30"/>
      <c r="P135" s="120" t="s">
        <v>481</v>
      </c>
      <c r="Q135" s="234" t="s">
        <v>127</v>
      </c>
      <c r="R135" s="713">
        <f>R76</f>
        <v>50000</v>
      </c>
      <c r="S135" s="713"/>
      <c r="T135" s="14" t="s">
        <v>8</v>
      </c>
      <c r="U135" s="444"/>
      <c r="V135" s="445"/>
    </row>
    <row r="136" spans="1:22" ht="18" hidden="1" customHeight="1">
      <c r="A136" s="446"/>
      <c r="B136" s="14" t="s">
        <v>435</v>
      </c>
      <c r="C136" s="14"/>
      <c r="D136" s="103"/>
      <c r="E136" s="103"/>
      <c r="F136" s="14"/>
      <c r="G136" s="14"/>
      <c r="H136" s="5"/>
      <c r="I136" s="5"/>
      <c r="J136" s="5"/>
      <c r="K136" s="30"/>
      <c r="L136" s="30"/>
      <c r="M136" s="30"/>
      <c r="N136" s="30"/>
      <c r="O136" s="30"/>
      <c r="P136" s="120" t="s">
        <v>486</v>
      </c>
      <c r="Q136" s="234" t="s">
        <v>127</v>
      </c>
      <c r="R136" s="684">
        <f>R79</f>
        <v>1</v>
      </c>
      <c r="S136" s="684"/>
      <c r="T136" s="14" t="s">
        <v>8</v>
      </c>
      <c r="U136" s="444"/>
      <c r="V136" s="445"/>
    </row>
    <row r="137" spans="1:22" ht="18" hidden="1" customHeight="1">
      <c r="A137" s="147"/>
      <c r="B137" s="14" t="s">
        <v>437</v>
      </c>
      <c r="C137" s="14"/>
      <c r="D137" s="103"/>
      <c r="E137" s="103"/>
      <c r="F137" s="14"/>
      <c r="G137" s="14"/>
      <c r="H137" s="5"/>
      <c r="I137" s="5"/>
      <c r="J137" s="5"/>
      <c r="K137" s="30"/>
      <c r="L137" s="30"/>
      <c r="M137" s="30"/>
      <c r="N137" s="30"/>
      <c r="O137" s="30"/>
      <c r="P137" s="120" t="s">
        <v>438</v>
      </c>
      <c r="Q137" s="234" t="s">
        <v>127</v>
      </c>
      <c r="R137" s="684">
        <f>R80</f>
        <v>1</v>
      </c>
      <c r="S137" s="684"/>
      <c r="T137" s="14" t="s">
        <v>8</v>
      </c>
      <c r="U137" s="18"/>
      <c r="V137" s="97"/>
    </row>
    <row r="138" spans="1:22" ht="18" hidden="1" customHeight="1">
      <c r="A138" s="147"/>
      <c r="B138" s="14" t="s">
        <v>439</v>
      </c>
      <c r="C138" s="14"/>
      <c r="D138" s="103"/>
      <c r="E138" s="103"/>
      <c r="F138" s="14"/>
      <c r="G138" s="14"/>
      <c r="H138" s="5"/>
      <c r="I138" s="5"/>
      <c r="J138" s="5"/>
      <c r="K138" s="30"/>
      <c r="L138" s="30"/>
      <c r="M138" s="30"/>
      <c r="N138" s="30"/>
      <c r="O138" s="30"/>
      <c r="P138" s="120" t="s">
        <v>440</v>
      </c>
      <c r="Q138" s="234" t="s">
        <v>127</v>
      </c>
      <c r="R138" s="684">
        <f>R81</f>
        <v>5</v>
      </c>
      <c r="S138" s="684"/>
      <c r="T138" s="192" t="s">
        <v>333</v>
      </c>
      <c r="U138" s="18"/>
      <c r="V138" s="97"/>
    </row>
    <row r="139" spans="1:22" ht="18" hidden="1" customHeight="1">
      <c r="A139" s="184"/>
      <c r="B139" s="14" t="s">
        <v>487</v>
      </c>
      <c r="C139" s="14"/>
      <c r="D139" s="14"/>
      <c r="E139" s="14"/>
      <c r="F139" s="14"/>
      <c r="G139" s="14"/>
      <c r="H139" s="14"/>
      <c r="I139" s="14"/>
      <c r="J139" s="14"/>
      <c r="K139" s="30"/>
      <c r="L139" s="30"/>
      <c r="M139" s="30"/>
      <c r="N139" s="30"/>
      <c r="O139" s="30"/>
      <c r="P139" s="237" t="s">
        <v>441</v>
      </c>
      <c r="Q139" s="234" t="s">
        <v>127</v>
      </c>
      <c r="R139" s="795">
        <f>R82</f>
        <v>1.0970224400000002</v>
      </c>
      <c r="S139" s="795"/>
      <c r="T139" s="192" t="s">
        <v>333</v>
      </c>
      <c r="U139" s="30"/>
      <c r="V139" s="185"/>
    </row>
    <row r="140" spans="1:22" ht="18" hidden="1" customHeight="1">
      <c r="A140" s="96"/>
      <c r="B140" s="40" t="s">
        <v>488</v>
      </c>
      <c r="C140" s="14"/>
      <c r="D140" s="14"/>
      <c r="E140" s="14"/>
      <c r="F140" s="14"/>
      <c r="G140" s="14"/>
      <c r="H140" s="5"/>
      <c r="I140" s="5"/>
      <c r="J140" s="5"/>
      <c r="K140" s="30"/>
      <c r="L140" s="30"/>
      <c r="M140" s="30"/>
      <c r="N140" s="30"/>
      <c r="O140" s="30"/>
      <c r="P140" s="237" t="s">
        <v>443</v>
      </c>
      <c r="Q140" s="234" t="s">
        <v>127</v>
      </c>
      <c r="R140" s="795">
        <f>J19</f>
        <v>0</v>
      </c>
      <c r="S140" s="684"/>
      <c r="T140" s="14" t="s">
        <v>157</v>
      </c>
      <c r="U140" s="30"/>
      <c r="V140" s="185"/>
    </row>
    <row r="141" spans="1:22" ht="18" hidden="1" customHeight="1">
      <c r="A141" s="96"/>
      <c r="B141" s="30" t="s">
        <v>489</v>
      </c>
      <c r="C141" s="30"/>
      <c r="D141" s="30"/>
      <c r="E141" s="30"/>
      <c r="F141" s="30" t="s">
        <v>490</v>
      </c>
      <c r="G141" s="27" t="s">
        <v>420</v>
      </c>
      <c r="H141" s="27" t="s">
        <v>315</v>
      </c>
      <c r="I141" s="27" t="s">
        <v>482</v>
      </c>
      <c r="J141" s="27" t="s">
        <v>315</v>
      </c>
      <c r="K141" s="27" t="s">
        <v>482</v>
      </c>
      <c r="L141" s="30"/>
      <c r="M141" s="30"/>
      <c r="N141" s="30"/>
      <c r="O141" s="30"/>
      <c r="P141" s="244" t="s">
        <v>491</v>
      </c>
      <c r="Q141" s="234" t="s">
        <v>127</v>
      </c>
      <c r="R141" s="795">
        <f>R138*R136*R136</f>
        <v>5</v>
      </c>
      <c r="S141" s="684"/>
      <c r="T141" s="14" t="s">
        <v>157</v>
      </c>
      <c r="U141" s="30"/>
      <c r="V141" s="185"/>
    </row>
    <row r="142" spans="1:22" ht="18" hidden="1" customHeight="1">
      <c r="A142" s="96"/>
      <c r="B142" s="30" t="s">
        <v>492</v>
      </c>
      <c r="C142" s="30"/>
      <c r="D142" s="30"/>
      <c r="E142" s="30"/>
      <c r="F142" s="30"/>
      <c r="G142" s="30"/>
      <c r="H142" s="30"/>
      <c r="I142" s="30"/>
      <c r="J142" s="30"/>
      <c r="K142" s="30"/>
      <c r="L142" s="30"/>
      <c r="M142" s="30"/>
      <c r="N142" s="30"/>
      <c r="O142" s="30"/>
      <c r="P142" s="120" t="s">
        <v>493</v>
      </c>
      <c r="Q142" s="234" t="s">
        <v>127</v>
      </c>
      <c r="R142" s="795">
        <f>H122</f>
        <v>262.1898082240229</v>
      </c>
      <c r="S142" s="684"/>
      <c r="T142" s="14" t="s">
        <v>157</v>
      </c>
      <c r="U142" s="30"/>
      <c r="V142" s="185"/>
    </row>
    <row r="143" spans="1:22" ht="18" hidden="1" customHeight="1">
      <c r="A143" s="96"/>
      <c r="B143" s="30" t="s">
        <v>494</v>
      </c>
      <c r="C143" s="30"/>
      <c r="D143" s="30"/>
      <c r="E143" s="30"/>
      <c r="F143" s="30"/>
      <c r="G143" s="30"/>
      <c r="H143" s="30"/>
      <c r="I143" s="30"/>
      <c r="J143" s="30"/>
      <c r="K143" s="30"/>
      <c r="L143" s="30"/>
      <c r="M143" s="30"/>
      <c r="N143" s="30"/>
      <c r="O143" s="30"/>
      <c r="P143" s="244" t="s">
        <v>495</v>
      </c>
      <c r="Q143" s="234" t="s">
        <v>127</v>
      </c>
      <c r="R143" s="684">
        <f>I120</f>
        <v>0</v>
      </c>
      <c r="S143" s="684"/>
      <c r="T143" s="30"/>
      <c r="U143" s="30"/>
      <c r="V143" s="185"/>
    </row>
    <row r="144" spans="1:22" ht="18" hidden="1" customHeight="1">
      <c r="A144" s="799" t="s">
        <v>417</v>
      </c>
      <c r="B144" s="802"/>
      <c r="C144" s="802"/>
      <c r="D144" s="689">
        <v>5</v>
      </c>
      <c r="E144" s="689" t="s">
        <v>315</v>
      </c>
      <c r="F144" s="834">
        <f>R135</f>
        <v>50000</v>
      </c>
      <c r="G144" s="713"/>
      <c r="H144" s="689" t="s">
        <v>315</v>
      </c>
      <c r="I144" s="708">
        <f>R136</f>
        <v>1</v>
      </c>
      <c r="J144" s="828"/>
      <c r="K144" s="689" t="s">
        <v>315</v>
      </c>
      <c r="L144" s="716" t="s">
        <v>419</v>
      </c>
      <c r="M144" s="716">
        <f>R138</f>
        <v>5</v>
      </c>
      <c r="N144" s="729" t="s">
        <v>347</v>
      </c>
      <c r="O144" s="1214">
        <f>R139</f>
        <v>1.0970224400000002</v>
      </c>
      <c r="P144" s="689" t="s">
        <v>347</v>
      </c>
      <c r="Q144" s="833">
        <f>R140</f>
        <v>0</v>
      </c>
      <c r="R144" s="797"/>
      <c r="S144" s="797"/>
      <c r="T144" s="798" t="s">
        <v>350</v>
      </c>
      <c r="U144" s="230" t="s">
        <v>422</v>
      </c>
      <c r="V144" s="97"/>
    </row>
    <row r="145" spans="1:22" ht="18" hidden="1" customHeight="1">
      <c r="A145" s="827"/>
      <c r="B145" s="802"/>
      <c r="C145" s="802"/>
      <c r="D145" s="689"/>
      <c r="E145" s="689"/>
      <c r="F145" s="713"/>
      <c r="G145" s="713"/>
      <c r="H145" s="689"/>
      <c r="I145" s="689">
        <f>R134</f>
        <v>2500</v>
      </c>
      <c r="J145" s="723"/>
      <c r="K145" s="689"/>
      <c r="L145" s="716"/>
      <c r="M145" s="716"/>
      <c r="N145" s="729"/>
      <c r="O145" s="716"/>
      <c r="P145" s="689"/>
      <c r="Q145" s="28">
        <f>R137</f>
        <v>1</v>
      </c>
      <c r="R145" s="28" t="s">
        <v>315</v>
      </c>
      <c r="S145" s="28">
        <f>R137</f>
        <v>1</v>
      </c>
      <c r="T145" s="798"/>
      <c r="U145" s="14"/>
      <c r="V145" s="97"/>
    </row>
    <row r="146" spans="1:22" ht="18" hidden="1" customHeight="1">
      <c r="A146" s="184"/>
      <c r="B146" s="30"/>
      <c r="C146" s="30"/>
      <c r="D146" s="30"/>
      <c r="E146" s="30"/>
      <c r="F146" s="30"/>
      <c r="G146" s="30"/>
      <c r="H146" s="30"/>
      <c r="I146" s="30"/>
      <c r="J146" s="30"/>
      <c r="K146" s="30"/>
      <c r="L146" s="30"/>
      <c r="M146" s="30"/>
      <c r="N146" s="30"/>
      <c r="O146" s="30"/>
      <c r="P146" s="30"/>
      <c r="Q146" s="30"/>
      <c r="R146" s="30"/>
      <c r="S146" s="30"/>
      <c r="T146" s="30"/>
      <c r="U146" s="30"/>
      <c r="V146" s="185"/>
    </row>
    <row r="147" spans="1:22" ht="18" hidden="1" customHeight="1">
      <c r="A147" s="184"/>
      <c r="B147" s="30"/>
      <c r="C147" s="30" t="s">
        <v>127</v>
      </c>
      <c r="D147" s="812">
        <f>D144*F144*(I144/I145)*(M144+O144+(Q144/(Q145*S145)))</f>
        <v>609.70224399999995</v>
      </c>
      <c r="E147" s="813"/>
      <c r="F147" s="30" t="s">
        <v>305</v>
      </c>
      <c r="G147" s="30"/>
      <c r="H147" s="30"/>
      <c r="I147" s="30"/>
      <c r="J147" s="30"/>
      <c r="K147" s="30"/>
      <c r="L147" s="30"/>
      <c r="M147" s="30"/>
      <c r="N147" s="30"/>
      <c r="O147" s="30"/>
      <c r="P147" s="30"/>
      <c r="Q147" s="30"/>
      <c r="R147" s="30"/>
      <c r="S147" s="30"/>
      <c r="T147" s="30"/>
      <c r="U147" s="30"/>
      <c r="V147" s="185"/>
    </row>
    <row r="148" spans="1:22" ht="18" hidden="1" customHeight="1">
      <c r="A148" s="9"/>
      <c r="V148" s="10"/>
    </row>
    <row r="149" spans="1:22" ht="18" hidden="1" customHeight="1">
      <c r="A149" s="351" t="s">
        <v>471</v>
      </c>
      <c r="B149" s="7"/>
      <c r="C149" s="7"/>
      <c r="D149" s="441"/>
      <c r="E149" s="7"/>
      <c r="F149" s="7"/>
      <c r="G149" s="372"/>
      <c r="H149" s="7"/>
      <c r="J149" s="7"/>
      <c r="K149" s="7"/>
      <c r="L149" s="7"/>
      <c r="M149" s="7"/>
      <c r="N149" s="7"/>
      <c r="O149" s="7"/>
      <c r="P149" s="250"/>
      <c r="Q149" s="251"/>
      <c r="R149" s="372"/>
      <c r="S149" s="7"/>
      <c r="V149" s="10"/>
    </row>
    <row r="150" spans="1:22" ht="18" hidden="1" customHeight="1">
      <c r="A150" s="96" t="s">
        <v>496</v>
      </c>
      <c r="V150" s="10"/>
    </row>
    <row r="151" spans="1:22" ht="18" hidden="1" customHeight="1">
      <c r="A151" s="9"/>
      <c r="N151" s="7"/>
      <c r="O151" s="28" t="s">
        <v>473</v>
      </c>
      <c r="P151" s="102" t="s">
        <v>127</v>
      </c>
      <c r="Q151" s="694" t="s">
        <v>474</v>
      </c>
      <c r="R151" s="694"/>
      <c r="S151" s="28" t="s">
        <v>315</v>
      </c>
      <c r="T151" s="28">
        <v>0.8</v>
      </c>
      <c r="V151" s="10"/>
    </row>
    <row r="152" spans="1:22" ht="18" hidden="1" customHeight="1">
      <c r="A152" s="9"/>
      <c r="N152" s="252"/>
      <c r="O152" s="28"/>
      <c r="P152" s="102" t="s">
        <v>127</v>
      </c>
      <c r="Q152" s="829">
        <f>D147</f>
        <v>609.70224399999995</v>
      </c>
      <c r="R152" s="708"/>
      <c r="S152" s="222" t="s">
        <v>315</v>
      </c>
      <c r="T152" s="253">
        <f>+T151</f>
        <v>0.8</v>
      </c>
      <c r="V152" s="10"/>
    </row>
    <row r="153" spans="1:22" ht="18" hidden="1" customHeight="1">
      <c r="A153" s="9"/>
      <c r="O153" s="28"/>
      <c r="P153" s="28" t="s">
        <v>127</v>
      </c>
      <c r="Q153" s="830">
        <f>Q152*T152</f>
        <v>487.76179519999999</v>
      </c>
      <c r="R153" s="831"/>
      <c r="S153" s="47" t="s">
        <v>305</v>
      </c>
      <c r="T153" s="28"/>
      <c r="V153" s="10"/>
    </row>
    <row r="154" spans="1:22" ht="18" hidden="1" customHeight="1">
      <c r="A154" s="9"/>
      <c r="D154" s="14" t="s">
        <v>475</v>
      </c>
      <c r="G154" s="27" t="str">
        <f>IF(E155&gt;H155,"&gt;","&lt;")</f>
        <v>&gt;</v>
      </c>
      <c r="H154" s="14" t="s">
        <v>477</v>
      </c>
      <c r="V154" s="10"/>
    </row>
    <row r="155" spans="1:22" ht="18" hidden="1" customHeight="1">
      <c r="A155" s="9"/>
      <c r="E155" s="684">
        <f>H13</f>
        <v>3750</v>
      </c>
      <c r="F155" s="684"/>
      <c r="G155" s="27" t="str">
        <f>G154</f>
        <v>&gt;</v>
      </c>
      <c r="H155" s="795">
        <f>Q153</f>
        <v>487.76179519999999</v>
      </c>
      <c r="I155" s="684"/>
      <c r="V155" s="10"/>
    </row>
    <row r="156" spans="1:22" ht="18" hidden="1" customHeight="1">
      <c r="A156" s="9"/>
      <c r="F156" s="244" t="s">
        <v>478</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82"/>
      <c r="B171" s="20"/>
      <c r="C171" s="20"/>
      <c r="D171" s="20"/>
      <c r="E171" s="20"/>
      <c r="F171" s="20"/>
      <c r="G171" s="20"/>
      <c r="H171" s="20"/>
      <c r="I171" s="20"/>
      <c r="J171" s="20"/>
      <c r="K171" s="20"/>
      <c r="L171" s="20"/>
      <c r="M171" s="20"/>
      <c r="N171" s="20"/>
      <c r="O171" s="20"/>
      <c r="P171" s="20"/>
      <c r="Q171" s="21"/>
      <c r="R171" s="22"/>
      <c r="S171" s="23"/>
      <c r="T171" s="20"/>
      <c r="U171" s="20"/>
      <c r="V171" s="134"/>
    </row>
    <row r="172" spans="1:22" ht="18" hidden="1" customHeight="1">
      <c r="A172" s="442"/>
      <c r="B172" s="384"/>
      <c r="C172" s="384"/>
      <c r="D172" s="384"/>
      <c r="E172" s="384"/>
      <c r="F172" s="384"/>
      <c r="G172" s="384"/>
      <c r="H172" s="384"/>
      <c r="I172" s="384"/>
      <c r="J172" s="384"/>
      <c r="K172" s="384"/>
      <c r="L172" s="384"/>
      <c r="M172" s="384"/>
      <c r="N172" s="384"/>
      <c r="O172" s="384"/>
      <c r="P172" s="384"/>
      <c r="Q172" s="384"/>
      <c r="R172" s="384"/>
      <c r="S172" s="384"/>
      <c r="T172" s="384"/>
      <c r="U172" s="384"/>
      <c r="V172" s="395"/>
    </row>
    <row r="173" spans="1:22" ht="18" hidden="1" customHeight="1">
      <c r="A173" s="9"/>
      <c r="B173" s="835" t="str">
        <f>B7</f>
        <v>T1</v>
      </c>
      <c r="C173" s="836"/>
      <c r="D173" s="1306" t="str">
        <f>D7</f>
        <v>Core1</v>
      </c>
      <c r="E173" s="1113"/>
      <c r="F173" s="689">
        <f>F7</f>
        <v>0</v>
      </c>
      <c r="G173" s="689"/>
      <c r="H173" s="689" t="str">
        <f>H7</f>
        <v>(Diff. + Dist.)</v>
      </c>
      <c r="I173" s="689"/>
      <c r="J173" s="689"/>
      <c r="K173" s="689"/>
      <c r="L173" s="689"/>
      <c r="M173" s="689"/>
      <c r="P173" s="186"/>
      <c r="S173" s="187" t="s">
        <v>387</v>
      </c>
      <c r="T173" s="835" t="str">
        <f>T7</f>
        <v>RED670</v>
      </c>
      <c r="U173" s="836"/>
      <c r="V173" s="10"/>
    </row>
    <row r="174" spans="1:22" ht="18" hidden="1" customHeight="1">
      <c r="A174" s="9"/>
      <c r="B174" s="1118">
        <f>B8</f>
        <v>0</v>
      </c>
      <c r="C174" s="1118"/>
      <c r="D174" s="1114"/>
      <c r="E174" s="1115"/>
      <c r="T174" s="839">
        <f>T8</f>
        <v>0</v>
      </c>
      <c r="U174" s="840"/>
      <c r="V174" s="10"/>
    </row>
    <row r="175" spans="1:22" ht="18" hidden="1" customHeight="1">
      <c r="A175" s="9"/>
      <c r="H175" s="708" t="s">
        <v>390</v>
      </c>
      <c r="I175" s="708"/>
      <c r="J175" s="789" t="s">
        <v>391</v>
      </c>
      <c r="K175" s="789"/>
      <c r="L175" s="790" t="s">
        <v>392</v>
      </c>
      <c r="M175" s="790"/>
      <c r="T175" s="839">
        <f>T9</f>
        <v>0</v>
      </c>
      <c r="U175" s="840"/>
      <c r="V175" s="10"/>
    </row>
    <row r="176" spans="1:22" ht="18" hidden="1" customHeight="1">
      <c r="A176" s="9"/>
      <c r="B176" s="47" t="s">
        <v>393</v>
      </c>
      <c r="H176" s="835">
        <f>H10</f>
        <v>2500</v>
      </c>
      <c r="I176" s="836"/>
      <c r="J176" s="843" t="str">
        <f>J10</f>
        <v>-</v>
      </c>
      <c r="K176" s="844"/>
      <c r="L176" s="835" t="str">
        <f>L10</f>
        <v>-</v>
      </c>
      <c r="M176" s="836"/>
      <c r="N176" s="191" t="s">
        <v>342</v>
      </c>
      <c r="O176" s="491">
        <f>O10</f>
        <v>1</v>
      </c>
      <c r="P176" s="27" t="s">
        <v>8</v>
      </c>
      <c r="V176" s="10"/>
    </row>
    <row r="177" spans="1:29" ht="18" hidden="1" customHeight="1">
      <c r="A177" s="9"/>
      <c r="B177" s="47" t="s">
        <v>394</v>
      </c>
      <c r="J177" s="835" t="str">
        <f>H11</f>
        <v>PX-A</v>
      </c>
      <c r="K177" s="836"/>
      <c r="V177" s="10"/>
    </row>
    <row r="178" spans="1:29" ht="18" hidden="1" customHeight="1">
      <c r="A178" s="9"/>
      <c r="B178" s="47" t="s">
        <v>396</v>
      </c>
      <c r="I178" s="120" t="s">
        <v>497</v>
      </c>
      <c r="J178" s="781">
        <v>3</v>
      </c>
      <c r="K178" s="782"/>
      <c r="L178" s="192" t="s">
        <v>333</v>
      </c>
      <c r="N178" s="7"/>
      <c r="O178" s="7"/>
      <c r="V178" s="10"/>
    </row>
    <row r="179" spans="1:29" ht="18" hidden="1" customHeight="1">
      <c r="A179" s="9"/>
      <c r="B179" s="47" t="s">
        <v>398</v>
      </c>
      <c r="I179" s="120" t="s">
        <v>498</v>
      </c>
      <c r="J179" s="781">
        <v>200</v>
      </c>
      <c r="K179" s="782"/>
      <c r="L179" s="14" t="s">
        <v>305</v>
      </c>
      <c r="O179" s="7"/>
      <c r="V179" s="10"/>
      <c r="W179" s="30" t="s">
        <v>400</v>
      </c>
      <c r="AB179" s="785" t="e">
        <f>Q286</f>
        <v>#VALUE!</v>
      </c>
      <c r="AC179" s="786"/>
    </row>
    <row r="180" spans="1:29" ht="18" hidden="1" customHeight="1">
      <c r="A180" s="9"/>
      <c r="B180" s="14" t="s">
        <v>401</v>
      </c>
      <c r="I180" s="120" t="s">
        <v>402</v>
      </c>
      <c r="J180" s="781">
        <v>100</v>
      </c>
      <c r="K180" s="782"/>
      <c r="L180" s="14" t="s">
        <v>403</v>
      </c>
      <c r="O180" s="7"/>
      <c r="V180" s="10"/>
    </row>
    <row r="181" spans="1:29" ht="18" hidden="1" customHeight="1">
      <c r="A181" s="9"/>
      <c r="V181" s="10"/>
    </row>
    <row r="182" spans="1:29" ht="18" hidden="1" customHeight="1">
      <c r="A182" s="116" t="s">
        <v>404</v>
      </c>
      <c r="V182" s="10"/>
    </row>
    <row r="183" spans="1:29" ht="18" hidden="1" customHeight="1">
      <c r="A183" s="9"/>
      <c r="V183" s="10"/>
    </row>
    <row r="184" spans="1:29" ht="18" hidden="1" customHeight="1">
      <c r="A184" s="9"/>
      <c r="B184" s="194" t="s">
        <v>405</v>
      </c>
      <c r="C184" s="195"/>
      <c r="D184" s="195" t="str">
        <f>T173</f>
        <v>RED670</v>
      </c>
      <c r="E184" s="423"/>
      <c r="F184" s="423"/>
      <c r="G184" s="423"/>
      <c r="H184" s="182" t="s">
        <v>406</v>
      </c>
      <c r="I184" s="183" t="s">
        <v>127</v>
      </c>
      <c r="J184" s="841">
        <f>J18</f>
        <v>0.02</v>
      </c>
      <c r="K184" s="842"/>
      <c r="L184" s="202" t="s">
        <v>157</v>
      </c>
      <c r="N184" s="197" t="s">
        <v>407</v>
      </c>
      <c r="V184" s="10"/>
    </row>
    <row r="185" spans="1:29" ht="18" hidden="1" customHeight="1">
      <c r="A185" s="9"/>
      <c r="B185" s="9" t="s">
        <v>405</v>
      </c>
      <c r="D185" s="424">
        <f>T174</f>
        <v>0</v>
      </c>
      <c r="I185" s="28" t="s">
        <v>127</v>
      </c>
      <c r="J185" s="841">
        <f>J19</f>
        <v>0</v>
      </c>
      <c r="K185" s="845"/>
      <c r="L185" s="297" t="s">
        <v>157</v>
      </c>
      <c r="V185" s="10"/>
    </row>
    <row r="186" spans="1:29" ht="18" hidden="1" customHeight="1">
      <c r="A186" s="9"/>
      <c r="B186" s="9" t="s">
        <v>405</v>
      </c>
      <c r="D186" s="424">
        <f>T175</f>
        <v>0</v>
      </c>
      <c r="E186" s="14"/>
      <c r="G186" s="199"/>
      <c r="H186" s="425"/>
      <c r="I186" s="101" t="s">
        <v>127</v>
      </c>
      <c r="J186" s="846">
        <f>J20</f>
        <v>0</v>
      </c>
      <c r="K186" s="847"/>
      <c r="L186" s="426" t="s">
        <v>157</v>
      </c>
      <c r="N186" s="27" t="s">
        <v>408</v>
      </c>
      <c r="O186" s="27" t="s">
        <v>127</v>
      </c>
      <c r="P186" s="27" t="s">
        <v>409</v>
      </c>
      <c r="Q186" s="191" t="s">
        <v>410</v>
      </c>
      <c r="R186" s="27" t="s">
        <v>411</v>
      </c>
      <c r="S186" s="27" t="s">
        <v>315</v>
      </c>
      <c r="T186" s="27" t="s">
        <v>411</v>
      </c>
      <c r="U186" s="30" t="s">
        <v>350</v>
      </c>
      <c r="V186" s="10"/>
    </row>
    <row r="187" spans="1:29" ht="18" hidden="1" customHeight="1">
      <c r="A187" s="9"/>
      <c r="B187" s="9" t="s">
        <v>412</v>
      </c>
      <c r="H187" s="425"/>
      <c r="I187" s="427" t="s">
        <v>127</v>
      </c>
      <c r="J187" s="848">
        <f>J21</f>
        <v>1.0770224400000001</v>
      </c>
      <c r="K187" s="849"/>
      <c r="L187" s="426" t="s">
        <v>157</v>
      </c>
      <c r="N187" s="27"/>
      <c r="O187" s="27" t="s">
        <v>127</v>
      </c>
      <c r="P187" s="211">
        <f>J188</f>
        <v>1.0970224400000002</v>
      </c>
      <c r="Q187" s="191" t="s">
        <v>410</v>
      </c>
      <c r="R187" s="27">
        <f>O176</f>
        <v>1</v>
      </c>
      <c r="S187" s="27" t="s">
        <v>315</v>
      </c>
      <c r="T187" s="27">
        <f>O176</f>
        <v>1</v>
      </c>
      <c r="U187" s="30" t="s">
        <v>350</v>
      </c>
      <c r="V187" s="10"/>
    </row>
    <row r="188" spans="1:29" ht="18" hidden="1" customHeight="1">
      <c r="A188" s="9"/>
      <c r="B188" s="205" t="s">
        <v>413</v>
      </c>
      <c r="C188" s="206"/>
      <c r="D188" s="206"/>
      <c r="E188" s="206"/>
      <c r="F188" s="346"/>
      <c r="G188" s="346"/>
      <c r="H188" s="190" t="s">
        <v>409</v>
      </c>
      <c r="I188" s="208" t="s">
        <v>127</v>
      </c>
      <c r="J188" s="766">
        <f>SUM(J184:K187)</f>
        <v>1.0970224400000002</v>
      </c>
      <c r="K188" s="796"/>
      <c r="L188" s="428" t="s">
        <v>157</v>
      </c>
      <c r="O188" s="27" t="s">
        <v>127</v>
      </c>
      <c r="P188" s="795">
        <f>P187/(R187*T187)</f>
        <v>1.0970224400000002</v>
      </c>
      <c r="Q188" s="795"/>
      <c r="R188" s="192" t="s">
        <v>333</v>
      </c>
      <c r="V188" s="10"/>
    </row>
    <row r="189" spans="1:29" ht="18" hidden="1" customHeight="1">
      <c r="A189" s="9"/>
      <c r="V189" s="10"/>
    </row>
    <row r="190" spans="1:29" ht="18" hidden="1" customHeight="1">
      <c r="A190" s="116" t="s">
        <v>414</v>
      </c>
      <c r="V190" s="10"/>
    </row>
    <row r="191" spans="1:29" ht="18" hidden="1" customHeight="1">
      <c r="A191" s="678" t="s">
        <v>415</v>
      </c>
      <c r="B191" s="679"/>
      <c r="C191" s="679"/>
      <c r="D191" s="679"/>
      <c r="E191" s="679"/>
      <c r="F191" s="679"/>
      <c r="G191" s="679"/>
      <c r="H191" s="679"/>
      <c r="I191" s="679"/>
      <c r="J191" s="679"/>
      <c r="K191" s="679"/>
      <c r="L191" s="679"/>
      <c r="M191" s="679"/>
      <c r="N191" s="679"/>
      <c r="O191" s="679"/>
      <c r="P191" s="679"/>
      <c r="Q191" s="679"/>
      <c r="R191" s="679"/>
      <c r="S191" s="679"/>
      <c r="T191" s="679"/>
      <c r="U191" s="679"/>
      <c r="V191" s="680"/>
    </row>
    <row r="192" spans="1:29" ht="18" hidden="1" customHeight="1">
      <c r="A192" s="678"/>
      <c r="B192" s="679"/>
      <c r="C192" s="679"/>
      <c r="D192" s="679"/>
      <c r="E192" s="679"/>
      <c r="F192" s="679"/>
      <c r="G192" s="679"/>
      <c r="H192" s="679"/>
      <c r="I192" s="679"/>
      <c r="J192" s="679"/>
      <c r="K192" s="679"/>
      <c r="L192" s="679"/>
      <c r="M192" s="679"/>
      <c r="N192" s="679"/>
      <c r="O192" s="679"/>
      <c r="P192" s="679"/>
      <c r="Q192" s="679"/>
      <c r="R192" s="679"/>
      <c r="S192" s="679"/>
      <c r="T192" s="679"/>
      <c r="U192" s="679"/>
      <c r="V192" s="680"/>
    </row>
    <row r="193" spans="1:22" ht="18" hidden="1" customHeight="1">
      <c r="A193" s="193" t="s">
        <v>416</v>
      </c>
      <c r="V193" s="10"/>
    </row>
    <row r="194" spans="1:22" ht="18" hidden="1" customHeight="1">
      <c r="A194" s="799" t="s">
        <v>417</v>
      </c>
      <c r="B194" s="800"/>
      <c r="C194" s="800"/>
      <c r="D194" s="14"/>
      <c r="E194" s="7"/>
      <c r="F194" s="808" t="s">
        <v>418</v>
      </c>
      <c r="G194" s="811"/>
      <c r="H194" s="805" t="s">
        <v>315</v>
      </c>
      <c r="I194" s="822" t="s">
        <v>411</v>
      </c>
      <c r="J194" s="810"/>
      <c r="K194" s="805" t="s">
        <v>315</v>
      </c>
      <c r="L194" s="808" t="s">
        <v>419</v>
      </c>
      <c r="M194" s="805" t="s">
        <v>420</v>
      </c>
      <c r="N194" s="816" t="s">
        <v>347</v>
      </c>
      <c r="O194" s="805" t="s">
        <v>408</v>
      </c>
      <c r="P194" s="805" t="s">
        <v>347</v>
      </c>
      <c r="Q194" s="850" t="s">
        <v>421</v>
      </c>
      <c r="R194" s="807"/>
      <c r="S194" s="807"/>
      <c r="T194" s="798" t="s">
        <v>350</v>
      </c>
      <c r="U194" s="230" t="s">
        <v>422</v>
      </c>
      <c r="V194" s="112"/>
    </row>
    <row r="195" spans="1:22" ht="18" hidden="1" customHeight="1">
      <c r="A195" s="801"/>
      <c r="B195" s="800"/>
      <c r="C195" s="800"/>
      <c r="D195" s="14"/>
      <c r="E195" s="7"/>
      <c r="F195" s="811"/>
      <c r="G195" s="811"/>
      <c r="H195" s="805"/>
      <c r="I195" s="805" t="s">
        <v>423</v>
      </c>
      <c r="J195" s="811"/>
      <c r="K195" s="805"/>
      <c r="L195" s="808"/>
      <c r="M195" s="805"/>
      <c r="N195" s="816"/>
      <c r="O195" s="805"/>
      <c r="P195" s="805"/>
      <c r="Q195" s="221" t="s">
        <v>146</v>
      </c>
      <c r="R195" s="221" t="s">
        <v>315</v>
      </c>
      <c r="S195" s="221" t="s">
        <v>146</v>
      </c>
      <c r="T195" s="798"/>
      <c r="U195" s="7"/>
      <c r="V195" s="112"/>
    </row>
    <row r="196" spans="1:22" ht="18" hidden="1" customHeight="1">
      <c r="A196" s="193" t="s">
        <v>424</v>
      </c>
      <c r="L196" s="429"/>
      <c r="M196" s="27"/>
      <c r="N196" s="27"/>
      <c r="O196" s="27"/>
      <c r="V196" s="10"/>
    </row>
    <row r="197" spans="1:22" ht="18" hidden="1" customHeight="1">
      <c r="A197" s="799" t="s">
        <v>417</v>
      </c>
      <c r="B197" s="800"/>
      <c r="C197" s="800"/>
      <c r="D197" s="689">
        <v>2</v>
      </c>
      <c r="E197" s="689" t="s">
        <v>315</v>
      </c>
      <c r="F197" s="808" t="s">
        <v>425</v>
      </c>
      <c r="G197" s="811"/>
      <c r="H197" s="805" t="s">
        <v>315</v>
      </c>
      <c r="I197" s="822" t="s">
        <v>411</v>
      </c>
      <c r="J197" s="810"/>
      <c r="K197" s="805" t="s">
        <v>315</v>
      </c>
      <c r="L197" s="808" t="s">
        <v>419</v>
      </c>
      <c r="M197" s="805" t="s">
        <v>420</v>
      </c>
      <c r="N197" s="816" t="s">
        <v>347</v>
      </c>
      <c r="O197" s="805" t="s">
        <v>408</v>
      </c>
      <c r="P197" s="805" t="s">
        <v>347</v>
      </c>
      <c r="Q197" s="850" t="s">
        <v>421</v>
      </c>
      <c r="R197" s="807"/>
      <c r="S197" s="807"/>
      <c r="T197" s="798" t="s">
        <v>350</v>
      </c>
      <c r="U197" s="230" t="s">
        <v>426</v>
      </c>
      <c r="V197" s="112"/>
    </row>
    <row r="198" spans="1:22" ht="18" hidden="1" customHeight="1">
      <c r="A198" s="801"/>
      <c r="B198" s="800"/>
      <c r="C198" s="800"/>
      <c r="D198" s="689"/>
      <c r="E198" s="689"/>
      <c r="F198" s="811"/>
      <c r="G198" s="811"/>
      <c r="H198" s="805"/>
      <c r="I198" s="805" t="s">
        <v>423</v>
      </c>
      <c r="J198" s="811"/>
      <c r="K198" s="805"/>
      <c r="L198" s="808"/>
      <c r="M198" s="805"/>
      <c r="N198" s="816"/>
      <c r="O198" s="805"/>
      <c r="P198" s="805"/>
      <c r="Q198" s="221" t="s">
        <v>146</v>
      </c>
      <c r="R198" s="221" t="s">
        <v>315</v>
      </c>
      <c r="S198" s="221" t="s">
        <v>146</v>
      </c>
      <c r="T198" s="798"/>
      <c r="U198" s="7"/>
      <c r="V198" s="112"/>
    </row>
    <row r="199" spans="1:22" ht="18" hidden="1" customHeight="1">
      <c r="A199" s="9"/>
      <c r="V199" s="10"/>
    </row>
    <row r="200" spans="1:22" ht="18" hidden="1" customHeight="1">
      <c r="A200" s="9"/>
      <c r="B200" s="14" t="s">
        <v>427</v>
      </c>
      <c r="C200" s="14"/>
      <c r="D200" s="103"/>
      <c r="E200" s="103"/>
      <c r="F200" s="14"/>
      <c r="G200" s="14"/>
      <c r="H200" s="5"/>
      <c r="I200" s="5"/>
      <c r="J200" s="5"/>
      <c r="P200" s="120" t="s">
        <v>428</v>
      </c>
      <c r="V200" s="10"/>
    </row>
    <row r="201" spans="1:22" ht="18" hidden="1" customHeight="1">
      <c r="A201" s="9"/>
      <c r="B201" s="14" t="s">
        <v>429</v>
      </c>
      <c r="C201" s="14"/>
      <c r="D201" s="103"/>
      <c r="E201" s="103"/>
      <c r="F201" s="14"/>
      <c r="G201" s="14"/>
      <c r="H201" s="5"/>
      <c r="I201" s="5"/>
      <c r="J201" s="5"/>
      <c r="P201" s="120" t="s">
        <v>430</v>
      </c>
      <c r="Q201" s="234" t="s">
        <v>127</v>
      </c>
      <c r="R201" s="684" t="str">
        <f>J176</f>
        <v>-</v>
      </c>
      <c r="S201" s="684"/>
      <c r="T201" s="14" t="s">
        <v>8</v>
      </c>
      <c r="V201" s="10"/>
    </row>
    <row r="202" spans="1:22" ht="18" hidden="1" customHeight="1">
      <c r="A202" s="9"/>
      <c r="B202" s="14" t="s">
        <v>431</v>
      </c>
      <c r="C202" s="14"/>
      <c r="D202" s="14"/>
      <c r="E202" s="14"/>
      <c r="F202" s="14"/>
      <c r="G202" s="14"/>
      <c r="H202" s="14"/>
      <c r="I202" s="14"/>
      <c r="J202" s="14"/>
      <c r="P202" s="120" t="s">
        <v>418</v>
      </c>
      <c r="Q202" s="234" t="s">
        <v>127</v>
      </c>
      <c r="R202" s="684">
        <f>R36</f>
        <v>50000</v>
      </c>
      <c r="S202" s="684"/>
      <c r="T202" s="14" t="s">
        <v>8</v>
      </c>
      <c r="V202" s="10"/>
    </row>
    <row r="203" spans="1:22" ht="18" hidden="1" customHeight="1">
      <c r="A203" s="9"/>
      <c r="B203" s="14" t="s">
        <v>432</v>
      </c>
      <c r="C203" s="14"/>
      <c r="D203" s="14"/>
      <c r="E203" s="14"/>
      <c r="F203" s="14"/>
      <c r="G203" s="14"/>
      <c r="H203" s="14"/>
      <c r="I203" s="14"/>
      <c r="J203" s="14"/>
      <c r="P203" s="120" t="s">
        <v>425</v>
      </c>
      <c r="Q203" s="234" t="s">
        <v>127</v>
      </c>
      <c r="R203" s="713">
        <f>R37</f>
        <v>42229.804278926844</v>
      </c>
      <c r="S203" s="684"/>
      <c r="T203" s="14" t="s">
        <v>8</v>
      </c>
      <c r="U203" s="30" t="s">
        <v>433</v>
      </c>
      <c r="V203" s="10"/>
    </row>
    <row r="204" spans="1:22" ht="18" hidden="1" customHeight="1">
      <c r="A204" s="9"/>
      <c r="B204" s="14"/>
      <c r="C204" s="14"/>
      <c r="D204" s="14"/>
      <c r="E204" s="14"/>
      <c r="F204" s="14"/>
      <c r="G204" s="14"/>
      <c r="H204" s="14"/>
      <c r="I204" s="14"/>
      <c r="J204" s="14"/>
      <c r="P204" s="120"/>
      <c r="Q204" s="234" t="s">
        <v>127</v>
      </c>
      <c r="R204" s="713">
        <f>R38</f>
        <v>43475.278268251794</v>
      </c>
      <c r="S204" s="684"/>
      <c r="T204" s="14" t="s">
        <v>8</v>
      </c>
      <c r="U204" s="30" t="s">
        <v>434</v>
      </c>
      <c r="V204" s="10"/>
    </row>
    <row r="205" spans="1:22" ht="18" hidden="1" customHeight="1">
      <c r="A205" s="9"/>
      <c r="B205" s="14" t="s">
        <v>435</v>
      </c>
      <c r="C205" s="14"/>
      <c r="D205" s="103"/>
      <c r="E205" s="103"/>
      <c r="F205" s="14"/>
      <c r="G205" s="14"/>
      <c r="H205" s="5"/>
      <c r="I205" s="5"/>
      <c r="J205" s="5"/>
      <c r="P205" s="120" t="s">
        <v>436</v>
      </c>
      <c r="Q205" s="234" t="s">
        <v>127</v>
      </c>
      <c r="R205" s="684">
        <f>R39</f>
        <v>1</v>
      </c>
      <c r="S205" s="684"/>
      <c r="T205" s="14" t="s">
        <v>8</v>
      </c>
      <c r="V205" s="10"/>
    </row>
    <row r="206" spans="1:22" ht="18" hidden="1" customHeight="1">
      <c r="A206" s="9"/>
      <c r="B206" s="14" t="s">
        <v>437</v>
      </c>
      <c r="C206" s="14"/>
      <c r="D206" s="103"/>
      <c r="E206" s="103"/>
      <c r="F206" s="14"/>
      <c r="G206" s="14"/>
      <c r="H206" s="5"/>
      <c r="I206" s="5"/>
      <c r="J206" s="5"/>
      <c r="P206" s="120" t="s">
        <v>438</v>
      </c>
      <c r="Q206" s="234" t="s">
        <v>127</v>
      </c>
      <c r="R206" s="684">
        <f>R40</f>
        <v>1</v>
      </c>
      <c r="S206" s="684"/>
      <c r="T206" s="14" t="s">
        <v>8</v>
      </c>
      <c r="V206" s="10"/>
    </row>
    <row r="207" spans="1:22" ht="18" hidden="1" customHeight="1">
      <c r="A207" s="9"/>
      <c r="B207" s="14" t="s">
        <v>439</v>
      </c>
      <c r="C207" s="14"/>
      <c r="D207" s="103"/>
      <c r="E207" s="103"/>
      <c r="F207" s="14"/>
      <c r="G207" s="14"/>
      <c r="H207" s="5"/>
      <c r="I207" s="5"/>
      <c r="J207" s="5"/>
      <c r="P207" s="120" t="s">
        <v>440</v>
      </c>
      <c r="Q207" s="234" t="s">
        <v>127</v>
      </c>
      <c r="R207" s="684">
        <f>J178</f>
        <v>3</v>
      </c>
      <c r="S207" s="684"/>
      <c r="T207" s="192" t="s">
        <v>333</v>
      </c>
      <c r="V207" s="10"/>
    </row>
    <row r="208" spans="1:22" ht="18" hidden="1" customHeight="1">
      <c r="A208" s="9"/>
      <c r="B208" s="14" t="s">
        <v>153</v>
      </c>
      <c r="C208" s="14"/>
      <c r="D208" s="14"/>
      <c r="E208" s="14"/>
      <c r="F208" s="14"/>
      <c r="G208" s="14"/>
      <c r="H208" s="14"/>
      <c r="I208" s="14"/>
      <c r="J208" s="14"/>
      <c r="P208" s="237" t="s">
        <v>441</v>
      </c>
      <c r="Q208" s="234" t="s">
        <v>127</v>
      </c>
      <c r="R208" s="795">
        <f>R42</f>
        <v>1.0970224400000002</v>
      </c>
      <c r="S208" s="684"/>
      <c r="T208" s="192" t="s">
        <v>333</v>
      </c>
      <c r="V208" s="10"/>
    </row>
    <row r="209" spans="1:22" ht="18" hidden="1" customHeight="1">
      <c r="A209" s="9"/>
      <c r="B209" s="40" t="s">
        <v>442</v>
      </c>
      <c r="C209" s="14"/>
      <c r="D209" s="14"/>
      <c r="E209" s="14"/>
      <c r="F209" s="14"/>
      <c r="G209" s="14"/>
      <c r="H209" s="5"/>
      <c r="I209" s="5"/>
      <c r="J209" s="5"/>
      <c r="P209" s="237" t="s">
        <v>443</v>
      </c>
      <c r="Q209" s="234" t="s">
        <v>127</v>
      </c>
      <c r="R209" s="795">
        <f>R43</f>
        <v>0.02</v>
      </c>
      <c r="S209" s="684"/>
      <c r="T209" s="14" t="s">
        <v>157</v>
      </c>
      <c r="V209" s="10"/>
    </row>
    <row r="210" spans="1:22" ht="18" hidden="1" customHeight="1">
      <c r="A210" s="9"/>
      <c r="B210" s="40"/>
      <c r="C210" s="14"/>
      <c r="D210" s="14"/>
      <c r="E210" s="14"/>
      <c r="F210" s="14"/>
      <c r="G210" s="14"/>
      <c r="H210" s="5"/>
      <c r="I210" s="5"/>
      <c r="J210" s="5"/>
      <c r="P210" s="237"/>
      <c r="Q210" s="234"/>
      <c r="R210" s="211"/>
      <c r="S210" s="27"/>
      <c r="T210" s="14"/>
      <c r="V210" s="10"/>
    </row>
    <row r="211" spans="1:22" s="7" customFormat="1" ht="18" hidden="1" customHeight="1">
      <c r="A211" s="382"/>
      <c r="B211" s="20"/>
      <c r="C211" s="20"/>
      <c r="D211" s="20"/>
      <c r="E211" s="20"/>
      <c r="F211" s="20"/>
      <c r="G211" s="20"/>
      <c r="H211" s="20"/>
      <c r="I211" s="20"/>
      <c r="J211" s="20"/>
      <c r="K211" s="20"/>
      <c r="L211" s="20"/>
      <c r="M211" s="20"/>
      <c r="N211" s="20"/>
      <c r="O211" s="20"/>
      <c r="P211" s="20"/>
      <c r="Q211" s="21"/>
      <c r="R211" s="22"/>
      <c r="S211" s="23"/>
      <c r="T211" s="20"/>
      <c r="U211" s="20"/>
      <c r="V211" s="134"/>
    </row>
    <row r="212" spans="1:22" ht="18" hidden="1" customHeight="1">
      <c r="A212" s="383" t="s">
        <v>416</v>
      </c>
      <c r="B212" s="384"/>
      <c r="C212" s="384"/>
      <c r="D212" s="384"/>
      <c r="E212" s="384"/>
      <c r="F212" s="384"/>
      <c r="G212" s="384"/>
      <c r="H212" s="384"/>
      <c r="I212" s="384"/>
      <c r="J212" s="384"/>
      <c r="K212" s="384"/>
      <c r="L212" s="384"/>
      <c r="M212" s="384"/>
      <c r="N212" s="384"/>
      <c r="O212" s="384"/>
      <c r="P212" s="384"/>
      <c r="Q212" s="384"/>
      <c r="R212" s="384"/>
      <c r="S212" s="384"/>
      <c r="T212" s="384"/>
      <c r="U212" s="384"/>
      <c r="V212" s="395"/>
    </row>
    <row r="213" spans="1:22" ht="18" hidden="1" customHeight="1">
      <c r="A213" s="799" t="s">
        <v>417</v>
      </c>
      <c r="B213" s="800"/>
      <c r="C213" s="800"/>
      <c r="D213" s="14"/>
      <c r="E213" s="7"/>
      <c r="F213" s="808">
        <f>R202</f>
        <v>50000</v>
      </c>
      <c r="G213" s="811"/>
      <c r="H213" s="805" t="s">
        <v>315</v>
      </c>
      <c r="I213" s="809">
        <f>R205</f>
        <v>1</v>
      </c>
      <c r="J213" s="810"/>
      <c r="K213" s="805" t="s">
        <v>315</v>
      </c>
      <c r="L213" s="808" t="s">
        <v>419</v>
      </c>
      <c r="M213" s="815">
        <f>R207</f>
        <v>3</v>
      </c>
      <c r="N213" s="816" t="s">
        <v>347</v>
      </c>
      <c r="O213" s="817">
        <f>R208</f>
        <v>1.0970224400000002</v>
      </c>
      <c r="P213" s="805" t="s">
        <v>347</v>
      </c>
      <c r="Q213" s="807">
        <f>R209</f>
        <v>0.02</v>
      </c>
      <c r="R213" s="807"/>
      <c r="S213" s="807"/>
      <c r="T213" s="798" t="s">
        <v>350</v>
      </c>
      <c r="U213" s="230" t="s">
        <v>422</v>
      </c>
      <c r="V213" s="112"/>
    </row>
    <row r="214" spans="1:22" ht="18" hidden="1" customHeight="1">
      <c r="A214" s="801"/>
      <c r="B214" s="800"/>
      <c r="C214" s="800"/>
      <c r="D214" s="14"/>
      <c r="E214" s="7"/>
      <c r="F214" s="811"/>
      <c r="G214" s="811"/>
      <c r="H214" s="805"/>
      <c r="I214" s="805" t="str">
        <f>R201</f>
        <v>-</v>
      </c>
      <c r="J214" s="811"/>
      <c r="K214" s="805"/>
      <c r="L214" s="808"/>
      <c r="M214" s="815"/>
      <c r="N214" s="816"/>
      <c r="O214" s="815"/>
      <c r="P214" s="805"/>
      <c r="Q214" s="221">
        <f>R206</f>
        <v>1</v>
      </c>
      <c r="R214" s="221" t="s">
        <v>315</v>
      </c>
      <c r="S214" s="221">
        <f>R206</f>
        <v>1</v>
      </c>
      <c r="T214" s="798"/>
      <c r="U214" s="7"/>
      <c r="V214" s="112"/>
    </row>
    <row r="215" spans="1:22" ht="18" hidden="1" customHeight="1">
      <c r="A215" s="9"/>
      <c r="L215" s="429"/>
      <c r="V215" s="10"/>
    </row>
    <row r="216" spans="1:22" ht="18" hidden="1" customHeight="1">
      <c r="A216" s="9"/>
      <c r="C216" s="27" t="s">
        <v>127</v>
      </c>
      <c r="D216" s="812" t="e">
        <f>F213*(I213/I214)*(M213+O213+(Q213/(Q214*S214)))</f>
        <v>#VALUE!</v>
      </c>
      <c r="E216" s="813"/>
      <c r="F216" s="27" t="s">
        <v>305</v>
      </c>
      <c r="L216" s="429"/>
      <c r="V216" s="10"/>
    </row>
    <row r="217" spans="1:22" ht="18" hidden="1" customHeight="1">
      <c r="A217" s="9"/>
      <c r="L217" s="429"/>
      <c r="V217" s="10"/>
    </row>
    <row r="218" spans="1:22" ht="18" hidden="1" customHeight="1">
      <c r="A218" s="193" t="s">
        <v>444</v>
      </c>
      <c r="L218" s="429"/>
      <c r="V218" s="10"/>
    </row>
    <row r="219" spans="1:22" ht="18" hidden="1" customHeight="1">
      <c r="A219" s="799" t="s">
        <v>417</v>
      </c>
      <c r="B219" s="800"/>
      <c r="C219" s="800"/>
      <c r="D219" s="689">
        <v>2</v>
      </c>
      <c r="E219" s="689" t="s">
        <v>315</v>
      </c>
      <c r="F219" s="814">
        <f>R203</f>
        <v>42229.804278926844</v>
      </c>
      <c r="G219" s="811"/>
      <c r="H219" s="805" t="s">
        <v>315</v>
      </c>
      <c r="I219" s="809">
        <f>R205</f>
        <v>1</v>
      </c>
      <c r="J219" s="810"/>
      <c r="K219" s="805" t="s">
        <v>315</v>
      </c>
      <c r="L219" s="808" t="s">
        <v>419</v>
      </c>
      <c r="M219" s="815">
        <f>R207</f>
        <v>3</v>
      </c>
      <c r="N219" s="816" t="s">
        <v>347</v>
      </c>
      <c r="O219" s="817">
        <f>R208</f>
        <v>1.0970224400000002</v>
      </c>
      <c r="P219" s="805" t="s">
        <v>347</v>
      </c>
      <c r="Q219" s="807">
        <f>Q213</f>
        <v>0.02</v>
      </c>
      <c r="R219" s="807"/>
      <c r="S219" s="807"/>
      <c r="T219" s="798" t="s">
        <v>350</v>
      </c>
      <c r="U219" s="230" t="s">
        <v>426</v>
      </c>
      <c r="V219" s="112"/>
    </row>
    <row r="220" spans="1:22" ht="18" hidden="1" customHeight="1">
      <c r="A220" s="801"/>
      <c r="B220" s="800"/>
      <c r="C220" s="800"/>
      <c r="D220" s="689"/>
      <c r="E220" s="689"/>
      <c r="F220" s="811"/>
      <c r="G220" s="811"/>
      <c r="H220" s="805"/>
      <c r="I220" s="805" t="str">
        <f>R201</f>
        <v>-</v>
      </c>
      <c r="J220" s="811"/>
      <c r="K220" s="805"/>
      <c r="L220" s="808"/>
      <c r="M220" s="815"/>
      <c r="N220" s="816"/>
      <c r="O220" s="815"/>
      <c r="P220" s="805"/>
      <c r="Q220" s="221">
        <f>R206</f>
        <v>1</v>
      </c>
      <c r="R220" s="221" t="s">
        <v>315</v>
      </c>
      <c r="S220" s="221">
        <f>R206</f>
        <v>1</v>
      </c>
      <c r="T220" s="798"/>
      <c r="U220" s="7"/>
      <c r="V220" s="112"/>
    </row>
    <row r="221" spans="1:22" ht="18" hidden="1" customHeight="1">
      <c r="A221" s="9"/>
      <c r="L221" s="429"/>
      <c r="V221" s="10"/>
    </row>
    <row r="222" spans="1:22" ht="18" hidden="1" customHeight="1">
      <c r="A222" s="9"/>
      <c r="C222" s="27" t="s">
        <v>127</v>
      </c>
      <c r="D222" s="812" t="e">
        <f>D219*F219*(I219/I220)*(M219+O219+(Q219/(Q220*S220)))</f>
        <v>#VALUE!</v>
      </c>
      <c r="E222" s="813"/>
      <c r="F222" s="27" t="s">
        <v>305</v>
      </c>
      <c r="L222" s="429"/>
      <c r="V222" s="10"/>
    </row>
    <row r="223" spans="1:22" ht="18" hidden="1" customHeight="1">
      <c r="A223" s="9"/>
      <c r="L223" s="429"/>
      <c r="V223" s="10"/>
    </row>
    <row r="224" spans="1:22" ht="18" hidden="1" customHeight="1">
      <c r="A224" s="193" t="s">
        <v>445</v>
      </c>
      <c r="L224" s="429"/>
      <c r="V224" s="10"/>
    </row>
    <row r="225" spans="1:22" ht="18" hidden="1" customHeight="1">
      <c r="A225" s="799" t="s">
        <v>417</v>
      </c>
      <c r="B225" s="800"/>
      <c r="C225" s="800"/>
      <c r="D225" s="805">
        <v>2</v>
      </c>
      <c r="E225" s="805" t="s">
        <v>315</v>
      </c>
      <c r="F225" s="814">
        <f>R204</f>
        <v>43475.278268251794</v>
      </c>
      <c r="G225" s="811"/>
      <c r="H225" s="805" t="s">
        <v>315</v>
      </c>
      <c r="I225" s="809">
        <f>R205</f>
        <v>1</v>
      </c>
      <c r="J225" s="810"/>
      <c r="K225" s="805" t="s">
        <v>315</v>
      </c>
      <c r="L225" s="808" t="s">
        <v>419</v>
      </c>
      <c r="M225" s="815">
        <f>R207</f>
        <v>3</v>
      </c>
      <c r="N225" s="816" t="s">
        <v>347</v>
      </c>
      <c r="O225" s="817">
        <f>R208</f>
        <v>1.0970224400000002</v>
      </c>
      <c r="P225" s="805" t="s">
        <v>347</v>
      </c>
      <c r="Q225" s="807">
        <f>R209</f>
        <v>0.02</v>
      </c>
      <c r="R225" s="807"/>
      <c r="S225" s="807"/>
      <c r="T225" s="798" t="s">
        <v>350</v>
      </c>
      <c r="U225" s="230" t="s">
        <v>426</v>
      </c>
      <c r="V225" s="112"/>
    </row>
    <row r="226" spans="1:22" ht="18" hidden="1" customHeight="1">
      <c r="A226" s="801"/>
      <c r="B226" s="800"/>
      <c r="C226" s="800"/>
      <c r="D226" s="805"/>
      <c r="E226" s="805"/>
      <c r="F226" s="811"/>
      <c r="G226" s="811"/>
      <c r="H226" s="805"/>
      <c r="I226" s="805" t="str">
        <f>R201</f>
        <v>-</v>
      </c>
      <c r="J226" s="811"/>
      <c r="K226" s="805"/>
      <c r="L226" s="808"/>
      <c r="M226" s="815"/>
      <c r="N226" s="816"/>
      <c r="O226" s="815"/>
      <c r="P226" s="805"/>
      <c r="Q226" s="221">
        <f>R206</f>
        <v>1</v>
      </c>
      <c r="R226" s="221" t="s">
        <v>315</v>
      </c>
      <c r="S226" s="221">
        <f>R206</f>
        <v>1</v>
      </c>
      <c r="T226" s="798"/>
      <c r="U226" s="7"/>
      <c r="V226" s="112"/>
    </row>
    <row r="227" spans="1:22" ht="18" hidden="1" customHeight="1">
      <c r="A227" s="9"/>
      <c r="V227" s="10"/>
    </row>
    <row r="228" spans="1:22" ht="18" hidden="1" customHeight="1">
      <c r="A228" s="9"/>
      <c r="C228" s="27" t="s">
        <v>127</v>
      </c>
      <c r="D228" s="812" t="e">
        <f>D225*F225*(I225/I226)*(M225+O225+(Q225/(Q226*S226)))</f>
        <v>#VALUE!</v>
      </c>
      <c r="E228" s="813"/>
      <c r="F228" s="27" t="s">
        <v>305</v>
      </c>
      <c r="V228" s="10"/>
    </row>
    <row r="229" spans="1:22" ht="18" hidden="1" customHeight="1">
      <c r="A229" s="9"/>
      <c r="V229" s="10"/>
    </row>
    <row r="230" spans="1:22" ht="18" hidden="1" customHeight="1">
      <c r="A230" s="116" t="s">
        <v>446</v>
      </c>
      <c r="V230" s="10"/>
    </row>
    <row r="231" spans="1:22" ht="18" hidden="1" customHeight="1">
      <c r="A231" s="678" t="s">
        <v>499</v>
      </c>
      <c r="B231" s="679"/>
      <c r="C231" s="679"/>
      <c r="D231" s="679"/>
      <c r="E231" s="679"/>
      <c r="F231" s="679"/>
      <c r="G231" s="679"/>
      <c r="H231" s="679"/>
      <c r="I231" s="679"/>
      <c r="J231" s="679"/>
      <c r="K231" s="679"/>
      <c r="L231" s="679"/>
      <c r="M231" s="679"/>
      <c r="N231" s="679"/>
      <c r="O231" s="679"/>
      <c r="P231" s="679"/>
      <c r="Q231" s="679"/>
      <c r="R231" s="679"/>
      <c r="S231" s="679"/>
      <c r="T231" s="679"/>
      <c r="U231" s="679"/>
      <c r="V231" s="680"/>
    </row>
    <row r="232" spans="1:22" ht="18" hidden="1" customHeight="1">
      <c r="A232" s="678"/>
      <c r="B232" s="679"/>
      <c r="C232" s="679"/>
      <c r="D232" s="679"/>
      <c r="E232" s="679"/>
      <c r="F232" s="679"/>
      <c r="G232" s="679"/>
      <c r="H232" s="679"/>
      <c r="I232" s="679"/>
      <c r="J232" s="679"/>
      <c r="K232" s="679"/>
      <c r="L232" s="679"/>
      <c r="M232" s="679"/>
      <c r="N232" s="679"/>
      <c r="O232" s="679"/>
      <c r="P232" s="679"/>
      <c r="Q232" s="679"/>
      <c r="R232" s="679"/>
      <c r="S232" s="679"/>
      <c r="T232" s="679"/>
      <c r="U232" s="679"/>
      <c r="V232" s="680"/>
    </row>
    <row r="233" spans="1:22" ht="18" hidden="1" customHeight="1">
      <c r="A233" s="447" t="s">
        <v>416</v>
      </c>
      <c r="V233" s="10"/>
    </row>
    <row r="234" spans="1:22" ht="18" hidden="1" customHeight="1">
      <c r="A234" s="799" t="s">
        <v>417</v>
      </c>
      <c r="B234" s="800"/>
      <c r="C234" s="800"/>
      <c r="D234" s="802" t="s">
        <v>418</v>
      </c>
      <c r="E234" s="804"/>
      <c r="F234" s="689" t="s">
        <v>315</v>
      </c>
      <c r="G234" s="708" t="s">
        <v>436</v>
      </c>
      <c r="H234" s="803"/>
      <c r="I234" s="689" t="s">
        <v>315</v>
      </c>
      <c r="J234" s="851" t="s">
        <v>135</v>
      </c>
      <c r="K234" s="689" t="s">
        <v>315</v>
      </c>
      <c r="L234" s="802" t="s">
        <v>419</v>
      </c>
      <c r="M234" s="716" t="s">
        <v>440</v>
      </c>
      <c r="N234" s="729" t="s">
        <v>347</v>
      </c>
      <c r="O234" s="716" t="s">
        <v>447</v>
      </c>
      <c r="P234" s="689" t="s">
        <v>347</v>
      </c>
      <c r="Q234" s="759" t="s">
        <v>448</v>
      </c>
      <c r="R234" s="797"/>
      <c r="S234" s="797"/>
      <c r="T234" s="798" t="s">
        <v>350</v>
      </c>
      <c r="U234" s="230" t="s">
        <v>422</v>
      </c>
      <c r="V234" s="112"/>
    </row>
    <row r="235" spans="1:22" ht="18" hidden="1" customHeight="1">
      <c r="A235" s="801"/>
      <c r="B235" s="800"/>
      <c r="C235" s="800"/>
      <c r="D235" s="804"/>
      <c r="E235" s="804"/>
      <c r="F235" s="689"/>
      <c r="G235" s="689" t="s">
        <v>430</v>
      </c>
      <c r="H235" s="804"/>
      <c r="I235" s="689"/>
      <c r="J235" s="689"/>
      <c r="K235" s="689"/>
      <c r="L235" s="802"/>
      <c r="M235" s="716"/>
      <c r="N235" s="729"/>
      <c r="O235" s="716"/>
      <c r="P235" s="689"/>
      <c r="Q235" s="28" t="s">
        <v>438</v>
      </c>
      <c r="R235" s="28" t="s">
        <v>315</v>
      </c>
      <c r="S235" s="28" t="s">
        <v>438</v>
      </c>
      <c r="T235" s="798"/>
      <c r="U235" s="7"/>
      <c r="V235" s="112"/>
    </row>
    <row r="236" spans="1:22" ht="18" hidden="1" customHeight="1">
      <c r="A236" s="447" t="s">
        <v>449</v>
      </c>
      <c r="L236" s="429"/>
      <c r="V236" s="10"/>
    </row>
    <row r="237" spans="1:22" ht="18" hidden="1" customHeight="1">
      <c r="A237" s="799" t="s">
        <v>417</v>
      </c>
      <c r="B237" s="800"/>
      <c r="C237" s="800"/>
      <c r="D237" s="802" t="s">
        <v>450</v>
      </c>
      <c r="E237" s="804"/>
      <c r="F237" s="689" t="s">
        <v>315</v>
      </c>
      <c r="G237" s="708" t="s">
        <v>436</v>
      </c>
      <c r="H237" s="803"/>
      <c r="I237" s="689" t="s">
        <v>315</v>
      </c>
      <c r="J237" s="851" t="s">
        <v>451</v>
      </c>
      <c r="K237" s="689" t="s">
        <v>315</v>
      </c>
      <c r="L237" s="802" t="s">
        <v>419</v>
      </c>
      <c r="M237" s="716" t="s">
        <v>440</v>
      </c>
      <c r="N237" s="729" t="s">
        <v>347</v>
      </c>
      <c r="O237" s="716" t="s">
        <v>447</v>
      </c>
      <c r="P237" s="689" t="s">
        <v>347</v>
      </c>
      <c r="Q237" s="759" t="s">
        <v>448</v>
      </c>
      <c r="R237" s="797"/>
      <c r="S237" s="797"/>
      <c r="T237" s="798" t="s">
        <v>350</v>
      </c>
      <c r="U237" s="230" t="s">
        <v>426</v>
      </c>
      <c r="V237" s="112"/>
    </row>
    <row r="238" spans="1:22" ht="18" hidden="1" customHeight="1">
      <c r="A238" s="801"/>
      <c r="B238" s="800"/>
      <c r="C238" s="800"/>
      <c r="D238" s="804"/>
      <c r="E238" s="804"/>
      <c r="F238" s="689"/>
      <c r="G238" s="689" t="s">
        <v>430</v>
      </c>
      <c r="H238" s="804"/>
      <c r="I238" s="689"/>
      <c r="J238" s="689"/>
      <c r="K238" s="689"/>
      <c r="L238" s="802"/>
      <c r="M238" s="716"/>
      <c r="N238" s="729"/>
      <c r="O238" s="716"/>
      <c r="P238" s="689"/>
      <c r="Q238" s="28" t="s">
        <v>438</v>
      </c>
      <c r="R238" s="28" t="s">
        <v>315</v>
      </c>
      <c r="S238" s="28" t="s">
        <v>438</v>
      </c>
      <c r="T238" s="798"/>
      <c r="U238" s="7"/>
      <c r="V238" s="112"/>
    </row>
    <row r="239" spans="1:22" ht="18" hidden="1" customHeight="1">
      <c r="A239" s="9"/>
      <c r="V239" s="10"/>
    </row>
    <row r="240" spans="1:22" ht="18" hidden="1" customHeight="1">
      <c r="A240" s="9"/>
      <c r="B240" s="14" t="s">
        <v>427</v>
      </c>
      <c r="P240" s="120" t="s">
        <v>428</v>
      </c>
      <c r="V240" s="10"/>
    </row>
    <row r="241" spans="1:22" ht="18" hidden="1" customHeight="1">
      <c r="A241" s="9"/>
      <c r="B241" s="14" t="s">
        <v>429</v>
      </c>
      <c r="P241" s="120" t="s">
        <v>430</v>
      </c>
      <c r="Q241" s="234" t="s">
        <v>127</v>
      </c>
      <c r="R241" s="684" t="str">
        <f>R201</f>
        <v>-</v>
      </c>
      <c r="S241" s="684"/>
      <c r="T241" s="14" t="s">
        <v>8</v>
      </c>
      <c r="V241" s="10"/>
    </row>
    <row r="242" spans="1:22" ht="18" hidden="1" customHeight="1">
      <c r="A242" s="9"/>
      <c r="B242" s="14" t="s">
        <v>431</v>
      </c>
      <c r="P242" s="120" t="s">
        <v>418</v>
      </c>
      <c r="Q242" s="234" t="s">
        <v>127</v>
      </c>
      <c r="R242" s="684">
        <f>R202</f>
        <v>50000</v>
      </c>
      <c r="S242" s="684"/>
      <c r="T242" s="14" t="s">
        <v>8</v>
      </c>
      <c r="V242" s="10"/>
    </row>
    <row r="243" spans="1:22" ht="18" hidden="1" customHeight="1">
      <c r="A243" s="9"/>
      <c r="B243" s="14" t="s">
        <v>452</v>
      </c>
      <c r="P243" s="120" t="s">
        <v>450</v>
      </c>
      <c r="Q243" s="234" t="s">
        <v>127</v>
      </c>
      <c r="R243" s="713">
        <f>R77</f>
        <v>43584.822413584639</v>
      </c>
      <c r="S243" s="684"/>
      <c r="T243" s="14" t="s">
        <v>8</v>
      </c>
      <c r="U243" s="30" t="s">
        <v>433</v>
      </c>
      <c r="V243" s="10"/>
    </row>
    <row r="244" spans="1:22" ht="18" hidden="1" customHeight="1">
      <c r="A244" s="9"/>
      <c r="B244" s="14"/>
      <c r="P244" s="120"/>
      <c r="Q244" s="234" t="s">
        <v>127</v>
      </c>
      <c r="R244" s="713">
        <f>R78</f>
        <v>44648.255952235893</v>
      </c>
      <c r="S244" s="684"/>
      <c r="T244" s="14" t="s">
        <v>8</v>
      </c>
      <c r="U244" s="30" t="s">
        <v>434</v>
      </c>
      <c r="V244" s="10"/>
    </row>
    <row r="245" spans="1:22" ht="18" hidden="1" customHeight="1">
      <c r="A245" s="9"/>
      <c r="B245" s="14" t="s">
        <v>453</v>
      </c>
      <c r="P245" s="120" t="s">
        <v>436</v>
      </c>
      <c r="Q245" s="234" t="s">
        <v>127</v>
      </c>
      <c r="R245" s="684">
        <f>R205</f>
        <v>1</v>
      </c>
      <c r="S245" s="684"/>
      <c r="T245" s="14" t="s">
        <v>8</v>
      </c>
      <c r="V245" s="10"/>
    </row>
    <row r="246" spans="1:22" ht="18" hidden="1" customHeight="1">
      <c r="A246" s="9"/>
      <c r="B246" s="14" t="s">
        <v>437</v>
      </c>
      <c r="P246" s="120" t="s">
        <v>438</v>
      </c>
      <c r="Q246" s="234" t="s">
        <v>127</v>
      </c>
      <c r="R246" s="684">
        <f>R206</f>
        <v>1</v>
      </c>
      <c r="S246" s="684"/>
      <c r="T246" s="14" t="s">
        <v>8</v>
      </c>
      <c r="V246" s="10"/>
    </row>
    <row r="247" spans="1:22" ht="18" hidden="1" customHeight="1">
      <c r="A247" s="9"/>
      <c r="B247" s="14" t="s">
        <v>439</v>
      </c>
      <c r="P247" s="120" t="s">
        <v>440</v>
      </c>
      <c r="Q247" s="234" t="s">
        <v>127</v>
      </c>
      <c r="R247" s="684">
        <f>R207</f>
        <v>3</v>
      </c>
      <c r="S247" s="684"/>
      <c r="T247" s="192" t="s">
        <v>333</v>
      </c>
      <c r="V247" s="10"/>
    </row>
    <row r="248" spans="1:22" ht="18" hidden="1" customHeight="1">
      <c r="A248" s="9"/>
      <c r="B248" s="14" t="s">
        <v>454</v>
      </c>
      <c r="P248" s="237" t="s">
        <v>441</v>
      </c>
      <c r="Q248" s="234" t="s">
        <v>127</v>
      </c>
      <c r="R248" s="795">
        <f>R208</f>
        <v>1.0970224400000002</v>
      </c>
      <c r="S248" s="684"/>
      <c r="T248" s="192" t="s">
        <v>333</v>
      </c>
      <c r="V248" s="10"/>
    </row>
    <row r="249" spans="1:22" ht="18" hidden="1" customHeight="1">
      <c r="A249" s="9"/>
      <c r="B249" s="40" t="s">
        <v>442</v>
      </c>
      <c r="P249" s="237" t="s">
        <v>443</v>
      </c>
      <c r="Q249" s="234" t="s">
        <v>127</v>
      </c>
      <c r="R249" s="795">
        <f>R209</f>
        <v>0.02</v>
      </c>
      <c r="S249" s="684"/>
      <c r="T249" s="14" t="s">
        <v>157</v>
      </c>
      <c r="V249" s="10"/>
    </row>
    <row r="250" spans="1:22" ht="18" hidden="1" customHeight="1">
      <c r="A250" s="9"/>
      <c r="B250" s="40"/>
      <c r="P250" s="237"/>
      <c r="Q250" s="234"/>
      <c r="R250" s="211"/>
      <c r="S250" s="27"/>
      <c r="T250" s="14"/>
      <c r="V250" s="10"/>
    </row>
    <row r="251" spans="1:22" s="7" customFormat="1" ht="18" hidden="1" customHeight="1">
      <c r="A251" s="382"/>
      <c r="B251" s="20"/>
      <c r="C251" s="20"/>
      <c r="D251" s="20"/>
      <c r="E251" s="20"/>
      <c r="F251" s="20"/>
      <c r="G251" s="20"/>
      <c r="H251" s="20"/>
      <c r="I251" s="20"/>
      <c r="J251" s="20"/>
      <c r="K251" s="20"/>
      <c r="L251" s="20"/>
      <c r="M251" s="20"/>
      <c r="N251" s="20"/>
      <c r="O251" s="20"/>
      <c r="P251" s="20"/>
      <c r="Q251" s="21"/>
      <c r="R251" s="22"/>
      <c r="S251" s="23"/>
      <c r="T251" s="20"/>
      <c r="U251" s="20"/>
      <c r="V251" s="134"/>
    </row>
    <row r="252" spans="1:22" ht="18" hidden="1" customHeight="1">
      <c r="A252" s="431" t="s">
        <v>455</v>
      </c>
      <c r="B252" s="432"/>
      <c r="C252" s="433"/>
      <c r="D252" s="434"/>
      <c r="E252" s="433"/>
      <c r="F252" s="434"/>
      <c r="G252" s="434"/>
      <c r="H252" s="432"/>
      <c r="I252" s="432"/>
      <c r="J252" s="432"/>
      <c r="K252" s="435"/>
      <c r="L252" s="435"/>
      <c r="M252" s="111"/>
      <c r="N252" s="434"/>
      <c r="O252" s="434"/>
      <c r="P252" s="435"/>
      <c r="Q252" s="436"/>
      <c r="R252" s="111"/>
      <c r="S252" s="111"/>
      <c r="T252" s="111"/>
      <c r="U252" s="111"/>
      <c r="V252" s="140"/>
    </row>
    <row r="253" spans="1:22" ht="18" hidden="1" customHeight="1">
      <c r="A253" s="96" t="s">
        <v>456</v>
      </c>
      <c r="B253" s="152"/>
      <c r="C253" s="437"/>
      <c r="D253" s="376"/>
      <c r="E253" s="437"/>
      <c r="F253" s="376"/>
      <c r="G253" s="376"/>
      <c r="H253" s="152"/>
      <c r="I253" s="152"/>
      <c r="J253" s="152"/>
      <c r="K253" s="153"/>
      <c r="L253" s="153"/>
      <c r="M253" s="7"/>
      <c r="N253" s="376"/>
      <c r="O253" s="376"/>
      <c r="P253" s="153"/>
      <c r="Q253" s="438"/>
      <c r="R253" s="7"/>
      <c r="S253" s="7"/>
      <c r="T253" s="7"/>
      <c r="U253" s="7"/>
      <c r="V253" s="112"/>
    </row>
    <row r="254" spans="1:22" ht="18" hidden="1" customHeight="1">
      <c r="A254" s="396"/>
      <c r="B254" s="152"/>
      <c r="C254" s="437"/>
      <c r="D254" s="7"/>
      <c r="E254" s="7"/>
      <c r="F254" s="7"/>
      <c r="G254" s="376"/>
      <c r="H254" s="439" t="s">
        <v>457</v>
      </c>
      <c r="I254" s="14" t="s">
        <v>458</v>
      </c>
      <c r="J254" s="7"/>
      <c r="K254" s="28" t="s">
        <v>459</v>
      </c>
      <c r="L254" s="28" t="s">
        <v>135</v>
      </c>
      <c r="M254" s="440"/>
      <c r="N254" s="376"/>
      <c r="O254" s="376"/>
      <c r="P254" s="102" t="s">
        <v>127</v>
      </c>
      <c r="Q254" s="28">
        <v>1</v>
      </c>
      <c r="R254" s="7"/>
      <c r="S254" s="7"/>
      <c r="T254" s="7"/>
      <c r="U254" s="7"/>
      <c r="V254" s="112"/>
    </row>
    <row r="255" spans="1:22" ht="18" hidden="1" customHeight="1">
      <c r="A255" s="396"/>
      <c r="B255" s="152"/>
      <c r="C255" s="437"/>
      <c r="D255" s="7"/>
      <c r="E255" s="7"/>
      <c r="F255" s="7"/>
      <c r="G255" s="376"/>
      <c r="H255" s="439"/>
      <c r="I255" s="14"/>
      <c r="J255" s="7"/>
      <c r="K255" s="28"/>
      <c r="L255" s="28"/>
      <c r="M255" s="440"/>
      <c r="N255" s="376"/>
      <c r="O255" s="376"/>
      <c r="P255" s="102"/>
      <c r="Q255" s="28"/>
      <c r="R255" s="7"/>
      <c r="S255" s="7"/>
      <c r="T255" s="7"/>
      <c r="U255" s="7"/>
      <c r="V255" s="112"/>
    </row>
    <row r="256" spans="1:22" ht="18" hidden="1" customHeight="1">
      <c r="A256" s="96" t="s">
        <v>460</v>
      </c>
      <c r="B256" s="152"/>
      <c r="C256" s="437"/>
      <c r="D256" s="376"/>
      <c r="E256" s="437"/>
      <c r="F256" s="376"/>
      <c r="G256" s="376"/>
      <c r="H256" s="152"/>
      <c r="I256" s="7"/>
      <c r="J256" s="7"/>
      <c r="K256" s="121"/>
      <c r="L256" s="121"/>
      <c r="M256" s="7"/>
      <c r="N256" s="376"/>
      <c r="O256" s="376"/>
      <c r="P256" s="153"/>
      <c r="Q256" s="438"/>
      <c r="V256" s="10"/>
    </row>
    <row r="257" spans="1:22" ht="18" hidden="1" customHeight="1">
      <c r="A257" s="96" t="s">
        <v>461</v>
      </c>
      <c r="B257" s="152"/>
      <c r="C257" s="437"/>
      <c r="D257" s="376"/>
      <c r="E257" s="437"/>
      <c r="F257" s="376"/>
      <c r="G257" s="376"/>
      <c r="H257" s="152"/>
      <c r="I257" s="7"/>
      <c r="J257" s="7"/>
      <c r="K257" s="121"/>
      <c r="L257" s="121"/>
      <c r="M257" s="7"/>
      <c r="N257" s="376"/>
      <c r="O257" s="376"/>
      <c r="P257" s="153"/>
      <c r="Q257" s="438"/>
      <c r="V257" s="10"/>
    </row>
    <row r="258" spans="1:22" ht="18" hidden="1" customHeight="1">
      <c r="A258" s="396"/>
      <c r="B258" s="152"/>
      <c r="C258" s="437"/>
      <c r="D258" s="7"/>
      <c r="E258" s="7"/>
      <c r="F258" s="7"/>
      <c r="G258" s="376"/>
      <c r="H258" s="439" t="s">
        <v>457</v>
      </c>
      <c r="I258" s="14" t="s">
        <v>462</v>
      </c>
      <c r="J258" s="7"/>
      <c r="K258" s="28" t="s">
        <v>459</v>
      </c>
      <c r="L258" s="28" t="s">
        <v>451</v>
      </c>
      <c r="M258" s="440"/>
      <c r="N258" s="376"/>
      <c r="O258" s="376"/>
      <c r="P258" s="102" t="s">
        <v>127</v>
      </c>
      <c r="Q258" s="28">
        <v>3</v>
      </c>
      <c r="V258" s="10"/>
    </row>
    <row r="259" spans="1:22" ht="18" hidden="1" customHeight="1">
      <c r="A259" s="396"/>
      <c r="B259" s="152"/>
      <c r="C259" s="437"/>
      <c r="D259" s="7"/>
      <c r="E259" s="7"/>
      <c r="F259" s="7"/>
      <c r="G259" s="376"/>
      <c r="H259" s="439"/>
      <c r="I259" s="14"/>
      <c r="J259" s="7"/>
      <c r="K259" s="28"/>
      <c r="L259" s="28"/>
      <c r="M259" s="440"/>
      <c r="N259" s="376"/>
      <c r="O259" s="376"/>
      <c r="P259" s="102"/>
      <c r="Q259" s="28"/>
      <c r="V259" s="10"/>
    </row>
    <row r="260" spans="1:22" ht="18" hidden="1" customHeight="1">
      <c r="A260" s="193" t="s">
        <v>416</v>
      </c>
      <c r="V260" s="10"/>
    </row>
    <row r="261" spans="1:22" ht="18" hidden="1" customHeight="1">
      <c r="A261" s="114"/>
      <c r="B261" s="7"/>
      <c r="C261" s="7"/>
      <c r="D261" s="7"/>
      <c r="E261" s="7"/>
      <c r="F261" s="7"/>
      <c r="G261" s="14" t="s">
        <v>463</v>
      </c>
      <c r="H261" s="7"/>
      <c r="I261" s="7"/>
      <c r="J261" s="7"/>
      <c r="K261" s="28" t="s">
        <v>127</v>
      </c>
      <c r="L261" s="692">
        <f>L95</f>
        <v>47.727272727272727</v>
      </c>
      <c r="M261" s="689"/>
      <c r="N261" s="28" t="s">
        <v>464</v>
      </c>
      <c r="O261" s="28" t="s">
        <v>135</v>
      </c>
      <c r="P261" s="28" t="s">
        <v>127</v>
      </c>
      <c r="Q261" s="28">
        <f>IF(L261&lt;=400,Q254,Q255)</f>
        <v>1</v>
      </c>
      <c r="R261" s="7"/>
      <c r="S261" s="7"/>
      <c r="T261" s="7"/>
      <c r="V261" s="10"/>
    </row>
    <row r="262" spans="1:22" ht="18" hidden="1" customHeight="1">
      <c r="A262" s="799" t="s">
        <v>417</v>
      </c>
      <c r="B262" s="800"/>
      <c r="C262" s="800"/>
      <c r="D262" s="808">
        <f>R242</f>
        <v>50000</v>
      </c>
      <c r="E262" s="818"/>
      <c r="F262" s="805" t="s">
        <v>315</v>
      </c>
      <c r="G262" s="809">
        <f>R245</f>
        <v>1</v>
      </c>
      <c r="H262" s="821"/>
      <c r="I262" s="805" t="s">
        <v>315</v>
      </c>
      <c r="J262" s="822">
        <f>Q261</f>
        <v>1</v>
      </c>
      <c r="K262" s="805" t="s">
        <v>315</v>
      </c>
      <c r="L262" s="808" t="s">
        <v>419</v>
      </c>
      <c r="M262" s="815">
        <f>R247</f>
        <v>3</v>
      </c>
      <c r="N262" s="816" t="s">
        <v>347</v>
      </c>
      <c r="O262" s="817">
        <f>R248</f>
        <v>1.0970224400000002</v>
      </c>
      <c r="P262" s="805" t="s">
        <v>347</v>
      </c>
      <c r="Q262" s="807">
        <f>R249</f>
        <v>0.02</v>
      </c>
      <c r="R262" s="807"/>
      <c r="S262" s="807"/>
      <c r="T262" s="798" t="s">
        <v>350</v>
      </c>
      <c r="U262" s="230" t="s">
        <v>422</v>
      </c>
      <c r="V262" s="112"/>
    </row>
    <row r="263" spans="1:22" ht="18" hidden="1" customHeight="1">
      <c r="A263" s="801"/>
      <c r="B263" s="800"/>
      <c r="C263" s="800"/>
      <c r="D263" s="818"/>
      <c r="E263" s="818"/>
      <c r="F263" s="805"/>
      <c r="G263" s="805" t="str">
        <f>R241</f>
        <v>-</v>
      </c>
      <c r="H263" s="818"/>
      <c r="I263" s="805"/>
      <c r="J263" s="805"/>
      <c r="K263" s="805"/>
      <c r="L263" s="808"/>
      <c r="M263" s="815"/>
      <c r="N263" s="816"/>
      <c r="O263" s="815"/>
      <c r="P263" s="805"/>
      <c r="Q263" s="221">
        <f>R246</f>
        <v>1</v>
      </c>
      <c r="R263" s="221" t="s">
        <v>315</v>
      </c>
      <c r="S263" s="221">
        <f>R246</f>
        <v>1</v>
      </c>
      <c r="T263" s="798"/>
      <c r="U263" s="7"/>
      <c r="V263" s="112"/>
    </row>
    <row r="264" spans="1:22" ht="18" hidden="1" customHeight="1">
      <c r="A264" s="9"/>
      <c r="V264" s="10"/>
    </row>
    <row r="265" spans="1:22" ht="18" hidden="1" customHeight="1">
      <c r="A265" s="9"/>
      <c r="C265" s="27" t="s">
        <v>127</v>
      </c>
      <c r="D265" s="819" t="e">
        <f>D262*(G262/G263)*J262*(M262+O262+(Q262/(Q263*S263)))</f>
        <v>#VALUE!</v>
      </c>
      <c r="E265" s="820"/>
      <c r="F265" s="27" t="s">
        <v>305</v>
      </c>
      <c r="V265" s="10"/>
    </row>
    <row r="266" spans="1:22" ht="18" hidden="1" customHeight="1">
      <c r="A266" s="9"/>
      <c r="V266" s="10"/>
    </row>
    <row r="267" spans="1:22" ht="18" hidden="1" customHeight="1">
      <c r="A267" s="193" t="s">
        <v>465</v>
      </c>
      <c r="V267" s="10"/>
    </row>
    <row r="268" spans="1:22" ht="18" hidden="1" customHeight="1">
      <c r="A268" s="9"/>
      <c r="E268" s="30" t="s">
        <v>466</v>
      </c>
      <c r="K268" s="27" t="s">
        <v>127</v>
      </c>
      <c r="L268" s="795">
        <f>L102</f>
        <v>41.979419477826461</v>
      </c>
      <c r="M268" s="684"/>
      <c r="N268" s="27" t="s">
        <v>464</v>
      </c>
      <c r="O268" s="28" t="s">
        <v>451</v>
      </c>
      <c r="P268" s="27" t="s">
        <v>127</v>
      </c>
      <c r="Q268" s="27">
        <f>IF(L268&lt;=200,Q258,Q259)</f>
        <v>3</v>
      </c>
      <c r="V268" s="10"/>
    </row>
    <row r="269" spans="1:22" ht="18" hidden="1" customHeight="1">
      <c r="A269" s="799" t="s">
        <v>417</v>
      </c>
      <c r="B269" s="800"/>
      <c r="C269" s="800"/>
      <c r="D269" s="814">
        <f>R243</f>
        <v>43584.822413584639</v>
      </c>
      <c r="E269" s="811"/>
      <c r="F269" s="805" t="s">
        <v>315</v>
      </c>
      <c r="G269" s="809">
        <f>R245</f>
        <v>1</v>
      </c>
      <c r="H269" s="810"/>
      <c r="I269" s="805" t="s">
        <v>315</v>
      </c>
      <c r="J269" s="852">
        <f>Q268</f>
        <v>3</v>
      </c>
      <c r="K269" s="805" t="s">
        <v>315</v>
      </c>
      <c r="L269" s="808" t="s">
        <v>419</v>
      </c>
      <c r="M269" s="815">
        <f>R247</f>
        <v>3</v>
      </c>
      <c r="N269" s="816" t="s">
        <v>347</v>
      </c>
      <c r="O269" s="817">
        <f>R248</f>
        <v>1.0970224400000002</v>
      </c>
      <c r="P269" s="805" t="s">
        <v>347</v>
      </c>
      <c r="Q269" s="807">
        <f>R249</f>
        <v>0.02</v>
      </c>
      <c r="R269" s="807"/>
      <c r="S269" s="807"/>
      <c r="T269" s="798" t="s">
        <v>350</v>
      </c>
      <c r="U269" s="230" t="s">
        <v>426</v>
      </c>
      <c r="V269" s="112"/>
    </row>
    <row r="270" spans="1:22" ht="18" hidden="1" customHeight="1">
      <c r="A270" s="801"/>
      <c r="B270" s="800"/>
      <c r="C270" s="800"/>
      <c r="D270" s="811"/>
      <c r="E270" s="811"/>
      <c r="F270" s="805"/>
      <c r="G270" s="805" t="str">
        <f>R241</f>
        <v>-</v>
      </c>
      <c r="H270" s="811"/>
      <c r="I270" s="805"/>
      <c r="J270" s="805"/>
      <c r="K270" s="805"/>
      <c r="L270" s="808"/>
      <c r="M270" s="815"/>
      <c r="N270" s="816"/>
      <c r="O270" s="815"/>
      <c r="P270" s="805"/>
      <c r="Q270" s="221">
        <f>R246</f>
        <v>1</v>
      </c>
      <c r="R270" s="221" t="s">
        <v>315</v>
      </c>
      <c r="S270" s="221">
        <f>R246</f>
        <v>1</v>
      </c>
      <c r="T270" s="798"/>
      <c r="U270" s="7"/>
      <c r="V270" s="112"/>
    </row>
    <row r="271" spans="1:22" ht="18" hidden="1" customHeight="1">
      <c r="A271" s="9"/>
      <c r="V271" s="10"/>
    </row>
    <row r="272" spans="1:22" ht="18" hidden="1" customHeight="1">
      <c r="A272" s="9"/>
      <c r="C272" s="27" t="s">
        <v>127</v>
      </c>
      <c r="D272" s="819" t="e">
        <f>D269*(G269/G270)*J269*(M269+O269+(Q269/(Q270*S270)))</f>
        <v>#VALUE!</v>
      </c>
      <c r="E272" s="820"/>
      <c r="F272" s="27" t="s">
        <v>305</v>
      </c>
      <c r="V272" s="10"/>
    </row>
    <row r="273" spans="1:22" ht="18" hidden="1" customHeight="1">
      <c r="A273" s="9"/>
      <c r="V273" s="10"/>
    </row>
    <row r="274" spans="1:22" ht="18" hidden="1" customHeight="1">
      <c r="A274" s="193" t="s">
        <v>467</v>
      </c>
      <c r="V274" s="10"/>
    </row>
    <row r="275" spans="1:22" ht="18" hidden="1" customHeight="1">
      <c r="A275" s="9"/>
      <c r="E275" s="30" t="s">
        <v>468</v>
      </c>
      <c r="K275" s="27" t="s">
        <v>127</v>
      </c>
      <c r="L275" s="795">
        <f>L109</f>
        <v>29.635036773964003</v>
      </c>
      <c r="M275" s="684"/>
      <c r="N275" s="27" t="s">
        <v>464</v>
      </c>
      <c r="O275" s="28" t="s">
        <v>451</v>
      </c>
      <c r="P275" s="27" t="s">
        <v>127</v>
      </c>
      <c r="Q275" s="27">
        <f>IF(L275&lt;=200,Q258,Q259)</f>
        <v>3</v>
      </c>
      <c r="V275" s="10"/>
    </row>
    <row r="276" spans="1:22" ht="18" hidden="1" customHeight="1">
      <c r="A276" s="799" t="s">
        <v>417</v>
      </c>
      <c r="B276" s="800"/>
      <c r="C276" s="800"/>
      <c r="D276" s="814">
        <f>R244</f>
        <v>44648.255952235893</v>
      </c>
      <c r="E276" s="811"/>
      <c r="F276" s="805" t="s">
        <v>315</v>
      </c>
      <c r="G276" s="809">
        <f>R245</f>
        <v>1</v>
      </c>
      <c r="H276" s="810"/>
      <c r="I276" s="805" t="s">
        <v>315</v>
      </c>
      <c r="J276" s="852">
        <f>Q275</f>
        <v>3</v>
      </c>
      <c r="K276" s="805" t="s">
        <v>315</v>
      </c>
      <c r="L276" s="808" t="s">
        <v>419</v>
      </c>
      <c r="M276" s="815">
        <f>R247</f>
        <v>3</v>
      </c>
      <c r="N276" s="816" t="s">
        <v>347</v>
      </c>
      <c r="O276" s="817">
        <f>R248</f>
        <v>1.0970224400000002</v>
      </c>
      <c r="P276" s="805" t="s">
        <v>347</v>
      </c>
      <c r="Q276" s="807">
        <f>R249</f>
        <v>0.02</v>
      </c>
      <c r="R276" s="807"/>
      <c r="S276" s="807"/>
      <c r="T276" s="798" t="s">
        <v>350</v>
      </c>
      <c r="U276" s="230" t="s">
        <v>426</v>
      </c>
      <c r="V276" s="112"/>
    </row>
    <row r="277" spans="1:22" ht="18" hidden="1" customHeight="1">
      <c r="A277" s="801"/>
      <c r="B277" s="800"/>
      <c r="C277" s="800"/>
      <c r="D277" s="811"/>
      <c r="E277" s="811"/>
      <c r="F277" s="805"/>
      <c r="G277" s="805" t="str">
        <f>R241</f>
        <v>-</v>
      </c>
      <c r="H277" s="811"/>
      <c r="I277" s="805"/>
      <c r="J277" s="805"/>
      <c r="K277" s="805"/>
      <c r="L277" s="808"/>
      <c r="M277" s="815"/>
      <c r="N277" s="816"/>
      <c r="O277" s="815"/>
      <c r="P277" s="805"/>
      <c r="Q277" s="221">
        <f>R246</f>
        <v>1</v>
      </c>
      <c r="R277" s="221" t="s">
        <v>315</v>
      </c>
      <c r="S277" s="221">
        <f>R246</f>
        <v>1</v>
      </c>
      <c r="T277" s="798"/>
      <c r="U277" s="7"/>
      <c r="V277" s="112"/>
    </row>
    <row r="278" spans="1:22" ht="18" hidden="1" customHeight="1">
      <c r="A278" s="9"/>
      <c r="V278" s="10"/>
    </row>
    <row r="279" spans="1:22" ht="18" hidden="1" customHeight="1">
      <c r="A279" s="9"/>
      <c r="C279" s="27" t="s">
        <v>127</v>
      </c>
      <c r="D279" s="819" t="e">
        <f>D276*(G276/G277)*J276*(M276+O276+(Q276/(Q277*S277)))</f>
        <v>#VALUE!</v>
      </c>
      <c r="E279" s="820"/>
      <c r="F279" s="27" t="s">
        <v>305</v>
      </c>
      <c r="V279" s="10"/>
    </row>
    <row r="280" spans="1:22" ht="18" hidden="1" customHeight="1">
      <c r="A280" s="9"/>
      <c r="V280" s="10"/>
    </row>
    <row r="281" spans="1:22" ht="18" hidden="1" customHeight="1">
      <c r="A281" s="184" t="s">
        <v>469</v>
      </c>
      <c r="M281" s="825" t="str">
        <f>J176</f>
        <v>-</v>
      </c>
      <c r="N281" s="826"/>
      <c r="O281" s="30" t="s">
        <v>470</v>
      </c>
      <c r="Q281" s="812" t="e">
        <f>MAX(D216,D222,D228,D265,D272,D279)</f>
        <v>#VALUE!</v>
      </c>
      <c r="R281" s="820"/>
      <c r="S281" s="30" t="s">
        <v>305</v>
      </c>
      <c r="V281" s="10"/>
    </row>
    <row r="282" spans="1:22" ht="18" hidden="1" customHeight="1">
      <c r="A282" s="351" t="s">
        <v>471</v>
      </c>
      <c r="B282" s="7"/>
      <c r="C282" s="7"/>
      <c r="D282" s="441"/>
      <c r="E282" s="7"/>
      <c r="F282" s="7"/>
      <c r="G282" s="372"/>
      <c r="H282" s="7"/>
      <c r="J282" s="7"/>
      <c r="K282" s="7"/>
      <c r="L282" s="7"/>
      <c r="M282" s="7"/>
      <c r="N282" s="7"/>
      <c r="O282" s="7"/>
      <c r="P282" s="250"/>
      <c r="Q282" s="251"/>
      <c r="R282" s="372"/>
      <c r="S282" s="7"/>
      <c r="V282" s="10"/>
    </row>
    <row r="283" spans="1:22" ht="18" hidden="1" customHeight="1">
      <c r="A283" s="96" t="s">
        <v>472</v>
      </c>
      <c r="V283" s="10"/>
    </row>
    <row r="284" spans="1:22" ht="18" hidden="1" customHeight="1">
      <c r="A284" s="9"/>
      <c r="N284" s="7"/>
      <c r="O284" s="28" t="s">
        <v>473</v>
      </c>
      <c r="P284" s="102" t="s">
        <v>127</v>
      </c>
      <c r="Q284" s="694" t="s">
        <v>474</v>
      </c>
      <c r="R284" s="694"/>
      <c r="S284" s="28" t="s">
        <v>315</v>
      </c>
      <c r="T284" s="28">
        <v>0.8</v>
      </c>
      <c r="V284" s="10"/>
    </row>
    <row r="285" spans="1:22" ht="18" hidden="1" customHeight="1">
      <c r="A285" s="9"/>
      <c r="N285" s="252"/>
      <c r="O285" s="28"/>
      <c r="P285" s="102" t="s">
        <v>127</v>
      </c>
      <c r="Q285" s="829" t="e">
        <f>+Q281</f>
        <v>#VALUE!</v>
      </c>
      <c r="R285" s="708"/>
      <c r="S285" s="222" t="s">
        <v>315</v>
      </c>
      <c r="T285" s="253">
        <f>+T284</f>
        <v>0.8</v>
      </c>
      <c r="V285" s="10"/>
    </row>
    <row r="286" spans="1:22" ht="18" hidden="1" customHeight="1">
      <c r="A286" s="9"/>
      <c r="O286" s="28"/>
      <c r="P286" s="28" t="s">
        <v>127</v>
      </c>
      <c r="Q286" s="830" t="e">
        <f>Q285*T285</f>
        <v>#VALUE!</v>
      </c>
      <c r="R286" s="776"/>
      <c r="S286" s="28" t="s">
        <v>305</v>
      </c>
      <c r="T286" s="28"/>
      <c r="V286" s="10"/>
    </row>
    <row r="287" spans="1:22" ht="18" hidden="1" customHeight="1">
      <c r="A287" s="9"/>
      <c r="D287" s="30" t="s">
        <v>475</v>
      </c>
      <c r="G287" s="27" t="e">
        <f>IF(E288&gt;H288,"&gt;","&lt;")</f>
        <v>#VALUE!</v>
      </c>
      <c r="H287" s="296" t="s">
        <v>477</v>
      </c>
      <c r="I287" s="27"/>
      <c r="O287" s="7"/>
      <c r="P287" s="7"/>
      <c r="Q287" s="7"/>
      <c r="R287" s="7"/>
      <c r="S287" s="7"/>
      <c r="T287" s="7"/>
      <c r="V287" s="10"/>
    </row>
    <row r="288" spans="1:22" ht="18" hidden="1" customHeight="1">
      <c r="A288" s="9"/>
      <c r="E288" s="684">
        <f>J179</f>
        <v>200</v>
      </c>
      <c r="F288" s="684"/>
      <c r="G288" s="27" t="e">
        <f>G287</f>
        <v>#VALUE!</v>
      </c>
      <c r="H288" s="795" t="e">
        <f>Q286</f>
        <v>#VALUE!</v>
      </c>
      <c r="I288" s="684"/>
      <c r="V288" s="10"/>
    </row>
    <row r="289" spans="1:29" ht="18" hidden="1" customHeight="1">
      <c r="A289" s="9"/>
      <c r="F289" s="244" t="s">
        <v>478</v>
      </c>
      <c r="H289" s="18" t="e">
        <f>IF(G287="&gt;","Suitably Dimensioned","Under Dimensioned")</f>
        <v>#VALUE!</v>
      </c>
      <c r="V289" s="10"/>
    </row>
    <row r="290" spans="1:29" ht="18" hidden="1" customHeight="1">
      <c r="A290" s="9"/>
      <c r="F290" s="244"/>
      <c r="H290" s="18"/>
      <c r="V290" s="10"/>
    </row>
    <row r="291" spans="1:29" s="7" customFormat="1" ht="18" hidden="1" customHeight="1">
      <c r="A291" s="382"/>
      <c r="B291" s="20"/>
      <c r="C291" s="20"/>
      <c r="D291" s="20"/>
      <c r="E291" s="20"/>
      <c r="F291" s="20"/>
      <c r="G291" s="20"/>
      <c r="H291" s="20"/>
      <c r="I291" s="20"/>
      <c r="J291" s="20"/>
      <c r="K291" s="20"/>
      <c r="L291" s="20"/>
      <c r="M291" s="20"/>
      <c r="N291" s="20"/>
      <c r="O291" s="20"/>
      <c r="P291" s="20"/>
      <c r="Q291" s="21"/>
      <c r="R291" s="22"/>
      <c r="S291" s="23"/>
      <c r="T291" s="20"/>
      <c r="U291" s="20"/>
      <c r="V291" s="134"/>
    </row>
    <row r="292" spans="1:29" ht="18" hidden="1" customHeight="1">
      <c r="A292" s="442"/>
      <c r="B292" s="384"/>
      <c r="C292" s="384"/>
      <c r="D292" s="384"/>
      <c r="E292" s="384"/>
      <c r="F292" s="384"/>
      <c r="G292" s="384"/>
      <c r="H292" s="384"/>
      <c r="I292" s="384"/>
      <c r="J292" s="384"/>
      <c r="K292" s="384"/>
      <c r="L292" s="384"/>
      <c r="M292" s="384"/>
      <c r="N292" s="384"/>
      <c r="O292" s="384"/>
      <c r="P292" s="384"/>
      <c r="Q292" s="384"/>
      <c r="R292" s="384"/>
      <c r="S292" s="384"/>
      <c r="T292" s="384"/>
      <c r="U292" s="384"/>
      <c r="V292" s="395"/>
    </row>
    <row r="293" spans="1:29" ht="18" hidden="1" customHeight="1">
      <c r="A293" s="9"/>
      <c r="B293" s="854" t="str">
        <f>B173</f>
        <v>T1</v>
      </c>
      <c r="C293" s="831"/>
      <c r="D293" s="855" t="str">
        <f>D173</f>
        <v>Core1</v>
      </c>
      <c r="E293" s="856"/>
      <c r="F293" s="689">
        <f>F173</f>
        <v>0</v>
      </c>
      <c r="G293" s="689"/>
      <c r="H293" s="689" t="str">
        <f>H173</f>
        <v>(Diff. + Dist.)</v>
      </c>
      <c r="I293" s="689"/>
      <c r="J293" s="689"/>
      <c r="K293" s="689"/>
      <c r="L293" s="689"/>
      <c r="M293" s="689"/>
      <c r="P293" s="186"/>
      <c r="S293" s="187" t="s">
        <v>387</v>
      </c>
      <c r="T293" s="854" t="str">
        <f>T173</f>
        <v>RED670</v>
      </c>
      <c r="U293" s="831"/>
      <c r="V293" s="10"/>
    </row>
    <row r="294" spans="1:29" ht="18" hidden="1" customHeight="1">
      <c r="A294" s="9"/>
      <c r="B294" s="853">
        <f>B174</f>
        <v>0</v>
      </c>
      <c r="C294" s="853"/>
      <c r="D294" s="857"/>
      <c r="E294" s="858"/>
      <c r="F294" s="448"/>
      <c r="T294" s="854">
        <f>T174</f>
        <v>0</v>
      </c>
      <c r="U294" s="831"/>
      <c r="V294" s="10"/>
    </row>
    <row r="295" spans="1:29" ht="18" hidden="1" customHeight="1">
      <c r="A295" s="9"/>
      <c r="H295" s="708" t="s">
        <v>390</v>
      </c>
      <c r="I295" s="708"/>
      <c r="J295" s="790" t="s">
        <v>391</v>
      </c>
      <c r="K295" s="790"/>
      <c r="L295" s="789" t="s">
        <v>392</v>
      </c>
      <c r="M295" s="789"/>
      <c r="T295" s="854">
        <f>T175</f>
        <v>0</v>
      </c>
      <c r="U295" s="831"/>
      <c r="V295" s="10"/>
    </row>
    <row r="296" spans="1:29" ht="18" hidden="1" customHeight="1">
      <c r="A296" s="9"/>
      <c r="B296" s="47" t="s">
        <v>393</v>
      </c>
      <c r="H296" s="854">
        <f>H176</f>
        <v>2500</v>
      </c>
      <c r="I296" s="831"/>
      <c r="J296" s="854" t="str">
        <f>J176</f>
        <v>-</v>
      </c>
      <c r="K296" s="831"/>
      <c r="L296" s="863" t="str">
        <f>L176</f>
        <v>-</v>
      </c>
      <c r="M296" s="864"/>
      <c r="N296" s="123" t="s">
        <v>342</v>
      </c>
      <c r="O296" s="256">
        <f>O176</f>
        <v>1</v>
      </c>
      <c r="P296" s="425" t="s">
        <v>8</v>
      </c>
      <c r="V296" s="10"/>
    </row>
    <row r="297" spans="1:29" ht="18" hidden="1" customHeight="1">
      <c r="A297" s="9"/>
      <c r="B297" s="47" t="s">
        <v>394</v>
      </c>
      <c r="L297" s="854" t="str">
        <f>J177</f>
        <v>PX-A</v>
      </c>
      <c r="M297" s="831"/>
      <c r="V297" s="10"/>
    </row>
    <row r="298" spans="1:29" ht="18" hidden="1" customHeight="1">
      <c r="A298" s="9"/>
      <c r="B298" s="47" t="s">
        <v>396</v>
      </c>
      <c r="K298" s="120" t="s">
        <v>497</v>
      </c>
      <c r="L298" s="781" t="s">
        <v>6</v>
      </c>
      <c r="M298" s="782"/>
      <c r="N298" s="192" t="s">
        <v>333</v>
      </c>
      <c r="V298" s="10"/>
    </row>
    <row r="299" spans="1:29" ht="18" hidden="1" customHeight="1">
      <c r="A299" s="9"/>
      <c r="B299" s="47" t="s">
        <v>398</v>
      </c>
      <c r="K299" s="120" t="s">
        <v>498</v>
      </c>
      <c r="L299" s="781" t="s">
        <v>6</v>
      </c>
      <c r="M299" s="782"/>
      <c r="N299" s="14" t="s">
        <v>305</v>
      </c>
      <c r="V299" s="10"/>
      <c r="W299" s="30" t="s">
        <v>400</v>
      </c>
      <c r="AB299" s="785" t="e">
        <f>Q415</f>
        <v>#VALUE!</v>
      </c>
      <c r="AC299" s="786"/>
    </row>
    <row r="300" spans="1:29" ht="18" hidden="1" customHeight="1">
      <c r="A300" s="9"/>
      <c r="B300" s="14" t="s">
        <v>401</v>
      </c>
      <c r="K300" s="120" t="s">
        <v>402</v>
      </c>
      <c r="L300" s="781" t="s">
        <v>6</v>
      </c>
      <c r="M300" s="782"/>
      <c r="N300" s="14" t="s">
        <v>403</v>
      </c>
      <c r="V300" s="10"/>
    </row>
    <row r="301" spans="1:29" ht="18" hidden="1" customHeight="1">
      <c r="A301" s="9"/>
      <c r="V301" s="10"/>
    </row>
    <row r="302" spans="1:29" ht="18" hidden="1" customHeight="1">
      <c r="A302" s="116" t="s">
        <v>404</v>
      </c>
      <c r="V302" s="10"/>
    </row>
    <row r="303" spans="1:29" ht="18" hidden="1" customHeight="1">
      <c r="A303" s="9"/>
      <c r="V303" s="10"/>
    </row>
    <row r="304" spans="1:29" ht="18" hidden="1" customHeight="1">
      <c r="A304" s="9"/>
      <c r="B304" s="194" t="s">
        <v>405</v>
      </c>
      <c r="C304" s="195"/>
      <c r="D304" s="195" t="str">
        <f>T293</f>
        <v>RED670</v>
      </c>
      <c r="E304" s="423"/>
      <c r="F304" s="423"/>
      <c r="G304" s="423"/>
      <c r="H304" s="182" t="s">
        <v>406</v>
      </c>
      <c r="I304" s="183" t="s">
        <v>127</v>
      </c>
      <c r="J304" s="766">
        <f>J184</f>
        <v>0.02</v>
      </c>
      <c r="K304" s="859"/>
      <c r="L304" s="202" t="s">
        <v>157</v>
      </c>
      <c r="N304" s="197" t="s">
        <v>407</v>
      </c>
      <c r="V304" s="10"/>
    </row>
    <row r="305" spans="1:22" ht="18" hidden="1" customHeight="1">
      <c r="A305" s="9"/>
      <c r="B305" s="184" t="s">
        <v>405</v>
      </c>
      <c r="D305" s="424">
        <f>T294</f>
        <v>0</v>
      </c>
      <c r="I305" s="28" t="s">
        <v>127</v>
      </c>
      <c r="J305" s="766">
        <f>J185</f>
        <v>0</v>
      </c>
      <c r="K305" s="796"/>
      <c r="L305" s="297" t="s">
        <v>157</v>
      </c>
      <c r="V305" s="10"/>
    </row>
    <row r="306" spans="1:22" ht="18" hidden="1" customHeight="1">
      <c r="A306" s="9"/>
      <c r="B306" s="184" t="s">
        <v>405</v>
      </c>
      <c r="D306" s="424">
        <f>T295</f>
        <v>0</v>
      </c>
      <c r="E306" s="14"/>
      <c r="G306" s="199"/>
      <c r="H306" s="425"/>
      <c r="I306" s="101" t="s">
        <v>127</v>
      </c>
      <c r="J306" s="696">
        <f>J186</f>
        <v>0</v>
      </c>
      <c r="K306" s="860"/>
      <c r="L306" s="426" t="s">
        <v>157</v>
      </c>
      <c r="N306" s="27" t="s">
        <v>408</v>
      </c>
      <c r="O306" s="27" t="s">
        <v>127</v>
      </c>
      <c r="P306" s="27" t="s">
        <v>409</v>
      </c>
      <c r="Q306" s="191" t="s">
        <v>410</v>
      </c>
      <c r="R306" s="27" t="s">
        <v>411</v>
      </c>
      <c r="S306" s="27" t="s">
        <v>315</v>
      </c>
      <c r="T306" s="27" t="s">
        <v>411</v>
      </c>
      <c r="U306" s="30" t="s">
        <v>350</v>
      </c>
      <c r="V306" s="10"/>
    </row>
    <row r="307" spans="1:22" ht="18" hidden="1" customHeight="1">
      <c r="A307" s="9"/>
      <c r="B307" s="184" t="s">
        <v>412</v>
      </c>
      <c r="H307" s="425"/>
      <c r="I307" s="427" t="s">
        <v>127</v>
      </c>
      <c r="J307" s="861">
        <f>J187</f>
        <v>1.0770224400000001</v>
      </c>
      <c r="K307" s="862"/>
      <c r="L307" s="426" t="s">
        <v>157</v>
      </c>
      <c r="O307" s="27" t="s">
        <v>127</v>
      </c>
      <c r="P307" s="211">
        <f>J308</f>
        <v>1.0770224400000001</v>
      </c>
      <c r="Q307" s="191" t="s">
        <v>410</v>
      </c>
      <c r="R307" s="27">
        <f>O296</f>
        <v>1</v>
      </c>
      <c r="S307" s="27" t="s">
        <v>315</v>
      </c>
      <c r="T307" s="27">
        <f>O296</f>
        <v>1</v>
      </c>
      <c r="U307" s="30" t="s">
        <v>350</v>
      </c>
      <c r="V307" s="10"/>
    </row>
    <row r="308" spans="1:22" ht="18" hidden="1" customHeight="1">
      <c r="A308" s="9"/>
      <c r="B308" s="205" t="s">
        <v>413</v>
      </c>
      <c r="C308" s="206"/>
      <c r="D308" s="206"/>
      <c r="E308" s="206"/>
      <c r="F308" s="346"/>
      <c r="G308" s="346"/>
      <c r="H308" s="190" t="s">
        <v>409</v>
      </c>
      <c r="I308" s="208" t="s">
        <v>127</v>
      </c>
      <c r="J308" s="766">
        <f>SUM(J305:K307)</f>
        <v>1.0770224400000001</v>
      </c>
      <c r="K308" s="796"/>
      <c r="L308" s="428" t="s">
        <v>157</v>
      </c>
      <c r="O308" s="27" t="s">
        <v>127</v>
      </c>
      <c r="P308" s="795">
        <f>P307/(R307*T307)</f>
        <v>1.0770224400000001</v>
      </c>
      <c r="Q308" s="795"/>
      <c r="R308" s="192" t="s">
        <v>333</v>
      </c>
      <c r="V308" s="10"/>
    </row>
    <row r="309" spans="1:22" ht="18" hidden="1" customHeight="1">
      <c r="A309" s="9"/>
      <c r="V309" s="10"/>
    </row>
    <row r="310" spans="1:22" ht="18" hidden="1" customHeight="1">
      <c r="A310" s="116" t="s">
        <v>414</v>
      </c>
      <c r="V310" s="10"/>
    </row>
    <row r="311" spans="1:22" ht="18" hidden="1" customHeight="1">
      <c r="A311" s="678" t="s">
        <v>499</v>
      </c>
      <c r="B311" s="679"/>
      <c r="C311" s="679"/>
      <c r="D311" s="679"/>
      <c r="E311" s="679"/>
      <c r="F311" s="679"/>
      <c r="G311" s="679"/>
      <c r="H311" s="679"/>
      <c r="I311" s="679"/>
      <c r="J311" s="679"/>
      <c r="K311" s="679"/>
      <c r="L311" s="679"/>
      <c r="M311" s="679"/>
      <c r="N311" s="679"/>
      <c r="O311" s="679"/>
      <c r="P311" s="679"/>
      <c r="Q311" s="679"/>
      <c r="R311" s="679"/>
      <c r="S311" s="679"/>
      <c r="T311" s="679"/>
      <c r="U311" s="679"/>
      <c r="V311" s="680"/>
    </row>
    <row r="312" spans="1:22" ht="18" hidden="1" customHeight="1">
      <c r="A312" s="678"/>
      <c r="B312" s="679"/>
      <c r="C312" s="679"/>
      <c r="D312" s="679"/>
      <c r="E312" s="679"/>
      <c r="F312" s="679"/>
      <c r="G312" s="679"/>
      <c r="H312" s="679"/>
      <c r="I312" s="679"/>
      <c r="J312" s="679"/>
      <c r="K312" s="679"/>
      <c r="L312" s="679"/>
      <c r="M312" s="679"/>
      <c r="N312" s="679"/>
      <c r="O312" s="679"/>
      <c r="P312" s="679"/>
      <c r="Q312" s="679"/>
      <c r="R312" s="679"/>
      <c r="S312" s="679"/>
      <c r="T312" s="679"/>
      <c r="U312" s="679"/>
      <c r="V312" s="680"/>
    </row>
    <row r="313" spans="1:22" ht="18" hidden="1" customHeight="1">
      <c r="A313" s="193" t="s">
        <v>416</v>
      </c>
      <c r="V313" s="10"/>
    </row>
    <row r="314" spans="1:22" ht="18" hidden="1" customHeight="1">
      <c r="A314" s="799" t="s">
        <v>417</v>
      </c>
      <c r="B314" s="800"/>
      <c r="C314" s="800"/>
      <c r="D314" s="14"/>
      <c r="E314" s="7"/>
      <c r="F314" s="802" t="s">
        <v>418</v>
      </c>
      <c r="G314" s="804"/>
      <c r="H314" s="689" t="s">
        <v>315</v>
      </c>
      <c r="I314" s="708" t="s">
        <v>411</v>
      </c>
      <c r="J314" s="803"/>
      <c r="K314" s="689" t="s">
        <v>315</v>
      </c>
      <c r="L314" s="802" t="s">
        <v>419</v>
      </c>
      <c r="M314" s="689" t="s">
        <v>420</v>
      </c>
      <c r="N314" s="729" t="s">
        <v>347</v>
      </c>
      <c r="O314" s="689" t="s">
        <v>408</v>
      </c>
      <c r="P314" s="689" t="s">
        <v>347</v>
      </c>
      <c r="Q314" s="759" t="s">
        <v>421</v>
      </c>
      <c r="R314" s="797"/>
      <c r="S314" s="797"/>
      <c r="T314" s="798" t="s">
        <v>350</v>
      </c>
      <c r="U314" s="230" t="s">
        <v>422</v>
      </c>
      <c r="V314" s="112"/>
    </row>
    <row r="315" spans="1:22" ht="18" hidden="1" customHeight="1">
      <c r="A315" s="801"/>
      <c r="B315" s="800"/>
      <c r="C315" s="800"/>
      <c r="D315" s="14"/>
      <c r="E315" s="7"/>
      <c r="F315" s="804"/>
      <c r="G315" s="804"/>
      <c r="H315" s="689"/>
      <c r="I315" s="689" t="s">
        <v>423</v>
      </c>
      <c r="J315" s="804"/>
      <c r="K315" s="689"/>
      <c r="L315" s="802"/>
      <c r="M315" s="689"/>
      <c r="N315" s="729"/>
      <c r="O315" s="689"/>
      <c r="P315" s="689"/>
      <c r="Q315" s="28" t="s">
        <v>146</v>
      </c>
      <c r="R315" s="28" t="s">
        <v>315</v>
      </c>
      <c r="S315" s="28" t="s">
        <v>146</v>
      </c>
      <c r="T315" s="798"/>
      <c r="U315" s="7"/>
      <c r="V315" s="112"/>
    </row>
    <row r="316" spans="1:22" ht="18" hidden="1" customHeight="1">
      <c r="A316" s="193" t="s">
        <v>424</v>
      </c>
      <c r="L316" s="429"/>
      <c r="M316" s="425"/>
      <c r="N316" s="425"/>
      <c r="O316" s="425"/>
      <c r="V316" s="10"/>
    </row>
    <row r="317" spans="1:22" ht="18" hidden="1" customHeight="1">
      <c r="A317" s="799" t="s">
        <v>417</v>
      </c>
      <c r="B317" s="800"/>
      <c r="C317" s="800"/>
      <c r="D317" s="689">
        <v>2</v>
      </c>
      <c r="E317" s="689" t="s">
        <v>315</v>
      </c>
      <c r="F317" s="802" t="s">
        <v>425</v>
      </c>
      <c r="G317" s="804"/>
      <c r="H317" s="689" t="s">
        <v>315</v>
      </c>
      <c r="I317" s="708" t="s">
        <v>411</v>
      </c>
      <c r="J317" s="803"/>
      <c r="K317" s="689" t="s">
        <v>315</v>
      </c>
      <c r="L317" s="802" t="s">
        <v>419</v>
      </c>
      <c r="M317" s="689" t="s">
        <v>420</v>
      </c>
      <c r="N317" s="729" t="s">
        <v>347</v>
      </c>
      <c r="O317" s="689" t="s">
        <v>408</v>
      </c>
      <c r="P317" s="689" t="s">
        <v>347</v>
      </c>
      <c r="Q317" s="759" t="s">
        <v>421</v>
      </c>
      <c r="R317" s="797"/>
      <c r="S317" s="797"/>
      <c r="T317" s="798" t="s">
        <v>350</v>
      </c>
      <c r="U317" s="230" t="s">
        <v>426</v>
      </c>
      <c r="V317" s="112"/>
    </row>
    <row r="318" spans="1:22" ht="18" hidden="1" customHeight="1">
      <c r="A318" s="801"/>
      <c r="B318" s="800"/>
      <c r="C318" s="800"/>
      <c r="D318" s="689"/>
      <c r="E318" s="689"/>
      <c r="F318" s="804"/>
      <c r="G318" s="804"/>
      <c r="H318" s="689"/>
      <c r="I318" s="689" t="s">
        <v>423</v>
      </c>
      <c r="J318" s="804"/>
      <c r="K318" s="689"/>
      <c r="L318" s="802"/>
      <c r="M318" s="689"/>
      <c r="N318" s="729"/>
      <c r="O318" s="689"/>
      <c r="P318" s="689"/>
      <c r="Q318" s="28" t="s">
        <v>146</v>
      </c>
      <c r="R318" s="28" t="s">
        <v>315</v>
      </c>
      <c r="S318" s="28" t="s">
        <v>146</v>
      </c>
      <c r="T318" s="798"/>
      <c r="U318" s="7"/>
      <c r="V318" s="112"/>
    </row>
    <row r="319" spans="1:22" ht="18" hidden="1" customHeight="1">
      <c r="A319" s="9"/>
      <c r="V319" s="10"/>
    </row>
    <row r="320" spans="1:22" ht="18" hidden="1" customHeight="1">
      <c r="A320" s="9"/>
      <c r="B320" s="14" t="s">
        <v>427</v>
      </c>
      <c r="C320" s="14"/>
      <c r="D320" s="103"/>
      <c r="E320" s="103"/>
      <c r="F320" s="14"/>
      <c r="G320" s="14"/>
      <c r="H320" s="5"/>
      <c r="I320" s="5"/>
      <c r="J320" s="5"/>
      <c r="P320" s="120" t="s">
        <v>428</v>
      </c>
      <c r="V320" s="10"/>
    </row>
    <row r="321" spans="1:22" ht="18" hidden="1" customHeight="1">
      <c r="A321" s="9"/>
      <c r="B321" s="14" t="s">
        <v>429</v>
      </c>
      <c r="C321" s="14"/>
      <c r="D321" s="103"/>
      <c r="E321" s="103"/>
      <c r="F321" s="14"/>
      <c r="G321" s="14"/>
      <c r="H321" s="5"/>
      <c r="I321" s="5"/>
      <c r="J321" s="5"/>
      <c r="P321" s="120" t="s">
        <v>430</v>
      </c>
      <c r="Q321" s="234" t="s">
        <v>127</v>
      </c>
      <c r="R321" s="684" t="str">
        <f>L296</f>
        <v>-</v>
      </c>
      <c r="S321" s="684"/>
      <c r="T321" s="14" t="s">
        <v>8</v>
      </c>
      <c r="V321" s="10"/>
    </row>
    <row r="322" spans="1:22" ht="18" hidden="1" customHeight="1">
      <c r="A322" s="9"/>
      <c r="B322" s="14" t="s">
        <v>431</v>
      </c>
      <c r="C322" s="14"/>
      <c r="D322" s="14"/>
      <c r="E322" s="14"/>
      <c r="F322" s="14"/>
      <c r="G322" s="14"/>
      <c r="H322" s="14"/>
      <c r="I322" s="14"/>
      <c r="J322" s="14"/>
      <c r="P322" s="120" t="s">
        <v>418</v>
      </c>
      <c r="Q322" s="234" t="s">
        <v>127</v>
      </c>
      <c r="R322" s="684">
        <f>R202</f>
        <v>50000</v>
      </c>
      <c r="S322" s="684"/>
      <c r="T322" s="14" t="s">
        <v>8</v>
      </c>
      <c r="V322" s="10"/>
    </row>
    <row r="323" spans="1:22" ht="18" hidden="1" customHeight="1">
      <c r="A323" s="9"/>
      <c r="B323" s="14" t="s">
        <v>432</v>
      </c>
      <c r="C323" s="14"/>
      <c r="D323" s="14"/>
      <c r="E323" s="14"/>
      <c r="F323" s="14"/>
      <c r="G323" s="14"/>
      <c r="H323" s="14"/>
      <c r="I323" s="14"/>
      <c r="J323" s="14"/>
      <c r="P323" s="120" t="s">
        <v>425</v>
      </c>
      <c r="Q323" s="234" t="s">
        <v>127</v>
      </c>
      <c r="R323" s="713">
        <f>R203</f>
        <v>42229.804278926844</v>
      </c>
      <c r="S323" s="684"/>
      <c r="T323" s="14" t="s">
        <v>8</v>
      </c>
      <c r="U323" s="30" t="s">
        <v>433</v>
      </c>
      <c r="V323" s="10"/>
    </row>
    <row r="324" spans="1:22" ht="18" hidden="1" customHeight="1">
      <c r="A324" s="9"/>
      <c r="B324" s="14"/>
      <c r="C324" s="14"/>
      <c r="D324" s="14"/>
      <c r="E324" s="14"/>
      <c r="F324" s="14"/>
      <c r="G324" s="14"/>
      <c r="H324" s="14"/>
      <c r="I324" s="14"/>
      <c r="J324" s="14"/>
      <c r="P324" s="120"/>
      <c r="Q324" s="234" t="s">
        <v>127</v>
      </c>
      <c r="R324" s="713">
        <f>R204</f>
        <v>43475.278268251794</v>
      </c>
      <c r="S324" s="684"/>
      <c r="T324" s="14" t="s">
        <v>8</v>
      </c>
      <c r="U324" s="30" t="s">
        <v>434</v>
      </c>
      <c r="V324" s="10"/>
    </row>
    <row r="325" spans="1:22" ht="18" hidden="1" customHeight="1">
      <c r="A325" s="9"/>
      <c r="B325" s="14" t="s">
        <v>435</v>
      </c>
      <c r="C325" s="14"/>
      <c r="D325" s="103"/>
      <c r="E325" s="103"/>
      <c r="F325" s="14"/>
      <c r="G325" s="14"/>
      <c r="H325" s="5"/>
      <c r="I325" s="5"/>
      <c r="J325" s="5"/>
      <c r="P325" s="120" t="s">
        <v>436</v>
      </c>
      <c r="Q325" s="234" t="s">
        <v>127</v>
      </c>
      <c r="R325" s="684">
        <f>R205</f>
        <v>1</v>
      </c>
      <c r="S325" s="684"/>
      <c r="T325" s="14" t="s">
        <v>8</v>
      </c>
      <c r="V325" s="10"/>
    </row>
    <row r="326" spans="1:22" ht="18" hidden="1" customHeight="1">
      <c r="A326" s="9"/>
      <c r="B326" s="14" t="s">
        <v>437</v>
      </c>
      <c r="C326" s="14"/>
      <c r="D326" s="103"/>
      <c r="E326" s="103"/>
      <c r="F326" s="14"/>
      <c r="G326" s="14"/>
      <c r="H326" s="5"/>
      <c r="I326" s="5"/>
      <c r="J326" s="5"/>
      <c r="P326" s="120" t="s">
        <v>438</v>
      </c>
      <c r="Q326" s="234" t="s">
        <v>127</v>
      </c>
      <c r="R326" s="684">
        <f>R206</f>
        <v>1</v>
      </c>
      <c r="S326" s="684"/>
      <c r="T326" s="14" t="s">
        <v>8</v>
      </c>
      <c r="V326" s="10"/>
    </row>
    <row r="327" spans="1:22" ht="18" hidden="1" customHeight="1">
      <c r="A327" s="9"/>
      <c r="B327" s="14" t="s">
        <v>439</v>
      </c>
      <c r="C327" s="14"/>
      <c r="D327" s="103"/>
      <c r="E327" s="103"/>
      <c r="F327" s="14"/>
      <c r="G327" s="14"/>
      <c r="H327" s="5"/>
      <c r="I327" s="5"/>
      <c r="J327" s="5"/>
      <c r="P327" s="120" t="s">
        <v>440</v>
      </c>
      <c r="Q327" s="234" t="s">
        <v>127</v>
      </c>
      <c r="R327" s="684" t="str">
        <f>L298</f>
        <v>-</v>
      </c>
      <c r="S327" s="684"/>
      <c r="T327" s="192" t="s">
        <v>333</v>
      </c>
      <c r="V327" s="10"/>
    </row>
    <row r="328" spans="1:22" ht="18" hidden="1" customHeight="1">
      <c r="A328" s="9"/>
      <c r="B328" s="14" t="s">
        <v>153</v>
      </c>
      <c r="C328" s="14"/>
      <c r="D328" s="14"/>
      <c r="E328" s="14"/>
      <c r="F328" s="14"/>
      <c r="G328" s="14"/>
      <c r="H328" s="14"/>
      <c r="I328" s="14"/>
      <c r="J328" s="14"/>
      <c r="P328" s="237" t="s">
        <v>441</v>
      </c>
      <c r="Q328" s="234" t="s">
        <v>127</v>
      </c>
      <c r="R328" s="795">
        <f>R208</f>
        <v>1.0970224400000002</v>
      </c>
      <c r="S328" s="684"/>
      <c r="T328" s="192" t="s">
        <v>333</v>
      </c>
      <c r="V328" s="10"/>
    </row>
    <row r="329" spans="1:22" ht="18" hidden="1" customHeight="1">
      <c r="A329" s="9"/>
      <c r="B329" s="40" t="s">
        <v>442</v>
      </c>
      <c r="C329" s="14"/>
      <c r="D329" s="14"/>
      <c r="E329" s="14"/>
      <c r="F329" s="14"/>
      <c r="G329" s="14"/>
      <c r="H329" s="5"/>
      <c r="I329" s="5"/>
      <c r="J329" s="5"/>
      <c r="P329" s="237" t="s">
        <v>443</v>
      </c>
      <c r="Q329" s="234" t="s">
        <v>127</v>
      </c>
      <c r="R329" s="795">
        <f>R209</f>
        <v>0.02</v>
      </c>
      <c r="S329" s="684"/>
      <c r="T329" s="14" t="s">
        <v>157</v>
      </c>
      <c r="V329" s="10"/>
    </row>
    <row r="330" spans="1:22" ht="18" hidden="1" customHeight="1">
      <c r="A330" s="9"/>
      <c r="B330" s="40"/>
      <c r="C330" s="14"/>
      <c r="D330" s="14"/>
      <c r="E330" s="14"/>
      <c r="F330" s="14"/>
      <c r="G330" s="14"/>
      <c r="H330" s="5"/>
      <c r="I330" s="5"/>
      <c r="J330" s="5"/>
      <c r="P330" s="237"/>
      <c r="Q330" s="234"/>
      <c r="R330" s="211"/>
      <c r="S330" s="27"/>
      <c r="T330" s="14"/>
      <c r="V330" s="10"/>
    </row>
    <row r="331" spans="1:22" ht="18" hidden="1" customHeight="1">
      <c r="A331" s="9"/>
      <c r="B331" s="40"/>
      <c r="C331" s="14"/>
      <c r="D331" s="14"/>
      <c r="E331" s="14"/>
      <c r="F331" s="14"/>
      <c r="G331" s="14"/>
      <c r="H331" s="5"/>
      <c r="I331" s="5"/>
      <c r="J331" s="5"/>
      <c r="P331" s="237"/>
      <c r="Q331" s="234"/>
      <c r="R331" s="211"/>
      <c r="S331" s="27"/>
      <c r="T331" s="14"/>
      <c r="V331" s="10"/>
    </row>
    <row r="332" spans="1:22" ht="18" hidden="1" customHeight="1">
      <c r="A332" s="9"/>
      <c r="B332" s="40"/>
      <c r="C332" s="14"/>
      <c r="D332" s="14"/>
      <c r="E332" s="14"/>
      <c r="F332" s="14"/>
      <c r="G332" s="14"/>
      <c r="H332" s="5"/>
      <c r="I332" s="5"/>
      <c r="J332" s="5"/>
      <c r="P332" s="237"/>
      <c r="Q332" s="234"/>
      <c r="R332" s="211"/>
      <c r="S332" s="27"/>
      <c r="T332" s="14"/>
      <c r="V332" s="10"/>
    </row>
    <row r="333" spans="1:22" ht="18" hidden="1" customHeight="1">
      <c r="A333" s="9"/>
      <c r="B333" s="40"/>
      <c r="C333" s="14"/>
      <c r="D333" s="14"/>
      <c r="E333" s="14"/>
      <c r="F333" s="14"/>
      <c r="G333" s="14"/>
      <c r="H333" s="5"/>
      <c r="I333" s="5"/>
      <c r="J333" s="5"/>
      <c r="P333" s="237"/>
      <c r="Q333" s="234"/>
      <c r="R333" s="211"/>
      <c r="S333" s="27"/>
      <c r="T333" s="14"/>
      <c r="V333" s="10"/>
    </row>
    <row r="334" spans="1:22" ht="18" hidden="1" customHeight="1">
      <c r="A334" s="9"/>
      <c r="B334" s="40"/>
      <c r="C334" s="14"/>
      <c r="D334" s="14"/>
      <c r="E334" s="14"/>
      <c r="F334" s="14"/>
      <c r="G334" s="14"/>
      <c r="H334" s="5"/>
      <c r="I334" s="5"/>
      <c r="J334" s="5"/>
      <c r="P334" s="237"/>
      <c r="Q334" s="234"/>
      <c r="R334" s="211"/>
      <c r="S334" s="27"/>
      <c r="T334" s="14"/>
      <c r="V334" s="10"/>
    </row>
    <row r="335" spans="1:22" s="7" customFormat="1" ht="18" hidden="1" customHeight="1">
      <c r="A335" s="382"/>
      <c r="B335" s="20"/>
      <c r="C335" s="20"/>
      <c r="D335" s="20"/>
      <c r="E335" s="20"/>
      <c r="F335" s="20"/>
      <c r="G335" s="20"/>
      <c r="H335" s="20"/>
      <c r="I335" s="20"/>
      <c r="J335" s="20"/>
      <c r="K335" s="20"/>
      <c r="L335" s="20"/>
      <c r="M335" s="20"/>
      <c r="N335" s="20"/>
      <c r="O335" s="20"/>
      <c r="P335" s="20"/>
      <c r="Q335" s="21"/>
      <c r="R335" s="22"/>
      <c r="S335" s="23"/>
      <c r="T335" s="20"/>
      <c r="U335" s="20"/>
      <c r="V335" s="134"/>
    </row>
    <row r="336" spans="1:22" ht="18" hidden="1" customHeight="1">
      <c r="A336" s="383" t="s">
        <v>416</v>
      </c>
      <c r="B336" s="384"/>
      <c r="C336" s="384"/>
      <c r="D336" s="384"/>
      <c r="E336" s="384"/>
      <c r="F336" s="384"/>
      <c r="G336" s="384"/>
      <c r="H336" s="384"/>
      <c r="I336" s="384"/>
      <c r="J336" s="384"/>
      <c r="K336" s="384"/>
      <c r="L336" s="384"/>
      <c r="M336" s="384"/>
      <c r="N336" s="384"/>
      <c r="O336" s="384"/>
      <c r="P336" s="384"/>
      <c r="Q336" s="384"/>
      <c r="R336" s="384"/>
      <c r="S336" s="384"/>
      <c r="T336" s="384"/>
      <c r="U336" s="384"/>
      <c r="V336" s="395"/>
    </row>
    <row r="337" spans="1:22" ht="18" hidden="1" customHeight="1">
      <c r="A337" s="799" t="s">
        <v>417</v>
      </c>
      <c r="B337" s="800"/>
      <c r="C337" s="800"/>
      <c r="D337" s="14"/>
      <c r="E337" s="7"/>
      <c r="F337" s="808">
        <f>R322</f>
        <v>50000</v>
      </c>
      <c r="G337" s="811"/>
      <c r="H337" s="805" t="s">
        <v>315</v>
      </c>
      <c r="I337" s="809">
        <f>R325</f>
        <v>1</v>
      </c>
      <c r="J337" s="810"/>
      <c r="K337" s="805" t="s">
        <v>315</v>
      </c>
      <c r="L337" s="808" t="s">
        <v>419</v>
      </c>
      <c r="M337" s="815" t="str">
        <f>R327</f>
        <v>-</v>
      </c>
      <c r="N337" s="816" t="s">
        <v>347</v>
      </c>
      <c r="O337" s="817">
        <f>R328</f>
        <v>1.0970224400000002</v>
      </c>
      <c r="P337" s="805" t="s">
        <v>347</v>
      </c>
      <c r="Q337" s="807">
        <f>R329</f>
        <v>0.02</v>
      </c>
      <c r="R337" s="807"/>
      <c r="S337" s="807"/>
      <c r="T337" s="798" t="s">
        <v>350</v>
      </c>
      <c r="U337" s="230" t="s">
        <v>422</v>
      </c>
      <c r="V337" s="112"/>
    </row>
    <row r="338" spans="1:22" ht="18" hidden="1" customHeight="1">
      <c r="A338" s="801"/>
      <c r="B338" s="800"/>
      <c r="C338" s="800"/>
      <c r="D338" s="14"/>
      <c r="E338" s="7"/>
      <c r="F338" s="811"/>
      <c r="G338" s="811"/>
      <c r="H338" s="805"/>
      <c r="I338" s="805" t="str">
        <f>R321</f>
        <v>-</v>
      </c>
      <c r="J338" s="811"/>
      <c r="K338" s="805"/>
      <c r="L338" s="808"/>
      <c r="M338" s="815"/>
      <c r="N338" s="816"/>
      <c r="O338" s="815"/>
      <c r="P338" s="805"/>
      <c r="Q338" s="221">
        <f>R326</f>
        <v>1</v>
      </c>
      <c r="R338" s="221" t="s">
        <v>315</v>
      </c>
      <c r="S338" s="221">
        <f>R326</f>
        <v>1</v>
      </c>
      <c r="T338" s="798"/>
      <c r="U338" s="7"/>
      <c r="V338" s="112"/>
    </row>
    <row r="339" spans="1:22" ht="18" hidden="1" customHeight="1">
      <c r="A339" s="9"/>
      <c r="L339" s="429"/>
      <c r="V339" s="10"/>
    </row>
    <row r="340" spans="1:22" ht="18" hidden="1" customHeight="1">
      <c r="A340" s="9"/>
      <c r="C340" s="27" t="s">
        <v>127</v>
      </c>
      <c r="D340" s="812" t="e">
        <f>F337*(I337/I338)*(M337+O337+(Q337/(Q338*S338)))</f>
        <v>#VALUE!</v>
      </c>
      <c r="E340" s="813"/>
      <c r="F340" s="27" t="s">
        <v>305</v>
      </c>
      <c r="L340" s="429"/>
      <c r="V340" s="10"/>
    </row>
    <row r="341" spans="1:22" ht="18" hidden="1" customHeight="1">
      <c r="A341" s="9"/>
      <c r="L341" s="429"/>
      <c r="V341" s="10"/>
    </row>
    <row r="342" spans="1:22" ht="18" hidden="1" customHeight="1">
      <c r="A342" s="193" t="s">
        <v>444</v>
      </c>
      <c r="L342" s="429"/>
      <c r="V342" s="10"/>
    </row>
    <row r="343" spans="1:22" ht="18" hidden="1" customHeight="1">
      <c r="A343" s="799" t="s">
        <v>417</v>
      </c>
      <c r="B343" s="800"/>
      <c r="C343" s="800"/>
      <c r="D343" s="805">
        <v>2</v>
      </c>
      <c r="E343" s="805" t="s">
        <v>315</v>
      </c>
      <c r="F343" s="814">
        <f>R323</f>
        <v>42229.804278926844</v>
      </c>
      <c r="G343" s="811"/>
      <c r="H343" s="805" t="s">
        <v>315</v>
      </c>
      <c r="I343" s="809">
        <f>R325</f>
        <v>1</v>
      </c>
      <c r="J343" s="810"/>
      <c r="K343" s="805" t="s">
        <v>315</v>
      </c>
      <c r="L343" s="808" t="s">
        <v>419</v>
      </c>
      <c r="M343" s="815" t="str">
        <f>R327</f>
        <v>-</v>
      </c>
      <c r="N343" s="816" t="s">
        <v>347</v>
      </c>
      <c r="O343" s="817">
        <f>R328</f>
        <v>1.0970224400000002</v>
      </c>
      <c r="P343" s="805" t="s">
        <v>347</v>
      </c>
      <c r="Q343" s="807">
        <f>Q337</f>
        <v>0.02</v>
      </c>
      <c r="R343" s="807"/>
      <c r="S343" s="807"/>
      <c r="T343" s="798" t="s">
        <v>350</v>
      </c>
      <c r="U343" s="230" t="s">
        <v>426</v>
      </c>
      <c r="V343" s="112"/>
    </row>
    <row r="344" spans="1:22" ht="18" hidden="1" customHeight="1">
      <c r="A344" s="801"/>
      <c r="B344" s="800"/>
      <c r="C344" s="800"/>
      <c r="D344" s="805"/>
      <c r="E344" s="805"/>
      <c r="F344" s="811"/>
      <c r="G344" s="811"/>
      <c r="H344" s="805"/>
      <c r="I344" s="805" t="str">
        <f>R321</f>
        <v>-</v>
      </c>
      <c r="J344" s="811"/>
      <c r="K344" s="805"/>
      <c r="L344" s="808"/>
      <c r="M344" s="815"/>
      <c r="N344" s="816"/>
      <c r="O344" s="815"/>
      <c r="P344" s="805"/>
      <c r="Q344" s="221">
        <f>R326</f>
        <v>1</v>
      </c>
      <c r="R344" s="221" t="s">
        <v>315</v>
      </c>
      <c r="S344" s="221">
        <f>R326</f>
        <v>1</v>
      </c>
      <c r="T344" s="798"/>
      <c r="U344" s="7"/>
      <c r="V344" s="112"/>
    </row>
    <row r="345" spans="1:22" ht="18" hidden="1" customHeight="1">
      <c r="A345" s="9"/>
      <c r="L345" s="429"/>
      <c r="V345" s="10"/>
    </row>
    <row r="346" spans="1:22" ht="18" hidden="1" customHeight="1">
      <c r="A346" s="9"/>
      <c r="C346" s="27" t="s">
        <v>127</v>
      </c>
      <c r="D346" s="812" t="e">
        <f>D343*F343*(I343/I344)*(M343+O343+(Q343/(Q344*S344)))</f>
        <v>#VALUE!</v>
      </c>
      <c r="E346" s="813"/>
      <c r="F346" s="27" t="s">
        <v>305</v>
      </c>
      <c r="L346" s="429"/>
      <c r="V346" s="10"/>
    </row>
    <row r="347" spans="1:22" ht="18" hidden="1" customHeight="1">
      <c r="A347" s="9"/>
      <c r="L347" s="429"/>
      <c r="V347" s="10"/>
    </row>
    <row r="348" spans="1:22" ht="18" hidden="1" customHeight="1">
      <c r="A348" s="193" t="s">
        <v>445</v>
      </c>
      <c r="L348" s="429"/>
      <c r="V348" s="10"/>
    </row>
    <row r="349" spans="1:22" ht="18" hidden="1" customHeight="1">
      <c r="A349" s="799" t="s">
        <v>417</v>
      </c>
      <c r="B349" s="800"/>
      <c r="C349" s="800"/>
      <c r="D349" s="805">
        <v>2</v>
      </c>
      <c r="E349" s="805" t="s">
        <v>315</v>
      </c>
      <c r="F349" s="814">
        <f>R324</f>
        <v>43475.278268251794</v>
      </c>
      <c r="G349" s="811"/>
      <c r="H349" s="805" t="s">
        <v>315</v>
      </c>
      <c r="I349" s="809">
        <f>R325</f>
        <v>1</v>
      </c>
      <c r="J349" s="810"/>
      <c r="K349" s="805" t="s">
        <v>315</v>
      </c>
      <c r="L349" s="808" t="s">
        <v>419</v>
      </c>
      <c r="M349" s="815" t="str">
        <f>R327</f>
        <v>-</v>
      </c>
      <c r="N349" s="816" t="s">
        <v>347</v>
      </c>
      <c r="O349" s="817">
        <f>R328</f>
        <v>1.0970224400000002</v>
      </c>
      <c r="P349" s="805" t="s">
        <v>347</v>
      </c>
      <c r="Q349" s="807">
        <f>R329</f>
        <v>0.02</v>
      </c>
      <c r="R349" s="807"/>
      <c r="S349" s="807"/>
      <c r="T349" s="798" t="s">
        <v>350</v>
      </c>
      <c r="U349" s="230" t="s">
        <v>426</v>
      </c>
      <c r="V349" s="112"/>
    </row>
    <row r="350" spans="1:22" ht="18" hidden="1" customHeight="1">
      <c r="A350" s="801"/>
      <c r="B350" s="800"/>
      <c r="C350" s="800"/>
      <c r="D350" s="805"/>
      <c r="E350" s="805"/>
      <c r="F350" s="811"/>
      <c r="G350" s="811"/>
      <c r="H350" s="805"/>
      <c r="I350" s="805" t="str">
        <f>R321</f>
        <v>-</v>
      </c>
      <c r="J350" s="811"/>
      <c r="K350" s="805"/>
      <c r="L350" s="808"/>
      <c r="M350" s="815"/>
      <c r="N350" s="816"/>
      <c r="O350" s="815"/>
      <c r="P350" s="805"/>
      <c r="Q350" s="221">
        <f>R326</f>
        <v>1</v>
      </c>
      <c r="R350" s="221" t="s">
        <v>315</v>
      </c>
      <c r="S350" s="221">
        <f>R326</f>
        <v>1</v>
      </c>
      <c r="T350" s="798"/>
      <c r="U350" s="7"/>
      <c r="V350" s="112"/>
    </row>
    <row r="351" spans="1:22" ht="18" hidden="1" customHeight="1">
      <c r="A351" s="9"/>
      <c r="V351" s="10"/>
    </row>
    <row r="352" spans="1:22" ht="18" hidden="1" customHeight="1">
      <c r="A352" s="9"/>
      <c r="C352" s="27" t="s">
        <v>127</v>
      </c>
      <c r="D352" s="812" t="e">
        <f>D349*F349*(I349/I350)*(M349+O349+(Q349/(Q350*S350)))</f>
        <v>#VALUE!</v>
      </c>
      <c r="E352" s="813"/>
      <c r="F352" s="27" t="s">
        <v>305</v>
      </c>
      <c r="V352" s="10"/>
    </row>
    <row r="353" spans="1:22" ht="18" hidden="1" customHeight="1">
      <c r="A353" s="9"/>
      <c r="V353" s="10"/>
    </row>
    <row r="354" spans="1:22" ht="18" hidden="1" customHeight="1">
      <c r="A354" s="116" t="s">
        <v>446</v>
      </c>
      <c r="V354" s="10"/>
    </row>
    <row r="355" spans="1:22" ht="18" hidden="1" customHeight="1">
      <c r="A355" s="678" t="s">
        <v>499</v>
      </c>
      <c r="B355" s="679"/>
      <c r="C355" s="679"/>
      <c r="D355" s="679"/>
      <c r="E355" s="679"/>
      <c r="F355" s="679"/>
      <c r="G355" s="679"/>
      <c r="H355" s="679"/>
      <c r="I355" s="679"/>
      <c r="J355" s="679"/>
      <c r="K355" s="679"/>
      <c r="L355" s="679"/>
      <c r="M355" s="679"/>
      <c r="N355" s="679"/>
      <c r="O355" s="679"/>
      <c r="P355" s="679"/>
      <c r="Q355" s="679"/>
      <c r="R355" s="679"/>
      <c r="S355" s="679"/>
      <c r="T355" s="679"/>
      <c r="U355" s="679"/>
      <c r="V355" s="680"/>
    </row>
    <row r="356" spans="1:22" ht="18" hidden="1" customHeight="1">
      <c r="A356" s="678"/>
      <c r="B356" s="679"/>
      <c r="C356" s="679"/>
      <c r="D356" s="679"/>
      <c r="E356" s="679"/>
      <c r="F356" s="679"/>
      <c r="G356" s="679"/>
      <c r="H356" s="679"/>
      <c r="I356" s="679"/>
      <c r="J356" s="679"/>
      <c r="K356" s="679"/>
      <c r="L356" s="679"/>
      <c r="M356" s="679"/>
      <c r="N356" s="679"/>
      <c r="O356" s="679"/>
      <c r="P356" s="679"/>
      <c r="Q356" s="679"/>
      <c r="R356" s="679"/>
      <c r="S356" s="679"/>
      <c r="T356" s="679"/>
      <c r="U356" s="679"/>
      <c r="V356" s="680"/>
    </row>
    <row r="357" spans="1:22" ht="18" hidden="1" customHeight="1">
      <c r="A357" s="193" t="s">
        <v>416</v>
      </c>
      <c r="V357" s="10"/>
    </row>
    <row r="358" spans="1:22" ht="18" hidden="1" customHeight="1">
      <c r="A358" s="799" t="s">
        <v>417</v>
      </c>
      <c r="B358" s="800"/>
      <c r="C358" s="800"/>
      <c r="D358" s="802" t="s">
        <v>418</v>
      </c>
      <c r="E358" s="804"/>
      <c r="F358" s="689" t="s">
        <v>315</v>
      </c>
      <c r="G358" s="708" t="s">
        <v>436</v>
      </c>
      <c r="H358" s="803"/>
      <c r="I358" s="689" t="s">
        <v>315</v>
      </c>
      <c r="J358" s="851" t="s">
        <v>135</v>
      </c>
      <c r="K358" s="689" t="s">
        <v>315</v>
      </c>
      <c r="L358" s="802" t="s">
        <v>419</v>
      </c>
      <c r="M358" s="689" t="s">
        <v>440</v>
      </c>
      <c r="N358" s="729" t="s">
        <v>347</v>
      </c>
      <c r="O358" s="689" t="s">
        <v>447</v>
      </c>
      <c r="P358" s="689" t="s">
        <v>347</v>
      </c>
      <c r="Q358" s="759" t="s">
        <v>448</v>
      </c>
      <c r="R358" s="797"/>
      <c r="S358" s="797"/>
      <c r="T358" s="798" t="s">
        <v>350</v>
      </c>
      <c r="U358" s="230" t="s">
        <v>422</v>
      </c>
      <c r="V358" s="112"/>
    </row>
    <row r="359" spans="1:22" ht="18" hidden="1" customHeight="1">
      <c r="A359" s="801"/>
      <c r="B359" s="800"/>
      <c r="C359" s="800"/>
      <c r="D359" s="804"/>
      <c r="E359" s="804"/>
      <c r="F359" s="689"/>
      <c r="G359" s="689" t="s">
        <v>430</v>
      </c>
      <c r="H359" s="804"/>
      <c r="I359" s="689"/>
      <c r="J359" s="689"/>
      <c r="K359" s="689"/>
      <c r="L359" s="802"/>
      <c r="M359" s="689"/>
      <c r="N359" s="729"/>
      <c r="O359" s="689"/>
      <c r="P359" s="689"/>
      <c r="Q359" s="28" t="s">
        <v>438</v>
      </c>
      <c r="R359" s="28" t="s">
        <v>315</v>
      </c>
      <c r="S359" s="28" t="s">
        <v>438</v>
      </c>
      <c r="T359" s="798"/>
      <c r="U359" s="7"/>
      <c r="V359" s="112"/>
    </row>
    <row r="360" spans="1:22" ht="18" hidden="1" customHeight="1">
      <c r="A360" s="193" t="s">
        <v>449</v>
      </c>
      <c r="L360" s="429"/>
      <c r="M360" s="425"/>
      <c r="N360" s="425"/>
      <c r="O360" s="425"/>
      <c r="V360" s="10"/>
    </row>
    <row r="361" spans="1:22" ht="18" hidden="1" customHeight="1">
      <c r="A361" s="799" t="s">
        <v>417</v>
      </c>
      <c r="B361" s="800"/>
      <c r="C361" s="800"/>
      <c r="D361" s="802" t="s">
        <v>450</v>
      </c>
      <c r="E361" s="804"/>
      <c r="F361" s="689" t="s">
        <v>315</v>
      </c>
      <c r="G361" s="708" t="s">
        <v>436</v>
      </c>
      <c r="H361" s="803"/>
      <c r="I361" s="689" t="s">
        <v>315</v>
      </c>
      <c r="J361" s="851" t="s">
        <v>451</v>
      </c>
      <c r="K361" s="689" t="s">
        <v>315</v>
      </c>
      <c r="L361" s="802" t="s">
        <v>419</v>
      </c>
      <c r="M361" s="689" t="s">
        <v>440</v>
      </c>
      <c r="N361" s="729" t="s">
        <v>347</v>
      </c>
      <c r="O361" s="689" t="s">
        <v>447</v>
      </c>
      <c r="P361" s="689" t="s">
        <v>347</v>
      </c>
      <c r="Q361" s="759" t="s">
        <v>448</v>
      </c>
      <c r="R361" s="797"/>
      <c r="S361" s="797"/>
      <c r="T361" s="798" t="s">
        <v>350</v>
      </c>
      <c r="U361" s="230" t="s">
        <v>426</v>
      </c>
      <c r="V361" s="112"/>
    </row>
    <row r="362" spans="1:22" ht="18" hidden="1" customHeight="1">
      <c r="A362" s="801"/>
      <c r="B362" s="800"/>
      <c r="C362" s="800"/>
      <c r="D362" s="804"/>
      <c r="E362" s="804"/>
      <c r="F362" s="689"/>
      <c r="G362" s="689" t="s">
        <v>430</v>
      </c>
      <c r="H362" s="804"/>
      <c r="I362" s="689"/>
      <c r="J362" s="689"/>
      <c r="K362" s="689"/>
      <c r="L362" s="802"/>
      <c r="M362" s="689"/>
      <c r="N362" s="729"/>
      <c r="O362" s="689"/>
      <c r="P362" s="689"/>
      <c r="Q362" s="28" t="s">
        <v>438</v>
      </c>
      <c r="R362" s="28" t="s">
        <v>315</v>
      </c>
      <c r="S362" s="28" t="s">
        <v>438</v>
      </c>
      <c r="T362" s="798"/>
      <c r="U362" s="7"/>
      <c r="V362" s="112"/>
    </row>
    <row r="363" spans="1:22" ht="18" hidden="1" customHeight="1">
      <c r="A363" s="9"/>
      <c r="V363" s="10"/>
    </row>
    <row r="364" spans="1:22" ht="18" hidden="1" customHeight="1">
      <c r="A364" s="9"/>
      <c r="B364" s="14" t="s">
        <v>427</v>
      </c>
      <c r="P364" s="120" t="s">
        <v>428</v>
      </c>
      <c r="V364" s="10"/>
    </row>
    <row r="365" spans="1:22" ht="18" hidden="1" customHeight="1">
      <c r="A365" s="9"/>
      <c r="B365" s="14" t="s">
        <v>429</v>
      </c>
      <c r="P365" s="120" t="s">
        <v>430</v>
      </c>
      <c r="Q365" s="234" t="s">
        <v>127</v>
      </c>
      <c r="R365" s="684" t="str">
        <f>R321</f>
        <v>-</v>
      </c>
      <c r="S365" s="684"/>
      <c r="T365" s="14" t="s">
        <v>8</v>
      </c>
      <c r="V365" s="10"/>
    </row>
    <row r="366" spans="1:22" ht="18" hidden="1" customHeight="1">
      <c r="A366" s="9"/>
      <c r="B366" s="14" t="s">
        <v>431</v>
      </c>
      <c r="P366" s="120" t="s">
        <v>418</v>
      </c>
      <c r="Q366" s="234" t="s">
        <v>127</v>
      </c>
      <c r="R366" s="684">
        <f>R322</f>
        <v>50000</v>
      </c>
      <c r="S366" s="684"/>
      <c r="T366" s="14" t="s">
        <v>8</v>
      </c>
      <c r="V366" s="10"/>
    </row>
    <row r="367" spans="1:22" ht="18" hidden="1" customHeight="1">
      <c r="A367" s="9"/>
      <c r="B367" s="14" t="s">
        <v>452</v>
      </c>
      <c r="P367" s="120" t="s">
        <v>450</v>
      </c>
      <c r="Q367" s="234" t="s">
        <v>127</v>
      </c>
      <c r="R367" s="713">
        <f>R243</f>
        <v>43584.822413584639</v>
      </c>
      <c r="S367" s="684"/>
      <c r="T367" s="14" t="s">
        <v>8</v>
      </c>
      <c r="U367" s="30" t="s">
        <v>433</v>
      </c>
      <c r="V367" s="10"/>
    </row>
    <row r="368" spans="1:22" ht="18" hidden="1" customHeight="1">
      <c r="A368" s="9"/>
      <c r="B368" s="14"/>
      <c r="P368" s="120"/>
      <c r="Q368" s="234" t="s">
        <v>127</v>
      </c>
      <c r="R368" s="713">
        <f>R244</f>
        <v>44648.255952235893</v>
      </c>
      <c r="S368" s="684"/>
      <c r="T368" s="14" t="s">
        <v>8</v>
      </c>
      <c r="U368" s="30" t="s">
        <v>434</v>
      </c>
      <c r="V368" s="10"/>
    </row>
    <row r="369" spans="1:22" ht="18" hidden="1" customHeight="1">
      <c r="A369" s="9"/>
      <c r="B369" s="14" t="s">
        <v>453</v>
      </c>
      <c r="P369" s="120" t="s">
        <v>436</v>
      </c>
      <c r="Q369" s="234" t="s">
        <v>127</v>
      </c>
      <c r="R369" s="684">
        <f>R325</f>
        <v>1</v>
      </c>
      <c r="S369" s="684"/>
      <c r="T369" s="14" t="s">
        <v>8</v>
      </c>
      <c r="V369" s="10"/>
    </row>
    <row r="370" spans="1:22" ht="18" hidden="1" customHeight="1">
      <c r="A370" s="9"/>
      <c r="B370" s="14" t="s">
        <v>437</v>
      </c>
      <c r="P370" s="120" t="s">
        <v>438</v>
      </c>
      <c r="Q370" s="234" t="s">
        <v>127</v>
      </c>
      <c r="R370" s="684">
        <f>R326</f>
        <v>1</v>
      </c>
      <c r="S370" s="684"/>
      <c r="T370" s="14" t="s">
        <v>8</v>
      </c>
      <c r="V370" s="10"/>
    </row>
    <row r="371" spans="1:22" ht="18" hidden="1" customHeight="1">
      <c r="A371" s="9"/>
      <c r="B371" s="14" t="s">
        <v>439</v>
      </c>
      <c r="P371" s="120" t="s">
        <v>440</v>
      </c>
      <c r="Q371" s="234" t="s">
        <v>127</v>
      </c>
      <c r="R371" s="684" t="str">
        <f>L298</f>
        <v>-</v>
      </c>
      <c r="S371" s="684"/>
      <c r="T371" s="192" t="s">
        <v>333</v>
      </c>
      <c r="V371" s="10"/>
    </row>
    <row r="372" spans="1:22" ht="18" hidden="1" customHeight="1">
      <c r="A372" s="9"/>
      <c r="B372" s="14" t="s">
        <v>454</v>
      </c>
      <c r="P372" s="237" t="s">
        <v>441</v>
      </c>
      <c r="Q372" s="234" t="s">
        <v>127</v>
      </c>
      <c r="R372" s="795">
        <f>R328</f>
        <v>1.0970224400000002</v>
      </c>
      <c r="S372" s="684"/>
      <c r="T372" s="192" t="s">
        <v>333</v>
      </c>
      <c r="V372" s="10"/>
    </row>
    <row r="373" spans="1:22" ht="18" hidden="1" customHeight="1">
      <c r="A373" s="9"/>
      <c r="B373" s="40" t="s">
        <v>442</v>
      </c>
      <c r="P373" s="237" t="s">
        <v>443</v>
      </c>
      <c r="Q373" s="234" t="s">
        <v>127</v>
      </c>
      <c r="R373" s="795">
        <f>R329</f>
        <v>0.02</v>
      </c>
      <c r="S373" s="684"/>
      <c r="T373" s="14" t="s">
        <v>157</v>
      </c>
      <c r="V373" s="10"/>
    </row>
    <row r="374" spans="1:22" ht="18" hidden="1" customHeight="1">
      <c r="A374" s="9"/>
      <c r="B374" s="40"/>
      <c r="P374" s="237"/>
      <c r="Q374" s="234"/>
      <c r="R374" s="211"/>
      <c r="S374" s="27"/>
      <c r="T374" s="14"/>
      <c r="V374" s="10"/>
    </row>
    <row r="375" spans="1:22" ht="18" hidden="1" customHeight="1">
      <c r="A375" s="9"/>
      <c r="B375" s="40"/>
      <c r="P375" s="237"/>
      <c r="Q375" s="234"/>
      <c r="R375" s="211"/>
      <c r="S375" s="27"/>
      <c r="T375" s="14"/>
      <c r="V375" s="10"/>
    </row>
    <row r="376" spans="1:22" ht="18" hidden="1" customHeight="1">
      <c r="A376" s="9"/>
      <c r="B376" s="40"/>
      <c r="P376" s="237"/>
      <c r="Q376" s="234"/>
      <c r="R376" s="211"/>
      <c r="S376" s="27"/>
      <c r="T376" s="14"/>
      <c r="V376" s="10"/>
    </row>
    <row r="377" spans="1:22" ht="18" hidden="1" customHeight="1">
      <c r="A377" s="9"/>
      <c r="B377" s="40"/>
      <c r="P377" s="237"/>
      <c r="Q377" s="234"/>
      <c r="R377" s="211"/>
      <c r="S377" s="27"/>
      <c r="T377" s="14"/>
      <c r="V377" s="10"/>
    </row>
    <row r="378" spans="1:22" ht="18" hidden="1" customHeight="1">
      <c r="A378" s="9"/>
      <c r="B378" s="40"/>
      <c r="P378" s="237"/>
      <c r="Q378" s="234"/>
      <c r="R378" s="211"/>
      <c r="S378" s="27"/>
      <c r="T378" s="14"/>
      <c r="V378" s="10"/>
    </row>
    <row r="379" spans="1:22" s="7" customFormat="1" ht="18" hidden="1" customHeight="1">
      <c r="A379" s="382"/>
      <c r="B379" s="20"/>
      <c r="C379" s="20"/>
      <c r="D379" s="20"/>
      <c r="E379" s="20"/>
      <c r="F379" s="20"/>
      <c r="G379" s="20"/>
      <c r="H379" s="20"/>
      <c r="I379" s="20"/>
      <c r="J379" s="20"/>
      <c r="K379" s="20"/>
      <c r="L379" s="20"/>
      <c r="M379" s="20"/>
      <c r="N379" s="20"/>
      <c r="O379" s="20"/>
      <c r="P379" s="20"/>
      <c r="Q379" s="21"/>
      <c r="R379" s="22"/>
      <c r="S379" s="23"/>
      <c r="T379" s="20"/>
      <c r="U379" s="20"/>
      <c r="V379" s="134"/>
    </row>
    <row r="380" spans="1:22" ht="18" hidden="1" customHeight="1">
      <c r="A380" s="431" t="s">
        <v>455</v>
      </c>
      <c r="B380" s="432"/>
      <c r="C380" s="433"/>
      <c r="D380" s="434"/>
      <c r="E380" s="433"/>
      <c r="F380" s="434"/>
      <c r="G380" s="434"/>
      <c r="H380" s="432"/>
      <c r="I380" s="432"/>
      <c r="J380" s="432"/>
      <c r="K380" s="435"/>
      <c r="L380" s="435"/>
      <c r="M380" s="111"/>
      <c r="N380" s="434"/>
      <c r="O380" s="434"/>
      <c r="P380" s="435"/>
      <c r="Q380" s="436"/>
      <c r="R380" s="111"/>
      <c r="S380" s="111"/>
      <c r="T380" s="111"/>
      <c r="U380" s="111"/>
      <c r="V380" s="140"/>
    </row>
    <row r="381" spans="1:22" ht="18" hidden="1" customHeight="1">
      <c r="A381" s="96" t="s">
        <v>456</v>
      </c>
      <c r="B381" s="152"/>
      <c r="C381" s="437"/>
      <c r="D381" s="376"/>
      <c r="E381" s="437"/>
      <c r="F381" s="376"/>
      <c r="G381" s="376"/>
      <c r="H381" s="152"/>
      <c r="I381" s="152"/>
      <c r="J381" s="152"/>
      <c r="K381" s="153"/>
      <c r="L381" s="153"/>
      <c r="M381" s="7"/>
      <c r="N381" s="376"/>
      <c r="O381" s="376"/>
      <c r="P381" s="153"/>
      <c r="Q381" s="438"/>
      <c r="R381" s="7"/>
      <c r="S381" s="7"/>
      <c r="T381" s="7"/>
      <c r="U381" s="7"/>
      <c r="V381" s="112"/>
    </row>
    <row r="382" spans="1:22" ht="18" hidden="1" customHeight="1">
      <c r="A382" s="396"/>
      <c r="B382" s="152"/>
      <c r="C382" s="437"/>
      <c r="D382" s="7"/>
      <c r="E382" s="7"/>
      <c r="F382" s="7"/>
      <c r="G382" s="376"/>
      <c r="H382" s="439" t="s">
        <v>457</v>
      </c>
      <c r="I382" s="14" t="s">
        <v>458</v>
      </c>
      <c r="J382" s="7"/>
      <c r="K382" s="28" t="s">
        <v>459</v>
      </c>
      <c r="L382" s="28" t="s">
        <v>135</v>
      </c>
      <c r="M382" s="440"/>
      <c r="N382" s="376"/>
      <c r="O382" s="376"/>
      <c r="P382" s="102" t="s">
        <v>127</v>
      </c>
      <c r="Q382" s="28">
        <v>1</v>
      </c>
      <c r="R382" s="7"/>
      <c r="S382" s="7"/>
      <c r="T382" s="7"/>
      <c r="U382" s="7"/>
      <c r="V382" s="112"/>
    </row>
    <row r="383" spans="1:22" ht="18" hidden="1" customHeight="1">
      <c r="A383" s="396"/>
      <c r="B383" s="152"/>
      <c r="C383" s="437"/>
      <c r="D383" s="7"/>
      <c r="E383" s="7"/>
      <c r="F383" s="7"/>
      <c r="G383" s="376"/>
      <c r="H383" s="439"/>
      <c r="I383" s="14"/>
      <c r="J383" s="7"/>
      <c r="K383" s="28"/>
      <c r="L383" s="28"/>
      <c r="M383" s="440"/>
      <c r="N383" s="376"/>
      <c r="O383" s="376"/>
      <c r="P383" s="102"/>
      <c r="Q383" s="28"/>
      <c r="R383" s="7"/>
      <c r="S383" s="7"/>
      <c r="T383" s="7"/>
      <c r="U383" s="7"/>
      <c r="V383" s="112"/>
    </row>
    <row r="384" spans="1:22" ht="18" hidden="1" customHeight="1">
      <c r="A384" s="96" t="s">
        <v>460</v>
      </c>
      <c r="B384" s="152"/>
      <c r="C384" s="437"/>
      <c r="D384" s="376"/>
      <c r="E384" s="437"/>
      <c r="F384" s="376"/>
      <c r="G384" s="376"/>
      <c r="H384" s="152"/>
      <c r="I384" s="7"/>
      <c r="J384" s="7"/>
      <c r="K384" s="121"/>
      <c r="L384" s="121"/>
      <c r="M384" s="7"/>
      <c r="N384" s="376"/>
      <c r="O384" s="376"/>
      <c r="P384" s="153"/>
      <c r="Q384" s="438"/>
      <c r="V384" s="10"/>
    </row>
    <row r="385" spans="1:22" ht="18" hidden="1" customHeight="1">
      <c r="A385" s="96" t="s">
        <v>461</v>
      </c>
      <c r="B385" s="152"/>
      <c r="C385" s="437"/>
      <c r="D385" s="376"/>
      <c r="E385" s="437"/>
      <c r="F385" s="376"/>
      <c r="G385" s="376"/>
      <c r="H385" s="152"/>
      <c r="I385" s="7"/>
      <c r="J385" s="7"/>
      <c r="K385" s="121"/>
      <c r="L385" s="121"/>
      <c r="M385" s="7"/>
      <c r="N385" s="376"/>
      <c r="O385" s="376"/>
      <c r="P385" s="153"/>
      <c r="Q385" s="438"/>
      <c r="V385" s="10"/>
    </row>
    <row r="386" spans="1:22" ht="18" hidden="1" customHeight="1">
      <c r="A386" s="396"/>
      <c r="B386" s="152"/>
      <c r="C386" s="437"/>
      <c r="D386" s="7"/>
      <c r="E386" s="7"/>
      <c r="F386" s="7"/>
      <c r="G386" s="376"/>
      <c r="H386" s="439" t="s">
        <v>457</v>
      </c>
      <c r="I386" s="14" t="s">
        <v>462</v>
      </c>
      <c r="J386" s="7"/>
      <c r="K386" s="28" t="s">
        <v>459</v>
      </c>
      <c r="L386" s="28" t="s">
        <v>451</v>
      </c>
      <c r="M386" s="440"/>
      <c r="N386" s="376"/>
      <c r="O386" s="376"/>
      <c r="P386" s="102" t="s">
        <v>127</v>
      </c>
      <c r="Q386" s="28">
        <v>3</v>
      </c>
      <c r="V386" s="10"/>
    </row>
    <row r="387" spans="1:22" ht="18" hidden="1" customHeight="1">
      <c r="A387" s="396"/>
      <c r="B387" s="152"/>
      <c r="C387" s="437"/>
      <c r="D387" s="7"/>
      <c r="E387" s="7"/>
      <c r="F387" s="7"/>
      <c r="G387" s="376"/>
      <c r="H387" s="439"/>
      <c r="I387" s="14"/>
      <c r="J387" s="7"/>
      <c r="K387" s="28"/>
      <c r="L387" s="28"/>
      <c r="M387" s="440"/>
      <c r="N387" s="376"/>
      <c r="O387" s="376"/>
      <c r="P387" s="102"/>
      <c r="Q387" s="28"/>
      <c r="V387" s="10"/>
    </row>
    <row r="388" spans="1:22" ht="18" hidden="1" customHeight="1">
      <c r="A388" s="9"/>
      <c r="V388" s="10"/>
    </row>
    <row r="389" spans="1:22" ht="18" hidden="1" customHeight="1">
      <c r="A389" s="193" t="s">
        <v>416</v>
      </c>
      <c r="V389" s="10"/>
    </row>
    <row r="390" spans="1:22" ht="18" hidden="1" customHeight="1">
      <c r="A390" s="114"/>
      <c r="B390" s="7"/>
      <c r="C390" s="7"/>
      <c r="D390" s="7"/>
      <c r="E390" s="7"/>
      <c r="F390" s="7"/>
      <c r="G390" s="14" t="s">
        <v>463</v>
      </c>
      <c r="H390" s="7"/>
      <c r="I390" s="7"/>
      <c r="J390" s="7"/>
      <c r="K390" s="28" t="s">
        <v>127</v>
      </c>
      <c r="L390" s="692">
        <f>L261</f>
        <v>47.727272727272727</v>
      </c>
      <c r="M390" s="689"/>
      <c r="N390" s="28" t="s">
        <v>464</v>
      </c>
      <c r="O390" s="28" t="s">
        <v>135</v>
      </c>
      <c r="P390" s="28" t="s">
        <v>127</v>
      </c>
      <c r="Q390" s="28">
        <f>IF(L390&lt;=400,Q382,Q383)</f>
        <v>1</v>
      </c>
      <c r="R390" s="7"/>
      <c r="S390" s="7"/>
      <c r="T390" s="7"/>
      <c r="V390" s="10"/>
    </row>
    <row r="391" spans="1:22" ht="18" hidden="1" customHeight="1">
      <c r="A391" s="799" t="s">
        <v>417</v>
      </c>
      <c r="B391" s="800"/>
      <c r="C391" s="800"/>
      <c r="D391" s="808">
        <f>R366</f>
        <v>50000</v>
      </c>
      <c r="E391" s="818"/>
      <c r="F391" s="805" t="s">
        <v>315</v>
      </c>
      <c r="G391" s="809">
        <f>R369</f>
        <v>1</v>
      </c>
      <c r="H391" s="821"/>
      <c r="I391" s="805" t="s">
        <v>315</v>
      </c>
      <c r="J391" s="822">
        <f>Q390</f>
        <v>1</v>
      </c>
      <c r="K391" s="805" t="s">
        <v>315</v>
      </c>
      <c r="L391" s="808" t="s">
        <v>419</v>
      </c>
      <c r="M391" s="815" t="str">
        <f>R371</f>
        <v>-</v>
      </c>
      <c r="N391" s="816" t="s">
        <v>347</v>
      </c>
      <c r="O391" s="817">
        <f>R372</f>
        <v>1.0970224400000002</v>
      </c>
      <c r="P391" s="805" t="s">
        <v>347</v>
      </c>
      <c r="Q391" s="807">
        <f>R373</f>
        <v>0.02</v>
      </c>
      <c r="R391" s="807"/>
      <c r="S391" s="807"/>
      <c r="T391" s="798" t="s">
        <v>350</v>
      </c>
      <c r="U391" s="230" t="s">
        <v>422</v>
      </c>
      <c r="V391" s="112"/>
    </row>
    <row r="392" spans="1:22" ht="18" hidden="1" customHeight="1">
      <c r="A392" s="801"/>
      <c r="B392" s="800"/>
      <c r="C392" s="800"/>
      <c r="D392" s="818"/>
      <c r="E392" s="818"/>
      <c r="F392" s="805"/>
      <c r="G392" s="805" t="str">
        <f>R365</f>
        <v>-</v>
      </c>
      <c r="H392" s="818"/>
      <c r="I392" s="805"/>
      <c r="J392" s="805"/>
      <c r="K392" s="805"/>
      <c r="L392" s="808"/>
      <c r="M392" s="815"/>
      <c r="N392" s="816"/>
      <c r="O392" s="815"/>
      <c r="P392" s="805"/>
      <c r="Q392" s="221">
        <f>R370</f>
        <v>1</v>
      </c>
      <c r="R392" s="221" t="s">
        <v>315</v>
      </c>
      <c r="S392" s="221">
        <f>R370</f>
        <v>1</v>
      </c>
      <c r="T392" s="798"/>
      <c r="U392" s="7"/>
      <c r="V392" s="112"/>
    </row>
    <row r="393" spans="1:22" ht="18" hidden="1" customHeight="1">
      <c r="A393" s="9"/>
      <c r="V393" s="10"/>
    </row>
    <row r="394" spans="1:22" ht="18" hidden="1" customHeight="1">
      <c r="A394" s="9"/>
      <c r="C394" s="27" t="s">
        <v>127</v>
      </c>
      <c r="D394" s="819" t="e">
        <f>D391*(G391/G392)*J391*(M391+O391+(Q391/(Q392*S392)))</f>
        <v>#VALUE!</v>
      </c>
      <c r="E394" s="820"/>
      <c r="F394" s="27" t="s">
        <v>305</v>
      </c>
      <c r="V394" s="10"/>
    </row>
    <row r="395" spans="1:22" ht="18" hidden="1" customHeight="1">
      <c r="A395" s="9"/>
      <c r="V395" s="10"/>
    </row>
    <row r="396" spans="1:22" ht="18" hidden="1" customHeight="1">
      <c r="A396" s="193" t="s">
        <v>465</v>
      </c>
      <c r="V396" s="10"/>
    </row>
    <row r="397" spans="1:22" ht="18" hidden="1" customHeight="1">
      <c r="A397" s="9"/>
      <c r="E397" s="30" t="s">
        <v>466</v>
      </c>
      <c r="K397" s="27" t="s">
        <v>127</v>
      </c>
      <c r="L397" s="795">
        <f>L268</f>
        <v>41.979419477826461</v>
      </c>
      <c r="M397" s="684"/>
      <c r="N397" s="27" t="s">
        <v>464</v>
      </c>
      <c r="O397" s="28" t="s">
        <v>451</v>
      </c>
      <c r="P397" s="27" t="s">
        <v>127</v>
      </c>
      <c r="Q397" s="27">
        <f>IF(L397&lt;=200,Q386,Q387)</f>
        <v>3</v>
      </c>
      <c r="V397" s="10"/>
    </row>
    <row r="398" spans="1:22" ht="18" hidden="1" customHeight="1">
      <c r="A398" s="799" t="s">
        <v>417</v>
      </c>
      <c r="B398" s="800"/>
      <c r="C398" s="800"/>
      <c r="D398" s="814">
        <f>R367</f>
        <v>43584.822413584639</v>
      </c>
      <c r="E398" s="811"/>
      <c r="F398" s="805" t="s">
        <v>315</v>
      </c>
      <c r="G398" s="809">
        <f>R369</f>
        <v>1</v>
      </c>
      <c r="H398" s="810"/>
      <c r="I398" s="805" t="s">
        <v>315</v>
      </c>
      <c r="J398" s="852">
        <f>Q397</f>
        <v>3</v>
      </c>
      <c r="K398" s="805" t="s">
        <v>315</v>
      </c>
      <c r="L398" s="808" t="s">
        <v>419</v>
      </c>
      <c r="M398" s="815" t="str">
        <f>R371</f>
        <v>-</v>
      </c>
      <c r="N398" s="816" t="s">
        <v>347</v>
      </c>
      <c r="O398" s="817">
        <f>R372</f>
        <v>1.0970224400000002</v>
      </c>
      <c r="P398" s="805" t="s">
        <v>347</v>
      </c>
      <c r="Q398" s="807">
        <f>R373</f>
        <v>0.02</v>
      </c>
      <c r="R398" s="807"/>
      <c r="S398" s="807"/>
      <c r="T398" s="798" t="s">
        <v>350</v>
      </c>
      <c r="U398" s="230" t="s">
        <v>426</v>
      </c>
      <c r="V398" s="112"/>
    </row>
    <row r="399" spans="1:22" ht="18" hidden="1" customHeight="1">
      <c r="A399" s="801"/>
      <c r="B399" s="800"/>
      <c r="C399" s="800"/>
      <c r="D399" s="811"/>
      <c r="E399" s="811"/>
      <c r="F399" s="805"/>
      <c r="G399" s="805" t="str">
        <f>R365</f>
        <v>-</v>
      </c>
      <c r="H399" s="811"/>
      <c r="I399" s="805"/>
      <c r="J399" s="805"/>
      <c r="K399" s="805"/>
      <c r="L399" s="808"/>
      <c r="M399" s="815"/>
      <c r="N399" s="816"/>
      <c r="O399" s="815"/>
      <c r="P399" s="805"/>
      <c r="Q399" s="221">
        <f>R370</f>
        <v>1</v>
      </c>
      <c r="R399" s="221" t="s">
        <v>315</v>
      </c>
      <c r="S399" s="221">
        <f>R370</f>
        <v>1</v>
      </c>
      <c r="T399" s="798"/>
      <c r="U399" s="7"/>
      <c r="V399" s="112"/>
    </row>
    <row r="400" spans="1:22" ht="18" hidden="1" customHeight="1">
      <c r="A400" s="9"/>
      <c r="V400" s="10"/>
    </row>
    <row r="401" spans="1:22" ht="18" hidden="1" customHeight="1">
      <c r="A401" s="9"/>
      <c r="C401" s="27" t="s">
        <v>127</v>
      </c>
      <c r="D401" s="819" t="e">
        <f>D398*(G398/G399)*J398*(M398+O398+(Q398/(Q399*S399)))</f>
        <v>#VALUE!</v>
      </c>
      <c r="E401" s="820"/>
      <c r="F401" s="27" t="s">
        <v>305</v>
      </c>
      <c r="V401" s="10"/>
    </row>
    <row r="402" spans="1:22" ht="18" hidden="1" customHeight="1">
      <c r="A402" s="9"/>
      <c r="V402" s="10"/>
    </row>
    <row r="403" spans="1:22" ht="18" hidden="1" customHeight="1">
      <c r="A403" s="193" t="s">
        <v>467</v>
      </c>
      <c r="V403" s="10"/>
    </row>
    <row r="404" spans="1:22" ht="18" hidden="1" customHeight="1">
      <c r="A404" s="9"/>
      <c r="E404" s="30" t="s">
        <v>468</v>
      </c>
      <c r="K404" s="27" t="s">
        <v>127</v>
      </c>
      <c r="L404" s="795">
        <f>L275</f>
        <v>29.635036773964003</v>
      </c>
      <c r="M404" s="684"/>
      <c r="N404" s="27" t="s">
        <v>464</v>
      </c>
      <c r="O404" s="28" t="s">
        <v>451</v>
      </c>
      <c r="P404" s="27" t="s">
        <v>127</v>
      </c>
      <c r="Q404" s="27">
        <f>IF(L404&lt;=30,Q386,Q387)</f>
        <v>3</v>
      </c>
      <c r="V404" s="10"/>
    </row>
    <row r="405" spans="1:22" ht="18" hidden="1" customHeight="1">
      <c r="A405" s="799" t="s">
        <v>417</v>
      </c>
      <c r="B405" s="800"/>
      <c r="C405" s="800"/>
      <c r="D405" s="814">
        <f>R368</f>
        <v>44648.255952235893</v>
      </c>
      <c r="E405" s="811"/>
      <c r="F405" s="805" t="s">
        <v>315</v>
      </c>
      <c r="G405" s="809">
        <f>R369</f>
        <v>1</v>
      </c>
      <c r="H405" s="810"/>
      <c r="I405" s="805" t="s">
        <v>315</v>
      </c>
      <c r="J405" s="852">
        <f>Q404</f>
        <v>3</v>
      </c>
      <c r="K405" s="805" t="s">
        <v>315</v>
      </c>
      <c r="L405" s="808" t="s">
        <v>419</v>
      </c>
      <c r="M405" s="815" t="str">
        <f>R371</f>
        <v>-</v>
      </c>
      <c r="N405" s="816" t="s">
        <v>347</v>
      </c>
      <c r="O405" s="817">
        <f>R372</f>
        <v>1.0970224400000002</v>
      </c>
      <c r="P405" s="805" t="s">
        <v>347</v>
      </c>
      <c r="Q405" s="807">
        <f>R373</f>
        <v>0.02</v>
      </c>
      <c r="R405" s="807"/>
      <c r="S405" s="807"/>
      <c r="T405" s="798" t="s">
        <v>350</v>
      </c>
      <c r="U405" s="230" t="s">
        <v>426</v>
      </c>
      <c r="V405" s="112"/>
    </row>
    <row r="406" spans="1:22" ht="18" hidden="1" customHeight="1">
      <c r="A406" s="801"/>
      <c r="B406" s="800"/>
      <c r="C406" s="800"/>
      <c r="D406" s="811"/>
      <c r="E406" s="811"/>
      <c r="F406" s="805"/>
      <c r="G406" s="805" t="str">
        <f>R365</f>
        <v>-</v>
      </c>
      <c r="H406" s="811"/>
      <c r="I406" s="805"/>
      <c r="J406" s="805"/>
      <c r="K406" s="805"/>
      <c r="L406" s="808"/>
      <c r="M406" s="815"/>
      <c r="N406" s="816"/>
      <c r="O406" s="815"/>
      <c r="P406" s="805"/>
      <c r="Q406" s="221">
        <f>R370</f>
        <v>1</v>
      </c>
      <c r="R406" s="221" t="s">
        <v>315</v>
      </c>
      <c r="S406" s="221">
        <f>R370</f>
        <v>1</v>
      </c>
      <c r="T406" s="798"/>
      <c r="U406" s="7"/>
      <c r="V406" s="112"/>
    </row>
    <row r="407" spans="1:22" ht="18" hidden="1" customHeight="1">
      <c r="A407" s="9"/>
      <c r="D407" s="430"/>
      <c r="E407" s="430"/>
      <c r="F407" s="430"/>
      <c r="G407" s="430"/>
      <c r="H407" s="430"/>
      <c r="I407" s="430"/>
      <c r="J407" s="430"/>
      <c r="K407" s="430"/>
      <c r="L407" s="430"/>
      <c r="M407" s="430"/>
      <c r="N407" s="430"/>
      <c r="O407" s="430"/>
      <c r="P407" s="430"/>
      <c r="Q407" s="430"/>
      <c r="R407" s="430"/>
      <c r="S407" s="430"/>
      <c r="V407" s="10"/>
    </row>
    <row r="408" spans="1:22" ht="18" hidden="1" customHeight="1">
      <c r="A408" s="9"/>
      <c r="C408" s="27" t="s">
        <v>127</v>
      </c>
      <c r="D408" s="819" t="e">
        <f>D405*(G405/G406)*J405*(M405+O405+(Q405/(Q406*S406)))</f>
        <v>#VALUE!</v>
      </c>
      <c r="E408" s="820"/>
      <c r="F408" s="27" t="s">
        <v>305</v>
      </c>
      <c r="V408" s="10"/>
    </row>
    <row r="409" spans="1:22" ht="18" hidden="1" customHeight="1">
      <c r="A409" s="9"/>
      <c r="V409" s="10"/>
    </row>
    <row r="410" spans="1:22" ht="18" hidden="1" customHeight="1">
      <c r="A410" s="184" t="s">
        <v>469</v>
      </c>
      <c r="M410" s="865" t="str">
        <f>L296</f>
        <v>-</v>
      </c>
      <c r="N410" s="866"/>
      <c r="O410" s="30" t="s">
        <v>470</v>
      </c>
      <c r="P410" s="30"/>
      <c r="Q410" s="867" t="e">
        <f>MAX(D340,D346,D352,D394,D401,D408)</f>
        <v>#VALUE!</v>
      </c>
      <c r="R410" s="824"/>
      <c r="S410" s="30" t="s">
        <v>305</v>
      </c>
      <c r="V410" s="10"/>
    </row>
    <row r="411" spans="1:22" ht="18" hidden="1" customHeight="1">
      <c r="A411" s="351" t="s">
        <v>471</v>
      </c>
      <c r="B411" s="7"/>
      <c r="C411" s="7"/>
      <c r="D411" s="441"/>
      <c r="E411" s="7"/>
      <c r="F411" s="7"/>
      <c r="G411" s="372"/>
      <c r="H411" s="7"/>
      <c r="J411" s="7"/>
      <c r="K411" s="7"/>
      <c r="L411" s="7"/>
      <c r="M411" s="7"/>
      <c r="N411" s="7"/>
      <c r="O411" s="7"/>
      <c r="P411" s="250"/>
      <c r="Q411" s="251"/>
      <c r="R411" s="372"/>
      <c r="S411" s="7"/>
      <c r="V411" s="10"/>
    </row>
    <row r="412" spans="1:22" ht="18" hidden="1" customHeight="1">
      <c r="A412" s="96" t="s">
        <v>500</v>
      </c>
      <c r="V412" s="10"/>
    </row>
    <row r="413" spans="1:22" ht="18" hidden="1" customHeight="1">
      <c r="A413" s="9"/>
      <c r="N413" s="7"/>
      <c r="O413" s="28" t="s">
        <v>473</v>
      </c>
      <c r="P413" s="102" t="s">
        <v>127</v>
      </c>
      <c r="Q413" s="694" t="s">
        <v>474</v>
      </c>
      <c r="R413" s="694"/>
      <c r="S413" s="28" t="s">
        <v>315</v>
      </c>
      <c r="T413" s="28">
        <v>0.8</v>
      </c>
      <c r="V413" s="10"/>
    </row>
    <row r="414" spans="1:22" ht="18" hidden="1" customHeight="1">
      <c r="A414" s="9"/>
      <c r="N414" s="252"/>
      <c r="O414" s="28"/>
      <c r="P414" s="102" t="s">
        <v>127</v>
      </c>
      <c r="Q414" s="829" t="e">
        <f>+Q410</f>
        <v>#VALUE!</v>
      </c>
      <c r="R414" s="708"/>
      <c r="S414" s="222" t="s">
        <v>315</v>
      </c>
      <c r="T414" s="253">
        <f>+T413</f>
        <v>0.8</v>
      </c>
      <c r="V414" s="10"/>
    </row>
    <row r="415" spans="1:22" ht="18" hidden="1" customHeight="1">
      <c r="A415" s="9"/>
      <c r="O415" s="28"/>
      <c r="P415" s="28" t="s">
        <v>127</v>
      </c>
      <c r="Q415" s="830" t="e">
        <f>Q414*T414</f>
        <v>#VALUE!</v>
      </c>
      <c r="R415" s="776"/>
      <c r="S415" s="28" t="s">
        <v>305</v>
      </c>
      <c r="T415" s="28"/>
      <c r="V415" s="10"/>
    </row>
    <row r="416" spans="1:22" ht="18" hidden="1" customHeight="1">
      <c r="A416" s="9"/>
      <c r="D416" s="30" t="s">
        <v>475</v>
      </c>
      <c r="G416" s="27" t="e">
        <f>IF(E417&gt;H417,"&gt;","&lt;")</f>
        <v>#VALUE!</v>
      </c>
      <c r="H416" s="30" t="s">
        <v>477</v>
      </c>
      <c r="V416" s="10"/>
    </row>
    <row r="417" spans="1:22" ht="18" hidden="1" customHeight="1">
      <c r="A417" s="9"/>
      <c r="E417" s="684" t="str">
        <f>L299</f>
        <v>-</v>
      </c>
      <c r="F417" s="684"/>
      <c r="G417" s="27" t="e">
        <f>G416</f>
        <v>#VALUE!</v>
      </c>
      <c r="H417" s="795" t="e">
        <f>Q415</f>
        <v>#VALUE!</v>
      </c>
      <c r="I417" s="684"/>
      <c r="V417" s="10"/>
    </row>
    <row r="418" spans="1:22" ht="18" hidden="1" customHeight="1">
      <c r="A418" s="9"/>
      <c r="F418" s="244" t="s">
        <v>478</v>
      </c>
      <c r="H418" s="18" t="e">
        <f>IF(G416="&gt;","Suitably Dimensioned","Under Dimensioned")</f>
        <v>#VALUE!</v>
      </c>
      <c r="V418" s="10"/>
    </row>
    <row r="419" spans="1:22" ht="18" hidden="1" customHeight="1">
      <c r="A419" s="9"/>
      <c r="F419" s="244"/>
      <c r="H419" s="18"/>
      <c r="V419" s="10"/>
    </row>
    <row r="420" spans="1:22" ht="18" hidden="1" customHeight="1">
      <c r="A420" s="9"/>
      <c r="F420" s="244"/>
      <c r="H420" s="18"/>
      <c r="V420" s="10"/>
    </row>
    <row r="421" spans="1:22" ht="18" hidden="1" customHeight="1">
      <c r="A421" s="9"/>
      <c r="F421" s="244"/>
      <c r="H421" s="18"/>
      <c r="V421" s="10"/>
    </row>
    <row r="422" spans="1:22" ht="18" hidden="1" customHeight="1">
      <c r="A422" s="9"/>
      <c r="F422" s="244"/>
      <c r="H422" s="18"/>
      <c r="V422" s="10"/>
    </row>
    <row r="423" spans="1:22" ht="18" hidden="1" customHeight="1">
      <c r="A423" s="9"/>
      <c r="F423" s="244"/>
      <c r="H423" s="18"/>
      <c r="V423" s="10"/>
    </row>
    <row r="424" spans="1:22" s="7" customFormat="1" ht="18" hidden="1" customHeight="1">
      <c r="A424" s="382"/>
      <c r="B424" s="20"/>
      <c r="C424" s="20"/>
      <c r="D424" s="20"/>
      <c r="E424" s="20"/>
      <c r="F424" s="20"/>
      <c r="G424" s="20"/>
      <c r="H424" s="20"/>
      <c r="I424" s="20"/>
      <c r="J424" s="20"/>
      <c r="K424" s="20"/>
      <c r="L424" s="20"/>
      <c r="M424" s="20"/>
      <c r="N424" s="20"/>
      <c r="O424" s="20"/>
      <c r="P424" s="20"/>
      <c r="Q424" s="21"/>
      <c r="R424" s="22"/>
      <c r="S424" s="23"/>
      <c r="T424" s="20"/>
      <c r="U424" s="20"/>
      <c r="V424" s="134"/>
    </row>
    <row r="425" spans="1:22" ht="18" customHeight="1">
      <c r="A425" s="442"/>
      <c r="B425" s="384"/>
      <c r="C425" s="384"/>
      <c r="D425" s="384"/>
      <c r="E425" s="384"/>
      <c r="F425" s="384"/>
      <c r="G425" s="384"/>
      <c r="H425" s="384"/>
      <c r="I425" s="384"/>
      <c r="J425" s="384"/>
      <c r="K425" s="384"/>
      <c r="L425" s="384"/>
      <c r="M425" s="384"/>
      <c r="N425" s="384"/>
      <c r="O425" s="384"/>
      <c r="P425" s="384"/>
      <c r="Q425" s="384"/>
      <c r="R425" s="384"/>
      <c r="S425" s="384"/>
      <c r="T425" s="384"/>
      <c r="U425" s="384"/>
      <c r="V425" s="395"/>
    </row>
    <row r="426" spans="1:22" ht="18" customHeight="1">
      <c r="A426" s="262" t="s">
        <v>501</v>
      </c>
      <c r="B426" s="7"/>
      <c r="C426" s="7"/>
      <c r="D426" s="124"/>
      <c r="E426" s="124"/>
      <c r="F426" s="115"/>
      <c r="G426" s="115"/>
      <c r="H426" s="7"/>
      <c r="I426" s="7"/>
      <c r="J426" s="7"/>
      <c r="K426" s="7"/>
      <c r="L426" s="7"/>
      <c r="M426" s="7"/>
      <c r="N426" s="7"/>
      <c r="O426" s="7"/>
      <c r="P426" s="121"/>
      <c r="Q426" s="124"/>
      <c r="R426" s="372"/>
      <c r="S426" s="449"/>
      <c r="T426" s="450"/>
      <c r="U426" s="7"/>
      <c r="V426" s="112"/>
    </row>
    <row r="427" spans="1:22" ht="18" customHeight="1">
      <c r="A427" s="868" t="s">
        <v>85</v>
      </c>
      <c r="B427" s="868"/>
      <c r="C427" s="869"/>
      <c r="D427" s="868" t="s">
        <v>86</v>
      </c>
      <c r="E427" s="868"/>
      <c r="F427" s="868"/>
      <c r="G427" s="868" t="s">
        <v>87</v>
      </c>
      <c r="H427" s="868"/>
      <c r="I427" s="868" t="s">
        <v>88</v>
      </c>
      <c r="J427" s="868"/>
      <c r="K427" s="868" t="s">
        <v>502</v>
      </c>
      <c r="L427" s="868"/>
      <c r="M427" s="868" t="s">
        <v>503</v>
      </c>
      <c r="N427" s="868"/>
      <c r="O427" s="868" t="s">
        <v>504</v>
      </c>
      <c r="P427" s="868"/>
      <c r="Q427" s="868" t="s">
        <v>505</v>
      </c>
      <c r="R427" s="868"/>
      <c r="S427" s="868" t="s">
        <v>93</v>
      </c>
      <c r="T427" s="868"/>
      <c r="U427" s="868"/>
      <c r="V427" s="868"/>
    </row>
    <row r="428" spans="1:22" ht="18" customHeight="1">
      <c r="A428" s="868"/>
      <c r="B428" s="868"/>
      <c r="C428" s="869"/>
      <c r="D428" s="868"/>
      <c r="E428" s="868"/>
      <c r="F428" s="868"/>
      <c r="G428" s="868"/>
      <c r="H428" s="868"/>
      <c r="I428" s="868"/>
      <c r="J428" s="868"/>
      <c r="K428" s="868"/>
      <c r="L428" s="868"/>
      <c r="M428" s="868"/>
      <c r="N428" s="868"/>
      <c r="O428" s="868"/>
      <c r="P428" s="868"/>
      <c r="Q428" s="868"/>
      <c r="R428" s="868"/>
      <c r="S428" s="868"/>
      <c r="T428" s="868"/>
      <c r="U428" s="868"/>
      <c r="V428" s="868"/>
    </row>
    <row r="429" spans="1:22" ht="18" customHeight="1">
      <c r="A429" s="868"/>
      <c r="B429" s="868"/>
      <c r="C429" s="869"/>
      <c r="D429" s="868"/>
      <c r="E429" s="868"/>
      <c r="F429" s="868"/>
      <c r="G429" s="868"/>
      <c r="H429" s="868"/>
      <c r="I429" s="868"/>
      <c r="J429" s="868"/>
      <c r="K429" s="868"/>
      <c r="L429" s="868"/>
      <c r="M429" s="868"/>
      <c r="N429" s="868"/>
      <c r="O429" s="868"/>
      <c r="P429" s="868"/>
      <c r="Q429" s="868"/>
      <c r="R429" s="868"/>
      <c r="S429" s="868"/>
      <c r="T429" s="868"/>
      <c r="U429" s="868"/>
      <c r="V429" s="868"/>
    </row>
    <row r="430" spans="1:22" ht="18" customHeight="1">
      <c r="A430" s="868"/>
      <c r="B430" s="868"/>
      <c r="C430" s="869"/>
      <c r="D430" s="868"/>
      <c r="E430" s="868"/>
      <c r="F430" s="868"/>
      <c r="G430" s="868"/>
      <c r="H430" s="868"/>
      <c r="I430" s="868"/>
      <c r="J430" s="868"/>
      <c r="K430" s="868"/>
      <c r="L430" s="868"/>
      <c r="M430" s="868"/>
      <c r="N430" s="868"/>
      <c r="O430" s="868"/>
      <c r="P430" s="868"/>
      <c r="Q430" s="868"/>
      <c r="R430" s="868"/>
      <c r="S430" s="868"/>
      <c r="T430" s="868"/>
      <c r="U430" s="868"/>
      <c r="V430" s="868"/>
    </row>
    <row r="431" spans="1:22" ht="18" customHeight="1">
      <c r="A431" s="765" t="str">
        <f>B7</f>
        <v>T1</v>
      </c>
      <c r="B431" s="765" t="str">
        <f>D7</f>
        <v>Core1</v>
      </c>
      <c r="C431" s="765"/>
      <c r="D431" s="870">
        <f>H10</f>
        <v>2500</v>
      </c>
      <c r="E431" s="870"/>
      <c r="F431" s="871">
        <f>O10</f>
        <v>1</v>
      </c>
      <c r="G431" s="870">
        <f>'CT-VT Burdens'!S21</f>
        <v>120</v>
      </c>
      <c r="H431" s="874">
        <f>'CT-VT Burdens'!S10</f>
        <v>6</v>
      </c>
      <c r="I431" s="874" t="str">
        <f>H11</f>
        <v>PX-A</v>
      </c>
      <c r="J431" s="874"/>
      <c r="K431" s="869">
        <f>H12</f>
        <v>5</v>
      </c>
      <c r="L431" s="869"/>
      <c r="M431" s="869">
        <f>H13</f>
        <v>3750</v>
      </c>
      <c r="N431" s="869"/>
      <c r="O431" s="870">
        <f>H14</f>
        <v>60</v>
      </c>
      <c r="P431" s="870"/>
      <c r="Q431" s="879" t="str">
        <f>IF(T8="",T7,IF(T9="",T7&amp;"+"&amp;T8,T7&amp;"+"&amp;T8&amp;"+"&amp;T9))</f>
        <v>RED670</v>
      </c>
      <c r="R431" s="879"/>
      <c r="S431" s="878" t="str">
        <f>H123</f>
        <v>Suitably Dimensioned</v>
      </c>
      <c r="T431" s="878"/>
      <c r="U431" s="878"/>
      <c r="V431" s="878"/>
    </row>
    <row r="432" spans="1:22" ht="18" customHeight="1">
      <c r="A432" s="765"/>
      <c r="B432" s="765"/>
      <c r="C432" s="765"/>
      <c r="D432" s="870" t="str">
        <f>J10</f>
        <v>-</v>
      </c>
      <c r="E432" s="870"/>
      <c r="F432" s="872"/>
      <c r="G432" s="870"/>
      <c r="H432" s="870"/>
      <c r="I432" s="874"/>
      <c r="J432" s="874"/>
      <c r="K432" s="875" t="s">
        <v>6</v>
      </c>
      <c r="L432" s="869"/>
      <c r="M432" s="875" t="s">
        <v>6</v>
      </c>
      <c r="N432" s="869"/>
      <c r="O432" s="876" t="s">
        <v>6</v>
      </c>
      <c r="P432" s="870"/>
      <c r="Q432" s="879"/>
      <c r="R432" s="879"/>
      <c r="S432" s="877" t="s">
        <v>6</v>
      </c>
      <c r="T432" s="878"/>
      <c r="U432" s="878"/>
      <c r="V432" s="878"/>
    </row>
    <row r="433" spans="1:22" ht="18" customHeight="1">
      <c r="A433" s="765"/>
      <c r="B433" s="765"/>
      <c r="C433" s="765"/>
      <c r="D433" s="870" t="str">
        <f>L10</f>
        <v>-</v>
      </c>
      <c r="E433" s="870"/>
      <c r="F433" s="873"/>
      <c r="G433" s="870"/>
      <c r="H433" s="870"/>
      <c r="I433" s="874"/>
      <c r="J433" s="874"/>
      <c r="K433" s="869" t="str">
        <f>L298</f>
        <v>-</v>
      </c>
      <c r="L433" s="869"/>
      <c r="M433" s="869" t="str">
        <f>L299</f>
        <v>-</v>
      </c>
      <c r="N433" s="869"/>
      <c r="O433" s="870" t="str">
        <f>L300</f>
        <v>-</v>
      </c>
      <c r="P433" s="870"/>
      <c r="Q433" s="879"/>
      <c r="R433" s="879"/>
      <c r="S433" s="878" t="s">
        <v>6</v>
      </c>
      <c r="T433" s="878"/>
      <c r="U433" s="878"/>
      <c r="V433" s="87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82"/>
      <c r="B464" s="20"/>
      <c r="C464" s="20"/>
      <c r="D464" s="20"/>
      <c r="E464" s="20"/>
      <c r="F464" s="20"/>
      <c r="G464" s="20"/>
      <c r="H464" s="20"/>
      <c r="I464" s="20"/>
      <c r="J464" s="20"/>
      <c r="K464" s="20"/>
      <c r="L464" s="20"/>
      <c r="M464" s="20"/>
      <c r="N464" s="20"/>
      <c r="O464" s="20"/>
      <c r="P464" s="20"/>
      <c r="Q464" s="21"/>
      <c r="R464" s="22"/>
      <c r="S464" s="23"/>
      <c r="T464" s="20"/>
      <c r="U464" s="20"/>
      <c r="V464" s="134"/>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94" priority="2" stopIfTrue="1" operator="equal">
      <formula>"Under Dimentioned"</formula>
    </cfRule>
  </conditionalFormatting>
  <conditionalFormatting sqref="H156">
    <cfRule type="cellIs" dxfId="93"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codeName="Sheet42">
    <tabColor rgb="FFFFFF00"/>
  </sheetPr>
  <dimension ref="A1:AC419"/>
  <sheetViews>
    <sheetView showZeros="0" view="pageBreakPreview" topLeftCell="A384" zoomScaleNormal="100" zoomScaleSheetLayoutView="100" workbookViewId="0">
      <selection activeCell="U406" sqref="U406"/>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Title!R1</f>
        <v>N-19957.2-DF4W</v>
      </c>
      <c r="S1" s="1068"/>
      <c r="T1" s="1068"/>
      <c r="U1" s="1068"/>
      <c r="V1" s="776"/>
      <c r="W1" s="14"/>
      <c r="X1" s="14"/>
    </row>
    <row r="2" spans="1:29"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Title!R2</f>
        <v>46134</v>
      </c>
      <c r="S2" s="1068"/>
      <c r="T2" s="1068"/>
      <c r="U2" s="1068"/>
      <c r="V2" s="776"/>
      <c r="W2" s="14"/>
      <c r="X2" s="14"/>
    </row>
    <row r="3" spans="1:29" ht="18" customHeight="1">
      <c r="A3" s="923"/>
      <c r="B3" s="924"/>
      <c r="C3" s="924"/>
      <c r="D3" s="924"/>
      <c r="E3" s="924"/>
      <c r="F3" s="924"/>
      <c r="G3" s="925"/>
      <c r="H3" s="1083" t="str">
        <f>Title!H3</f>
        <v xml:space="preserve">132/33kV SUBSTATION DF4W    AT AL DHAFRA AREA </v>
      </c>
      <c r="I3" s="1084"/>
      <c r="J3" s="1084"/>
      <c r="K3" s="1084"/>
      <c r="L3" s="1084"/>
      <c r="M3" s="1084"/>
      <c r="N3" s="1085"/>
      <c r="O3" s="885" t="str">
        <f>[5]Title!O3</f>
        <v>Document No.</v>
      </c>
      <c r="P3" s="886"/>
      <c r="Q3" s="887"/>
      <c r="R3" s="775" t="str">
        <f>Title!R3</f>
        <v>-</v>
      </c>
      <c r="S3" s="1068"/>
      <c r="T3" s="1068"/>
      <c r="U3" s="1068"/>
      <c r="V3" s="776"/>
      <c r="W3" s="14"/>
      <c r="X3" s="14"/>
    </row>
    <row r="4" spans="1:29" ht="18" customHeight="1">
      <c r="A4" s="926"/>
      <c r="B4" s="927"/>
      <c r="C4" s="927"/>
      <c r="D4" s="927"/>
      <c r="E4" s="927"/>
      <c r="F4" s="927"/>
      <c r="G4" s="928"/>
      <c r="H4" s="1086"/>
      <c r="I4" s="1087"/>
      <c r="J4" s="1087"/>
      <c r="K4" s="1087"/>
      <c r="L4" s="1087"/>
      <c r="M4" s="1087"/>
      <c r="N4" s="1088"/>
      <c r="O4" s="885" t="str">
        <f>[5]Title!O4</f>
        <v>Revision No.</v>
      </c>
      <c r="P4" s="886"/>
      <c r="Q4" s="887"/>
      <c r="R4" s="775" t="str">
        <f>Title!R4</f>
        <v>A</v>
      </c>
      <c r="S4" s="1068"/>
      <c r="T4" s="1068"/>
      <c r="U4" s="1068"/>
      <c r="V4" s="776"/>
      <c r="W4" s="14"/>
      <c r="X4" s="14"/>
    </row>
    <row r="5" spans="1:29" ht="18" customHeight="1">
      <c r="A5" s="880" t="str">
        <f>[5]Title!A5</f>
        <v>Prep. By</v>
      </c>
      <c r="B5" s="943"/>
      <c r="C5" s="25" t="str">
        <f>[5]Title!C5</f>
        <v>AP</v>
      </c>
      <c r="D5" s="880" t="str">
        <f>[5]Title!D5</f>
        <v>Checked By</v>
      </c>
      <c r="E5" s="881"/>
      <c r="F5" s="943"/>
      <c r="G5" s="25" t="str">
        <f>[5]Title!G5</f>
        <v>RB</v>
      </c>
      <c r="H5" s="944" t="s">
        <v>900</v>
      </c>
      <c r="I5" s="945"/>
      <c r="J5" s="945"/>
      <c r="K5" s="945"/>
      <c r="L5" s="945"/>
      <c r="M5" s="945"/>
      <c r="N5" s="946"/>
      <c r="O5" s="947" t="str">
        <f>[5]Title!O5</f>
        <v>Contractor</v>
      </c>
      <c r="P5" s="948"/>
      <c r="Q5" s="949"/>
      <c r="R5" s="775" t="str">
        <f>Title!R5</f>
        <v>HITACHI</v>
      </c>
      <c r="S5" s="1068"/>
      <c r="T5" s="1068"/>
      <c r="U5" s="1068"/>
      <c r="V5" s="776"/>
      <c r="W5" s="14"/>
      <c r="X5" s="14"/>
    </row>
    <row r="6" spans="1:29" ht="18" customHeight="1">
      <c r="A6" s="184"/>
      <c r="V6" s="185"/>
    </row>
    <row r="7" spans="1:29" ht="18" customHeight="1">
      <c r="A7" s="184"/>
      <c r="B7" s="1075" t="s">
        <v>108</v>
      </c>
      <c r="C7" s="1076"/>
      <c r="D7" s="1075" t="s">
        <v>506</v>
      </c>
      <c r="E7" s="1076"/>
      <c r="F7" s="1319"/>
      <c r="G7" s="1319"/>
      <c r="H7" s="689"/>
      <c r="I7" s="689"/>
      <c r="J7" s="689"/>
      <c r="K7" s="689"/>
      <c r="L7" s="689"/>
      <c r="M7" s="689"/>
      <c r="P7" s="186"/>
      <c r="S7" s="187" t="s">
        <v>387</v>
      </c>
      <c r="T7" s="1075" t="s">
        <v>885</v>
      </c>
      <c r="U7" s="1076"/>
      <c r="V7" s="185"/>
    </row>
    <row r="8" spans="1:29" ht="18" customHeight="1">
      <c r="A8" s="184"/>
      <c r="B8" s="538"/>
      <c r="C8" s="538"/>
      <c r="D8" s="538"/>
      <c r="E8" s="538"/>
      <c r="F8" s="455"/>
      <c r="T8" s="1075"/>
      <c r="U8" s="1076"/>
      <c r="V8" s="185"/>
    </row>
    <row r="9" spans="1:29" ht="18" customHeight="1">
      <c r="A9" s="184"/>
      <c r="H9" s="789" t="s">
        <v>390</v>
      </c>
      <c r="I9" s="789"/>
      <c r="J9" s="790" t="s">
        <v>391</v>
      </c>
      <c r="K9" s="790"/>
      <c r="L9" s="790" t="s">
        <v>392</v>
      </c>
      <c r="M9" s="790"/>
      <c r="T9" s="1075"/>
      <c r="U9" s="1076"/>
      <c r="V9" s="185"/>
    </row>
    <row r="10" spans="1:29" ht="18" customHeight="1">
      <c r="A10" s="184"/>
      <c r="B10" s="47" t="s">
        <v>393</v>
      </c>
      <c r="H10" s="1090">
        <v>2500</v>
      </c>
      <c r="I10" s="1091"/>
      <c r="J10" s="1075" t="s">
        <v>6</v>
      </c>
      <c r="K10" s="1076"/>
      <c r="L10" s="1075" t="s">
        <v>6</v>
      </c>
      <c r="M10" s="1076"/>
      <c r="N10" s="191" t="s">
        <v>342</v>
      </c>
      <c r="O10" s="501">
        <v>1</v>
      </c>
      <c r="P10" s="27" t="s">
        <v>8</v>
      </c>
      <c r="V10" s="185"/>
    </row>
    <row r="11" spans="1:29" ht="18" customHeight="1">
      <c r="A11" s="184"/>
      <c r="B11" s="47" t="s">
        <v>394</v>
      </c>
      <c r="H11" s="1075" t="s">
        <v>815</v>
      </c>
      <c r="I11" s="1076"/>
      <c r="V11" s="185"/>
    </row>
    <row r="12" spans="1:29" ht="18" customHeight="1">
      <c r="A12" s="184"/>
      <c r="B12" s="47" t="s">
        <v>396</v>
      </c>
      <c r="G12" s="120" t="s">
        <v>497</v>
      </c>
      <c r="H12" s="1075">
        <v>5</v>
      </c>
      <c r="I12" s="1076"/>
      <c r="J12" s="192" t="s">
        <v>333</v>
      </c>
      <c r="V12" s="185"/>
    </row>
    <row r="13" spans="1:29" ht="18" customHeight="1">
      <c r="A13" s="184"/>
      <c r="B13" s="47" t="s">
        <v>398</v>
      </c>
      <c r="G13" s="120" t="s">
        <v>498</v>
      </c>
      <c r="H13" s="1075">
        <v>3750</v>
      </c>
      <c r="I13" s="1076"/>
      <c r="J13" s="14" t="s">
        <v>305</v>
      </c>
      <c r="V13" s="185"/>
      <c r="W13" s="30" t="s">
        <v>400</v>
      </c>
      <c r="AB13" s="785">
        <f>M118</f>
        <v>1020.4325387483156</v>
      </c>
      <c r="AC13" s="786"/>
    </row>
    <row r="14" spans="1:29" ht="18" customHeight="1">
      <c r="A14" s="184"/>
      <c r="B14" s="14" t="s">
        <v>401</v>
      </c>
      <c r="G14" s="120" t="s">
        <v>402</v>
      </c>
      <c r="H14" s="1075">
        <v>60</v>
      </c>
      <c r="I14" s="1076"/>
      <c r="J14" s="14" t="s">
        <v>403</v>
      </c>
      <c r="V14" s="185"/>
    </row>
    <row r="15" spans="1:29" ht="18" customHeight="1">
      <c r="A15" s="184"/>
      <c r="V15" s="185"/>
    </row>
    <row r="16" spans="1:29" ht="18" customHeight="1">
      <c r="A16" s="193" t="s">
        <v>404</v>
      </c>
      <c r="V16" s="185"/>
    </row>
    <row r="17" spans="1:22" ht="18" customHeight="1">
      <c r="A17" s="184"/>
      <c r="V17" s="185"/>
    </row>
    <row r="18" spans="1:22" ht="18" customHeight="1">
      <c r="A18" s="184"/>
      <c r="B18" s="194" t="s">
        <v>405</v>
      </c>
      <c r="C18" s="195"/>
      <c r="D18" s="195" t="str">
        <f>T7</f>
        <v>P545</v>
      </c>
      <c r="E18" s="196"/>
      <c r="F18" s="196"/>
      <c r="G18" s="196"/>
      <c r="H18" s="182" t="s">
        <v>406</v>
      </c>
      <c r="I18" s="183" t="s">
        <v>127</v>
      </c>
      <c r="J18" s="1320">
        <f>'CT-VT Burdens'!Q160</f>
        <v>0.02</v>
      </c>
      <c r="K18" s="1321"/>
      <c r="L18" s="202" t="s">
        <v>157</v>
      </c>
      <c r="V18" s="185"/>
    </row>
    <row r="19" spans="1:22" ht="18" customHeight="1">
      <c r="A19" s="184"/>
      <c r="B19" s="184" t="s">
        <v>405</v>
      </c>
      <c r="D19" s="296">
        <f>T8</f>
        <v>0</v>
      </c>
      <c r="I19" s="28" t="s">
        <v>127</v>
      </c>
      <c r="J19" s="1320"/>
      <c r="K19" s="1321"/>
      <c r="L19" s="297" t="s">
        <v>157</v>
      </c>
      <c r="V19" s="185"/>
    </row>
    <row r="20" spans="1:22" ht="18" customHeight="1">
      <c r="A20" s="184"/>
      <c r="B20" s="184" t="s">
        <v>405</v>
      </c>
      <c r="D20" s="296">
        <f>T9</f>
        <v>0</v>
      </c>
      <c r="E20" s="14"/>
      <c r="G20" s="199"/>
      <c r="H20" s="27"/>
      <c r="I20" s="101" t="s">
        <v>127</v>
      </c>
      <c r="J20" s="1320"/>
      <c r="K20" s="1321"/>
      <c r="L20" s="426" t="s">
        <v>157</v>
      </c>
      <c r="V20" s="185"/>
    </row>
    <row r="21" spans="1:22" ht="18" customHeight="1">
      <c r="A21" s="184"/>
      <c r="B21" s="184" t="s">
        <v>412</v>
      </c>
      <c r="H21" s="27"/>
      <c r="I21" s="177" t="s">
        <v>127</v>
      </c>
      <c r="J21" s="1322">
        <f>'CT-VT Burdens'!S24</f>
        <v>1.0770224400000001</v>
      </c>
      <c r="K21" s="1323"/>
      <c r="L21" s="426" t="s">
        <v>157</v>
      </c>
      <c r="V21" s="185"/>
    </row>
    <row r="22" spans="1:22" ht="18" customHeight="1">
      <c r="A22" s="184"/>
      <c r="B22" s="205" t="s">
        <v>413</v>
      </c>
      <c r="C22" s="206"/>
      <c r="D22" s="206"/>
      <c r="E22" s="206"/>
      <c r="F22" s="207"/>
      <c r="G22" s="207"/>
      <c r="H22" s="190" t="s">
        <v>409</v>
      </c>
      <c r="I22" s="208" t="s">
        <v>127</v>
      </c>
      <c r="J22" s="766">
        <f>SUM(J19:K21)</f>
        <v>1.0770224400000001</v>
      </c>
      <c r="K22" s="819"/>
      <c r="L22" s="428"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45" t="s">
        <v>649</v>
      </c>
      <c r="C25" s="245" t="s">
        <v>127</v>
      </c>
      <c r="D25" s="242" t="s">
        <v>406</v>
      </c>
      <c r="E25" s="526" t="s">
        <v>410</v>
      </c>
      <c r="F25" s="245" t="s">
        <v>146</v>
      </c>
      <c r="G25" s="221" t="s">
        <v>315</v>
      </c>
      <c r="H25" s="222" t="s">
        <v>146</v>
      </c>
      <c r="I25" s="242" t="s">
        <v>350</v>
      </c>
      <c r="J25" s="502"/>
      <c r="K25" s="242"/>
      <c r="L25" s="527"/>
      <c r="M25" s="245" t="s">
        <v>408</v>
      </c>
      <c r="N25" s="245" t="s">
        <v>127</v>
      </c>
      <c r="O25" s="242" t="s">
        <v>409</v>
      </c>
      <c r="P25" s="528" t="s">
        <v>410</v>
      </c>
      <c r="Q25" s="523" t="s">
        <v>411</v>
      </c>
      <c r="R25" s="245" t="s">
        <v>315</v>
      </c>
      <c r="S25" s="242" t="s">
        <v>411</v>
      </c>
      <c r="T25" s="242" t="s">
        <v>350</v>
      </c>
      <c r="V25" s="185"/>
    </row>
    <row r="26" spans="1:22" ht="18" customHeight="1">
      <c r="A26" s="184"/>
      <c r="B26" s="527"/>
      <c r="C26" s="245" t="s">
        <v>127</v>
      </c>
      <c r="D26" s="301">
        <f>J18</f>
        <v>0.02</v>
      </c>
      <c r="E26" s="528" t="s">
        <v>410</v>
      </c>
      <c r="F26" s="245">
        <f>'[8]CT-VT Burdens'!S19</f>
        <v>1</v>
      </c>
      <c r="G26" s="245" t="s">
        <v>315</v>
      </c>
      <c r="H26" s="245">
        <f>'[8]CT-VT Burdens'!S19</f>
        <v>1</v>
      </c>
      <c r="I26" s="242" t="s">
        <v>350</v>
      </c>
      <c r="J26" s="502"/>
      <c r="K26" s="242"/>
      <c r="L26" s="527"/>
      <c r="M26" s="242"/>
      <c r="N26" s="245" t="s">
        <v>127</v>
      </c>
      <c r="O26" s="301">
        <f>J22</f>
        <v>1.0770224400000001</v>
      </c>
      <c r="P26" s="528" t="s">
        <v>410</v>
      </c>
      <c r="Q26" s="245">
        <f>O10</f>
        <v>1</v>
      </c>
      <c r="R26" s="245" t="s">
        <v>315</v>
      </c>
      <c r="S26" s="245">
        <f>O10</f>
        <v>1</v>
      </c>
      <c r="T26" s="242" t="s">
        <v>350</v>
      </c>
      <c r="V26" s="185"/>
    </row>
    <row r="27" spans="1:22" ht="18" customHeight="1">
      <c r="A27" s="184"/>
      <c r="B27" s="527"/>
      <c r="C27" s="245" t="s">
        <v>127</v>
      </c>
      <c r="D27" s="1111">
        <f>D26/(F26*H26)</f>
        <v>0.02</v>
      </c>
      <c r="E27" s="1111"/>
      <c r="F27" s="529" t="s">
        <v>333</v>
      </c>
      <c r="G27" s="242"/>
      <c r="H27" s="242"/>
      <c r="I27" s="242"/>
      <c r="J27" s="502"/>
      <c r="K27" s="242"/>
      <c r="L27" s="527"/>
      <c r="M27" s="242"/>
      <c r="N27" s="245" t="s">
        <v>127</v>
      </c>
      <c r="O27" s="1111">
        <f>O26/(Q26*S26)</f>
        <v>1.0770224400000001</v>
      </c>
      <c r="P27" s="1111"/>
      <c r="Q27" s="529" t="s">
        <v>333</v>
      </c>
      <c r="R27" s="242"/>
      <c r="S27" s="242"/>
      <c r="T27" s="242"/>
      <c r="V27" s="185"/>
    </row>
    <row r="28" spans="1:22" ht="18" customHeight="1">
      <c r="A28" s="184"/>
      <c r="B28" s="47"/>
      <c r="C28" s="47"/>
      <c r="D28" s="47"/>
      <c r="E28" s="47"/>
      <c r="H28" s="27"/>
      <c r="I28" s="28"/>
      <c r="J28" s="199"/>
      <c r="L28" s="47"/>
      <c r="O28" s="27"/>
      <c r="P28" s="211"/>
      <c r="Q28" s="211"/>
      <c r="V28" s="185"/>
    </row>
    <row r="29" spans="1:22" ht="18" customHeight="1">
      <c r="A29" s="184"/>
      <c r="B29" s="47" t="s">
        <v>839</v>
      </c>
      <c r="C29" s="47"/>
      <c r="D29" s="47"/>
      <c r="E29" s="47"/>
      <c r="H29" s="27"/>
      <c r="I29" s="28"/>
      <c r="J29" s="199"/>
      <c r="L29" s="28" t="s">
        <v>127</v>
      </c>
      <c r="M29" s="1111">
        <f>D27</f>
        <v>0.02</v>
      </c>
      <c r="N29" s="1111"/>
      <c r="O29" s="245" t="s">
        <v>347</v>
      </c>
      <c r="P29" s="1111">
        <f>O27</f>
        <v>1.0770224400000001</v>
      </c>
      <c r="Q29" s="1111"/>
      <c r="R29" s="522" t="s">
        <v>127</v>
      </c>
      <c r="S29" s="1111">
        <f>M29+P29</f>
        <v>1.0970224400000002</v>
      </c>
      <c r="T29" s="1111"/>
      <c r="U29" s="192" t="s">
        <v>333</v>
      </c>
      <c r="V29" s="185"/>
    </row>
    <row r="30" spans="1:22" ht="18" customHeight="1">
      <c r="A30" s="184"/>
      <c r="B30" s="47"/>
      <c r="C30" s="47"/>
      <c r="D30" s="47"/>
      <c r="E30" s="47"/>
      <c r="H30" s="27"/>
      <c r="I30" s="28"/>
      <c r="J30" s="199"/>
      <c r="L30" s="47"/>
      <c r="M30" s="301"/>
      <c r="N30" s="245"/>
      <c r="O30" s="522"/>
      <c r="P30" s="522"/>
      <c r="Q30" s="522"/>
      <c r="R30" s="192"/>
      <c r="V30" s="185"/>
    </row>
    <row r="31" spans="1:22" ht="18" customHeight="1">
      <c r="A31" s="116" t="s">
        <v>414</v>
      </c>
      <c r="B31" s="47"/>
      <c r="D31" s="47"/>
      <c r="E31" s="47"/>
      <c r="H31" s="27"/>
      <c r="I31" s="28"/>
      <c r="J31" s="199"/>
      <c r="L31" s="47"/>
      <c r="M31" s="301"/>
      <c r="N31" s="245"/>
      <c r="O31" s="522"/>
      <c r="P31" s="522"/>
      <c r="Q31" s="522"/>
      <c r="R31" s="192"/>
      <c r="V31" s="185"/>
    </row>
    <row r="32" spans="1:22" ht="18" customHeight="1">
      <c r="A32" s="272" t="s">
        <v>840</v>
      </c>
      <c r="V32" s="185"/>
    </row>
    <row r="33" spans="1:27" ht="18" customHeight="1">
      <c r="A33" s="184"/>
      <c r="B33" s="30" t="s">
        <v>473</v>
      </c>
      <c r="C33" s="27" t="s">
        <v>529</v>
      </c>
      <c r="D33" s="27" t="s">
        <v>841</v>
      </c>
      <c r="E33" s="27" t="s">
        <v>315</v>
      </c>
      <c r="F33" s="27" t="s">
        <v>511</v>
      </c>
      <c r="G33" s="27" t="s">
        <v>372</v>
      </c>
      <c r="H33" s="27" t="s">
        <v>420</v>
      </c>
      <c r="I33" s="27" t="s">
        <v>347</v>
      </c>
      <c r="J33" s="27" t="s">
        <v>842</v>
      </c>
      <c r="K33" s="30" t="s">
        <v>350</v>
      </c>
      <c r="U33" s="30" t="s">
        <v>843</v>
      </c>
      <c r="V33" s="185"/>
    </row>
    <row r="34" spans="1:27" ht="18" customHeight="1">
      <c r="A34" s="184"/>
      <c r="V34" s="185"/>
    </row>
    <row r="35" spans="1:27" s="279" customFormat="1" ht="18" customHeight="1">
      <c r="A35" s="678" t="s">
        <v>844</v>
      </c>
      <c r="B35" s="1207"/>
      <c r="C35" s="1207"/>
      <c r="D35" s="1207"/>
      <c r="E35" s="1207"/>
      <c r="F35" s="1207"/>
      <c r="G35" s="1207"/>
      <c r="H35" s="1207"/>
      <c r="I35" s="1207"/>
      <c r="J35" s="1207"/>
      <c r="K35" s="1207"/>
      <c r="L35" s="1207"/>
      <c r="M35" s="1207"/>
      <c r="N35" s="1207"/>
      <c r="O35" s="1207"/>
      <c r="P35" s="1207"/>
      <c r="Q35" s="1207"/>
      <c r="R35" s="1207"/>
      <c r="S35" s="1207"/>
      <c r="T35" s="1207"/>
      <c r="U35" s="1207"/>
      <c r="V35" s="1208"/>
      <c r="AA35" s="197"/>
    </row>
    <row r="36" spans="1:27" s="279" customFormat="1" ht="18" customHeight="1">
      <c r="A36" s="1209"/>
      <c r="B36" s="1207"/>
      <c r="C36" s="1207"/>
      <c r="D36" s="1207"/>
      <c r="E36" s="1207"/>
      <c r="F36" s="1207"/>
      <c r="G36" s="1207"/>
      <c r="H36" s="1207"/>
      <c r="I36" s="1207"/>
      <c r="J36" s="1207"/>
      <c r="K36" s="1207"/>
      <c r="L36" s="1207"/>
      <c r="M36" s="1207"/>
      <c r="N36" s="1207"/>
      <c r="O36" s="1207"/>
      <c r="P36" s="1207"/>
      <c r="Q36" s="1207"/>
      <c r="R36" s="1207"/>
      <c r="S36" s="1207"/>
      <c r="T36" s="1207"/>
      <c r="U36" s="1207"/>
      <c r="V36" s="1208"/>
    </row>
    <row r="37" spans="1:27" s="279" customFormat="1" ht="18" customHeight="1">
      <c r="A37" s="683">
        <v>1</v>
      </c>
      <c r="B37" s="1324" t="s">
        <v>845</v>
      </c>
      <c r="C37" s="1324"/>
      <c r="D37" s="1324"/>
      <c r="E37" s="1324"/>
      <c r="F37" s="1324"/>
      <c r="G37" s="1324"/>
      <c r="H37" s="1324"/>
      <c r="I37" s="1324"/>
      <c r="J37" s="1324"/>
      <c r="K37" s="1324"/>
      <c r="L37" s="1324"/>
      <c r="M37" s="1324"/>
      <c r="N37" s="1324"/>
      <c r="O37" s="1324"/>
      <c r="P37" s="1324"/>
      <c r="Q37" s="1324"/>
      <c r="R37" s="1324"/>
      <c r="S37" s="1324"/>
      <c r="T37" s="1324"/>
      <c r="U37" s="1324"/>
      <c r="V37" s="1325"/>
    </row>
    <row r="38" spans="1:27" s="279" customFormat="1" ht="18" customHeight="1">
      <c r="A38" s="683"/>
      <c r="B38" s="1324"/>
      <c r="C38" s="1324"/>
      <c r="D38" s="1324"/>
      <c r="E38" s="1324"/>
      <c r="F38" s="1324"/>
      <c r="G38" s="1324"/>
      <c r="H38" s="1324"/>
      <c r="I38" s="1324"/>
      <c r="J38" s="1324"/>
      <c r="K38" s="1324"/>
      <c r="L38" s="1324"/>
      <c r="M38" s="1324"/>
      <c r="N38" s="1324"/>
      <c r="O38" s="1324"/>
      <c r="P38" s="1324"/>
      <c r="Q38" s="1324"/>
      <c r="R38" s="1324"/>
      <c r="S38" s="1324"/>
      <c r="T38" s="1324"/>
      <c r="U38" s="1324"/>
      <c r="V38" s="1325"/>
    </row>
    <row r="39" spans="1:27" s="279" customFormat="1" ht="18" customHeight="1">
      <c r="A39" s="96"/>
      <c r="B39" s="120" t="s">
        <v>846</v>
      </c>
      <c r="C39" s="120" t="s">
        <v>419</v>
      </c>
      <c r="D39" s="689" t="s">
        <v>847</v>
      </c>
      <c r="E39" s="723"/>
      <c r="F39" s="28" t="s">
        <v>315</v>
      </c>
      <c r="G39" s="28" t="s">
        <v>341</v>
      </c>
      <c r="H39" s="47" t="s">
        <v>350</v>
      </c>
      <c r="I39" s="154" t="s">
        <v>699</v>
      </c>
      <c r="J39" s="120" t="s">
        <v>419</v>
      </c>
      <c r="K39" s="221">
        <v>1000</v>
      </c>
      <c r="L39" s="28" t="s">
        <v>315</v>
      </c>
      <c r="M39" s="28" t="s">
        <v>511</v>
      </c>
      <c r="N39" s="47" t="s">
        <v>350</v>
      </c>
      <c r="O39" s="28"/>
      <c r="P39" s="28"/>
      <c r="Q39" s="28"/>
      <c r="R39" s="28"/>
      <c r="S39" s="28"/>
      <c r="U39" s="14" t="s">
        <v>848</v>
      </c>
      <c r="V39" s="97"/>
    </row>
    <row r="40" spans="1:27" s="279" customFormat="1" ht="18" customHeight="1">
      <c r="A40" s="299"/>
      <c r="C40" s="14" t="s">
        <v>849</v>
      </c>
      <c r="M40" s="28"/>
      <c r="N40" s="28"/>
      <c r="O40" s="28"/>
      <c r="P40" s="28"/>
      <c r="Q40" s="28"/>
      <c r="R40" s="28"/>
      <c r="S40" s="28"/>
      <c r="T40" s="14"/>
      <c r="U40" s="28"/>
      <c r="V40" s="97"/>
    </row>
    <row r="41" spans="1:27" s="279" customFormat="1" ht="18" customHeight="1">
      <c r="A41" s="299"/>
      <c r="C41" s="14"/>
      <c r="D41" s="28" t="s">
        <v>841</v>
      </c>
      <c r="E41" s="28" t="s">
        <v>529</v>
      </c>
      <c r="F41" s="28">
        <v>40</v>
      </c>
      <c r="G41" s="28" t="s">
        <v>347</v>
      </c>
      <c r="H41" s="221">
        <v>7.0000000000000007E-2</v>
      </c>
      <c r="I41" s="28" t="s">
        <v>672</v>
      </c>
      <c r="J41" s="689" t="s">
        <v>847</v>
      </c>
      <c r="K41" s="723"/>
      <c r="L41" s="28" t="s">
        <v>315</v>
      </c>
      <c r="M41" s="28" t="s">
        <v>341</v>
      </c>
      <c r="N41" s="47" t="s">
        <v>350</v>
      </c>
      <c r="O41" s="28"/>
      <c r="P41" s="28"/>
      <c r="Q41" s="28"/>
      <c r="R41" s="28"/>
      <c r="S41" s="28"/>
      <c r="T41" s="14"/>
      <c r="U41" s="28"/>
      <c r="V41" s="97"/>
    </row>
    <row r="42" spans="1:27" s="279" customFormat="1" ht="18" customHeight="1">
      <c r="A42" s="325"/>
      <c r="B42" s="28"/>
      <c r="C42" s="28" t="s">
        <v>850</v>
      </c>
      <c r="D42" s="28" t="s">
        <v>841</v>
      </c>
      <c r="E42" s="28" t="s">
        <v>529</v>
      </c>
      <c r="F42" s="28">
        <v>65</v>
      </c>
      <c r="G42" s="14"/>
      <c r="H42" s="14"/>
      <c r="I42" s="120"/>
      <c r="J42" s="28"/>
      <c r="K42" s="28"/>
      <c r="L42" s="28"/>
      <c r="M42" s="28"/>
      <c r="N42" s="28"/>
      <c r="O42" s="28"/>
      <c r="P42" s="28"/>
      <c r="Q42" s="28"/>
      <c r="R42" s="28"/>
      <c r="S42" s="28"/>
      <c r="T42" s="14"/>
      <c r="U42" s="28"/>
      <c r="V42" s="97"/>
    </row>
    <row r="43" spans="1:27" s="279" customFormat="1" ht="18" customHeight="1">
      <c r="A43" s="325"/>
      <c r="B43" s="28"/>
      <c r="C43" s="28"/>
      <c r="D43" s="28"/>
      <c r="E43" s="28"/>
      <c r="F43" s="28"/>
      <c r="G43" s="14"/>
      <c r="H43" s="14"/>
      <c r="I43" s="120"/>
      <c r="J43" s="28"/>
      <c r="K43" s="28"/>
      <c r="L43" s="28"/>
      <c r="M43" s="28"/>
      <c r="N43" s="28"/>
      <c r="O43" s="28"/>
      <c r="P43" s="28"/>
      <c r="Q43" s="28"/>
      <c r="R43" s="28"/>
      <c r="S43" s="28"/>
      <c r="T43" s="14"/>
      <c r="U43" s="28"/>
      <c r="V43" s="97"/>
    </row>
    <row r="44" spans="1:27" s="279" customFormat="1" ht="18" customHeight="1">
      <c r="A44" s="325"/>
      <c r="B44" s="28"/>
      <c r="C44" s="28"/>
      <c r="D44" s="28"/>
      <c r="E44" s="14"/>
      <c r="F44" s="14"/>
      <c r="G44" s="120"/>
      <c r="H44" s="28"/>
      <c r="I44" s="28"/>
      <c r="J44" s="28"/>
      <c r="K44" s="28"/>
      <c r="L44" s="28"/>
      <c r="M44" s="28"/>
      <c r="N44" s="28"/>
      <c r="O44" s="28"/>
      <c r="P44" s="28"/>
      <c r="Q44" s="28"/>
      <c r="R44" s="28"/>
      <c r="S44" s="28"/>
      <c r="T44" s="14"/>
      <c r="U44" s="28"/>
      <c r="V44" s="97"/>
    </row>
    <row r="45" spans="1:27" s="279"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7" s="279" customFormat="1" ht="18" customHeight="1">
      <c r="A46" s="320"/>
      <c r="B46" s="138"/>
      <c r="C46" s="138"/>
      <c r="D46" s="138"/>
      <c r="E46" s="273"/>
      <c r="F46" s="273"/>
      <c r="G46" s="274"/>
      <c r="H46" s="138"/>
      <c r="I46" s="138"/>
      <c r="J46" s="138"/>
      <c r="K46" s="138"/>
      <c r="L46" s="138"/>
      <c r="M46" s="138"/>
      <c r="N46" s="138"/>
      <c r="O46" s="138"/>
      <c r="P46" s="138"/>
      <c r="Q46" s="138"/>
      <c r="R46" s="138"/>
      <c r="S46" s="138"/>
      <c r="T46" s="273"/>
      <c r="U46" s="138"/>
      <c r="V46" s="521"/>
    </row>
    <row r="47" spans="1:27" s="279" customFormat="1" ht="18" customHeight="1">
      <c r="A47" s="325"/>
      <c r="B47" s="120" t="s">
        <v>846</v>
      </c>
      <c r="C47" s="120" t="s">
        <v>419</v>
      </c>
      <c r="D47" s="221">
        <v>1000</v>
      </c>
      <c r="E47" s="28" t="s">
        <v>315</v>
      </c>
      <c r="F47" s="28" t="s">
        <v>511</v>
      </c>
      <c r="G47" s="47" t="s">
        <v>350</v>
      </c>
      <c r="H47" s="28" t="s">
        <v>851</v>
      </c>
      <c r="I47" s="120" t="s">
        <v>419</v>
      </c>
      <c r="J47" s="689" t="s">
        <v>847</v>
      </c>
      <c r="K47" s="723"/>
      <c r="L47" s="28" t="s">
        <v>315</v>
      </c>
      <c r="M47" s="28" t="s">
        <v>341</v>
      </c>
      <c r="N47" s="47" t="s">
        <v>350</v>
      </c>
      <c r="O47" s="154" t="s">
        <v>699</v>
      </c>
      <c r="P47" s="120" t="s">
        <v>419</v>
      </c>
      <c r="Q47" s="221">
        <v>2600</v>
      </c>
      <c r="R47" s="28" t="s">
        <v>315</v>
      </c>
      <c r="S47" s="28" t="s">
        <v>511</v>
      </c>
      <c r="T47" s="47" t="s">
        <v>350</v>
      </c>
      <c r="U47" s="14" t="s">
        <v>587</v>
      </c>
      <c r="V47" s="97"/>
    </row>
    <row r="48" spans="1:27" s="279" customFormat="1" ht="18" customHeight="1">
      <c r="A48" s="325"/>
      <c r="B48" s="28" t="s">
        <v>841</v>
      </c>
      <c r="C48" s="28" t="s">
        <v>127</v>
      </c>
      <c r="D48" s="28">
        <v>107</v>
      </c>
      <c r="E48" s="14"/>
      <c r="F48" s="14"/>
      <c r="G48" s="120"/>
      <c r="H48" s="28"/>
      <c r="I48" s="28"/>
      <c r="J48" s="28"/>
      <c r="K48" s="28"/>
      <c r="L48" s="28"/>
      <c r="M48" s="28"/>
      <c r="N48" s="28"/>
      <c r="O48" s="28"/>
      <c r="P48" s="28"/>
      <c r="Q48" s="28"/>
      <c r="R48" s="28"/>
      <c r="S48" s="28"/>
      <c r="T48" s="14"/>
      <c r="U48" s="28"/>
      <c r="V48" s="97"/>
    </row>
    <row r="49" spans="1:22" ht="18" customHeight="1">
      <c r="A49" s="184"/>
      <c r="V49" s="185"/>
    </row>
    <row r="50" spans="1:22" ht="18" customHeight="1">
      <c r="A50" s="530">
        <v>2</v>
      </c>
      <c r="B50" s="1324" t="s">
        <v>852</v>
      </c>
      <c r="C50" s="1324"/>
      <c r="D50" s="1324"/>
      <c r="E50" s="1324"/>
      <c r="F50" s="1324"/>
      <c r="G50" s="1324"/>
      <c r="H50" s="1324"/>
      <c r="I50" s="1324"/>
      <c r="J50" s="1324"/>
      <c r="K50" s="1324"/>
      <c r="L50" s="1324"/>
      <c r="M50" s="1324"/>
      <c r="N50" s="1324"/>
      <c r="O50" s="1324"/>
      <c r="P50" s="1324"/>
      <c r="Q50" s="1324"/>
      <c r="R50" s="1324"/>
      <c r="S50" s="1324"/>
      <c r="T50" s="1324"/>
      <c r="U50" s="1324"/>
      <c r="V50" s="1325"/>
    </row>
    <row r="51" spans="1:22" ht="18" customHeight="1">
      <c r="A51" s="272"/>
      <c r="B51" s="120" t="s">
        <v>846</v>
      </c>
      <c r="C51" s="120" t="s">
        <v>419</v>
      </c>
      <c r="D51" s="689" t="s">
        <v>847</v>
      </c>
      <c r="E51" s="723"/>
      <c r="F51" s="28" t="s">
        <v>315</v>
      </c>
      <c r="G51" s="28" t="s">
        <v>341</v>
      </c>
      <c r="H51" s="47" t="s">
        <v>350</v>
      </c>
      <c r="I51" s="154" t="s">
        <v>699</v>
      </c>
      <c r="J51" s="120" t="s">
        <v>419</v>
      </c>
      <c r="K51" s="221">
        <v>600</v>
      </c>
      <c r="L51" s="28" t="s">
        <v>315</v>
      </c>
      <c r="M51" s="28" t="s">
        <v>511</v>
      </c>
      <c r="N51" s="47" t="s">
        <v>350</v>
      </c>
      <c r="O51" s="28"/>
      <c r="P51" s="28"/>
      <c r="Q51" s="28"/>
      <c r="R51" s="28"/>
      <c r="S51" s="28"/>
      <c r="T51" s="279"/>
      <c r="U51" s="14" t="s">
        <v>853</v>
      </c>
      <c r="V51" s="97"/>
    </row>
    <row r="52" spans="1:22" ht="18" customHeight="1">
      <c r="A52" s="272"/>
      <c r="B52" s="279"/>
      <c r="C52" s="14" t="s">
        <v>849</v>
      </c>
      <c r="D52" s="279"/>
      <c r="E52" s="279"/>
      <c r="F52" s="279"/>
      <c r="G52" s="279"/>
      <c r="H52" s="279"/>
      <c r="I52" s="279"/>
      <c r="J52" s="279"/>
      <c r="K52" s="279"/>
      <c r="L52" s="279"/>
      <c r="M52" s="28"/>
      <c r="N52" s="28"/>
      <c r="O52" s="28"/>
      <c r="P52" s="28"/>
      <c r="Q52" s="28"/>
      <c r="R52" s="28"/>
      <c r="S52" s="28"/>
      <c r="T52" s="14"/>
      <c r="U52" s="28"/>
      <c r="V52" s="97"/>
    </row>
    <row r="53" spans="1:22" ht="18" customHeight="1">
      <c r="A53" s="272"/>
      <c r="B53" s="279"/>
      <c r="C53" s="14"/>
      <c r="D53" s="28" t="s">
        <v>841</v>
      </c>
      <c r="E53" s="28" t="s">
        <v>529</v>
      </c>
      <c r="F53" s="28">
        <v>40</v>
      </c>
      <c r="G53" s="28" t="s">
        <v>347</v>
      </c>
      <c r="H53" s="221">
        <v>0.35</v>
      </c>
      <c r="I53" s="28" t="s">
        <v>672</v>
      </c>
      <c r="J53" s="689" t="s">
        <v>847</v>
      </c>
      <c r="K53" s="723"/>
      <c r="L53" s="28" t="s">
        <v>315</v>
      </c>
      <c r="M53" s="28" t="s">
        <v>341</v>
      </c>
      <c r="N53" s="47" t="s">
        <v>350</v>
      </c>
      <c r="O53" s="28"/>
      <c r="P53" s="28"/>
      <c r="Q53" s="28"/>
      <c r="R53" s="28"/>
      <c r="S53" s="28"/>
      <c r="T53" s="14"/>
      <c r="U53" s="28"/>
      <c r="V53" s="97"/>
    </row>
    <row r="54" spans="1:22" ht="18" customHeight="1">
      <c r="A54" s="272"/>
      <c r="B54" s="28"/>
      <c r="C54" s="28" t="s">
        <v>850</v>
      </c>
      <c r="D54" s="28" t="s">
        <v>841</v>
      </c>
      <c r="E54" s="28" t="s">
        <v>529</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35"/>
      <c r="E55" s="14"/>
      <c r="F55" s="28"/>
      <c r="G55" s="249"/>
      <c r="H55" s="28"/>
      <c r="I55" s="251"/>
      <c r="J55" s="14"/>
      <c r="K55" s="280"/>
      <c r="M55" s="47"/>
      <c r="N55" s="268"/>
      <c r="P55" s="281"/>
      <c r="R55" s="234"/>
      <c r="S55" s="531"/>
      <c r="T55" s="531"/>
      <c r="V55" s="185"/>
    </row>
    <row r="56" spans="1:22" ht="18" customHeight="1">
      <c r="A56" s="96"/>
      <c r="B56" s="120" t="s">
        <v>846</v>
      </c>
      <c r="C56" s="120" t="s">
        <v>419</v>
      </c>
      <c r="D56" s="221">
        <v>600</v>
      </c>
      <c r="E56" s="28" t="s">
        <v>315</v>
      </c>
      <c r="F56" s="28" t="s">
        <v>511</v>
      </c>
      <c r="G56" s="47" t="s">
        <v>350</v>
      </c>
      <c r="H56" s="28" t="s">
        <v>851</v>
      </c>
      <c r="I56" s="120" t="s">
        <v>419</v>
      </c>
      <c r="J56" s="689" t="s">
        <v>847</v>
      </c>
      <c r="K56" s="723"/>
      <c r="L56" s="28" t="s">
        <v>315</v>
      </c>
      <c r="M56" s="28" t="s">
        <v>341</v>
      </c>
      <c r="N56" s="47" t="s">
        <v>350</v>
      </c>
      <c r="O56" s="154" t="s">
        <v>699</v>
      </c>
      <c r="P56" s="120" t="s">
        <v>419</v>
      </c>
      <c r="Q56" s="221">
        <v>1600</v>
      </c>
      <c r="R56" s="28" t="s">
        <v>315</v>
      </c>
      <c r="S56" s="28" t="s">
        <v>511</v>
      </c>
      <c r="T56" s="47" t="s">
        <v>350</v>
      </c>
      <c r="U56" s="14" t="s">
        <v>854</v>
      </c>
      <c r="V56" s="97"/>
    </row>
    <row r="57" spans="1:22" ht="18" customHeight="1">
      <c r="A57" s="272"/>
      <c r="B57" s="28" t="s">
        <v>841</v>
      </c>
      <c r="C57" s="28" t="s">
        <v>127</v>
      </c>
      <c r="D57" s="28">
        <v>256</v>
      </c>
      <c r="E57" s="14"/>
      <c r="F57" s="14"/>
      <c r="G57" s="120"/>
      <c r="H57" s="28"/>
      <c r="I57" s="28"/>
      <c r="J57" s="28"/>
      <c r="K57" s="28"/>
      <c r="L57" s="28"/>
      <c r="M57" s="28"/>
      <c r="N57" s="28"/>
      <c r="O57" s="28"/>
      <c r="P57" s="28"/>
      <c r="Q57" s="28"/>
      <c r="R57" s="28"/>
      <c r="S57" s="28"/>
      <c r="T57" s="14"/>
      <c r="U57" s="28"/>
      <c r="V57" s="97"/>
    </row>
    <row r="58" spans="1:22" ht="18" customHeight="1">
      <c r="A58" s="272"/>
      <c r="U58" s="14"/>
      <c r="V58" s="97"/>
    </row>
    <row r="59" spans="1:22" ht="18" customHeight="1">
      <c r="A59" s="524"/>
      <c r="B59" s="30" t="s">
        <v>855</v>
      </c>
      <c r="Q59" s="14" t="s">
        <v>617</v>
      </c>
      <c r="S59" s="234" t="s">
        <v>127</v>
      </c>
      <c r="T59" s="684">
        <f>'Parameters &amp; Fault Cal. (4)'!Q10 *1000</f>
        <v>50000</v>
      </c>
      <c r="U59" s="684"/>
      <c r="V59" s="185" t="s">
        <v>8</v>
      </c>
    </row>
    <row r="60" spans="1:22" ht="18" customHeight="1">
      <c r="A60" s="524"/>
      <c r="B60" s="47" t="s">
        <v>654</v>
      </c>
      <c r="C60" s="14"/>
      <c r="D60" s="14"/>
      <c r="E60" s="14"/>
      <c r="F60" s="14"/>
      <c r="G60" s="18"/>
      <c r="H60" s="18"/>
      <c r="I60" s="14"/>
      <c r="J60" s="120"/>
      <c r="K60" s="14"/>
      <c r="L60" s="14"/>
      <c r="N60" s="14"/>
      <c r="O60" s="14"/>
      <c r="Q60" s="14" t="s">
        <v>423</v>
      </c>
      <c r="S60" s="234" t="s">
        <v>127</v>
      </c>
      <c r="T60" s="684">
        <f>H10</f>
        <v>2500</v>
      </c>
      <c r="U60" s="684"/>
      <c r="V60" s="185" t="s">
        <v>8</v>
      </c>
    </row>
    <row r="61" spans="1:22" ht="18" customHeight="1">
      <c r="A61" s="96"/>
      <c r="B61" s="47" t="s">
        <v>856</v>
      </c>
      <c r="C61" s="14"/>
      <c r="D61" s="14"/>
      <c r="E61" s="14"/>
      <c r="F61" s="14"/>
      <c r="G61" s="18"/>
      <c r="H61" s="18"/>
      <c r="I61" s="14"/>
      <c r="J61" s="120"/>
      <c r="K61" s="14"/>
      <c r="L61" s="14"/>
      <c r="N61" s="14"/>
      <c r="O61" s="14"/>
      <c r="Q61" s="14" t="s">
        <v>847</v>
      </c>
      <c r="S61" s="234" t="s">
        <v>127</v>
      </c>
      <c r="T61" s="795">
        <f>T59/T60</f>
        <v>20</v>
      </c>
      <c r="U61" s="795"/>
      <c r="V61" s="185" t="s">
        <v>8</v>
      </c>
    </row>
    <row r="62" spans="1:22" ht="18" customHeight="1">
      <c r="A62" s="96"/>
      <c r="B62" s="47" t="s">
        <v>655</v>
      </c>
      <c r="C62" s="14"/>
      <c r="D62" s="14"/>
      <c r="E62" s="14"/>
      <c r="F62" s="14"/>
      <c r="G62" s="18"/>
      <c r="H62" s="18"/>
      <c r="I62" s="14"/>
      <c r="J62" s="120"/>
      <c r="K62" s="14"/>
      <c r="L62" s="14"/>
      <c r="N62" s="14"/>
      <c r="O62" s="14"/>
      <c r="Q62" s="14" t="s">
        <v>420</v>
      </c>
      <c r="S62" s="234" t="s">
        <v>127</v>
      </c>
      <c r="T62" s="684">
        <f>H12</f>
        <v>5</v>
      </c>
      <c r="U62" s="684"/>
      <c r="V62" s="532" t="s">
        <v>333</v>
      </c>
    </row>
    <row r="63" spans="1:22" ht="18" customHeight="1">
      <c r="A63" s="96"/>
      <c r="B63" s="47" t="s">
        <v>676</v>
      </c>
      <c r="C63" s="14"/>
      <c r="D63" s="14"/>
      <c r="E63" s="14"/>
      <c r="F63" s="14"/>
      <c r="G63" s="18"/>
      <c r="H63" s="18"/>
      <c r="I63" s="14"/>
      <c r="J63" s="120"/>
      <c r="K63" s="14"/>
      <c r="L63" s="14"/>
      <c r="N63" s="14"/>
      <c r="O63" s="14"/>
      <c r="Q63" s="14" t="s">
        <v>842</v>
      </c>
      <c r="S63" s="234" t="s">
        <v>127</v>
      </c>
      <c r="T63" s="795">
        <f>S29</f>
        <v>1.0970224400000002</v>
      </c>
      <c r="U63" s="795"/>
      <c r="V63" s="532" t="s">
        <v>333</v>
      </c>
    </row>
    <row r="64" spans="1:22" ht="18" customHeight="1">
      <c r="A64" s="96"/>
      <c r="B64" s="47" t="s">
        <v>691</v>
      </c>
      <c r="C64" s="14"/>
      <c r="D64" s="14"/>
      <c r="E64" s="14"/>
      <c r="F64" s="14"/>
      <c r="G64" s="14"/>
      <c r="H64" s="14"/>
      <c r="I64" s="14"/>
      <c r="J64" s="120"/>
      <c r="K64" s="14"/>
      <c r="L64" s="14"/>
      <c r="N64" s="14"/>
      <c r="O64" s="14"/>
      <c r="Q64" s="14" t="s">
        <v>511</v>
      </c>
      <c r="S64" s="234" t="s">
        <v>127</v>
      </c>
      <c r="T64" s="684">
        <f>O10</f>
        <v>1</v>
      </c>
      <c r="U64" s="684"/>
      <c r="V64" s="185" t="s">
        <v>8</v>
      </c>
    </row>
    <row r="65" spans="1:22" ht="18" customHeight="1">
      <c r="A65" s="96"/>
      <c r="B65" s="14" t="s">
        <v>857</v>
      </c>
      <c r="C65" s="14"/>
      <c r="D65" s="14"/>
      <c r="E65" s="235"/>
      <c r="F65" s="14"/>
      <c r="G65" s="28"/>
      <c r="H65" s="249"/>
      <c r="I65" s="28"/>
      <c r="J65" s="251"/>
      <c r="K65" s="14"/>
      <c r="L65" s="280"/>
      <c r="N65" s="47"/>
      <c r="O65" s="268"/>
      <c r="Q65" s="281" t="s">
        <v>341</v>
      </c>
      <c r="S65" s="234" t="s">
        <v>127</v>
      </c>
      <c r="T65" s="1327">
        <f>'Parameters &amp; Fault Cal. (4)'!Q11</f>
        <v>15</v>
      </c>
      <c r="U65" s="1328"/>
      <c r="V65" s="185"/>
    </row>
    <row r="66" spans="1:22" ht="18" customHeight="1">
      <c r="A66" s="325"/>
      <c r="B66" s="14" t="s">
        <v>858</v>
      </c>
      <c r="F66" s="14"/>
      <c r="G66" s="154"/>
      <c r="H66" s="102"/>
      <c r="I66" s="28"/>
      <c r="J66" s="27"/>
      <c r="K66" s="14"/>
      <c r="O66" s="47"/>
      <c r="P66" s="14"/>
      <c r="Q66" s="14"/>
      <c r="R66" s="14"/>
      <c r="S66" s="120"/>
      <c r="T66" s="1075">
        <v>150</v>
      </c>
      <c r="U66" s="1076"/>
      <c r="V66" s="97" t="s">
        <v>604</v>
      </c>
    </row>
    <row r="67" spans="1:22" ht="18.75" customHeight="1">
      <c r="A67" s="96"/>
      <c r="B67" s="14"/>
      <c r="Q67" s="14"/>
      <c r="R67" s="14"/>
      <c r="S67" s="120"/>
      <c r="T67" s="18"/>
      <c r="U67" s="18"/>
      <c r="V67" s="97"/>
    </row>
    <row r="68" spans="1:22" ht="18" customHeight="1">
      <c r="A68" s="184"/>
      <c r="B68" s="533" t="s">
        <v>859</v>
      </c>
      <c r="C68" s="533"/>
      <c r="D68" s="247"/>
      <c r="E68" s="247"/>
      <c r="F68" s="459" t="str">
        <f>IF(T66=150,"1 &amp; 2","3 &amp; 4")</f>
        <v>1 &amp; 2</v>
      </c>
      <c r="G68" s="534"/>
      <c r="V68" s="185"/>
    </row>
    <row r="69" spans="1:22" ht="18" customHeight="1">
      <c r="A69" s="524" t="s">
        <v>419</v>
      </c>
      <c r="B69" s="689" t="s">
        <v>847</v>
      </c>
      <c r="C69" s="689"/>
      <c r="D69" s="28" t="s">
        <v>315</v>
      </c>
      <c r="E69" s="28" t="s">
        <v>341</v>
      </c>
      <c r="F69" s="47" t="s">
        <v>350</v>
      </c>
      <c r="G69" s="154" t="s">
        <v>699</v>
      </c>
      <c r="H69" s="120" t="s">
        <v>419</v>
      </c>
      <c r="I69" s="221" t="str">
        <f>IF(T66=150,"1000","600")</f>
        <v>1000</v>
      </c>
      <c r="J69" s="28" t="s">
        <v>315</v>
      </c>
      <c r="K69" s="28" t="s">
        <v>511</v>
      </c>
      <c r="L69" s="47" t="s">
        <v>350</v>
      </c>
      <c r="M69" s="14"/>
      <c r="N69" s="14"/>
      <c r="U69" s="14" t="str">
        <f>IF(T66=150,"...cond.1","…cond.3")</f>
        <v>...cond.1</v>
      </c>
      <c r="V69" s="185"/>
    </row>
    <row r="70" spans="1:22" ht="18" customHeight="1">
      <c r="A70" s="524" t="s">
        <v>419</v>
      </c>
      <c r="B70" s="692">
        <f>T61</f>
        <v>20</v>
      </c>
      <c r="C70" s="692"/>
      <c r="D70" s="28" t="s">
        <v>315</v>
      </c>
      <c r="E70" s="28">
        <f>T65</f>
        <v>15</v>
      </c>
      <c r="F70" s="47" t="s">
        <v>350</v>
      </c>
      <c r="G70" s="154" t="s">
        <v>699</v>
      </c>
      <c r="H70" s="120" t="s">
        <v>419</v>
      </c>
      <c r="I70" s="221" t="str">
        <f>I69</f>
        <v>1000</v>
      </c>
      <c r="J70" s="28" t="s">
        <v>315</v>
      </c>
      <c r="K70" s="28">
        <f>T64</f>
        <v>1</v>
      </c>
      <c r="L70" s="47" t="s">
        <v>350</v>
      </c>
      <c r="M70" s="14"/>
      <c r="N70" s="14"/>
      <c r="U70" s="14"/>
      <c r="V70" s="97"/>
    </row>
    <row r="71" spans="1:22" ht="18" customHeight="1">
      <c r="A71" s="96"/>
      <c r="B71" s="14"/>
      <c r="C71" s="14"/>
      <c r="D71" s="834">
        <f>B70*E70</f>
        <v>300</v>
      </c>
      <c r="E71" s="1149"/>
      <c r="F71" s="14"/>
      <c r="G71" s="154" t="s">
        <v>699</v>
      </c>
      <c r="H71" s="102"/>
      <c r="I71" s="689">
        <f>I70*K70</f>
        <v>1000</v>
      </c>
      <c r="J71" s="684"/>
      <c r="K71" s="14"/>
      <c r="O71" s="47"/>
      <c r="P71" s="14"/>
      <c r="Q71" s="14"/>
      <c r="R71" s="14"/>
      <c r="S71" s="120" t="s">
        <v>860</v>
      </c>
      <c r="T71" s="1326" t="b">
        <f>IF(D71&lt;=I71,TRUE,FALSE)</f>
        <v>1</v>
      </c>
      <c r="U71" s="1326"/>
      <c r="V71" s="97"/>
    </row>
    <row r="72" spans="1:22" ht="18" customHeight="1">
      <c r="A72" s="184"/>
      <c r="B72" s="28" t="s">
        <v>617</v>
      </c>
      <c r="C72" s="30" t="str">
        <f>IF(T66=150,"…cond.1","…cond.3")</f>
        <v>…cond.1</v>
      </c>
      <c r="E72" s="14" t="s">
        <v>861</v>
      </c>
      <c r="V72" s="185"/>
    </row>
    <row r="73" spans="1:22" ht="18" customHeight="1">
      <c r="A73" s="184"/>
      <c r="V73" s="97"/>
    </row>
    <row r="74" spans="1:22" ht="18" customHeight="1">
      <c r="A74" s="184"/>
      <c r="B74" s="14"/>
      <c r="C74" s="28" t="s">
        <v>841</v>
      </c>
      <c r="D74" s="28" t="s">
        <v>529</v>
      </c>
      <c r="E74" s="28">
        <v>40</v>
      </c>
      <c r="F74" s="28" t="s">
        <v>347</v>
      </c>
      <c r="G74" s="221" t="str">
        <f>IF(T66=150,"0.07","0.35")</f>
        <v>0.07</v>
      </c>
      <c r="H74" s="28" t="s">
        <v>672</v>
      </c>
      <c r="I74" s="689" t="s">
        <v>847</v>
      </c>
      <c r="J74" s="723"/>
      <c r="K74" s="28" t="s">
        <v>315</v>
      </c>
      <c r="L74" s="28" t="s">
        <v>341</v>
      </c>
      <c r="M74" s="47" t="s">
        <v>350</v>
      </c>
      <c r="N74" s="184"/>
      <c r="O74" s="47" t="s">
        <v>862</v>
      </c>
      <c r="P74" s="27"/>
      <c r="Q74" s="28" t="s">
        <v>127</v>
      </c>
      <c r="R74" s="795">
        <f>MAX(E76,E77)</f>
        <v>65</v>
      </c>
      <c r="S74" s="684"/>
      <c r="V74" s="185"/>
    </row>
    <row r="75" spans="1:22" ht="18" customHeight="1">
      <c r="A75" s="184"/>
      <c r="B75" s="14"/>
      <c r="C75" s="28"/>
      <c r="D75" s="28" t="s">
        <v>529</v>
      </c>
      <c r="E75" s="28">
        <v>40</v>
      </c>
      <c r="F75" s="28" t="s">
        <v>347</v>
      </c>
      <c r="G75" s="221" t="str">
        <f>IF(T66=150,"0.07","0.35")</f>
        <v>0.07</v>
      </c>
      <c r="H75" s="28" t="s">
        <v>672</v>
      </c>
      <c r="I75" s="692">
        <f>T61</f>
        <v>20</v>
      </c>
      <c r="J75" s="723"/>
      <c r="K75" s="28" t="s">
        <v>315</v>
      </c>
      <c r="L75" s="28">
        <f>T65</f>
        <v>15</v>
      </c>
      <c r="M75" s="47" t="s">
        <v>350</v>
      </c>
      <c r="N75" s="184"/>
      <c r="V75" s="185"/>
    </row>
    <row r="76" spans="1:22" ht="18" customHeight="1">
      <c r="A76" s="184"/>
      <c r="B76" s="14"/>
      <c r="C76" s="28"/>
      <c r="D76" s="28" t="s">
        <v>529</v>
      </c>
      <c r="E76" s="692">
        <f>E75+(G75*(I75*L75))</f>
        <v>61</v>
      </c>
      <c r="F76" s="692"/>
      <c r="G76" s="221"/>
      <c r="H76" s="28"/>
      <c r="I76" s="218"/>
      <c r="K76" s="28"/>
      <c r="L76" s="28"/>
      <c r="M76" s="47"/>
      <c r="N76" s="184"/>
      <c r="V76" s="185"/>
    </row>
    <row r="77" spans="1:22" ht="18" customHeight="1">
      <c r="A77" s="96"/>
      <c r="B77" s="28" t="s">
        <v>850</v>
      </c>
      <c r="C77" s="28" t="s">
        <v>841</v>
      </c>
      <c r="D77" s="28" t="s">
        <v>127</v>
      </c>
      <c r="E77" s="28">
        <v>65</v>
      </c>
      <c r="G77" s="14"/>
      <c r="H77" s="154"/>
      <c r="I77" s="102"/>
      <c r="J77" s="28"/>
      <c r="K77" s="27"/>
      <c r="L77" s="14"/>
      <c r="N77" s="96"/>
      <c r="O77" s="14"/>
      <c r="Q77" s="14"/>
      <c r="R77" s="14"/>
      <c r="S77" s="14"/>
      <c r="T77" s="14"/>
      <c r="U77" s="14"/>
      <c r="V77" s="97"/>
    </row>
    <row r="78" spans="1:22" ht="18" customHeight="1">
      <c r="A78" s="96"/>
      <c r="B78" s="14"/>
      <c r="F78" s="28"/>
      <c r="I78" s="120"/>
      <c r="J78" s="221"/>
      <c r="K78" s="28"/>
      <c r="L78" s="28"/>
      <c r="M78" s="47"/>
      <c r="N78" s="14"/>
      <c r="O78" s="14"/>
      <c r="Q78" s="14"/>
      <c r="R78" s="14"/>
      <c r="S78" s="14"/>
      <c r="T78" s="14"/>
      <c r="U78" s="14"/>
      <c r="V78" s="97"/>
    </row>
    <row r="79" spans="1:22" ht="18" customHeight="1">
      <c r="A79" s="524" t="s">
        <v>419</v>
      </c>
      <c r="B79" s="221" t="str">
        <f>IF(T66=150,"1000","600")</f>
        <v>1000</v>
      </c>
      <c r="C79" s="28" t="s">
        <v>315</v>
      </c>
      <c r="D79" s="28" t="s">
        <v>511</v>
      </c>
      <c r="E79" s="47" t="s">
        <v>350</v>
      </c>
      <c r="F79" s="28" t="s">
        <v>851</v>
      </c>
      <c r="G79" s="120" t="s">
        <v>419</v>
      </c>
      <c r="H79" s="689" t="s">
        <v>847</v>
      </c>
      <c r="I79" s="723"/>
      <c r="J79" s="28" t="s">
        <v>315</v>
      </c>
      <c r="K79" s="28" t="s">
        <v>341</v>
      </c>
      <c r="L79" s="47" t="s">
        <v>350</v>
      </c>
      <c r="M79" s="154" t="s">
        <v>699</v>
      </c>
      <c r="N79" s="120" t="s">
        <v>419</v>
      </c>
      <c r="O79" s="221" t="str">
        <f>IF(T66=150,"2600","1600")</f>
        <v>2600</v>
      </c>
      <c r="P79" s="28" t="s">
        <v>315</v>
      </c>
      <c r="Q79" s="28" t="s">
        <v>511</v>
      </c>
      <c r="R79" s="47" t="s">
        <v>350</v>
      </c>
      <c r="S79" s="14"/>
      <c r="T79" s="14"/>
      <c r="U79" s="14" t="str">
        <f>IF(T66=150,"...cond.2","…cond.4")</f>
        <v>...cond.2</v>
      </c>
      <c r="V79" s="97"/>
    </row>
    <row r="80" spans="1:22" ht="18" customHeight="1">
      <c r="A80" s="524" t="s">
        <v>419</v>
      </c>
      <c r="B80" s="221" t="str">
        <f>B79</f>
        <v>1000</v>
      </c>
      <c r="C80" s="28" t="s">
        <v>315</v>
      </c>
      <c r="D80" s="28">
        <f>T64</f>
        <v>1</v>
      </c>
      <c r="E80" s="47" t="s">
        <v>350</v>
      </c>
      <c r="F80" s="28" t="s">
        <v>851</v>
      </c>
      <c r="G80" s="120" t="s">
        <v>419</v>
      </c>
      <c r="H80" s="692">
        <f>T61</f>
        <v>20</v>
      </c>
      <c r="I80" s="723"/>
      <c r="J80" s="28" t="s">
        <v>315</v>
      </c>
      <c r="K80" s="28">
        <f>T65</f>
        <v>15</v>
      </c>
      <c r="L80" s="47" t="s">
        <v>350</v>
      </c>
      <c r="M80" s="154" t="s">
        <v>699</v>
      </c>
      <c r="N80" s="120" t="s">
        <v>419</v>
      </c>
      <c r="O80" s="221" t="str">
        <f>O79</f>
        <v>2600</v>
      </c>
      <c r="P80" s="28" t="s">
        <v>315</v>
      </c>
      <c r="Q80" s="28">
        <f>T64</f>
        <v>1</v>
      </c>
      <c r="R80" s="47" t="s">
        <v>350</v>
      </c>
      <c r="S80" s="14"/>
      <c r="T80" s="14"/>
      <c r="U80" s="14"/>
      <c r="V80" s="97"/>
    </row>
    <row r="81" spans="1:22" ht="18" customHeight="1">
      <c r="A81" s="524"/>
      <c r="B81" s="249"/>
      <c r="C81" s="1329">
        <f>B80*D80</f>
        <v>1000</v>
      </c>
      <c r="D81" s="1329"/>
      <c r="E81" s="249"/>
      <c r="F81" s="28" t="s">
        <v>851</v>
      </c>
      <c r="G81" s="14"/>
      <c r="H81" s="14"/>
      <c r="I81" s="834">
        <f>H80*K80</f>
        <v>300</v>
      </c>
      <c r="J81" s="834"/>
      <c r="K81" s="14"/>
      <c r="L81" s="14"/>
      <c r="M81" s="154" t="s">
        <v>699</v>
      </c>
      <c r="N81" s="102"/>
      <c r="O81" s="1286">
        <f>O80*Q80</f>
        <v>2600</v>
      </c>
      <c r="P81" s="723"/>
      <c r="Q81" s="14"/>
      <c r="R81" s="14"/>
      <c r="S81" s="120" t="s">
        <v>860</v>
      </c>
      <c r="T81" s="1326" t="b">
        <f>IF(AND(C81&lt;I81,I81&lt;=O81)=TRUE,TRUE,FALSE)</f>
        <v>0</v>
      </c>
      <c r="U81" s="1326"/>
      <c r="V81" s="97"/>
    </row>
    <row r="82" spans="1:22" ht="18" customHeight="1">
      <c r="A82" s="193"/>
      <c r="B82" s="14"/>
      <c r="C82" s="27"/>
      <c r="D82" s="218"/>
      <c r="E82" s="204"/>
      <c r="F82" s="14"/>
      <c r="G82" s="14"/>
      <c r="H82" s="14"/>
      <c r="I82" s="14"/>
      <c r="J82" s="120"/>
      <c r="K82" s="120"/>
      <c r="L82" s="14"/>
      <c r="M82" s="14"/>
      <c r="N82" s="28"/>
      <c r="O82" s="257"/>
      <c r="P82" s="14"/>
      <c r="Q82" s="14"/>
      <c r="R82" s="120"/>
      <c r="S82" s="28"/>
      <c r="T82" s="47"/>
      <c r="U82" s="14"/>
      <c r="V82" s="97"/>
    </row>
    <row r="83" spans="1:22" s="279" customFormat="1" ht="18" customHeight="1">
      <c r="A83" s="299"/>
      <c r="B83" s="28" t="s">
        <v>617</v>
      </c>
      <c r="C83" s="30" t="str">
        <f>IF(T66=150,"…cond.2","…cond.4")</f>
        <v>…cond.2</v>
      </c>
      <c r="D83" s="30"/>
      <c r="E83" s="14" t="s">
        <v>863</v>
      </c>
      <c r="F83" s="30"/>
      <c r="G83" s="30"/>
      <c r="H83" s="30"/>
      <c r="I83" s="30"/>
      <c r="J83" s="28" t="s">
        <v>127</v>
      </c>
      <c r="K83" s="30" t="str">
        <f>IF(T66=150,"107","256")</f>
        <v>107</v>
      </c>
      <c r="L83" s="30"/>
      <c r="M83" s="30"/>
      <c r="N83" s="1" t="s">
        <v>864</v>
      </c>
      <c r="O83" s="196"/>
      <c r="P83" s="196"/>
      <c r="Q83" s="196"/>
      <c r="R83" s="196"/>
      <c r="S83" s="182" t="s">
        <v>127</v>
      </c>
      <c r="T83" s="246">
        <f>IF(T71=TRUE,R74,IF(T81=TRUE,K83,))</f>
        <v>65</v>
      </c>
      <c r="U83" s="14"/>
      <c r="V83" s="97"/>
    </row>
    <row r="84" spans="1:22" ht="18" customHeight="1">
      <c r="A84" s="193"/>
      <c r="B84" s="14"/>
      <c r="C84" s="27"/>
      <c r="D84" s="218"/>
      <c r="E84" s="204"/>
      <c r="F84" s="14"/>
      <c r="G84" s="14"/>
      <c r="H84" s="14"/>
      <c r="I84" s="14"/>
      <c r="J84" s="120"/>
      <c r="K84" s="120"/>
      <c r="L84" s="14"/>
      <c r="M84" s="14"/>
      <c r="N84" s="28"/>
      <c r="O84" s="257"/>
      <c r="P84" s="14"/>
      <c r="Q84" s="14"/>
      <c r="R84" s="120"/>
      <c r="S84" s="28"/>
      <c r="T84" s="47"/>
      <c r="U84" s="14"/>
      <c r="V84" s="97"/>
    </row>
    <row r="85" spans="1:22"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2" ht="18" customHeight="1">
      <c r="A86" s="193"/>
      <c r="B86" s="14"/>
      <c r="C86" s="27"/>
      <c r="D86" s="218"/>
      <c r="E86" s="204"/>
      <c r="F86" s="14"/>
      <c r="G86" s="14"/>
      <c r="H86" s="14"/>
      <c r="I86" s="14"/>
      <c r="J86" s="120"/>
      <c r="K86" s="120"/>
      <c r="L86" s="14"/>
      <c r="M86" s="14"/>
      <c r="N86" s="28"/>
      <c r="O86" s="257"/>
      <c r="P86" s="14"/>
      <c r="Q86" s="14"/>
      <c r="R86" s="120"/>
      <c r="S86" s="28"/>
      <c r="T86" s="47"/>
      <c r="U86" s="14"/>
      <c r="V86" s="97"/>
    </row>
    <row r="87" spans="1:22" s="279" customFormat="1" ht="18" customHeight="1">
      <c r="A87" s="193" t="s">
        <v>865</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84"/>
      <c r="D88" s="30" t="s">
        <v>473</v>
      </c>
      <c r="E88" s="27" t="s">
        <v>529</v>
      </c>
      <c r="F88" s="27" t="s">
        <v>841</v>
      </c>
      <c r="G88" s="27" t="s">
        <v>315</v>
      </c>
      <c r="H88" s="27" t="s">
        <v>511</v>
      </c>
      <c r="I88" s="27" t="s">
        <v>372</v>
      </c>
      <c r="J88" s="27" t="s">
        <v>420</v>
      </c>
      <c r="K88" s="27" t="s">
        <v>347</v>
      </c>
      <c r="L88" s="27" t="s">
        <v>842</v>
      </c>
      <c r="M88" s="30" t="s">
        <v>350</v>
      </c>
      <c r="V88" s="185"/>
    </row>
    <row r="89" spans="1:22" ht="18" customHeight="1">
      <c r="A89" s="184"/>
      <c r="B89" s="14"/>
      <c r="D89" s="14"/>
      <c r="E89" s="27" t="s">
        <v>529</v>
      </c>
      <c r="F89" s="27">
        <f>T83</f>
        <v>65</v>
      </c>
      <c r="G89" s="27" t="s">
        <v>315</v>
      </c>
      <c r="H89" s="27">
        <f>T64</f>
        <v>1</v>
      </c>
      <c r="I89" s="27" t="s">
        <v>372</v>
      </c>
      <c r="J89" s="27">
        <f>T62</f>
        <v>5</v>
      </c>
      <c r="K89" s="27" t="s">
        <v>347</v>
      </c>
      <c r="L89" s="211">
        <f>T63</f>
        <v>1.0970224400000002</v>
      </c>
      <c r="M89" s="30" t="s">
        <v>350</v>
      </c>
      <c r="V89" s="185"/>
    </row>
    <row r="90" spans="1:22" ht="18.600000000000001" customHeight="1">
      <c r="A90" s="184"/>
      <c r="B90" s="14"/>
      <c r="D90" s="14"/>
      <c r="E90" s="27" t="s">
        <v>529</v>
      </c>
      <c r="F90" s="709">
        <f>F89*H89*(J89+L89)</f>
        <v>396.30645859999998</v>
      </c>
      <c r="G90" s="710"/>
      <c r="H90" s="14" t="s">
        <v>305</v>
      </c>
      <c r="I90" s="14"/>
      <c r="J90" s="14"/>
      <c r="K90" s="14"/>
      <c r="L90" s="120"/>
      <c r="M90" s="120"/>
      <c r="V90" s="185"/>
    </row>
    <row r="91" spans="1:22" ht="18" customHeight="1">
      <c r="A91" s="184"/>
      <c r="C91" s="30" t="s">
        <v>475</v>
      </c>
      <c r="F91" s="27" t="str">
        <f>IF(D92&gt;G92,"&gt;","&lt;")</f>
        <v>&gt;</v>
      </c>
      <c r="G91" s="30" t="s">
        <v>477</v>
      </c>
      <c r="L91" s="14"/>
      <c r="M91" s="14"/>
      <c r="N91" s="14"/>
      <c r="O91" s="14"/>
      <c r="P91" s="14"/>
      <c r="Q91" s="14"/>
      <c r="R91" s="14"/>
      <c r="S91" s="14"/>
      <c r="T91" s="14"/>
      <c r="U91" s="14"/>
      <c r="V91" s="97"/>
    </row>
    <row r="92" spans="1:22" ht="18" customHeight="1">
      <c r="A92" s="184"/>
      <c r="D92" s="684">
        <f>H13</f>
        <v>3750</v>
      </c>
      <c r="E92" s="684"/>
      <c r="F92" s="27" t="str">
        <f>F91</f>
        <v>&gt;</v>
      </c>
      <c r="G92" s="713">
        <f>F90</f>
        <v>396.30645859999998</v>
      </c>
      <c r="H92" s="713"/>
      <c r="L92" s="14"/>
      <c r="M92" s="14"/>
      <c r="N92" s="28"/>
      <c r="O92" s="28"/>
      <c r="P92" s="28"/>
      <c r="Q92" s="120"/>
      <c r="R92" s="250"/>
      <c r="S92" s="186"/>
      <c r="T92" s="14"/>
      <c r="U92" s="14"/>
      <c r="V92" s="97"/>
    </row>
    <row r="93" spans="1:22" ht="18" customHeight="1">
      <c r="A93" s="184"/>
      <c r="D93" s="27"/>
      <c r="E93" s="27"/>
      <c r="F93" s="27"/>
      <c r="G93" s="543"/>
      <c r="H93" s="543"/>
      <c r="L93" s="14"/>
      <c r="M93" s="14"/>
      <c r="N93" s="28"/>
      <c r="O93" s="28"/>
      <c r="P93" s="28"/>
      <c r="Q93" s="120"/>
      <c r="R93" s="250"/>
      <c r="S93" s="186"/>
      <c r="T93" s="14"/>
      <c r="U93" s="14"/>
      <c r="V93" s="97"/>
    </row>
    <row r="94" spans="1:22" ht="18" customHeight="1">
      <c r="A94" s="184"/>
      <c r="E94" s="244" t="s">
        <v>478</v>
      </c>
      <c r="G94" s="18" t="str">
        <f>IF(F92="&gt;","Suitably Dimensioned","Under Dimensioned")</f>
        <v>Suitably Dimensioned</v>
      </c>
      <c r="L94" s="14"/>
      <c r="M94" s="14"/>
      <c r="N94" s="28"/>
      <c r="O94" s="257"/>
      <c r="P94" s="14"/>
      <c r="Q94" s="14"/>
      <c r="R94" s="120"/>
      <c r="S94" s="28"/>
      <c r="T94" s="47"/>
      <c r="U94" s="14"/>
      <c r="V94" s="97"/>
    </row>
    <row r="95" spans="1:22" s="279" customFormat="1" ht="18" customHeight="1">
      <c r="A95" s="325"/>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446</v>
      </c>
      <c r="B96" s="14"/>
      <c r="C96" s="27"/>
      <c r="D96" s="218"/>
      <c r="E96" s="204"/>
      <c r="F96" s="14"/>
      <c r="G96" s="14"/>
      <c r="H96" s="14"/>
      <c r="I96" s="14"/>
      <c r="J96" s="120"/>
      <c r="K96" s="120"/>
      <c r="L96" s="14"/>
      <c r="M96" s="14"/>
      <c r="N96" s="28"/>
      <c r="O96" s="257"/>
      <c r="P96" s="14"/>
      <c r="Q96" s="14"/>
      <c r="R96" s="120"/>
      <c r="S96" s="28"/>
      <c r="T96" s="47"/>
      <c r="U96" s="14"/>
      <c r="V96" s="185"/>
    </row>
    <row r="97" spans="1:22" ht="18" customHeight="1">
      <c r="A97" s="193" t="s">
        <v>416</v>
      </c>
      <c r="B97" s="14"/>
      <c r="C97" s="27"/>
      <c r="D97" s="218"/>
      <c r="E97" s="204"/>
      <c r="F97" s="14"/>
      <c r="G97" s="14"/>
      <c r="H97" s="14"/>
      <c r="I97" s="14"/>
      <c r="J97" s="120"/>
      <c r="K97" s="120"/>
      <c r="L97" s="14"/>
      <c r="M97" s="14"/>
      <c r="N97" s="28"/>
      <c r="O97" s="257"/>
      <c r="P97" s="14"/>
      <c r="Q97" s="14"/>
      <c r="R97" s="120"/>
      <c r="S97" s="28"/>
      <c r="T97" s="47"/>
      <c r="U97" s="14"/>
      <c r="V97" s="185"/>
    </row>
    <row r="98" spans="1:22" ht="32.700000000000003" customHeight="1">
      <c r="A98" s="1206" t="s">
        <v>866</v>
      </c>
      <c r="B98" s="1255"/>
      <c r="C98" s="1255"/>
      <c r="D98" s="1255"/>
      <c r="E98" s="1255"/>
      <c r="F98" s="1255"/>
      <c r="G98" s="1255"/>
      <c r="H98" s="1255"/>
      <c r="I98" s="1255"/>
      <c r="J98" s="1255"/>
      <c r="K98" s="1255"/>
      <c r="L98" s="1255"/>
      <c r="M98" s="1255"/>
      <c r="N98" s="1255"/>
      <c r="O98" s="1255"/>
      <c r="P98" s="1255"/>
      <c r="Q98" s="1255"/>
      <c r="R98" s="1255"/>
      <c r="S98" s="1255"/>
      <c r="T98" s="1255"/>
      <c r="U98" s="1255"/>
      <c r="V98" s="1256"/>
    </row>
    <row r="99" spans="1:22" ht="18" customHeight="1">
      <c r="A99" s="193"/>
      <c r="B99" s="14"/>
      <c r="F99" s="14" t="s">
        <v>867</v>
      </c>
      <c r="G99" s="14" t="s">
        <v>127</v>
      </c>
      <c r="H99" s="1317">
        <f>'Parameters &amp; Fault Cal. (4)'!E52</f>
        <v>6.7792282849970542</v>
      </c>
      <c r="I99" s="1317"/>
      <c r="J99" s="120"/>
      <c r="K99" s="14" t="str">
        <f>IF(H99&gt;2,"Since SIR is &gt;2, the below calculation is not applicable","")</f>
        <v>Since SIR is &gt;2, the below calculation is not applicable</v>
      </c>
      <c r="N99" s="28"/>
      <c r="O99" s="257"/>
      <c r="P99" s="14"/>
      <c r="Q99" s="14"/>
      <c r="R99" s="120"/>
      <c r="S99" s="28"/>
      <c r="T99" s="47"/>
      <c r="U99" s="14"/>
      <c r="V99" s="185"/>
    </row>
    <row r="100" spans="1:22" ht="18" customHeight="1">
      <c r="A100" s="193"/>
      <c r="B100" s="14"/>
      <c r="C100" s="27"/>
      <c r="D100" s="218"/>
      <c r="E100" s="204"/>
      <c r="J100" s="120"/>
      <c r="K100" s="120"/>
      <c r="L100" s="14"/>
      <c r="M100" s="14"/>
      <c r="N100" s="28"/>
      <c r="O100" s="257"/>
      <c r="P100" s="14"/>
      <c r="Q100" s="14"/>
      <c r="R100" s="120"/>
      <c r="S100" s="28"/>
      <c r="T100" s="47"/>
      <c r="U100" s="14"/>
      <c r="V100" s="185"/>
    </row>
    <row r="101" spans="1:22" ht="18" customHeight="1">
      <c r="A101" s="184"/>
      <c r="B101" s="14"/>
      <c r="C101" s="27"/>
      <c r="D101" s="218"/>
      <c r="E101" s="204"/>
      <c r="F101" s="30" t="s">
        <v>473</v>
      </c>
      <c r="G101" s="27" t="s">
        <v>529</v>
      </c>
      <c r="H101" s="993" t="s">
        <v>868</v>
      </c>
      <c r="I101" s="993"/>
      <c r="J101" s="27" t="s">
        <v>315</v>
      </c>
      <c r="K101" s="993" t="s">
        <v>820</v>
      </c>
      <c r="L101" s="993"/>
      <c r="M101" s="27" t="s">
        <v>315</v>
      </c>
      <c r="N101" s="244" t="s">
        <v>419</v>
      </c>
      <c r="O101" s="27" t="s">
        <v>420</v>
      </c>
      <c r="P101" s="27" t="s">
        <v>347</v>
      </c>
      <c r="Q101" s="27" t="s">
        <v>408</v>
      </c>
      <c r="R101" s="30" t="s">
        <v>350</v>
      </c>
      <c r="S101" s="28"/>
      <c r="T101" s="47"/>
      <c r="U101" s="14"/>
      <c r="V101" s="185"/>
    </row>
    <row r="102" spans="1:22" ht="18" customHeight="1">
      <c r="A102" s="193"/>
      <c r="F102" s="14" t="s">
        <v>869</v>
      </c>
      <c r="H102" s="27"/>
      <c r="I102" s="218"/>
      <c r="J102" s="204"/>
      <c r="K102" s="14"/>
      <c r="L102" s="14"/>
      <c r="M102" s="14"/>
      <c r="N102" s="14"/>
      <c r="O102" s="120"/>
      <c r="P102" s="120"/>
      <c r="Q102" s="14"/>
      <c r="R102" s="14"/>
      <c r="U102" s="14"/>
      <c r="V102" s="185"/>
    </row>
    <row r="103" spans="1:22" ht="18" customHeight="1">
      <c r="A103" s="193"/>
      <c r="G103" s="993" t="s">
        <v>868</v>
      </c>
      <c r="H103" s="993"/>
      <c r="I103" s="218" t="s">
        <v>127</v>
      </c>
      <c r="J103" s="204" t="s">
        <v>870</v>
      </c>
      <c r="K103" s="14"/>
      <c r="L103" s="14"/>
      <c r="M103" s="14"/>
      <c r="N103" s="14"/>
      <c r="O103" s="120"/>
      <c r="P103" s="120"/>
      <c r="Q103" s="14"/>
      <c r="R103" s="14"/>
      <c r="S103" s="28" t="s">
        <v>127</v>
      </c>
      <c r="T103" s="47">
        <v>1.4</v>
      </c>
      <c r="U103" s="14"/>
      <c r="V103" s="97"/>
    </row>
    <row r="104" spans="1:22" ht="18" customHeight="1">
      <c r="A104" s="193"/>
      <c r="G104" s="993" t="s">
        <v>820</v>
      </c>
      <c r="H104" s="993"/>
      <c r="I104" s="218" t="s">
        <v>127</v>
      </c>
      <c r="J104" s="204" t="s">
        <v>871</v>
      </c>
      <c r="K104" s="14"/>
      <c r="L104" s="14"/>
      <c r="M104" s="14"/>
      <c r="N104" s="14"/>
      <c r="O104" s="120"/>
      <c r="P104" s="120"/>
      <c r="Q104" s="14"/>
      <c r="R104" s="14"/>
      <c r="S104" s="28" t="s">
        <v>127</v>
      </c>
      <c r="T104" s="1188">
        <f>T61</f>
        <v>20</v>
      </c>
      <c r="U104" s="1286"/>
      <c r="V104" s="97" t="s">
        <v>8</v>
      </c>
    </row>
    <row r="105" spans="1:22" ht="18" customHeight="1">
      <c r="A105" s="193"/>
      <c r="U105" s="14"/>
      <c r="V105" s="97"/>
    </row>
    <row r="106" spans="1:22" ht="18" customHeight="1">
      <c r="A106" s="193"/>
      <c r="F106" s="30" t="s">
        <v>473</v>
      </c>
      <c r="G106" s="27" t="s">
        <v>529</v>
      </c>
      <c r="H106" s="993" t="s">
        <v>868</v>
      </c>
      <c r="I106" s="993"/>
      <c r="J106" s="27" t="s">
        <v>315</v>
      </c>
      <c r="K106" s="993" t="s">
        <v>820</v>
      </c>
      <c r="L106" s="993"/>
      <c r="M106" s="27" t="s">
        <v>315</v>
      </c>
      <c r="N106" s="244" t="s">
        <v>419</v>
      </c>
      <c r="O106" s="27" t="s">
        <v>420</v>
      </c>
      <c r="P106" s="27" t="s">
        <v>347</v>
      </c>
      <c r="Q106" s="27" t="s">
        <v>408</v>
      </c>
      <c r="R106" s="30" t="s">
        <v>350</v>
      </c>
      <c r="T106" s="47"/>
      <c r="U106" s="14"/>
      <c r="V106" s="97"/>
    </row>
    <row r="107" spans="1:22" ht="18" customHeight="1">
      <c r="A107" s="193"/>
      <c r="F107" s="30" t="s">
        <v>473</v>
      </c>
      <c r="G107" s="27" t="s">
        <v>529</v>
      </c>
      <c r="H107" s="993">
        <f>T103</f>
        <v>1.4</v>
      </c>
      <c r="I107" s="993"/>
      <c r="J107" s="27" t="s">
        <v>315</v>
      </c>
      <c r="K107" s="1111">
        <f>T104</f>
        <v>20</v>
      </c>
      <c r="L107" s="993"/>
      <c r="M107" s="27" t="s">
        <v>315</v>
      </c>
      <c r="N107" s="244" t="s">
        <v>419</v>
      </c>
      <c r="O107" s="27">
        <f>T62</f>
        <v>5</v>
      </c>
      <c r="P107" s="27" t="s">
        <v>347</v>
      </c>
      <c r="Q107" s="211">
        <f>T63</f>
        <v>1.0970224400000002</v>
      </c>
      <c r="R107" s="30" t="s">
        <v>350</v>
      </c>
      <c r="V107" s="97"/>
    </row>
    <row r="108" spans="1:22" ht="18" customHeight="1">
      <c r="A108" s="184"/>
      <c r="F108" s="30" t="s">
        <v>473</v>
      </c>
      <c r="G108" s="27" t="s">
        <v>529</v>
      </c>
      <c r="H108" s="1330">
        <f>H107*K107*(O107+Q107)</f>
        <v>170.71662831999998</v>
      </c>
      <c r="I108" s="1331"/>
      <c r="J108" s="14" t="s">
        <v>872</v>
      </c>
      <c r="V108" s="97"/>
    </row>
    <row r="109" spans="1:22" ht="18" customHeight="1">
      <c r="A109" s="193" t="s">
        <v>873</v>
      </c>
      <c r="O109" s="47"/>
      <c r="P109" s="14"/>
      <c r="Q109" s="14"/>
      <c r="R109" s="14"/>
      <c r="S109" s="120"/>
      <c r="T109" s="18"/>
      <c r="U109" s="18"/>
      <c r="V109" s="97"/>
    </row>
    <row r="110" spans="1:22" ht="18" customHeight="1">
      <c r="A110" s="184"/>
      <c r="C110" s="30" t="s">
        <v>473</v>
      </c>
      <c r="D110" s="27" t="s">
        <v>529</v>
      </c>
      <c r="E110" s="805" t="s">
        <v>874</v>
      </c>
      <c r="F110" s="805"/>
      <c r="G110" s="27" t="s">
        <v>315</v>
      </c>
      <c r="H110" s="805" t="s">
        <v>875</v>
      </c>
      <c r="I110" s="805"/>
      <c r="J110" s="28" t="s">
        <v>672</v>
      </c>
      <c r="K110" s="27">
        <v>1</v>
      </c>
      <c r="L110" s="14" t="s">
        <v>347</v>
      </c>
      <c r="M110" s="14" t="s">
        <v>341</v>
      </c>
      <c r="N110" s="14" t="s">
        <v>876</v>
      </c>
      <c r="O110" s="27" t="s">
        <v>420</v>
      </c>
      <c r="P110" s="27" t="s">
        <v>347</v>
      </c>
      <c r="Q110" s="27" t="s">
        <v>408</v>
      </c>
      <c r="R110" s="30" t="s">
        <v>350</v>
      </c>
      <c r="V110" s="185"/>
    </row>
    <row r="111" spans="1:22" ht="18" customHeight="1">
      <c r="A111" s="184"/>
      <c r="C111" s="14" t="s">
        <v>869</v>
      </c>
      <c r="E111" s="27"/>
      <c r="F111" s="218"/>
      <c r="G111" s="204"/>
      <c r="H111" s="14"/>
      <c r="I111" s="14"/>
      <c r="J111" s="14"/>
      <c r="K111" s="14"/>
      <c r="L111" s="120"/>
      <c r="M111" s="120"/>
      <c r="N111" s="14"/>
      <c r="O111" s="14"/>
      <c r="U111" s="14"/>
      <c r="V111" s="185"/>
    </row>
    <row r="112" spans="1:22" ht="18" customHeight="1">
      <c r="A112" s="96"/>
      <c r="B112" s="14"/>
      <c r="D112" s="805" t="s">
        <v>874</v>
      </c>
      <c r="E112" s="993"/>
      <c r="F112" s="218" t="s">
        <v>127</v>
      </c>
      <c r="G112" s="257" t="s">
        <v>877</v>
      </c>
      <c r="H112" s="14"/>
      <c r="I112" s="14"/>
      <c r="J112" s="14"/>
      <c r="K112" s="14"/>
      <c r="L112" s="120"/>
      <c r="M112" s="120"/>
      <c r="N112" s="14"/>
      <c r="O112" s="14"/>
      <c r="S112" s="28" t="s">
        <v>127</v>
      </c>
      <c r="T112" s="47">
        <v>0.6</v>
      </c>
      <c r="U112" s="14"/>
      <c r="V112" s="97"/>
    </row>
    <row r="113" spans="1:22" ht="18" customHeight="1">
      <c r="A113" s="272"/>
      <c r="B113" s="47"/>
      <c r="D113" s="805" t="s">
        <v>875</v>
      </c>
      <c r="E113" s="993"/>
      <c r="F113" s="218" t="s">
        <v>127</v>
      </c>
      <c r="G113" s="257" t="s">
        <v>878</v>
      </c>
      <c r="H113" s="14"/>
      <c r="I113" s="14"/>
      <c r="J113" s="14"/>
      <c r="K113" s="14"/>
      <c r="L113" s="120"/>
      <c r="M113" s="120"/>
      <c r="N113" s="14"/>
      <c r="O113" s="14"/>
      <c r="S113" s="28" t="s">
        <v>127</v>
      </c>
      <c r="T113" s="1188">
        <f>'Parameters &amp; Fault Cal. (4)'!M112/T60</f>
        <v>17.433928965433857</v>
      </c>
      <c r="U113" s="1286"/>
      <c r="V113" s="97" t="s">
        <v>8</v>
      </c>
    </row>
    <row r="114" spans="1:22" ht="18" customHeight="1">
      <c r="A114" s="96"/>
      <c r="B114" s="47"/>
      <c r="C114" s="120"/>
      <c r="S114" s="14"/>
      <c r="T114" s="14"/>
      <c r="U114" s="14"/>
      <c r="V114" s="97"/>
    </row>
    <row r="115" spans="1:22" ht="18" customHeight="1">
      <c r="A115" s="184"/>
      <c r="C115" s="30" t="s">
        <v>473</v>
      </c>
      <c r="D115" s="27" t="s">
        <v>529</v>
      </c>
      <c r="E115" s="805" t="s">
        <v>874</v>
      </c>
      <c r="F115" s="805"/>
      <c r="G115" s="27" t="s">
        <v>315</v>
      </c>
      <c r="H115" s="805" t="s">
        <v>875</v>
      </c>
      <c r="I115" s="805"/>
      <c r="J115" s="28" t="s">
        <v>672</v>
      </c>
      <c r="K115" s="27">
        <v>1</v>
      </c>
      <c r="L115" s="14" t="s">
        <v>347</v>
      </c>
      <c r="M115" s="14" t="s">
        <v>341</v>
      </c>
      <c r="N115" s="14" t="s">
        <v>876</v>
      </c>
      <c r="O115" s="27" t="s">
        <v>420</v>
      </c>
      <c r="P115" s="27" t="s">
        <v>347</v>
      </c>
      <c r="Q115" s="27" t="s">
        <v>408</v>
      </c>
      <c r="R115" s="30" t="s">
        <v>350</v>
      </c>
      <c r="V115" s="97"/>
    </row>
    <row r="116" spans="1:22" ht="18" customHeight="1">
      <c r="A116" s="184"/>
      <c r="C116" s="30" t="s">
        <v>473</v>
      </c>
      <c r="D116" s="27" t="s">
        <v>529</v>
      </c>
      <c r="E116" s="805">
        <f>T112</f>
        <v>0.6</v>
      </c>
      <c r="F116" s="805"/>
      <c r="G116" s="27" t="s">
        <v>315</v>
      </c>
      <c r="H116" s="1184">
        <f>T113</f>
        <v>17.433928965433857</v>
      </c>
      <c r="I116" s="805"/>
      <c r="J116" s="28" t="s">
        <v>672</v>
      </c>
      <c r="K116" s="27">
        <v>1</v>
      </c>
      <c r="L116" s="14" t="s">
        <v>347</v>
      </c>
      <c r="M116" s="28">
        <f>T65</f>
        <v>15</v>
      </c>
      <c r="N116" s="14" t="s">
        <v>876</v>
      </c>
      <c r="O116" s="27">
        <f>T62</f>
        <v>5</v>
      </c>
      <c r="P116" s="27" t="s">
        <v>347</v>
      </c>
      <c r="Q116" s="211">
        <f>T63</f>
        <v>1.0970224400000002</v>
      </c>
      <c r="R116" s="30" t="s">
        <v>350</v>
      </c>
      <c r="V116" s="97"/>
    </row>
    <row r="117" spans="1:22" ht="18" customHeight="1">
      <c r="A117" s="184"/>
      <c r="C117" s="30" t="s">
        <v>473</v>
      </c>
      <c r="D117" s="27" t="s">
        <v>529</v>
      </c>
      <c r="E117" s="1332">
        <f>E116*H116*((K116+M116)*(O116+Q116))</f>
        <v>1020.4325387483156</v>
      </c>
      <c r="F117" s="1333"/>
      <c r="G117" s="14" t="s">
        <v>872</v>
      </c>
      <c r="V117" s="97"/>
    </row>
    <row r="118" spans="1:22" ht="18" customHeight="1">
      <c r="A118" s="96"/>
      <c r="B118" s="459" t="s">
        <v>879</v>
      </c>
      <c r="C118" s="28"/>
      <c r="D118" s="28"/>
      <c r="E118" s="14"/>
      <c r="F118" s="14"/>
      <c r="G118" s="120"/>
      <c r="H118" s="120"/>
      <c r="I118" s="47"/>
      <c r="J118" s="535"/>
      <c r="K118" s="14"/>
      <c r="L118" s="14"/>
      <c r="M118" s="709">
        <f>MAX(F90,H108,E117)</f>
        <v>1020.4325387483156</v>
      </c>
      <c r="N118" s="710"/>
      <c r="O118" s="14" t="s">
        <v>872</v>
      </c>
      <c r="P118" s="14"/>
      <c r="Q118" s="14"/>
      <c r="R118" s="14"/>
      <c r="S118" s="14"/>
      <c r="T118" s="14"/>
      <c r="U118" s="14"/>
      <c r="V118" s="97"/>
    </row>
    <row r="119" spans="1:22" ht="18" customHeight="1">
      <c r="A119" s="193"/>
      <c r="I119" s="14"/>
      <c r="J119" s="14"/>
      <c r="K119" s="14"/>
      <c r="L119" s="47"/>
      <c r="M119" s="47"/>
      <c r="N119" s="47"/>
      <c r="O119" s="47"/>
      <c r="P119" s="28"/>
      <c r="Q119" s="536"/>
      <c r="R119" s="47"/>
      <c r="S119" s="14"/>
      <c r="T119" s="14"/>
      <c r="U119" s="14"/>
      <c r="V119" s="97"/>
    </row>
    <row r="120" spans="1:22" ht="18" customHeight="1">
      <c r="A120" s="184"/>
      <c r="C120" s="30" t="s">
        <v>475</v>
      </c>
      <c r="F120" s="27" t="str">
        <f>IF(D121&gt;G121,"&gt;","&lt;")</f>
        <v>&gt;</v>
      </c>
      <c r="G120" s="30" t="s">
        <v>477</v>
      </c>
      <c r="L120" s="14"/>
      <c r="M120" s="14"/>
      <c r="N120" s="14"/>
      <c r="O120" s="14"/>
      <c r="P120" s="14"/>
      <c r="Q120" s="14"/>
      <c r="R120" s="14"/>
      <c r="S120" s="14"/>
      <c r="T120" s="14"/>
      <c r="U120" s="14"/>
      <c r="V120" s="97"/>
    </row>
    <row r="121" spans="1:22" ht="18" customHeight="1">
      <c r="A121" s="184"/>
      <c r="D121" s="684">
        <f>H13</f>
        <v>3750</v>
      </c>
      <c r="E121" s="684"/>
      <c r="F121" s="27" t="str">
        <f>F120</f>
        <v>&gt;</v>
      </c>
      <c r="G121" s="713">
        <f>M118</f>
        <v>1020.4325387483156</v>
      </c>
      <c r="H121" s="713"/>
      <c r="L121" s="14"/>
      <c r="M121" s="14"/>
      <c r="N121" s="28"/>
      <c r="O121" s="28"/>
      <c r="P121" s="28"/>
      <c r="Q121" s="120"/>
      <c r="R121" s="250"/>
      <c r="S121" s="186"/>
      <c r="T121" s="14"/>
      <c r="U121" s="14"/>
      <c r="V121" s="97"/>
    </row>
    <row r="122" spans="1:22" ht="18" customHeight="1">
      <c r="A122" s="184"/>
      <c r="E122" s="244" t="s">
        <v>478</v>
      </c>
      <c r="G122" s="18" t="str">
        <f>IF(F120="&gt;","Suitably Dimensioned","Under Dimensioned")</f>
        <v>Suitably Dimensioned</v>
      </c>
      <c r="L122" s="14"/>
      <c r="M122" s="14"/>
      <c r="N122" s="28"/>
      <c r="O122" s="257"/>
      <c r="P122" s="14"/>
      <c r="Q122" s="14"/>
      <c r="R122" s="120"/>
      <c r="S122" s="28"/>
      <c r="T122" s="47"/>
      <c r="U122" s="14"/>
      <c r="V122" s="97"/>
    </row>
    <row r="123" spans="1:22" ht="18" customHeight="1">
      <c r="A123" s="193"/>
      <c r="B123" s="14"/>
      <c r="C123" s="27"/>
      <c r="D123" s="218"/>
      <c r="E123" s="204"/>
      <c r="F123" s="14"/>
      <c r="G123" s="14"/>
      <c r="H123" s="14"/>
      <c r="I123" s="14"/>
      <c r="J123" s="120"/>
      <c r="K123" s="120"/>
      <c r="L123" s="14"/>
      <c r="M123" s="14"/>
      <c r="N123" s="28"/>
      <c r="O123" s="257"/>
      <c r="P123" s="14"/>
      <c r="Q123" s="14"/>
      <c r="R123" s="120"/>
      <c r="S123" s="28"/>
      <c r="T123" s="47"/>
      <c r="U123" s="14"/>
      <c r="V123" s="97"/>
    </row>
    <row r="124" spans="1:22" ht="18" customHeight="1">
      <c r="A124" s="508"/>
      <c r="B124" s="195"/>
      <c r="C124" s="307"/>
      <c r="D124" s="509"/>
      <c r="E124" s="518"/>
      <c r="F124" s="195"/>
      <c r="G124" s="195"/>
      <c r="H124" s="195"/>
      <c r="I124" s="195"/>
      <c r="J124" s="224"/>
      <c r="K124" s="224"/>
      <c r="L124" s="195"/>
      <c r="M124" s="195"/>
      <c r="N124" s="182"/>
      <c r="O124" s="559"/>
      <c r="P124" s="195"/>
      <c r="Q124" s="195"/>
      <c r="R124" s="224"/>
      <c r="S124" s="182"/>
      <c r="T124" s="2"/>
      <c r="U124" s="195"/>
      <c r="V124" s="552"/>
    </row>
    <row r="125" spans="1:22" ht="18" hidden="1" customHeight="1">
      <c r="A125" s="262"/>
      <c r="B125" s="259"/>
      <c r="C125" s="259"/>
      <c r="D125" s="259"/>
      <c r="E125" s="259"/>
      <c r="F125" s="259"/>
      <c r="G125" s="259"/>
      <c r="H125" s="259"/>
      <c r="I125" s="259"/>
      <c r="J125" s="259"/>
      <c r="K125" s="259"/>
      <c r="L125" s="259"/>
      <c r="M125" s="259"/>
      <c r="N125" s="259"/>
      <c r="O125" s="259"/>
      <c r="P125" s="259"/>
      <c r="Q125" s="556"/>
      <c r="R125" s="229"/>
      <c r="S125" s="557"/>
      <c r="T125" s="259"/>
      <c r="U125" s="259"/>
      <c r="V125" s="558"/>
    </row>
    <row r="126" spans="1:22" ht="18" hidden="1" customHeight="1">
      <c r="A126" s="226"/>
      <c r="B126" s="227"/>
      <c r="C126" s="227"/>
      <c r="D126" s="227"/>
      <c r="E126" s="227"/>
      <c r="F126" s="227"/>
      <c r="G126" s="227"/>
      <c r="H126" s="227"/>
      <c r="I126" s="227"/>
      <c r="J126" s="227"/>
      <c r="K126" s="227"/>
      <c r="L126" s="227"/>
      <c r="M126" s="227"/>
      <c r="N126" s="227"/>
      <c r="O126" s="227"/>
      <c r="P126" s="227"/>
      <c r="Q126" s="227"/>
      <c r="R126" s="227"/>
      <c r="S126" s="227"/>
      <c r="T126" s="227"/>
      <c r="U126" s="227"/>
      <c r="V126" s="228"/>
    </row>
    <row r="127" spans="1:22" ht="18" hidden="1" customHeight="1">
      <c r="A127" s="184"/>
      <c r="B127" s="854" t="str">
        <f>B7</f>
        <v>T1</v>
      </c>
      <c r="C127" s="831"/>
      <c r="D127" s="1338" t="str">
        <f>D7</f>
        <v>Core2</v>
      </c>
      <c r="E127" s="1339"/>
      <c r="F127" s="1319">
        <f>F7</f>
        <v>0</v>
      </c>
      <c r="G127" s="1319"/>
      <c r="H127" s="689">
        <f>H7</f>
        <v>0</v>
      </c>
      <c r="I127" s="689"/>
      <c r="J127" s="689"/>
      <c r="K127" s="689"/>
      <c r="L127" s="689"/>
      <c r="M127" s="689"/>
      <c r="P127" s="186"/>
      <c r="S127" s="187" t="s">
        <v>387</v>
      </c>
      <c r="T127" s="854" t="str">
        <f>T7</f>
        <v>P545</v>
      </c>
      <c r="U127" s="831"/>
      <c r="V127" s="185"/>
    </row>
    <row r="128" spans="1:22" ht="18" hidden="1" customHeight="1">
      <c r="A128" s="184"/>
      <c r="B128" s="853">
        <f>B8</f>
        <v>0</v>
      </c>
      <c r="C128" s="853"/>
      <c r="D128" s="1338">
        <f>D8</f>
        <v>0</v>
      </c>
      <c r="E128" s="1339"/>
      <c r="F128" s="455"/>
      <c r="T128" s="854">
        <f>T8</f>
        <v>0</v>
      </c>
      <c r="U128" s="831"/>
      <c r="V128" s="185"/>
    </row>
    <row r="129" spans="1:29" ht="18" hidden="1" customHeight="1">
      <c r="A129" s="184"/>
      <c r="H129" s="708" t="s">
        <v>390</v>
      </c>
      <c r="I129" s="708"/>
      <c r="J129" s="789" t="s">
        <v>391</v>
      </c>
      <c r="K129" s="789"/>
      <c r="L129" s="790" t="s">
        <v>392</v>
      </c>
      <c r="M129" s="790"/>
      <c r="T129" s="854">
        <f>T9</f>
        <v>0</v>
      </c>
      <c r="U129" s="831"/>
      <c r="V129" s="185"/>
    </row>
    <row r="130" spans="1:29" ht="18" hidden="1" customHeight="1">
      <c r="A130" s="184"/>
      <c r="B130" s="47" t="s">
        <v>393</v>
      </c>
      <c r="H130" s="854">
        <f>H10</f>
        <v>2500</v>
      </c>
      <c r="I130" s="831"/>
      <c r="J130" s="863" t="str">
        <f>J10</f>
        <v>-</v>
      </c>
      <c r="K130" s="864"/>
      <c r="L130" s="854" t="str">
        <f>L10</f>
        <v>-</v>
      </c>
      <c r="M130" s="831"/>
      <c r="N130" s="191" t="s">
        <v>342</v>
      </c>
      <c r="O130" s="256">
        <f>O10</f>
        <v>1</v>
      </c>
      <c r="P130" s="27" t="s">
        <v>8</v>
      </c>
      <c r="V130" s="185"/>
    </row>
    <row r="131" spans="1:29" ht="18" hidden="1" customHeight="1">
      <c r="A131" s="184"/>
      <c r="B131" s="47" t="s">
        <v>394</v>
      </c>
      <c r="J131" s="854" t="str">
        <f>H11</f>
        <v>PX-A</v>
      </c>
      <c r="K131" s="831"/>
      <c r="V131" s="185"/>
    </row>
    <row r="132" spans="1:29" ht="18" hidden="1" customHeight="1">
      <c r="A132" s="184"/>
      <c r="B132" s="47" t="s">
        <v>396</v>
      </c>
      <c r="I132" s="120" t="s">
        <v>497</v>
      </c>
      <c r="J132" s="1075">
        <v>10</v>
      </c>
      <c r="K132" s="1076"/>
      <c r="L132" s="192" t="s">
        <v>333</v>
      </c>
      <c r="V132" s="185"/>
    </row>
    <row r="133" spans="1:29" ht="18" hidden="1" customHeight="1">
      <c r="A133" s="184"/>
      <c r="B133" s="47" t="s">
        <v>398</v>
      </c>
      <c r="I133" s="120" t="s">
        <v>498</v>
      </c>
      <c r="J133" s="1075">
        <v>3000</v>
      </c>
      <c r="K133" s="1076"/>
      <c r="L133" s="14" t="s">
        <v>305</v>
      </c>
      <c r="V133" s="185"/>
      <c r="W133" s="30" t="s">
        <v>400</v>
      </c>
      <c r="AB133" s="785" t="e">
        <f>M237</f>
        <v>#VALUE!</v>
      </c>
      <c r="AC133" s="786"/>
    </row>
    <row r="134" spans="1:29" ht="18" hidden="1" customHeight="1">
      <c r="A134" s="184"/>
      <c r="B134" s="14" t="s">
        <v>401</v>
      </c>
      <c r="I134" s="120" t="s">
        <v>402</v>
      </c>
      <c r="J134" s="1075">
        <v>30</v>
      </c>
      <c r="K134" s="1076"/>
      <c r="L134" s="14" t="s">
        <v>403</v>
      </c>
      <c r="V134" s="185"/>
    </row>
    <row r="135" spans="1:29" ht="18" hidden="1" customHeight="1">
      <c r="A135" s="184"/>
      <c r="V135" s="185"/>
    </row>
    <row r="136" spans="1:29" ht="18" hidden="1" customHeight="1">
      <c r="A136" s="193" t="s">
        <v>404</v>
      </c>
      <c r="V136" s="185"/>
    </row>
    <row r="137" spans="1:29" ht="18" hidden="1" customHeight="1">
      <c r="A137" s="184"/>
      <c r="V137" s="185"/>
    </row>
    <row r="138" spans="1:29" ht="18" hidden="1" customHeight="1">
      <c r="A138" s="184"/>
      <c r="B138" s="194" t="s">
        <v>405</v>
      </c>
      <c r="C138" s="195"/>
      <c r="D138" s="195" t="str">
        <f>T127</f>
        <v>P545</v>
      </c>
      <c r="E138" s="196"/>
      <c r="F138" s="196"/>
      <c r="G138" s="196"/>
      <c r="H138" s="182" t="s">
        <v>406</v>
      </c>
      <c r="I138" s="183" t="s">
        <v>127</v>
      </c>
      <c r="J138" s="766">
        <f>J18</f>
        <v>0.02</v>
      </c>
      <c r="K138" s="958"/>
      <c r="L138" s="202" t="s">
        <v>157</v>
      </c>
      <c r="V138" s="185"/>
    </row>
    <row r="139" spans="1:29" ht="18" hidden="1" customHeight="1">
      <c r="A139" s="184"/>
      <c r="B139" s="184" t="s">
        <v>405</v>
      </c>
      <c r="D139" s="296">
        <f>T128</f>
        <v>0</v>
      </c>
      <c r="I139" s="28" t="s">
        <v>127</v>
      </c>
      <c r="J139" s="766">
        <f>J19</f>
        <v>0</v>
      </c>
      <c r="K139" s="819"/>
      <c r="L139" s="297" t="s">
        <v>157</v>
      </c>
      <c r="V139" s="185"/>
    </row>
    <row r="140" spans="1:29" ht="18" hidden="1" customHeight="1">
      <c r="A140" s="184"/>
      <c r="B140" s="184" t="s">
        <v>405</v>
      </c>
      <c r="D140" s="296">
        <f>T129</f>
        <v>0</v>
      </c>
      <c r="E140" s="14"/>
      <c r="G140" s="199"/>
      <c r="H140" s="27"/>
      <c r="I140" s="101" t="s">
        <v>127</v>
      </c>
      <c r="J140" s="696">
        <f>J20</f>
        <v>0</v>
      </c>
      <c r="K140" s="1037"/>
      <c r="L140" s="426" t="s">
        <v>157</v>
      </c>
      <c r="V140" s="185"/>
    </row>
    <row r="141" spans="1:29" ht="18" hidden="1" customHeight="1">
      <c r="A141" s="184"/>
      <c r="B141" s="184" t="s">
        <v>412</v>
      </c>
      <c r="H141" s="27"/>
      <c r="I141" s="177" t="s">
        <v>127</v>
      </c>
      <c r="J141" s="861">
        <f>J21</f>
        <v>1.0770224400000001</v>
      </c>
      <c r="K141" s="1217"/>
      <c r="L141" s="426" t="s">
        <v>157</v>
      </c>
      <c r="V141" s="185"/>
    </row>
    <row r="142" spans="1:29" ht="18" hidden="1" customHeight="1">
      <c r="A142" s="184"/>
      <c r="B142" s="205" t="s">
        <v>413</v>
      </c>
      <c r="C142" s="206"/>
      <c r="D142" s="206"/>
      <c r="E142" s="206"/>
      <c r="F142" s="207"/>
      <c r="G142" s="207"/>
      <c r="H142" s="190" t="s">
        <v>409</v>
      </c>
      <c r="I142" s="208" t="s">
        <v>127</v>
      </c>
      <c r="J142" s="766">
        <f>SUM(J139:K141)</f>
        <v>1.0770224400000001</v>
      </c>
      <c r="K142" s="819"/>
      <c r="L142" s="428" t="s">
        <v>157</v>
      </c>
      <c r="V142" s="185"/>
    </row>
    <row r="143" spans="1:29" ht="18" hidden="1" customHeight="1">
      <c r="A143" s="184"/>
      <c r="B143" s="47"/>
      <c r="C143" s="47"/>
      <c r="D143" s="47"/>
      <c r="E143" s="47"/>
      <c r="H143" s="27"/>
      <c r="I143" s="28"/>
      <c r="J143" s="199"/>
      <c r="L143" s="47"/>
      <c r="O143" s="27"/>
      <c r="P143" s="211"/>
      <c r="Q143" s="211"/>
      <c r="R143" s="192"/>
      <c r="V143" s="185"/>
    </row>
    <row r="144" spans="1:29" ht="18" hidden="1" customHeight="1">
      <c r="A144" s="184"/>
      <c r="B144" s="197" t="s">
        <v>648</v>
      </c>
      <c r="L144" s="47"/>
      <c r="M144" s="197" t="s">
        <v>407</v>
      </c>
      <c r="V144" s="185"/>
    </row>
    <row r="145" spans="1:22" ht="18" hidden="1" customHeight="1">
      <c r="A145" s="184"/>
      <c r="B145" s="245" t="s">
        <v>649</v>
      </c>
      <c r="C145" s="245" t="s">
        <v>127</v>
      </c>
      <c r="D145" s="242" t="s">
        <v>406</v>
      </c>
      <c r="E145" s="526" t="s">
        <v>410</v>
      </c>
      <c r="F145" s="245" t="s">
        <v>146</v>
      </c>
      <c r="G145" s="221" t="s">
        <v>315</v>
      </c>
      <c r="H145" s="222" t="s">
        <v>146</v>
      </c>
      <c r="I145" s="242" t="s">
        <v>350</v>
      </c>
      <c r="J145" s="502"/>
      <c r="K145" s="242"/>
      <c r="L145" s="527"/>
      <c r="M145" s="242" t="s">
        <v>408</v>
      </c>
      <c r="N145" s="245" t="s">
        <v>127</v>
      </c>
      <c r="O145" s="242" t="s">
        <v>409</v>
      </c>
      <c r="P145" s="528" t="s">
        <v>410</v>
      </c>
      <c r="Q145" s="523" t="s">
        <v>411</v>
      </c>
      <c r="R145" s="245" t="s">
        <v>315</v>
      </c>
      <c r="S145" s="242" t="s">
        <v>411</v>
      </c>
      <c r="T145" s="242" t="s">
        <v>350</v>
      </c>
      <c r="V145" s="185"/>
    </row>
    <row r="146" spans="1:22" ht="18" hidden="1" customHeight="1">
      <c r="A146" s="184"/>
      <c r="B146" s="527"/>
      <c r="C146" s="245" t="s">
        <v>127</v>
      </c>
      <c r="D146" s="301">
        <f>J138</f>
        <v>0.02</v>
      </c>
      <c r="E146" s="528" t="s">
        <v>410</v>
      </c>
      <c r="F146" s="245">
        <f>F26</f>
        <v>1</v>
      </c>
      <c r="G146" s="245" t="s">
        <v>315</v>
      </c>
      <c r="H146" s="245">
        <f>H26</f>
        <v>1</v>
      </c>
      <c r="I146" s="242" t="s">
        <v>350</v>
      </c>
      <c r="J146" s="502"/>
      <c r="K146" s="242"/>
      <c r="L146" s="527"/>
      <c r="M146" s="242"/>
      <c r="N146" s="245" t="s">
        <v>127</v>
      </c>
      <c r="O146" s="301">
        <f>J142</f>
        <v>1.0770224400000001</v>
      </c>
      <c r="P146" s="528" t="s">
        <v>410</v>
      </c>
      <c r="Q146" s="245">
        <f>O130</f>
        <v>1</v>
      </c>
      <c r="R146" s="245" t="s">
        <v>315</v>
      </c>
      <c r="S146" s="245">
        <f>O130</f>
        <v>1</v>
      </c>
      <c r="T146" s="242" t="s">
        <v>350</v>
      </c>
      <c r="V146" s="185"/>
    </row>
    <row r="147" spans="1:22" ht="18" hidden="1" customHeight="1">
      <c r="A147" s="184"/>
      <c r="B147" s="527"/>
      <c r="C147" s="245" t="s">
        <v>127</v>
      </c>
      <c r="D147" s="1111">
        <f>D146/(F146*H146)</f>
        <v>0.02</v>
      </c>
      <c r="E147" s="1111"/>
      <c r="F147" s="529" t="s">
        <v>333</v>
      </c>
      <c r="G147" s="242"/>
      <c r="H147" s="242"/>
      <c r="I147" s="242"/>
      <c r="J147" s="502"/>
      <c r="K147" s="242"/>
      <c r="L147" s="527"/>
      <c r="M147" s="242"/>
      <c r="N147" s="245" t="s">
        <v>127</v>
      </c>
      <c r="O147" s="1111">
        <f>O146/(Q146*S146)</f>
        <v>1.0770224400000001</v>
      </c>
      <c r="P147" s="1111"/>
      <c r="Q147" s="529" t="s">
        <v>333</v>
      </c>
      <c r="R147" s="242"/>
      <c r="S147" s="242"/>
      <c r="T147" s="242"/>
      <c r="V147" s="185"/>
    </row>
    <row r="148" spans="1:22" ht="18" hidden="1" customHeight="1">
      <c r="A148" s="184"/>
      <c r="B148" s="47" t="s">
        <v>839</v>
      </c>
      <c r="C148" s="47"/>
      <c r="D148" s="47"/>
      <c r="E148" s="47"/>
      <c r="H148" s="27"/>
      <c r="I148" s="28"/>
      <c r="J148" s="199"/>
      <c r="L148" s="28" t="s">
        <v>127</v>
      </c>
      <c r="M148" s="1111">
        <f>D147</f>
        <v>0.02</v>
      </c>
      <c r="N148" s="1111"/>
      <c r="O148" s="245" t="s">
        <v>347</v>
      </c>
      <c r="P148" s="1111">
        <f>O147</f>
        <v>1.0770224400000001</v>
      </c>
      <c r="Q148" s="1111"/>
      <c r="R148" s="522" t="s">
        <v>127</v>
      </c>
      <c r="S148" s="1111">
        <f>M148+P148</f>
        <v>1.0970224400000002</v>
      </c>
      <c r="T148" s="1111"/>
      <c r="U148" s="192" t="s">
        <v>333</v>
      </c>
      <c r="V148" s="185"/>
    </row>
    <row r="149" spans="1:22" ht="18" hidden="1" customHeight="1">
      <c r="A149" s="272"/>
      <c r="V149" s="185"/>
    </row>
    <row r="150" spans="1:22" ht="18" hidden="1" customHeight="1">
      <c r="A150" s="116" t="s">
        <v>414</v>
      </c>
      <c r="B150" s="47"/>
      <c r="D150" s="47"/>
      <c r="E150" s="47"/>
      <c r="H150" s="27"/>
      <c r="I150" s="28"/>
      <c r="J150" s="199"/>
      <c r="L150" s="47"/>
      <c r="M150" s="301"/>
      <c r="N150" s="245"/>
      <c r="O150" s="522"/>
      <c r="P150" s="522"/>
      <c r="Q150" s="522"/>
      <c r="R150" s="192"/>
      <c r="V150" s="185"/>
    </row>
    <row r="151" spans="1:22" ht="18" hidden="1" customHeight="1">
      <c r="A151" s="272" t="s">
        <v>840</v>
      </c>
      <c r="V151" s="185"/>
    </row>
    <row r="152" spans="1:22" s="279" customFormat="1" ht="18" hidden="1" customHeight="1">
      <c r="A152" s="184"/>
      <c r="B152" s="30" t="s">
        <v>473</v>
      </c>
      <c r="C152" s="27" t="s">
        <v>529</v>
      </c>
      <c r="D152" s="27" t="s">
        <v>841</v>
      </c>
      <c r="E152" s="27" t="s">
        <v>315</v>
      </c>
      <c r="F152" s="27" t="s">
        <v>511</v>
      </c>
      <c r="G152" s="27" t="s">
        <v>372</v>
      </c>
      <c r="H152" s="27" t="s">
        <v>420</v>
      </c>
      <c r="I152" s="27" t="s">
        <v>347</v>
      </c>
      <c r="J152" s="27" t="s">
        <v>842</v>
      </c>
      <c r="K152" s="30" t="s">
        <v>350</v>
      </c>
      <c r="L152" s="30"/>
      <c r="M152" s="30"/>
      <c r="N152" s="30"/>
      <c r="O152" s="30"/>
      <c r="P152" s="30"/>
      <c r="Q152" s="30"/>
      <c r="R152" s="30"/>
      <c r="S152" s="30"/>
      <c r="T152" s="30"/>
      <c r="U152" s="30" t="s">
        <v>843</v>
      </c>
      <c r="V152" s="185"/>
    </row>
    <row r="153" spans="1:22" s="279" customFormat="1" ht="18" hidden="1" customHeight="1">
      <c r="A153" s="184"/>
      <c r="B153" s="30"/>
      <c r="C153" s="30"/>
      <c r="D153" s="30"/>
      <c r="E153" s="30"/>
      <c r="F153" s="30"/>
      <c r="G153" s="30"/>
      <c r="H153" s="30"/>
      <c r="I153" s="30"/>
      <c r="J153" s="30"/>
      <c r="K153" s="30"/>
      <c r="L153" s="30"/>
      <c r="M153" s="30"/>
      <c r="N153" s="30"/>
      <c r="O153" s="30"/>
      <c r="P153" s="30"/>
      <c r="Q153" s="30"/>
      <c r="R153" s="30"/>
      <c r="S153" s="30"/>
      <c r="T153" s="30"/>
      <c r="U153" s="30"/>
      <c r="V153" s="185"/>
    </row>
    <row r="154" spans="1:22" s="279" customFormat="1" ht="18" hidden="1" customHeight="1">
      <c r="A154" s="678" t="s">
        <v>844</v>
      </c>
      <c r="B154" s="1207"/>
      <c r="C154" s="1207"/>
      <c r="D154" s="1207"/>
      <c r="E154" s="1207"/>
      <c r="F154" s="1207"/>
      <c r="G154" s="1207"/>
      <c r="H154" s="1207"/>
      <c r="I154" s="1207"/>
      <c r="J154" s="1207"/>
      <c r="K154" s="1207"/>
      <c r="L154" s="1207"/>
      <c r="M154" s="1207"/>
      <c r="N154" s="1207"/>
      <c r="O154" s="1207"/>
      <c r="P154" s="1207"/>
      <c r="Q154" s="1207"/>
      <c r="R154" s="1207"/>
      <c r="S154" s="1207"/>
      <c r="T154" s="1207"/>
      <c r="U154" s="1207"/>
      <c r="V154" s="1208"/>
    </row>
    <row r="155" spans="1:22" s="279" customFormat="1" ht="18" hidden="1" customHeight="1">
      <c r="A155" s="1209"/>
      <c r="B155" s="1207"/>
      <c r="C155" s="1207"/>
      <c r="D155" s="1207"/>
      <c r="E155" s="1207"/>
      <c r="F155" s="1207"/>
      <c r="G155" s="1207"/>
      <c r="H155" s="1207"/>
      <c r="I155" s="1207"/>
      <c r="J155" s="1207"/>
      <c r="K155" s="1207"/>
      <c r="L155" s="1207"/>
      <c r="M155" s="1207"/>
      <c r="N155" s="1207"/>
      <c r="O155" s="1207"/>
      <c r="P155" s="1207"/>
      <c r="Q155" s="1207"/>
      <c r="R155" s="1207"/>
      <c r="S155" s="1207"/>
      <c r="T155" s="1207"/>
      <c r="U155" s="1207"/>
      <c r="V155" s="1208"/>
    </row>
    <row r="156" spans="1:22" s="279" customFormat="1" ht="18" hidden="1" customHeight="1">
      <c r="A156" s="683">
        <v>1</v>
      </c>
      <c r="B156" s="1324" t="s">
        <v>845</v>
      </c>
      <c r="C156" s="1324"/>
      <c r="D156" s="1324"/>
      <c r="E156" s="1324"/>
      <c r="F156" s="1324"/>
      <c r="G156" s="1324"/>
      <c r="H156" s="1324"/>
      <c r="I156" s="1324"/>
      <c r="J156" s="1324"/>
      <c r="K156" s="1324"/>
      <c r="L156" s="1324"/>
      <c r="M156" s="1324"/>
      <c r="N156" s="1324"/>
      <c r="O156" s="1324"/>
      <c r="P156" s="1324"/>
      <c r="Q156" s="1324"/>
      <c r="R156" s="1324"/>
      <c r="S156" s="1324"/>
      <c r="T156" s="1324"/>
      <c r="U156" s="1324"/>
      <c r="V156" s="1325"/>
    </row>
    <row r="157" spans="1:22" s="279" customFormat="1" ht="18" hidden="1" customHeight="1">
      <c r="A157" s="683"/>
      <c r="B157" s="1324"/>
      <c r="C157" s="1324"/>
      <c r="D157" s="1324"/>
      <c r="E157" s="1324"/>
      <c r="F157" s="1324"/>
      <c r="G157" s="1324"/>
      <c r="H157" s="1324"/>
      <c r="I157" s="1324"/>
      <c r="J157" s="1324"/>
      <c r="K157" s="1324"/>
      <c r="L157" s="1324"/>
      <c r="M157" s="1324"/>
      <c r="N157" s="1324"/>
      <c r="O157" s="1324"/>
      <c r="P157" s="1324"/>
      <c r="Q157" s="1324"/>
      <c r="R157" s="1324"/>
      <c r="S157" s="1324"/>
      <c r="T157" s="1324"/>
      <c r="U157" s="1324"/>
      <c r="V157" s="1325"/>
    </row>
    <row r="158" spans="1:22" s="279" customFormat="1" ht="18" hidden="1" customHeight="1">
      <c r="A158" s="96"/>
      <c r="B158" s="120" t="s">
        <v>846</v>
      </c>
      <c r="C158" s="120" t="s">
        <v>419</v>
      </c>
      <c r="D158" s="689" t="s">
        <v>847</v>
      </c>
      <c r="E158" s="723"/>
      <c r="F158" s="28" t="s">
        <v>315</v>
      </c>
      <c r="G158" s="28" t="s">
        <v>341</v>
      </c>
      <c r="H158" s="47" t="s">
        <v>350</v>
      </c>
      <c r="I158" s="154" t="s">
        <v>699</v>
      </c>
      <c r="J158" s="120" t="s">
        <v>419</v>
      </c>
      <c r="K158" s="221">
        <v>1000</v>
      </c>
      <c r="L158" s="28" t="s">
        <v>315</v>
      </c>
      <c r="M158" s="28" t="s">
        <v>511</v>
      </c>
      <c r="N158" s="47" t="s">
        <v>350</v>
      </c>
      <c r="O158" s="28"/>
      <c r="P158" s="28"/>
      <c r="Q158" s="28"/>
      <c r="R158" s="28"/>
      <c r="S158" s="28"/>
      <c r="U158" s="14" t="s">
        <v>848</v>
      </c>
      <c r="V158" s="97"/>
    </row>
    <row r="159" spans="1:22" s="279" customFormat="1" ht="18" hidden="1" customHeight="1">
      <c r="A159" s="299"/>
      <c r="C159" s="14" t="s">
        <v>849</v>
      </c>
      <c r="M159" s="28"/>
      <c r="N159" s="28"/>
      <c r="O159" s="28"/>
      <c r="P159" s="28"/>
      <c r="Q159" s="28"/>
      <c r="R159" s="28"/>
      <c r="S159" s="28"/>
      <c r="T159" s="14"/>
      <c r="U159" s="28"/>
      <c r="V159" s="97"/>
    </row>
    <row r="160" spans="1:22" s="279" customFormat="1" ht="18" hidden="1" customHeight="1">
      <c r="A160" s="299"/>
      <c r="C160" s="14"/>
      <c r="D160" s="28" t="s">
        <v>841</v>
      </c>
      <c r="E160" s="28" t="s">
        <v>529</v>
      </c>
      <c r="F160" s="28">
        <v>40</v>
      </c>
      <c r="G160" s="28" t="s">
        <v>347</v>
      </c>
      <c r="H160" s="221">
        <v>7.0000000000000007E-2</v>
      </c>
      <c r="I160" s="28" t="s">
        <v>672</v>
      </c>
      <c r="J160" s="689" t="s">
        <v>847</v>
      </c>
      <c r="K160" s="723"/>
      <c r="L160" s="28" t="s">
        <v>315</v>
      </c>
      <c r="M160" s="28" t="s">
        <v>341</v>
      </c>
      <c r="N160" s="47" t="s">
        <v>350</v>
      </c>
      <c r="O160" s="28"/>
      <c r="P160" s="28"/>
      <c r="Q160" s="28"/>
      <c r="R160" s="28"/>
      <c r="S160" s="28"/>
      <c r="T160" s="14"/>
      <c r="U160" s="28"/>
      <c r="V160" s="97"/>
    </row>
    <row r="161" spans="1:22" s="279" customFormat="1" ht="18" hidden="1" customHeight="1">
      <c r="A161" s="325"/>
      <c r="B161" s="28"/>
      <c r="C161" s="28" t="s">
        <v>850</v>
      </c>
      <c r="D161" s="28" t="s">
        <v>841</v>
      </c>
      <c r="E161" s="28" t="s">
        <v>529</v>
      </c>
      <c r="F161" s="28">
        <v>65</v>
      </c>
      <c r="G161" s="14"/>
      <c r="H161" s="14"/>
      <c r="I161" s="120"/>
      <c r="J161" s="28"/>
      <c r="K161" s="28"/>
      <c r="L161" s="28"/>
      <c r="M161" s="28"/>
      <c r="N161" s="28"/>
      <c r="O161" s="28"/>
      <c r="P161" s="28"/>
      <c r="Q161" s="28"/>
      <c r="R161" s="28"/>
      <c r="S161" s="28"/>
      <c r="T161" s="14"/>
      <c r="U161" s="28"/>
      <c r="V161" s="97"/>
    </row>
    <row r="162" spans="1:22" s="279"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25"/>
      <c r="B163" s="120" t="s">
        <v>846</v>
      </c>
      <c r="C163" s="120" t="s">
        <v>419</v>
      </c>
      <c r="D163" s="221">
        <v>1000</v>
      </c>
      <c r="E163" s="28" t="s">
        <v>315</v>
      </c>
      <c r="F163" s="28" t="s">
        <v>511</v>
      </c>
      <c r="G163" s="47" t="s">
        <v>350</v>
      </c>
      <c r="H163" s="28" t="s">
        <v>851</v>
      </c>
      <c r="I163" s="120" t="s">
        <v>419</v>
      </c>
      <c r="J163" s="689" t="s">
        <v>847</v>
      </c>
      <c r="K163" s="723"/>
      <c r="L163" s="28" t="s">
        <v>315</v>
      </c>
      <c r="M163" s="28" t="s">
        <v>341</v>
      </c>
      <c r="N163" s="47" t="s">
        <v>350</v>
      </c>
      <c r="O163" s="154" t="s">
        <v>699</v>
      </c>
      <c r="P163" s="120" t="s">
        <v>419</v>
      </c>
      <c r="Q163" s="221">
        <v>2600</v>
      </c>
      <c r="R163" s="28" t="s">
        <v>315</v>
      </c>
      <c r="S163" s="28" t="s">
        <v>511</v>
      </c>
      <c r="T163" s="47" t="s">
        <v>350</v>
      </c>
      <c r="U163" s="14" t="s">
        <v>587</v>
      </c>
      <c r="V163" s="97"/>
    </row>
    <row r="164" spans="1:22" ht="18" hidden="1" customHeight="1">
      <c r="A164" s="325"/>
      <c r="B164" s="28" t="s">
        <v>841</v>
      </c>
      <c r="C164" s="28" t="s">
        <v>127</v>
      </c>
      <c r="D164" s="28">
        <v>107</v>
      </c>
      <c r="E164" s="14"/>
      <c r="F164" s="14"/>
      <c r="G164" s="120"/>
      <c r="H164" s="28"/>
      <c r="I164" s="28"/>
      <c r="J164" s="28"/>
      <c r="K164" s="28"/>
      <c r="L164" s="28"/>
      <c r="M164" s="28"/>
      <c r="N164" s="28"/>
      <c r="O164" s="28"/>
      <c r="P164" s="28"/>
      <c r="Q164" s="28"/>
      <c r="R164" s="28"/>
      <c r="S164" s="28"/>
      <c r="T164" s="14"/>
      <c r="U164" s="28"/>
      <c r="V164" s="97"/>
    </row>
    <row r="165" spans="1:22" s="279"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194"/>
      <c r="B166" s="195"/>
      <c r="C166" s="195"/>
      <c r="D166" s="195"/>
      <c r="E166" s="195"/>
      <c r="F166" s="195"/>
      <c r="G166" s="195"/>
      <c r="H166" s="195"/>
      <c r="I166" s="195"/>
      <c r="J166" s="195"/>
      <c r="K166" s="195"/>
      <c r="L166" s="195"/>
      <c r="M166" s="195"/>
      <c r="N166" s="195"/>
      <c r="O166" s="195"/>
      <c r="P166" s="195"/>
      <c r="Q166" s="224"/>
      <c r="R166" s="182"/>
      <c r="S166" s="225"/>
      <c r="T166" s="195"/>
      <c r="U166" s="195"/>
      <c r="V166" s="134"/>
    </row>
    <row r="167" spans="1:22" ht="18" hidden="1" customHeight="1">
      <c r="A167" s="226"/>
      <c r="B167" s="227"/>
      <c r="C167" s="227"/>
      <c r="D167" s="227"/>
      <c r="E167" s="227"/>
      <c r="F167" s="227"/>
      <c r="G167" s="227"/>
      <c r="H167" s="227"/>
      <c r="I167" s="227"/>
      <c r="J167" s="227"/>
      <c r="K167" s="227"/>
      <c r="L167" s="227"/>
      <c r="M167" s="227"/>
      <c r="N167" s="227"/>
      <c r="O167" s="227"/>
      <c r="P167" s="227"/>
      <c r="Q167" s="227"/>
      <c r="R167" s="227"/>
      <c r="S167" s="227"/>
      <c r="T167" s="227"/>
      <c r="U167" s="227"/>
      <c r="V167" s="228"/>
    </row>
    <row r="168" spans="1:22" ht="18" hidden="1" customHeight="1">
      <c r="A168" s="683">
        <v>2</v>
      </c>
      <c r="B168" s="1324" t="s">
        <v>852</v>
      </c>
      <c r="C168" s="1324"/>
      <c r="D168" s="1324"/>
      <c r="E168" s="1324"/>
      <c r="F168" s="1324"/>
      <c r="G168" s="1324"/>
      <c r="H168" s="1324"/>
      <c r="I168" s="1324"/>
      <c r="J168" s="1324"/>
      <c r="K168" s="1324"/>
      <c r="L168" s="1324"/>
      <c r="M168" s="1324"/>
      <c r="N168" s="1324"/>
      <c r="O168" s="1324"/>
      <c r="P168" s="1324"/>
      <c r="Q168" s="1324"/>
      <c r="R168" s="1324"/>
      <c r="S168" s="1324"/>
      <c r="T168" s="1324"/>
      <c r="U168" s="1324"/>
      <c r="V168" s="1325"/>
    </row>
    <row r="169" spans="1:22" ht="18" hidden="1" customHeight="1">
      <c r="A169" s="683"/>
      <c r="B169" s="1324"/>
      <c r="C169" s="1324"/>
      <c r="D169" s="1324"/>
      <c r="E169" s="1324"/>
      <c r="F169" s="1324"/>
      <c r="G169" s="1324"/>
      <c r="H169" s="1324"/>
      <c r="I169" s="1324"/>
      <c r="J169" s="1324"/>
      <c r="K169" s="1324"/>
      <c r="L169" s="1324"/>
      <c r="M169" s="1324"/>
      <c r="N169" s="1324"/>
      <c r="O169" s="1324"/>
      <c r="P169" s="1324"/>
      <c r="Q169" s="1324"/>
      <c r="R169" s="1324"/>
      <c r="S169" s="1324"/>
      <c r="T169" s="1324"/>
      <c r="U169" s="1324"/>
      <c r="V169" s="1325"/>
    </row>
    <row r="170" spans="1:22" ht="18" hidden="1" customHeight="1">
      <c r="A170" s="272"/>
      <c r="B170" s="120" t="s">
        <v>846</v>
      </c>
      <c r="C170" s="120" t="s">
        <v>419</v>
      </c>
      <c r="D170" s="689" t="s">
        <v>847</v>
      </c>
      <c r="E170" s="723"/>
      <c r="F170" s="28" t="s">
        <v>315</v>
      </c>
      <c r="G170" s="28" t="s">
        <v>341</v>
      </c>
      <c r="H170" s="47" t="s">
        <v>350</v>
      </c>
      <c r="I170" s="154" t="s">
        <v>699</v>
      </c>
      <c r="J170" s="120" t="s">
        <v>419</v>
      </c>
      <c r="K170" s="221">
        <v>600</v>
      </c>
      <c r="L170" s="28" t="s">
        <v>315</v>
      </c>
      <c r="M170" s="28" t="s">
        <v>511</v>
      </c>
      <c r="N170" s="47" t="s">
        <v>350</v>
      </c>
      <c r="O170" s="28"/>
      <c r="P170" s="28"/>
      <c r="Q170" s="28"/>
      <c r="R170" s="28"/>
      <c r="S170" s="28"/>
      <c r="T170" s="279"/>
      <c r="U170" s="14" t="s">
        <v>853</v>
      </c>
      <c r="V170" s="97"/>
    </row>
    <row r="171" spans="1:22" ht="18" hidden="1" customHeight="1">
      <c r="A171" s="272"/>
      <c r="B171" s="279"/>
      <c r="C171" s="14" t="s">
        <v>849</v>
      </c>
      <c r="D171" s="279"/>
      <c r="E171" s="279"/>
      <c r="F171" s="279"/>
      <c r="G171" s="279"/>
      <c r="H171" s="279"/>
      <c r="I171" s="279"/>
      <c r="J171" s="279"/>
      <c r="K171" s="279"/>
      <c r="L171" s="279"/>
      <c r="M171" s="28"/>
      <c r="N171" s="28"/>
      <c r="O171" s="28"/>
      <c r="P171" s="28"/>
      <c r="Q171" s="28"/>
      <c r="R171" s="28"/>
      <c r="S171" s="28"/>
      <c r="T171" s="14"/>
      <c r="U171" s="28"/>
      <c r="V171" s="97"/>
    </row>
    <row r="172" spans="1:22" ht="18" hidden="1" customHeight="1">
      <c r="A172" s="272"/>
      <c r="B172" s="279"/>
      <c r="C172" s="14"/>
      <c r="D172" s="28" t="s">
        <v>841</v>
      </c>
      <c r="E172" s="28" t="s">
        <v>529</v>
      </c>
      <c r="F172" s="28">
        <v>40</v>
      </c>
      <c r="G172" s="28" t="s">
        <v>347</v>
      </c>
      <c r="H172" s="221">
        <v>0.35</v>
      </c>
      <c r="I172" s="28" t="s">
        <v>672</v>
      </c>
      <c r="J172" s="689" t="s">
        <v>847</v>
      </c>
      <c r="K172" s="723"/>
      <c r="L172" s="28" t="s">
        <v>315</v>
      </c>
      <c r="M172" s="28" t="s">
        <v>341</v>
      </c>
      <c r="N172" s="47" t="s">
        <v>350</v>
      </c>
      <c r="O172" s="28"/>
      <c r="P172" s="28"/>
      <c r="Q172" s="28"/>
      <c r="R172" s="28"/>
      <c r="S172" s="28"/>
      <c r="T172" s="14"/>
      <c r="U172" s="28"/>
      <c r="V172" s="97"/>
    </row>
    <row r="173" spans="1:22" ht="18" hidden="1" customHeight="1">
      <c r="A173" s="272"/>
      <c r="B173" s="28"/>
      <c r="C173" s="28" t="s">
        <v>850</v>
      </c>
      <c r="D173" s="28" t="s">
        <v>841</v>
      </c>
      <c r="E173" s="28" t="s">
        <v>529</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35"/>
      <c r="E174" s="14"/>
      <c r="F174" s="28"/>
      <c r="G174" s="249"/>
      <c r="H174" s="28"/>
      <c r="I174" s="251"/>
      <c r="J174" s="14"/>
      <c r="K174" s="280"/>
      <c r="M174" s="47"/>
      <c r="N174" s="268"/>
      <c r="P174" s="281"/>
      <c r="R174" s="234"/>
      <c r="S174" s="531"/>
      <c r="T174" s="531"/>
      <c r="V174" s="185"/>
    </row>
    <row r="175" spans="1:22" ht="18" hidden="1" customHeight="1">
      <c r="A175" s="96"/>
      <c r="B175" s="120" t="s">
        <v>846</v>
      </c>
      <c r="C175" s="120" t="s">
        <v>419</v>
      </c>
      <c r="D175" s="221">
        <v>600</v>
      </c>
      <c r="E175" s="28" t="s">
        <v>315</v>
      </c>
      <c r="F175" s="28" t="s">
        <v>511</v>
      </c>
      <c r="G175" s="47" t="s">
        <v>350</v>
      </c>
      <c r="H175" s="28" t="s">
        <v>851</v>
      </c>
      <c r="I175" s="120" t="s">
        <v>419</v>
      </c>
      <c r="J175" s="689" t="s">
        <v>847</v>
      </c>
      <c r="K175" s="723"/>
      <c r="L175" s="28" t="s">
        <v>315</v>
      </c>
      <c r="M175" s="28" t="s">
        <v>341</v>
      </c>
      <c r="N175" s="47" t="s">
        <v>350</v>
      </c>
      <c r="O175" s="154" t="s">
        <v>699</v>
      </c>
      <c r="P175" s="120" t="s">
        <v>419</v>
      </c>
      <c r="Q175" s="221">
        <v>1600</v>
      </c>
      <c r="R175" s="28" t="s">
        <v>315</v>
      </c>
      <c r="S175" s="28" t="s">
        <v>511</v>
      </c>
      <c r="T175" s="47" t="s">
        <v>350</v>
      </c>
      <c r="U175" s="14" t="s">
        <v>854</v>
      </c>
      <c r="V175" s="97"/>
    </row>
    <row r="176" spans="1:22" ht="18" hidden="1" customHeight="1">
      <c r="A176" s="272"/>
      <c r="B176" s="28" t="s">
        <v>841</v>
      </c>
      <c r="C176" s="28" t="s">
        <v>127</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72"/>
      <c r="U177" s="14"/>
      <c r="V177" s="97"/>
    </row>
    <row r="178" spans="1:22" ht="18" hidden="1" customHeight="1">
      <c r="A178" s="524"/>
      <c r="B178" s="30" t="s">
        <v>855</v>
      </c>
      <c r="Q178" s="14" t="s">
        <v>617</v>
      </c>
      <c r="S178" s="234" t="s">
        <v>127</v>
      </c>
      <c r="T178" s="684">
        <f>T59</f>
        <v>50000</v>
      </c>
      <c r="U178" s="684"/>
      <c r="V178" s="185" t="s">
        <v>8</v>
      </c>
    </row>
    <row r="179" spans="1:22" ht="18" hidden="1" customHeight="1">
      <c r="A179" s="524"/>
      <c r="B179" s="47" t="s">
        <v>654</v>
      </c>
      <c r="C179" s="14"/>
      <c r="D179" s="14"/>
      <c r="E179" s="14"/>
      <c r="F179" s="14"/>
      <c r="G179" s="18"/>
      <c r="H179" s="18"/>
      <c r="I179" s="14"/>
      <c r="J179" s="120"/>
      <c r="K179" s="14"/>
      <c r="L179" s="14"/>
      <c r="N179" s="14"/>
      <c r="O179" s="14"/>
      <c r="Q179" s="14" t="s">
        <v>423</v>
      </c>
      <c r="S179" s="234" t="s">
        <v>127</v>
      </c>
      <c r="T179" s="684" t="str">
        <f>J130</f>
        <v>-</v>
      </c>
      <c r="U179" s="684"/>
      <c r="V179" s="185" t="s">
        <v>8</v>
      </c>
    </row>
    <row r="180" spans="1:22" ht="18" hidden="1" customHeight="1">
      <c r="A180" s="96"/>
      <c r="B180" s="47" t="s">
        <v>856</v>
      </c>
      <c r="C180" s="14"/>
      <c r="D180" s="14"/>
      <c r="E180" s="14"/>
      <c r="F180" s="14"/>
      <c r="G180" s="18"/>
      <c r="H180" s="18"/>
      <c r="I180" s="14"/>
      <c r="J180" s="120"/>
      <c r="K180" s="14"/>
      <c r="L180" s="14"/>
      <c r="N180" s="14"/>
      <c r="O180" s="14"/>
      <c r="Q180" s="14" t="s">
        <v>847</v>
      </c>
      <c r="S180" s="234" t="s">
        <v>127</v>
      </c>
      <c r="T180" s="795" t="e">
        <f>T178/T179</f>
        <v>#VALUE!</v>
      </c>
      <c r="U180" s="795"/>
      <c r="V180" s="185" t="s">
        <v>8</v>
      </c>
    </row>
    <row r="181" spans="1:22" ht="18" hidden="1" customHeight="1">
      <c r="A181" s="96"/>
      <c r="B181" s="47" t="s">
        <v>655</v>
      </c>
      <c r="C181" s="14"/>
      <c r="D181" s="14"/>
      <c r="E181" s="14"/>
      <c r="F181" s="14"/>
      <c r="G181" s="18"/>
      <c r="H181" s="18"/>
      <c r="I181" s="14"/>
      <c r="J181" s="120"/>
      <c r="K181" s="14"/>
      <c r="L181" s="14"/>
      <c r="N181" s="14"/>
      <c r="O181" s="14"/>
      <c r="Q181" s="14" t="s">
        <v>420</v>
      </c>
      <c r="S181" s="234" t="s">
        <v>127</v>
      </c>
      <c r="T181" s="684">
        <f>J132</f>
        <v>10</v>
      </c>
      <c r="U181" s="684"/>
      <c r="V181" s="532" t="s">
        <v>333</v>
      </c>
    </row>
    <row r="182" spans="1:22" ht="18" hidden="1" customHeight="1">
      <c r="A182" s="96"/>
      <c r="B182" s="47" t="s">
        <v>676</v>
      </c>
      <c r="C182" s="14"/>
      <c r="D182" s="14"/>
      <c r="E182" s="14"/>
      <c r="F182" s="14"/>
      <c r="G182" s="18"/>
      <c r="H182" s="18"/>
      <c r="I182" s="14"/>
      <c r="J182" s="120"/>
      <c r="K182" s="14"/>
      <c r="L182" s="14"/>
      <c r="N182" s="14"/>
      <c r="O182" s="14"/>
      <c r="Q182" s="14" t="s">
        <v>842</v>
      </c>
      <c r="S182" s="234" t="s">
        <v>127</v>
      </c>
      <c r="T182" s="795">
        <f>S148</f>
        <v>1.0970224400000002</v>
      </c>
      <c r="U182" s="795"/>
      <c r="V182" s="532" t="s">
        <v>333</v>
      </c>
    </row>
    <row r="183" spans="1:22" ht="18" hidden="1" customHeight="1">
      <c r="A183" s="96"/>
      <c r="B183" s="47" t="s">
        <v>691</v>
      </c>
      <c r="C183" s="14"/>
      <c r="D183" s="14"/>
      <c r="E183" s="14"/>
      <c r="F183" s="14"/>
      <c r="G183" s="14"/>
      <c r="H183" s="14"/>
      <c r="I183" s="14"/>
      <c r="J183" s="120"/>
      <c r="K183" s="14"/>
      <c r="L183" s="14"/>
      <c r="N183" s="14"/>
      <c r="O183" s="14"/>
      <c r="Q183" s="14" t="s">
        <v>511</v>
      </c>
      <c r="S183" s="234" t="s">
        <v>127</v>
      </c>
      <c r="T183" s="684">
        <f>O130</f>
        <v>1</v>
      </c>
      <c r="U183" s="684"/>
      <c r="V183" s="185" t="s">
        <v>8</v>
      </c>
    </row>
    <row r="184" spans="1:22" ht="18" hidden="1" customHeight="1">
      <c r="A184" s="96"/>
      <c r="B184" s="14" t="s">
        <v>857</v>
      </c>
      <c r="C184" s="14"/>
      <c r="D184" s="14"/>
      <c r="E184" s="235"/>
      <c r="F184" s="14"/>
      <c r="G184" s="28"/>
      <c r="H184" s="249"/>
      <c r="I184" s="28"/>
      <c r="J184" s="251"/>
      <c r="K184" s="14"/>
      <c r="L184" s="280"/>
      <c r="N184" s="47"/>
      <c r="O184" s="268"/>
      <c r="Q184" s="281" t="s">
        <v>341</v>
      </c>
      <c r="S184" s="234" t="s">
        <v>127</v>
      </c>
      <c r="T184" s="696">
        <f>T65</f>
        <v>15</v>
      </c>
      <c r="U184" s="722"/>
      <c r="V184" s="185"/>
    </row>
    <row r="185" spans="1:22" ht="18" hidden="1" customHeight="1">
      <c r="A185" s="325"/>
      <c r="B185" s="14" t="s">
        <v>858</v>
      </c>
      <c r="F185" s="14"/>
      <c r="G185" s="154"/>
      <c r="H185" s="102"/>
      <c r="I185" s="28"/>
      <c r="J185" s="27"/>
      <c r="K185" s="14"/>
      <c r="O185" s="47"/>
      <c r="P185" s="14"/>
      <c r="Q185" s="14"/>
      <c r="R185" s="14"/>
      <c r="S185" s="120"/>
      <c r="T185" s="775">
        <f>T66</f>
        <v>150</v>
      </c>
      <c r="U185" s="776"/>
      <c r="V185" s="97" t="s">
        <v>604</v>
      </c>
    </row>
    <row r="186" spans="1:22" ht="18" hidden="1" customHeight="1">
      <c r="A186" s="96"/>
      <c r="B186" s="14"/>
      <c r="Q186" s="14"/>
      <c r="R186" s="14"/>
      <c r="S186" s="120"/>
      <c r="T186" s="18"/>
      <c r="U186" s="18"/>
      <c r="V186" s="97"/>
    </row>
    <row r="187" spans="1:22" ht="18" hidden="1" customHeight="1">
      <c r="A187" s="184"/>
      <c r="B187" s="533" t="s">
        <v>859</v>
      </c>
      <c r="C187" s="533"/>
      <c r="D187" s="247"/>
      <c r="E187" s="247"/>
      <c r="F187" s="459" t="str">
        <f>IF(T185=150,"1 &amp; 2","3 &amp; 4")</f>
        <v>1 &amp; 2</v>
      </c>
      <c r="G187" s="534"/>
      <c r="V187" s="185"/>
    </row>
    <row r="188" spans="1:22" ht="18" hidden="1" customHeight="1">
      <c r="A188" s="524" t="s">
        <v>419</v>
      </c>
      <c r="B188" s="689" t="s">
        <v>847</v>
      </c>
      <c r="C188" s="689"/>
      <c r="D188" s="28" t="s">
        <v>315</v>
      </c>
      <c r="E188" s="28" t="s">
        <v>341</v>
      </c>
      <c r="F188" s="47" t="s">
        <v>350</v>
      </c>
      <c r="G188" s="154" t="s">
        <v>699</v>
      </c>
      <c r="H188" s="120" t="s">
        <v>419</v>
      </c>
      <c r="I188" s="221" t="str">
        <f>IF(T185=150,"1000","600")</f>
        <v>1000</v>
      </c>
      <c r="J188" s="28" t="s">
        <v>315</v>
      </c>
      <c r="K188" s="28" t="s">
        <v>511</v>
      </c>
      <c r="L188" s="47" t="s">
        <v>350</v>
      </c>
      <c r="M188" s="14"/>
      <c r="N188" s="14"/>
      <c r="U188" s="14" t="str">
        <f>IF(T185=150,"...cond.1","…cond.3")</f>
        <v>...cond.1</v>
      </c>
      <c r="V188" s="185"/>
    </row>
    <row r="189" spans="1:22" ht="18" hidden="1" customHeight="1">
      <c r="A189" s="524" t="s">
        <v>419</v>
      </c>
      <c r="B189" s="692" t="e">
        <f>T180</f>
        <v>#VALUE!</v>
      </c>
      <c r="C189" s="692"/>
      <c r="D189" s="28" t="s">
        <v>315</v>
      </c>
      <c r="E189" s="28">
        <f>T184</f>
        <v>15</v>
      </c>
      <c r="F189" s="47" t="s">
        <v>350</v>
      </c>
      <c r="G189" s="154" t="s">
        <v>699</v>
      </c>
      <c r="H189" s="120" t="s">
        <v>419</v>
      </c>
      <c r="I189" s="221" t="str">
        <f>I188</f>
        <v>1000</v>
      </c>
      <c r="J189" s="28" t="s">
        <v>315</v>
      </c>
      <c r="K189" s="28">
        <f>T183</f>
        <v>1</v>
      </c>
      <c r="L189" s="47" t="s">
        <v>350</v>
      </c>
      <c r="M189" s="14"/>
      <c r="N189" s="14"/>
      <c r="U189" s="14"/>
      <c r="V189" s="97"/>
    </row>
    <row r="190" spans="1:22" ht="18" hidden="1" customHeight="1">
      <c r="A190" s="96"/>
      <c r="B190" s="14"/>
      <c r="C190" s="14"/>
      <c r="D190" s="834" t="e">
        <f>B189*E189</f>
        <v>#VALUE!</v>
      </c>
      <c r="E190" s="1149"/>
      <c r="F190" s="14"/>
      <c r="G190" s="154" t="s">
        <v>699</v>
      </c>
      <c r="H190" s="102"/>
      <c r="I190" s="689">
        <f>I189*K189</f>
        <v>1000</v>
      </c>
      <c r="J190" s="684"/>
      <c r="K190" s="14"/>
      <c r="O190" s="47"/>
      <c r="P190" s="14"/>
      <c r="Q190" s="14"/>
      <c r="R190" s="14"/>
      <c r="S190" s="120" t="s">
        <v>860</v>
      </c>
      <c r="T190" s="1326" t="e">
        <f>IF(D190&lt;=I190,TRUE,FALSE)</f>
        <v>#VALUE!</v>
      </c>
      <c r="U190" s="1326"/>
      <c r="V190" s="97"/>
    </row>
    <row r="191" spans="1:22" ht="18" hidden="1" customHeight="1">
      <c r="A191" s="184"/>
      <c r="B191" s="28" t="s">
        <v>617</v>
      </c>
      <c r="C191" s="30" t="str">
        <f>IF(T185=150,"…cond.1","…cond.3")</f>
        <v>…cond.1</v>
      </c>
      <c r="E191" s="14" t="s">
        <v>861</v>
      </c>
      <c r="V191" s="185"/>
    </row>
    <row r="192" spans="1:22" ht="18" hidden="1" customHeight="1">
      <c r="A192" s="184"/>
      <c r="V192" s="97"/>
    </row>
    <row r="193" spans="1:22" ht="18" hidden="1" customHeight="1">
      <c r="A193" s="184"/>
      <c r="B193" s="14"/>
      <c r="C193" s="28" t="s">
        <v>841</v>
      </c>
      <c r="D193" s="28" t="s">
        <v>529</v>
      </c>
      <c r="E193" s="28">
        <v>40</v>
      </c>
      <c r="F193" s="28" t="s">
        <v>347</v>
      </c>
      <c r="G193" s="221" t="str">
        <f>IF(T185=150,"0.07","0.35")</f>
        <v>0.07</v>
      </c>
      <c r="H193" s="28" t="s">
        <v>672</v>
      </c>
      <c r="I193" s="689" t="s">
        <v>847</v>
      </c>
      <c r="J193" s="723"/>
      <c r="K193" s="28" t="s">
        <v>315</v>
      </c>
      <c r="L193" s="28" t="s">
        <v>341</v>
      </c>
      <c r="M193" s="47" t="s">
        <v>350</v>
      </c>
      <c r="N193" s="184"/>
      <c r="O193" s="47" t="s">
        <v>862</v>
      </c>
      <c r="P193" s="27"/>
      <c r="Q193" s="28" t="s">
        <v>127</v>
      </c>
      <c r="R193" s="795" t="e">
        <f>MAX(E195,E196)</f>
        <v>#VALUE!</v>
      </c>
      <c r="S193" s="684"/>
      <c r="V193" s="185"/>
    </row>
    <row r="194" spans="1:22" ht="18" hidden="1" customHeight="1">
      <c r="A194" s="184"/>
      <c r="B194" s="14"/>
      <c r="C194" s="28"/>
      <c r="D194" s="28" t="s">
        <v>529</v>
      </c>
      <c r="E194" s="28">
        <v>40</v>
      </c>
      <c r="F194" s="28" t="s">
        <v>347</v>
      </c>
      <c r="G194" s="221" t="str">
        <f>IF(T185=150,"0.07","0.35")</f>
        <v>0.07</v>
      </c>
      <c r="H194" s="28" t="s">
        <v>672</v>
      </c>
      <c r="I194" s="692" t="e">
        <f>T180</f>
        <v>#VALUE!</v>
      </c>
      <c r="J194" s="723"/>
      <c r="K194" s="28" t="s">
        <v>315</v>
      </c>
      <c r="L194" s="28">
        <f>T184</f>
        <v>15</v>
      </c>
      <c r="M194" s="47" t="s">
        <v>350</v>
      </c>
      <c r="N194" s="184"/>
      <c r="V194" s="185"/>
    </row>
    <row r="195" spans="1:22" ht="18" hidden="1" customHeight="1">
      <c r="A195" s="184"/>
      <c r="B195" s="14"/>
      <c r="C195" s="28"/>
      <c r="D195" s="28" t="s">
        <v>529</v>
      </c>
      <c r="E195" s="1337" t="e">
        <f>E194+(G194*(I194*L194))</f>
        <v>#VALUE!</v>
      </c>
      <c r="F195" s="1337"/>
      <c r="G195" s="221"/>
      <c r="H195" s="28"/>
      <c r="I195" s="218"/>
      <c r="K195" s="28"/>
      <c r="L195" s="28"/>
      <c r="M195" s="47"/>
      <c r="N195" s="184"/>
      <c r="V195" s="185"/>
    </row>
    <row r="196" spans="1:22" ht="18" hidden="1" customHeight="1">
      <c r="A196" s="96"/>
      <c r="B196" s="28" t="s">
        <v>850</v>
      </c>
      <c r="C196" s="28" t="s">
        <v>841</v>
      </c>
      <c r="D196" s="28" t="s">
        <v>127</v>
      </c>
      <c r="E196" s="28">
        <v>65</v>
      </c>
      <c r="G196" s="14"/>
      <c r="H196" s="154"/>
      <c r="I196" s="102"/>
      <c r="J196" s="28"/>
      <c r="K196" s="27"/>
      <c r="L196" s="14"/>
      <c r="N196" s="96"/>
      <c r="O196" s="14"/>
      <c r="Q196" s="14"/>
      <c r="R196" s="14"/>
      <c r="S196" s="14"/>
      <c r="T196" s="14"/>
      <c r="U196" s="14"/>
      <c r="V196" s="97"/>
    </row>
    <row r="197" spans="1:22" ht="18" hidden="1" customHeight="1">
      <c r="A197" s="96"/>
      <c r="B197" s="14"/>
      <c r="F197" s="28"/>
      <c r="I197" s="120"/>
      <c r="J197" s="221"/>
      <c r="K197" s="28"/>
      <c r="L197" s="28"/>
      <c r="M197" s="47"/>
      <c r="N197" s="14"/>
      <c r="O197" s="14"/>
      <c r="Q197" s="14"/>
      <c r="R197" s="14"/>
      <c r="S197" s="14"/>
      <c r="T197" s="14"/>
      <c r="U197" s="14"/>
      <c r="V197" s="97"/>
    </row>
    <row r="198" spans="1:22" ht="18" hidden="1" customHeight="1">
      <c r="A198" s="524" t="s">
        <v>419</v>
      </c>
      <c r="B198" s="221" t="str">
        <f>IF(T185=150,"1000","600")</f>
        <v>1000</v>
      </c>
      <c r="C198" s="28" t="s">
        <v>315</v>
      </c>
      <c r="D198" s="28" t="s">
        <v>511</v>
      </c>
      <c r="E198" s="47" t="s">
        <v>350</v>
      </c>
      <c r="F198" s="28" t="s">
        <v>851</v>
      </c>
      <c r="G198" s="120" t="s">
        <v>419</v>
      </c>
      <c r="H198" s="689" t="s">
        <v>847</v>
      </c>
      <c r="I198" s="723"/>
      <c r="J198" s="28" t="s">
        <v>315</v>
      </c>
      <c r="K198" s="28" t="s">
        <v>341</v>
      </c>
      <c r="L198" s="47" t="s">
        <v>350</v>
      </c>
      <c r="M198" s="154" t="s">
        <v>699</v>
      </c>
      <c r="N198" s="120" t="s">
        <v>419</v>
      </c>
      <c r="O198" s="221" t="str">
        <f>IF(T185=150,"2600","1600")</f>
        <v>2600</v>
      </c>
      <c r="P198" s="28" t="s">
        <v>315</v>
      </c>
      <c r="Q198" s="28" t="s">
        <v>511</v>
      </c>
      <c r="R198" s="47" t="s">
        <v>350</v>
      </c>
      <c r="S198" s="14"/>
      <c r="T198" s="14"/>
      <c r="U198" s="14" t="str">
        <f>IF(T185=150,"...cond.2","…cond.4")</f>
        <v>...cond.2</v>
      </c>
      <c r="V198" s="97"/>
    </row>
    <row r="199" spans="1:22" ht="18" hidden="1" customHeight="1">
      <c r="A199" s="524" t="s">
        <v>419</v>
      </c>
      <c r="B199" s="221" t="str">
        <f>B198</f>
        <v>1000</v>
      </c>
      <c r="C199" s="28" t="s">
        <v>315</v>
      </c>
      <c r="D199" s="28">
        <f>T183</f>
        <v>1</v>
      </c>
      <c r="E199" s="47" t="s">
        <v>350</v>
      </c>
      <c r="F199" s="28" t="s">
        <v>851</v>
      </c>
      <c r="G199" s="120" t="s">
        <v>419</v>
      </c>
      <c r="H199" s="692" t="e">
        <f>T180</f>
        <v>#VALUE!</v>
      </c>
      <c r="I199" s="723"/>
      <c r="J199" s="28" t="s">
        <v>315</v>
      </c>
      <c r="K199" s="28">
        <f>T184</f>
        <v>15</v>
      </c>
      <c r="L199" s="47" t="s">
        <v>350</v>
      </c>
      <c r="M199" s="154" t="s">
        <v>699</v>
      </c>
      <c r="N199" s="120" t="s">
        <v>419</v>
      </c>
      <c r="O199" s="221" t="str">
        <f>O198</f>
        <v>2600</v>
      </c>
      <c r="P199" s="28" t="s">
        <v>315</v>
      </c>
      <c r="Q199" s="28">
        <f>T183</f>
        <v>1</v>
      </c>
      <c r="R199" s="47" t="s">
        <v>350</v>
      </c>
      <c r="S199" s="14"/>
      <c r="T199" s="14"/>
      <c r="U199" s="14"/>
      <c r="V199" s="97"/>
    </row>
    <row r="200" spans="1:22" ht="18" hidden="1" customHeight="1">
      <c r="A200" s="524"/>
      <c r="B200" s="249"/>
      <c r="C200" s="1329">
        <f>B199*D199</f>
        <v>1000</v>
      </c>
      <c r="D200" s="1329"/>
      <c r="E200" s="249"/>
      <c r="F200" s="28" t="s">
        <v>851</v>
      </c>
      <c r="G200" s="14"/>
      <c r="H200" s="14"/>
      <c r="I200" s="834" t="e">
        <f>H199*K199</f>
        <v>#VALUE!</v>
      </c>
      <c r="J200" s="834"/>
      <c r="K200" s="14"/>
      <c r="L200" s="14"/>
      <c r="M200" s="154" t="s">
        <v>699</v>
      </c>
      <c r="N200" s="102"/>
      <c r="O200" s="1286">
        <f>O199*Q199</f>
        <v>2600</v>
      </c>
      <c r="P200" s="723"/>
      <c r="Q200" s="14"/>
      <c r="R200" s="14"/>
      <c r="S200" s="120" t="s">
        <v>860</v>
      </c>
      <c r="T200" s="1326" t="e">
        <f>IF(AND(C200&lt;I200,I200&lt;=O200)=TRUE,TRUE,FALSE)</f>
        <v>#VALUE!</v>
      </c>
      <c r="U200" s="1326"/>
      <c r="V200" s="97"/>
    </row>
    <row r="201" spans="1:22" ht="18" hidden="1" customHeight="1">
      <c r="A201" s="96"/>
      <c r="B201" s="14"/>
      <c r="E201" s="244"/>
      <c r="G201" s="18"/>
      <c r="L201" s="14"/>
      <c r="M201" s="14"/>
      <c r="N201" s="14"/>
      <c r="O201" s="14"/>
      <c r="P201" s="14"/>
      <c r="Q201" s="14"/>
      <c r="R201" s="14"/>
      <c r="S201" s="14"/>
      <c r="T201" s="14"/>
      <c r="U201" s="14"/>
      <c r="V201" s="97"/>
    </row>
    <row r="202" spans="1:22" ht="18" hidden="1" customHeight="1">
      <c r="A202" s="96"/>
      <c r="B202" s="14"/>
      <c r="E202" s="244"/>
      <c r="G202" s="18"/>
      <c r="L202" s="14"/>
      <c r="M202" s="14"/>
      <c r="N202" s="14"/>
      <c r="O202" s="14"/>
      <c r="P202" s="14"/>
      <c r="Q202" s="14"/>
      <c r="R202" s="14"/>
      <c r="S202" s="14"/>
      <c r="T202" s="14"/>
      <c r="U202" s="14"/>
      <c r="V202" s="97"/>
    </row>
    <row r="203" spans="1:22" ht="18" hidden="1" customHeight="1">
      <c r="A203" s="96"/>
      <c r="B203" s="14"/>
      <c r="E203" s="244"/>
      <c r="G203" s="18"/>
      <c r="L203" s="14"/>
      <c r="M203" s="14"/>
      <c r="N203" s="14"/>
      <c r="O203" s="14"/>
      <c r="P203" s="14"/>
      <c r="Q203" s="14"/>
      <c r="R203" s="14"/>
      <c r="S203" s="14"/>
      <c r="T203" s="14"/>
      <c r="U203" s="14"/>
      <c r="V203" s="97"/>
    </row>
    <row r="204" spans="1:22" ht="18" hidden="1" customHeight="1">
      <c r="A204" s="96"/>
      <c r="B204" s="14"/>
      <c r="E204" s="244"/>
      <c r="G204" s="18"/>
      <c r="L204" s="14"/>
      <c r="M204" s="14"/>
      <c r="N204" s="14"/>
      <c r="O204" s="14"/>
      <c r="P204" s="14"/>
      <c r="Q204" s="14"/>
      <c r="R204" s="14"/>
      <c r="S204" s="14"/>
      <c r="T204" s="14"/>
      <c r="U204" s="14"/>
      <c r="V204" s="97"/>
    </row>
    <row r="205" spans="1:22" ht="18" hidden="1" customHeight="1">
      <c r="A205" s="96"/>
      <c r="B205" s="14"/>
      <c r="E205" s="244"/>
      <c r="G205" s="18"/>
      <c r="L205" s="14"/>
      <c r="M205" s="14"/>
      <c r="N205" s="14"/>
      <c r="O205" s="14"/>
      <c r="P205" s="14"/>
      <c r="Q205" s="14"/>
      <c r="R205" s="14"/>
      <c r="S205" s="14"/>
      <c r="T205" s="14"/>
      <c r="U205" s="14"/>
      <c r="V205" s="97"/>
    </row>
    <row r="206" spans="1:22" ht="18" hidden="1" customHeight="1">
      <c r="A206" s="96"/>
      <c r="B206" s="14"/>
      <c r="E206" s="244"/>
      <c r="G206" s="18"/>
      <c r="L206" s="14"/>
      <c r="M206" s="14"/>
      <c r="N206" s="14"/>
      <c r="O206" s="14"/>
      <c r="P206" s="14"/>
      <c r="Q206" s="14"/>
      <c r="R206" s="14"/>
      <c r="S206" s="14"/>
      <c r="T206" s="14"/>
      <c r="U206" s="14"/>
      <c r="V206" s="97"/>
    </row>
    <row r="207" spans="1:22" s="14" customFormat="1" ht="18" hidden="1" customHeight="1">
      <c r="A207" s="194"/>
      <c r="B207" s="195"/>
      <c r="C207" s="195"/>
      <c r="D207" s="195"/>
      <c r="E207" s="195"/>
      <c r="F207" s="195"/>
      <c r="G207" s="195"/>
      <c r="H207" s="195"/>
      <c r="I207" s="195"/>
      <c r="J207" s="195"/>
      <c r="K207" s="195"/>
      <c r="L207" s="195"/>
      <c r="M207" s="195"/>
      <c r="N207" s="195"/>
      <c r="O207" s="195"/>
      <c r="P207" s="195"/>
      <c r="Q207" s="224"/>
      <c r="R207" s="182"/>
      <c r="S207" s="225"/>
      <c r="T207" s="195"/>
      <c r="U207" s="195"/>
      <c r="V207" s="134"/>
    </row>
    <row r="208" spans="1:22" ht="18" hidden="1" customHeight="1">
      <c r="A208" s="320"/>
      <c r="B208" s="138"/>
      <c r="C208" s="138"/>
      <c r="D208" s="138"/>
      <c r="E208" s="273"/>
      <c r="F208" s="273"/>
      <c r="G208" s="274"/>
      <c r="H208" s="138"/>
      <c r="I208" s="138"/>
      <c r="J208" s="138"/>
      <c r="K208" s="138"/>
      <c r="L208" s="138"/>
      <c r="M208" s="138"/>
      <c r="N208" s="138"/>
      <c r="O208" s="138"/>
      <c r="P208" s="138"/>
      <c r="Q208" s="138"/>
      <c r="R208" s="138"/>
      <c r="S208" s="138"/>
      <c r="T208" s="273"/>
      <c r="U208" s="138"/>
      <c r="V208" s="521"/>
    </row>
    <row r="209" spans="1:22" ht="18" hidden="1" customHeight="1">
      <c r="A209" s="299"/>
      <c r="B209" s="28" t="s">
        <v>617</v>
      </c>
      <c r="C209" s="30" t="str">
        <f>IF(T185=150,"…cond.2","…cond.4")</f>
        <v>…cond.2</v>
      </c>
      <c r="E209" s="14" t="s">
        <v>863</v>
      </c>
      <c r="J209" s="28" t="s">
        <v>127</v>
      </c>
      <c r="K209" s="30" t="str">
        <f>IF(T185=150,"107","256")</f>
        <v>107</v>
      </c>
      <c r="N209" s="1" t="s">
        <v>864</v>
      </c>
      <c r="O209" s="196"/>
      <c r="P209" s="196"/>
      <c r="Q209" s="196"/>
      <c r="R209" s="196"/>
      <c r="S209" s="182" t="s">
        <v>127</v>
      </c>
      <c r="T209" s="246" t="e">
        <f>IF(T190=TRUE,R193,IF(T200=TRUE,K209,))</f>
        <v>#VALUE!</v>
      </c>
      <c r="U209" s="14"/>
      <c r="V209" s="97"/>
    </row>
    <row r="210" spans="1:22" ht="18" hidden="1" customHeight="1">
      <c r="A210" s="193" t="s">
        <v>865</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84"/>
      <c r="D211" s="30" t="s">
        <v>473</v>
      </c>
      <c r="E211" s="27" t="s">
        <v>529</v>
      </c>
      <c r="F211" s="27" t="s">
        <v>841</v>
      </c>
      <c r="G211" s="27" t="s">
        <v>315</v>
      </c>
      <c r="H211" s="27" t="s">
        <v>511</v>
      </c>
      <c r="I211" s="27" t="s">
        <v>372</v>
      </c>
      <c r="J211" s="27" t="s">
        <v>420</v>
      </c>
      <c r="K211" s="27" t="s">
        <v>347</v>
      </c>
      <c r="L211" s="27" t="s">
        <v>842</v>
      </c>
      <c r="M211" s="30" t="s">
        <v>350</v>
      </c>
      <c r="V211" s="185"/>
    </row>
    <row r="212" spans="1:22" ht="18" hidden="1" customHeight="1">
      <c r="A212" s="184"/>
      <c r="B212" s="14"/>
      <c r="D212" s="14"/>
      <c r="E212" s="27" t="s">
        <v>529</v>
      </c>
      <c r="F212" s="27" t="e">
        <f>T209</f>
        <v>#VALUE!</v>
      </c>
      <c r="G212" s="27" t="s">
        <v>315</v>
      </c>
      <c r="H212" s="27">
        <f>T183</f>
        <v>1</v>
      </c>
      <c r="I212" s="27" t="s">
        <v>372</v>
      </c>
      <c r="J212" s="27">
        <f>T181</f>
        <v>10</v>
      </c>
      <c r="K212" s="27" t="s">
        <v>347</v>
      </c>
      <c r="L212" s="211">
        <f>T182</f>
        <v>1.0970224400000002</v>
      </c>
      <c r="M212" s="30" t="s">
        <v>350</v>
      </c>
      <c r="V212" s="185"/>
    </row>
    <row r="213" spans="1:22" ht="18" hidden="1" customHeight="1">
      <c r="A213" s="184"/>
      <c r="B213" s="14"/>
      <c r="D213" s="14"/>
      <c r="E213" s="27" t="s">
        <v>529</v>
      </c>
      <c r="F213" s="709" t="e">
        <f>F212*H212*(J212+L212)</f>
        <v>#VALUE!</v>
      </c>
      <c r="G213" s="710"/>
      <c r="H213" s="14" t="s">
        <v>305</v>
      </c>
      <c r="I213" s="14"/>
      <c r="J213" s="14"/>
      <c r="K213" s="14"/>
      <c r="L213" s="120"/>
      <c r="M213" s="120"/>
      <c r="V213" s="185"/>
    </row>
    <row r="214" spans="1:22" ht="18" hidden="1" customHeight="1">
      <c r="A214" s="184"/>
      <c r="V214" s="185"/>
    </row>
    <row r="215" spans="1:22" ht="18" hidden="1" customHeight="1">
      <c r="A215" s="116" t="s">
        <v>446</v>
      </c>
      <c r="B215" s="14"/>
      <c r="C215" s="27"/>
      <c r="D215" s="218"/>
      <c r="E215" s="204"/>
      <c r="F215" s="14"/>
      <c r="G215" s="14"/>
      <c r="H215" s="14"/>
      <c r="I215" s="14"/>
      <c r="J215" s="120"/>
      <c r="K215" s="120"/>
      <c r="L215" s="14"/>
      <c r="M215" s="14"/>
      <c r="N215" s="28"/>
      <c r="O215" s="257"/>
      <c r="P215" s="14"/>
      <c r="Q215" s="14"/>
      <c r="R215" s="120"/>
      <c r="S215" s="28"/>
      <c r="T215" s="47"/>
      <c r="U215" s="14"/>
      <c r="V215" s="185"/>
    </row>
    <row r="216" spans="1:22" ht="18" hidden="1" customHeight="1">
      <c r="A216" s="193" t="s">
        <v>416</v>
      </c>
      <c r="B216" s="14"/>
      <c r="C216" s="27"/>
      <c r="D216" s="218"/>
      <c r="E216" s="204"/>
      <c r="F216" s="14"/>
      <c r="G216" s="14"/>
      <c r="H216" s="14"/>
      <c r="I216" s="14"/>
      <c r="J216" s="120"/>
      <c r="K216" s="120"/>
      <c r="L216" s="14"/>
      <c r="M216" s="14"/>
      <c r="N216" s="28"/>
      <c r="O216" s="257"/>
      <c r="P216" s="14"/>
      <c r="Q216" s="14"/>
      <c r="R216" s="120"/>
      <c r="S216" s="28"/>
      <c r="T216" s="47"/>
      <c r="U216" s="14"/>
      <c r="V216" s="185"/>
    </row>
    <row r="217" spans="1:22" ht="18" hidden="1" customHeight="1">
      <c r="A217" s="184"/>
      <c r="B217" s="14"/>
      <c r="C217" s="27"/>
      <c r="D217" s="218"/>
      <c r="E217" s="204"/>
      <c r="F217" s="30" t="s">
        <v>473</v>
      </c>
      <c r="G217" s="27" t="s">
        <v>529</v>
      </c>
      <c r="H217" s="993" t="s">
        <v>868</v>
      </c>
      <c r="I217" s="993"/>
      <c r="J217" s="27" t="s">
        <v>315</v>
      </c>
      <c r="K217" s="993" t="s">
        <v>820</v>
      </c>
      <c r="L217" s="993"/>
      <c r="M217" s="27" t="s">
        <v>315</v>
      </c>
      <c r="N217" s="244" t="s">
        <v>419</v>
      </c>
      <c r="O217" s="27" t="s">
        <v>420</v>
      </c>
      <c r="P217" s="27" t="s">
        <v>347</v>
      </c>
      <c r="Q217" s="27" t="s">
        <v>408</v>
      </c>
      <c r="R217" s="30" t="s">
        <v>350</v>
      </c>
      <c r="S217" s="28"/>
      <c r="T217" s="47"/>
      <c r="U217" s="14"/>
      <c r="V217" s="185"/>
    </row>
    <row r="218" spans="1:22" ht="18" hidden="1" customHeight="1">
      <c r="A218" s="193"/>
      <c r="F218" s="14" t="s">
        <v>869</v>
      </c>
      <c r="H218" s="27"/>
      <c r="I218" s="218"/>
      <c r="J218" s="204"/>
      <c r="K218" s="14"/>
      <c r="L218" s="14"/>
      <c r="M218" s="14"/>
      <c r="N218" s="14"/>
      <c r="O218" s="120"/>
      <c r="P218" s="120"/>
      <c r="Q218" s="14"/>
      <c r="R218" s="14"/>
      <c r="U218" s="14"/>
      <c r="V218" s="185"/>
    </row>
    <row r="219" spans="1:22" ht="18" hidden="1" customHeight="1">
      <c r="A219" s="193"/>
      <c r="G219" s="993" t="s">
        <v>868</v>
      </c>
      <c r="H219" s="993"/>
      <c r="I219" s="218" t="s">
        <v>127</v>
      </c>
      <c r="J219" s="204" t="s">
        <v>870</v>
      </c>
      <c r="K219" s="14"/>
      <c r="L219" s="14"/>
      <c r="M219" s="14"/>
      <c r="N219" s="14"/>
      <c r="O219" s="120"/>
      <c r="P219" s="120"/>
      <c r="Q219" s="14"/>
      <c r="R219" s="14"/>
      <c r="S219" s="28" t="s">
        <v>127</v>
      </c>
      <c r="T219" s="28">
        <v>1.4</v>
      </c>
      <c r="U219" s="14"/>
      <c r="V219" s="97"/>
    </row>
    <row r="220" spans="1:22" ht="18" hidden="1" customHeight="1">
      <c r="A220" s="193"/>
      <c r="G220" s="993" t="s">
        <v>820</v>
      </c>
      <c r="H220" s="993"/>
      <c r="I220" s="218" t="s">
        <v>127</v>
      </c>
      <c r="J220" s="204" t="s">
        <v>871</v>
      </c>
      <c r="K220" s="14"/>
      <c r="L220" s="14"/>
      <c r="M220" s="14"/>
      <c r="N220" s="14"/>
      <c r="O220" s="120"/>
      <c r="P220" s="120"/>
      <c r="Q220" s="14"/>
      <c r="R220" s="14"/>
      <c r="S220" s="28" t="s">
        <v>127</v>
      </c>
      <c r="T220" s="692" t="e">
        <f>T180</f>
        <v>#VALUE!</v>
      </c>
      <c r="U220" s="689"/>
      <c r="V220" s="97" t="s">
        <v>8</v>
      </c>
    </row>
    <row r="221" spans="1:22" ht="18" hidden="1" customHeight="1">
      <c r="A221" s="193"/>
      <c r="U221" s="14"/>
      <c r="V221" s="97"/>
    </row>
    <row r="222" spans="1:22" ht="18" hidden="1" customHeight="1">
      <c r="A222" s="193"/>
      <c r="F222" s="30" t="s">
        <v>473</v>
      </c>
      <c r="G222" s="27" t="s">
        <v>529</v>
      </c>
      <c r="H222" s="993" t="s">
        <v>868</v>
      </c>
      <c r="I222" s="993"/>
      <c r="J222" s="27" t="s">
        <v>315</v>
      </c>
      <c r="K222" s="993" t="s">
        <v>820</v>
      </c>
      <c r="L222" s="993"/>
      <c r="M222" s="27" t="s">
        <v>315</v>
      </c>
      <c r="N222" s="244" t="s">
        <v>419</v>
      </c>
      <c r="O222" s="27" t="s">
        <v>420</v>
      </c>
      <c r="P222" s="27" t="s">
        <v>347</v>
      </c>
      <c r="Q222" s="27" t="s">
        <v>408</v>
      </c>
      <c r="R222" s="30" t="s">
        <v>350</v>
      </c>
      <c r="T222" s="47"/>
      <c r="U222" s="14"/>
      <c r="V222" s="97"/>
    </row>
    <row r="223" spans="1:22" ht="18" hidden="1" customHeight="1">
      <c r="A223" s="193"/>
      <c r="F223" s="30" t="s">
        <v>473</v>
      </c>
      <c r="G223" s="27" t="s">
        <v>529</v>
      </c>
      <c r="H223" s="993">
        <f>T219</f>
        <v>1.4</v>
      </c>
      <c r="I223" s="993"/>
      <c r="J223" s="27" t="s">
        <v>315</v>
      </c>
      <c r="K223" s="1111" t="e">
        <f>T220</f>
        <v>#VALUE!</v>
      </c>
      <c r="L223" s="993"/>
      <c r="M223" s="27" t="s">
        <v>315</v>
      </c>
      <c r="N223" s="244" t="s">
        <v>419</v>
      </c>
      <c r="O223" s="27">
        <f>T181</f>
        <v>10</v>
      </c>
      <c r="P223" s="27" t="s">
        <v>347</v>
      </c>
      <c r="Q223" s="211">
        <f>T182</f>
        <v>1.0970224400000002</v>
      </c>
      <c r="R223" s="30" t="s">
        <v>350</v>
      </c>
      <c r="V223" s="97"/>
    </row>
    <row r="224" spans="1:22" ht="18" hidden="1" customHeight="1">
      <c r="A224" s="184"/>
      <c r="F224" s="30" t="s">
        <v>473</v>
      </c>
      <c r="G224" s="27" t="s">
        <v>529</v>
      </c>
      <c r="H224" s="1330" t="e">
        <f>H223*K223*(O223+Q223)</f>
        <v>#VALUE!</v>
      </c>
      <c r="I224" s="1331"/>
      <c r="J224" s="14" t="s">
        <v>872</v>
      </c>
      <c r="V224" s="97"/>
    </row>
    <row r="225" spans="1:22" ht="18" hidden="1" customHeight="1">
      <c r="A225" s="96"/>
      <c r="U225" s="18"/>
      <c r="V225" s="97"/>
    </row>
    <row r="226" spans="1:22" ht="18" hidden="1" customHeight="1">
      <c r="A226" s="193" t="s">
        <v>873</v>
      </c>
      <c r="O226" s="47"/>
      <c r="P226" s="14"/>
      <c r="Q226" s="14"/>
      <c r="R226" s="14"/>
      <c r="S226" s="120"/>
      <c r="T226" s="18"/>
      <c r="U226" s="18"/>
      <c r="V226" s="97"/>
    </row>
    <row r="227" spans="1:22" ht="18" hidden="1" customHeight="1">
      <c r="A227" s="184"/>
      <c r="V227" s="97"/>
    </row>
    <row r="228" spans="1:22" ht="18" hidden="1" customHeight="1">
      <c r="A228" s="184"/>
      <c r="C228" s="30" t="s">
        <v>473</v>
      </c>
      <c r="D228" s="27" t="s">
        <v>529</v>
      </c>
      <c r="E228" s="805" t="s">
        <v>874</v>
      </c>
      <c r="F228" s="805"/>
      <c r="G228" s="27" t="s">
        <v>315</v>
      </c>
      <c r="H228" s="805" t="s">
        <v>875</v>
      </c>
      <c r="I228" s="805"/>
      <c r="J228" s="28" t="s">
        <v>672</v>
      </c>
      <c r="K228" s="27">
        <v>1</v>
      </c>
      <c r="L228" s="14" t="s">
        <v>347</v>
      </c>
      <c r="M228" s="14" t="s">
        <v>341</v>
      </c>
      <c r="N228" s="14" t="s">
        <v>876</v>
      </c>
      <c r="O228" s="27" t="s">
        <v>420</v>
      </c>
      <c r="P228" s="27" t="s">
        <v>347</v>
      </c>
      <c r="Q228" s="27" t="s">
        <v>408</v>
      </c>
      <c r="R228" s="30" t="s">
        <v>350</v>
      </c>
      <c r="V228" s="185"/>
    </row>
    <row r="229" spans="1:22" ht="18" hidden="1" customHeight="1">
      <c r="A229" s="184"/>
      <c r="C229" s="14" t="s">
        <v>869</v>
      </c>
      <c r="E229" s="27"/>
      <c r="F229" s="218"/>
      <c r="G229" s="204"/>
      <c r="H229" s="14"/>
      <c r="I229" s="14"/>
      <c r="J229" s="14"/>
      <c r="K229" s="14"/>
      <c r="L229" s="120"/>
      <c r="M229" s="120"/>
      <c r="N229" s="14"/>
      <c r="O229" s="14"/>
      <c r="U229" s="14"/>
      <c r="V229" s="185"/>
    </row>
    <row r="230" spans="1:22" ht="18" hidden="1" customHeight="1">
      <c r="A230" s="96"/>
      <c r="B230" s="14"/>
      <c r="D230" s="805" t="s">
        <v>874</v>
      </c>
      <c r="E230" s="993"/>
      <c r="F230" s="218" t="s">
        <v>127</v>
      </c>
      <c r="G230" s="257" t="s">
        <v>877</v>
      </c>
      <c r="H230" s="14"/>
      <c r="I230" s="14"/>
      <c r="J230" s="14"/>
      <c r="K230" s="14"/>
      <c r="L230" s="120"/>
      <c r="M230" s="120"/>
      <c r="N230" s="14"/>
      <c r="O230" s="14"/>
      <c r="S230" s="28" t="s">
        <v>127</v>
      </c>
      <c r="T230" s="28">
        <v>0.6</v>
      </c>
      <c r="U230" s="14"/>
      <c r="V230" s="97"/>
    </row>
    <row r="231" spans="1:22" ht="18" hidden="1" customHeight="1">
      <c r="A231" s="272"/>
      <c r="B231" s="47"/>
      <c r="D231" s="805" t="s">
        <v>875</v>
      </c>
      <c r="E231" s="993"/>
      <c r="F231" s="218" t="s">
        <v>127</v>
      </c>
      <c r="G231" s="257" t="s">
        <v>878</v>
      </c>
      <c r="H231" s="14"/>
      <c r="I231" s="14"/>
      <c r="J231" s="14"/>
      <c r="K231" s="14"/>
      <c r="L231" s="120"/>
      <c r="M231" s="120"/>
      <c r="N231" s="14"/>
      <c r="O231" s="14"/>
      <c r="S231" s="28" t="s">
        <v>127</v>
      </c>
      <c r="T231" s="692" t="e">
        <f>'[8]Fault Calc (3)'!M107/T179</f>
        <v>#VALUE!</v>
      </c>
      <c r="U231" s="689"/>
      <c r="V231" s="97" t="s">
        <v>8</v>
      </c>
    </row>
    <row r="232" spans="1:22" ht="18" hidden="1" customHeight="1">
      <c r="A232" s="96"/>
      <c r="B232" s="47"/>
      <c r="C232" s="120"/>
      <c r="S232" s="14"/>
      <c r="T232" s="14"/>
      <c r="U232" s="14"/>
      <c r="V232" s="97"/>
    </row>
    <row r="233" spans="1:22" ht="18" hidden="1" customHeight="1">
      <c r="A233" s="184"/>
      <c r="C233" s="27" t="s">
        <v>473</v>
      </c>
      <c r="D233" s="27" t="s">
        <v>529</v>
      </c>
      <c r="E233" s="805" t="s">
        <v>874</v>
      </c>
      <c r="F233" s="805"/>
      <c r="G233" s="27" t="s">
        <v>315</v>
      </c>
      <c r="H233" s="805" t="s">
        <v>875</v>
      </c>
      <c r="I233" s="805"/>
      <c r="J233" s="28" t="s">
        <v>672</v>
      </c>
      <c r="K233" s="27">
        <v>1</v>
      </c>
      <c r="L233" s="14" t="s">
        <v>347</v>
      </c>
      <c r="M233" s="14" t="s">
        <v>341</v>
      </c>
      <c r="N233" s="14" t="s">
        <v>876</v>
      </c>
      <c r="O233" s="27" t="s">
        <v>420</v>
      </c>
      <c r="P233" s="27" t="s">
        <v>347</v>
      </c>
      <c r="Q233" s="27" t="s">
        <v>408</v>
      </c>
      <c r="R233" s="30" t="s">
        <v>350</v>
      </c>
      <c r="V233" s="97"/>
    </row>
    <row r="234" spans="1:22" ht="18" hidden="1" customHeight="1">
      <c r="A234" s="184"/>
      <c r="C234" s="27" t="s">
        <v>473</v>
      </c>
      <c r="D234" s="27" t="s">
        <v>529</v>
      </c>
      <c r="E234" s="805">
        <f>T230</f>
        <v>0.6</v>
      </c>
      <c r="F234" s="805"/>
      <c r="G234" s="27" t="s">
        <v>315</v>
      </c>
      <c r="H234" s="1184" t="e">
        <f>T231</f>
        <v>#VALUE!</v>
      </c>
      <c r="I234" s="805"/>
      <c r="J234" s="28" t="s">
        <v>672</v>
      </c>
      <c r="K234" s="27">
        <v>1</v>
      </c>
      <c r="L234" s="14" t="s">
        <v>347</v>
      </c>
      <c r="M234" s="28">
        <f>T184</f>
        <v>15</v>
      </c>
      <c r="N234" s="14" t="s">
        <v>876</v>
      </c>
      <c r="O234" s="27">
        <f>T181</f>
        <v>10</v>
      </c>
      <c r="P234" s="27" t="s">
        <v>347</v>
      </c>
      <c r="Q234" s="218">
        <f xml:space="preserve"> T182</f>
        <v>1.0970224400000002</v>
      </c>
      <c r="R234" s="30" t="s">
        <v>350</v>
      </c>
      <c r="V234" s="97"/>
    </row>
    <row r="235" spans="1:22" s="279" customFormat="1" ht="18" hidden="1" customHeight="1">
      <c r="A235" s="184"/>
      <c r="B235" s="30"/>
      <c r="C235" s="27" t="s">
        <v>473</v>
      </c>
      <c r="D235" s="27" t="s">
        <v>529</v>
      </c>
      <c r="E235" s="1332" t="e">
        <f>E234*H234*((K234+M234)*(O234+Q234))</f>
        <v>#VALUE!</v>
      </c>
      <c r="F235" s="1333"/>
      <c r="G235" s="14" t="s">
        <v>872</v>
      </c>
      <c r="H235" s="30"/>
      <c r="I235" s="30"/>
      <c r="J235" s="30"/>
      <c r="K235" s="30"/>
      <c r="L235" s="30"/>
      <c r="M235" s="30"/>
      <c r="N235" s="30"/>
      <c r="O235" s="30"/>
      <c r="P235" s="30"/>
      <c r="Q235" s="30"/>
      <c r="R235" s="30"/>
      <c r="S235" s="30"/>
      <c r="T235" s="30"/>
      <c r="U235" s="30"/>
      <c r="V235" s="97"/>
    </row>
    <row r="236" spans="1:22" s="279" customFormat="1" ht="18" hidden="1" customHeight="1">
      <c r="A236" s="524"/>
      <c r="B236" s="249"/>
      <c r="C236" s="249"/>
      <c r="D236" s="249"/>
      <c r="E236" s="249"/>
      <c r="F236" s="249"/>
      <c r="G236" s="14"/>
      <c r="H236" s="14"/>
      <c r="I236" s="14"/>
      <c r="J236" s="14"/>
      <c r="K236" s="14"/>
      <c r="L236" s="14"/>
      <c r="M236" s="120"/>
      <c r="N236" s="102"/>
      <c r="O236" s="47"/>
      <c r="P236" s="14"/>
      <c r="Q236" s="14"/>
      <c r="R236" s="14"/>
      <c r="S236" s="14"/>
      <c r="T236" s="14"/>
      <c r="U236" s="14"/>
      <c r="V236" s="97"/>
    </row>
    <row r="237" spans="1:22" s="279" customFormat="1" ht="18" hidden="1" customHeight="1">
      <c r="A237" s="96"/>
      <c r="B237" s="459" t="s">
        <v>879</v>
      </c>
      <c r="C237" s="28"/>
      <c r="D237" s="28"/>
      <c r="E237" s="14"/>
      <c r="F237" s="14"/>
      <c r="G237" s="120"/>
      <c r="H237" s="120"/>
      <c r="I237" s="47"/>
      <c r="J237" s="535"/>
      <c r="K237" s="14"/>
      <c r="L237" s="14"/>
      <c r="M237" s="709" t="e">
        <f>MAX(F213,H224,E235)</f>
        <v>#VALUE!</v>
      </c>
      <c r="N237" s="710"/>
      <c r="O237" s="14" t="s">
        <v>872</v>
      </c>
      <c r="P237" s="14"/>
      <c r="Q237" s="14"/>
      <c r="R237" s="14"/>
      <c r="S237" s="14"/>
      <c r="T237" s="14"/>
      <c r="U237" s="14"/>
      <c r="V237" s="97"/>
    </row>
    <row r="238" spans="1:22" s="279" customFormat="1" ht="18" hidden="1" customHeight="1">
      <c r="A238" s="193"/>
      <c r="B238" s="30"/>
      <c r="C238" s="30"/>
      <c r="D238" s="30"/>
      <c r="E238" s="30"/>
      <c r="F238" s="30"/>
      <c r="G238" s="30"/>
      <c r="H238" s="30"/>
      <c r="I238" s="14"/>
      <c r="J238" s="14"/>
      <c r="K238" s="14"/>
      <c r="L238" s="47"/>
      <c r="M238" s="47"/>
      <c r="N238" s="47"/>
      <c r="O238" s="47"/>
      <c r="P238" s="28"/>
      <c r="Q238" s="536"/>
      <c r="R238" s="47"/>
      <c r="S238" s="14"/>
      <c r="T238" s="14"/>
      <c r="U238" s="14"/>
      <c r="V238" s="97"/>
    </row>
    <row r="239" spans="1:22" s="279" customFormat="1" ht="18" hidden="1" customHeight="1">
      <c r="A239" s="184"/>
      <c r="B239" s="30"/>
      <c r="C239" s="30" t="s">
        <v>475</v>
      </c>
      <c r="D239" s="30"/>
      <c r="E239" s="30"/>
      <c r="F239" s="27" t="e">
        <f>IF(D240&gt;G240,"&gt;","&lt;")</f>
        <v>#VALUE!</v>
      </c>
      <c r="G239" s="30" t="s">
        <v>477</v>
      </c>
      <c r="H239" s="30"/>
      <c r="I239" s="30"/>
      <c r="J239" s="30"/>
      <c r="K239" s="30"/>
      <c r="L239" s="14"/>
      <c r="M239" s="14"/>
      <c r="N239" s="14"/>
      <c r="O239" s="14"/>
      <c r="P239" s="14"/>
      <c r="Q239" s="14"/>
      <c r="R239" s="14"/>
      <c r="S239" s="14"/>
      <c r="T239" s="14"/>
      <c r="U239" s="14"/>
      <c r="V239" s="97"/>
    </row>
    <row r="240" spans="1:22" s="279" customFormat="1" ht="18" hidden="1" customHeight="1">
      <c r="A240" s="184"/>
      <c r="B240" s="30"/>
      <c r="C240" s="30"/>
      <c r="D240" s="684">
        <f>J133</f>
        <v>3000</v>
      </c>
      <c r="E240" s="684"/>
      <c r="F240" s="27" t="e">
        <f>F239</f>
        <v>#VALUE!</v>
      </c>
      <c r="G240" s="713" t="e">
        <f>M237</f>
        <v>#VALUE!</v>
      </c>
      <c r="H240" s="713"/>
      <c r="I240" s="30"/>
      <c r="J240" s="30"/>
      <c r="K240" s="30"/>
      <c r="L240" s="14"/>
      <c r="M240" s="14"/>
      <c r="N240" s="28"/>
      <c r="O240" s="28"/>
      <c r="P240" s="28"/>
      <c r="Q240" s="120"/>
      <c r="R240" s="250"/>
      <c r="S240" s="186"/>
      <c r="T240" s="14"/>
      <c r="U240" s="14"/>
      <c r="V240" s="97"/>
    </row>
    <row r="241" spans="1:29" s="279" customFormat="1" ht="18" hidden="1" customHeight="1">
      <c r="A241" s="184"/>
      <c r="B241" s="30"/>
      <c r="C241" s="30"/>
      <c r="D241" s="30"/>
      <c r="E241" s="244" t="s">
        <v>478</v>
      </c>
      <c r="F241" s="30"/>
      <c r="G241" s="18" t="e">
        <f>IF(F239="&gt;","Suitably Dimensioned","Under Dimensioned")</f>
        <v>#VALUE!</v>
      </c>
      <c r="H241" s="30"/>
      <c r="I241" s="30"/>
      <c r="J241" s="30"/>
      <c r="K241" s="30"/>
      <c r="L241" s="14"/>
      <c r="M241" s="14"/>
      <c r="N241" s="28"/>
      <c r="O241" s="257"/>
      <c r="P241" s="14"/>
      <c r="Q241" s="14"/>
      <c r="R241" s="120"/>
      <c r="S241" s="28"/>
      <c r="T241" s="47"/>
      <c r="U241" s="14"/>
      <c r="V241" s="97"/>
    </row>
    <row r="242" spans="1:29" s="279" customFormat="1" ht="18" hidden="1" customHeight="1">
      <c r="A242" s="184"/>
      <c r="B242" s="30"/>
      <c r="C242" s="30"/>
      <c r="D242" s="30"/>
      <c r="E242" s="244"/>
      <c r="F242" s="30"/>
      <c r="G242" s="18"/>
      <c r="H242" s="30"/>
      <c r="I242" s="30"/>
      <c r="J242" s="30"/>
      <c r="K242" s="30"/>
      <c r="L242" s="14"/>
      <c r="M242" s="14"/>
      <c r="N242" s="28"/>
      <c r="O242" s="257"/>
      <c r="P242" s="14"/>
      <c r="Q242" s="14"/>
      <c r="R242" s="120"/>
      <c r="S242" s="28"/>
      <c r="T242" s="47"/>
      <c r="U242" s="14"/>
      <c r="V242" s="97"/>
    </row>
    <row r="243" spans="1:29" s="279" customFormat="1" ht="18" hidden="1" customHeight="1">
      <c r="A243" s="184"/>
      <c r="B243" s="30"/>
      <c r="C243" s="30"/>
      <c r="D243" s="30"/>
      <c r="E243" s="30"/>
      <c r="F243" s="30"/>
      <c r="G243" s="30"/>
      <c r="H243" s="30"/>
      <c r="I243" s="30"/>
      <c r="J243" s="30"/>
      <c r="K243" s="30"/>
      <c r="L243" s="28"/>
      <c r="M243" s="28"/>
      <c r="N243" s="28"/>
      <c r="O243" s="28"/>
      <c r="P243" s="28"/>
      <c r="Q243" s="218"/>
      <c r="R243" s="28"/>
      <c r="S243" s="28"/>
      <c r="T243" s="14"/>
      <c r="U243" s="28"/>
      <c r="V243" s="97"/>
    </row>
    <row r="244" spans="1:29" s="279" customFormat="1" ht="18" hidden="1" customHeight="1">
      <c r="A244" s="184"/>
      <c r="B244" s="30"/>
      <c r="C244" s="30"/>
      <c r="D244" s="30"/>
      <c r="E244" s="244"/>
      <c r="F244" s="30"/>
      <c r="G244" s="18"/>
      <c r="H244" s="30"/>
      <c r="I244" s="30"/>
      <c r="J244" s="30"/>
      <c r="K244" s="30"/>
      <c r="L244" s="14"/>
      <c r="M244" s="14"/>
      <c r="N244" s="28"/>
      <c r="O244" s="257"/>
      <c r="P244" s="14"/>
      <c r="Q244" s="14"/>
      <c r="R244" s="120"/>
      <c r="S244" s="28"/>
      <c r="T244" s="47"/>
      <c r="U244" s="14"/>
      <c r="V244" s="97"/>
    </row>
    <row r="245" spans="1:29" s="279" customFormat="1" ht="18" hidden="1" customHeight="1">
      <c r="A245" s="193"/>
      <c r="B245" s="14"/>
      <c r="C245" s="27"/>
      <c r="D245" s="218"/>
      <c r="E245" s="204"/>
      <c r="F245" s="14"/>
      <c r="G245" s="14"/>
      <c r="H245" s="14"/>
      <c r="I245" s="14"/>
      <c r="J245" s="120"/>
      <c r="K245" s="120"/>
      <c r="L245" s="14"/>
      <c r="M245" s="14"/>
      <c r="N245" s="28"/>
      <c r="O245" s="257"/>
      <c r="P245" s="14"/>
      <c r="Q245" s="14"/>
      <c r="R245" s="120"/>
      <c r="S245" s="28"/>
      <c r="T245" s="47"/>
      <c r="U245" s="14"/>
      <c r="V245" s="97"/>
    </row>
    <row r="246" spans="1:29" s="279" customFormat="1" ht="18" hidden="1" customHeight="1">
      <c r="A246" s="193"/>
      <c r="B246" s="14"/>
      <c r="C246" s="27"/>
      <c r="D246" s="218"/>
      <c r="E246" s="204"/>
      <c r="F246" s="14"/>
      <c r="G246" s="14"/>
      <c r="H246" s="14"/>
      <c r="I246" s="14"/>
      <c r="J246" s="120"/>
      <c r="K246" s="120"/>
      <c r="L246" s="14"/>
      <c r="M246" s="14"/>
      <c r="N246" s="28"/>
      <c r="O246" s="257"/>
      <c r="P246" s="14"/>
      <c r="Q246" s="14"/>
      <c r="R246" s="120"/>
      <c r="S246" s="28"/>
      <c r="T246" s="47"/>
      <c r="U246" s="14"/>
      <c r="V246" s="97"/>
    </row>
    <row r="247" spans="1:29" s="279" customFormat="1" ht="18" hidden="1" customHeight="1">
      <c r="A247" s="193"/>
      <c r="B247" s="14"/>
      <c r="C247" s="27"/>
      <c r="D247" s="218"/>
      <c r="E247" s="204"/>
      <c r="F247" s="14"/>
      <c r="G247" s="14"/>
      <c r="H247" s="14"/>
      <c r="I247" s="14"/>
      <c r="J247" s="120"/>
      <c r="K247" s="120"/>
      <c r="L247" s="14"/>
      <c r="M247" s="14"/>
      <c r="N247" s="28"/>
      <c r="O247" s="257"/>
      <c r="P247" s="14"/>
      <c r="Q247" s="14"/>
      <c r="R247" s="120"/>
      <c r="S247" s="28"/>
      <c r="T247" s="47"/>
      <c r="U247" s="14"/>
      <c r="V247" s="97"/>
    </row>
    <row r="248" spans="1:29" s="14" customFormat="1" ht="18" hidden="1" customHeight="1">
      <c r="A248" s="194"/>
      <c r="B248" s="195"/>
      <c r="C248" s="195"/>
      <c r="D248" s="195"/>
      <c r="E248" s="195"/>
      <c r="F248" s="195"/>
      <c r="G248" s="195"/>
      <c r="H248" s="195"/>
      <c r="I248" s="195"/>
      <c r="J248" s="195"/>
      <c r="K248" s="195"/>
      <c r="L248" s="195"/>
      <c r="M248" s="195"/>
      <c r="N248" s="195"/>
      <c r="O248" s="195"/>
      <c r="P248" s="195"/>
      <c r="Q248" s="224"/>
      <c r="R248" s="182"/>
      <c r="S248" s="225"/>
      <c r="T248" s="195"/>
      <c r="U248" s="195"/>
      <c r="V248" s="134"/>
    </row>
    <row r="249" spans="1:29" ht="18" hidden="1" customHeight="1">
      <c r="A249" s="226"/>
      <c r="B249" s="227"/>
      <c r="C249" s="227"/>
      <c r="D249" s="227"/>
      <c r="E249" s="227"/>
      <c r="F249" s="227"/>
      <c r="G249" s="227"/>
      <c r="H249" s="227"/>
      <c r="I249" s="227"/>
      <c r="J249" s="227"/>
      <c r="K249" s="227"/>
      <c r="L249" s="227"/>
      <c r="M249" s="227"/>
      <c r="N249" s="227"/>
      <c r="O249" s="227"/>
      <c r="P249" s="227"/>
      <c r="Q249" s="227"/>
      <c r="R249" s="227"/>
      <c r="S249" s="227"/>
      <c r="T249" s="227"/>
      <c r="U249" s="227"/>
      <c r="V249" s="228"/>
    </row>
    <row r="250" spans="1:29" ht="18" hidden="1" customHeight="1">
      <c r="A250" s="184"/>
      <c r="B250" s="854" t="str">
        <f>B127</f>
        <v>T1</v>
      </c>
      <c r="C250" s="831"/>
      <c r="D250" s="855" t="str">
        <f>D127</f>
        <v>Core2</v>
      </c>
      <c r="E250" s="856"/>
      <c r="F250" s="1319">
        <f>F127</f>
        <v>0</v>
      </c>
      <c r="G250" s="1319"/>
      <c r="H250" s="689">
        <f>H127</f>
        <v>0</v>
      </c>
      <c r="I250" s="689"/>
      <c r="J250" s="689"/>
      <c r="K250" s="689"/>
      <c r="L250" s="689"/>
      <c r="M250" s="689"/>
      <c r="P250" s="186"/>
      <c r="S250" s="187" t="s">
        <v>387</v>
      </c>
      <c r="T250" s="854" t="str">
        <f>T127</f>
        <v>P545</v>
      </c>
      <c r="U250" s="831"/>
      <c r="V250" s="185"/>
    </row>
    <row r="251" spans="1:29" ht="18" hidden="1" customHeight="1">
      <c r="A251" s="184"/>
      <c r="B251" s="853">
        <f>B128</f>
        <v>0</v>
      </c>
      <c r="C251" s="853"/>
      <c r="D251" s="857"/>
      <c r="E251" s="858"/>
      <c r="F251" s="455"/>
      <c r="T251" s="854">
        <f>T128</f>
        <v>0</v>
      </c>
      <c r="U251" s="831"/>
      <c r="V251" s="185"/>
    </row>
    <row r="252" spans="1:29" ht="18" hidden="1" customHeight="1">
      <c r="A252" s="184"/>
      <c r="H252" s="708" t="s">
        <v>390</v>
      </c>
      <c r="I252" s="708"/>
      <c r="J252" s="708" t="s">
        <v>391</v>
      </c>
      <c r="K252" s="708"/>
      <c r="L252" s="789" t="s">
        <v>392</v>
      </c>
      <c r="M252" s="789"/>
      <c r="T252" s="854">
        <f>T129</f>
        <v>0</v>
      </c>
      <c r="U252" s="831"/>
      <c r="V252" s="185"/>
    </row>
    <row r="253" spans="1:29" ht="18" hidden="1" customHeight="1">
      <c r="A253" s="184"/>
      <c r="B253" s="47" t="s">
        <v>393</v>
      </c>
      <c r="H253" s="854">
        <f>H130</f>
        <v>2500</v>
      </c>
      <c r="I253" s="831"/>
      <c r="J253" s="854" t="str">
        <f>J130</f>
        <v>-</v>
      </c>
      <c r="K253" s="831"/>
      <c r="L253" s="863" t="str">
        <f>L130</f>
        <v>-</v>
      </c>
      <c r="M253" s="864"/>
      <c r="N253" s="191" t="s">
        <v>342</v>
      </c>
      <c r="O253" s="256">
        <f>O130</f>
        <v>1</v>
      </c>
      <c r="P253" s="27" t="s">
        <v>8</v>
      </c>
      <c r="V253" s="185"/>
    </row>
    <row r="254" spans="1:29" ht="18" hidden="1" customHeight="1">
      <c r="A254" s="184"/>
      <c r="B254" s="47" t="s">
        <v>394</v>
      </c>
      <c r="L254" s="854" t="str">
        <f>J131</f>
        <v>PX-A</v>
      </c>
      <c r="M254" s="831"/>
      <c r="V254" s="185"/>
    </row>
    <row r="255" spans="1:29" ht="18" hidden="1" customHeight="1">
      <c r="A255" s="184"/>
      <c r="B255" s="47" t="s">
        <v>396</v>
      </c>
      <c r="K255" s="120" t="s">
        <v>497</v>
      </c>
      <c r="L255" s="1075" t="s">
        <v>6</v>
      </c>
      <c r="M255" s="1076"/>
      <c r="N255" s="192" t="s">
        <v>333</v>
      </c>
      <c r="V255" s="185"/>
    </row>
    <row r="256" spans="1:29" ht="18" hidden="1" customHeight="1">
      <c r="A256" s="184"/>
      <c r="B256" s="47" t="s">
        <v>398</v>
      </c>
      <c r="K256" s="120" t="s">
        <v>498</v>
      </c>
      <c r="L256" s="1075" t="s">
        <v>6</v>
      </c>
      <c r="M256" s="1076"/>
      <c r="N256" s="14" t="s">
        <v>305</v>
      </c>
      <c r="V256" s="185"/>
      <c r="W256" s="30" t="s">
        <v>400</v>
      </c>
      <c r="AB256" s="785" t="e">
        <f>M366</f>
        <v>#VALUE!</v>
      </c>
      <c r="AC256" s="786"/>
    </row>
    <row r="257" spans="1:22" ht="18" hidden="1" customHeight="1">
      <c r="A257" s="184"/>
      <c r="B257" s="14" t="s">
        <v>401</v>
      </c>
      <c r="K257" s="120" t="s">
        <v>402</v>
      </c>
      <c r="L257" s="1075" t="s">
        <v>6</v>
      </c>
      <c r="M257" s="1076"/>
      <c r="N257" s="14" t="s">
        <v>403</v>
      </c>
      <c r="V257" s="185"/>
    </row>
    <row r="258" spans="1:22" ht="18" hidden="1" customHeight="1">
      <c r="A258" s="184"/>
      <c r="V258" s="185"/>
    </row>
    <row r="259" spans="1:22" ht="18" hidden="1" customHeight="1">
      <c r="A259" s="193" t="s">
        <v>404</v>
      </c>
      <c r="V259" s="185"/>
    </row>
    <row r="260" spans="1:22" ht="18" hidden="1" customHeight="1">
      <c r="A260" s="184"/>
      <c r="V260" s="185"/>
    </row>
    <row r="261" spans="1:22" ht="18" hidden="1" customHeight="1">
      <c r="A261" s="184"/>
      <c r="B261" s="194" t="s">
        <v>405</v>
      </c>
      <c r="C261" s="195"/>
      <c r="D261" s="195" t="str">
        <f>T250</f>
        <v>P545</v>
      </c>
      <c r="E261" s="196"/>
      <c r="F261" s="196"/>
      <c r="G261" s="196"/>
      <c r="H261" s="182" t="s">
        <v>406</v>
      </c>
      <c r="I261" s="183" t="s">
        <v>127</v>
      </c>
      <c r="J261" s="766">
        <f>J138</f>
        <v>0.02</v>
      </c>
      <c r="K261" s="958"/>
      <c r="L261" s="202" t="s">
        <v>157</v>
      </c>
      <c r="V261" s="185"/>
    </row>
    <row r="262" spans="1:22" ht="18" hidden="1" customHeight="1">
      <c r="A262" s="184"/>
      <c r="B262" s="184" t="s">
        <v>405</v>
      </c>
      <c r="D262" s="296">
        <f>T251</f>
        <v>0</v>
      </c>
      <c r="I262" s="28" t="s">
        <v>127</v>
      </c>
      <c r="J262" s="766">
        <f>J139</f>
        <v>0</v>
      </c>
      <c r="K262" s="819"/>
      <c r="L262" s="297" t="s">
        <v>157</v>
      </c>
      <c r="V262" s="185"/>
    </row>
    <row r="263" spans="1:22" ht="18" hidden="1" customHeight="1">
      <c r="A263" s="184"/>
      <c r="B263" s="184" t="s">
        <v>405</v>
      </c>
      <c r="D263" s="296">
        <f>T252</f>
        <v>0</v>
      </c>
      <c r="E263" s="14"/>
      <c r="G263" s="199"/>
      <c r="H263" s="27"/>
      <c r="I263" s="101" t="s">
        <v>127</v>
      </c>
      <c r="J263" s="696">
        <f>J140</f>
        <v>0</v>
      </c>
      <c r="K263" s="1037"/>
      <c r="L263" s="426" t="s">
        <v>157</v>
      </c>
      <c r="V263" s="185"/>
    </row>
    <row r="264" spans="1:22" ht="18" hidden="1" customHeight="1">
      <c r="A264" s="184"/>
      <c r="B264" s="184" t="s">
        <v>412</v>
      </c>
      <c r="H264" s="27"/>
      <c r="I264" s="177" t="s">
        <v>127</v>
      </c>
      <c r="J264" s="861">
        <f>J141</f>
        <v>1.0770224400000001</v>
      </c>
      <c r="K264" s="1217"/>
      <c r="L264" s="426" t="s">
        <v>157</v>
      </c>
      <c r="V264" s="185"/>
    </row>
    <row r="265" spans="1:22" ht="18" hidden="1" customHeight="1">
      <c r="A265" s="184"/>
      <c r="B265" s="205" t="s">
        <v>413</v>
      </c>
      <c r="C265" s="206"/>
      <c r="D265" s="206"/>
      <c r="E265" s="206"/>
      <c r="F265" s="207"/>
      <c r="G265" s="207"/>
      <c r="H265" s="190" t="s">
        <v>409</v>
      </c>
      <c r="I265" s="208" t="s">
        <v>127</v>
      </c>
      <c r="J265" s="766">
        <f>SUM(J262:K264)</f>
        <v>1.0770224400000001</v>
      </c>
      <c r="K265" s="819"/>
      <c r="L265" s="428" t="s">
        <v>157</v>
      </c>
      <c r="V265" s="185"/>
    </row>
    <row r="266" spans="1:22" ht="18" hidden="1" customHeight="1">
      <c r="A266" s="184"/>
      <c r="B266" s="47"/>
      <c r="C266" s="47"/>
      <c r="D266" s="47"/>
      <c r="E266" s="47"/>
      <c r="H266" s="27"/>
      <c r="I266" s="28"/>
      <c r="J266" s="199"/>
      <c r="L266" s="47"/>
      <c r="O266" s="27"/>
      <c r="P266" s="211"/>
      <c r="Q266" s="211"/>
      <c r="R266" s="192"/>
      <c r="V266" s="185"/>
    </row>
    <row r="267" spans="1:22" ht="18" hidden="1" customHeight="1">
      <c r="A267" s="184"/>
      <c r="B267" s="197" t="s">
        <v>648</v>
      </c>
      <c r="L267" s="47"/>
      <c r="M267" s="197" t="s">
        <v>407</v>
      </c>
      <c r="V267" s="185"/>
    </row>
    <row r="268" spans="1:22" ht="18" hidden="1" customHeight="1">
      <c r="A268" s="184"/>
      <c r="B268" s="245" t="s">
        <v>649</v>
      </c>
      <c r="C268" s="245" t="s">
        <v>127</v>
      </c>
      <c r="D268" s="242" t="s">
        <v>406</v>
      </c>
      <c r="E268" s="526" t="s">
        <v>410</v>
      </c>
      <c r="F268" s="245" t="s">
        <v>146</v>
      </c>
      <c r="G268" s="221" t="s">
        <v>315</v>
      </c>
      <c r="H268" s="222" t="s">
        <v>146</v>
      </c>
      <c r="I268" s="242" t="s">
        <v>350</v>
      </c>
      <c r="J268" s="502"/>
      <c r="K268" s="242"/>
      <c r="L268" s="527"/>
      <c r="M268" s="242" t="s">
        <v>408</v>
      </c>
      <c r="N268" s="245" t="s">
        <v>127</v>
      </c>
      <c r="O268" s="242" t="s">
        <v>409</v>
      </c>
      <c r="P268" s="528" t="s">
        <v>410</v>
      </c>
      <c r="Q268" s="523" t="s">
        <v>411</v>
      </c>
      <c r="R268" s="245" t="s">
        <v>315</v>
      </c>
      <c r="S268" s="242" t="s">
        <v>411</v>
      </c>
      <c r="T268" s="242" t="s">
        <v>350</v>
      </c>
      <c r="V268" s="185"/>
    </row>
    <row r="269" spans="1:22" ht="18" hidden="1" customHeight="1">
      <c r="A269" s="184"/>
      <c r="B269" s="527"/>
      <c r="C269" s="245" t="s">
        <v>127</v>
      </c>
      <c r="D269" s="301">
        <f>J261</f>
        <v>0.02</v>
      </c>
      <c r="E269" s="528" t="s">
        <v>410</v>
      </c>
      <c r="F269" s="245">
        <f>F146</f>
        <v>1</v>
      </c>
      <c r="G269" s="245" t="s">
        <v>315</v>
      </c>
      <c r="H269" s="245">
        <f>H146</f>
        <v>1</v>
      </c>
      <c r="I269" s="242" t="s">
        <v>350</v>
      </c>
      <c r="J269" s="502"/>
      <c r="K269" s="242"/>
      <c r="L269" s="527"/>
      <c r="M269" s="242"/>
      <c r="N269" s="245" t="s">
        <v>127</v>
      </c>
      <c r="O269" s="301">
        <f>J265</f>
        <v>1.0770224400000001</v>
      </c>
      <c r="P269" s="528" t="s">
        <v>410</v>
      </c>
      <c r="Q269" s="245">
        <f>O253</f>
        <v>1</v>
      </c>
      <c r="R269" s="245" t="s">
        <v>315</v>
      </c>
      <c r="S269" s="245">
        <f>O253</f>
        <v>1</v>
      </c>
      <c r="T269" s="242" t="s">
        <v>350</v>
      </c>
      <c r="V269" s="185"/>
    </row>
    <row r="270" spans="1:22" ht="18" hidden="1" customHeight="1">
      <c r="A270" s="184"/>
      <c r="B270" s="527"/>
      <c r="C270" s="245" t="s">
        <v>127</v>
      </c>
      <c r="D270" s="1111">
        <f>D269/(F269*H269)</f>
        <v>0.02</v>
      </c>
      <c r="E270" s="1111"/>
      <c r="F270" s="529" t="s">
        <v>333</v>
      </c>
      <c r="G270" s="242"/>
      <c r="H270" s="242"/>
      <c r="I270" s="242"/>
      <c r="J270" s="502"/>
      <c r="K270" s="242"/>
      <c r="L270" s="527"/>
      <c r="M270" s="242"/>
      <c r="N270" s="245" t="s">
        <v>127</v>
      </c>
      <c r="O270" s="1111">
        <f>O269/(Q269*S269)</f>
        <v>1.0770224400000001</v>
      </c>
      <c r="P270" s="1111"/>
      <c r="Q270" s="529" t="s">
        <v>333</v>
      </c>
      <c r="R270" s="242"/>
      <c r="S270" s="242"/>
      <c r="T270" s="242"/>
      <c r="V270" s="185"/>
    </row>
    <row r="271" spans="1:22" ht="18" hidden="1" customHeight="1">
      <c r="A271" s="184"/>
      <c r="B271" s="47"/>
      <c r="C271" s="47"/>
      <c r="D271" s="47"/>
      <c r="E271" s="47"/>
      <c r="H271" s="27"/>
      <c r="I271" s="28"/>
      <c r="J271" s="199"/>
      <c r="L271" s="47"/>
      <c r="O271" s="27"/>
      <c r="P271" s="211"/>
      <c r="Q271" s="211"/>
      <c r="R271" s="192"/>
      <c r="V271" s="185"/>
    </row>
    <row r="272" spans="1:22" ht="18" hidden="1" customHeight="1">
      <c r="A272" s="184"/>
      <c r="B272" s="47" t="s">
        <v>839</v>
      </c>
      <c r="C272" s="47"/>
      <c r="D272" s="47"/>
      <c r="E272" s="47"/>
      <c r="H272" s="27"/>
      <c r="I272" s="28"/>
      <c r="J272" s="199"/>
      <c r="L272" s="28" t="s">
        <v>127</v>
      </c>
      <c r="M272" s="301">
        <f>D270</f>
        <v>0.02</v>
      </c>
      <c r="N272" s="245" t="s">
        <v>347</v>
      </c>
      <c r="O272" s="522">
        <f>O270</f>
        <v>1.0770224400000001</v>
      </c>
      <c r="P272" s="522" t="s">
        <v>127</v>
      </c>
      <c r="Q272" s="522">
        <f>M272+O272</f>
        <v>1.0970224400000002</v>
      </c>
      <c r="R272" s="192" t="s">
        <v>333</v>
      </c>
      <c r="V272" s="185"/>
    </row>
    <row r="273" spans="1:22" ht="18" hidden="1" customHeight="1">
      <c r="A273" s="272"/>
      <c r="V273" s="185"/>
    </row>
    <row r="274" spans="1:22" ht="18" hidden="1" customHeight="1">
      <c r="A274" s="116" t="s">
        <v>414</v>
      </c>
      <c r="B274" s="47"/>
      <c r="D274" s="47"/>
      <c r="E274" s="47"/>
      <c r="H274" s="27"/>
      <c r="I274" s="28"/>
      <c r="J274" s="199"/>
      <c r="L274" s="47"/>
      <c r="M274" s="301"/>
      <c r="N274" s="245"/>
      <c r="O274" s="522"/>
      <c r="P274" s="522"/>
      <c r="Q274" s="522"/>
      <c r="R274" s="192"/>
      <c r="V274" s="185"/>
    </row>
    <row r="275" spans="1:22" ht="18" hidden="1" customHeight="1">
      <c r="A275" s="272" t="s">
        <v>840</v>
      </c>
      <c r="V275" s="185"/>
    </row>
    <row r="276" spans="1:22" ht="18" hidden="1" customHeight="1">
      <c r="A276" s="184"/>
      <c r="B276" s="30" t="s">
        <v>473</v>
      </c>
      <c r="C276" s="27" t="s">
        <v>529</v>
      </c>
      <c r="D276" s="27" t="s">
        <v>841</v>
      </c>
      <c r="E276" s="27" t="s">
        <v>315</v>
      </c>
      <c r="F276" s="27" t="s">
        <v>511</v>
      </c>
      <c r="G276" s="27" t="s">
        <v>372</v>
      </c>
      <c r="H276" s="27" t="s">
        <v>420</v>
      </c>
      <c r="I276" s="27" t="s">
        <v>347</v>
      </c>
      <c r="J276" s="27" t="s">
        <v>842</v>
      </c>
      <c r="K276" s="30" t="s">
        <v>350</v>
      </c>
      <c r="U276" s="30" t="s">
        <v>843</v>
      </c>
      <c r="V276" s="185"/>
    </row>
    <row r="277" spans="1:22" ht="18" hidden="1" customHeight="1">
      <c r="A277" s="184"/>
      <c r="V277" s="185"/>
    </row>
    <row r="278" spans="1:22" ht="18" hidden="1" customHeight="1">
      <c r="A278" s="678" t="s">
        <v>844</v>
      </c>
      <c r="B278" s="1207"/>
      <c r="C278" s="1207"/>
      <c r="D278" s="1207"/>
      <c r="E278" s="1207"/>
      <c r="F278" s="1207"/>
      <c r="G278" s="1207"/>
      <c r="H278" s="1207"/>
      <c r="I278" s="1207"/>
      <c r="J278" s="1207"/>
      <c r="K278" s="1207"/>
      <c r="L278" s="1207"/>
      <c r="M278" s="1207"/>
      <c r="N278" s="1207"/>
      <c r="O278" s="1207"/>
      <c r="P278" s="1207"/>
      <c r="Q278" s="1207"/>
      <c r="R278" s="1207"/>
      <c r="S278" s="1207"/>
      <c r="T278" s="1207"/>
      <c r="U278" s="1207"/>
      <c r="V278" s="1208"/>
    </row>
    <row r="279" spans="1:22" ht="18" hidden="1" customHeight="1">
      <c r="A279" s="1209"/>
      <c r="B279" s="1207"/>
      <c r="C279" s="1207"/>
      <c r="D279" s="1207"/>
      <c r="E279" s="1207"/>
      <c r="F279" s="1207"/>
      <c r="G279" s="1207"/>
      <c r="H279" s="1207"/>
      <c r="I279" s="1207"/>
      <c r="J279" s="1207"/>
      <c r="K279" s="1207"/>
      <c r="L279" s="1207"/>
      <c r="M279" s="1207"/>
      <c r="N279" s="1207"/>
      <c r="O279" s="1207"/>
      <c r="P279" s="1207"/>
      <c r="Q279" s="1207"/>
      <c r="R279" s="1207"/>
      <c r="S279" s="1207"/>
      <c r="T279" s="1207"/>
      <c r="U279" s="1207"/>
      <c r="V279" s="1208"/>
    </row>
    <row r="280" spans="1:22" ht="18" hidden="1" customHeight="1">
      <c r="A280" s="683">
        <v>1</v>
      </c>
      <c r="B280" s="1324" t="s">
        <v>845</v>
      </c>
      <c r="C280" s="1324"/>
      <c r="D280" s="1324"/>
      <c r="E280" s="1324"/>
      <c r="F280" s="1324"/>
      <c r="G280" s="1324"/>
      <c r="H280" s="1324"/>
      <c r="I280" s="1324"/>
      <c r="J280" s="1324"/>
      <c r="K280" s="1324"/>
      <c r="L280" s="1324"/>
      <c r="M280" s="1324"/>
      <c r="N280" s="1324"/>
      <c r="O280" s="1324"/>
      <c r="P280" s="1324"/>
      <c r="Q280" s="1324"/>
      <c r="R280" s="1324"/>
      <c r="S280" s="1324"/>
      <c r="T280" s="1324"/>
      <c r="U280" s="1324"/>
      <c r="V280" s="1325"/>
    </row>
    <row r="281" spans="1:22" ht="18" hidden="1" customHeight="1">
      <c r="A281" s="683"/>
      <c r="B281" s="1324"/>
      <c r="C281" s="1324"/>
      <c r="D281" s="1324"/>
      <c r="E281" s="1324"/>
      <c r="F281" s="1324"/>
      <c r="G281" s="1324"/>
      <c r="H281" s="1324"/>
      <c r="I281" s="1324"/>
      <c r="J281" s="1324"/>
      <c r="K281" s="1324"/>
      <c r="L281" s="1324"/>
      <c r="M281" s="1324"/>
      <c r="N281" s="1324"/>
      <c r="O281" s="1324"/>
      <c r="P281" s="1324"/>
      <c r="Q281" s="1324"/>
      <c r="R281" s="1324"/>
      <c r="S281" s="1324"/>
      <c r="T281" s="1324"/>
      <c r="U281" s="1324"/>
      <c r="V281" s="1325"/>
    </row>
    <row r="282" spans="1:22" ht="18" hidden="1" customHeight="1">
      <c r="A282" s="96"/>
      <c r="B282" s="120" t="s">
        <v>846</v>
      </c>
      <c r="C282" s="120" t="s">
        <v>419</v>
      </c>
      <c r="D282" s="689" t="s">
        <v>847</v>
      </c>
      <c r="E282" s="723"/>
      <c r="F282" s="28" t="s">
        <v>315</v>
      </c>
      <c r="G282" s="28" t="s">
        <v>341</v>
      </c>
      <c r="H282" s="47" t="s">
        <v>350</v>
      </c>
      <c r="I282" s="154" t="s">
        <v>699</v>
      </c>
      <c r="J282" s="120" t="s">
        <v>419</v>
      </c>
      <c r="K282" s="221">
        <v>1000</v>
      </c>
      <c r="L282" s="28" t="s">
        <v>315</v>
      </c>
      <c r="M282" s="28" t="s">
        <v>511</v>
      </c>
      <c r="N282" s="47" t="s">
        <v>350</v>
      </c>
      <c r="O282" s="28"/>
      <c r="P282" s="28"/>
      <c r="Q282" s="28"/>
      <c r="R282" s="28"/>
      <c r="S282" s="28"/>
      <c r="T282" s="279"/>
      <c r="U282" s="14" t="s">
        <v>848</v>
      </c>
      <c r="V282" s="97"/>
    </row>
    <row r="283" spans="1:22" ht="18" hidden="1" customHeight="1">
      <c r="A283" s="299"/>
      <c r="B283" s="279"/>
      <c r="C283" s="14" t="s">
        <v>849</v>
      </c>
      <c r="D283" s="279"/>
      <c r="E283" s="279"/>
      <c r="F283" s="279"/>
      <c r="G283" s="279"/>
      <c r="H283" s="279"/>
      <c r="I283" s="279"/>
      <c r="J283" s="279"/>
      <c r="K283" s="279"/>
      <c r="L283" s="279"/>
      <c r="M283" s="28"/>
      <c r="N283" s="28"/>
      <c r="O283" s="28"/>
      <c r="P283" s="28"/>
      <c r="Q283" s="28"/>
      <c r="R283" s="28"/>
      <c r="S283" s="28"/>
      <c r="T283" s="14"/>
      <c r="U283" s="28"/>
      <c r="V283" s="97"/>
    </row>
    <row r="284" spans="1:22" ht="18" hidden="1" customHeight="1">
      <c r="A284" s="299"/>
      <c r="B284" s="279"/>
      <c r="C284" s="14"/>
      <c r="D284" s="28" t="s">
        <v>841</v>
      </c>
      <c r="E284" s="28" t="s">
        <v>529</v>
      </c>
      <c r="F284" s="28">
        <v>40</v>
      </c>
      <c r="G284" s="28" t="s">
        <v>347</v>
      </c>
      <c r="H284" s="221">
        <v>7.0000000000000007E-2</v>
      </c>
      <c r="I284" s="28" t="s">
        <v>672</v>
      </c>
      <c r="J284" s="689" t="s">
        <v>847</v>
      </c>
      <c r="K284" s="723"/>
      <c r="L284" s="28" t="s">
        <v>315</v>
      </c>
      <c r="M284" s="28" t="s">
        <v>341</v>
      </c>
      <c r="N284" s="47" t="s">
        <v>350</v>
      </c>
      <c r="O284" s="28"/>
      <c r="P284" s="28"/>
      <c r="Q284" s="28"/>
      <c r="R284" s="28"/>
      <c r="S284" s="28"/>
      <c r="T284" s="14"/>
      <c r="U284" s="28"/>
      <c r="V284" s="97"/>
    </row>
    <row r="285" spans="1:22" ht="18" hidden="1" customHeight="1">
      <c r="A285" s="325"/>
      <c r="B285" s="28"/>
      <c r="C285" s="28" t="s">
        <v>850</v>
      </c>
      <c r="D285" s="28" t="s">
        <v>841</v>
      </c>
      <c r="E285" s="28" t="s">
        <v>529</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194"/>
      <c r="B292" s="195"/>
      <c r="C292" s="195"/>
      <c r="D292" s="195"/>
      <c r="E292" s="195"/>
      <c r="F292" s="195"/>
      <c r="G292" s="195"/>
      <c r="H292" s="195"/>
      <c r="I292" s="195"/>
      <c r="J292" s="195"/>
      <c r="K292" s="195"/>
      <c r="L292" s="195"/>
      <c r="M292" s="195"/>
      <c r="N292" s="195"/>
      <c r="O292" s="195"/>
      <c r="P292" s="195"/>
      <c r="Q292" s="224"/>
      <c r="R292" s="182"/>
      <c r="S292" s="225"/>
      <c r="T292" s="195"/>
      <c r="U292" s="195"/>
      <c r="V292" s="134"/>
    </row>
    <row r="293" spans="1:22" ht="18" hidden="1" customHeight="1">
      <c r="A293" s="226"/>
      <c r="B293" s="227"/>
      <c r="C293" s="227"/>
      <c r="D293" s="227"/>
      <c r="E293" s="227"/>
      <c r="F293" s="227"/>
      <c r="G293" s="227"/>
      <c r="H293" s="227"/>
      <c r="I293" s="227"/>
      <c r="J293" s="227"/>
      <c r="K293" s="227"/>
      <c r="L293" s="227"/>
      <c r="M293" s="227"/>
      <c r="N293" s="227"/>
      <c r="O293" s="227"/>
      <c r="P293" s="227"/>
      <c r="Q293" s="227"/>
      <c r="R293" s="227"/>
      <c r="S293" s="227"/>
      <c r="T293" s="227"/>
      <c r="U293" s="227"/>
      <c r="V293" s="228"/>
    </row>
    <row r="294" spans="1:22" ht="18" hidden="1" customHeight="1">
      <c r="A294" s="325"/>
      <c r="B294" s="120" t="s">
        <v>846</v>
      </c>
      <c r="C294" s="120" t="s">
        <v>419</v>
      </c>
      <c r="D294" s="221">
        <v>1000</v>
      </c>
      <c r="E294" s="28" t="s">
        <v>315</v>
      </c>
      <c r="F294" s="28" t="s">
        <v>511</v>
      </c>
      <c r="G294" s="47" t="s">
        <v>350</v>
      </c>
      <c r="H294" s="28" t="s">
        <v>851</v>
      </c>
      <c r="I294" s="120" t="s">
        <v>419</v>
      </c>
      <c r="J294" s="689" t="s">
        <v>847</v>
      </c>
      <c r="K294" s="723"/>
      <c r="L294" s="28" t="s">
        <v>315</v>
      </c>
      <c r="M294" s="28" t="s">
        <v>341</v>
      </c>
      <c r="N294" s="47" t="s">
        <v>350</v>
      </c>
      <c r="O294" s="154" t="s">
        <v>699</v>
      </c>
      <c r="P294" s="120" t="s">
        <v>419</v>
      </c>
      <c r="Q294" s="221">
        <v>2600</v>
      </c>
      <c r="R294" s="28" t="s">
        <v>315</v>
      </c>
      <c r="S294" s="28" t="s">
        <v>511</v>
      </c>
      <c r="T294" s="47" t="s">
        <v>350</v>
      </c>
      <c r="U294" s="14" t="s">
        <v>587</v>
      </c>
      <c r="V294" s="97"/>
    </row>
    <row r="295" spans="1:22" ht="18" hidden="1" customHeight="1">
      <c r="A295" s="325"/>
      <c r="B295" s="28" t="s">
        <v>841</v>
      </c>
      <c r="C295" s="28" t="s">
        <v>127</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84"/>
      <c r="V296" s="185"/>
    </row>
    <row r="297" spans="1:22" ht="18" hidden="1" customHeight="1">
      <c r="A297" s="683">
        <v>2</v>
      </c>
      <c r="B297" s="1324" t="s">
        <v>852</v>
      </c>
      <c r="C297" s="1324"/>
      <c r="D297" s="1324"/>
      <c r="E297" s="1324"/>
      <c r="F297" s="1324"/>
      <c r="G297" s="1324"/>
      <c r="H297" s="1324"/>
      <c r="I297" s="1324"/>
      <c r="J297" s="1324"/>
      <c r="K297" s="1324"/>
      <c r="L297" s="1324"/>
      <c r="M297" s="1324"/>
      <c r="N297" s="1324"/>
      <c r="O297" s="1324"/>
      <c r="P297" s="1324"/>
      <c r="Q297" s="1324"/>
      <c r="R297" s="1324"/>
      <c r="S297" s="1324"/>
      <c r="T297" s="1324"/>
      <c r="U297" s="1324"/>
      <c r="V297" s="1325"/>
    </row>
    <row r="298" spans="1:22" ht="18" hidden="1" customHeight="1">
      <c r="A298" s="683"/>
      <c r="B298" s="1324"/>
      <c r="C298" s="1324"/>
      <c r="D298" s="1324"/>
      <c r="E298" s="1324"/>
      <c r="F298" s="1324"/>
      <c r="G298" s="1324"/>
      <c r="H298" s="1324"/>
      <c r="I298" s="1324"/>
      <c r="J298" s="1324"/>
      <c r="K298" s="1324"/>
      <c r="L298" s="1324"/>
      <c r="M298" s="1324"/>
      <c r="N298" s="1324"/>
      <c r="O298" s="1324"/>
      <c r="P298" s="1324"/>
      <c r="Q298" s="1324"/>
      <c r="R298" s="1324"/>
      <c r="S298" s="1324"/>
      <c r="T298" s="1324"/>
      <c r="U298" s="1324"/>
      <c r="V298" s="1325"/>
    </row>
    <row r="299" spans="1:22" ht="18" hidden="1" customHeight="1">
      <c r="A299" s="272"/>
      <c r="B299" s="120" t="s">
        <v>846</v>
      </c>
      <c r="C299" s="120" t="s">
        <v>419</v>
      </c>
      <c r="D299" s="689" t="s">
        <v>847</v>
      </c>
      <c r="E299" s="723"/>
      <c r="F299" s="28" t="s">
        <v>315</v>
      </c>
      <c r="G299" s="28" t="s">
        <v>341</v>
      </c>
      <c r="H299" s="47" t="s">
        <v>350</v>
      </c>
      <c r="I299" s="154" t="s">
        <v>699</v>
      </c>
      <c r="J299" s="120" t="s">
        <v>419</v>
      </c>
      <c r="K299" s="221">
        <v>600</v>
      </c>
      <c r="L299" s="28" t="s">
        <v>315</v>
      </c>
      <c r="M299" s="28" t="s">
        <v>511</v>
      </c>
      <c r="N299" s="47" t="s">
        <v>350</v>
      </c>
      <c r="O299" s="28"/>
      <c r="P299" s="28"/>
      <c r="Q299" s="28"/>
      <c r="R299" s="28"/>
      <c r="S299" s="28"/>
      <c r="T299" s="279"/>
      <c r="U299" s="14" t="s">
        <v>853</v>
      </c>
      <c r="V299" s="97"/>
    </row>
    <row r="300" spans="1:22" ht="18" hidden="1" customHeight="1">
      <c r="A300" s="272"/>
      <c r="B300" s="279"/>
      <c r="C300" s="14" t="s">
        <v>849</v>
      </c>
      <c r="D300" s="279"/>
      <c r="E300" s="279"/>
      <c r="F300" s="279"/>
      <c r="G300" s="279"/>
      <c r="H300" s="279"/>
      <c r="I300" s="279"/>
      <c r="J300" s="279"/>
      <c r="K300" s="279"/>
      <c r="L300" s="279"/>
      <c r="M300" s="28"/>
      <c r="N300" s="28"/>
      <c r="O300" s="28"/>
      <c r="P300" s="28"/>
      <c r="Q300" s="28"/>
      <c r="R300" s="28"/>
      <c r="S300" s="28"/>
      <c r="T300" s="14"/>
      <c r="U300" s="28"/>
      <c r="V300" s="97"/>
    </row>
    <row r="301" spans="1:22" ht="18" hidden="1" customHeight="1">
      <c r="A301" s="272"/>
      <c r="B301" s="279"/>
      <c r="C301" s="14"/>
      <c r="D301" s="28" t="s">
        <v>841</v>
      </c>
      <c r="E301" s="28" t="s">
        <v>529</v>
      </c>
      <c r="F301" s="28">
        <v>40</v>
      </c>
      <c r="G301" s="28" t="s">
        <v>347</v>
      </c>
      <c r="H301" s="221">
        <v>0.35</v>
      </c>
      <c r="I301" s="28" t="s">
        <v>672</v>
      </c>
      <c r="J301" s="689" t="s">
        <v>847</v>
      </c>
      <c r="K301" s="723"/>
      <c r="L301" s="28" t="s">
        <v>315</v>
      </c>
      <c r="M301" s="28" t="s">
        <v>341</v>
      </c>
      <c r="N301" s="47" t="s">
        <v>350</v>
      </c>
      <c r="O301" s="28"/>
      <c r="P301" s="28"/>
      <c r="Q301" s="28"/>
      <c r="R301" s="28"/>
      <c r="S301" s="28"/>
      <c r="T301" s="14"/>
      <c r="U301" s="28"/>
      <c r="V301" s="97"/>
    </row>
    <row r="302" spans="1:22" ht="18" hidden="1" customHeight="1">
      <c r="A302" s="272"/>
      <c r="B302" s="28"/>
      <c r="C302" s="28" t="s">
        <v>850</v>
      </c>
      <c r="D302" s="28" t="s">
        <v>841</v>
      </c>
      <c r="E302" s="28" t="s">
        <v>529</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35"/>
      <c r="E303" s="14"/>
      <c r="F303" s="28"/>
      <c r="G303" s="249"/>
      <c r="H303" s="28"/>
      <c r="I303" s="251"/>
      <c r="J303" s="14"/>
      <c r="K303" s="280"/>
      <c r="M303" s="47"/>
      <c r="N303" s="268"/>
      <c r="P303" s="281"/>
      <c r="R303" s="234"/>
      <c r="S303" s="531"/>
      <c r="T303" s="531"/>
      <c r="V303" s="185"/>
    </row>
    <row r="304" spans="1:22" ht="18" hidden="1" customHeight="1">
      <c r="A304" s="96"/>
      <c r="B304" s="120" t="s">
        <v>846</v>
      </c>
      <c r="C304" s="120" t="s">
        <v>419</v>
      </c>
      <c r="D304" s="221">
        <v>600</v>
      </c>
      <c r="E304" s="28" t="s">
        <v>315</v>
      </c>
      <c r="F304" s="28" t="s">
        <v>511</v>
      </c>
      <c r="G304" s="47" t="s">
        <v>350</v>
      </c>
      <c r="H304" s="28" t="s">
        <v>851</v>
      </c>
      <c r="I304" s="120" t="s">
        <v>419</v>
      </c>
      <c r="J304" s="689" t="s">
        <v>847</v>
      </c>
      <c r="K304" s="723"/>
      <c r="L304" s="28" t="s">
        <v>315</v>
      </c>
      <c r="M304" s="28" t="s">
        <v>341</v>
      </c>
      <c r="N304" s="47" t="s">
        <v>350</v>
      </c>
      <c r="O304" s="154" t="s">
        <v>699</v>
      </c>
      <c r="P304" s="120" t="s">
        <v>419</v>
      </c>
      <c r="Q304" s="221">
        <v>1600</v>
      </c>
      <c r="R304" s="28" t="s">
        <v>315</v>
      </c>
      <c r="S304" s="28" t="s">
        <v>511</v>
      </c>
      <c r="T304" s="47" t="s">
        <v>350</v>
      </c>
      <c r="U304" s="14" t="s">
        <v>854</v>
      </c>
      <c r="V304" s="97"/>
    </row>
    <row r="305" spans="1:22" ht="18" hidden="1" customHeight="1">
      <c r="A305" s="272"/>
      <c r="B305" s="28" t="s">
        <v>841</v>
      </c>
      <c r="C305" s="28" t="s">
        <v>127</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72"/>
      <c r="U306" s="14"/>
      <c r="V306" s="97"/>
    </row>
    <row r="307" spans="1:22" ht="18" hidden="1" customHeight="1">
      <c r="A307" s="524"/>
      <c r="B307" s="30" t="s">
        <v>855</v>
      </c>
      <c r="Q307" s="14" t="s">
        <v>617</v>
      </c>
      <c r="S307" s="234" t="s">
        <v>127</v>
      </c>
      <c r="T307" s="684">
        <f>T178</f>
        <v>50000</v>
      </c>
      <c r="U307" s="684"/>
      <c r="V307" s="185" t="s">
        <v>8</v>
      </c>
    </row>
    <row r="308" spans="1:22" ht="18" hidden="1" customHeight="1">
      <c r="A308" s="524"/>
      <c r="B308" s="47" t="s">
        <v>654</v>
      </c>
      <c r="C308" s="14"/>
      <c r="D308" s="14"/>
      <c r="E308" s="14"/>
      <c r="F308" s="14"/>
      <c r="G308" s="18"/>
      <c r="H308" s="18"/>
      <c r="I308" s="14"/>
      <c r="J308" s="120"/>
      <c r="K308" s="14"/>
      <c r="L308" s="14"/>
      <c r="N308" s="14"/>
      <c r="O308" s="14"/>
      <c r="Q308" s="14" t="s">
        <v>423</v>
      </c>
      <c r="S308" s="234" t="s">
        <v>127</v>
      </c>
      <c r="T308" s="684" t="str">
        <f>L253</f>
        <v>-</v>
      </c>
      <c r="U308" s="684"/>
      <c r="V308" s="185" t="s">
        <v>8</v>
      </c>
    </row>
    <row r="309" spans="1:22" ht="18" hidden="1" customHeight="1">
      <c r="A309" s="96"/>
      <c r="B309" s="47" t="s">
        <v>856</v>
      </c>
      <c r="C309" s="14"/>
      <c r="D309" s="14"/>
      <c r="E309" s="14"/>
      <c r="F309" s="14"/>
      <c r="G309" s="18"/>
      <c r="H309" s="18"/>
      <c r="I309" s="14"/>
      <c r="J309" s="120"/>
      <c r="K309" s="14"/>
      <c r="L309" s="14"/>
      <c r="N309" s="14"/>
      <c r="O309" s="14"/>
      <c r="Q309" s="14" t="s">
        <v>847</v>
      </c>
      <c r="S309" s="234" t="s">
        <v>127</v>
      </c>
      <c r="T309" s="795" t="e">
        <f>T307/T308</f>
        <v>#VALUE!</v>
      </c>
      <c r="U309" s="795"/>
      <c r="V309" s="185" t="s">
        <v>8</v>
      </c>
    </row>
    <row r="310" spans="1:22" ht="18" hidden="1" customHeight="1">
      <c r="A310" s="96"/>
      <c r="B310" s="47" t="s">
        <v>655</v>
      </c>
      <c r="C310" s="14"/>
      <c r="D310" s="14"/>
      <c r="E310" s="14"/>
      <c r="F310" s="14"/>
      <c r="G310" s="18"/>
      <c r="H310" s="18"/>
      <c r="I310" s="14"/>
      <c r="J310" s="120"/>
      <c r="K310" s="14"/>
      <c r="L310" s="14"/>
      <c r="N310" s="14"/>
      <c r="O310" s="14"/>
      <c r="Q310" s="14" t="s">
        <v>420</v>
      </c>
      <c r="S310" s="234" t="s">
        <v>127</v>
      </c>
      <c r="T310" s="684" t="str">
        <f>L255</f>
        <v>-</v>
      </c>
      <c r="U310" s="684"/>
      <c r="V310" s="532" t="s">
        <v>333</v>
      </c>
    </row>
    <row r="311" spans="1:22" ht="18" hidden="1" customHeight="1">
      <c r="A311" s="96"/>
      <c r="B311" s="47" t="s">
        <v>676</v>
      </c>
      <c r="C311" s="14"/>
      <c r="D311" s="14"/>
      <c r="E311" s="14"/>
      <c r="F311" s="14"/>
      <c r="G311" s="18"/>
      <c r="H311" s="18"/>
      <c r="I311" s="14"/>
      <c r="J311" s="120"/>
      <c r="K311" s="14"/>
      <c r="L311" s="14"/>
      <c r="N311" s="14"/>
      <c r="O311" s="14"/>
      <c r="Q311" s="14" t="s">
        <v>842</v>
      </c>
      <c r="S311" s="234" t="s">
        <v>127</v>
      </c>
      <c r="T311" s="795">
        <f>Q272</f>
        <v>1.0970224400000002</v>
      </c>
      <c r="U311" s="795"/>
      <c r="V311" s="532" t="s">
        <v>333</v>
      </c>
    </row>
    <row r="312" spans="1:22" ht="18" hidden="1" customHeight="1">
      <c r="A312" s="96"/>
      <c r="B312" s="47" t="s">
        <v>691</v>
      </c>
      <c r="C312" s="14"/>
      <c r="D312" s="14"/>
      <c r="E312" s="14"/>
      <c r="F312" s="14"/>
      <c r="G312" s="14"/>
      <c r="H312" s="14"/>
      <c r="I312" s="14"/>
      <c r="J312" s="120"/>
      <c r="K312" s="14"/>
      <c r="L312" s="14"/>
      <c r="N312" s="14"/>
      <c r="O312" s="14"/>
      <c r="Q312" s="14" t="s">
        <v>511</v>
      </c>
      <c r="S312" s="234" t="s">
        <v>127</v>
      </c>
      <c r="T312" s="684">
        <f>O253</f>
        <v>1</v>
      </c>
      <c r="U312" s="684"/>
      <c r="V312" s="185" t="s">
        <v>8</v>
      </c>
    </row>
    <row r="313" spans="1:22" ht="18" hidden="1" customHeight="1">
      <c r="A313" s="96"/>
      <c r="B313" s="14" t="s">
        <v>857</v>
      </c>
      <c r="C313" s="14"/>
      <c r="D313" s="14"/>
      <c r="E313" s="235"/>
      <c r="F313" s="14"/>
      <c r="G313" s="28"/>
      <c r="H313" s="249"/>
      <c r="I313" s="28"/>
      <c r="J313" s="251"/>
      <c r="K313" s="14"/>
      <c r="L313" s="280"/>
      <c r="N313" s="47"/>
      <c r="O313" s="268"/>
      <c r="Q313" s="281" t="s">
        <v>341</v>
      </c>
      <c r="S313" s="234" t="s">
        <v>127</v>
      </c>
      <c r="T313" s="775">
        <f>T184</f>
        <v>15</v>
      </c>
      <c r="U313" s="776"/>
      <c r="V313" s="185"/>
    </row>
    <row r="314" spans="1:22" ht="18" hidden="1" customHeight="1">
      <c r="A314" s="325"/>
      <c r="B314" s="14" t="s">
        <v>858</v>
      </c>
      <c r="F314" s="14"/>
      <c r="G314" s="154"/>
      <c r="H314" s="102"/>
      <c r="I314" s="28"/>
      <c r="J314" s="27"/>
      <c r="K314" s="14"/>
      <c r="O314" s="47"/>
      <c r="P314" s="14"/>
      <c r="Q314" s="14"/>
      <c r="R314" s="14"/>
      <c r="S314" s="120"/>
      <c r="T314" s="775">
        <f>T185</f>
        <v>150</v>
      </c>
      <c r="U314" s="776"/>
      <c r="V314" s="97" t="s">
        <v>604</v>
      </c>
    </row>
    <row r="315" spans="1:22" ht="18" hidden="1" customHeight="1">
      <c r="A315" s="96"/>
      <c r="B315" s="14"/>
      <c r="Q315" s="14"/>
      <c r="R315" s="14"/>
      <c r="S315" s="120"/>
      <c r="T315" s="18"/>
      <c r="U315" s="18"/>
      <c r="V315" s="97"/>
    </row>
    <row r="316" spans="1:22" ht="18" hidden="1" customHeight="1">
      <c r="A316" s="184"/>
      <c r="B316" s="533" t="s">
        <v>859</v>
      </c>
      <c r="C316" s="533"/>
      <c r="D316" s="247"/>
      <c r="E316" s="247"/>
      <c r="F316" s="459" t="str">
        <f>IF(T314=150,"1 &amp; 2","3 &amp; 4")</f>
        <v>1 &amp; 2</v>
      </c>
      <c r="G316" s="534"/>
      <c r="V316" s="185"/>
    </row>
    <row r="317" spans="1:22" ht="18" hidden="1" customHeight="1">
      <c r="A317" s="524" t="s">
        <v>419</v>
      </c>
      <c r="B317" s="689" t="s">
        <v>847</v>
      </c>
      <c r="C317" s="689"/>
      <c r="D317" s="28" t="s">
        <v>315</v>
      </c>
      <c r="E317" s="28" t="s">
        <v>341</v>
      </c>
      <c r="F317" s="47" t="s">
        <v>350</v>
      </c>
      <c r="G317" s="154" t="s">
        <v>699</v>
      </c>
      <c r="H317" s="120" t="s">
        <v>419</v>
      </c>
      <c r="I317" s="221" t="str">
        <f>IF(T314=150,"1000","600")</f>
        <v>1000</v>
      </c>
      <c r="J317" s="28" t="s">
        <v>315</v>
      </c>
      <c r="K317" s="28" t="s">
        <v>511</v>
      </c>
      <c r="L317" s="47" t="s">
        <v>350</v>
      </c>
      <c r="M317" s="14"/>
      <c r="N317" s="14"/>
      <c r="U317" s="14" t="str">
        <f>IF(T314=150,"...cond.1","…cond.3")</f>
        <v>...cond.1</v>
      </c>
      <c r="V317" s="185"/>
    </row>
    <row r="318" spans="1:22" ht="18" hidden="1" customHeight="1">
      <c r="A318" s="524" t="s">
        <v>419</v>
      </c>
      <c r="B318" s="692" t="e">
        <f>T309</f>
        <v>#VALUE!</v>
      </c>
      <c r="C318" s="692"/>
      <c r="D318" s="28" t="s">
        <v>315</v>
      </c>
      <c r="E318" s="28">
        <f>T313</f>
        <v>15</v>
      </c>
      <c r="F318" s="47" t="s">
        <v>350</v>
      </c>
      <c r="G318" s="154" t="s">
        <v>699</v>
      </c>
      <c r="H318" s="120" t="s">
        <v>419</v>
      </c>
      <c r="I318" s="221" t="str">
        <f>I317</f>
        <v>1000</v>
      </c>
      <c r="J318" s="28" t="s">
        <v>315</v>
      </c>
      <c r="K318" s="28">
        <f>T312</f>
        <v>1</v>
      </c>
      <c r="L318" s="47" t="s">
        <v>350</v>
      </c>
      <c r="M318" s="14"/>
      <c r="N318" s="14"/>
      <c r="U318" s="14"/>
      <c r="V318" s="97"/>
    </row>
    <row r="319" spans="1:22" ht="18" hidden="1" customHeight="1">
      <c r="A319" s="96"/>
      <c r="B319" s="14"/>
      <c r="C319" s="14"/>
      <c r="D319" s="689" t="e">
        <f>B318*E318</f>
        <v>#VALUE!</v>
      </c>
      <c r="E319" s="723"/>
      <c r="F319" s="14"/>
      <c r="G319" s="154" t="s">
        <v>699</v>
      </c>
      <c r="H319" s="102"/>
      <c r="I319" s="689">
        <f>I318*K318</f>
        <v>1000</v>
      </c>
      <c r="J319" s="684"/>
      <c r="K319" s="14"/>
      <c r="O319" s="47"/>
      <c r="P319" s="14"/>
      <c r="Q319" s="14"/>
      <c r="R319" s="14"/>
      <c r="S319" s="120" t="s">
        <v>860</v>
      </c>
      <c r="T319" s="1326" t="e">
        <f>IF(D319&lt;=I319,TRUE,FALSE)</f>
        <v>#VALUE!</v>
      </c>
      <c r="U319" s="1326"/>
      <c r="V319" s="97"/>
    </row>
    <row r="320" spans="1:22" ht="18" hidden="1" customHeight="1">
      <c r="A320" s="184"/>
      <c r="B320" s="28" t="s">
        <v>617</v>
      </c>
      <c r="C320" s="30" t="str">
        <f>IF(T314=150,"…cond.1","…cond.3")</f>
        <v>…cond.1</v>
      </c>
      <c r="E320" s="14" t="s">
        <v>861</v>
      </c>
      <c r="V320" s="185"/>
    </row>
    <row r="321" spans="1:22" ht="18" hidden="1" customHeight="1">
      <c r="A321" s="184"/>
      <c r="V321" s="97"/>
    </row>
    <row r="322" spans="1:22" ht="18" hidden="1" customHeight="1">
      <c r="A322" s="184"/>
      <c r="B322" s="14"/>
      <c r="C322" s="28" t="s">
        <v>841</v>
      </c>
      <c r="D322" s="28" t="s">
        <v>529</v>
      </c>
      <c r="E322" s="28">
        <v>40</v>
      </c>
      <c r="F322" s="28" t="s">
        <v>347</v>
      </c>
      <c r="G322" s="221" t="str">
        <f>IF(T314=150,"0.07","0.35")</f>
        <v>0.07</v>
      </c>
      <c r="H322" s="28" t="s">
        <v>672</v>
      </c>
      <c r="I322" s="689" t="s">
        <v>847</v>
      </c>
      <c r="J322" s="723"/>
      <c r="K322" s="28" t="s">
        <v>315</v>
      </c>
      <c r="L322" s="28" t="s">
        <v>341</v>
      </c>
      <c r="M322" s="47" t="s">
        <v>350</v>
      </c>
      <c r="N322" s="184"/>
      <c r="O322" s="47" t="s">
        <v>862</v>
      </c>
      <c r="P322" s="27"/>
      <c r="Q322" s="28" t="s">
        <v>127</v>
      </c>
      <c r="R322" s="795" t="e">
        <f>MAX(E324,E325)</f>
        <v>#VALUE!</v>
      </c>
      <c r="S322" s="684"/>
      <c r="V322" s="185"/>
    </row>
    <row r="323" spans="1:22" ht="18" hidden="1" customHeight="1">
      <c r="A323" s="184"/>
      <c r="B323" s="14"/>
      <c r="C323" s="28"/>
      <c r="D323" s="28" t="s">
        <v>529</v>
      </c>
      <c r="E323" s="28">
        <v>40</v>
      </c>
      <c r="F323" s="28" t="s">
        <v>347</v>
      </c>
      <c r="G323" s="221" t="str">
        <f>IF(T314=150,"0.07","0.35")</f>
        <v>0.07</v>
      </c>
      <c r="H323" s="28" t="s">
        <v>672</v>
      </c>
      <c r="I323" s="692" t="e">
        <f>T309</f>
        <v>#VALUE!</v>
      </c>
      <c r="J323" s="723"/>
      <c r="K323" s="28" t="s">
        <v>315</v>
      </c>
      <c r="L323" s="28">
        <f>T313</f>
        <v>15</v>
      </c>
      <c r="M323" s="47" t="s">
        <v>350</v>
      </c>
      <c r="N323" s="184"/>
      <c r="V323" s="185"/>
    </row>
    <row r="324" spans="1:22" ht="18" hidden="1" customHeight="1">
      <c r="A324" s="184"/>
      <c r="B324" s="14"/>
      <c r="C324" s="28"/>
      <c r="D324" s="28" t="s">
        <v>529</v>
      </c>
      <c r="E324" s="692" t="e">
        <f>E323+(G323*(I323*L323))</f>
        <v>#VALUE!</v>
      </c>
      <c r="F324" s="692"/>
      <c r="G324" s="221"/>
      <c r="H324" s="28"/>
      <c r="I324" s="218"/>
      <c r="K324" s="28"/>
      <c r="L324" s="28"/>
      <c r="M324" s="47"/>
      <c r="N324" s="184"/>
      <c r="V324" s="185"/>
    </row>
    <row r="325" spans="1:22" ht="18" hidden="1" customHeight="1">
      <c r="A325" s="96"/>
      <c r="B325" s="28" t="s">
        <v>850</v>
      </c>
      <c r="C325" s="28" t="s">
        <v>841</v>
      </c>
      <c r="D325" s="28" t="s">
        <v>127</v>
      </c>
      <c r="E325" s="28">
        <v>65</v>
      </c>
      <c r="G325" s="14"/>
      <c r="H325" s="154"/>
      <c r="I325" s="102"/>
      <c r="J325" s="28"/>
      <c r="K325" s="27"/>
      <c r="L325" s="14"/>
      <c r="N325" s="96"/>
      <c r="O325" s="14"/>
      <c r="Q325" s="14"/>
      <c r="R325" s="14"/>
      <c r="S325" s="14"/>
      <c r="T325" s="14"/>
      <c r="U325" s="14"/>
      <c r="V325" s="97"/>
    </row>
    <row r="326" spans="1:22" ht="18" hidden="1" customHeight="1">
      <c r="A326" s="96"/>
      <c r="B326" s="14"/>
      <c r="F326" s="28"/>
      <c r="I326" s="120"/>
      <c r="J326" s="221"/>
      <c r="K326" s="28"/>
      <c r="L326" s="28"/>
      <c r="M326" s="47"/>
      <c r="N326" s="14"/>
      <c r="O326" s="14"/>
      <c r="Q326" s="14"/>
      <c r="R326" s="14"/>
      <c r="S326" s="14"/>
      <c r="T326" s="14"/>
      <c r="U326" s="14"/>
      <c r="V326" s="97"/>
    </row>
    <row r="327" spans="1:22" ht="18" hidden="1" customHeight="1">
      <c r="A327" s="524" t="s">
        <v>419</v>
      </c>
      <c r="B327" s="221" t="str">
        <f>IF(T314=150,"1000","600")</f>
        <v>1000</v>
      </c>
      <c r="C327" s="28" t="s">
        <v>315</v>
      </c>
      <c r="D327" s="28" t="s">
        <v>511</v>
      </c>
      <c r="E327" s="47" t="s">
        <v>350</v>
      </c>
      <c r="F327" s="28" t="s">
        <v>851</v>
      </c>
      <c r="G327" s="120" t="s">
        <v>419</v>
      </c>
      <c r="H327" s="689" t="s">
        <v>847</v>
      </c>
      <c r="I327" s="723"/>
      <c r="J327" s="28" t="s">
        <v>315</v>
      </c>
      <c r="K327" s="28" t="s">
        <v>341</v>
      </c>
      <c r="L327" s="47" t="s">
        <v>350</v>
      </c>
      <c r="M327" s="154" t="s">
        <v>699</v>
      </c>
      <c r="N327" s="120" t="s">
        <v>419</v>
      </c>
      <c r="O327" s="221" t="str">
        <f>IF(T314=150,"2600","1600")</f>
        <v>2600</v>
      </c>
      <c r="P327" s="28" t="s">
        <v>315</v>
      </c>
      <c r="Q327" s="28" t="s">
        <v>511</v>
      </c>
      <c r="R327" s="47" t="s">
        <v>350</v>
      </c>
      <c r="S327" s="14"/>
      <c r="T327" s="14"/>
      <c r="U327" s="14" t="str">
        <f>IF(T314=150,"...cond.2","…cond.4")</f>
        <v>...cond.2</v>
      </c>
      <c r="V327" s="97"/>
    </row>
    <row r="328" spans="1:22" ht="18" hidden="1" customHeight="1">
      <c r="A328" s="524" t="s">
        <v>419</v>
      </c>
      <c r="B328" s="221" t="str">
        <f>B327</f>
        <v>1000</v>
      </c>
      <c r="C328" s="28" t="s">
        <v>315</v>
      </c>
      <c r="D328" s="28">
        <f>T312</f>
        <v>1</v>
      </c>
      <c r="E328" s="47" t="s">
        <v>350</v>
      </c>
      <c r="F328" s="28" t="s">
        <v>851</v>
      </c>
      <c r="G328" s="120" t="s">
        <v>419</v>
      </c>
      <c r="H328" s="692" t="e">
        <f>T309</f>
        <v>#VALUE!</v>
      </c>
      <c r="I328" s="723"/>
      <c r="J328" s="28" t="s">
        <v>315</v>
      </c>
      <c r="K328" s="28">
        <f>T313</f>
        <v>15</v>
      </c>
      <c r="L328" s="47" t="s">
        <v>350</v>
      </c>
      <c r="M328" s="154" t="s">
        <v>699</v>
      </c>
      <c r="N328" s="120" t="s">
        <v>419</v>
      </c>
      <c r="O328" s="221" t="str">
        <f>O327</f>
        <v>2600</v>
      </c>
      <c r="P328" s="28" t="s">
        <v>315</v>
      </c>
      <c r="Q328" s="28">
        <f>T312</f>
        <v>1</v>
      </c>
      <c r="R328" s="47" t="s">
        <v>350</v>
      </c>
      <c r="S328" s="14"/>
      <c r="T328" s="14"/>
      <c r="U328" s="14"/>
      <c r="V328" s="97"/>
    </row>
    <row r="329" spans="1:22" ht="18" hidden="1" customHeight="1">
      <c r="A329" s="524"/>
      <c r="B329" s="249"/>
      <c r="C329" s="1329">
        <f>B328*D328</f>
        <v>1000</v>
      </c>
      <c r="D329" s="1329"/>
      <c r="E329" s="249"/>
      <c r="F329" s="28" t="s">
        <v>851</v>
      </c>
      <c r="G329" s="14"/>
      <c r="H329" s="14"/>
      <c r="I329" s="716" t="e">
        <f>H328*K328</f>
        <v>#VALUE!</v>
      </c>
      <c r="J329" s="716"/>
      <c r="K329" s="14"/>
      <c r="L329" s="14"/>
      <c r="M329" s="154" t="s">
        <v>699</v>
      </c>
      <c r="N329" s="102"/>
      <c r="O329" s="1286">
        <f>O328*Q328</f>
        <v>2600</v>
      </c>
      <c r="P329" s="723"/>
      <c r="Q329" s="14"/>
      <c r="R329" s="14"/>
      <c r="S329" s="120" t="s">
        <v>860</v>
      </c>
      <c r="T329" s="1326" t="e">
        <f>IF(AND(C329&lt;I329,I329&lt;=O329)=TRUE,TRUE,FALSE)</f>
        <v>#VALUE!</v>
      </c>
      <c r="U329" s="1326"/>
      <c r="V329" s="97"/>
    </row>
    <row r="330" spans="1:22" ht="18" hidden="1" customHeight="1">
      <c r="A330" s="96"/>
      <c r="B330" s="14"/>
      <c r="E330" s="244"/>
      <c r="G330" s="18"/>
      <c r="L330" s="14"/>
      <c r="M330" s="14"/>
      <c r="N330" s="14"/>
      <c r="O330" s="14"/>
      <c r="P330" s="14"/>
      <c r="Q330" s="14"/>
      <c r="R330" s="14"/>
      <c r="S330" s="14"/>
      <c r="T330" s="14"/>
      <c r="U330" s="14"/>
      <c r="V330" s="97"/>
    </row>
    <row r="331" spans="1:22" ht="18" hidden="1" customHeight="1">
      <c r="A331" s="96"/>
      <c r="B331" s="14"/>
      <c r="E331" s="244"/>
      <c r="G331" s="18"/>
      <c r="L331" s="14"/>
      <c r="M331" s="14"/>
      <c r="N331" s="14"/>
      <c r="O331" s="14"/>
      <c r="P331" s="14"/>
      <c r="Q331" s="14"/>
      <c r="R331" s="14"/>
      <c r="S331" s="14"/>
      <c r="T331" s="14"/>
      <c r="U331" s="14"/>
      <c r="V331" s="97"/>
    </row>
    <row r="332" spans="1:22" ht="18" hidden="1" customHeight="1">
      <c r="A332" s="96"/>
      <c r="B332" s="14"/>
      <c r="E332" s="244"/>
      <c r="G332" s="18"/>
      <c r="L332" s="14"/>
      <c r="M332" s="14"/>
      <c r="N332" s="14"/>
      <c r="O332" s="14"/>
      <c r="P332" s="14"/>
      <c r="Q332" s="14"/>
      <c r="R332" s="14"/>
      <c r="S332" s="14"/>
      <c r="T332" s="14"/>
      <c r="U332" s="14"/>
      <c r="V332" s="97"/>
    </row>
    <row r="333" spans="1:22" ht="18" hidden="1" customHeight="1">
      <c r="A333" s="96"/>
      <c r="B333" s="14"/>
      <c r="E333" s="244"/>
      <c r="G333" s="18"/>
      <c r="L333" s="14"/>
      <c r="M333" s="14"/>
      <c r="N333" s="14"/>
      <c r="O333" s="14"/>
      <c r="P333" s="14"/>
      <c r="Q333" s="14"/>
      <c r="R333" s="14"/>
      <c r="S333" s="14"/>
      <c r="T333" s="14"/>
      <c r="U333" s="14"/>
      <c r="V333" s="97"/>
    </row>
    <row r="334" spans="1:22" ht="18" hidden="1" customHeight="1">
      <c r="A334" s="96"/>
      <c r="B334" s="14"/>
      <c r="E334" s="244"/>
      <c r="G334" s="18"/>
      <c r="L334" s="14"/>
      <c r="M334" s="14"/>
      <c r="N334" s="14"/>
      <c r="O334" s="14"/>
      <c r="P334" s="14"/>
      <c r="Q334" s="14"/>
      <c r="R334" s="14"/>
      <c r="S334" s="14"/>
      <c r="T334" s="14"/>
      <c r="U334" s="14"/>
      <c r="V334" s="97"/>
    </row>
    <row r="335" spans="1:22" ht="18" hidden="1" customHeight="1">
      <c r="A335" s="96"/>
      <c r="B335" s="14"/>
      <c r="E335" s="244"/>
      <c r="G335" s="18"/>
      <c r="L335" s="14"/>
      <c r="M335" s="14"/>
      <c r="N335" s="14"/>
      <c r="O335" s="14"/>
      <c r="P335" s="14"/>
      <c r="Q335" s="14"/>
      <c r="R335" s="14"/>
      <c r="S335" s="14"/>
      <c r="T335" s="14"/>
      <c r="U335" s="14"/>
      <c r="V335" s="97"/>
    </row>
    <row r="336" spans="1:22" s="14" customFormat="1" ht="18" hidden="1" customHeight="1">
      <c r="A336" s="194"/>
      <c r="B336" s="195"/>
      <c r="C336" s="195"/>
      <c r="D336" s="195"/>
      <c r="E336" s="195"/>
      <c r="F336" s="195"/>
      <c r="G336" s="195"/>
      <c r="H336" s="195"/>
      <c r="I336" s="195"/>
      <c r="J336" s="195"/>
      <c r="K336" s="195"/>
      <c r="L336" s="195"/>
      <c r="M336" s="195"/>
      <c r="N336" s="195"/>
      <c r="O336" s="195"/>
      <c r="P336" s="195"/>
      <c r="Q336" s="224"/>
      <c r="R336" s="182"/>
      <c r="S336" s="225"/>
      <c r="T336" s="195"/>
      <c r="U336" s="195"/>
      <c r="V336" s="134"/>
    </row>
    <row r="337" spans="1:22" ht="18" hidden="1" customHeight="1">
      <c r="A337" s="320"/>
      <c r="B337" s="138"/>
      <c r="C337" s="138"/>
      <c r="D337" s="138"/>
      <c r="E337" s="273"/>
      <c r="F337" s="273"/>
      <c r="G337" s="274"/>
      <c r="H337" s="138"/>
      <c r="I337" s="138"/>
      <c r="J337" s="138"/>
      <c r="K337" s="138"/>
      <c r="L337" s="138"/>
      <c r="M337" s="138"/>
      <c r="N337" s="138"/>
      <c r="O337" s="138"/>
      <c r="P337" s="138"/>
      <c r="Q337" s="138"/>
      <c r="R337" s="138"/>
      <c r="S337" s="138"/>
      <c r="T337" s="273"/>
      <c r="U337" s="138"/>
      <c r="V337" s="521"/>
    </row>
    <row r="338" spans="1:22" ht="18" hidden="1" customHeight="1">
      <c r="A338" s="299"/>
      <c r="B338" s="28" t="s">
        <v>617</v>
      </c>
      <c r="C338" s="30" t="str">
        <f>IF(T314=150,"…cond.2","…cond.4")</f>
        <v>…cond.2</v>
      </c>
      <c r="E338" s="14" t="s">
        <v>863</v>
      </c>
      <c r="J338" s="28" t="s">
        <v>127</v>
      </c>
      <c r="K338" s="30" t="str">
        <f>IF(T314=150,"107","256")</f>
        <v>107</v>
      </c>
      <c r="N338" s="1" t="s">
        <v>864</v>
      </c>
      <c r="O338" s="196"/>
      <c r="P338" s="196"/>
      <c r="Q338" s="196"/>
      <c r="R338" s="196"/>
      <c r="S338" s="182" t="s">
        <v>127</v>
      </c>
      <c r="T338" s="246" t="e">
        <f>IF(T319=TRUE,R322,IF(T329=TRUE,K338,))</f>
        <v>#VALUE!</v>
      </c>
      <c r="U338" s="14"/>
      <c r="V338" s="97"/>
    </row>
    <row r="339" spans="1:22" ht="18" hidden="1" customHeight="1">
      <c r="A339" s="193" t="s">
        <v>865</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84"/>
      <c r="D340" s="30" t="s">
        <v>473</v>
      </c>
      <c r="E340" s="27" t="s">
        <v>529</v>
      </c>
      <c r="F340" s="27" t="s">
        <v>841</v>
      </c>
      <c r="G340" s="27" t="s">
        <v>315</v>
      </c>
      <c r="H340" s="27" t="s">
        <v>511</v>
      </c>
      <c r="I340" s="27" t="s">
        <v>372</v>
      </c>
      <c r="J340" s="27" t="s">
        <v>420</v>
      </c>
      <c r="K340" s="27" t="s">
        <v>347</v>
      </c>
      <c r="L340" s="27" t="s">
        <v>842</v>
      </c>
      <c r="M340" s="30" t="s">
        <v>350</v>
      </c>
      <c r="V340" s="185"/>
    </row>
    <row r="341" spans="1:22" ht="18" hidden="1" customHeight="1">
      <c r="A341" s="184"/>
      <c r="B341" s="14"/>
      <c r="D341" s="14"/>
      <c r="E341" s="27" t="s">
        <v>529</v>
      </c>
      <c r="F341" s="27" t="e">
        <f>T338</f>
        <v>#VALUE!</v>
      </c>
      <c r="G341" s="27" t="s">
        <v>315</v>
      </c>
      <c r="H341" s="27">
        <f>T312</f>
        <v>1</v>
      </c>
      <c r="I341" s="27" t="s">
        <v>372</v>
      </c>
      <c r="J341" s="27" t="str">
        <f>T310</f>
        <v>-</v>
      </c>
      <c r="K341" s="27" t="s">
        <v>347</v>
      </c>
      <c r="L341" s="211">
        <f>T311</f>
        <v>1.0970224400000002</v>
      </c>
      <c r="M341" s="30" t="s">
        <v>350</v>
      </c>
      <c r="V341" s="185"/>
    </row>
    <row r="342" spans="1:22" ht="18" hidden="1" customHeight="1">
      <c r="A342" s="184"/>
      <c r="B342" s="14"/>
      <c r="D342" s="14"/>
      <c r="E342" s="27" t="s">
        <v>529</v>
      </c>
      <c r="F342" s="696" t="e">
        <f>F341*H341*(J341+L341)</f>
        <v>#VALUE!</v>
      </c>
      <c r="G342" s="722"/>
      <c r="H342" s="14" t="s">
        <v>305</v>
      </c>
      <c r="I342" s="14"/>
      <c r="J342" s="14"/>
      <c r="K342" s="14"/>
      <c r="L342" s="120"/>
      <c r="M342" s="120"/>
      <c r="V342" s="185"/>
    </row>
    <row r="343" spans="1:22" ht="18" hidden="1" customHeight="1">
      <c r="A343" s="184"/>
      <c r="V343" s="185"/>
    </row>
    <row r="344" spans="1:22" ht="18" hidden="1" customHeight="1">
      <c r="A344" s="116" t="s">
        <v>446</v>
      </c>
      <c r="B344" s="14"/>
      <c r="C344" s="27"/>
      <c r="D344" s="218"/>
      <c r="E344" s="204"/>
      <c r="F344" s="14"/>
      <c r="G344" s="14"/>
      <c r="H344" s="14"/>
      <c r="I344" s="14"/>
      <c r="J344" s="120"/>
      <c r="K344" s="120"/>
      <c r="L344" s="14"/>
      <c r="M344" s="14"/>
      <c r="N344" s="28"/>
      <c r="O344" s="257"/>
      <c r="P344" s="14"/>
      <c r="Q344" s="14"/>
      <c r="R344" s="120"/>
      <c r="S344" s="28"/>
      <c r="T344" s="47"/>
      <c r="U344" s="14"/>
      <c r="V344" s="185"/>
    </row>
    <row r="345" spans="1:22" ht="18" hidden="1" customHeight="1">
      <c r="A345" s="193" t="s">
        <v>416</v>
      </c>
      <c r="B345" s="14"/>
      <c r="C345" s="27"/>
      <c r="D345" s="218"/>
      <c r="E345" s="204"/>
      <c r="F345" s="14"/>
      <c r="G345" s="14"/>
      <c r="H345" s="14"/>
      <c r="I345" s="14"/>
      <c r="J345" s="120"/>
      <c r="K345" s="120"/>
      <c r="L345" s="14"/>
      <c r="M345" s="14"/>
      <c r="N345" s="28"/>
      <c r="O345" s="257"/>
      <c r="P345" s="14"/>
      <c r="Q345" s="14"/>
      <c r="R345" s="120"/>
      <c r="S345" s="28"/>
      <c r="T345" s="47"/>
      <c r="U345" s="14"/>
      <c r="V345" s="185"/>
    </row>
    <row r="346" spans="1:22" ht="18" hidden="1" customHeight="1">
      <c r="A346" s="184"/>
      <c r="B346" s="14"/>
      <c r="C346" s="27"/>
      <c r="D346" s="218"/>
      <c r="E346" s="204"/>
      <c r="F346" s="30" t="s">
        <v>473</v>
      </c>
      <c r="G346" s="27" t="s">
        <v>529</v>
      </c>
      <c r="H346" s="993" t="s">
        <v>868</v>
      </c>
      <c r="I346" s="993"/>
      <c r="J346" s="27" t="s">
        <v>315</v>
      </c>
      <c r="K346" s="993" t="s">
        <v>820</v>
      </c>
      <c r="L346" s="993"/>
      <c r="M346" s="27" t="s">
        <v>315</v>
      </c>
      <c r="N346" s="244" t="s">
        <v>419</v>
      </c>
      <c r="O346" s="27" t="s">
        <v>420</v>
      </c>
      <c r="P346" s="27" t="s">
        <v>347</v>
      </c>
      <c r="Q346" s="27" t="s">
        <v>408</v>
      </c>
      <c r="R346" s="30" t="s">
        <v>350</v>
      </c>
      <c r="S346" s="28"/>
      <c r="T346" s="47"/>
      <c r="U346" s="14"/>
      <c r="V346" s="185"/>
    </row>
    <row r="347" spans="1:22" ht="18" hidden="1" customHeight="1">
      <c r="A347" s="193"/>
      <c r="F347" s="14" t="s">
        <v>869</v>
      </c>
      <c r="H347" s="27"/>
      <c r="I347" s="218"/>
      <c r="J347" s="204"/>
      <c r="K347" s="14"/>
      <c r="L347" s="14"/>
      <c r="M347" s="14"/>
      <c r="N347" s="14"/>
      <c r="O347" s="120"/>
      <c r="P347" s="120"/>
      <c r="Q347" s="14"/>
      <c r="R347" s="14"/>
      <c r="U347" s="14"/>
      <c r="V347" s="185"/>
    </row>
    <row r="348" spans="1:22" ht="18" hidden="1" customHeight="1">
      <c r="A348" s="193"/>
      <c r="G348" s="993" t="s">
        <v>868</v>
      </c>
      <c r="H348" s="993"/>
      <c r="I348" s="218" t="s">
        <v>127</v>
      </c>
      <c r="J348" s="204" t="s">
        <v>870</v>
      </c>
      <c r="K348" s="14"/>
      <c r="L348" s="14"/>
      <c r="M348" s="14"/>
      <c r="N348" s="14"/>
      <c r="O348" s="120"/>
      <c r="P348" s="120"/>
      <c r="Q348" s="14"/>
      <c r="R348" s="14"/>
      <c r="S348" s="28" t="s">
        <v>127</v>
      </c>
      <c r="T348" s="28">
        <v>1.4</v>
      </c>
      <c r="U348" s="14"/>
      <c r="V348" s="97"/>
    </row>
    <row r="349" spans="1:22" ht="18" hidden="1" customHeight="1">
      <c r="A349" s="193"/>
      <c r="G349" s="993" t="s">
        <v>820</v>
      </c>
      <c r="H349" s="993"/>
      <c r="I349" s="218" t="s">
        <v>127</v>
      </c>
      <c r="J349" s="204" t="s">
        <v>871</v>
      </c>
      <c r="K349" s="14"/>
      <c r="L349" s="14"/>
      <c r="M349" s="14"/>
      <c r="N349" s="14"/>
      <c r="O349" s="120"/>
      <c r="P349" s="120"/>
      <c r="Q349" s="14"/>
      <c r="R349" s="14"/>
      <c r="S349" s="28" t="s">
        <v>127</v>
      </c>
      <c r="T349" s="692" t="e">
        <f>T309</f>
        <v>#VALUE!</v>
      </c>
      <c r="U349" s="689"/>
      <c r="V349" s="97" t="s">
        <v>8</v>
      </c>
    </row>
    <row r="350" spans="1:22" ht="18" hidden="1" customHeight="1">
      <c r="A350" s="193"/>
      <c r="U350" s="14"/>
      <c r="V350" s="97"/>
    </row>
    <row r="351" spans="1:22" ht="18" hidden="1" customHeight="1">
      <c r="A351" s="193"/>
      <c r="F351" s="30" t="s">
        <v>473</v>
      </c>
      <c r="G351" s="27" t="s">
        <v>529</v>
      </c>
      <c r="H351" s="993" t="s">
        <v>868</v>
      </c>
      <c r="I351" s="993"/>
      <c r="J351" s="27" t="s">
        <v>315</v>
      </c>
      <c r="K351" s="993" t="s">
        <v>820</v>
      </c>
      <c r="L351" s="993"/>
      <c r="M351" s="27" t="s">
        <v>315</v>
      </c>
      <c r="N351" s="244" t="s">
        <v>419</v>
      </c>
      <c r="O351" s="27" t="s">
        <v>420</v>
      </c>
      <c r="P351" s="27" t="s">
        <v>347</v>
      </c>
      <c r="Q351" s="27" t="s">
        <v>408</v>
      </c>
      <c r="R351" s="30" t="s">
        <v>350</v>
      </c>
      <c r="T351" s="47"/>
      <c r="U351" s="14"/>
      <c r="V351" s="97"/>
    </row>
    <row r="352" spans="1:22" ht="18" hidden="1" customHeight="1">
      <c r="A352" s="193"/>
      <c r="F352" s="30" t="s">
        <v>473</v>
      </c>
      <c r="G352" s="27" t="s">
        <v>529</v>
      </c>
      <c r="H352" s="993">
        <f>T348</f>
        <v>1.4</v>
      </c>
      <c r="I352" s="993"/>
      <c r="J352" s="27" t="s">
        <v>315</v>
      </c>
      <c r="K352" s="1111" t="e">
        <f>T349</f>
        <v>#VALUE!</v>
      </c>
      <c r="L352" s="993"/>
      <c r="M352" s="27" t="s">
        <v>315</v>
      </c>
      <c r="N352" s="244" t="s">
        <v>419</v>
      </c>
      <c r="O352" s="27" t="str">
        <f>T310</f>
        <v>-</v>
      </c>
      <c r="P352" s="27" t="s">
        <v>347</v>
      </c>
      <c r="Q352" s="211">
        <f>T311</f>
        <v>1.0970224400000002</v>
      </c>
      <c r="R352" s="30" t="s">
        <v>350</v>
      </c>
      <c r="V352" s="97"/>
    </row>
    <row r="353" spans="1:22" ht="18" hidden="1" customHeight="1">
      <c r="A353" s="184"/>
      <c r="F353" s="30" t="s">
        <v>473</v>
      </c>
      <c r="G353" s="27" t="s">
        <v>529</v>
      </c>
      <c r="H353" s="812" t="e">
        <f>H352*K352*(O352+Q352)</f>
        <v>#VALUE!</v>
      </c>
      <c r="I353" s="813"/>
      <c r="J353" s="14" t="s">
        <v>872</v>
      </c>
      <c r="V353" s="97"/>
    </row>
    <row r="354" spans="1:22" ht="18" hidden="1" customHeight="1">
      <c r="A354" s="96"/>
      <c r="U354" s="18"/>
      <c r="V354" s="97"/>
    </row>
    <row r="355" spans="1:22" ht="18" hidden="1" customHeight="1">
      <c r="A355" s="193" t="s">
        <v>873</v>
      </c>
      <c r="O355" s="47"/>
      <c r="P355" s="14"/>
      <c r="Q355" s="14"/>
      <c r="R355" s="14"/>
      <c r="S355" s="120"/>
      <c r="T355" s="18"/>
      <c r="U355" s="18"/>
      <c r="V355" s="97"/>
    </row>
    <row r="356" spans="1:22" ht="18" hidden="1" customHeight="1">
      <c r="A356" s="184"/>
      <c r="V356" s="97"/>
    </row>
    <row r="357" spans="1:22" ht="18" hidden="1" customHeight="1">
      <c r="A357" s="184"/>
      <c r="C357" s="30" t="s">
        <v>473</v>
      </c>
      <c r="D357" s="27" t="s">
        <v>529</v>
      </c>
      <c r="E357" s="805" t="s">
        <v>874</v>
      </c>
      <c r="F357" s="805"/>
      <c r="G357" s="27" t="s">
        <v>315</v>
      </c>
      <c r="H357" s="805" t="s">
        <v>875</v>
      </c>
      <c r="I357" s="805"/>
      <c r="J357" s="28" t="s">
        <v>672</v>
      </c>
      <c r="K357" s="27">
        <v>1</v>
      </c>
      <c r="L357" s="14" t="s">
        <v>347</v>
      </c>
      <c r="M357" s="14" t="s">
        <v>341</v>
      </c>
      <c r="N357" s="14" t="s">
        <v>876</v>
      </c>
      <c r="O357" s="27" t="s">
        <v>420</v>
      </c>
      <c r="P357" s="27" t="s">
        <v>347</v>
      </c>
      <c r="Q357" s="27" t="s">
        <v>408</v>
      </c>
      <c r="R357" s="30" t="s">
        <v>350</v>
      </c>
      <c r="V357" s="185"/>
    </row>
    <row r="358" spans="1:22" ht="18" hidden="1" customHeight="1">
      <c r="A358" s="184"/>
      <c r="C358" s="14" t="s">
        <v>869</v>
      </c>
      <c r="E358" s="27"/>
      <c r="F358" s="218"/>
      <c r="G358" s="204"/>
      <c r="H358" s="14"/>
      <c r="I358" s="14"/>
      <c r="J358" s="14"/>
      <c r="K358" s="14"/>
      <c r="L358" s="120"/>
      <c r="M358" s="120"/>
      <c r="N358" s="14"/>
      <c r="O358" s="14"/>
      <c r="U358" s="14"/>
      <c r="V358" s="185"/>
    </row>
    <row r="359" spans="1:22" ht="18" hidden="1" customHeight="1">
      <c r="A359" s="96"/>
      <c r="B359" s="14"/>
      <c r="D359" s="805" t="s">
        <v>874</v>
      </c>
      <c r="E359" s="993"/>
      <c r="F359" s="218" t="s">
        <v>127</v>
      </c>
      <c r="G359" s="257" t="s">
        <v>877</v>
      </c>
      <c r="H359" s="14"/>
      <c r="I359" s="14"/>
      <c r="J359" s="14"/>
      <c r="K359" s="14"/>
      <c r="L359" s="120"/>
      <c r="M359" s="120"/>
      <c r="N359" s="14"/>
      <c r="O359" s="14"/>
      <c r="S359" s="28" t="s">
        <v>127</v>
      </c>
      <c r="T359" s="28">
        <v>0.6</v>
      </c>
      <c r="U359" s="14"/>
      <c r="V359" s="97"/>
    </row>
    <row r="360" spans="1:22" ht="18" hidden="1" customHeight="1">
      <c r="A360" s="272"/>
      <c r="B360" s="47"/>
      <c r="D360" s="805" t="s">
        <v>875</v>
      </c>
      <c r="E360" s="993"/>
      <c r="F360" s="218" t="s">
        <v>127</v>
      </c>
      <c r="G360" s="257" t="s">
        <v>878</v>
      </c>
      <c r="H360" s="14"/>
      <c r="I360" s="14"/>
      <c r="J360" s="14"/>
      <c r="K360" s="14"/>
      <c r="L360" s="120"/>
      <c r="M360" s="120"/>
      <c r="N360" s="14"/>
      <c r="O360" s="14"/>
      <c r="S360" s="28" t="s">
        <v>127</v>
      </c>
      <c r="T360" s="692" t="e">
        <f>'[8]Fault Calc (3)'!M107/T308</f>
        <v>#VALUE!</v>
      </c>
      <c r="U360" s="689"/>
      <c r="V360" s="97" t="s">
        <v>8</v>
      </c>
    </row>
    <row r="361" spans="1:22" ht="18" hidden="1" customHeight="1">
      <c r="A361" s="96"/>
      <c r="B361" s="47"/>
      <c r="C361" s="120"/>
      <c r="S361" s="14"/>
      <c r="T361" s="14"/>
      <c r="U361" s="14"/>
      <c r="V361" s="97"/>
    </row>
    <row r="362" spans="1:22" ht="18" hidden="1" customHeight="1">
      <c r="A362" s="184"/>
      <c r="C362" s="30" t="s">
        <v>473</v>
      </c>
      <c r="D362" s="27" t="s">
        <v>529</v>
      </c>
      <c r="E362" s="805" t="s">
        <v>874</v>
      </c>
      <c r="F362" s="805"/>
      <c r="G362" s="27" t="s">
        <v>315</v>
      </c>
      <c r="H362" s="805" t="s">
        <v>875</v>
      </c>
      <c r="I362" s="805"/>
      <c r="J362" s="28" t="s">
        <v>672</v>
      </c>
      <c r="K362" s="27">
        <v>1</v>
      </c>
      <c r="L362" s="14" t="s">
        <v>347</v>
      </c>
      <c r="M362" s="14" t="s">
        <v>341</v>
      </c>
      <c r="N362" s="14" t="s">
        <v>876</v>
      </c>
      <c r="O362" s="27" t="s">
        <v>420</v>
      </c>
      <c r="P362" s="27" t="s">
        <v>347</v>
      </c>
      <c r="Q362" s="27" t="s">
        <v>408</v>
      </c>
      <c r="R362" s="30" t="s">
        <v>350</v>
      </c>
      <c r="V362" s="97"/>
    </row>
    <row r="363" spans="1:22" ht="18" hidden="1" customHeight="1">
      <c r="A363" s="184"/>
      <c r="C363" s="30" t="s">
        <v>473</v>
      </c>
      <c r="D363" s="27" t="s">
        <v>529</v>
      </c>
      <c r="E363" s="805">
        <f>T359</f>
        <v>0.6</v>
      </c>
      <c r="F363" s="805"/>
      <c r="G363" s="27" t="s">
        <v>315</v>
      </c>
      <c r="H363" s="1184" t="e">
        <f>T360</f>
        <v>#VALUE!</v>
      </c>
      <c r="I363" s="805"/>
      <c r="J363" s="28" t="s">
        <v>672</v>
      </c>
      <c r="K363" s="27">
        <v>1</v>
      </c>
      <c r="L363" s="14" t="s">
        <v>347</v>
      </c>
      <c r="M363" s="28">
        <f>T313</f>
        <v>15</v>
      </c>
      <c r="N363" s="14" t="s">
        <v>876</v>
      </c>
      <c r="O363" s="27" t="str">
        <f>T310</f>
        <v>-</v>
      </c>
      <c r="P363" s="27" t="s">
        <v>347</v>
      </c>
      <c r="Q363" s="211">
        <f>T311</f>
        <v>1.0970224400000002</v>
      </c>
      <c r="R363" s="30" t="s">
        <v>350</v>
      </c>
      <c r="V363" s="97"/>
    </row>
    <row r="364" spans="1:22" ht="18" hidden="1" customHeight="1">
      <c r="A364" s="184"/>
      <c r="C364" s="30" t="s">
        <v>473</v>
      </c>
      <c r="D364" s="27" t="s">
        <v>529</v>
      </c>
      <c r="E364" s="1335" t="e">
        <f>E363*H363*((K363+M363)*(O363+Q363))</f>
        <v>#VALUE!</v>
      </c>
      <c r="F364" s="1336"/>
      <c r="G364" s="14" t="s">
        <v>872</v>
      </c>
      <c r="V364" s="97"/>
    </row>
    <row r="365" spans="1:22" ht="18" hidden="1" customHeight="1">
      <c r="A365" s="524"/>
      <c r="B365" s="249"/>
      <c r="C365" s="249"/>
      <c r="D365" s="249"/>
      <c r="E365" s="249"/>
      <c r="F365" s="249"/>
      <c r="G365" s="14"/>
      <c r="H365" s="14"/>
      <c r="I365" s="14"/>
      <c r="J365" s="14"/>
      <c r="K365" s="14"/>
      <c r="L365" s="14"/>
      <c r="M365" s="120"/>
      <c r="N365" s="102"/>
      <c r="O365" s="47"/>
      <c r="P365" s="14"/>
      <c r="Q365" s="14"/>
      <c r="R365" s="14"/>
      <c r="S365" s="14"/>
      <c r="T365" s="14"/>
      <c r="U365" s="14"/>
      <c r="V365" s="97"/>
    </row>
    <row r="366" spans="1:22" ht="18" hidden="1" customHeight="1">
      <c r="A366" s="96"/>
      <c r="B366" s="459" t="s">
        <v>879</v>
      </c>
      <c r="C366" s="28"/>
      <c r="D366" s="28"/>
      <c r="E366" s="14"/>
      <c r="F366" s="14"/>
      <c r="G366" s="120"/>
      <c r="H366" s="120"/>
      <c r="I366" s="47"/>
      <c r="J366" s="535"/>
      <c r="K366" s="14"/>
      <c r="L366" s="14"/>
      <c r="M366" s="696" t="e">
        <f>MAX(F342,H353,E364)</f>
        <v>#VALUE!</v>
      </c>
      <c r="N366" s="776"/>
      <c r="O366" s="14" t="s">
        <v>872</v>
      </c>
      <c r="P366" s="14"/>
      <c r="Q366" s="14"/>
      <c r="R366" s="14"/>
      <c r="S366" s="14"/>
      <c r="T366" s="14"/>
      <c r="U366" s="14"/>
      <c r="V366" s="97"/>
    </row>
    <row r="367" spans="1:22" ht="18" hidden="1" customHeight="1">
      <c r="A367" s="193"/>
      <c r="I367" s="14"/>
      <c r="J367" s="14"/>
      <c r="K367" s="14"/>
      <c r="L367" s="47"/>
      <c r="M367" s="47"/>
      <c r="N367" s="47"/>
      <c r="O367" s="47"/>
      <c r="P367" s="28"/>
      <c r="Q367" s="536"/>
      <c r="R367" s="47"/>
      <c r="S367" s="14"/>
      <c r="T367" s="14"/>
      <c r="U367" s="14"/>
      <c r="V367" s="97"/>
    </row>
    <row r="368" spans="1:22" ht="18" hidden="1" customHeight="1">
      <c r="A368" s="184"/>
      <c r="L368" s="28"/>
      <c r="M368" s="28"/>
      <c r="N368" s="28"/>
      <c r="O368" s="28"/>
      <c r="P368" s="28"/>
      <c r="Q368" s="218"/>
      <c r="R368" s="28"/>
      <c r="S368" s="28"/>
      <c r="T368" s="14"/>
      <c r="U368" s="28"/>
      <c r="V368" s="97"/>
    </row>
    <row r="369" spans="1:22" ht="18" hidden="1" customHeight="1">
      <c r="A369" s="184"/>
      <c r="L369" s="14"/>
      <c r="M369" s="14"/>
      <c r="N369" s="14"/>
      <c r="O369" s="14"/>
      <c r="P369" s="14"/>
      <c r="Q369" s="14"/>
      <c r="R369" s="14"/>
      <c r="S369" s="14"/>
      <c r="T369" s="14"/>
      <c r="U369" s="14"/>
      <c r="V369" s="97"/>
    </row>
    <row r="370" spans="1:22" ht="18" hidden="1" customHeight="1">
      <c r="A370" s="184"/>
      <c r="C370" s="30" t="s">
        <v>475</v>
      </c>
      <c r="F370" s="27" t="e">
        <f>IF(D371&gt;G371,"&gt;","&lt;")</f>
        <v>#VALUE!</v>
      </c>
      <c r="G370" s="30" t="s">
        <v>477</v>
      </c>
      <c r="L370" s="14"/>
      <c r="M370" s="14"/>
      <c r="N370" s="14"/>
      <c r="O370" s="14"/>
      <c r="P370" s="14"/>
      <c r="Q370" s="14"/>
      <c r="R370" s="14"/>
      <c r="S370" s="14"/>
      <c r="T370" s="14"/>
      <c r="U370" s="14"/>
      <c r="V370" s="97"/>
    </row>
    <row r="371" spans="1:22" ht="18" hidden="1" customHeight="1">
      <c r="A371" s="184"/>
      <c r="D371" s="684" t="str">
        <f>L256</f>
        <v>-</v>
      </c>
      <c r="E371" s="684"/>
      <c r="F371" s="27" t="e">
        <f>F370</f>
        <v>#VALUE!</v>
      </c>
      <c r="G371" s="795" t="e">
        <f>M366</f>
        <v>#VALUE!</v>
      </c>
      <c r="H371" s="684"/>
      <c r="L371" s="14"/>
      <c r="M371" s="14"/>
      <c r="N371" s="28"/>
      <c r="O371" s="28"/>
      <c r="P371" s="28"/>
      <c r="Q371" s="120"/>
      <c r="R371" s="250"/>
      <c r="S371" s="186"/>
      <c r="T371" s="14"/>
      <c r="U371" s="14"/>
      <c r="V371" s="97"/>
    </row>
    <row r="372" spans="1:22" ht="18" hidden="1" customHeight="1">
      <c r="A372" s="184"/>
      <c r="E372" s="244" t="s">
        <v>478</v>
      </c>
      <c r="G372" s="18" t="e">
        <f>IF(F370="&gt;","Suitably Dimensioned","Under Dimensioned")</f>
        <v>#VALUE!</v>
      </c>
      <c r="L372" s="14"/>
      <c r="M372" s="14"/>
      <c r="N372" s="28"/>
      <c r="O372" s="257"/>
      <c r="P372" s="14"/>
      <c r="Q372" s="14"/>
      <c r="R372" s="120"/>
      <c r="S372" s="28"/>
      <c r="T372" s="47"/>
      <c r="U372" s="14"/>
      <c r="V372" s="97"/>
    </row>
    <row r="373" spans="1:22" ht="18" hidden="1" customHeight="1">
      <c r="A373" s="184"/>
      <c r="E373" s="244"/>
      <c r="G373" s="18"/>
      <c r="L373" s="14"/>
      <c r="M373" s="14"/>
      <c r="N373" s="28"/>
      <c r="O373" s="257"/>
      <c r="P373" s="14"/>
      <c r="Q373" s="14"/>
      <c r="R373" s="120"/>
      <c r="S373" s="28"/>
      <c r="T373" s="47"/>
      <c r="U373" s="14"/>
      <c r="V373" s="97"/>
    </row>
    <row r="374" spans="1:22" ht="18" hidden="1" customHeight="1">
      <c r="A374" s="184"/>
      <c r="E374" s="244"/>
      <c r="G374" s="18"/>
      <c r="L374" s="14"/>
      <c r="M374" s="14"/>
      <c r="N374" s="28"/>
      <c r="O374" s="257"/>
      <c r="P374" s="14"/>
      <c r="Q374" s="14"/>
      <c r="R374" s="120"/>
      <c r="S374" s="28"/>
      <c r="T374" s="47"/>
      <c r="U374" s="14"/>
      <c r="V374" s="97"/>
    </row>
    <row r="375" spans="1:22" ht="18" hidden="1" customHeight="1">
      <c r="A375" s="184"/>
      <c r="E375" s="244"/>
      <c r="G375" s="18"/>
      <c r="L375" s="14"/>
      <c r="M375" s="14"/>
      <c r="N375" s="28"/>
      <c r="O375" s="257"/>
      <c r="P375" s="14"/>
      <c r="Q375" s="14"/>
      <c r="R375" s="120"/>
      <c r="S375" s="28"/>
      <c r="T375" s="47"/>
      <c r="U375" s="14"/>
      <c r="V375" s="97"/>
    </row>
    <row r="376" spans="1:22" ht="18" hidden="1" customHeight="1">
      <c r="A376" s="184"/>
      <c r="E376" s="244"/>
      <c r="G376" s="18"/>
      <c r="L376" s="14"/>
      <c r="M376" s="14"/>
      <c r="N376" s="28"/>
      <c r="O376" s="257"/>
      <c r="P376" s="14"/>
      <c r="Q376" s="14"/>
      <c r="R376" s="120"/>
      <c r="S376" s="28"/>
      <c r="T376" s="47"/>
      <c r="U376" s="14"/>
      <c r="V376" s="97"/>
    </row>
    <row r="377" spans="1:22" ht="18" hidden="1" customHeight="1">
      <c r="A377" s="184"/>
      <c r="E377" s="244"/>
      <c r="G377" s="18"/>
      <c r="L377" s="14"/>
      <c r="M377" s="14"/>
      <c r="N377" s="28"/>
      <c r="O377" s="257"/>
      <c r="P377" s="14"/>
      <c r="Q377" s="14"/>
      <c r="R377" s="120"/>
      <c r="S377" s="28"/>
      <c r="T377" s="47"/>
      <c r="U377" s="14"/>
      <c r="V377" s="97"/>
    </row>
    <row r="378" spans="1:22" ht="18" hidden="1" customHeight="1">
      <c r="A378" s="193"/>
      <c r="B378" s="14"/>
      <c r="C378" s="27"/>
      <c r="D378" s="218"/>
      <c r="E378" s="204"/>
      <c r="F378" s="14"/>
      <c r="G378" s="14"/>
      <c r="H378" s="14"/>
      <c r="I378" s="14"/>
      <c r="J378" s="120"/>
      <c r="K378" s="120"/>
      <c r="L378" s="14"/>
      <c r="M378" s="14"/>
      <c r="N378" s="28"/>
      <c r="O378" s="257"/>
      <c r="P378" s="14"/>
      <c r="Q378" s="14"/>
      <c r="R378" s="120"/>
      <c r="S378" s="28"/>
      <c r="T378" s="47"/>
      <c r="U378" s="14"/>
      <c r="V378" s="97"/>
    </row>
    <row r="379" spans="1:22" ht="18" hidden="1" customHeight="1">
      <c r="A379" s="193"/>
      <c r="B379" s="14"/>
      <c r="C379" s="27"/>
      <c r="D379" s="218"/>
      <c r="E379" s="204"/>
      <c r="F379" s="14"/>
      <c r="G379" s="14"/>
      <c r="H379" s="14"/>
      <c r="I379" s="14"/>
      <c r="J379" s="120"/>
      <c r="K379" s="120"/>
      <c r="L379" s="14"/>
      <c r="M379" s="14"/>
      <c r="N379" s="28"/>
      <c r="O379" s="257"/>
      <c r="P379" s="14"/>
      <c r="Q379" s="14"/>
      <c r="R379" s="120"/>
      <c r="S379" s="28"/>
      <c r="T379" s="47"/>
      <c r="U379" s="14"/>
      <c r="V379" s="97"/>
    </row>
    <row r="380" spans="1:22" ht="18" hidden="1" customHeight="1">
      <c r="A380" s="194"/>
      <c r="B380" s="195"/>
      <c r="C380" s="195"/>
      <c r="D380" s="195"/>
      <c r="E380" s="195"/>
      <c r="F380" s="195"/>
      <c r="G380" s="195"/>
      <c r="H380" s="195"/>
      <c r="I380" s="195"/>
      <c r="J380" s="195"/>
      <c r="K380" s="195"/>
      <c r="L380" s="195"/>
      <c r="M380" s="195"/>
      <c r="N380" s="195"/>
      <c r="O380" s="195"/>
      <c r="P380" s="195"/>
      <c r="Q380" s="224"/>
      <c r="R380" s="182"/>
      <c r="S380" s="225"/>
      <c r="T380" s="195"/>
      <c r="U380" s="195"/>
      <c r="V380" s="134"/>
    </row>
    <row r="381" spans="1:22" ht="18" hidden="1" customHeight="1">
      <c r="A381" s="226"/>
      <c r="B381" s="227"/>
      <c r="C381" s="227"/>
      <c r="D381" s="227"/>
      <c r="E381" s="227"/>
      <c r="F381" s="227"/>
      <c r="G381" s="227"/>
      <c r="H381" s="537"/>
      <c r="I381" s="227"/>
      <c r="J381" s="227"/>
      <c r="K381" s="227"/>
      <c r="L381" s="227"/>
      <c r="M381" s="227"/>
      <c r="N381" s="227"/>
      <c r="O381" s="227"/>
      <c r="P381" s="227"/>
      <c r="Q381" s="227"/>
      <c r="R381" s="227"/>
      <c r="S381" s="227"/>
      <c r="T381" s="227"/>
      <c r="U381" s="227"/>
      <c r="V381" s="228"/>
    </row>
    <row r="382" spans="1:22" ht="18" customHeight="1">
      <c r="A382" s="184"/>
      <c r="H382" s="18"/>
      <c r="V382" s="185"/>
    </row>
    <row r="383" spans="1:22" ht="18" customHeight="1">
      <c r="A383" s="452" t="s">
        <v>501</v>
      </c>
      <c r="B383" s="14"/>
      <c r="C383" s="14"/>
      <c r="D383" s="120"/>
      <c r="E383" s="120"/>
      <c r="F383" s="18"/>
      <c r="G383" s="18"/>
      <c r="H383" s="14"/>
      <c r="I383" s="14"/>
      <c r="J383" s="14"/>
      <c r="K383" s="14"/>
      <c r="L383" s="14"/>
      <c r="M383" s="14"/>
      <c r="N383" s="14"/>
      <c r="O383" s="14"/>
      <c r="P383" s="28"/>
      <c r="Q383" s="120"/>
      <c r="R383" s="47"/>
      <c r="S383" s="206"/>
      <c r="T383" s="259"/>
      <c r="U383" s="14"/>
      <c r="V383" s="97"/>
    </row>
    <row r="384" spans="1:22" customFormat="1" ht="54.6" customHeight="1">
      <c r="A384" s="868" t="s">
        <v>85</v>
      </c>
      <c r="B384" s="868"/>
      <c r="C384" s="869"/>
      <c r="D384" s="868" t="s">
        <v>86</v>
      </c>
      <c r="E384" s="868"/>
      <c r="F384" s="868"/>
      <c r="G384" s="868" t="s">
        <v>87</v>
      </c>
      <c r="H384" s="868"/>
      <c r="I384" s="868" t="s">
        <v>88</v>
      </c>
      <c r="J384" s="868"/>
      <c r="K384" s="955" t="s">
        <v>89</v>
      </c>
      <c r="L384" s="957"/>
      <c r="M384" s="955" t="s">
        <v>90</v>
      </c>
      <c r="N384" s="957"/>
      <c r="O384" s="955" t="s">
        <v>91</v>
      </c>
      <c r="P384" s="957"/>
      <c r="Q384" s="955" t="s">
        <v>92</v>
      </c>
      <c r="R384" s="957"/>
      <c r="S384" s="868" t="s">
        <v>93</v>
      </c>
      <c r="T384" s="868"/>
      <c r="U384" s="868"/>
      <c r="V384" s="868"/>
    </row>
    <row r="385" spans="1:22" customFormat="1" ht="18" customHeight="1">
      <c r="A385" s="869" t="str">
        <f>B250</f>
        <v>T1</v>
      </c>
      <c r="B385" s="765" t="str">
        <f>D250</f>
        <v>Core2</v>
      </c>
      <c r="C385" s="765"/>
      <c r="D385" s="870">
        <f>H253</f>
        <v>2500</v>
      </c>
      <c r="E385" s="870"/>
      <c r="F385" s="871">
        <f>O253</f>
        <v>1</v>
      </c>
      <c r="G385" s="870">
        <f>'[8]CT-VT Burdens'!S20</f>
        <v>75</v>
      </c>
      <c r="H385" s="874">
        <f>'[8]CT-VT Burdens'!S11</f>
        <v>6</v>
      </c>
      <c r="I385" s="874" t="str">
        <f>L254</f>
        <v>PX-A</v>
      </c>
      <c r="J385" s="874"/>
      <c r="K385" s="869">
        <f>H12</f>
        <v>5</v>
      </c>
      <c r="L385" s="869"/>
      <c r="M385" s="869">
        <f>H13</f>
        <v>3750</v>
      </c>
      <c r="N385" s="869"/>
      <c r="O385" s="870">
        <f>H14</f>
        <v>60</v>
      </c>
      <c r="P385" s="870"/>
      <c r="Q385" s="879" t="str">
        <f>IF(T8="",T7,IF(T9="",T7&amp;"+"&amp;T8,T7&amp;"+"&amp;T8&amp;"+"&amp;T9))</f>
        <v>P545</v>
      </c>
      <c r="R385" s="879"/>
      <c r="S385" s="878" t="str">
        <f>G94</f>
        <v>Suitably Dimensioned</v>
      </c>
      <c r="T385" s="878"/>
      <c r="U385" s="878"/>
      <c r="V385" s="878"/>
    </row>
    <row r="386" spans="1:22" customFormat="1" ht="18" customHeight="1">
      <c r="A386" s="869"/>
      <c r="B386" s="765"/>
      <c r="C386" s="765"/>
      <c r="D386" s="870" t="str">
        <f>J253</f>
        <v>-</v>
      </c>
      <c r="E386" s="870"/>
      <c r="F386" s="872"/>
      <c r="G386" s="870"/>
      <c r="H386" s="870"/>
      <c r="I386" s="874"/>
      <c r="J386" s="874"/>
      <c r="K386" s="875" t="s">
        <v>6</v>
      </c>
      <c r="L386" s="869"/>
      <c r="M386" s="875" t="s">
        <v>6</v>
      </c>
      <c r="N386" s="869"/>
      <c r="O386" s="876" t="s">
        <v>6</v>
      </c>
      <c r="P386" s="870"/>
      <c r="Q386" s="879"/>
      <c r="R386" s="879"/>
      <c r="S386" s="878"/>
      <c r="T386" s="878"/>
      <c r="U386" s="878"/>
      <c r="V386" s="878"/>
    </row>
    <row r="387" spans="1:22" customFormat="1" ht="18" customHeight="1">
      <c r="A387" s="869"/>
      <c r="B387" s="765"/>
      <c r="C387" s="765"/>
      <c r="D387" s="870" t="str">
        <f>L253</f>
        <v>-</v>
      </c>
      <c r="E387" s="870"/>
      <c r="F387" s="873"/>
      <c r="G387" s="870"/>
      <c r="H387" s="870"/>
      <c r="I387" s="874"/>
      <c r="J387" s="874"/>
      <c r="K387" s="869" t="str">
        <f>L255</f>
        <v>-</v>
      </c>
      <c r="L387" s="869"/>
      <c r="M387" s="869" t="str">
        <f>L256</f>
        <v>-</v>
      </c>
      <c r="N387" s="869"/>
      <c r="O387" s="870" t="str">
        <f>L257</f>
        <v>-</v>
      </c>
      <c r="P387" s="870"/>
      <c r="Q387" s="879"/>
      <c r="R387" s="879"/>
      <c r="S387" s="878"/>
      <c r="T387" s="878"/>
      <c r="U387" s="878"/>
      <c r="V387" s="878"/>
    </row>
    <row r="388" spans="1:22" ht="18" customHeight="1">
      <c r="A388" s="184"/>
      <c r="H388" s="18"/>
      <c r="V388" s="185"/>
    </row>
    <row r="389" spans="1:22" ht="18" customHeight="1">
      <c r="A389" s="184"/>
      <c r="H389" s="18"/>
      <c r="V389" s="185"/>
    </row>
    <row r="390" spans="1:22" ht="18" customHeight="1">
      <c r="A390" s="184"/>
      <c r="H390" s="18"/>
      <c r="V390" s="185"/>
    </row>
    <row r="391" spans="1:22" ht="18" customHeight="1">
      <c r="A391" s="184"/>
      <c r="H391" s="18"/>
      <c r="V391" s="185"/>
    </row>
    <row r="392" spans="1:22" ht="18" customHeight="1">
      <c r="A392" s="184"/>
      <c r="H392" s="18"/>
      <c r="V392" s="185"/>
    </row>
    <row r="393" spans="1:22" ht="18" customHeight="1">
      <c r="A393" s="184"/>
      <c r="H393" s="18"/>
      <c r="V393" s="185"/>
    </row>
    <row r="394" spans="1:22" ht="18" customHeight="1">
      <c r="A394" s="184"/>
      <c r="H394" s="18"/>
      <c r="V394" s="185"/>
    </row>
    <row r="395" spans="1:22" ht="18" customHeight="1">
      <c r="A395" s="184"/>
      <c r="H395" s="18"/>
      <c r="V395" s="185"/>
    </row>
    <row r="396" spans="1:22" ht="18" customHeight="1">
      <c r="A396" s="184"/>
      <c r="H396" s="18"/>
      <c r="V396" s="185"/>
    </row>
    <row r="397" spans="1:22" ht="18" customHeight="1">
      <c r="A397" s="184"/>
      <c r="H397" s="18"/>
      <c r="V397" s="185"/>
    </row>
    <row r="398" spans="1:22" ht="18" customHeight="1">
      <c r="A398" s="184"/>
      <c r="H398" s="18"/>
      <c r="V398" s="185"/>
    </row>
    <row r="399" spans="1:22" ht="18" customHeight="1">
      <c r="A399" s="184"/>
      <c r="H399" s="18"/>
      <c r="V399" s="185"/>
    </row>
    <row r="400" spans="1:22" ht="18" customHeight="1">
      <c r="A400" s="184"/>
      <c r="H400" s="18"/>
      <c r="V400" s="185"/>
    </row>
    <row r="401" spans="1:22" ht="18" customHeight="1">
      <c r="A401" s="184"/>
      <c r="H401" s="18"/>
      <c r="V401" s="185"/>
    </row>
    <row r="402" spans="1:22" ht="18" customHeight="1">
      <c r="A402" s="184"/>
      <c r="H402" s="18"/>
      <c r="V402" s="185"/>
    </row>
    <row r="403" spans="1:22" ht="18" customHeight="1">
      <c r="A403" s="184"/>
      <c r="H403" s="18"/>
      <c r="V403" s="185"/>
    </row>
    <row r="404" spans="1:22" ht="18" customHeight="1">
      <c r="A404" s="184"/>
      <c r="H404" s="18"/>
      <c r="V404" s="185"/>
    </row>
    <row r="405" spans="1:22" ht="18" customHeight="1">
      <c r="A405" s="184"/>
      <c r="H405" s="18"/>
      <c r="V405" s="185"/>
    </row>
    <row r="406" spans="1:22" ht="18" customHeight="1">
      <c r="A406" s="184"/>
      <c r="H406" s="18"/>
      <c r="V406" s="185"/>
    </row>
    <row r="407" spans="1:22" ht="18" customHeight="1">
      <c r="A407" s="184"/>
      <c r="H407" s="18"/>
      <c r="V407" s="185"/>
    </row>
    <row r="408" spans="1:22" ht="18" customHeight="1">
      <c r="A408" s="184"/>
      <c r="H408" s="18"/>
      <c r="V408" s="185"/>
    </row>
    <row r="409" spans="1:22" ht="18" customHeight="1">
      <c r="A409" s="184"/>
      <c r="H409" s="18"/>
      <c r="V409" s="185"/>
    </row>
    <row r="410" spans="1:22" ht="18" customHeight="1">
      <c r="A410" s="184"/>
      <c r="H410" s="18"/>
      <c r="V410" s="185"/>
    </row>
    <row r="411" spans="1:22" ht="18" customHeight="1">
      <c r="A411" s="184"/>
      <c r="H411" s="18"/>
      <c r="V411" s="185"/>
    </row>
    <row r="412" spans="1:22" ht="18" customHeight="1">
      <c r="A412" s="184"/>
      <c r="H412" s="18"/>
      <c r="V412" s="185"/>
    </row>
    <row r="413" spans="1:22" ht="18" customHeight="1">
      <c r="A413" s="184"/>
      <c r="H413" s="18"/>
      <c r="V413" s="185"/>
    </row>
    <row r="414" spans="1:22" ht="18" customHeight="1">
      <c r="A414" s="184"/>
      <c r="H414" s="18"/>
      <c r="V414" s="185"/>
    </row>
    <row r="415" spans="1:22" ht="18" customHeight="1">
      <c r="A415" s="184"/>
      <c r="H415" s="18"/>
      <c r="V415" s="185"/>
    </row>
    <row r="416" spans="1:22" ht="18" customHeight="1">
      <c r="A416" s="184"/>
      <c r="H416" s="18"/>
      <c r="V416" s="185"/>
    </row>
    <row r="417" spans="1:22" ht="18" customHeight="1">
      <c r="A417" s="184"/>
      <c r="H417" s="18"/>
      <c r="V417" s="185"/>
    </row>
    <row r="418" spans="1:22" ht="18" customHeight="1">
      <c r="A418" s="184"/>
      <c r="V418" s="185"/>
    </row>
    <row r="419" spans="1:22" ht="18" customHeight="1">
      <c r="A419" s="194"/>
      <c r="B419" s="195"/>
      <c r="C419" s="195"/>
      <c r="D419" s="195"/>
      <c r="E419" s="195"/>
      <c r="F419" s="195"/>
      <c r="G419" s="195"/>
      <c r="H419" s="195"/>
      <c r="I419" s="195"/>
      <c r="J419" s="195"/>
      <c r="K419" s="195"/>
      <c r="L419" s="195"/>
      <c r="M419" s="195"/>
      <c r="N419" s="195"/>
      <c r="O419" s="195"/>
      <c r="P419" s="195"/>
      <c r="Q419" s="224"/>
      <c r="R419" s="182"/>
      <c r="S419" s="225"/>
      <c r="T419" s="195"/>
      <c r="U419" s="195"/>
      <c r="V419" s="134"/>
    </row>
  </sheetData>
  <dataConsolidate/>
  <mergeCells count="309">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9:C69"/>
    <mergeCell ref="B70:C70"/>
    <mergeCell ref="D71:E71"/>
    <mergeCell ref="I71:J71"/>
    <mergeCell ref="T71:U71"/>
    <mergeCell ref="J56:K56"/>
    <mergeCell ref="T59:U59"/>
    <mergeCell ref="T60:U60"/>
    <mergeCell ref="T61:U61"/>
    <mergeCell ref="T62:U62"/>
    <mergeCell ref="T63:U63"/>
    <mergeCell ref="I74:J74"/>
    <mergeCell ref="R74:S74"/>
    <mergeCell ref="I75:J75"/>
    <mergeCell ref="E76:F76"/>
    <mergeCell ref="H79:I79"/>
    <mergeCell ref="H80:I80"/>
    <mergeCell ref="T64:U64"/>
    <mergeCell ref="T65:U65"/>
    <mergeCell ref="T66:U66"/>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A154:V155"/>
    <mergeCell ref="A156:A157"/>
    <mergeCell ref="B156:V157"/>
    <mergeCell ref="D158:E158"/>
    <mergeCell ref="J160:K160"/>
    <mergeCell ref="J163:K163"/>
    <mergeCell ref="J142:K142"/>
    <mergeCell ref="D147:E147"/>
    <mergeCell ref="O147:P147"/>
    <mergeCell ref="M148:N148"/>
    <mergeCell ref="P148:Q148"/>
    <mergeCell ref="S148:T148"/>
    <mergeCell ref="T179:U179"/>
    <mergeCell ref="T180:U180"/>
    <mergeCell ref="T181:U181"/>
    <mergeCell ref="T182:U182"/>
    <mergeCell ref="T183:U183"/>
    <mergeCell ref="T184:U184"/>
    <mergeCell ref="A168:A169"/>
    <mergeCell ref="B168:V169"/>
    <mergeCell ref="D170:E170"/>
    <mergeCell ref="J172:K172"/>
    <mergeCell ref="J175:K175"/>
    <mergeCell ref="T178:U178"/>
    <mergeCell ref="I193:J193"/>
    <mergeCell ref="R193:S193"/>
    <mergeCell ref="I194:J194"/>
    <mergeCell ref="E195:F195"/>
    <mergeCell ref="H198:I198"/>
    <mergeCell ref="H199:I199"/>
    <mergeCell ref="T185:U185"/>
    <mergeCell ref="B188:C188"/>
    <mergeCell ref="B189:C189"/>
    <mergeCell ref="D190:E190"/>
    <mergeCell ref="I190:J190"/>
    <mergeCell ref="T190:U190"/>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E233:F233"/>
    <mergeCell ref="H233:I233"/>
    <mergeCell ref="E234:F234"/>
    <mergeCell ref="H234:I234"/>
    <mergeCell ref="E235:F235"/>
    <mergeCell ref="M237:N237"/>
    <mergeCell ref="H224:I224"/>
    <mergeCell ref="E228:F228"/>
    <mergeCell ref="H228:I228"/>
    <mergeCell ref="D230:E230"/>
    <mergeCell ref="D231:E231"/>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D282:E282"/>
    <mergeCell ref="J284:K284"/>
    <mergeCell ref="J294:K294"/>
    <mergeCell ref="A297:A298"/>
    <mergeCell ref="B297:V298"/>
    <mergeCell ref="D299:E299"/>
    <mergeCell ref="J265:K265"/>
    <mergeCell ref="D270:E270"/>
    <mergeCell ref="O270:P270"/>
    <mergeCell ref="A278:V279"/>
    <mergeCell ref="A280:A281"/>
    <mergeCell ref="B280:V281"/>
    <mergeCell ref="T311:U311"/>
    <mergeCell ref="T312:U312"/>
    <mergeCell ref="T313:U313"/>
    <mergeCell ref="T314:U314"/>
    <mergeCell ref="B317:C317"/>
    <mergeCell ref="B318:C318"/>
    <mergeCell ref="J301:K301"/>
    <mergeCell ref="J304:K304"/>
    <mergeCell ref="T307:U307"/>
    <mergeCell ref="T308:U308"/>
    <mergeCell ref="T309:U309"/>
    <mergeCell ref="T310:U310"/>
    <mergeCell ref="C329:D329"/>
    <mergeCell ref="I329:J329"/>
    <mergeCell ref="O329:P329"/>
    <mergeCell ref="D319:E319"/>
    <mergeCell ref="I319:J319"/>
    <mergeCell ref="T319:U319"/>
    <mergeCell ref="I322:J322"/>
    <mergeCell ref="R322:S322"/>
    <mergeCell ref="I323:J323"/>
    <mergeCell ref="T329:U329"/>
    <mergeCell ref="F342:G342"/>
    <mergeCell ref="H346:I346"/>
    <mergeCell ref="K346:L346"/>
    <mergeCell ref="G348:H348"/>
    <mergeCell ref="G349:H349"/>
    <mergeCell ref="T349:U349"/>
    <mergeCell ref="E324:F324"/>
    <mergeCell ref="H327:I327"/>
    <mergeCell ref="H328:I328"/>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O386:P386"/>
    <mergeCell ref="E364:F364"/>
    <mergeCell ref="M366:N366"/>
    <mergeCell ref="D371:E371"/>
    <mergeCell ref="G371:H371"/>
    <mergeCell ref="A384:C384"/>
    <mergeCell ref="D384:F384"/>
    <mergeCell ref="G384:H384"/>
    <mergeCell ref="I384:J384"/>
    <mergeCell ref="K384:L384"/>
    <mergeCell ref="M384:N384"/>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s>
  <conditionalFormatting sqref="G94">
    <cfRule type="cellIs" dxfId="92" priority="2" stopIfTrue="1" operator="equal">
      <formula>"Under Dimentioned"</formula>
    </cfRule>
  </conditionalFormatting>
  <conditionalFormatting sqref="G122 G200:G206 G241:G244 G329:G335 G372:G377">
    <cfRule type="cellIs" dxfId="91"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90"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6280-BDD1-433B-9169-81A27A29DFE6}">
  <sheetPr codeName="Sheet43">
    <tabColor rgb="FF00B050"/>
  </sheetPr>
  <dimension ref="A1:AC299"/>
  <sheetViews>
    <sheetView showZeros="0" view="pageBreakPreview" zoomScaleNormal="100" zoomScaleSheetLayoutView="100" workbookViewId="0">
      <selection activeCell="M84" sqref="M84"/>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881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108</v>
      </c>
      <c r="C7" s="782"/>
      <c r="D7" s="743" t="s">
        <v>506</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2000</v>
      </c>
      <c r="I10" s="792"/>
      <c r="J10" s="781">
        <v>3200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3.5</v>
      </c>
      <c r="I12" s="782"/>
      <c r="J12" s="192" t="s">
        <v>333</v>
      </c>
      <c r="M12" s="14"/>
      <c r="N12" s="14"/>
      <c r="V12" s="185"/>
    </row>
    <row r="13" spans="1:24" ht="18" customHeight="1">
      <c r="A13" s="184"/>
      <c r="B13" s="47" t="s">
        <v>398</v>
      </c>
      <c r="G13" s="120" t="s">
        <v>498</v>
      </c>
      <c r="H13" s="781">
        <v>500</v>
      </c>
      <c r="I13" s="782"/>
      <c r="J13" s="14" t="s">
        <v>305</v>
      </c>
      <c r="M13" s="14"/>
      <c r="T13" s="295"/>
      <c r="U13" s="18"/>
      <c r="V13" s="185"/>
      <c r="W13" s="30" t="e">
        <f>#REF!</f>
        <v>#REF!</v>
      </c>
    </row>
    <row r="14" spans="1:24" ht="18" customHeight="1">
      <c r="A14" s="184"/>
      <c r="B14" s="14" t="s">
        <v>401</v>
      </c>
      <c r="G14" s="120" t="s">
        <v>402</v>
      </c>
      <c r="H14" s="781">
        <v>20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3.5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3.5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500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3.5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2000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5</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3.5</v>
      </c>
      <c r="G75" s="692"/>
      <c r="H75" s="102" t="s">
        <v>347</v>
      </c>
      <c r="I75" s="218">
        <f>S30</f>
        <v>1.0870224400000001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45.970224399999999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36.776179519999999</v>
      </c>
      <c r="O79" s="1251"/>
      <c r="V79" s="185"/>
    </row>
    <row r="80" spans="1:22" ht="17.399999999999999" customHeight="1">
      <c r="A80" s="184"/>
      <c r="B80" s="7"/>
      <c r="E80" s="14"/>
      <c r="F80" s="14" t="s">
        <v>752</v>
      </c>
      <c r="G80" s="7"/>
      <c r="L80" s="28" t="s">
        <v>127</v>
      </c>
      <c r="N80" s="1072">
        <f>N79*1.2</f>
        <v>44.131415423999997</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500</v>
      </c>
      <c r="J82" s="795"/>
      <c r="K82" s="27"/>
      <c r="L82" s="27" t="str">
        <f>IF(I82&gt;=M82,"&gt;","&lt;")</f>
        <v>&gt;</v>
      </c>
      <c r="M82" s="795">
        <f>N80</f>
        <v>44.131415423999997</v>
      </c>
      <c r="N82" s="795"/>
      <c r="P82" s="268"/>
      <c r="V82" s="185"/>
    </row>
    <row r="83" spans="1:23" ht="17.399999999999999" customHeight="1">
      <c r="A83" s="184"/>
      <c r="K83" s="244" t="s">
        <v>478</v>
      </c>
      <c r="M83" s="18" t="str">
        <f>IF(I82&gt;M82,"Suitably Dimensioned","Under Dimensioned")</f>
        <v>Suitably Dimensioned</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K86" s="244"/>
      <c r="M86" s="18"/>
      <c r="V86" s="185"/>
    </row>
    <row r="87" spans="1:23" ht="17.399999999999999" customHeight="1">
      <c r="A87" s="184"/>
      <c r="B87" s="7"/>
      <c r="E87" s="14"/>
      <c r="F87" s="7"/>
      <c r="G87" s="7"/>
      <c r="V87" s="185"/>
    </row>
    <row r="88" spans="1:23" s="14" customFormat="1" ht="15.6" customHeight="1">
      <c r="A88" s="194"/>
      <c r="B88" s="195"/>
      <c r="C88" s="195"/>
      <c r="D88" s="195"/>
      <c r="E88" s="195"/>
      <c r="F88" s="195"/>
      <c r="G88" s="195"/>
      <c r="H88" s="195"/>
      <c r="I88" s="195"/>
      <c r="J88" s="195"/>
      <c r="K88" s="195"/>
      <c r="L88" s="195"/>
      <c r="M88" s="195"/>
      <c r="N88" s="195"/>
      <c r="O88" s="195"/>
      <c r="P88" s="195"/>
      <c r="Q88" s="224"/>
      <c r="R88" s="182"/>
      <c r="S88" s="225"/>
      <c r="T88" s="195"/>
      <c r="U88" s="195"/>
      <c r="V88" s="134"/>
    </row>
    <row r="89" spans="1:23"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customHeight="1">
      <c r="A90" s="184"/>
      <c r="B90" s="835" t="str">
        <f>B7</f>
        <v>T1</v>
      </c>
      <c r="C90" s="836"/>
      <c r="D90" s="1118" t="str">
        <f>D7</f>
        <v>Core2</v>
      </c>
      <c r="E90" s="1290"/>
      <c r="F90" s="455"/>
      <c r="H90" s="684" t="str">
        <f>H7</f>
        <v>(Low Imp. Busbar)</v>
      </c>
      <c r="I90" s="684"/>
      <c r="J90" s="684"/>
      <c r="K90" s="684"/>
      <c r="L90" s="684"/>
      <c r="M90" s="684"/>
      <c r="P90" s="186"/>
      <c r="S90" s="187" t="s">
        <v>387</v>
      </c>
      <c r="T90" s="835" t="str">
        <f>T7</f>
        <v>REB500</v>
      </c>
      <c r="U90" s="836"/>
      <c r="V90" s="185"/>
    </row>
    <row r="91" spans="1:23" ht="18" customHeight="1">
      <c r="A91" s="456"/>
      <c r="F91" s="455"/>
      <c r="T91" s="839">
        <f>T8</f>
        <v>0</v>
      </c>
      <c r="U91" s="840"/>
      <c r="V91" s="185"/>
    </row>
    <row r="92" spans="1:23" ht="18" customHeight="1">
      <c r="A92" s="184"/>
      <c r="H92" s="708" t="s">
        <v>390</v>
      </c>
      <c r="I92" s="708"/>
      <c r="J92" s="789" t="s">
        <v>391</v>
      </c>
      <c r="K92" s="789"/>
      <c r="L92" s="790" t="s">
        <v>392</v>
      </c>
      <c r="M92" s="790"/>
      <c r="T92" s="839">
        <f>T9</f>
        <v>0</v>
      </c>
      <c r="U92" s="840"/>
      <c r="V92" s="185"/>
    </row>
    <row r="93" spans="1:23" ht="18" customHeight="1">
      <c r="A93" s="184"/>
      <c r="B93" s="47" t="s">
        <v>393</v>
      </c>
      <c r="H93" s="835">
        <f>H10</f>
        <v>2000</v>
      </c>
      <c r="I93" s="836"/>
      <c r="J93" s="835">
        <f>J10</f>
        <v>3200</v>
      </c>
      <c r="K93" s="836"/>
      <c r="L93" s="835" t="str">
        <f>L10</f>
        <v>-</v>
      </c>
      <c r="M93" s="836"/>
      <c r="N93" s="191" t="s">
        <v>342</v>
      </c>
      <c r="O93" s="488">
        <f>O10</f>
        <v>1</v>
      </c>
      <c r="P93" s="27" t="s">
        <v>8</v>
      </c>
      <c r="R93" s="255"/>
      <c r="S93" s="255"/>
      <c r="V93" s="185"/>
    </row>
    <row r="94" spans="1:23" ht="18" customHeight="1">
      <c r="A94" s="184"/>
      <c r="B94" s="47" t="s">
        <v>394</v>
      </c>
      <c r="H94" s="14"/>
      <c r="I94" s="14"/>
      <c r="J94" s="835" t="str">
        <f>H11</f>
        <v>PX</v>
      </c>
      <c r="K94" s="836"/>
      <c r="L94" s="14"/>
      <c r="M94" s="14"/>
      <c r="V94" s="185"/>
    </row>
    <row r="95" spans="1:23" ht="18" customHeight="1">
      <c r="A95" s="184"/>
      <c r="B95" s="47" t="s">
        <v>396</v>
      </c>
      <c r="I95" s="120" t="s">
        <v>497</v>
      </c>
      <c r="J95" s="781">
        <v>5</v>
      </c>
      <c r="K95" s="782"/>
      <c r="L95" s="192" t="s">
        <v>333</v>
      </c>
      <c r="V95" s="185"/>
    </row>
    <row r="96" spans="1:23" ht="18" customHeight="1">
      <c r="A96" s="184"/>
      <c r="B96" s="47" t="s">
        <v>398</v>
      </c>
      <c r="I96" s="120" t="s">
        <v>498</v>
      </c>
      <c r="J96" s="781">
        <v>900</v>
      </c>
      <c r="K96" s="782"/>
      <c r="L96" s="14" t="s">
        <v>305</v>
      </c>
      <c r="T96" s="295"/>
      <c r="U96" s="18"/>
      <c r="V96" s="185"/>
      <c r="W96" s="30" t="str">
        <f>M163</f>
        <v>Required Vk</v>
      </c>
    </row>
    <row r="97" spans="1:22" ht="18" customHeight="1">
      <c r="A97" s="184"/>
      <c r="B97" s="14" t="s">
        <v>401</v>
      </c>
      <c r="I97" s="120" t="s">
        <v>402</v>
      </c>
      <c r="J97" s="781">
        <v>10</v>
      </c>
      <c r="K97" s="782"/>
      <c r="L97" s="14" t="s">
        <v>403</v>
      </c>
      <c r="V97" s="185"/>
    </row>
    <row r="98" spans="1:22" ht="18" customHeight="1">
      <c r="A98" s="184"/>
      <c r="V98" s="185"/>
    </row>
    <row r="99" spans="1:22" ht="18" customHeight="1">
      <c r="A99" s="193" t="s">
        <v>404</v>
      </c>
      <c r="V99" s="185"/>
    </row>
    <row r="100" spans="1:22" ht="18" customHeight="1">
      <c r="A100" s="184"/>
      <c r="V100" s="185"/>
    </row>
    <row r="101" spans="1:22" ht="18" customHeight="1">
      <c r="A101" s="184"/>
      <c r="B101" s="135" t="s">
        <v>405</v>
      </c>
      <c r="C101" s="273"/>
      <c r="D101" s="139" t="str">
        <f>T90</f>
        <v>REB500</v>
      </c>
      <c r="E101" s="227"/>
      <c r="F101" s="227"/>
      <c r="G101" s="227"/>
      <c r="H101" s="138"/>
      <c r="I101" s="260" t="s">
        <v>127</v>
      </c>
      <c r="J101" s="722">
        <f>J18</f>
        <v>0.01</v>
      </c>
      <c r="K101" s="958"/>
      <c r="L101" s="3" t="s">
        <v>157</v>
      </c>
      <c r="N101" s="197" t="s">
        <v>510</v>
      </c>
      <c r="V101" s="185"/>
    </row>
    <row r="102" spans="1:22" ht="18" customHeight="1">
      <c r="A102" s="184"/>
      <c r="B102" s="96" t="s">
        <v>405</v>
      </c>
      <c r="C102" s="14"/>
      <c r="D102" s="47">
        <f>T91</f>
        <v>0</v>
      </c>
      <c r="H102" s="28"/>
      <c r="I102" s="101" t="s">
        <v>127</v>
      </c>
      <c r="J102" s="722">
        <f>J19</f>
        <v>0</v>
      </c>
      <c r="K102" s="958"/>
      <c r="L102" s="3" t="s">
        <v>157</v>
      </c>
      <c r="N102" s="120" t="s">
        <v>491</v>
      </c>
      <c r="O102" s="27" t="s">
        <v>127</v>
      </c>
      <c r="P102" s="27" t="s">
        <v>511</v>
      </c>
      <c r="Q102" s="27" t="s">
        <v>315</v>
      </c>
      <c r="R102" s="27" t="s">
        <v>511</v>
      </c>
      <c r="S102" s="27" t="s">
        <v>315</v>
      </c>
      <c r="T102" s="27" t="s">
        <v>420</v>
      </c>
      <c r="V102" s="185"/>
    </row>
    <row r="103" spans="1:22" ht="18" customHeight="1">
      <c r="A103" s="184"/>
      <c r="B103" s="96" t="s">
        <v>405</v>
      </c>
      <c r="C103" s="14"/>
      <c r="D103" s="47">
        <f>T92</f>
        <v>0</v>
      </c>
      <c r="H103" s="28"/>
      <c r="I103" s="101" t="s">
        <v>127</v>
      </c>
      <c r="J103" s="722">
        <f>J20</f>
        <v>0</v>
      </c>
      <c r="K103" s="958"/>
      <c r="L103" s="3" t="s">
        <v>157</v>
      </c>
      <c r="N103" s="27"/>
      <c r="O103" s="27" t="s">
        <v>127</v>
      </c>
      <c r="P103" s="27">
        <f>O93</f>
        <v>1</v>
      </c>
      <c r="Q103" s="27" t="s">
        <v>315</v>
      </c>
      <c r="R103" s="27">
        <f>O93</f>
        <v>1</v>
      </c>
      <c r="S103" s="27" t="s">
        <v>315</v>
      </c>
      <c r="T103" s="27">
        <f>J95</f>
        <v>5</v>
      </c>
      <c r="V103" s="185"/>
    </row>
    <row r="104" spans="1:22" ht="18" customHeight="1">
      <c r="A104" s="184"/>
      <c r="B104" s="452" t="s">
        <v>412</v>
      </c>
      <c r="C104" s="259"/>
      <c r="D104" s="259"/>
      <c r="E104" s="259"/>
      <c r="F104" s="207"/>
      <c r="G104" s="207"/>
      <c r="H104" s="190"/>
      <c r="I104" s="208" t="s">
        <v>127</v>
      </c>
      <c r="J104" s="1120">
        <f>J21</f>
        <v>1.0770224400000001</v>
      </c>
      <c r="K104" s="987"/>
      <c r="L104" s="297" t="s">
        <v>157</v>
      </c>
      <c r="O104" s="27" t="s">
        <v>127</v>
      </c>
      <c r="P104" s="795">
        <f>P103*R103*T103</f>
        <v>5</v>
      </c>
      <c r="Q104" s="684"/>
      <c r="R104" s="27" t="s">
        <v>157</v>
      </c>
      <c r="V104" s="185"/>
    </row>
    <row r="105" spans="1:22" ht="18" customHeight="1">
      <c r="A105" s="184"/>
      <c r="B105" s="1" t="s">
        <v>413</v>
      </c>
      <c r="C105" s="2"/>
      <c r="D105" s="2"/>
      <c r="E105" s="2"/>
      <c r="F105" s="196"/>
      <c r="G105" s="196"/>
      <c r="H105" s="224" t="s">
        <v>512</v>
      </c>
      <c r="I105" s="183" t="s">
        <v>127</v>
      </c>
      <c r="J105" s="722">
        <f>SUM(J101:J104)</f>
        <v>1.0870224400000001</v>
      </c>
      <c r="K105" s="958"/>
      <c r="L105" s="3" t="s">
        <v>157</v>
      </c>
      <c r="V105" s="185"/>
    </row>
    <row r="106" spans="1:22" ht="18" customHeight="1">
      <c r="A106" s="184"/>
      <c r="B106" s="47"/>
      <c r="C106" s="47"/>
      <c r="D106" s="47"/>
      <c r="E106" s="47"/>
      <c r="H106" s="27"/>
      <c r="I106" s="28"/>
      <c r="J106" s="199"/>
      <c r="L106" s="47"/>
      <c r="S106" s="27"/>
      <c r="V106" s="185"/>
    </row>
    <row r="107" spans="1:22" ht="18" customHeight="1">
      <c r="A107" s="258"/>
      <c r="B107" s="117" t="s">
        <v>712</v>
      </c>
      <c r="V107" s="185"/>
    </row>
    <row r="108" spans="1:22" ht="18" customHeight="1">
      <c r="A108" s="231"/>
      <c r="B108" s="5"/>
      <c r="C108" s="47" t="s">
        <v>713</v>
      </c>
      <c r="D108" s="14"/>
      <c r="E108" s="14"/>
      <c r="F108" s="14"/>
      <c r="G108" s="14"/>
      <c r="H108" s="279"/>
      <c r="I108" s="120"/>
      <c r="J108" s="279"/>
      <c r="K108" s="279"/>
      <c r="L108" s="14"/>
      <c r="M108" s="14"/>
      <c r="N108" s="14"/>
      <c r="O108" s="14"/>
      <c r="P108" s="14"/>
      <c r="Q108" s="120" t="s">
        <v>714</v>
      </c>
      <c r="R108" s="102" t="s">
        <v>127</v>
      </c>
      <c r="S108" s="689">
        <v>31500</v>
      </c>
      <c r="T108" s="689"/>
      <c r="U108" s="47" t="s">
        <v>8</v>
      </c>
      <c r="V108" s="97" t="s">
        <v>129</v>
      </c>
    </row>
    <row r="109" spans="1:22" ht="18" customHeight="1">
      <c r="A109" s="184"/>
      <c r="B109" s="5"/>
      <c r="C109" s="47" t="s">
        <v>545</v>
      </c>
      <c r="D109" s="14"/>
      <c r="E109" s="14"/>
      <c r="F109" s="18"/>
      <c r="G109" s="18"/>
      <c r="H109" s="279"/>
      <c r="I109" s="120"/>
      <c r="J109" s="279"/>
      <c r="K109" s="279"/>
      <c r="L109" s="14"/>
      <c r="M109" s="14"/>
      <c r="N109" s="14"/>
      <c r="O109" s="14"/>
      <c r="P109" s="14"/>
      <c r="Q109" s="120" t="s">
        <v>423</v>
      </c>
      <c r="R109" s="102" t="s">
        <v>127</v>
      </c>
      <c r="S109" s="689">
        <f>J93</f>
        <v>3200</v>
      </c>
      <c r="T109" s="689"/>
      <c r="U109" s="14" t="s">
        <v>8</v>
      </c>
      <c r="V109" s="185"/>
    </row>
    <row r="110" spans="1:22" ht="18" customHeight="1">
      <c r="A110" s="184"/>
      <c r="B110" s="5"/>
      <c r="C110" s="47" t="s">
        <v>715</v>
      </c>
      <c r="D110" s="14"/>
      <c r="E110" s="14"/>
      <c r="F110" s="18"/>
      <c r="G110" s="18"/>
      <c r="H110" s="279"/>
      <c r="I110" s="120"/>
      <c r="J110" s="279"/>
      <c r="K110" s="279"/>
      <c r="L110" s="14"/>
      <c r="M110" s="14"/>
      <c r="N110" s="14"/>
      <c r="O110" s="14"/>
      <c r="P110" s="14"/>
      <c r="Q110" s="120" t="s">
        <v>716</v>
      </c>
      <c r="R110" s="102" t="s">
        <v>127</v>
      </c>
      <c r="S110" s="689">
        <v>33</v>
      </c>
      <c r="T110" s="689"/>
      <c r="U110" s="14" t="s">
        <v>163</v>
      </c>
      <c r="V110" s="185"/>
    </row>
    <row r="111" spans="1:22" ht="18" customHeight="1">
      <c r="A111" s="184"/>
      <c r="B111" s="5"/>
      <c r="C111" s="47" t="s">
        <v>546</v>
      </c>
      <c r="D111" s="14"/>
      <c r="E111" s="14"/>
      <c r="F111" s="18"/>
      <c r="G111" s="18"/>
      <c r="H111" s="279"/>
      <c r="I111" s="120"/>
      <c r="J111" s="279"/>
      <c r="K111" s="279"/>
      <c r="L111" s="14"/>
      <c r="M111" s="14"/>
      <c r="N111" s="14"/>
      <c r="O111" s="14"/>
      <c r="P111" s="14"/>
      <c r="Q111" s="120" t="s">
        <v>473</v>
      </c>
      <c r="R111" s="102" t="s">
        <v>127</v>
      </c>
      <c r="S111" s="689">
        <f>J96</f>
        <v>900</v>
      </c>
      <c r="T111" s="689"/>
      <c r="U111" s="14" t="s">
        <v>305</v>
      </c>
      <c r="V111" s="185"/>
    </row>
    <row r="112" spans="1:22" ht="18" customHeight="1">
      <c r="A112" s="184"/>
      <c r="B112" s="5"/>
      <c r="C112" s="47" t="s">
        <v>717</v>
      </c>
      <c r="D112" s="14"/>
      <c r="E112" s="14"/>
      <c r="F112" s="18"/>
      <c r="G112" s="18"/>
      <c r="H112" s="279"/>
      <c r="I112" s="120"/>
      <c r="J112" s="279"/>
      <c r="K112" s="279"/>
      <c r="L112" s="14"/>
      <c r="M112" s="14"/>
      <c r="N112" s="14"/>
      <c r="O112" s="14"/>
      <c r="P112" s="14"/>
      <c r="Q112" s="120" t="s">
        <v>420</v>
      </c>
      <c r="R112" s="102" t="s">
        <v>127</v>
      </c>
      <c r="S112" s="692">
        <f>P104</f>
        <v>5</v>
      </c>
      <c r="T112" s="689"/>
      <c r="U112" s="14" t="s">
        <v>157</v>
      </c>
      <c r="V112" s="185"/>
    </row>
    <row r="113" spans="1:25" ht="18" customHeight="1">
      <c r="A113" s="184"/>
      <c r="B113" s="5"/>
      <c r="C113" s="47" t="s">
        <v>718</v>
      </c>
      <c r="D113" s="14"/>
      <c r="E113" s="14"/>
      <c r="F113" s="18"/>
      <c r="G113" s="18"/>
      <c r="H113" s="279"/>
      <c r="I113" s="120"/>
      <c r="J113" s="279"/>
      <c r="K113" s="279"/>
      <c r="L113" s="14"/>
      <c r="M113" s="14"/>
      <c r="N113" s="14"/>
      <c r="O113" s="14"/>
      <c r="P113" s="14"/>
      <c r="Q113" s="120" t="s">
        <v>522</v>
      </c>
      <c r="R113" s="102" t="s">
        <v>127</v>
      </c>
      <c r="S113" s="692">
        <f>J105</f>
        <v>1.0870224400000001</v>
      </c>
      <c r="T113" s="689"/>
      <c r="U113" s="14" t="s">
        <v>157</v>
      </c>
      <c r="V113" s="185"/>
    </row>
    <row r="114" spans="1:25" ht="18" customHeight="1">
      <c r="A114" s="168"/>
      <c r="B114" s="5"/>
      <c r="C114" s="47" t="s">
        <v>549</v>
      </c>
      <c r="D114" s="14"/>
      <c r="E114" s="14"/>
      <c r="F114" s="14"/>
      <c r="G114" s="14"/>
      <c r="H114" s="279"/>
      <c r="I114" s="120"/>
      <c r="J114" s="279"/>
      <c r="K114" s="279"/>
      <c r="L114" s="14"/>
      <c r="M114" s="14"/>
      <c r="N114" s="14"/>
      <c r="O114" s="14"/>
      <c r="P114" s="14"/>
      <c r="Q114" s="120" t="s">
        <v>714</v>
      </c>
      <c r="R114" s="102" t="s">
        <v>127</v>
      </c>
      <c r="S114" s="689">
        <f>O93</f>
        <v>1</v>
      </c>
      <c r="T114" s="689"/>
      <c r="U114" s="14" t="s">
        <v>8</v>
      </c>
      <c r="V114" s="185"/>
    </row>
    <row r="115" spans="1:25" ht="18" customHeight="1">
      <c r="A115" s="168"/>
      <c r="B115" s="5"/>
      <c r="C115" s="47" t="s">
        <v>719</v>
      </c>
      <c r="D115" s="14"/>
      <c r="E115" s="14"/>
      <c r="F115" s="14"/>
      <c r="G115" s="14"/>
      <c r="H115" s="279"/>
      <c r="I115" s="120"/>
      <c r="J115" s="279"/>
      <c r="K115" s="279"/>
      <c r="L115" s="14"/>
      <c r="M115" s="14"/>
      <c r="N115" s="14"/>
      <c r="O115" s="14"/>
      <c r="P115" s="14"/>
      <c r="Q115" s="120" t="s">
        <v>720</v>
      </c>
      <c r="R115" s="102" t="s">
        <v>127</v>
      </c>
      <c r="S115" s="689">
        <v>50</v>
      </c>
      <c r="T115" s="689"/>
      <c r="U115" s="47"/>
      <c r="V115" s="185"/>
    </row>
    <row r="116" spans="1:25" ht="18" customHeight="1">
      <c r="A116" s="168"/>
      <c r="B116" s="279"/>
      <c r="C116" s="47"/>
      <c r="D116" s="14"/>
      <c r="E116" s="14"/>
      <c r="F116" s="14"/>
      <c r="G116" s="14"/>
      <c r="H116" s="279"/>
      <c r="I116" s="120"/>
      <c r="J116" s="279"/>
      <c r="K116" s="279"/>
      <c r="L116" s="14"/>
      <c r="M116" s="14"/>
      <c r="N116" s="279"/>
      <c r="O116" s="279"/>
      <c r="P116" s="14"/>
      <c r="Q116" s="120"/>
      <c r="R116" s="14"/>
      <c r="S116" s="279"/>
      <c r="T116" s="279"/>
      <c r="U116" s="279"/>
      <c r="V116" s="300"/>
    </row>
    <row r="117" spans="1:25" ht="18" customHeight="1">
      <c r="A117" s="168"/>
      <c r="C117" s="18" t="s">
        <v>721</v>
      </c>
      <c r="D117" s="14"/>
      <c r="E117" s="14"/>
      <c r="F117" s="14"/>
      <c r="G117" s="14"/>
      <c r="H117" s="14"/>
      <c r="I117" s="14"/>
      <c r="J117" s="14"/>
      <c r="K117" s="14"/>
      <c r="L117" s="14"/>
      <c r="M117" s="14"/>
      <c r="N117" s="14"/>
      <c r="O117" s="14"/>
      <c r="P117" s="14"/>
      <c r="Q117" s="14"/>
      <c r="R117" s="14"/>
      <c r="S117" s="14"/>
      <c r="T117" s="14"/>
      <c r="U117" s="14"/>
      <c r="V117" s="185"/>
      <c r="W117" s="279"/>
      <c r="X117" s="279"/>
      <c r="Y117" s="279"/>
    </row>
    <row r="118" spans="1:25" ht="18" customHeight="1">
      <c r="A118" s="168"/>
      <c r="C118" s="28"/>
      <c r="D118" s="47" t="s">
        <v>722</v>
      </c>
      <c r="E118" s="28"/>
      <c r="F118" s="28"/>
      <c r="G118" s="28"/>
      <c r="H118" s="14"/>
      <c r="I118" s="14"/>
      <c r="J118" s="28"/>
      <c r="K118" s="28"/>
      <c r="L118" s="28"/>
      <c r="M118" s="28"/>
      <c r="N118" s="47"/>
      <c r="O118" s="28"/>
      <c r="V118" s="185"/>
      <c r="X118" s="279"/>
      <c r="Y118" s="279"/>
    </row>
    <row r="119" spans="1:25" ht="18" customHeight="1">
      <c r="A119" s="168"/>
      <c r="D119" s="27"/>
      <c r="E119" s="27"/>
      <c r="F119" s="27"/>
      <c r="G119" s="27"/>
      <c r="I119" s="689" t="s">
        <v>723</v>
      </c>
      <c r="J119" s="689" t="s">
        <v>127</v>
      </c>
      <c r="K119" s="695" t="s">
        <v>714</v>
      </c>
      <c r="L119" s="695"/>
      <c r="M119" s="27"/>
      <c r="N119" s="296"/>
      <c r="O119" s="222"/>
      <c r="V119" s="185"/>
      <c r="X119" s="279"/>
      <c r="Y119" s="279"/>
    </row>
    <row r="120" spans="1:25" ht="18" customHeight="1">
      <c r="A120" s="168"/>
      <c r="D120" s="27"/>
      <c r="G120" s="27"/>
      <c r="I120" s="689"/>
      <c r="J120" s="689"/>
      <c r="K120" s="1289" t="s">
        <v>724</v>
      </c>
      <c r="L120" s="1289"/>
      <c r="V120" s="185"/>
    </row>
    <row r="121" spans="1:25" ht="18" customHeight="1">
      <c r="A121" s="184"/>
      <c r="B121" s="18" t="s">
        <v>725</v>
      </c>
      <c r="C121" s="14"/>
      <c r="V121" s="185"/>
    </row>
    <row r="122" spans="1:25" ht="18" customHeight="1">
      <c r="A122" s="184"/>
      <c r="B122" s="28"/>
      <c r="C122" s="372" t="s">
        <v>726</v>
      </c>
      <c r="D122" s="14"/>
      <c r="E122" s="14"/>
      <c r="F122" s="14"/>
      <c r="G122" s="14"/>
      <c r="H122" s="14"/>
      <c r="I122" s="14"/>
      <c r="J122" s="14"/>
      <c r="K122" s="14"/>
      <c r="L122" s="14"/>
      <c r="M122" s="14"/>
      <c r="N122" s="14"/>
      <c r="O122" s="14"/>
      <c r="P122" s="28"/>
      <c r="Q122" s="120"/>
      <c r="R122" s="14"/>
      <c r="S122" s="14"/>
      <c r="T122" s="14"/>
      <c r="U122" s="14"/>
      <c r="V122" s="185"/>
    </row>
    <row r="123" spans="1:25" ht="18" customHeight="1">
      <c r="A123" s="184"/>
      <c r="B123" s="28"/>
      <c r="C123" s="7" t="s">
        <v>727</v>
      </c>
      <c r="D123" s="14"/>
      <c r="E123" s="14"/>
      <c r="F123" s="14"/>
      <c r="G123" s="14"/>
      <c r="H123" s="14"/>
      <c r="K123" s="14"/>
      <c r="L123" s="28"/>
      <c r="M123" s="47"/>
      <c r="N123" s="14"/>
      <c r="O123" s="14"/>
      <c r="P123" s="14"/>
      <c r="Q123" s="14"/>
      <c r="R123" s="14"/>
      <c r="S123" s="14"/>
      <c r="T123" s="14"/>
      <c r="U123" s="14"/>
      <c r="V123" s="185"/>
    </row>
    <row r="124" spans="1:25" ht="18" customHeight="1">
      <c r="A124" s="184"/>
      <c r="B124" s="14" t="s">
        <v>728</v>
      </c>
      <c r="C124" s="7"/>
      <c r="D124" s="14"/>
      <c r="E124" s="14"/>
      <c r="F124" s="268"/>
      <c r="K124" s="28"/>
      <c r="L124" s="28"/>
      <c r="M124" s="281"/>
      <c r="N124" s="28"/>
      <c r="O124" s="47"/>
      <c r="P124" s="14"/>
      <c r="Q124" s="14"/>
      <c r="R124" s="14"/>
      <c r="S124" s="14"/>
      <c r="T124" s="14"/>
      <c r="U124" s="14"/>
      <c r="V124" s="185"/>
    </row>
    <row r="125" spans="1:25" ht="18" customHeight="1">
      <c r="A125" s="184"/>
      <c r="B125" s="14"/>
      <c r="C125" s="14" t="s">
        <v>729</v>
      </c>
      <c r="D125" s="47"/>
      <c r="E125" s="14"/>
      <c r="F125" s="268"/>
      <c r="K125" s="28"/>
      <c r="L125" s="28"/>
      <c r="M125" s="14"/>
      <c r="N125" s="14"/>
      <c r="O125" s="14"/>
      <c r="P125" s="14"/>
      <c r="Q125" s="14"/>
      <c r="R125" s="14"/>
      <c r="S125" s="14"/>
      <c r="T125" s="14"/>
      <c r="U125" s="14"/>
      <c r="V125" s="185"/>
    </row>
    <row r="126" spans="1:25" ht="18" customHeight="1">
      <c r="A126" s="184"/>
      <c r="B126" s="14"/>
      <c r="C126" s="7" t="s">
        <v>730</v>
      </c>
      <c r="D126" s="14"/>
      <c r="E126" s="14"/>
      <c r="F126" s="14"/>
      <c r="G126" s="14"/>
      <c r="H126" s="14"/>
      <c r="K126" s="28"/>
      <c r="L126" s="28"/>
      <c r="M126" s="47"/>
      <c r="N126" s="14"/>
      <c r="O126" s="14"/>
      <c r="P126" s="14"/>
      <c r="Q126" s="14"/>
      <c r="R126" s="14"/>
      <c r="S126" s="14"/>
      <c r="T126" s="14"/>
      <c r="U126" s="14"/>
      <c r="V126" s="185"/>
    </row>
    <row r="127" spans="1:25" ht="18" customHeight="1">
      <c r="A127" s="184"/>
      <c r="B127" s="14"/>
      <c r="C127" s="7" t="s">
        <v>731</v>
      </c>
      <c r="K127" s="28"/>
      <c r="L127" s="28"/>
      <c r="M127" s="28"/>
      <c r="O127" s="14"/>
      <c r="P127" s="28"/>
      <c r="Q127" s="278"/>
      <c r="R127" s="28"/>
      <c r="S127" s="14"/>
      <c r="T127" s="14"/>
      <c r="U127" s="14"/>
      <c r="V127" s="185"/>
    </row>
    <row r="128" spans="1:25" ht="18" customHeight="1">
      <c r="A128" s="452"/>
      <c r="B128" s="207"/>
      <c r="C128" s="207"/>
      <c r="D128" s="207"/>
      <c r="E128" s="207"/>
      <c r="F128" s="207"/>
      <c r="G128" s="207"/>
      <c r="H128" s="207"/>
      <c r="I128" s="207"/>
      <c r="J128" s="207"/>
      <c r="K128" s="259" t="s">
        <v>129</v>
      </c>
      <c r="L128" s="259" t="s">
        <v>732</v>
      </c>
      <c r="M128" s="190"/>
      <c r="N128" s="259"/>
      <c r="O128" s="259"/>
      <c r="P128" s="229"/>
      <c r="Q128" s="473"/>
      <c r="R128" s="229"/>
      <c r="S128" s="259"/>
      <c r="T128" s="259"/>
      <c r="U128" s="259"/>
      <c r="V128" s="453"/>
    </row>
    <row r="129" spans="1:22"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customHeight="1">
      <c r="A130" s="226"/>
      <c r="B130" s="273"/>
      <c r="C130" s="273"/>
      <c r="D130" s="227"/>
      <c r="E130" s="227"/>
      <c r="F130" s="227"/>
      <c r="G130" s="227"/>
      <c r="H130" s="227"/>
      <c r="I130" s="227"/>
      <c r="J130" s="227"/>
      <c r="K130" s="311"/>
      <c r="L130" s="311"/>
      <c r="M130" s="227"/>
      <c r="N130" s="227"/>
      <c r="O130" s="311"/>
      <c r="P130" s="311"/>
      <c r="Q130" s="138"/>
      <c r="R130" s="227"/>
      <c r="S130" s="227"/>
      <c r="T130" s="273"/>
      <c r="U130" s="273"/>
      <c r="V130" s="228"/>
    </row>
    <row r="131" spans="1:22" ht="18" customHeight="1">
      <c r="A131" s="96"/>
      <c r="B131" s="7" t="s">
        <v>733</v>
      </c>
      <c r="C131" s="7"/>
      <c r="D131" s="14"/>
      <c r="E131" s="7"/>
      <c r="F131" s="7"/>
      <c r="L131" s="27"/>
      <c r="O131" s="27"/>
      <c r="P131" s="27"/>
      <c r="Q131" s="28"/>
      <c r="T131" s="14"/>
      <c r="U131" s="14"/>
      <c r="V131" s="185"/>
    </row>
    <row r="132" spans="1:22" ht="18" customHeight="1">
      <c r="A132" s="96"/>
      <c r="B132" s="14"/>
      <c r="C132" s="7"/>
      <c r="D132" s="7"/>
      <c r="E132" s="14"/>
      <c r="F132" s="7"/>
      <c r="L132" s="27"/>
      <c r="M132" s="14"/>
      <c r="O132" s="14"/>
      <c r="P132" s="14"/>
      <c r="Q132" s="14"/>
      <c r="R132" s="14"/>
      <c r="S132" s="14"/>
      <c r="T132" s="14"/>
      <c r="U132" s="14"/>
      <c r="V132" s="185"/>
    </row>
    <row r="133" spans="1:22" ht="18" customHeight="1">
      <c r="A133" s="96"/>
      <c r="B133" s="14"/>
      <c r="C133" s="120" t="s">
        <v>734</v>
      </c>
      <c r="D133" s="28" t="s">
        <v>127</v>
      </c>
      <c r="E133" s="805">
        <f>S108</f>
        <v>31500</v>
      </c>
      <c r="F133" s="805"/>
      <c r="G133" s="14"/>
      <c r="H133" s="14"/>
      <c r="I133" s="102"/>
      <c r="J133" s="47"/>
      <c r="K133" s="47"/>
      <c r="L133" s="14"/>
      <c r="M133" s="14"/>
      <c r="N133" s="14"/>
      <c r="O133" s="14"/>
      <c r="P133" s="14"/>
      <c r="Q133" s="14"/>
      <c r="R133" s="14"/>
      <c r="S133" s="14"/>
      <c r="T133" s="14"/>
      <c r="U133" s="14"/>
      <c r="V133" s="185"/>
    </row>
    <row r="134" spans="1:22" ht="18" customHeight="1">
      <c r="A134" s="96"/>
      <c r="B134" s="14"/>
      <c r="C134" s="120"/>
      <c r="D134" s="28"/>
      <c r="E134" s="978" t="str">
        <f>"5 x "&amp;S109&amp;""</f>
        <v>5 x 3200</v>
      </c>
      <c r="F134" s="978"/>
      <c r="G134" s="28"/>
      <c r="H134" s="257"/>
      <c r="K134" s="28"/>
      <c r="L134" s="218"/>
      <c r="M134" s="257"/>
      <c r="O134" s="14"/>
      <c r="P134" s="14"/>
      <c r="Q134" s="14"/>
      <c r="R134" s="14"/>
      <c r="S134" s="14"/>
      <c r="T134" s="14"/>
      <c r="U134" s="14"/>
      <c r="V134" s="185"/>
    </row>
    <row r="135" spans="1:22" ht="18" customHeight="1">
      <c r="A135" s="96"/>
      <c r="J135" s="14"/>
      <c r="K135" s="257"/>
      <c r="M135" s="14"/>
      <c r="N135" s="14"/>
      <c r="O135" s="14"/>
      <c r="P135" s="14"/>
      <c r="Q135" s="14"/>
      <c r="R135" s="14"/>
      <c r="S135" s="14"/>
      <c r="T135" s="14"/>
      <c r="U135" s="14"/>
      <c r="V135" s="185"/>
    </row>
    <row r="136" spans="1:22" ht="18" customHeight="1">
      <c r="A136" s="96"/>
      <c r="C136" s="458" t="s">
        <v>734</v>
      </c>
      <c r="D136" s="182" t="s">
        <v>127</v>
      </c>
      <c r="E136" s="1288">
        <f>S108/5/S109</f>
        <v>1.96875</v>
      </c>
      <c r="F136" s="722"/>
      <c r="G136" s="27"/>
      <c r="H136" s="27"/>
      <c r="I136" s="27"/>
      <c r="J136" s="120"/>
      <c r="K136" s="28"/>
      <c r="L136" s="120"/>
      <c r="M136" s="28"/>
      <c r="N136" s="120"/>
      <c r="O136" s="28"/>
      <c r="P136" s="120"/>
      <c r="Q136" s="296"/>
      <c r="V136" s="185"/>
    </row>
    <row r="137" spans="1:22" ht="18" customHeight="1">
      <c r="A137" s="96"/>
      <c r="C137" s="120"/>
      <c r="D137" s="28"/>
      <c r="E137" s="218"/>
      <c r="F137" s="218"/>
      <c r="G137" s="27"/>
      <c r="H137" s="27"/>
      <c r="I137" s="27"/>
      <c r="J137" s="120"/>
      <c r="K137" s="28"/>
      <c r="L137" s="120"/>
      <c r="M137" s="28"/>
      <c r="N137" s="120"/>
      <c r="O137" s="28"/>
      <c r="P137" s="120"/>
      <c r="Q137" s="296"/>
      <c r="V137" s="185"/>
    </row>
    <row r="138" spans="1:22" ht="18" customHeight="1">
      <c r="A138" s="96"/>
      <c r="B138" s="14" t="s">
        <v>735</v>
      </c>
      <c r="C138" s="14"/>
      <c r="D138" s="14"/>
      <c r="E138" s="7"/>
      <c r="F138" s="102"/>
      <c r="G138" s="7"/>
      <c r="H138" s="7"/>
      <c r="I138" s="239"/>
      <c r="J138" s="120"/>
      <c r="K138" s="28"/>
      <c r="L138" s="120"/>
      <c r="M138" s="28"/>
      <c r="N138" s="120"/>
      <c r="O138" s="28"/>
      <c r="P138" s="120"/>
      <c r="Q138" s="296"/>
      <c r="V138" s="185"/>
    </row>
    <row r="139" spans="1:22" ht="18" customHeight="1">
      <c r="A139" s="96"/>
      <c r="C139" s="14"/>
      <c r="D139" s="14"/>
      <c r="E139" s="689" t="s">
        <v>736</v>
      </c>
      <c r="F139" s="689">
        <v>1</v>
      </c>
      <c r="G139" s="689"/>
      <c r="H139" s="689" t="s">
        <v>312</v>
      </c>
      <c r="I139" s="459" t="s">
        <v>312</v>
      </c>
      <c r="J139" s="120"/>
      <c r="K139" s="28"/>
      <c r="L139" s="120"/>
      <c r="M139" s="28"/>
      <c r="N139" s="120"/>
      <c r="O139" s="28"/>
      <c r="P139" s="120"/>
      <c r="Q139" s="296"/>
      <c r="V139" s="185"/>
    </row>
    <row r="140" spans="1:22" ht="18" customHeight="1">
      <c r="A140" s="96"/>
      <c r="C140" s="14"/>
      <c r="D140" s="14"/>
      <c r="E140" s="723"/>
      <c r="F140" s="273"/>
      <c r="G140" s="274" t="s">
        <v>737</v>
      </c>
      <c r="H140" s="689"/>
      <c r="I140" s="14" t="s">
        <v>141</v>
      </c>
      <c r="J140" s="120"/>
      <c r="K140" s="28"/>
      <c r="L140" s="120"/>
      <c r="M140" s="28"/>
      <c r="N140" s="120"/>
      <c r="O140" s="28"/>
      <c r="P140" s="120"/>
      <c r="Q140" s="296"/>
      <c r="V140" s="185"/>
    </row>
    <row r="141" spans="1:22" ht="18" customHeight="1">
      <c r="A141" s="96"/>
      <c r="C141" s="120"/>
      <c r="D141" s="28"/>
      <c r="E141" s="218"/>
      <c r="F141" s="218"/>
      <c r="G141" s="27"/>
      <c r="H141" s="27"/>
      <c r="I141" s="27"/>
      <c r="J141" s="120"/>
      <c r="K141" s="28"/>
      <c r="L141" s="120"/>
      <c r="M141" s="28"/>
      <c r="N141" s="120"/>
      <c r="O141" s="28"/>
      <c r="P141" s="120"/>
      <c r="Q141" s="296"/>
      <c r="V141" s="185"/>
    </row>
    <row r="142" spans="1:22" ht="18" customHeight="1">
      <c r="A142" s="96"/>
      <c r="B142" s="30" t="s">
        <v>959</v>
      </c>
      <c r="J142" s="120"/>
      <c r="K142" s="28"/>
      <c r="L142" s="120"/>
      <c r="M142" s="28"/>
      <c r="N142" s="121" t="s">
        <v>127</v>
      </c>
      <c r="O142" s="47">
        <v>15</v>
      </c>
      <c r="P142" s="120"/>
      <c r="Q142" s="296"/>
      <c r="V142" s="185"/>
    </row>
    <row r="143" spans="1:22" ht="18" customHeight="1">
      <c r="A143" s="184"/>
      <c r="C143" s="120"/>
      <c r="D143" s="28"/>
      <c r="E143" s="218"/>
      <c r="F143" s="218"/>
      <c r="G143" s="27"/>
      <c r="H143" s="27"/>
      <c r="I143" s="27"/>
      <c r="J143" s="120"/>
      <c r="K143" s="28"/>
      <c r="L143" s="120"/>
      <c r="M143" s="28"/>
      <c r="N143" s="120"/>
      <c r="O143" s="28"/>
      <c r="P143" s="120"/>
      <c r="Q143" s="296"/>
      <c r="V143" s="185"/>
    </row>
    <row r="144" spans="1:22" ht="18" customHeight="1">
      <c r="A144" s="96"/>
      <c r="C144" s="120"/>
      <c r="F144" s="708">
        <v>1</v>
      </c>
      <c r="G144" s="708"/>
      <c r="H144" s="708"/>
      <c r="I144" s="27"/>
      <c r="J144" s="689" t="s">
        <v>315</v>
      </c>
      <c r="K144" s="1286">
        <f>O142</f>
        <v>15</v>
      </c>
      <c r="L144" s="120"/>
      <c r="M144" s="28"/>
      <c r="N144" s="120"/>
      <c r="O144" s="28"/>
      <c r="P144" s="120"/>
      <c r="Q144" s="296"/>
      <c r="V144" s="185"/>
    </row>
    <row r="145" spans="1:22" ht="18" customHeight="1">
      <c r="A145" s="184"/>
      <c r="C145" s="120"/>
      <c r="D145" s="120" t="s">
        <v>738</v>
      </c>
      <c r="E145" s="102" t="s">
        <v>127</v>
      </c>
      <c r="F145" s="14" t="s">
        <v>739</v>
      </c>
      <c r="I145" s="27"/>
      <c r="J145" s="684"/>
      <c r="K145" s="1251"/>
      <c r="L145" s="120"/>
      <c r="M145" s="28"/>
      <c r="N145" s="120"/>
      <c r="O145" s="28"/>
      <c r="P145" s="120"/>
      <c r="Q145" s="296"/>
      <c r="V145" s="185"/>
    </row>
    <row r="146" spans="1:22" ht="18" customHeight="1">
      <c r="A146" s="184"/>
      <c r="C146" s="120"/>
      <c r="D146" s="28"/>
      <c r="E146" s="218" t="s">
        <v>127</v>
      </c>
      <c r="F146" s="1287">
        <f>1*O142/(2*3.14*50)</f>
        <v>4.7770700636942678E-2</v>
      </c>
      <c r="G146" s="1287"/>
      <c r="H146" s="28" t="s">
        <v>740</v>
      </c>
      <c r="I146" s="27"/>
      <c r="J146" s="120"/>
      <c r="K146" s="28"/>
      <c r="L146" s="120"/>
      <c r="M146" s="28"/>
      <c r="N146" s="120"/>
      <c r="O146" s="28"/>
      <c r="P146" s="120"/>
      <c r="Q146" s="296"/>
      <c r="V146" s="185"/>
    </row>
    <row r="147" spans="1:22" ht="18" customHeight="1">
      <c r="A147" s="184"/>
      <c r="C147" s="120"/>
      <c r="D147" s="120" t="s">
        <v>738</v>
      </c>
      <c r="E147" s="218" t="s">
        <v>127</v>
      </c>
      <c r="F147" s="1188">
        <f>F146*1000</f>
        <v>47.770700636942678</v>
      </c>
      <c r="G147" s="1188"/>
      <c r="H147" s="28" t="s">
        <v>343</v>
      </c>
      <c r="I147" s="27"/>
      <c r="J147" s="120"/>
      <c r="K147" s="28"/>
      <c r="L147" s="120"/>
      <c r="M147" s="28"/>
      <c r="N147" s="120"/>
      <c r="O147" s="28"/>
      <c r="P147" s="120"/>
      <c r="Q147" s="296"/>
      <c r="V147" s="185"/>
    </row>
    <row r="148" spans="1:22" ht="18" customHeight="1">
      <c r="A148" s="184"/>
      <c r="B148" s="14" t="s">
        <v>741</v>
      </c>
      <c r="E148" s="28" t="s">
        <v>127</v>
      </c>
      <c r="F148" s="27">
        <v>10</v>
      </c>
      <c r="G148" s="27"/>
      <c r="H148" s="245"/>
      <c r="I148" s="245"/>
      <c r="J148" s="460"/>
      <c r="K148" s="245"/>
      <c r="L148" s="460"/>
      <c r="M148" s="245"/>
      <c r="N148" s="460"/>
      <c r="O148" s="245"/>
      <c r="P148" s="460"/>
      <c r="Q148" s="461"/>
      <c r="V148" s="185"/>
    </row>
    <row r="149" spans="1:22" ht="18" customHeight="1">
      <c r="A149" s="184"/>
      <c r="G149" s="27"/>
      <c r="H149" s="245"/>
      <c r="I149" s="245"/>
      <c r="J149" s="460"/>
      <c r="K149" s="245"/>
      <c r="L149" s="460"/>
      <c r="M149" s="245"/>
      <c r="N149" s="460"/>
      <c r="O149" s="245"/>
      <c r="P149" s="460"/>
      <c r="Q149" s="461"/>
      <c r="V149" s="185"/>
    </row>
    <row r="150" spans="1:22" ht="18" customHeight="1">
      <c r="A150" s="184"/>
      <c r="B150" s="7" t="s">
        <v>742</v>
      </c>
      <c r="F150" s="7"/>
      <c r="G150" s="7"/>
      <c r="H150" s="204"/>
      <c r="I150" s="204"/>
      <c r="V150" s="185"/>
    </row>
    <row r="151" spans="1:22" ht="18" customHeight="1">
      <c r="A151" s="184"/>
      <c r="B151" s="7"/>
      <c r="E151" s="14" t="s">
        <v>754</v>
      </c>
      <c r="F151" s="7"/>
      <c r="G151" s="7"/>
      <c r="V151" s="185"/>
    </row>
    <row r="152" spans="1:22" ht="18" customHeight="1">
      <c r="A152" s="184"/>
      <c r="B152" s="14" t="s">
        <v>744</v>
      </c>
      <c r="C152" s="14"/>
      <c r="D152" s="14"/>
      <c r="E152" s="14"/>
      <c r="F152" s="14"/>
      <c r="G152" s="120"/>
      <c r="H152" s="120"/>
      <c r="V152" s="185"/>
    </row>
    <row r="153" spans="1:22" ht="18" customHeight="1">
      <c r="A153" s="184"/>
      <c r="B153" s="14"/>
      <c r="C153" s="120" t="s">
        <v>745</v>
      </c>
      <c r="D153" s="28" t="s">
        <v>127</v>
      </c>
      <c r="E153" s="1188">
        <f>MAX(E136,F148)</f>
        <v>10</v>
      </c>
      <c r="F153" s="1188"/>
      <c r="G153" s="47" t="s">
        <v>746</v>
      </c>
      <c r="H153" s="120"/>
      <c r="V153" s="185"/>
    </row>
    <row r="154" spans="1:22" ht="18" customHeight="1">
      <c r="A154" s="184"/>
      <c r="B154" s="7"/>
      <c r="E154" s="14"/>
      <c r="F154" s="7"/>
      <c r="G154" s="7"/>
      <c r="V154" s="185"/>
    </row>
    <row r="155" spans="1:22" ht="18" customHeight="1">
      <c r="A155" s="184"/>
      <c r="B155" s="47" t="s">
        <v>747</v>
      </c>
      <c r="E155" s="14"/>
      <c r="F155" s="7"/>
      <c r="G155" s="7"/>
      <c r="V155" s="185"/>
    </row>
    <row r="156" spans="1:22" ht="18" customHeight="1">
      <c r="A156" s="184"/>
      <c r="B156" s="47" t="s">
        <v>748</v>
      </c>
      <c r="E156" s="14"/>
      <c r="F156" s="7"/>
      <c r="G156" s="7"/>
      <c r="V156" s="185"/>
    </row>
    <row r="157" spans="1:22" ht="18" customHeight="1" thickBot="1">
      <c r="A157" s="184"/>
      <c r="B157" s="102" t="s">
        <v>127</v>
      </c>
      <c r="C157" s="120">
        <f>E153</f>
        <v>10</v>
      </c>
      <c r="D157" s="28" t="s">
        <v>315</v>
      </c>
      <c r="E157" s="28" t="s">
        <v>419</v>
      </c>
      <c r="F157" s="692">
        <f>S112</f>
        <v>5</v>
      </c>
      <c r="G157" s="692"/>
      <c r="H157" s="102" t="s">
        <v>347</v>
      </c>
      <c r="I157" s="218">
        <f>S113</f>
        <v>1.0870224400000001</v>
      </c>
      <c r="J157" s="240" t="s">
        <v>347</v>
      </c>
      <c r="K157" s="281">
        <f>J101</f>
        <v>0.01</v>
      </c>
      <c r="L157" s="14" t="s">
        <v>350</v>
      </c>
      <c r="M157" s="14" t="s">
        <v>315</v>
      </c>
      <c r="N157" s="28">
        <v>1</v>
      </c>
      <c r="V157" s="185"/>
    </row>
    <row r="158" spans="1:22" ht="18" customHeight="1" thickBot="1">
      <c r="A158" s="184"/>
      <c r="B158" s="462" t="s">
        <v>528</v>
      </c>
      <c r="C158" s="463" t="s">
        <v>127</v>
      </c>
      <c r="D158" s="464">
        <f>C157*(F157+I157+K157)*N157</f>
        <v>60.970224399999999</v>
      </c>
      <c r="E158" s="14" t="s">
        <v>305</v>
      </c>
      <c r="F158" s="7"/>
      <c r="G158" s="7"/>
      <c r="V158" s="185"/>
    </row>
    <row r="159" spans="1:22" ht="18" customHeight="1">
      <c r="A159" s="184"/>
      <c r="B159" s="7"/>
      <c r="E159" s="14"/>
      <c r="F159" s="7"/>
      <c r="G159" s="7"/>
      <c r="V159" s="185"/>
    </row>
    <row r="160" spans="1:22" ht="18" customHeight="1">
      <c r="A160" s="184"/>
      <c r="B160" s="47" t="s">
        <v>749</v>
      </c>
      <c r="E160" s="14"/>
      <c r="F160" s="7"/>
      <c r="G160" s="7"/>
      <c r="J160" s="14" t="s">
        <v>750</v>
      </c>
      <c r="L160" s="28" t="s">
        <v>476</v>
      </c>
      <c r="N160" s="14" t="s">
        <v>751</v>
      </c>
      <c r="V160" s="185"/>
    </row>
    <row r="161" spans="1:22" ht="18" customHeight="1">
      <c r="A161" s="184"/>
      <c r="B161" s="7"/>
      <c r="E161" s="14"/>
      <c r="F161" s="7"/>
      <c r="G161" s="7"/>
      <c r="L161" s="28" t="s">
        <v>127</v>
      </c>
      <c r="N161" s="1251">
        <f>0.8*D158</f>
        <v>48.776179519999999</v>
      </c>
      <c r="O161" s="1251"/>
      <c r="V161" s="185"/>
    </row>
    <row r="162" spans="1:22" ht="18" customHeight="1">
      <c r="A162" s="184"/>
      <c r="B162" s="7"/>
      <c r="E162" s="14"/>
      <c r="F162" s="14" t="s">
        <v>752</v>
      </c>
      <c r="G162" s="7"/>
      <c r="L162" s="28" t="s">
        <v>127</v>
      </c>
      <c r="N162" s="1072">
        <f>N161*1.2</f>
        <v>58.531415423999995</v>
      </c>
      <c r="O162" s="1072"/>
      <c r="V162" s="185"/>
    </row>
    <row r="163" spans="1:22" ht="18" customHeight="1">
      <c r="A163" s="184"/>
      <c r="B163" s="7"/>
      <c r="E163" s="14"/>
      <c r="F163" s="7"/>
      <c r="G163" s="7"/>
      <c r="K163" s="199" t="s">
        <v>475</v>
      </c>
      <c r="L163" s="28" t="str">
        <f>IF(J164&gt;M164,"&gt;","&lt;")</f>
        <v>&gt;</v>
      </c>
      <c r="M163" s="257" t="s">
        <v>477</v>
      </c>
      <c r="O163" s="18"/>
      <c r="P163" s="268"/>
      <c r="V163" s="185"/>
    </row>
    <row r="164" spans="1:22" ht="18" customHeight="1">
      <c r="A164" s="184"/>
      <c r="D164" s="211"/>
      <c r="E164" s="211"/>
      <c r="F164" s="27"/>
      <c r="G164" s="211"/>
      <c r="J164" s="795">
        <f>S111</f>
        <v>900</v>
      </c>
      <c r="K164" s="795"/>
      <c r="L164" s="27" t="str">
        <f>IF(J164&gt;=M164,"&gt;","&lt;")</f>
        <v>&gt;</v>
      </c>
      <c r="M164" s="795">
        <f>N162</f>
        <v>58.531415423999995</v>
      </c>
      <c r="N164" s="795"/>
      <c r="P164" s="268"/>
      <c r="V164" s="185"/>
    </row>
    <row r="165" spans="1:22" ht="18" customHeight="1">
      <c r="A165" s="184"/>
      <c r="K165" s="244" t="s">
        <v>478</v>
      </c>
      <c r="M165" s="18" t="str">
        <f>IF(J164&gt;M164,"Suitably Dimensioned","Under Dimensioned")</f>
        <v>Suitably Dimensioned</v>
      </c>
      <c r="V165" s="185"/>
    </row>
    <row r="166" spans="1:22" ht="18" customHeight="1">
      <c r="A166" s="184"/>
      <c r="V166" s="185"/>
    </row>
    <row r="167" spans="1:22" ht="18" hidden="1" customHeight="1">
      <c r="A167" s="184"/>
      <c r="V167" s="185"/>
    </row>
    <row r="168" spans="1:22" ht="18" hidden="1" customHeight="1">
      <c r="A168" s="184"/>
      <c r="V168" s="185"/>
    </row>
    <row r="169" spans="1:22" ht="18" hidden="1" customHeight="1">
      <c r="A169" s="452"/>
      <c r="B169" s="207"/>
      <c r="C169" s="207"/>
      <c r="D169" s="207"/>
      <c r="E169" s="207"/>
      <c r="F169" s="207"/>
      <c r="G169" s="207"/>
      <c r="H169" s="207"/>
      <c r="I169" s="207"/>
      <c r="J169" s="207"/>
      <c r="K169" s="207"/>
      <c r="L169" s="207"/>
      <c r="M169" s="207"/>
      <c r="N169" s="207"/>
      <c r="O169" s="207"/>
      <c r="P169" s="207"/>
      <c r="Q169" s="207"/>
      <c r="R169" s="207"/>
      <c r="S169" s="207"/>
      <c r="T169" s="207"/>
      <c r="U169" s="207"/>
      <c r="V169" s="453"/>
    </row>
    <row r="170" spans="1:22" s="14" customFormat="1" ht="18" hidden="1"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hidden="1" customHeight="1">
      <c r="A171" s="226"/>
      <c r="B171" s="227"/>
      <c r="C171" s="227"/>
      <c r="D171" s="227"/>
      <c r="E171" s="227"/>
      <c r="F171" s="227"/>
      <c r="G171" s="227"/>
      <c r="H171" s="227"/>
      <c r="I171" s="227"/>
      <c r="J171" s="227"/>
      <c r="K171" s="227"/>
      <c r="L171" s="227"/>
      <c r="M171" s="227"/>
      <c r="N171" s="227"/>
      <c r="O171" s="227"/>
      <c r="P171" s="227"/>
      <c r="Q171" s="227"/>
      <c r="R171" s="227"/>
      <c r="S171" s="227"/>
      <c r="T171" s="227"/>
      <c r="U171" s="227"/>
      <c r="V171" s="228"/>
    </row>
    <row r="172" spans="1:22" ht="18" hidden="1" customHeight="1">
      <c r="A172" s="184"/>
      <c r="B172" s="854" t="str">
        <f>B90</f>
        <v>T1</v>
      </c>
      <c r="C172" s="831"/>
      <c r="D172" s="854" t="str">
        <f>D90</f>
        <v>Core2</v>
      </c>
      <c r="E172" s="831"/>
      <c r="F172" s="455"/>
      <c r="H172" s="684" t="str">
        <f>H90</f>
        <v>(Low Imp. Busbar)</v>
      </c>
      <c r="I172" s="684"/>
      <c r="J172" s="684"/>
      <c r="K172" s="684"/>
      <c r="L172" s="684"/>
      <c r="M172" s="684"/>
      <c r="P172" s="186"/>
      <c r="S172" s="187" t="s">
        <v>387</v>
      </c>
      <c r="T172" s="854" t="str">
        <f>T90</f>
        <v>REB500</v>
      </c>
      <c r="U172" s="831"/>
      <c r="V172" s="185"/>
    </row>
    <row r="173" spans="1:22" ht="18" hidden="1" customHeight="1">
      <c r="A173" s="456"/>
      <c r="F173" s="455"/>
      <c r="T173" s="854">
        <f>T91</f>
        <v>0</v>
      </c>
      <c r="U173" s="831"/>
      <c r="V173" s="185"/>
    </row>
    <row r="174" spans="1:22" ht="18" hidden="1" customHeight="1">
      <c r="A174" s="184"/>
      <c r="H174" s="708" t="s">
        <v>390</v>
      </c>
      <c r="I174" s="708"/>
      <c r="J174" s="708" t="s">
        <v>391</v>
      </c>
      <c r="K174" s="708"/>
      <c r="L174" s="789" t="s">
        <v>392</v>
      </c>
      <c r="M174" s="789"/>
      <c r="T174" s="854">
        <f>T92</f>
        <v>0</v>
      </c>
      <c r="U174" s="831"/>
      <c r="V174" s="185"/>
    </row>
    <row r="175" spans="1:22" ht="18" hidden="1" customHeight="1">
      <c r="A175" s="184"/>
      <c r="B175" s="47" t="s">
        <v>393</v>
      </c>
      <c r="H175" s="854">
        <f>H93</f>
        <v>2000</v>
      </c>
      <c r="I175" s="831"/>
      <c r="J175" s="854">
        <f>J93</f>
        <v>3200</v>
      </c>
      <c r="K175" s="831"/>
      <c r="L175" s="863" t="str">
        <f>L93</f>
        <v>-</v>
      </c>
      <c r="M175" s="864"/>
      <c r="N175" s="191" t="s">
        <v>342</v>
      </c>
      <c r="O175" s="256">
        <f>O93</f>
        <v>1</v>
      </c>
      <c r="P175" s="27" t="s">
        <v>8</v>
      </c>
      <c r="R175" s="255"/>
      <c r="S175" s="255"/>
      <c r="V175" s="185"/>
    </row>
    <row r="176" spans="1:22" ht="18" hidden="1" customHeight="1">
      <c r="A176" s="184"/>
      <c r="B176" s="47" t="s">
        <v>394</v>
      </c>
      <c r="H176" s="14"/>
      <c r="K176" s="14"/>
      <c r="L176" s="854" t="str">
        <f>J94</f>
        <v>PX</v>
      </c>
      <c r="M176" s="831"/>
      <c r="N176" s="14"/>
      <c r="V176" s="185"/>
    </row>
    <row r="177" spans="1:23" ht="18" hidden="1" customHeight="1">
      <c r="A177" s="184"/>
      <c r="B177" s="47" t="s">
        <v>396</v>
      </c>
      <c r="K177" s="120" t="s">
        <v>497</v>
      </c>
      <c r="L177" s="781" t="s">
        <v>6</v>
      </c>
      <c r="M177" s="782"/>
      <c r="N177" s="192" t="s">
        <v>333</v>
      </c>
      <c r="V177" s="185"/>
    </row>
    <row r="178" spans="1:23" ht="18" hidden="1" customHeight="1">
      <c r="A178" s="184"/>
      <c r="B178" s="47" t="s">
        <v>398</v>
      </c>
      <c r="K178" s="120" t="s">
        <v>498</v>
      </c>
      <c r="L178" s="781" t="s">
        <v>6</v>
      </c>
      <c r="M178" s="782"/>
      <c r="N178" s="14" t="s">
        <v>305</v>
      </c>
      <c r="V178" s="185"/>
      <c r="W178" s="30" t="e">
        <f>G238</f>
        <v>#VALUE!</v>
      </c>
    </row>
    <row r="179" spans="1:23" ht="18" hidden="1" customHeight="1">
      <c r="A179" s="184"/>
      <c r="B179" s="14" t="s">
        <v>401</v>
      </c>
      <c r="K179" s="120" t="s">
        <v>402</v>
      </c>
      <c r="L179" s="781" t="s">
        <v>6</v>
      </c>
      <c r="M179" s="782"/>
      <c r="N179" s="14" t="s">
        <v>403</v>
      </c>
      <c r="V179" s="185"/>
    </row>
    <row r="180" spans="1:23" ht="18" hidden="1" customHeight="1">
      <c r="A180" s="184"/>
      <c r="V180" s="185"/>
    </row>
    <row r="181" spans="1:23" ht="18" hidden="1" customHeight="1">
      <c r="A181" s="193" t="s">
        <v>404</v>
      </c>
      <c r="V181" s="185"/>
    </row>
    <row r="182" spans="1:23" ht="18" hidden="1" customHeight="1">
      <c r="A182" s="184"/>
      <c r="V182" s="185"/>
    </row>
    <row r="183" spans="1:23" ht="18" hidden="1" customHeight="1">
      <c r="A183" s="184"/>
      <c r="B183" s="135" t="s">
        <v>405</v>
      </c>
      <c r="C183" s="273"/>
      <c r="D183" s="139" t="str">
        <f>T172</f>
        <v>REB500</v>
      </c>
      <c r="E183" s="227"/>
      <c r="F183" s="227"/>
      <c r="G183" s="227"/>
      <c r="H183" s="138"/>
      <c r="I183" s="260" t="s">
        <v>127</v>
      </c>
      <c r="J183" s="722">
        <f>J101</f>
        <v>0.01</v>
      </c>
      <c r="K183" s="958"/>
      <c r="L183" s="3" t="s">
        <v>157</v>
      </c>
      <c r="N183" s="197" t="s">
        <v>510</v>
      </c>
      <c r="V183" s="185"/>
    </row>
    <row r="184" spans="1:23" ht="18" hidden="1" customHeight="1">
      <c r="A184" s="184"/>
      <c r="B184" s="96" t="s">
        <v>405</v>
      </c>
      <c r="C184" s="14"/>
      <c r="D184" s="47">
        <f>T173</f>
        <v>0</v>
      </c>
      <c r="H184" s="28"/>
      <c r="I184" s="101" t="s">
        <v>127</v>
      </c>
      <c r="J184" s="722">
        <f>J102</f>
        <v>0</v>
      </c>
      <c r="K184" s="958"/>
      <c r="L184" s="3" t="s">
        <v>157</v>
      </c>
      <c r="N184" s="120" t="s">
        <v>491</v>
      </c>
      <c r="O184" s="27" t="s">
        <v>127</v>
      </c>
      <c r="P184" s="27" t="s">
        <v>511</v>
      </c>
      <c r="Q184" s="27" t="s">
        <v>315</v>
      </c>
      <c r="R184" s="27" t="s">
        <v>511</v>
      </c>
      <c r="S184" s="27" t="s">
        <v>315</v>
      </c>
      <c r="T184" s="27" t="s">
        <v>420</v>
      </c>
      <c r="V184" s="185"/>
    </row>
    <row r="185" spans="1:23" ht="18" hidden="1" customHeight="1">
      <c r="A185" s="184"/>
      <c r="B185" s="96" t="s">
        <v>405</v>
      </c>
      <c r="C185" s="14"/>
      <c r="D185" s="47">
        <f>T174</f>
        <v>0</v>
      </c>
      <c r="H185" s="28"/>
      <c r="I185" s="101" t="s">
        <v>127</v>
      </c>
      <c r="J185" s="722">
        <f>J103</f>
        <v>0</v>
      </c>
      <c r="K185" s="958"/>
      <c r="L185" s="3" t="s">
        <v>157</v>
      </c>
      <c r="N185" s="27"/>
      <c r="O185" s="27" t="s">
        <v>127</v>
      </c>
      <c r="P185" s="27">
        <f>O175</f>
        <v>1</v>
      </c>
      <c r="Q185" s="27" t="s">
        <v>315</v>
      </c>
      <c r="R185" s="27">
        <f>O175</f>
        <v>1</v>
      </c>
      <c r="S185" s="27" t="s">
        <v>315</v>
      </c>
      <c r="T185" s="27" t="str">
        <f>L177</f>
        <v>-</v>
      </c>
      <c r="V185" s="185"/>
    </row>
    <row r="186" spans="1:23" ht="18" hidden="1" customHeight="1">
      <c r="A186" s="184"/>
      <c r="B186" s="452" t="s">
        <v>412</v>
      </c>
      <c r="C186" s="259"/>
      <c r="D186" s="259"/>
      <c r="E186" s="259"/>
      <c r="F186" s="207"/>
      <c r="G186" s="207"/>
      <c r="H186" s="190"/>
      <c r="I186" s="208" t="s">
        <v>127</v>
      </c>
      <c r="J186" s="1120">
        <f>J104</f>
        <v>1.0770224400000001</v>
      </c>
      <c r="K186" s="987"/>
      <c r="L186" s="297" t="s">
        <v>157</v>
      </c>
      <c r="O186" s="27" t="s">
        <v>127</v>
      </c>
      <c r="P186" s="795" t="e">
        <f>P185*R185*T185</f>
        <v>#VALUE!</v>
      </c>
      <c r="Q186" s="684"/>
      <c r="R186" s="27" t="s">
        <v>157</v>
      </c>
      <c r="V186" s="185"/>
    </row>
    <row r="187" spans="1:23" ht="18" hidden="1" customHeight="1">
      <c r="A187" s="184"/>
      <c r="B187" s="1" t="s">
        <v>413</v>
      </c>
      <c r="C187" s="2"/>
      <c r="D187" s="2"/>
      <c r="E187" s="2"/>
      <c r="F187" s="196"/>
      <c r="G187" s="196"/>
      <c r="H187" s="224" t="s">
        <v>512</v>
      </c>
      <c r="I187" s="183" t="s">
        <v>127</v>
      </c>
      <c r="J187" s="722">
        <f>SUM(J183:J186)</f>
        <v>1.0870224400000001</v>
      </c>
      <c r="K187" s="958"/>
      <c r="L187" s="3" t="s">
        <v>157</v>
      </c>
      <c r="V187" s="185"/>
    </row>
    <row r="188" spans="1:23" ht="18" hidden="1" customHeight="1">
      <c r="A188" s="184"/>
      <c r="B188" s="47"/>
      <c r="C188" s="47"/>
      <c r="D188" s="47"/>
      <c r="E188" s="47"/>
      <c r="H188" s="27"/>
      <c r="I188" s="28"/>
      <c r="J188" s="199"/>
      <c r="L188" s="47"/>
      <c r="S188" s="27"/>
      <c r="V188" s="185"/>
    </row>
    <row r="189" spans="1:23" ht="18" hidden="1" customHeight="1">
      <c r="A189" s="1206" t="s">
        <v>536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3" ht="18" hidden="1" customHeight="1">
      <c r="A191" s="184"/>
      <c r="Q191" s="211"/>
      <c r="R191" s="192"/>
      <c r="V191" s="185"/>
    </row>
    <row r="192" spans="1:23" ht="18" hidden="1" customHeight="1">
      <c r="A192" s="184"/>
      <c r="C192" s="28" t="s">
        <v>473</v>
      </c>
      <c r="D192" s="28" t="s">
        <v>127</v>
      </c>
      <c r="E192" s="28" t="s">
        <v>537</v>
      </c>
      <c r="F192" s="28" t="s">
        <v>493</v>
      </c>
      <c r="G192" s="28" t="s">
        <v>347</v>
      </c>
      <c r="H192" s="28" t="s">
        <v>491</v>
      </c>
      <c r="I192" s="28" t="s">
        <v>538</v>
      </c>
      <c r="J192" s="28" t="s">
        <v>495</v>
      </c>
      <c r="K192" s="28" t="s">
        <v>539</v>
      </c>
      <c r="L192" s="28" t="s">
        <v>511</v>
      </c>
      <c r="M192" s="28" t="s">
        <v>315</v>
      </c>
      <c r="N192" s="28">
        <v>1.3</v>
      </c>
      <c r="O192" s="47" t="s">
        <v>350</v>
      </c>
      <c r="V192" s="185"/>
    </row>
    <row r="193" spans="1:25" ht="18" hidden="1" customHeight="1">
      <c r="A193" s="184" t="s">
        <v>540</v>
      </c>
      <c r="C193" s="14"/>
      <c r="D193" s="28"/>
      <c r="E193" s="14"/>
      <c r="F193" s="14"/>
      <c r="G193" s="14"/>
      <c r="H193" s="14"/>
      <c r="I193" s="14"/>
      <c r="J193" s="14"/>
      <c r="K193" s="14"/>
      <c r="L193" s="14"/>
      <c r="M193" s="14"/>
      <c r="N193" s="14"/>
      <c r="O193" s="14"/>
      <c r="V193" s="185"/>
    </row>
    <row r="194" spans="1:25" ht="18" hidden="1" customHeight="1">
      <c r="A194" s="184"/>
      <c r="C194" s="28" t="s">
        <v>493</v>
      </c>
      <c r="D194" s="28" t="s">
        <v>127</v>
      </c>
      <c r="E194" s="28" t="s">
        <v>537</v>
      </c>
      <c r="F194" s="28">
        <v>1.3</v>
      </c>
      <c r="G194" s="28" t="s">
        <v>315</v>
      </c>
      <c r="H194" s="689" t="s">
        <v>473</v>
      </c>
      <c r="I194" s="716"/>
      <c r="J194" s="28" t="s">
        <v>315</v>
      </c>
      <c r="K194" s="28" t="s">
        <v>511</v>
      </c>
      <c r="L194" s="28" t="s">
        <v>541</v>
      </c>
      <c r="M194" s="28" t="s">
        <v>495</v>
      </c>
      <c r="N194" s="47" t="s">
        <v>542</v>
      </c>
      <c r="O194" s="28" t="s">
        <v>491</v>
      </c>
      <c r="V194" s="185"/>
    </row>
    <row r="195" spans="1:25" ht="18" hidden="1" customHeight="1">
      <c r="A195" s="184"/>
      <c r="V195" s="185"/>
    </row>
    <row r="196" spans="1:25" ht="18" hidden="1" customHeight="1">
      <c r="A196" s="168"/>
      <c r="B196" s="5"/>
      <c r="C196" s="47" t="s">
        <v>543</v>
      </c>
      <c r="D196" s="14"/>
      <c r="E196" s="14"/>
      <c r="F196" s="14"/>
      <c r="G196" s="14"/>
      <c r="H196" s="279"/>
      <c r="I196" s="120"/>
      <c r="J196" s="279"/>
      <c r="K196" s="279"/>
      <c r="L196" s="14"/>
      <c r="M196" s="14"/>
      <c r="N196" s="14"/>
      <c r="O196" s="14"/>
      <c r="P196" s="14"/>
      <c r="Q196" s="120" t="s">
        <v>544</v>
      </c>
      <c r="R196" s="102" t="s">
        <v>127</v>
      </c>
      <c r="S196" s="689">
        <f>S114</f>
        <v>1</v>
      </c>
      <c r="T196" s="689"/>
      <c r="U196" s="47" t="s">
        <v>8</v>
      </c>
      <c r="V196" s="185"/>
    </row>
    <row r="197" spans="1:25" ht="18" hidden="1" customHeight="1">
      <c r="A197" s="168"/>
      <c r="B197" s="5"/>
      <c r="C197" s="47" t="s">
        <v>545</v>
      </c>
      <c r="D197" s="14"/>
      <c r="E197" s="14"/>
      <c r="F197" s="18"/>
      <c r="G197" s="18"/>
      <c r="H197" s="279"/>
      <c r="I197" s="120"/>
      <c r="J197" s="279"/>
      <c r="K197" s="279"/>
      <c r="L197" s="14"/>
      <c r="M197" s="14"/>
      <c r="N197" s="14"/>
      <c r="O197" s="14"/>
      <c r="P197" s="14"/>
      <c r="Q197" s="120" t="s">
        <v>423</v>
      </c>
      <c r="R197" s="102" t="s">
        <v>127</v>
      </c>
      <c r="S197" s="689" t="str">
        <f>L175</f>
        <v>-</v>
      </c>
      <c r="T197" s="689"/>
      <c r="U197" s="14" t="s">
        <v>8</v>
      </c>
      <c r="V197" s="185"/>
    </row>
    <row r="198" spans="1:25" ht="18" hidden="1" customHeight="1">
      <c r="A198" s="168"/>
      <c r="B198" s="5"/>
      <c r="C198" s="47" t="s">
        <v>546</v>
      </c>
      <c r="D198" s="14"/>
      <c r="E198" s="14"/>
      <c r="F198" s="18"/>
      <c r="G198" s="18"/>
      <c r="H198" s="279"/>
      <c r="I198" s="120"/>
      <c r="J198" s="279"/>
      <c r="K198" s="279"/>
      <c r="L198" s="14"/>
      <c r="M198" s="14"/>
      <c r="N198" s="14"/>
      <c r="O198" s="14"/>
      <c r="P198" s="14"/>
      <c r="Q198" s="120" t="s">
        <v>473</v>
      </c>
      <c r="R198" s="102" t="s">
        <v>127</v>
      </c>
      <c r="S198" s="689" t="str">
        <f>L178</f>
        <v>-</v>
      </c>
      <c r="T198" s="689"/>
      <c r="U198" s="14" t="s">
        <v>305</v>
      </c>
      <c r="V198" s="185"/>
    </row>
    <row r="199" spans="1:25" ht="18" hidden="1" customHeight="1">
      <c r="A199" s="168"/>
      <c r="B199" s="5"/>
      <c r="C199" s="47" t="s">
        <v>547</v>
      </c>
      <c r="D199" s="14"/>
      <c r="E199" s="14"/>
      <c r="F199" s="18"/>
      <c r="G199" s="18"/>
      <c r="H199" s="279"/>
      <c r="I199" s="120"/>
      <c r="J199" s="279"/>
      <c r="K199" s="279"/>
      <c r="L199" s="14"/>
      <c r="M199" s="14"/>
      <c r="N199" s="14"/>
      <c r="O199" s="14"/>
      <c r="P199" s="14"/>
      <c r="Q199" s="120" t="s">
        <v>491</v>
      </c>
      <c r="R199" s="102" t="s">
        <v>127</v>
      </c>
      <c r="S199" s="692" t="e">
        <f>P186</f>
        <v>#VALUE!</v>
      </c>
      <c r="T199" s="689"/>
      <c r="U199" s="14" t="s">
        <v>157</v>
      </c>
      <c r="V199" s="185"/>
      <c r="W199" s="279"/>
      <c r="X199" s="279"/>
      <c r="Y199" s="279"/>
    </row>
    <row r="200" spans="1:25" ht="18" hidden="1" customHeight="1">
      <c r="A200" s="168"/>
      <c r="B200" s="5"/>
      <c r="C200" s="47" t="s">
        <v>548</v>
      </c>
      <c r="D200" s="14"/>
      <c r="E200" s="14"/>
      <c r="F200" s="18"/>
      <c r="G200" s="18"/>
      <c r="H200" s="279"/>
      <c r="I200" s="120"/>
      <c r="J200" s="279"/>
      <c r="K200" s="279"/>
      <c r="L200" s="14"/>
      <c r="M200" s="14"/>
      <c r="N200" s="14"/>
      <c r="O200" s="14"/>
      <c r="P200" s="14"/>
      <c r="Q200" s="120" t="s">
        <v>512</v>
      </c>
      <c r="R200" s="102" t="s">
        <v>127</v>
      </c>
      <c r="S200" s="692">
        <f>J187</f>
        <v>1.0870224400000001</v>
      </c>
      <c r="T200" s="689"/>
      <c r="U200" s="14" t="s">
        <v>157</v>
      </c>
      <c r="V200" s="185"/>
      <c r="X200" s="279"/>
      <c r="Y200" s="279"/>
    </row>
    <row r="201" spans="1:25" ht="18" hidden="1" customHeight="1">
      <c r="A201" s="168"/>
      <c r="B201" s="5"/>
      <c r="C201" s="47" t="s">
        <v>549</v>
      </c>
      <c r="D201" s="14"/>
      <c r="E201" s="14"/>
      <c r="F201" s="14"/>
      <c r="G201" s="14"/>
      <c r="H201" s="279"/>
      <c r="I201" s="120"/>
      <c r="J201" s="279"/>
      <c r="K201" s="279"/>
      <c r="L201" s="14"/>
      <c r="M201" s="14"/>
      <c r="N201" s="14"/>
      <c r="O201" s="14"/>
      <c r="P201" s="14"/>
      <c r="Q201" s="120" t="s">
        <v>511</v>
      </c>
      <c r="R201" s="102" t="s">
        <v>127</v>
      </c>
      <c r="S201" s="689">
        <f>O175</f>
        <v>1</v>
      </c>
      <c r="T201" s="689"/>
      <c r="U201" s="14" t="s">
        <v>8</v>
      </c>
      <c r="V201" s="185"/>
      <c r="X201" s="279"/>
      <c r="Y201" s="279"/>
    </row>
    <row r="202" spans="1:25" ht="18" hidden="1" customHeight="1">
      <c r="A202" s="168"/>
      <c r="B202" s="5"/>
      <c r="C202" s="47" t="s">
        <v>550</v>
      </c>
      <c r="D202" s="14"/>
      <c r="E202" s="14"/>
      <c r="F202" s="14"/>
      <c r="G202" s="14"/>
      <c r="H202" s="279"/>
      <c r="I202" s="120"/>
      <c r="J202" s="279"/>
      <c r="K202" s="279"/>
      <c r="L202" s="14"/>
      <c r="M202" s="14"/>
      <c r="N202" s="14"/>
      <c r="O202" s="14"/>
      <c r="P202" s="14"/>
      <c r="Q202" s="120" t="s">
        <v>495</v>
      </c>
      <c r="R202" s="102" t="s">
        <v>127</v>
      </c>
      <c r="S202" s="689">
        <v>20</v>
      </c>
      <c r="T202" s="689"/>
      <c r="U202" s="47"/>
      <c r="V202" s="185"/>
    </row>
    <row r="203" spans="1:25" ht="18" hidden="1" customHeight="1">
      <c r="A203" s="299"/>
      <c r="B203" s="279"/>
      <c r="C203" s="47" t="s">
        <v>551</v>
      </c>
      <c r="D203" s="14"/>
      <c r="E203" s="14"/>
      <c r="F203" s="14"/>
      <c r="G203" s="14"/>
      <c r="H203" s="279"/>
      <c r="I203" s="120"/>
      <c r="J203" s="279"/>
      <c r="K203" s="279"/>
      <c r="L203" s="14"/>
      <c r="M203" s="14"/>
      <c r="N203" s="279"/>
      <c r="O203" s="279"/>
      <c r="P203" s="14"/>
      <c r="Q203" s="120" t="s">
        <v>493</v>
      </c>
      <c r="R203" s="14"/>
      <c r="S203" s="279"/>
      <c r="T203" s="279"/>
      <c r="U203" s="279"/>
      <c r="V203" s="300"/>
      <c r="W203" s="279"/>
      <c r="X203" s="279"/>
      <c r="Y203" s="279"/>
    </row>
    <row r="204" spans="1:25" ht="18" hidden="1" customHeight="1">
      <c r="A204" s="184"/>
      <c r="C204" s="14"/>
      <c r="D204" s="14"/>
      <c r="E204" s="14"/>
      <c r="F204" s="14"/>
      <c r="G204" s="14"/>
      <c r="H204" s="14"/>
      <c r="I204" s="14"/>
      <c r="J204" s="14"/>
      <c r="K204" s="14"/>
      <c r="L204" s="14"/>
      <c r="M204" s="14"/>
      <c r="N204" s="14"/>
      <c r="O204" s="14"/>
      <c r="P204" s="14"/>
      <c r="Q204" s="14"/>
      <c r="R204" s="14"/>
      <c r="S204" s="14"/>
      <c r="T204" s="14"/>
      <c r="U204" s="14"/>
      <c r="V204" s="185"/>
    </row>
    <row r="205" spans="1:25" ht="18" hidden="1" customHeight="1">
      <c r="A205" s="184"/>
      <c r="C205" s="28" t="s">
        <v>493</v>
      </c>
      <c r="D205" s="28" t="s">
        <v>127</v>
      </c>
      <c r="E205" s="28" t="s">
        <v>537</v>
      </c>
      <c r="F205" s="28">
        <v>1.3</v>
      </c>
      <c r="G205" s="28" t="s">
        <v>315</v>
      </c>
      <c r="H205" s="689" t="s">
        <v>473</v>
      </c>
      <c r="I205" s="716"/>
      <c r="J205" s="28" t="s">
        <v>315</v>
      </c>
      <c r="K205" s="28" t="s">
        <v>511</v>
      </c>
      <c r="L205" s="28" t="s">
        <v>541</v>
      </c>
      <c r="M205" s="28" t="s">
        <v>495</v>
      </c>
      <c r="N205" s="47" t="s">
        <v>542</v>
      </c>
      <c r="O205" s="28" t="s">
        <v>491</v>
      </c>
      <c r="V205" s="185"/>
    </row>
    <row r="206" spans="1:25" ht="18" hidden="1" customHeight="1">
      <c r="A206" s="184"/>
      <c r="D206" s="27" t="s">
        <v>127</v>
      </c>
      <c r="E206" s="27" t="s">
        <v>537</v>
      </c>
      <c r="F206" s="27">
        <v>1.3</v>
      </c>
      <c r="G206" s="27" t="s">
        <v>315</v>
      </c>
      <c r="H206" s="684" t="str">
        <f>S198</f>
        <v>-</v>
      </c>
      <c r="I206" s="723"/>
      <c r="J206" s="27" t="s">
        <v>315</v>
      </c>
      <c r="K206" s="27">
        <f>S201</f>
        <v>1</v>
      </c>
      <c r="L206" s="27" t="s">
        <v>541</v>
      </c>
      <c r="M206" s="27">
        <f>S202</f>
        <v>20</v>
      </c>
      <c r="N206" s="296" t="s">
        <v>542</v>
      </c>
      <c r="O206" s="222" t="e">
        <f>S199</f>
        <v>#VALUE!</v>
      </c>
      <c r="V206" s="185"/>
    </row>
    <row r="207" spans="1:25" ht="18" hidden="1" customHeight="1">
      <c r="A207" s="184"/>
      <c r="D207" s="27" t="s">
        <v>127</v>
      </c>
      <c r="E207" s="684" t="e">
        <f>((F206*H206*K206)/M206)-O206</f>
        <v>#VALUE!</v>
      </c>
      <c r="F207" s="684"/>
      <c r="G207" s="27" t="s">
        <v>157</v>
      </c>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V213" s="185"/>
    </row>
    <row r="214" spans="1:22" s="14" customFormat="1" ht="18" hidden="1" customHeight="1">
      <c r="A214" s="194"/>
      <c r="B214" s="195"/>
      <c r="C214" s="195"/>
      <c r="D214" s="195"/>
      <c r="E214" s="195"/>
      <c r="F214" s="195"/>
      <c r="G214" s="195"/>
      <c r="H214" s="195"/>
      <c r="I214" s="195"/>
      <c r="J214" s="195"/>
      <c r="K214" s="195"/>
      <c r="L214" s="195"/>
      <c r="M214" s="195"/>
      <c r="N214" s="195"/>
      <c r="O214" s="195"/>
      <c r="P214" s="195"/>
      <c r="Q214" s="224"/>
      <c r="R214" s="182"/>
      <c r="S214" s="225"/>
      <c r="T214" s="195"/>
      <c r="U214" s="195"/>
      <c r="V214" s="134"/>
    </row>
    <row r="215" spans="1:22" ht="18" hidden="1" customHeight="1">
      <c r="A215" s="226"/>
      <c r="B215" s="227"/>
      <c r="C215" s="227"/>
      <c r="D215" s="227"/>
      <c r="E215" s="227"/>
      <c r="F215" s="227"/>
      <c r="G215" s="227"/>
      <c r="H215" s="227"/>
      <c r="I215" s="227"/>
      <c r="J215" s="227"/>
      <c r="K215" s="227"/>
      <c r="L215" s="227"/>
      <c r="M215" s="227"/>
      <c r="N215" s="227"/>
      <c r="O215" s="227"/>
      <c r="P215" s="227"/>
      <c r="Q215" s="227"/>
      <c r="R215" s="227"/>
      <c r="S215" s="227"/>
      <c r="T215" s="227"/>
      <c r="U215" s="227"/>
      <c r="V215" s="228"/>
    </row>
    <row r="216" spans="1:22" ht="18" hidden="1" customHeight="1">
      <c r="A216" s="96" t="s">
        <v>755</v>
      </c>
      <c r="B216" s="14"/>
      <c r="C216" s="14"/>
      <c r="D216" s="14"/>
      <c r="E216" s="14"/>
      <c r="F216" s="14"/>
      <c r="G216" s="14"/>
      <c r="H216" s="14"/>
      <c r="I216" s="14"/>
      <c r="J216" s="14"/>
      <c r="K216" s="14"/>
      <c r="L216" s="14"/>
      <c r="M216" s="14"/>
      <c r="N216" s="14"/>
      <c r="O216" s="14"/>
      <c r="P216" s="28"/>
      <c r="Q216" s="120"/>
      <c r="R216" s="14"/>
      <c r="S216" s="14"/>
      <c r="T216" s="14"/>
      <c r="U216" s="14"/>
      <c r="V216" s="185"/>
    </row>
    <row r="217" spans="1:22" ht="18" hidden="1" customHeight="1">
      <c r="A217" s="96"/>
      <c r="B217" s="14"/>
      <c r="C217" s="14"/>
      <c r="D217" s="14"/>
      <c r="E217" s="14"/>
      <c r="F217" s="14"/>
      <c r="G217" s="14"/>
      <c r="H217" s="14"/>
      <c r="K217" s="14" t="s">
        <v>756</v>
      </c>
      <c r="L217" s="28"/>
      <c r="M217" s="47"/>
      <c r="N217" s="14"/>
      <c r="O217" s="14"/>
      <c r="P217" s="14"/>
      <c r="Q217" s="14"/>
      <c r="R217" s="14"/>
      <c r="S217" s="14"/>
      <c r="T217" s="14"/>
      <c r="U217" s="14"/>
      <c r="V217" s="185"/>
    </row>
    <row r="218" spans="1:22" ht="18" hidden="1" customHeight="1">
      <c r="A218" s="96"/>
      <c r="B218" s="28" t="s">
        <v>745</v>
      </c>
      <c r="C218" s="278" t="s">
        <v>652</v>
      </c>
      <c r="D218" s="14" t="s">
        <v>757</v>
      </c>
      <c r="E218" s="14"/>
      <c r="F218" s="268" t="s">
        <v>758</v>
      </c>
      <c r="K218" s="28" t="s">
        <v>745</v>
      </c>
      <c r="L218" s="28" t="s">
        <v>127</v>
      </c>
      <c r="M218" s="281" t="s">
        <v>759</v>
      </c>
      <c r="N218" s="28"/>
      <c r="O218" s="47"/>
      <c r="P218" s="14"/>
      <c r="Q218" s="14"/>
      <c r="R218" s="14"/>
      <c r="S218" s="14"/>
      <c r="T218" s="14"/>
      <c r="U218" s="14"/>
      <c r="V218" s="185"/>
    </row>
    <row r="219" spans="1:22" ht="18" hidden="1" customHeight="1">
      <c r="A219" s="96"/>
      <c r="B219" s="28" t="s">
        <v>745</v>
      </c>
      <c r="C219" s="278" t="s">
        <v>652</v>
      </c>
      <c r="D219" s="47" t="s">
        <v>760</v>
      </c>
      <c r="E219" s="14"/>
      <c r="F219" s="268" t="s">
        <v>761</v>
      </c>
      <c r="K219" s="28"/>
      <c r="L219" s="28" t="s">
        <v>127</v>
      </c>
      <c r="M219" s="14" t="s">
        <v>762</v>
      </c>
      <c r="N219" s="14"/>
      <c r="O219" s="14"/>
      <c r="P219" s="14"/>
      <c r="Q219" s="14"/>
      <c r="R219" s="14"/>
      <c r="S219" s="14"/>
      <c r="T219" s="14"/>
      <c r="U219" s="14"/>
      <c r="V219" s="185"/>
    </row>
    <row r="220" spans="1:22" ht="18" hidden="1" customHeight="1">
      <c r="A220" s="96"/>
      <c r="B220" s="14"/>
      <c r="C220" s="14"/>
      <c r="D220" s="14"/>
      <c r="E220" s="14"/>
      <c r="F220" s="14"/>
      <c r="G220" s="14"/>
      <c r="H220" s="14"/>
      <c r="K220" s="28" t="s">
        <v>757</v>
      </c>
      <c r="L220" s="28" t="s">
        <v>127</v>
      </c>
      <c r="M220" s="47" t="s">
        <v>763</v>
      </c>
      <c r="N220" s="14"/>
      <c r="O220" s="14"/>
      <c r="P220" s="14"/>
      <c r="Q220" s="14"/>
      <c r="R220" s="14"/>
      <c r="S220" s="14"/>
      <c r="T220" s="14"/>
      <c r="U220" s="14"/>
      <c r="V220" s="185"/>
    </row>
    <row r="221" spans="1:22" ht="18" hidden="1" customHeight="1">
      <c r="A221" s="96"/>
      <c r="B221" s="14"/>
      <c r="C221" s="14"/>
      <c r="K221" s="28" t="s">
        <v>760</v>
      </c>
      <c r="L221" s="28" t="s">
        <v>127</v>
      </c>
      <c r="M221" s="28">
        <v>10</v>
      </c>
      <c r="O221" s="14" t="s">
        <v>764</v>
      </c>
      <c r="P221" s="28" t="s">
        <v>765</v>
      </c>
      <c r="Q221" s="278" t="s">
        <v>766</v>
      </c>
      <c r="R221" s="28">
        <v>120</v>
      </c>
      <c r="S221" s="14" t="s">
        <v>767</v>
      </c>
      <c r="T221" s="14"/>
      <c r="U221" s="14"/>
      <c r="V221" s="185"/>
    </row>
    <row r="222" spans="1:22" ht="18" hidden="1" customHeight="1">
      <c r="A222" s="96"/>
      <c r="B222" s="14"/>
      <c r="C222" s="14"/>
      <c r="L222" s="28" t="s">
        <v>127</v>
      </c>
      <c r="M222" s="27">
        <v>20</v>
      </c>
      <c r="N222" s="14"/>
      <c r="O222" s="14" t="s">
        <v>764</v>
      </c>
      <c r="P222" s="28" t="s">
        <v>765</v>
      </c>
      <c r="Q222" s="278" t="s">
        <v>766</v>
      </c>
      <c r="R222" s="28">
        <v>300</v>
      </c>
      <c r="S222" s="14" t="s">
        <v>767</v>
      </c>
      <c r="T222" s="14"/>
      <c r="U222" s="14"/>
      <c r="V222" s="185"/>
    </row>
    <row r="223" spans="1:22" ht="18" hidden="1" customHeight="1">
      <c r="A223" s="96"/>
      <c r="B223" s="14"/>
      <c r="C223" s="14"/>
      <c r="N223" s="14"/>
      <c r="O223" s="14"/>
      <c r="P223" s="28"/>
      <c r="Q223" s="120"/>
      <c r="R223" s="14"/>
      <c r="S223" s="14"/>
      <c r="T223" s="14"/>
      <c r="U223" s="14"/>
      <c r="V223" s="185"/>
    </row>
    <row r="224" spans="1:22" ht="18" hidden="1" customHeight="1">
      <c r="A224" s="96" t="s">
        <v>768</v>
      </c>
      <c r="B224" s="14"/>
      <c r="C224" s="14"/>
      <c r="K224" s="27" t="s">
        <v>757</v>
      </c>
      <c r="L224" s="27" t="s">
        <v>127</v>
      </c>
      <c r="M224" s="684" t="s">
        <v>425</v>
      </c>
      <c r="N224" s="684"/>
      <c r="O224" s="27" t="s">
        <v>769</v>
      </c>
      <c r="P224" s="27">
        <v>5</v>
      </c>
      <c r="Q224" s="28" t="s">
        <v>315</v>
      </c>
      <c r="R224" s="684" t="s">
        <v>423</v>
      </c>
      <c r="S224" s="684"/>
      <c r="T224" s="14" t="s">
        <v>350</v>
      </c>
      <c r="U224" s="14"/>
      <c r="V224" s="185"/>
    </row>
    <row r="225" spans="1:22" ht="18" hidden="1" customHeight="1">
      <c r="A225" s="96"/>
      <c r="B225" s="14"/>
      <c r="C225" s="14"/>
      <c r="L225" s="27" t="s">
        <v>127</v>
      </c>
      <c r="M225" s="684">
        <f>S196</f>
        <v>1</v>
      </c>
      <c r="N225" s="684"/>
      <c r="O225" s="27" t="s">
        <v>769</v>
      </c>
      <c r="P225" s="27">
        <v>5</v>
      </c>
      <c r="Q225" s="28" t="s">
        <v>315</v>
      </c>
      <c r="R225" s="684" t="str">
        <f>S197</f>
        <v>-</v>
      </c>
      <c r="S225" s="684"/>
      <c r="T225" s="14" t="s">
        <v>350</v>
      </c>
      <c r="U225" s="14"/>
      <c r="V225" s="185"/>
    </row>
    <row r="226" spans="1:22" ht="18" hidden="1" customHeight="1">
      <c r="A226" s="96"/>
      <c r="B226" s="14"/>
      <c r="C226" s="14"/>
      <c r="D226" s="14"/>
      <c r="E226" s="120"/>
      <c r="F226" s="28"/>
      <c r="L226" s="27" t="s">
        <v>127</v>
      </c>
      <c r="M226" s="689" t="e">
        <f>M225/(P225*R225)</f>
        <v>#VALUE!</v>
      </c>
      <c r="N226" s="684"/>
      <c r="O226" s="14"/>
      <c r="P226" s="14"/>
      <c r="Q226" s="14"/>
      <c r="R226" s="14"/>
      <c r="S226" s="14"/>
      <c r="T226" s="14"/>
      <c r="U226" s="14"/>
      <c r="V226" s="185"/>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85"/>
    </row>
    <row r="228" spans="1:22" ht="18" hidden="1" customHeight="1">
      <c r="A228" s="96" t="s">
        <v>770</v>
      </c>
      <c r="B228" s="14"/>
      <c r="C228" s="14"/>
      <c r="D228" s="14"/>
      <c r="E228" s="257" t="s">
        <v>771</v>
      </c>
      <c r="F228" s="14"/>
      <c r="G228" s="28" t="s">
        <v>127</v>
      </c>
      <c r="H228" s="692">
        <f>'[2]Parameters &amp; Fault Cal.'!Q184</f>
        <v>0</v>
      </c>
      <c r="I228" s="684"/>
      <c r="J228" s="30" t="s">
        <v>531</v>
      </c>
      <c r="K228" s="28" t="s">
        <v>760</v>
      </c>
      <c r="L228" s="218" t="s">
        <v>127</v>
      </c>
      <c r="M228" s="692">
        <f>IF(H228&lt;=120,M221,M222)</f>
        <v>10</v>
      </c>
      <c r="N228" s="684"/>
      <c r="O228" s="14"/>
      <c r="P228" s="14"/>
      <c r="Q228" s="14"/>
      <c r="R228" s="14"/>
      <c r="S228" s="14"/>
      <c r="T228" s="14"/>
      <c r="U228" s="14"/>
      <c r="V228" s="185"/>
    </row>
    <row r="229" spans="1:22" ht="18" hidden="1" customHeight="1">
      <c r="A229" s="184"/>
      <c r="J229" s="14"/>
      <c r="K229" s="257"/>
      <c r="M229" s="14"/>
      <c r="N229" s="14"/>
      <c r="O229" s="14"/>
      <c r="P229" s="14"/>
      <c r="Q229" s="14"/>
      <c r="R229" s="14"/>
      <c r="S229" s="14"/>
      <c r="T229" s="14"/>
      <c r="U229" s="14"/>
      <c r="V229" s="185"/>
    </row>
    <row r="230" spans="1:22" ht="18" hidden="1" customHeight="1">
      <c r="A230" s="96" t="s">
        <v>772</v>
      </c>
      <c r="E230" s="199"/>
      <c r="G230" s="27" t="s">
        <v>127</v>
      </c>
      <c r="H230" s="27" t="s">
        <v>495</v>
      </c>
      <c r="I230" s="27" t="s">
        <v>554</v>
      </c>
      <c r="J230" s="120" t="s">
        <v>491</v>
      </c>
      <c r="K230" s="28" t="s">
        <v>347</v>
      </c>
      <c r="L230" s="120" t="s">
        <v>493</v>
      </c>
      <c r="M230" s="28" t="s">
        <v>539</v>
      </c>
      <c r="N230" s="120" t="s">
        <v>491</v>
      </c>
      <c r="O230" s="28" t="s">
        <v>347</v>
      </c>
      <c r="P230" s="120" t="s">
        <v>512</v>
      </c>
      <c r="Q230" s="296" t="s">
        <v>350</v>
      </c>
      <c r="V230" s="185"/>
    </row>
    <row r="231" spans="1:22" ht="18" hidden="1" customHeight="1">
      <c r="A231" s="184"/>
      <c r="G231" s="27" t="s">
        <v>127</v>
      </c>
      <c r="H231" s="242">
        <f>S202</f>
        <v>20</v>
      </c>
      <c r="I231" s="245" t="s">
        <v>554</v>
      </c>
      <c r="J231" s="301" t="e">
        <f>S199</f>
        <v>#VALUE!</v>
      </c>
      <c r="K231" s="245" t="s">
        <v>347</v>
      </c>
      <c r="L231" s="301" t="e">
        <f>E207</f>
        <v>#VALUE!</v>
      </c>
      <c r="M231" s="245" t="s">
        <v>539</v>
      </c>
      <c r="N231" s="301" t="e">
        <f>S199</f>
        <v>#VALUE!</v>
      </c>
      <c r="O231" s="245" t="s">
        <v>347</v>
      </c>
      <c r="P231" s="301">
        <f>S200</f>
        <v>1.0870224400000001</v>
      </c>
      <c r="Q231" s="461" t="s">
        <v>350</v>
      </c>
      <c r="V231" s="185"/>
    </row>
    <row r="232" spans="1:22" ht="18" hidden="1" customHeight="1">
      <c r="A232" s="184"/>
      <c r="G232" s="27" t="s">
        <v>127</v>
      </c>
      <c r="H232" s="795" t="e">
        <f>H231*((J231+L231)/(N231+P231))</f>
        <v>#VALUE!</v>
      </c>
      <c r="I232" s="795"/>
      <c r="V232" s="185"/>
    </row>
    <row r="233" spans="1:22" ht="18" hidden="1" customHeight="1">
      <c r="A233" s="184"/>
      <c r="V233" s="185"/>
    </row>
    <row r="234" spans="1:22" ht="18" hidden="1" customHeight="1">
      <c r="A234" s="184" t="s">
        <v>773</v>
      </c>
      <c r="E234" s="244"/>
      <c r="F234" s="27"/>
      <c r="G234" s="296"/>
      <c r="V234" s="185"/>
    </row>
    <row r="235" spans="1:22" ht="18" hidden="1" customHeight="1">
      <c r="A235" s="184"/>
      <c r="D235" s="211"/>
      <c r="E235" s="211"/>
      <c r="F235" s="27"/>
      <c r="G235" s="211"/>
      <c r="H235" s="211"/>
      <c r="V235" s="185"/>
    </row>
    <row r="236" spans="1:22" ht="18" hidden="1" customHeight="1">
      <c r="A236" s="184"/>
      <c r="D236" s="795" t="e">
        <f>H232</f>
        <v>#VALUE!</v>
      </c>
      <c r="E236" s="684"/>
      <c r="F236" s="27" t="e">
        <f>IF(D236&gt;=G236,"&gt;","&lt;")</f>
        <v>#VALUE!</v>
      </c>
      <c r="G236" s="795" t="e">
        <f>M226</f>
        <v>#VALUE!</v>
      </c>
      <c r="H236" s="684"/>
      <c r="I236" s="18"/>
      <c r="J236" s="268" t="s">
        <v>758</v>
      </c>
      <c r="V236" s="185"/>
    </row>
    <row r="237" spans="1:22" ht="18" hidden="1" customHeight="1">
      <c r="A237" s="184"/>
      <c r="D237" s="795" t="e">
        <f>H232</f>
        <v>#VALUE!</v>
      </c>
      <c r="E237" s="684"/>
      <c r="F237" s="27" t="e">
        <f>IF(D237&gt;=G237,"&gt;","&lt;")</f>
        <v>#VALUE!</v>
      </c>
      <c r="G237" s="795">
        <f>M228</f>
        <v>10</v>
      </c>
      <c r="H237" s="684"/>
      <c r="J237" s="268" t="s">
        <v>761</v>
      </c>
      <c r="V237" s="185"/>
    </row>
    <row r="238" spans="1:22" ht="18" hidden="1" customHeight="1">
      <c r="A238" s="184"/>
      <c r="E238" s="244" t="s">
        <v>478</v>
      </c>
      <c r="G238" s="18" t="e">
        <f>IF(AND(F236="&gt;",F237="&gt;")=TRUE,"Suitably Dimensioned","Under Dimensioned")</f>
        <v>#VALUE!</v>
      </c>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s="14" customFormat="1" ht="18" customHeight="1">
      <c r="A258" s="194"/>
      <c r="B258" s="195"/>
      <c r="C258" s="195"/>
      <c r="D258" s="195"/>
      <c r="E258" s="195"/>
      <c r="F258" s="195"/>
      <c r="G258" s="195"/>
      <c r="H258" s="195"/>
      <c r="I258" s="195"/>
      <c r="J258" s="195"/>
      <c r="K258" s="195"/>
      <c r="L258" s="195"/>
      <c r="M258" s="195"/>
      <c r="N258" s="195"/>
      <c r="O258" s="195"/>
      <c r="P258" s="195"/>
      <c r="Q258" s="224"/>
      <c r="R258" s="182"/>
      <c r="S258" s="225"/>
      <c r="T258" s="195"/>
      <c r="U258" s="195"/>
      <c r="V258" s="134"/>
    </row>
    <row r="259" spans="1:22" ht="18" customHeight="1">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8"/>
    </row>
    <row r="260" spans="1:22" ht="18" customHeight="1">
      <c r="A260" s="452" t="s">
        <v>501</v>
      </c>
      <c r="B260" s="14"/>
      <c r="C260" s="14"/>
      <c r="D260" s="120"/>
      <c r="E260" s="120"/>
      <c r="F260" s="18"/>
      <c r="G260" s="18"/>
      <c r="H260" s="14"/>
      <c r="I260" s="14"/>
      <c r="J260" s="14"/>
      <c r="K260" s="14"/>
      <c r="L260" s="14"/>
      <c r="M260" s="14"/>
      <c r="N260" s="14"/>
      <c r="O260" s="14"/>
      <c r="P260" s="28"/>
      <c r="Q260" s="120"/>
      <c r="R260" s="47"/>
      <c r="S260" s="206"/>
      <c r="T260" s="259"/>
      <c r="U260" s="14"/>
      <c r="V260" s="97"/>
    </row>
    <row r="261" spans="1:22" ht="18" customHeight="1">
      <c r="A261" s="955" t="s">
        <v>85</v>
      </c>
      <c r="B261" s="956"/>
      <c r="C261" s="957"/>
      <c r="D261" s="955" t="s">
        <v>86</v>
      </c>
      <c r="E261" s="956"/>
      <c r="F261" s="957"/>
      <c r="G261" s="955" t="s">
        <v>87</v>
      </c>
      <c r="H261" s="957"/>
      <c r="I261" s="955" t="s">
        <v>88</v>
      </c>
      <c r="J261" s="957"/>
      <c r="K261" s="955" t="s">
        <v>502</v>
      </c>
      <c r="L261" s="957"/>
      <c r="M261" s="955" t="s">
        <v>503</v>
      </c>
      <c r="N261" s="957"/>
      <c r="O261" s="955" t="s">
        <v>504</v>
      </c>
      <c r="P261" s="957"/>
      <c r="Q261" s="955" t="s">
        <v>505</v>
      </c>
      <c r="R261" s="957"/>
      <c r="S261" s="955" t="s">
        <v>93</v>
      </c>
      <c r="T261" s="956"/>
      <c r="U261" s="956"/>
      <c r="V261" s="957"/>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125"/>
      <c r="B263" s="983"/>
      <c r="C263" s="1126"/>
      <c r="D263" s="1125"/>
      <c r="E263" s="983"/>
      <c r="F263" s="1126"/>
      <c r="G263" s="1125"/>
      <c r="H263" s="1126"/>
      <c r="I263" s="1125"/>
      <c r="J263" s="1126"/>
      <c r="K263" s="1125"/>
      <c r="L263" s="1126"/>
      <c r="M263" s="1125"/>
      <c r="N263" s="1126"/>
      <c r="O263" s="1125"/>
      <c r="P263" s="1126"/>
      <c r="Q263" s="1125"/>
      <c r="R263" s="1126"/>
      <c r="S263" s="1125"/>
      <c r="T263" s="983"/>
      <c r="U263" s="983"/>
      <c r="V263" s="1126"/>
    </row>
    <row r="264" spans="1:22" ht="18" customHeight="1">
      <c r="A264" s="1047"/>
      <c r="B264" s="1048"/>
      <c r="C264" s="1049"/>
      <c r="D264" s="1047"/>
      <c r="E264" s="1048"/>
      <c r="F264" s="1049"/>
      <c r="G264" s="1047"/>
      <c r="H264" s="1049"/>
      <c r="I264" s="1047"/>
      <c r="J264" s="1049"/>
      <c r="K264" s="1047"/>
      <c r="L264" s="1049"/>
      <c r="M264" s="1047"/>
      <c r="N264" s="1049"/>
      <c r="O264" s="1047"/>
      <c r="P264" s="1049"/>
      <c r="Q264" s="1047"/>
      <c r="R264" s="1049"/>
      <c r="S264" s="1047"/>
      <c r="T264" s="1048"/>
      <c r="U264" s="1048"/>
      <c r="V264" s="1049"/>
    </row>
    <row r="265" spans="1:22" ht="18" customHeight="1">
      <c r="A265" s="765" t="str">
        <f>B7</f>
        <v>T1</v>
      </c>
      <c r="B265" s="765" t="str">
        <f>D7</f>
        <v>Core2</v>
      </c>
      <c r="C265" s="765"/>
      <c r="D265" s="870">
        <f>H10</f>
        <v>2000</v>
      </c>
      <c r="E265" s="870"/>
      <c r="F265" s="871">
        <f>O10</f>
        <v>1</v>
      </c>
      <c r="G265" s="870">
        <f>'CT-VT Burdens'!S21</f>
        <v>120</v>
      </c>
      <c r="H265" s="874">
        <f>'CT-VT Burdens'!S10</f>
        <v>6</v>
      </c>
      <c r="I265" s="874" t="str">
        <f>H11</f>
        <v>PX</v>
      </c>
      <c r="J265" s="874" t="e">
        <f>#REF!</f>
        <v>#REF!</v>
      </c>
      <c r="K265" s="869">
        <f>H12</f>
        <v>3.5</v>
      </c>
      <c r="L265" s="869"/>
      <c r="M265" s="869">
        <f>H13</f>
        <v>500</v>
      </c>
      <c r="N265" s="869"/>
      <c r="O265" s="870">
        <f>H14</f>
        <v>20</v>
      </c>
      <c r="P265" s="870"/>
      <c r="Q265" s="879" t="str">
        <f>IF(T8="",T7,IF(T9="",T7&amp;"+"&amp;T8,T7&amp;"+"&amp;T8&amp;"+"&amp;T9))</f>
        <v>REB500</v>
      </c>
      <c r="R265" s="879"/>
      <c r="S265" s="878" t="str">
        <f>M83</f>
        <v>Suitably Dimensioned</v>
      </c>
      <c r="T265" s="878"/>
      <c r="U265" s="878"/>
      <c r="V265" s="878"/>
    </row>
    <row r="266" spans="1:22" ht="18" customHeight="1">
      <c r="A266" s="765"/>
      <c r="B266" s="765"/>
      <c r="C266" s="765"/>
      <c r="D266" s="870">
        <f>J10</f>
        <v>3200</v>
      </c>
      <c r="E266" s="870"/>
      <c r="F266" s="872"/>
      <c r="G266" s="870"/>
      <c r="H266" s="870"/>
      <c r="I266" s="874"/>
      <c r="J266" s="874"/>
      <c r="K266" s="875">
        <f>J95</f>
        <v>5</v>
      </c>
      <c r="L266" s="869"/>
      <c r="M266" s="875">
        <f>J96</f>
        <v>900</v>
      </c>
      <c r="N266" s="869"/>
      <c r="O266" s="876">
        <f>J97</f>
        <v>10</v>
      </c>
      <c r="P266" s="870"/>
      <c r="Q266" s="879"/>
      <c r="R266" s="879"/>
      <c r="S266" s="877" t="str">
        <f>M165</f>
        <v>Suitably Dimensioned</v>
      </c>
      <c r="T266" s="878"/>
      <c r="U266" s="878"/>
      <c r="V266" s="878"/>
    </row>
    <row r="267" spans="1:22" ht="18" customHeight="1">
      <c r="A267" s="765"/>
      <c r="B267" s="765"/>
      <c r="C267" s="765"/>
      <c r="D267" s="870" t="str">
        <f>L10</f>
        <v>-</v>
      </c>
      <c r="E267" s="870"/>
      <c r="F267" s="873"/>
      <c r="G267" s="870"/>
      <c r="H267" s="870"/>
      <c r="I267" s="874"/>
      <c r="J267" s="874"/>
      <c r="K267" s="869" t="str">
        <f>L177</f>
        <v>-</v>
      </c>
      <c r="L267" s="869"/>
      <c r="M267" s="869" t="str">
        <f>L178</f>
        <v>-</v>
      </c>
      <c r="N267" s="869"/>
      <c r="O267" s="870" t="str">
        <f>L179</f>
        <v>-</v>
      </c>
      <c r="P267" s="870"/>
      <c r="Q267" s="879"/>
      <c r="R267" s="879"/>
      <c r="S267" s="878" t="s">
        <v>6</v>
      </c>
      <c r="T267" s="878"/>
      <c r="U267" s="878"/>
      <c r="V267" s="878"/>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s="14" customFormat="1" ht="18" customHeight="1">
      <c r="A299" s="194"/>
      <c r="B299" s="195"/>
      <c r="C299" s="195"/>
      <c r="D299" s="195"/>
      <c r="E299" s="195"/>
      <c r="F299" s="195"/>
      <c r="G299" s="195"/>
      <c r="H299" s="195"/>
      <c r="I299" s="195"/>
      <c r="J299" s="195"/>
      <c r="K299" s="195"/>
      <c r="L299" s="195"/>
      <c r="M299" s="195"/>
      <c r="N299" s="195"/>
      <c r="O299" s="195"/>
      <c r="P299" s="195"/>
      <c r="Q299" s="224"/>
      <c r="R299" s="182"/>
      <c r="S299" s="225"/>
      <c r="T299" s="195"/>
      <c r="U299" s="195"/>
      <c r="V299"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89" priority="3" stopIfTrue="1" operator="equal">
      <formula>"Under Dimentioned"</formula>
    </cfRule>
  </conditionalFormatting>
  <conditionalFormatting sqref="O81 M83:M86">
    <cfRule type="cellIs" dxfId="88" priority="1" stopIfTrue="1" operator="equal">
      <formula>"Under Dimentioned"</formula>
    </cfRule>
  </conditionalFormatting>
  <conditionalFormatting sqref="O163 M165">
    <cfRule type="cellIs" dxfId="87"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8995A239-1AF7-423B-8F95-BF0C736A715D}">
      <formula1>"Core1,Core2,Core3,Core4,Core5,Core6,Core7"</formula1>
    </dataValidation>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D72858-0D02-406E-AEA4-B1543CA99375}">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8" max="21" man="1"/>
    <brk id="129" max="21" man="1"/>
    <brk id="258" max="21" man="1"/>
  </row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0972-8F9F-486C-B887-C197C0BD64CF}">
  <sheetPr codeName="Sheet44">
    <tabColor rgb="FF00B050"/>
  </sheetPr>
  <dimension ref="A1:AC299"/>
  <sheetViews>
    <sheetView showZeros="0" view="pageBreakPreview" topLeftCell="A69" zoomScaleNormal="100" zoomScaleSheetLayoutView="100" workbookViewId="0">
      <selection activeCell="M84" sqref="M84"/>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881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955</v>
      </c>
      <c r="C7" s="782"/>
      <c r="D7" s="743" t="s">
        <v>506</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2000</v>
      </c>
      <c r="I10" s="792"/>
      <c r="J10" s="781">
        <v>3200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3.5</v>
      </c>
      <c r="I12" s="782"/>
      <c r="J12" s="192" t="s">
        <v>333</v>
      </c>
      <c r="M12" s="14"/>
      <c r="N12" s="14"/>
      <c r="V12" s="185"/>
    </row>
    <row r="13" spans="1:24" ht="18" customHeight="1">
      <c r="A13" s="184"/>
      <c r="B13" s="47" t="s">
        <v>398</v>
      </c>
      <c r="G13" s="120" t="s">
        <v>498</v>
      </c>
      <c r="H13" s="781">
        <v>500</v>
      </c>
      <c r="I13" s="782"/>
      <c r="J13" s="14" t="s">
        <v>305</v>
      </c>
      <c r="M13" s="14"/>
      <c r="T13" s="295"/>
      <c r="U13" s="18"/>
      <c r="V13" s="185"/>
      <c r="W13" s="30" t="e">
        <f>#REF!</f>
        <v>#REF!</v>
      </c>
    </row>
    <row r="14" spans="1:24" ht="18" customHeight="1">
      <c r="A14" s="184"/>
      <c r="B14" s="14" t="s">
        <v>401</v>
      </c>
      <c r="G14" s="120" t="s">
        <v>402</v>
      </c>
      <c r="H14" s="781">
        <v>20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3.5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3.5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500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3.5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2000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5</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3.5</v>
      </c>
      <c r="G75" s="692"/>
      <c r="H75" s="102" t="s">
        <v>347</v>
      </c>
      <c r="I75" s="218">
        <f>S30</f>
        <v>1.0870224400000001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45.970224399999999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36.776179519999999</v>
      </c>
      <c r="O79" s="1251"/>
      <c r="V79" s="185"/>
    </row>
    <row r="80" spans="1:22" ht="17.399999999999999" customHeight="1">
      <c r="A80" s="184"/>
      <c r="B80" s="7"/>
      <c r="E80" s="14"/>
      <c r="F80" s="14" t="s">
        <v>752</v>
      </c>
      <c r="G80" s="7"/>
      <c r="L80" s="28" t="s">
        <v>127</v>
      </c>
      <c r="N80" s="1072">
        <f>N79*1.2</f>
        <v>44.131415423999997</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500</v>
      </c>
      <c r="J82" s="795"/>
      <c r="K82" s="27"/>
      <c r="L82" s="27" t="str">
        <f>IF(I82&gt;=M82,"&gt;","&lt;")</f>
        <v>&gt;</v>
      </c>
      <c r="M82" s="795">
        <f>N80</f>
        <v>44.131415423999997</v>
      </c>
      <c r="N82" s="795"/>
      <c r="P82" s="268"/>
      <c r="V82" s="185"/>
    </row>
    <row r="83" spans="1:23" ht="17.399999999999999" customHeight="1">
      <c r="A83" s="184"/>
      <c r="K83" s="244" t="s">
        <v>478</v>
      </c>
      <c r="M83" s="18" t="str">
        <f>IF(I82&gt;M82,"Suitably Dimensioned","Under Dimensioned")</f>
        <v>Suitably Dimensioned</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K86" s="244"/>
      <c r="M86" s="18"/>
      <c r="V86" s="185"/>
    </row>
    <row r="87" spans="1:23" ht="17.399999999999999" customHeight="1">
      <c r="A87" s="184"/>
      <c r="B87" s="7"/>
      <c r="E87" s="14"/>
      <c r="F87" s="7"/>
      <c r="G87" s="7"/>
      <c r="V87" s="185"/>
    </row>
    <row r="88" spans="1:23" s="14" customFormat="1" ht="15.6" customHeight="1">
      <c r="A88" s="194"/>
      <c r="B88" s="195"/>
      <c r="C88" s="195"/>
      <c r="D88" s="195"/>
      <c r="E88" s="195"/>
      <c r="F88" s="195"/>
      <c r="G88" s="195"/>
      <c r="H88" s="195"/>
      <c r="I88" s="195"/>
      <c r="J88" s="195"/>
      <c r="K88" s="195"/>
      <c r="L88" s="195"/>
      <c r="M88" s="195"/>
      <c r="N88" s="195"/>
      <c r="O88" s="195"/>
      <c r="P88" s="195"/>
      <c r="Q88" s="224"/>
      <c r="R88" s="182"/>
      <c r="S88" s="225"/>
      <c r="T88" s="195"/>
      <c r="U88" s="195"/>
      <c r="V88" s="134"/>
    </row>
    <row r="89" spans="1:23"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customHeight="1">
      <c r="A90" s="184"/>
      <c r="B90" s="835" t="str">
        <f>B7</f>
        <v>T2</v>
      </c>
      <c r="C90" s="836"/>
      <c r="D90" s="1118" t="str">
        <f>D7</f>
        <v>Core2</v>
      </c>
      <c r="E90" s="1290"/>
      <c r="F90" s="455"/>
      <c r="H90" s="684" t="str">
        <f>H7</f>
        <v>(Low Imp. Busbar)</v>
      </c>
      <c r="I90" s="684"/>
      <c r="J90" s="684"/>
      <c r="K90" s="684"/>
      <c r="L90" s="684"/>
      <c r="M90" s="684"/>
      <c r="P90" s="186"/>
      <c r="S90" s="187" t="s">
        <v>387</v>
      </c>
      <c r="T90" s="835" t="str">
        <f>T7</f>
        <v>REB500</v>
      </c>
      <c r="U90" s="836"/>
      <c r="V90" s="185"/>
    </row>
    <row r="91" spans="1:23" ht="18" customHeight="1">
      <c r="A91" s="456"/>
      <c r="F91" s="455"/>
      <c r="T91" s="839">
        <f>T8</f>
        <v>0</v>
      </c>
      <c r="U91" s="840"/>
      <c r="V91" s="185"/>
    </row>
    <row r="92" spans="1:23" ht="18" customHeight="1">
      <c r="A92" s="184"/>
      <c r="H92" s="708" t="s">
        <v>390</v>
      </c>
      <c r="I92" s="708"/>
      <c r="J92" s="789" t="s">
        <v>391</v>
      </c>
      <c r="K92" s="789"/>
      <c r="L92" s="790" t="s">
        <v>392</v>
      </c>
      <c r="M92" s="790"/>
      <c r="T92" s="839">
        <f>T9</f>
        <v>0</v>
      </c>
      <c r="U92" s="840"/>
      <c r="V92" s="185"/>
    </row>
    <row r="93" spans="1:23" ht="18" customHeight="1">
      <c r="A93" s="184"/>
      <c r="B93" s="47" t="s">
        <v>393</v>
      </c>
      <c r="H93" s="835">
        <f>H10</f>
        <v>2000</v>
      </c>
      <c r="I93" s="836"/>
      <c r="J93" s="835">
        <f>J10</f>
        <v>3200</v>
      </c>
      <c r="K93" s="836"/>
      <c r="L93" s="835" t="str">
        <f>L10</f>
        <v>-</v>
      </c>
      <c r="M93" s="836"/>
      <c r="N93" s="191" t="s">
        <v>342</v>
      </c>
      <c r="O93" s="488">
        <f>O10</f>
        <v>1</v>
      </c>
      <c r="P93" s="27" t="s">
        <v>8</v>
      </c>
      <c r="R93" s="255"/>
      <c r="S93" s="255"/>
      <c r="V93" s="185"/>
    </row>
    <row r="94" spans="1:23" ht="18" customHeight="1">
      <c r="A94" s="184"/>
      <c r="B94" s="47" t="s">
        <v>394</v>
      </c>
      <c r="H94" s="14"/>
      <c r="I94" s="14"/>
      <c r="J94" s="835" t="str">
        <f>H11</f>
        <v>PX</v>
      </c>
      <c r="K94" s="836"/>
      <c r="L94" s="14"/>
      <c r="M94" s="14"/>
      <c r="V94" s="185"/>
    </row>
    <row r="95" spans="1:23" ht="18" customHeight="1">
      <c r="A95" s="184"/>
      <c r="B95" s="47" t="s">
        <v>396</v>
      </c>
      <c r="I95" s="120" t="s">
        <v>497</v>
      </c>
      <c r="J95" s="781">
        <v>5</v>
      </c>
      <c r="K95" s="782"/>
      <c r="L95" s="192" t="s">
        <v>333</v>
      </c>
      <c r="V95" s="185"/>
    </row>
    <row r="96" spans="1:23" ht="18" customHeight="1">
      <c r="A96" s="184"/>
      <c r="B96" s="47" t="s">
        <v>398</v>
      </c>
      <c r="I96" s="120" t="s">
        <v>498</v>
      </c>
      <c r="J96" s="781">
        <v>900</v>
      </c>
      <c r="K96" s="782"/>
      <c r="L96" s="14" t="s">
        <v>305</v>
      </c>
      <c r="T96" s="295"/>
      <c r="U96" s="18"/>
      <c r="V96" s="185"/>
      <c r="W96" s="30" t="str">
        <f>M163</f>
        <v>Required Vk</v>
      </c>
    </row>
    <row r="97" spans="1:22" ht="18" customHeight="1">
      <c r="A97" s="184"/>
      <c r="B97" s="14" t="s">
        <v>401</v>
      </c>
      <c r="I97" s="120" t="s">
        <v>402</v>
      </c>
      <c r="J97" s="781">
        <v>10</v>
      </c>
      <c r="K97" s="782"/>
      <c r="L97" s="14" t="s">
        <v>403</v>
      </c>
      <c r="V97" s="185"/>
    </row>
    <row r="98" spans="1:22" ht="18" customHeight="1">
      <c r="A98" s="184"/>
      <c r="V98" s="185"/>
    </row>
    <row r="99" spans="1:22" ht="18" customHeight="1">
      <c r="A99" s="193" t="s">
        <v>404</v>
      </c>
      <c r="V99" s="185"/>
    </row>
    <row r="100" spans="1:22" ht="18" customHeight="1">
      <c r="A100" s="184"/>
      <c r="V100" s="185"/>
    </row>
    <row r="101" spans="1:22" ht="18" customHeight="1">
      <c r="A101" s="184"/>
      <c r="B101" s="135" t="s">
        <v>405</v>
      </c>
      <c r="C101" s="273"/>
      <c r="D101" s="139" t="str">
        <f>T90</f>
        <v>REB500</v>
      </c>
      <c r="E101" s="227"/>
      <c r="F101" s="227"/>
      <c r="G101" s="227"/>
      <c r="H101" s="138"/>
      <c r="I101" s="260" t="s">
        <v>127</v>
      </c>
      <c r="J101" s="722">
        <f>J18</f>
        <v>0.01</v>
      </c>
      <c r="K101" s="958"/>
      <c r="L101" s="3" t="s">
        <v>157</v>
      </c>
      <c r="N101" s="197" t="s">
        <v>510</v>
      </c>
      <c r="V101" s="185"/>
    </row>
    <row r="102" spans="1:22" ht="18" customHeight="1">
      <c r="A102" s="184"/>
      <c r="B102" s="96" t="s">
        <v>405</v>
      </c>
      <c r="C102" s="14"/>
      <c r="D102" s="47">
        <f>T91</f>
        <v>0</v>
      </c>
      <c r="H102" s="28"/>
      <c r="I102" s="101" t="s">
        <v>127</v>
      </c>
      <c r="J102" s="722">
        <f>J19</f>
        <v>0</v>
      </c>
      <c r="K102" s="958"/>
      <c r="L102" s="3" t="s">
        <v>157</v>
      </c>
      <c r="N102" s="120" t="s">
        <v>491</v>
      </c>
      <c r="O102" s="27" t="s">
        <v>127</v>
      </c>
      <c r="P102" s="27" t="s">
        <v>511</v>
      </c>
      <c r="Q102" s="27" t="s">
        <v>315</v>
      </c>
      <c r="R102" s="27" t="s">
        <v>511</v>
      </c>
      <c r="S102" s="27" t="s">
        <v>315</v>
      </c>
      <c r="T102" s="27" t="s">
        <v>420</v>
      </c>
      <c r="V102" s="185"/>
    </row>
    <row r="103" spans="1:22" ht="18" customHeight="1">
      <c r="A103" s="184"/>
      <c r="B103" s="96" t="s">
        <v>405</v>
      </c>
      <c r="C103" s="14"/>
      <c r="D103" s="47">
        <f>T92</f>
        <v>0</v>
      </c>
      <c r="H103" s="28"/>
      <c r="I103" s="101" t="s">
        <v>127</v>
      </c>
      <c r="J103" s="722">
        <f>J20</f>
        <v>0</v>
      </c>
      <c r="K103" s="958"/>
      <c r="L103" s="3" t="s">
        <v>157</v>
      </c>
      <c r="N103" s="27"/>
      <c r="O103" s="27" t="s">
        <v>127</v>
      </c>
      <c r="P103" s="27">
        <f>O93</f>
        <v>1</v>
      </c>
      <c r="Q103" s="27" t="s">
        <v>315</v>
      </c>
      <c r="R103" s="27">
        <f>O93</f>
        <v>1</v>
      </c>
      <c r="S103" s="27" t="s">
        <v>315</v>
      </c>
      <c r="T103" s="27">
        <f>J95</f>
        <v>5</v>
      </c>
      <c r="V103" s="185"/>
    </row>
    <row r="104" spans="1:22" ht="18" customHeight="1">
      <c r="A104" s="184"/>
      <c r="B104" s="452" t="s">
        <v>412</v>
      </c>
      <c r="C104" s="259"/>
      <c r="D104" s="259"/>
      <c r="E104" s="259"/>
      <c r="F104" s="207"/>
      <c r="G104" s="207"/>
      <c r="H104" s="190"/>
      <c r="I104" s="208" t="s">
        <v>127</v>
      </c>
      <c r="J104" s="1120">
        <f>J21</f>
        <v>1.0770224400000001</v>
      </c>
      <c r="K104" s="987"/>
      <c r="L104" s="297" t="s">
        <v>157</v>
      </c>
      <c r="O104" s="27" t="s">
        <v>127</v>
      </c>
      <c r="P104" s="795">
        <f>P103*R103*T103</f>
        <v>5</v>
      </c>
      <c r="Q104" s="684"/>
      <c r="R104" s="27" t="s">
        <v>157</v>
      </c>
      <c r="V104" s="185"/>
    </row>
    <row r="105" spans="1:22" ht="18" customHeight="1">
      <c r="A105" s="184"/>
      <c r="B105" s="1" t="s">
        <v>413</v>
      </c>
      <c r="C105" s="2"/>
      <c r="D105" s="2"/>
      <c r="E105" s="2"/>
      <c r="F105" s="196"/>
      <c r="G105" s="196"/>
      <c r="H105" s="224" t="s">
        <v>512</v>
      </c>
      <c r="I105" s="183" t="s">
        <v>127</v>
      </c>
      <c r="J105" s="722">
        <f>SUM(J101:J104)</f>
        <v>1.0870224400000001</v>
      </c>
      <c r="K105" s="958"/>
      <c r="L105" s="3" t="s">
        <v>157</v>
      </c>
      <c r="V105" s="185"/>
    </row>
    <row r="106" spans="1:22" ht="18" customHeight="1">
      <c r="A106" s="184"/>
      <c r="B106" s="47"/>
      <c r="C106" s="47"/>
      <c r="D106" s="47"/>
      <c r="E106" s="47"/>
      <c r="H106" s="27"/>
      <c r="I106" s="28"/>
      <c r="J106" s="199"/>
      <c r="L106" s="47"/>
      <c r="S106" s="27"/>
      <c r="V106" s="185"/>
    </row>
    <row r="107" spans="1:22" ht="18" customHeight="1">
      <c r="A107" s="258"/>
      <c r="B107" s="117" t="s">
        <v>712</v>
      </c>
      <c r="V107" s="185"/>
    </row>
    <row r="108" spans="1:22" ht="18" customHeight="1">
      <c r="A108" s="231"/>
      <c r="B108" s="5"/>
      <c r="C108" s="47" t="s">
        <v>713</v>
      </c>
      <c r="D108" s="14"/>
      <c r="E108" s="14"/>
      <c r="F108" s="14"/>
      <c r="G108" s="14"/>
      <c r="H108" s="279"/>
      <c r="I108" s="120"/>
      <c r="J108" s="279"/>
      <c r="K108" s="279"/>
      <c r="L108" s="14"/>
      <c r="M108" s="14"/>
      <c r="N108" s="14"/>
      <c r="O108" s="14"/>
      <c r="P108" s="14"/>
      <c r="Q108" s="120" t="s">
        <v>714</v>
      </c>
      <c r="R108" s="102" t="s">
        <v>127</v>
      </c>
      <c r="S108" s="689">
        <v>31500</v>
      </c>
      <c r="T108" s="689"/>
      <c r="U108" s="47" t="s">
        <v>8</v>
      </c>
      <c r="V108" s="97" t="s">
        <v>129</v>
      </c>
    </row>
    <row r="109" spans="1:22" ht="18" customHeight="1">
      <c r="A109" s="184"/>
      <c r="B109" s="5"/>
      <c r="C109" s="47" t="s">
        <v>545</v>
      </c>
      <c r="D109" s="14"/>
      <c r="E109" s="14"/>
      <c r="F109" s="18"/>
      <c r="G109" s="18"/>
      <c r="H109" s="279"/>
      <c r="I109" s="120"/>
      <c r="J109" s="279"/>
      <c r="K109" s="279"/>
      <c r="L109" s="14"/>
      <c r="M109" s="14"/>
      <c r="N109" s="14"/>
      <c r="O109" s="14"/>
      <c r="P109" s="14"/>
      <c r="Q109" s="120" t="s">
        <v>423</v>
      </c>
      <c r="R109" s="102" t="s">
        <v>127</v>
      </c>
      <c r="S109" s="689">
        <f>J93</f>
        <v>3200</v>
      </c>
      <c r="T109" s="689"/>
      <c r="U109" s="14" t="s">
        <v>8</v>
      </c>
      <c r="V109" s="185"/>
    </row>
    <row r="110" spans="1:22" ht="18" customHeight="1">
      <c r="A110" s="184"/>
      <c r="B110" s="5"/>
      <c r="C110" s="47" t="s">
        <v>715</v>
      </c>
      <c r="D110" s="14"/>
      <c r="E110" s="14"/>
      <c r="F110" s="18"/>
      <c r="G110" s="18"/>
      <c r="H110" s="279"/>
      <c r="I110" s="120"/>
      <c r="J110" s="279"/>
      <c r="K110" s="279"/>
      <c r="L110" s="14"/>
      <c r="M110" s="14"/>
      <c r="N110" s="14"/>
      <c r="O110" s="14"/>
      <c r="P110" s="14"/>
      <c r="Q110" s="120" t="s">
        <v>716</v>
      </c>
      <c r="R110" s="102" t="s">
        <v>127</v>
      </c>
      <c r="S110" s="689">
        <v>33</v>
      </c>
      <c r="T110" s="689"/>
      <c r="U110" s="14" t="s">
        <v>163</v>
      </c>
      <c r="V110" s="185"/>
    </row>
    <row r="111" spans="1:22" ht="18" customHeight="1">
      <c r="A111" s="184"/>
      <c r="B111" s="5"/>
      <c r="C111" s="47" t="s">
        <v>546</v>
      </c>
      <c r="D111" s="14"/>
      <c r="E111" s="14"/>
      <c r="F111" s="18"/>
      <c r="G111" s="18"/>
      <c r="H111" s="279"/>
      <c r="I111" s="120"/>
      <c r="J111" s="279"/>
      <c r="K111" s="279"/>
      <c r="L111" s="14"/>
      <c r="M111" s="14"/>
      <c r="N111" s="14"/>
      <c r="O111" s="14"/>
      <c r="P111" s="14"/>
      <c r="Q111" s="120" t="s">
        <v>473</v>
      </c>
      <c r="R111" s="102" t="s">
        <v>127</v>
      </c>
      <c r="S111" s="689">
        <f>J96</f>
        <v>900</v>
      </c>
      <c r="T111" s="689"/>
      <c r="U111" s="14" t="s">
        <v>305</v>
      </c>
      <c r="V111" s="185"/>
    </row>
    <row r="112" spans="1:22" ht="18" customHeight="1">
      <c r="A112" s="184"/>
      <c r="B112" s="5"/>
      <c r="C112" s="47" t="s">
        <v>717</v>
      </c>
      <c r="D112" s="14"/>
      <c r="E112" s="14"/>
      <c r="F112" s="18"/>
      <c r="G112" s="18"/>
      <c r="H112" s="279"/>
      <c r="I112" s="120"/>
      <c r="J112" s="279"/>
      <c r="K112" s="279"/>
      <c r="L112" s="14"/>
      <c r="M112" s="14"/>
      <c r="N112" s="14"/>
      <c r="O112" s="14"/>
      <c r="P112" s="14"/>
      <c r="Q112" s="120" t="s">
        <v>420</v>
      </c>
      <c r="R112" s="102" t="s">
        <v>127</v>
      </c>
      <c r="S112" s="692">
        <f>P104</f>
        <v>5</v>
      </c>
      <c r="T112" s="689"/>
      <c r="U112" s="14" t="s">
        <v>157</v>
      </c>
      <c r="V112" s="185"/>
    </row>
    <row r="113" spans="1:25" ht="18" customHeight="1">
      <c r="A113" s="184"/>
      <c r="B113" s="5"/>
      <c r="C113" s="47" t="s">
        <v>718</v>
      </c>
      <c r="D113" s="14"/>
      <c r="E113" s="14"/>
      <c r="F113" s="18"/>
      <c r="G113" s="18"/>
      <c r="H113" s="279"/>
      <c r="I113" s="120"/>
      <c r="J113" s="279"/>
      <c r="K113" s="279"/>
      <c r="L113" s="14"/>
      <c r="M113" s="14"/>
      <c r="N113" s="14"/>
      <c r="O113" s="14"/>
      <c r="P113" s="14"/>
      <c r="Q113" s="120" t="s">
        <v>522</v>
      </c>
      <c r="R113" s="102" t="s">
        <v>127</v>
      </c>
      <c r="S113" s="692">
        <f>J105</f>
        <v>1.0870224400000001</v>
      </c>
      <c r="T113" s="689"/>
      <c r="U113" s="14" t="s">
        <v>157</v>
      </c>
      <c r="V113" s="185"/>
    </row>
    <row r="114" spans="1:25" ht="18" customHeight="1">
      <c r="A114" s="168"/>
      <c r="B114" s="5"/>
      <c r="C114" s="47" t="s">
        <v>549</v>
      </c>
      <c r="D114" s="14"/>
      <c r="E114" s="14"/>
      <c r="F114" s="14"/>
      <c r="G114" s="14"/>
      <c r="H114" s="279"/>
      <c r="I114" s="120"/>
      <c r="J114" s="279"/>
      <c r="K114" s="279"/>
      <c r="L114" s="14"/>
      <c r="M114" s="14"/>
      <c r="N114" s="14"/>
      <c r="O114" s="14"/>
      <c r="P114" s="14"/>
      <c r="Q114" s="120" t="s">
        <v>714</v>
      </c>
      <c r="R114" s="102" t="s">
        <v>127</v>
      </c>
      <c r="S114" s="689">
        <f>O93</f>
        <v>1</v>
      </c>
      <c r="T114" s="689"/>
      <c r="U114" s="14" t="s">
        <v>8</v>
      </c>
      <c r="V114" s="185"/>
    </row>
    <row r="115" spans="1:25" ht="18" customHeight="1">
      <c r="A115" s="168"/>
      <c r="B115" s="5"/>
      <c r="C115" s="47" t="s">
        <v>719</v>
      </c>
      <c r="D115" s="14"/>
      <c r="E115" s="14"/>
      <c r="F115" s="14"/>
      <c r="G115" s="14"/>
      <c r="H115" s="279"/>
      <c r="I115" s="120"/>
      <c r="J115" s="279"/>
      <c r="K115" s="279"/>
      <c r="L115" s="14"/>
      <c r="M115" s="14"/>
      <c r="N115" s="14"/>
      <c r="O115" s="14"/>
      <c r="P115" s="14"/>
      <c r="Q115" s="120" t="s">
        <v>720</v>
      </c>
      <c r="R115" s="102" t="s">
        <v>127</v>
      </c>
      <c r="S115" s="689">
        <v>50</v>
      </c>
      <c r="T115" s="689"/>
      <c r="U115" s="47"/>
      <c r="V115" s="185"/>
    </row>
    <row r="116" spans="1:25" ht="18" customHeight="1">
      <c r="A116" s="168"/>
      <c r="B116" s="279"/>
      <c r="C116" s="47"/>
      <c r="D116" s="14"/>
      <c r="E116" s="14"/>
      <c r="F116" s="14"/>
      <c r="G116" s="14"/>
      <c r="H116" s="279"/>
      <c r="I116" s="120"/>
      <c r="J116" s="279"/>
      <c r="K116" s="279"/>
      <c r="L116" s="14"/>
      <c r="M116" s="14"/>
      <c r="N116" s="279"/>
      <c r="O116" s="279"/>
      <c r="P116" s="14"/>
      <c r="Q116" s="120"/>
      <c r="R116" s="14"/>
      <c r="S116" s="279"/>
      <c r="T116" s="279"/>
      <c r="U116" s="279"/>
      <c r="V116" s="300"/>
    </row>
    <row r="117" spans="1:25" ht="18" customHeight="1">
      <c r="A117" s="168"/>
      <c r="C117" s="18" t="s">
        <v>721</v>
      </c>
      <c r="D117" s="14"/>
      <c r="E117" s="14"/>
      <c r="F117" s="14"/>
      <c r="G117" s="14"/>
      <c r="H117" s="14"/>
      <c r="I117" s="14"/>
      <c r="J117" s="14"/>
      <c r="K117" s="14"/>
      <c r="L117" s="14"/>
      <c r="M117" s="14"/>
      <c r="N117" s="14"/>
      <c r="O117" s="14"/>
      <c r="P117" s="14"/>
      <c r="Q117" s="14"/>
      <c r="R117" s="14"/>
      <c r="S117" s="14"/>
      <c r="T117" s="14"/>
      <c r="U117" s="14"/>
      <c r="V117" s="185"/>
      <c r="W117" s="279"/>
      <c r="X117" s="279"/>
      <c r="Y117" s="279"/>
    </row>
    <row r="118" spans="1:25" ht="18" customHeight="1">
      <c r="A118" s="168"/>
      <c r="C118" s="28"/>
      <c r="D118" s="47" t="s">
        <v>722</v>
      </c>
      <c r="E118" s="28"/>
      <c r="F118" s="28"/>
      <c r="G118" s="28"/>
      <c r="H118" s="14"/>
      <c r="I118" s="14"/>
      <c r="J118" s="28"/>
      <c r="K118" s="28"/>
      <c r="L118" s="28"/>
      <c r="M118" s="28"/>
      <c r="N118" s="47"/>
      <c r="O118" s="28"/>
      <c r="V118" s="185"/>
      <c r="X118" s="279"/>
      <c r="Y118" s="279"/>
    </row>
    <row r="119" spans="1:25" ht="18" customHeight="1">
      <c r="A119" s="168"/>
      <c r="D119" s="27"/>
      <c r="E119" s="27"/>
      <c r="F119" s="27"/>
      <c r="G119" s="27"/>
      <c r="I119" s="689" t="s">
        <v>723</v>
      </c>
      <c r="J119" s="689" t="s">
        <v>127</v>
      </c>
      <c r="K119" s="695" t="s">
        <v>714</v>
      </c>
      <c r="L119" s="695"/>
      <c r="M119" s="27"/>
      <c r="N119" s="296"/>
      <c r="O119" s="222"/>
      <c r="V119" s="185"/>
      <c r="X119" s="279"/>
      <c r="Y119" s="279"/>
    </row>
    <row r="120" spans="1:25" ht="18" customHeight="1">
      <c r="A120" s="168"/>
      <c r="D120" s="27"/>
      <c r="G120" s="27"/>
      <c r="I120" s="689"/>
      <c r="J120" s="689"/>
      <c r="K120" s="1289" t="s">
        <v>724</v>
      </c>
      <c r="L120" s="1289"/>
      <c r="V120" s="185"/>
    </row>
    <row r="121" spans="1:25" ht="18" customHeight="1">
      <c r="A121" s="184"/>
      <c r="B121" s="18" t="s">
        <v>725</v>
      </c>
      <c r="C121" s="14"/>
      <c r="V121" s="185"/>
    </row>
    <row r="122" spans="1:25" ht="18" customHeight="1">
      <c r="A122" s="184"/>
      <c r="B122" s="28"/>
      <c r="C122" s="372" t="s">
        <v>726</v>
      </c>
      <c r="D122" s="14"/>
      <c r="E122" s="14"/>
      <c r="F122" s="14"/>
      <c r="G122" s="14"/>
      <c r="H122" s="14"/>
      <c r="I122" s="14"/>
      <c r="J122" s="14"/>
      <c r="K122" s="14"/>
      <c r="L122" s="14"/>
      <c r="M122" s="14"/>
      <c r="N122" s="14"/>
      <c r="O122" s="14"/>
      <c r="P122" s="28"/>
      <c r="Q122" s="120"/>
      <c r="R122" s="14"/>
      <c r="S122" s="14"/>
      <c r="T122" s="14"/>
      <c r="U122" s="14"/>
      <c r="V122" s="185"/>
    </row>
    <row r="123" spans="1:25" ht="18" customHeight="1">
      <c r="A123" s="184"/>
      <c r="B123" s="28"/>
      <c r="C123" s="7" t="s">
        <v>727</v>
      </c>
      <c r="D123" s="14"/>
      <c r="E123" s="14"/>
      <c r="F123" s="14"/>
      <c r="G123" s="14"/>
      <c r="H123" s="14"/>
      <c r="K123" s="14"/>
      <c r="L123" s="28"/>
      <c r="M123" s="47"/>
      <c r="N123" s="14"/>
      <c r="O123" s="14"/>
      <c r="P123" s="14"/>
      <c r="Q123" s="14"/>
      <c r="R123" s="14"/>
      <c r="S123" s="14"/>
      <c r="T123" s="14"/>
      <c r="U123" s="14"/>
      <c r="V123" s="185"/>
    </row>
    <row r="124" spans="1:25" ht="18" customHeight="1">
      <c r="A124" s="184"/>
      <c r="B124" s="14" t="s">
        <v>728</v>
      </c>
      <c r="C124" s="7"/>
      <c r="D124" s="14"/>
      <c r="E124" s="14"/>
      <c r="F124" s="268"/>
      <c r="K124" s="28"/>
      <c r="L124" s="28"/>
      <c r="M124" s="281"/>
      <c r="N124" s="28"/>
      <c r="O124" s="47"/>
      <c r="P124" s="14"/>
      <c r="Q124" s="14"/>
      <c r="R124" s="14"/>
      <c r="S124" s="14"/>
      <c r="T124" s="14"/>
      <c r="U124" s="14"/>
      <c r="V124" s="185"/>
    </row>
    <row r="125" spans="1:25" ht="18" customHeight="1">
      <c r="A125" s="184"/>
      <c r="B125" s="14"/>
      <c r="C125" s="14" t="s">
        <v>729</v>
      </c>
      <c r="D125" s="47"/>
      <c r="E125" s="14"/>
      <c r="F125" s="268"/>
      <c r="K125" s="28"/>
      <c r="L125" s="28"/>
      <c r="M125" s="14"/>
      <c r="N125" s="14"/>
      <c r="O125" s="14"/>
      <c r="P125" s="14"/>
      <c r="Q125" s="14"/>
      <c r="R125" s="14"/>
      <c r="S125" s="14"/>
      <c r="T125" s="14"/>
      <c r="U125" s="14"/>
      <c r="V125" s="185"/>
    </row>
    <row r="126" spans="1:25" ht="18" customHeight="1">
      <c r="A126" s="184"/>
      <c r="B126" s="14"/>
      <c r="C126" s="7" t="s">
        <v>730</v>
      </c>
      <c r="D126" s="14"/>
      <c r="E126" s="14"/>
      <c r="F126" s="14"/>
      <c r="G126" s="14"/>
      <c r="H126" s="14"/>
      <c r="K126" s="28"/>
      <c r="L126" s="28"/>
      <c r="M126" s="47"/>
      <c r="N126" s="14"/>
      <c r="O126" s="14"/>
      <c r="P126" s="14"/>
      <c r="Q126" s="14"/>
      <c r="R126" s="14"/>
      <c r="S126" s="14"/>
      <c r="T126" s="14"/>
      <c r="U126" s="14"/>
      <c r="V126" s="185"/>
    </row>
    <row r="127" spans="1:25" ht="18" customHeight="1">
      <c r="A127" s="184"/>
      <c r="B127" s="14"/>
      <c r="C127" s="7" t="s">
        <v>731</v>
      </c>
      <c r="K127" s="28"/>
      <c r="L127" s="28"/>
      <c r="M127" s="28"/>
      <c r="O127" s="14"/>
      <c r="P127" s="28"/>
      <c r="Q127" s="278"/>
      <c r="R127" s="28"/>
      <c r="S127" s="14"/>
      <c r="T127" s="14"/>
      <c r="U127" s="14"/>
      <c r="V127" s="185"/>
    </row>
    <row r="128" spans="1:25" ht="18" customHeight="1">
      <c r="A128" s="452"/>
      <c r="B128" s="207"/>
      <c r="C128" s="207"/>
      <c r="D128" s="207"/>
      <c r="E128" s="207"/>
      <c r="F128" s="207"/>
      <c r="G128" s="207"/>
      <c r="H128" s="207"/>
      <c r="I128" s="207"/>
      <c r="J128" s="207"/>
      <c r="K128" s="259" t="s">
        <v>129</v>
      </c>
      <c r="L128" s="259" t="s">
        <v>732</v>
      </c>
      <c r="M128" s="190"/>
      <c r="N128" s="259"/>
      <c r="O128" s="259"/>
      <c r="P128" s="229"/>
      <c r="Q128" s="473"/>
      <c r="R128" s="229"/>
      <c r="S128" s="259"/>
      <c r="T128" s="259"/>
      <c r="U128" s="259"/>
      <c r="V128" s="453"/>
    </row>
    <row r="129" spans="1:22"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customHeight="1">
      <c r="A130" s="226"/>
      <c r="B130" s="273"/>
      <c r="C130" s="273"/>
      <c r="D130" s="227"/>
      <c r="E130" s="227"/>
      <c r="F130" s="227"/>
      <c r="G130" s="227"/>
      <c r="H130" s="227"/>
      <c r="I130" s="227"/>
      <c r="J130" s="227"/>
      <c r="K130" s="311"/>
      <c r="L130" s="311"/>
      <c r="M130" s="227"/>
      <c r="N130" s="227"/>
      <c r="O130" s="311"/>
      <c r="P130" s="311"/>
      <c r="Q130" s="138"/>
      <c r="R130" s="227"/>
      <c r="S130" s="227"/>
      <c r="T130" s="273"/>
      <c r="U130" s="273"/>
      <c r="V130" s="228"/>
    </row>
    <row r="131" spans="1:22" ht="18" customHeight="1">
      <c r="A131" s="96"/>
      <c r="B131" s="7" t="s">
        <v>733</v>
      </c>
      <c r="C131" s="7"/>
      <c r="D131" s="14"/>
      <c r="E131" s="7"/>
      <c r="F131" s="7"/>
      <c r="L131" s="27"/>
      <c r="O131" s="27"/>
      <c r="P131" s="27"/>
      <c r="Q131" s="28"/>
      <c r="T131" s="14"/>
      <c r="U131" s="14"/>
      <c r="V131" s="185"/>
    </row>
    <row r="132" spans="1:22" ht="18" customHeight="1">
      <c r="A132" s="96"/>
      <c r="B132" s="14"/>
      <c r="C132" s="7"/>
      <c r="D132" s="7"/>
      <c r="E132" s="14"/>
      <c r="F132" s="7"/>
      <c r="L132" s="27"/>
      <c r="M132" s="14"/>
      <c r="O132" s="14"/>
      <c r="P132" s="14"/>
      <c r="Q132" s="14"/>
      <c r="R132" s="14"/>
      <c r="S132" s="14"/>
      <c r="T132" s="14"/>
      <c r="U132" s="14"/>
      <c r="V132" s="185"/>
    </row>
    <row r="133" spans="1:22" ht="18" customHeight="1">
      <c r="A133" s="96"/>
      <c r="B133" s="14"/>
      <c r="C133" s="120" t="s">
        <v>734</v>
      </c>
      <c r="D133" s="28" t="s">
        <v>127</v>
      </c>
      <c r="E133" s="805">
        <f>S108</f>
        <v>31500</v>
      </c>
      <c r="F133" s="805"/>
      <c r="G133" s="14"/>
      <c r="H133" s="14"/>
      <c r="I133" s="102"/>
      <c r="J133" s="47"/>
      <c r="K133" s="47"/>
      <c r="L133" s="14"/>
      <c r="M133" s="14"/>
      <c r="N133" s="14"/>
      <c r="O133" s="14"/>
      <c r="P133" s="14"/>
      <c r="Q133" s="14"/>
      <c r="R133" s="14"/>
      <c r="S133" s="14"/>
      <c r="T133" s="14"/>
      <c r="U133" s="14"/>
      <c r="V133" s="185"/>
    </row>
    <row r="134" spans="1:22" ht="18" customHeight="1">
      <c r="A134" s="96"/>
      <c r="B134" s="14"/>
      <c r="C134" s="120"/>
      <c r="D134" s="28"/>
      <c r="E134" s="978" t="str">
        <f>"5 x "&amp;S109&amp;""</f>
        <v>5 x 3200</v>
      </c>
      <c r="F134" s="978"/>
      <c r="G134" s="28"/>
      <c r="H134" s="257"/>
      <c r="K134" s="28"/>
      <c r="L134" s="218"/>
      <c r="M134" s="257"/>
      <c r="O134" s="14"/>
      <c r="P134" s="14"/>
      <c r="Q134" s="14"/>
      <c r="R134" s="14"/>
      <c r="S134" s="14"/>
      <c r="T134" s="14"/>
      <c r="U134" s="14"/>
      <c r="V134" s="185"/>
    </row>
    <row r="135" spans="1:22" ht="18" customHeight="1">
      <c r="A135" s="96"/>
      <c r="J135" s="14"/>
      <c r="K135" s="257"/>
      <c r="M135" s="14"/>
      <c r="N135" s="14"/>
      <c r="O135" s="14"/>
      <c r="P135" s="14"/>
      <c r="Q135" s="14"/>
      <c r="R135" s="14"/>
      <c r="S135" s="14"/>
      <c r="T135" s="14"/>
      <c r="U135" s="14"/>
      <c r="V135" s="185"/>
    </row>
    <row r="136" spans="1:22" ht="18" customHeight="1">
      <c r="A136" s="96"/>
      <c r="C136" s="458" t="s">
        <v>734</v>
      </c>
      <c r="D136" s="182" t="s">
        <v>127</v>
      </c>
      <c r="E136" s="1288">
        <f>S108/5/S109</f>
        <v>1.96875</v>
      </c>
      <c r="F136" s="722"/>
      <c r="G136" s="27"/>
      <c r="H136" s="27"/>
      <c r="I136" s="27"/>
      <c r="J136" s="120"/>
      <c r="K136" s="28"/>
      <c r="L136" s="120"/>
      <c r="M136" s="28"/>
      <c r="N136" s="120"/>
      <c r="O136" s="28"/>
      <c r="P136" s="120"/>
      <c r="Q136" s="296"/>
      <c r="V136" s="185"/>
    </row>
    <row r="137" spans="1:22" ht="18" customHeight="1">
      <c r="A137" s="96"/>
      <c r="C137" s="120"/>
      <c r="D137" s="28"/>
      <c r="E137" s="218"/>
      <c r="F137" s="218"/>
      <c r="G137" s="27"/>
      <c r="H137" s="27"/>
      <c r="I137" s="27"/>
      <c r="J137" s="120"/>
      <c r="K137" s="28"/>
      <c r="L137" s="120"/>
      <c r="M137" s="28"/>
      <c r="N137" s="120"/>
      <c r="O137" s="28"/>
      <c r="P137" s="120"/>
      <c r="Q137" s="296"/>
      <c r="V137" s="185"/>
    </row>
    <row r="138" spans="1:22" ht="18" customHeight="1">
      <c r="A138" s="96"/>
      <c r="B138" s="14" t="s">
        <v>735</v>
      </c>
      <c r="C138" s="14"/>
      <c r="D138" s="14"/>
      <c r="E138" s="7"/>
      <c r="F138" s="102"/>
      <c r="G138" s="7"/>
      <c r="H138" s="7"/>
      <c r="I138" s="239"/>
      <c r="J138" s="120"/>
      <c r="K138" s="28"/>
      <c r="L138" s="120"/>
      <c r="M138" s="28"/>
      <c r="N138" s="120"/>
      <c r="O138" s="28"/>
      <c r="P138" s="120"/>
      <c r="Q138" s="296"/>
      <c r="V138" s="185"/>
    </row>
    <row r="139" spans="1:22" ht="18" customHeight="1">
      <c r="A139" s="96"/>
      <c r="C139" s="14"/>
      <c r="D139" s="14"/>
      <c r="E139" s="689" t="s">
        <v>736</v>
      </c>
      <c r="F139" s="689">
        <v>1</v>
      </c>
      <c r="G139" s="689"/>
      <c r="H139" s="689" t="s">
        <v>312</v>
      </c>
      <c r="I139" s="459" t="s">
        <v>312</v>
      </c>
      <c r="J139" s="120"/>
      <c r="K139" s="28"/>
      <c r="L139" s="120"/>
      <c r="M139" s="28"/>
      <c r="N139" s="120"/>
      <c r="O139" s="28"/>
      <c r="P139" s="120"/>
      <c r="Q139" s="296"/>
      <c r="V139" s="185"/>
    </row>
    <row r="140" spans="1:22" ht="18" customHeight="1">
      <c r="A140" s="96"/>
      <c r="C140" s="14"/>
      <c r="D140" s="14"/>
      <c r="E140" s="723"/>
      <c r="F140" s="273"/>
      <c r="G140" s="274" t="s">
        <v>737</v>
      </c>
      <c r="H140" s="689"/>
      <c r="I140" s="14" t="s">
        <v>141</v>
      </c>
      <c r="J140" s="120"/>
      <c r="K140" s="28"/>
      <c r="L140" s="120"/>
      <c r="M140" s="28"/>
      <c r="N140" s="120"/>
      <c r="O140" s="28"/>
      <c r="P140" s="120"/>
      <c r="Q140" s="296"/>
      <c r="V140" s="185"/>
    </row>
    <row r="141" spans="1:22" ht="18" customHeight="1">
      <c r="A141" s="96"/>
      <c r="C141" s="120"/>
      <c r="D141" s="28"/>
      <c r="E141" s="218"/>
      <c r="F141" s="218"/>
      <c r="G141" s="27"/>
      <c r="H141" s="27"/>
      <c r="I141" s="27"/>
      <c r="J141" s="120"/>
      <c r="K141" s="28"/>
      <c r="L141" s="120"/>
      <c r="M141" s="28"/>
      <c r="N141" s="120"/>
      <c r="O141" s="28"/>
      <c r="P141" s="120"/>
      <c r="Q141" s="296"/>
      <c r="V141" s="185"/>
    </row>
    <row r="142" spans="1:22" ht="18" customHeight="1">
      <c r="A142" s="96"/>
      <c r="B142" s="14" t="s">
        <v>753</v>
      </c>
      <c r="J142" s="120"/>
      <c r="K142" s="28"/>
      <c r="L142" s="120"/>
      <c r="M142" s="28"/>
      <c r="N142" s="121" t="s">
        <v>127</v>
      </c>
      <c r="O142" s="47" t="e">
        <f>#REF!</f>
        <v>#REF!</v>
      </c>
      <c r="P142" s="120"/>
      <c r="Q142" s="296"/>
      <c r="V142" s="185"/>
    </row>
    <row r="143" spans="1:22" ht="18" customHeight="1">
      <c r="A143" s="184"/>
      <c r="C143" s="120"/>
      <c r="D143" s="28"/>
      <c r="E143" s="218"/>
      <c r="F143" s="218"/>
      <c r="G143" s="27"/>
      <c r="H143" s="27"/>
      <c r="I143" s="27"/>
      <c r="J143" s="120"/>
      <c r="K143" s="28"/>
      <c r="L143" s="120"/>
      <c r="M143" s="28"/>
      <c r="N143" s="120"/>
      <c r="O143" s="28"/>
      <c r="P143" s="120"/>
      <c r="Q143" s="296"/>
      <c r="V143" s="185"/>
    </row>
    <row r="144" spans="1:22" ht="18" customHeight="1">
      <c r="A144" s="96"/>
      <c r="C144" s="120"/>
      <c r="F144" s="708">
        <v>1</v>
      </c>
      <c r="G144" s="708"/>
      <c r="H144" s="708"/>
      <c r="I144" s="27"/>
      <c r="J144" s="689" t="s">
        <v>315</v>
      </c>
      <c r="K144" s="1286" t="e">
        <f>O142</f>
        <v>#REF!</v>
      </c>
      <c r="L144" s="120"/>
      <c r="M144" s="28"/>
      <c r="N144" s="120"/>
      <c r="O144" s="28"/>
      <c r="P144" s="120"/>
      <c r="Q144" s="296"/>
      <c r="V144" s="185"/>
    </row>
    <row r="145" spans="1:22" ht="18" customHeight="1">
      <c r="A145" s="184"/>
      <c r="C145" s="120"/>
      <c r="D145" s="120" t="s">
        <v>738</v>
      </c>
      <c r="E145" s="102" t="s">
        <v>127</v>
      </c>
      <c r="F145" s="14" t="s">
        <v>739</v>
      </c>
      <c r="I145" s="27"/>
      <c r="J145" s="684"/>
      <c r="K145" s="1251"/>
      <c r="L145" s="120"/>
      <c r="M145" s="28"/>
      <c r="N145" s="120"/>
      <c r="O145" s="28"/>
      <c r="P145" s="120"/>
      <c r="Q145" s="296"/>
      <c r="V145" s="185"/>
    </row>
    <row r="146" spans="1:22" ht="18" customHeight="1">
      <c r="A146" s="184"/>
      <c r="C146" s="120"/>
      <c r="D146" s="28"/>
      <c r="E146" s="218" t="s">
        <v>127</v>
      </c>
      <c r="F146" s="1287" t="e">
        <f>1*O142/(2*3.14*50)</f>
        <v>#REF!</v>
      </c>
      <c r="G146" s="1287"/>
      <c r="H146" s="28" t="s">
        <v>740</v>
      </c>
      <c r="I146" s="27"/>
      <c r="J146" s="120"/>
      <c r="K146" s="28"/>
      <c r="L146" s="120"/>
      <c r="M146" s="28"/>
      <c r="N146" s="120"/>
      <c r="O146" s="28"/>
      <c r="P146" s="120"/>
      <c r="Q146" s="296"/>
      <c r="V146" s="185"/>
    </row>
    <row r="147" spans="1:22" ht="18" customHeight="1">
      <c r="A147" s="184"/>
      <c r="C147" s="120"/>
      <c r="D147" s="120" t="s">
        <v>738</v>
      </c>
      <c r="E147" s="218" t="s">
        <v>127</v>
      </c>
      <c r="F147" s="1188" t="e">
        <f>F146*1000</f>
        <v>#REF!</v>
      </c>
      <c r="G147" s="1188"/>
      <c r="H147" s="28" t="s">
        <v>343</v>
      </c>
      <c r="I147" s="27"/>
      <c r="J147" s="120"/>
      <c r="K147" s="28"/>
      <c r="L147" s="120"/>
      <c r="M147" s="28"/>
      <c r="N147" s="120"/>
      <c r="O147" s="28"/>
      <c r="P147" s="120"/>
      <c r="Q147" s="296"/>
      <c r="V147" s="185"/>
    </row>
    <row r="148" spans="1:22" ht="18" customHeight="1">
      <c r="A148" s="184"/>
      <c r="B148" s="14" t="s">
        <v>741</v>
      </c>
      <c r="E148" s="28" t="s">
        <v>127</v>
      </c>
      <c r="F148" s="27">
        <v>10</v>
      </c>
      <c r="G148" s="27"/>
      <c r="H148" s="245"/>
      <c r="I148" s="245"/>
      <c r="J148" s="460"/>
      <c r="K148" s="245"/>
      <c r="L148" s="460"/>
      <c r="M148" s="245"/>
      <c r="N148" s="460"/>
      <c r="O148" s="245"/>
      <c r="P148" s="460"/>
      <c r="Q148" s="461"/>
      <c r="V148" s="185"/>
    </row>
    <row r="149" spans="1:22" ht="18" customHeight="1">
      <c r="A149" s="184"/>
      <c r="G149" s="27"/>
      <c r="H149" s="245"/>
      <c r="I149" s="245"/>
      <c r="J149" s="460"/>
      <c r="K149" s="245"/>
      <c r="L149" s="460"/>
      <c r="M149" s="245"/>
      <c r="N149" s="460"/>
      <c r="O149" s="245"/>
      <c r="P149" s="460"/>
      <c r="Q149" s="461"/>
      <c r="V149" s="185"/>
    </row>
    <row r="150" spans="1:22" ht="18" customHeight="1">
      <c r="A150" s="184"/>
      <c r="B150" s="7" t="s">
        <v>742</v>
      </c>
      <c r="F150" s="7"/>
      <c r="G150" s="7"/>
      <c r="H150" s="204"/>
      <c r="I150" s="204"/>
      <c r="V150" s="185"/>
    </row>
    <row r="151" spans="1:22" ht="18" customHeight="1">
      <c r="A151" s="184"/>
      <c r="B151" s="7"/>
      <c r="E151" s="14" t="s">
        <v>754</v>
      </c>
      <c r="F151" s="7"/>
      <c r="G151" s="7"/>
      <c r="V151" s="185"/>
    </row>
    <row r="152" spans="1:22" ht="18" customHeight="1">
      <c r="A152" s="184"/>
      <c r="B152" s="14" t="s">
        <v>744</v>
      </c>
      <c r="C152" s="14"/>
      <c r="D152" s="14"/>
      <c r="E152" s="14"/>
      <c r="F152" s="14"/>
      <c r="G152" s="120"/>
      <c r="H152" s="120"/>
      <c r="V152" s="185"/>
    </row>
    <row r="153" spans="1:22" ht="18" customHeight="1">
      <c r="A153" s="184"/>
      <c r="B153" s="14"/>
      <c r="C153" s="120" t="s">
        <v>745</v>
      </c>
      <c r="D153" s="28" t="s">
        <v>127</v>
      </c>
      <c r="E153" s="1188">
        <f>MAX(E136,F148)</f>
        <v>10</v>
      </c>
      <c r="F153" s="1188"/>
      <c r="G153" s="47" t="s">
        <v>746</v>
      </c>
      <c r="H153" s="120"/>
      <c r="V153" s="185"/>
    </row>
    <row r="154" spans="1:22" ht="18" customHeight="1">
      <c r="A154" s="184"/>
      <c r="B154" s="7"/>
      <c r="E154" s="14"/>
      <c r="F154" s="7"/>
      <c r="G154" s="7"/>
      <c r="V154" s="185"/>
    </row>
    <row r="155" spans="1:22" ht="18" customHeight="1">
      <c r="A155" s="184"/>
      <c r="B155" s="47" t="s">
        <v>747</v>
      </c>
      <c r="E155" s="14"/>
      <c r="F155" s="7"/>
      <c r="G155" s="7"/>
      <c r="V155" s="185"/>
    </row>
    <row r="156" spans="1:22" ht="18" customHeight="1">
      <c r="A156" s="184"/>
      <c r="B156" s="47" t="s">
        <v>748</v>
      </c>
      <c r="E156" s="14"/>
      <c r="F156" s="7"/>
      <c r="G156" s="7"/>
      <c r="V156" s="185"/>
    </row>
    <row r="157" spans="1:22" ht="18" customHeight="1" thickBot="1">
      <c r="A157" s="184"/>
      <c r="B157" s="102" t="s">
        <v>127</v>
      </c>
      <c r="C157" s="120">
        <f>E153</f>
        <v>10</v>
      </c>
      <c r="D157" s="28" t="s">
        <v>315</v>
      </c>
      <c r="E157" s="28" t="s">
        <v>419</v>
      </c>
      <c r="F157" s="692">
        <f>S112</f>
        <v>5</v>
      </c>
      <c r="G157" s="692"/>
      <c r="H157" s="102" t="s">
        <v>347</v>
      </c>
      <c r="I157" s="218">
        <f>S113</f>
        <v>1.0870224400000001</v>
      </c>
      <c r="J157" s="240" t="s">
        <v>347</v>
      </c>
      <c r="K157" s="281">
        <f>J101</f>
        <v>0.01</v>
      </c>
      <c r="L157" s="14" t="s">
        <v>350</v>
      </c>
      <c r="M157" s="14" t="s">
        <v>315</v>
      </c>
      <c r="N157" s="28">
        <v>1</v>
      </c>
      <c r="V157" s="185"/>
    </row>
    <row r="158" spans="1:22" ht="18" customHeight="1" thickBot="1">
      <c r="A158" s="184"/>
      <c r="B158" s="462" t="s">
        <v>528</v>
      </c>
      <c r="C158" s="463" t="s">
        <v>127</v>
      </c>
      <c r="D158" s="464">
        <f>C157*(F157+I157+K157)*N157</f>
        <v>60.970224399999999</v>
      </c>
      <c r="E158" s="14" t="s">
        <v>305</v>
      </c>
      <c r="F158" s="7"/>
      <c r="G158" s="7"/>
      <c r="V158" s="185"/>
    </row>
    <row r="159" spans="1:22" ht="18" customHeight="1">
      <c r="A159" s="184"/>
      <c r="B159" s="7"/>
      <c r="E159" s="14"/>
      <c r="F159" s="7"/>
      <c r="G159" s="7"/>
      <c r="V159" s="185"/>
    </row>
    <row r="160" spans="1:22" ht="18" customHeight="1">
      <c r="A160" s="184"/>
      <c r="B160" s="47" t="s">
        <v>749</v>
      </c>
      <c r="E160" s="14"/>
      <c r="F160" s="7"/>
      <c r="G160" s="7"/>
      <c r="J160" s="14" t="s">
        <v>750</v>
      </c>
      <c r="L160" s="28" t="s">
        <v>476</v>
      </c>
      <c r="N160" s="14" t="s">
        <v>751</v>
      </c>
      <c r="V160" s="185"/>
    </row>
    <row r="161" spans="1:22" ht="18" customHeight="1">
      <c r="A161" s="184"/>
      <c r="B161" s="7"/>
      <c r="E161" s="14"/>
      <c r="F161" s="7"/>
      <c r="G161" s="7"/>
      <c r="L161" s="28" t="s">
        <v>127</v>
      </c>
      <c r="N161" s="1251">
        <f>0.8*D158</f>
        <v>48.776179519999999</v>
      </c>
      <c r="O161" s="1251"/>
      <c r="V161" s="185"/>
    </row>
    <row r="162" spans="1:22" ht="18" customHeight="1">
      <c r="A162" s="184"/>
      <c r="B162" s="7"/>
      <c r="E162" s="14"/>
      <c r="F162" s="14" t="s">
        <v>752</v>
      </c>
      <c r="G162" s="7"/>
      <c r="L162" s="28" t="s">
        <v>127</v>
      </c>
      <c r="N162" s="1072">
        <f>N161*1.2</f>
        <v>58.531415423999995</v>
      </c>
      <c r="O162" s="1072"/>
      <c r="V162" s="185"/>
    </row>
    <row r="163" spans="1:22" ht="18" customHeight="1">
      <c r="A163" s="184"/>
      <c r="B163" s="7"/>
      <c r="E163" s="14"/>
      <c r="F163" s="7"/>
      <c r="G163" s="7"/>
      <c r="K163" s="199" t="s">
        <v>475</v>
      </c>
      <c r="L163" s="28" t="str">
        <f>IF(J164&gt;M164,"&gt;","&lt;")</f>
        <v>&gt;</v>
      </c>
      <c r="M163" s="257" t="s">
        <v>477</v>
      </c>
      <c r="O163" s="18"/>
      <c r="P163" s="268"/>
      <c r="V163" s="185"/>
    </row>
    <row r="164" spans="1:22" ht="18" customHeight="1">
      <c r="A164" s="184"/>
      <c r="D164" s="211"/>
      <c r="E164" s="211"/>
      <c r="F164" s="27"/>
      <c r="G164" s="211"/>
      <c r="J164" s="795">
        <f>S111</f>
        <v>900</v>
      </c>
      <c r="K164" s="795"/>
      <c r="L164" s="27" t="str">
        <f>IF(J164&gt;=M164,"&gt;","&lt;")</f>
        <v>&gt;</v>
      </c>
      <c r="M164" s="795">
        <f>N162</f>
        <v>58.531415423999995</v>
      </c>
      <c r="N164" s="795"/>
      <c r="P164" s="268"/>
      <c r="V164" s="185"/>
    </row>
    <row r="165" spans="1:22" ht="18" customHeight="1">
      <c r="A165" s="184"/>
      <c r="K165" s="244" t="s">
        <v>478</v>
      </c>
      <c r="M165" s="18" t="str">
        <f>IF(J164&gt;M164,"Suitably Dimensioned","Under Dimensioned")</f>
        <v>Suitably Dimensioned</v>
      </c>
      <c r="V165" s="185"/>
    </row>
    <row r="166" spans="1:22" ht="18" customHeight="1">
      <c r="A166" s="184"/>
      <c r="V166" s="185"/>
    </row>
    <row r="167" spans="1:22" ht="18" hidden="1" customHeight="1">
      <c r="A167" s="184"/>
      <c r="V167" s="185"/>
    </row>
    <row r="168" spans="1:22" ht="18" hidden="1" customHeight="1">
      <c r="A168" s="184"/>
      <c r="V168" s="185"/>
    </row>
    <row r="169" spans="1:22" ht="18" hidden="1" customHeight="1">
      <c r="A169" s="452"/>
      <c r="B169" s="207"/>
      <c r="C169" s="207"/>
      <c r="D169" s="207"/>
      <c r="E169" s="207"/>
      <c r="F169" s="207"/>
      <c r="G169" s="207"/>
      <c r="H169" s="207"/>
      <c r="I169" s="207"/>
      <c r="J169" s="207"/>
      <c r="K169" s="207"/>
      <c r="L169" s="207"/>
      <c r="M169" s="207"/>
      <c r="N169" s="207"/>
      <c r="O169" s="207"/>
      <c r="P169" s="207"/>
      <c r="Q169" s="207"/>
      <c r="R169" s="207"/>
      <c r="S169" s="207"/>
      <c r="T169" s="207"/>
      <c r="U169" s="207"/>
      <c r="V169" s="453"/>
    </row>
    <row r="170" spans="1:22" s="14" customFormat="1" ht="18" hidden="1"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hidden="1" customHeight="1">
      <c r="A171" s="226"/>
      <c r="B171" s="227"/>
      <c r="C171" s="227"/>
      <c r="D171" s="227"/>
      <c r="E171" s="227"/>
      <c r="F171" s="227"/>
      <c r="G171" s="227"/>
      <c r="H171" s="227"/>
      <c r="I171" s="227"/>
      <c r="J171" s="227"/>
      <c r="K171" s="227"/>
      <c r="L171" s="227"/>
      <c r="M171" s="227"/>
      <c r="N171" s="227"/>
      <c r="O171" s="227"/>
      <c r="P171" s="227"/>
      <c r="Q171" s="227"/>
      <c r="R171" s="227"/>
      <c r="S171" s="227"/>
      <c r="T171" s="227"/>
      <c r="U171" s="227"/>
      <c r="V171" s="228"/>
    </row>
    <row r="172" spans="1:22" ht="18" hidden="1" customHeight="1">
      <c r="A172" s="184"/>
      <c r="B172" s="854" t="str">
        <f>B90</f>
        <v>T2</v>
      </c>
      <c r="C172" s="831"/>
      <c r="D172" s="854" t="str">
        <f>D90</f>
        <v>Core2</v>
      </c>
      <c r="E172" s="831"/>
      <c r="F172" s="455"/>
      <c r="H172" s="684" t="str">
        <f>H90</f>
        <v>(Low Imp. Busbar)</v>
      </c>
      <c r="I172" s="684"/>
      <c r="J172" s="684"/>
      <c r="K172" s="684"/>
      <c r="L172" s="684"/>
      <c r="M172" s="684"/>
      <c r="P172" s="186"/>
      <c r="S172" s="187" t="s">
        <v>387</v>
      </c>
      <c r="T172" s="854" t="str">
        <f>T90</f>
        <v>REB500</v>
      </c>
      <c r="U172" s="831"/>
      <c r="V172" s="185"/>
    </row>
    <row r="173" spans="1:22" ht="18" hidden="1" customHeight="1">
      <c r="A173" s="456"/>
      <c r="F173" s="455"/>
      <c r="T173" s="854">
        <f>T91</f>
        <v>0</v>
      </c>
      <c r="U173" s="831"/>
      <c r="V173" s="185"/>
    </row>
    <row r="174" spans="1:22" ht="18" hidden="1" customHeight="1">
      <c r="A174" s="184"/>
      <c r="H174" s="708" t="s">
        <v>390</v>
      </c>
      <c r="I174" s="708"/>
      <c r="J174" s="708" t="s">
        <v>391</v>
      </c>
      <c r="K174" s="708"/>
      <c r="L174" s="789" t="s">
        <v>392</v>
      </c>
      <c r="M174" s="789"/>
      <c r="T174" s="854">
        <f>T92</f>
        <v>0</v>
      </c>
      <c r="U174" s="831"/>
      <c r="V174" s="185"/>
    </row>
    <row r="175" spans="1:22" ht="18" hidden="1" customHeight="1">
      <c r="A175" s="184"/>
      <c r="B175" s="47" t="s">
        <v>393</v>
      </c>
      <c r="H175" s="854">
        <f>H93</f>
        <v>2000</v>
      </c>
      <c r="I175" s="831"/>
      <c r="J175" s="854">
        <f>J93</f>
        <v>3200</v>
      </c>
      <c r="K175" s="831"/>
      <c r="L175" s="863" t="str">
        <f>L93</f>
        <v>-</v>
      </c>
      <c r="M175" s="864"/>
      <c r="N175" s="191" t="s">
        <v>342</v>
      </c>
      <c r="O175" s="256">
        <f>O93</f>
        <v>1</v>
      </c>
      <c r="P175" s="27" t="s">
        <v>8</v>
      </c>
      <c r="R175" s="255"/>
      <c r="S175" s="255"/>
      <c r="V175" s="185"/>
    </row>
    <row r="176" spans="1:22" ht="18" hidden="1" customHeight="1">
      <c r="A176" s="184"/>
      <c r="B176" s="47" t="s">
        <v>394</v>
      </c>
      <c r="H176" s="14"/>
      <c r="K176" s="14"/>
      <c r="L176" s="854" t="str">
        <f>J94</f>
        <v>PX</v>
      </c>
      <c r="M176" s="831"/>
      <c r="N176" s="14"/>
      <c r="V176" s="185"/>
    </row>
    <row r="177" spans="1:23" ht="18" hidden="1" customHeight="1">
      <c r="A177" s="184"/>
      <c r="B177" s="47" t="s">
        <v>396</v>
      </c>
      <c r="K177" s="120" t="s">
        <v>497</v>
      </c>
      <c r="L177" s="781" t="s">
        <v>6</v>
      </c>
      <c r="M177" s="782"/>
      <c r="N177" s="192" t="s">
        <v>333</v>
      </c>
      <c r="V177" s="185"/>
    </row>
    <row r="178" spans="1:23" ht="18" hidden="1" customHeight="1">
      <c r="A178" s="184"/>
      <c r="B178" s="47" t="s">
        <v>398</v>
      </c>
      <c r="K178" s="120" t="s">
        <v>498</v>
      </c>
      <c r="L178" s="781" t="s">
        <v>6</v>
      </c>
      <c r="M178" s="782"/>
      <c r="N178" s="14" t="s">
        <v>305</v>
      </c>
      <c r="V178" s="185"/>
      <c r="W178" s="30" t="e">
        <f>G238</f>
        <v>#VALUE!</v>
      </c>
    </row>
    <row r="179" spans="1:23" ht="18" hidden="1" customHeight="1">
      <c r="A179" s="184"/>
      <c r="B179" s="14" t="s">
        <v>401</v>
      </c>
      <c r="K179" s="120" t="s">
        <v>402</v>
      </c>
      <c r="L179" s="781" t="s">
        <v>6</v>
      </c>
      <c r="M179" s="782"/>
      <c r="N179" s="14" t="s">
        <v>403</v>
      </c>
      <c r="V179" s="185"/>
    </row>
    <row r="180" spans="1:23" ht="18" hidden="1" customHeight="1">
      <c r="A180" s="184"/>
      <c r="V180" s="185"/>
    </row>
    <row r="181" spans="1:23" ht="18" hidden="1" customHeight="1">
      <c r="A181" s="193" t="s">
        <v>404</v>
      </c>
      <c r="V181" s="185"/>
    </row>
    <row r="182" spans="1:23" ht="18" hidden="1" customHeight="1">
      <c r="A182" s="184"/>
      <c r="V182" s="185"/>
    </row>
    <row r="183" spans="1:23" ht="18" hidden="1" customHeight="1">
      <c r="A183" s="184"/>
      <c r="B183" s="135" t="s">
        <v>405</v>
      </c>
      <c r="C183" s="273"/>
      <c r="D183" s="139" t="str">
        <f>T172</f>
        <v>REB500</v>
      </c>
      <c r="E183" s="227"/>
      <c r="F183" s="227"/>
      <c r="G183" s="227"/>
      <c r="H183" s="138"/>
      <c r="I183" s="260" t="s">
        <v>127</v>
      </c>
      <c r="J183" s="722">
        <f>J101</f>
        <v>0.01</v>
      </c>
      <c r="K183" s="958"/>
      <c r="L183" s="3" t="s">
        <v>157</v>
      </c>
      <c r="N183" s="197" t="s">
        <v>510</v>
      </c>
      <c r="V183" s="185"/>
    </row>
    <row r="184" spans="1:23" ht="18" hidden="1" customHeight="1">
      <c r="A184" s="184"/>
      <c r="B184" s="96" t="s">
        <v>405</v>
      </c>
      <c r="C184" s="14"/>
      <c r="D184" s="47">
        <f>T173</f>
        <v>0</v>
      </c>
      <c r="H184" s="28"/>
      <c r="I184" s="101" t="s">
        <v>127</v>
      </c>
      <c r="J184" s="722">
        <f>J102</f>
        <v>0</v>
      </c>
      <c r="K184" s="958"/>
      <c r="L184" s="3" t="s">
        <v>157</v>
      </c>
      <c r="N184" s="120" t="s">
        <v>491</v>
      </c>
      <c r="O184" s="27" t="s">
        <v>127</v>
      </c>
      <c r="P184" s="27" t="s">
        <v>511</v>
      </c>
      <c r="Q184" s="27" t="s">
        <v>315</v>
      </c>
      <c r="R184" s="27" t="s">
        <v>511</v>
      </c>
      <c r="S184" s="27" t="s">
        <v>315</v>
      </c>
      <c r="T184" s="27" t="s">
        <v>420</v>
      </c>
      <c r="V184" s="185"/>
    </row>
    <row r="185" spans="1:23" ht="18" hidden="1" customHeight="1">
      <c r="A185" s="184"/>
      <c r="B185" s="96" t="s">
        <v>405</v>
      </c>
      <c r="C185" s="14"/>
      <c r="D185" s="47">
        <f>T174</f>
        <v>0</v>
      </c>
      <c r="H185" s="28"/>
      <c r="I185" s="101" t="s">
        <v>127</v>
      </c>
      <c r="J185" s="722">
        <f>J103</f>
        <v>0</v>
      </c>
      <c r="K185" s="958"/>
      <c r="L185" s="3" t="s">
        <v>157</v>
      </c>
      <c r="N185" s="27"/>
      <c r="O185" s="27" t="s">
        <v>127</v>
      </c>
      <c r="P185" s="27">
        <f>O175</f>
        <v>1</v>
      </c>
      <c r="Q185" s="27" t="s">
        <v>315</v>
      </c>
      <c r="R185" s="27">
        <f>O175</f>
        <v>1</v>
      </c>
      <c r="S185" s="27" t="s">
        <v>315</v>
      </c>
      <c r="T185" s="27" t="str">
        <f>L177</f>
        <v>-</v>
      </c>
      <c r="V185" s="185"/>
    </row>
    <row r="186" spans="1:23" ht="18" hidden="1" customHeight="1">
      <c r="A186" s="184"/>
      <c r="B186" s="452" t="s">
        <v>412</v>
      </c>
      <c r="C186" s="259"/>
      <c r="D186" s="259"/>
      <c r="E186" s="259"/>
      <c r="F186" s="207"/>
      <c r="G186" s="207"/>
      <c r="H186" s="190"/>
      <c r="I186" s="208" t="s">
        <v>127</v>
      </c>
      <c r="J186" s="1120">
        <f>J104</f>
        <v>1.0770224400000001</v>
      </c>
      <c r="K186" s="987"/>
      <c r="L186" s="297" t="s">
        <v>157</v>
      </c>
      <c r="O186" s="27" t="s">
        <v>127</v>
      </c>
      <c r="P186" s="795" t="e">
        <f>P185*R185*T185</f>
        <v>#VALUE!</v>
      </c>
      <c r="Q186" s="684"/>
      <c r="R186" s="27" t="s">
        <v>157</v>
      </c>
      <c r="V186" s="185"/>
    </row>
    <row r="187" spans="1:23" ht="18" hidden="1" customHeight="1">
      <c r="A187" s="184"/>
      <c r="B187" s="1" t="s">
        <v>413</v>
      </c>
      <c r="C187" s="2"/>
      <c r="D187" s="2"/>
      <c r="E187" s="2"/>
      <c r="F187" s="196"/>
      <c r="G187" s="196"/>
      <c r="H187" s="224" t="s">
        <v>512</v>
      </c>
      <c r="I187" s="183" t="s">
        <v>127</v>
      </c>
      <c r="J187" s="722">
        <f>SUM(J183:J186)</f>
        <v>1.0870224400000001</v>
      </c>
      <c r="K187" s="958"/>
      <c r="L187" s="3" t="s">
        <v>157</v>
      </c>
      <c r="V187" s="185"/>
    </row>
    <row r="188" spans="1:23" ht="18" hidden="1" customHeight="1">
      <c r="A188" s="184"/>
      <c r="B188" s="47"/>
      <c r="C188" s="47"/>
      <c r="D188" s="47"/>
      <c r="E188" s="47"/>
      <c r="H188" s="27"/>
      <c r="I188" s="28"/>
      <c r="J188" s="199"/>
      <c r="L188" s="47"/>
      <c r="S188" s="27"/>
      <c r="V188" s="185"/>
    </row>
    <row r="189" spans="1:23" ht="18" hidden="1" customHeight="1">
      <c r="A189" s="1206" t="s">
        <v>536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3" ht="18" hidden="1" customHeight="1">
      <c r="A191" s="184"/>
      <c r="Q191" s="211"/>
      <c r="R191" s="192"/>
      <c r="V191" s="185"/>
    </row>
    <row r="192" spans="1:23" ht="18" hidden="1" customHeight="1">
      <c r="A192" s="184"/>
      <c r="C192" s="28" t="s">
        <v>473</v>
      </c>
      <c r="D192" s="28" t="s">
        <v>127</v>
      </c>
      <c r="E192" s="28" t="s">
        <v>537</v>
      </c>
      <c r="F192" s="28" t="s">
        <v>493</v>
      </c>
      <c r="G192" s="28" t="s">
        <v>347</v>
      </c>
      <c r="H192" s="28" t="s">
        <v>491</v>
      </c>
      <c r="I192" s="28" t="s">
        <v>538</v>
      </c>
      <c r="J192" s="28" t="s">
        <v>495</v>
      </c>
      <c r="K192" s="28" t="s">
        <v>539</v>
      </c>
      <c r="L192" s="28" t="s">
        <v>511</v>
      </c>
      <c r="M192" s="28" t="s">
        <v>315</v>
      </c>
      <c r="N192" s="28">
        <v>1.3</v>
      </c>
      <c r="O192" s="47" t="s">
        <v>350</v>
      </c>
      <c r="V192" s="185"/>
    </row>
    <row r="193" spans="1:25" ht="18" hidden="1" customHeight="1">
      <c r="A193" s="184" t="s">
        <v>540</v>
      </c>
      <c r="C193" s="14"/>
      <c r="D193" s="28"/>
      <c r="E193" s="14"/>
      <c r="F193" s="14"/>
      <c r="G193" s="14"/>
      <c r="H193" s="14"/>
      <c r="I193" s="14"/>
      <c r="J193" s="14"/>
      <c r="K193" s="14"/>
      <c r="L193" s="14"/>
      <c r="M193" s="14"/>
      <c r="N193" s="14"/>
      <c r="O193" s="14"/>
      <c r="V193" s="185"/>
    </row>
    <row r="194" spans="1:25" ht="18" hidden="1" customHeight="1">
      <c r="A194" s="184"/>
      <c r="C194" s="28" t="s">
        <v>493</v>
      </c>
      <c r="D194" s="28" t="s">
        <v>127</v>
      </c>
      <c r="E194" s="28" t="s">
        <v>537</v>
      </c>
      <c r="F194" s="28">
        <v>1.3</v>
      </c>
      <c r="G194" s="28" t="s">
        <v>315</v>
      </c>
      <c r="H194" s="689" t="s">
        <v>473</v>
      </c>
      <c r="I194" s="716"/>
      <c r="J194" s="28" t="s">
        <v>315</v>
      </c>
      <c r="K194" s="28" t="s">
        <v>511</v>
      </c>
      <c r="L194" s="28" t="s">
        <v>541</v>
      </c>
      <c r="M194" s="28" t="s">
        <v>495</v>
      </c>
      <c r="N194" s="47" t="s">
        <v>542</v>
      </c>
      <c r="O194" s="28" t="s">
        <v>491</v>
      </c>
      <c r="V194" s="185"/>
    </row>
    <row r="195" spans="1:25" ht="18" hidden="1" customHeight="1">
      <c r="A195" s="184"/>
      <c r="V195" s="185"/>
    </row>
    <row r="196" spans="1:25" ht="18" hidden="1" customHeight="1">
      <c r="A196" s="168"/>
      <c r="B196" s="5"/>
      <c r="C196" s="47" t="s">
        <v>543</v>
      </c>
      <c r="D196" s="14"/>
      <c r="E196" s="14"/>
      <c r="F196" s="14"/>
      <c r="G196" s="14"/>
      <c r="H196" s="279"/>
      <c r="I196" s="120"/>
      <c r="J196" s="279"/>
      <c r="K196" s="279"/>
      <c r="L196" s="14"/>
      <c r="M196" s="14"/>
      <c r="N196" s="14"/>
      <c r="O196" s="14"/>
      <c r="P196" s="14"/>
      <c r="Q196" s="120" t="s">
        <v>544</v>
      </c>
      <c r="R196" s="102" t="s">
        <v>127</v>
      </c>
      <c r="S196" s="689">
        <f>S114</f>
        <v>1</v>
      </c>
      <c r="T196" s="689"/>
      <c r="U196" s="47" t="s">
        <v>8</v>
      </c>
      <c r="V196" s="185"/>
    </row>
    <row r="197" spans="1:25" ht="18" hidden="1" customHeight="1">
      <c r="A197" s="168"/>
      <c r="B197" s="5"/>
      <c r="C197" s="47" t="s">
        <v>545</v>
      </c>
      <c r="D197" s="14"/>
      <c r="E197" s="14"/>
      <c r="F197" s="18"/>
      <c r="G197" s="18"/>
      <c r="H197" s="279"/>
      <c r="I197" s="120"/>
      <c r="J197" s="279"/>
      <c r="K197" s="279"/>
      <c r="L197" s="14"/>
      <c r="M197" s="14"/>
      <c r="N197" s="14"/>
      <c r="O197" s="14"/>
      <c r="P197" s="14"/>
      <c r="Q197" s="120" t="s">
        <v>423</v>
      </c>
      <c r="R197" s="102" t="s">
        <v>127</v>
      </c>
      <c r="S197" s="689" t="str">
        <f>L175</f>
        <v>-</v>
      </c>
      <c r="T197" s="689"/>
      <c r="U197" s="14" t="s">
        <v>8</v>
      </c>
      <c r="V197" s="185"/>
    </row>
    <row r="198" spans="1:25" ht="18" hidden="1" customHeight="1">
      <c r="A198" s="168"/>
      <c r="B198" s="5"/>
      <c r="C198" s="47" t="s">
        <v>546</v>
      </c>
      <c r="D198" s="14"/>
      <c r="E198" s="14"/>
      <c r="F198" s="18"/>
      <c r="G198" s="18"/>
      <c r="H198" s="279"/>
      <c r="I198" s="120"/>
      <c r="J198" s="279"/>
      <c r="K198" s="279"/>
      <c r="L198" s="14"/>
      <c r="M198" s="14"/>
      <c r="N198" s="14"/>
      <c r="O198" s="14"/>
      <c r="P198" s="14"/>
      <c r="Q198" s="120" t="s">
        <v>473</v>
      </c>
      <c r="R198" s="102" t="s">
        <v>127</v>
      </c>
      <c r="S198" s="689" t="str">
        <f>L178</f>
        <v>-</v>
      </c>
      <c r="T198" s="689"/>
      <c r="U198" s="14" t="s">
        <v>305</v>
      </c>
      <c r="V198" s="185"/>
    </row>
    <row r="199" spans="1:25" ht="18" hidden="1" customHeight="1">
      <c r="A199" s="168"/>
      <c r="B199" s="5"/>
      <c r="C199" s="47" t="s">
        <v>547</v>
      </c>
      <c r="D199" s="14"/>
      <c r="E199" s="14"/>
      <c r="F199" s="18"/>
      <c r="G199" s="18"/>
      <c r="H199" s="279"/>
      <c r="I199" s="120"/>
      <c r="J199" s="279"/>
      <c r="K199" s="279"/>
      <c r="L199" s="14"/>
      <c r="M199" s="14"/>
      <c r="N199" s="14"/>
      <c r="O199" s="14"/>
      <c r="P199" s="14"/>
      <c r="Q199" s="120" t="s">
        <v>491</v>
      </c>
      <c r="R199" s="102" t="s">
        <v>127</v>
      </c>
      <c r="S199" s="692" t="e">
        <f>P186</f>
        <v>#VALUE!</v>
      </c>
      <c r="T199" s="689"/>
      <c r="U199" s="14" t="s">
        <v>157</v>
      </c>
      <c r="V199" s="185"/>
      <c r="W199" s="279"/>
      <c r="X199" s="279"/>
      <c r="Y199" s="279"/>
    </row>
    <row r="200" spans="1:25" ht="18" hidden="1" customHeight="1">
      <c r="A200" s="168"/>
      <c r="B200" s="5"/>
      <c r="C200" s="47" t="s">
        <v>548</v>
      </c>
      <c r="D200" s="14"/>
      <c r="E200" s="14"/>
      <c r="F200" s="18"/>
      <c r="G200" s="18"/>
      <c r="H200" s="279"/>
      <c r="I200" s="120"/>
      <c r="J200" s="279"/>
      <c r="K200" s="279"/>
      <c r="L200" s="14"/>
      <c r="M200" s="14"/>
      <c r="N200" s="14"/>
      <c r="O200" s="14"/>
      <c r="P200" s="14"/>
      <c r="Q200" s="120" t="s">
        <v>512</v>
      </c>
      <c r="R200" s="102" t="s">
        <v>127</v>
      </c>
      <c r="S200" s="692">
        <f>J187</f>
        <v>1.0870224400000001</v>
      </c>
      <c r="T200" s="689"/>
      <c r="U200" s="14" t="s">
        <v>157</v>
      </c>
      <c r="V200" s="185"/>
      <c r="X200" s="279"/>
      <c r="Y200" s="279"/>
    </row>
    <row r="201" spans="1:25" ht="18" hidden="1" customHeight="1">
      <c r="A201" s="168"/>
      <c r="B201" s="5"/>
      <c r="C201" s="47" t="s">
        <v>549</v>
      </c>
      <c r="D201" s="14"/>
      <c r="E201" s="14"/>
      <c r="F201" s="14"/>
      <c r="G201" s="14"/>
      <c r="H201" s="279"/>
      <c r="I201" s="120"/>
      <c r="J201" s="279"/>
      <c r="K201" s="279"/>
      <c r="L201" s="14"/>
      <c r="M201" s="14"/>
      <c r="N201" s="14"/>
      <c r="O201" s="14"/>
      <c r="P201" s="14"/>
      <c r="Q201" s="120" t="s">
        <v>511</v>
      </c>
      <c r="R201" s="102" t="s">
        <v>127</v>
      </c>
      <c r="S201" s="689">
        <f>O175</f>
        <v>1</v>
      </c>
      <c r="T201" s="689"/>
      <c r="U201" s="14" t="s">
        <v>8</v>
      </c>
      <c r="V201" s="185"/>
      <c r="X201" s="279"/>
      <c r="Y201" s="279"/>
    </row>
    <row r="202" spans="1:25" ht="18" hidden="1" customHeight="1">
      <c r="A202" s="168"/>
      <c r="B202" s="5"/>
      <c r="C202" s="47" t="s">
        <v>550</v>
      </c>
      <c r="D202" s="14"/>
      <c r="E202" s="14"/>
      <c r="F202" s="14"/>
      <c r="G202" s="14"/>
      <c r="H202" s="279"/>
      <c r="I202" s="120"/>
      <c r="J202" s="279"/>
      <c r="K202" s="279"/>
      <c r="L202" s="14"/>
      <c r="M202" s="14"/>
      <c r="N202" s="14"/>
      <c r="O202" s="14"/>
      <c r="P202" s="14"/>
      <c r="Q202" s="120" t="s">
        <v>495</v>
      </c>
      <c r="R202" s="102" t="s">
        <v>127</v>
      </c>
      <c r="S202" s="689">
        <v>20</v>
      </c>
      <c r="T202" s="689"/>
      <c r="U202" s="47"/>
      <c r="V202" s="185"/>
    </row>
    <row r="203" spans="1:25" ht="18" hidden="1" customHeight="1">
      <c r="A203" s="299"/>
      <c r="B203" s="279"/>
      <c r="C203" s="47" t="s">
        <v>551</v>
      </c>
      <c r="D203" s="14"/>
      <c r="E203" s="14"/>
      <c r="F203" s="14"/>
      <c r="G203" s="14"/>
      <c r="H203" s="279"/>
      <c r="I203" s="120"/>
      <c r="J203" s="279"/>
      <c r="K203" s="279"/>
      <c r="L203" s="14"/>
      <c r="M203" s="14"/>
      <c r="N203" s="279"/>
      <c r="O203" s="279"/>
      <c r="P203" s="14"/>
      <c r="Q203" s="120" t="s">
        <v>493</v>
      </c>
      <c r="R203" s="14"/>
      <c r="S203" s="279"/>
      <c r="T203" s="279"/>
      <c r="U203" s="279"/>
      <c r="V203" s="300"/>
      <c r="W203" s="279"/>
      <c r="X203" s="279"/>
      <c r="Y203" s="279"/>
    </row>
    <row r="204" spans="1:25" ht="18" hidden="1" customHeight="1">
      <c r="A204" s="184"/>
      <c r="C204" s="14"/>
      <c r="D204" s="14"/>
      <c r="E204" s="14"/>
      <c r="F204" s="14"/>
      <c r="G204" s="14"/>
      <c r="H204" s="14"/>
      <c r="I204" s="14"/>
      <c r="J204" s="14"/>
      <c r="K204" s="14"/>
      <c r="L204" s="14"/>
      <c r="M204" s="14"/>
      <c r="N204" s="14"/>
      <c r="O204" s="14"/>
      <c r="P204" s="14"/>
      <c r="Q204" s="14"/>
      <c r="R204" s="14"/>
      <c r="S204" s="14"/>
      <c r="T204" s="14"/>
      <c r="U204" s="14"/>
      <c r="V204" s="185"/>
    </row>
    <row r="205" spans="1:25" ht="18" hidden="1" customHeight="1">
      <c r="A205" s="184"/>
      <c r="C205" s="28" t="s">
        <v>493</v>
      </c>
      <c r="D205" s="28" t="s">
        <v>127</v>
      </c>
      <c r="E205" s="28" t="s">
        <v>537</v>
      </c>
      <c r="F205" s="28">
        <v>1.3</v>
      </c>
      <c r="G205" s="28" t="s">
        <v>315</v>
      </c>
      <c r="H205" s="689" t="s">
        <v>473</v>
      </c>
      <c r="I205" s="716"/>
      <c r="J205" s="28" t="s">
        <v>315</v>
      </c>
      <c r="K205" s="28" t="s">
        <v>511</v>
      </c>
      <c r="L205" s="28" t="s">
        <v>541</v>
      </c>
      <c r="M205" s="28" t="s">
        <v>495</v>
      </c>
      <c r="N205" s="47" t="s">
        <v>542</v>
      </c>
      <c r="O205" s="28" t="s">
        <v>491</v>
      </c>
      <c r="V205" s="185"/>
    </row>
    <row r="206" spans="1:25" ht="18" hidden="1" customHeight="1">
      <c r="A206" s="184"/>
      <c r="D206" s="27" t="s">
        <v>127</v>
      </c>
      <c r="E206" s="27" t="s">
        <v>537</v>
      </c>
      <c r="F206" s="27">
        <v>1.3</v>
      </c>
      <c r="G206" s="27" t="s">
        <v>315</v>
      </c>
      <c r="H206" s="684" t="str">
        <f>S198</f>
        <v>-</v>
      </c>
      <c r="I206" s="723"/>
      <c r="J206" s="27" t="s">
        <v>315</v>
      </c>
      <c r="K206" s="27">
        <f>S201</f>
        <v>1</v>
      </c>
      <c r="L206" s="27" t="s">
        <v>541</v>
      </c>
      <c r="M206" s="27">
        <f>S202</f>
        <v>20</v>
      </c>
      <c r="N206" s="296" t="s">
        <v>542</v>
      </c>
      <c r="O206" s="222" t="e">
        <f>S199</f>
        <v>#VALUE!</v>
      </c>
      <c r="V206" s="185"/>
    </row>
    <row r="207" spans="1:25" ht="18" hidden="1" customHeight="1">
      <c r="A207" s="184"/>
      <c r="D207" s="27" t="s">
        <v>127</v>
      </c>
      <c r="E207" s="684" t="e">
        <f>((F206*H206*K206)/M206)-O206</f>
        <v>#VALUE!</v>
      </c>
      <c r="F207" s="684"/>
      <c r="G207" s="27" t="s">
        <v>157</v>
      </c>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V213" s="185"/>
    </row>
    <row r="214" spans="1:22" s="14" customFormat="1" ht="18" hidden="1" customHeight="1">
      <c r="A214" s="194"/>
      <c r="B214" s="195"/>
      <c r="C214" s="195"/>
      <c r="D214" s="195"/>
      <c r="E214" s="195"/>
      <c r="F214" s="195"/>
      <c r="G214" s="195"/>
      <c r="H214" s="195"/>
      <c r="I214" s="195"/>
      <c r="J214" s="195"/>
      <c r="K214" s="195"/>
      <c r="L214" s="195"/>
      <c r="M214" s="195"/>
      <c r="N214" s="195"/>
      <c r="O214" s="195"/>
      <c r="P214" s="195"/>
      <c r="Q214" s="224"/>
      <c r="R214" s="182"/>
      <c r="S214" s="225"/>
      <c r="T214" s="195"/>
      <c r="U214" s="195"/>
      <c r="V214" s="134"/>
    </row>
    <row r="215" spans="1:22" ht="18" hidden="1" customHeight="1">
      <c r="A215" s="226"/>
      <c r="B215" s="227"/>
      <c r="C215" s="227"/>
      <c r="D215" s="227"/>
      <c r="E215" s="227"/>
      <c r="F215" s="227"/>
      <c r="G215" s="227"/>
      <c r="H215" s="227"/>
      <c r="I215" s="227"/>
      <c r="J215" s="227"/>
      <c r="K215" s="227"/>
      <c r="L215" s="227"/>
      <c r="M215" s="227"/>
      <c r="N215" s="227"/>
      <c r="O215" s="227"/>
      <c r="P215" s="227"/>
      <c r="Q215" s="227"/>
      <c r="R215" s="227"/>
      <c r="S215" s="227"/>
      <c r="T215" s="227"/>
      <c r="U215" s="227"/>
      <c r="V215" s="228"/>
    </row>
    <row r="216" spans="1:22" ht="18" hidden="1" customHeight="1">
      <c r="A216" s="96" t="s">
        <v>755</v>
      </c>
      <c r="B216" s="14"/>
      <c r="C216" s="14"/>
      <c r="D216" s="14"/>
      <c r="E216" s="14"/>
      <c r="F216" s="14"/>
      <c r="G216" s="14"/>
      <c r="H216" s="14"/>
      <c r="I216" s="14"/>
      <c r="J216" s="14"/>
      <c r="K216" s="14"/>
      <c r="L216" s="14"/>
      <c r="M216" s="14"/>
      <c r="N216" s="14"/>
      <c r="O216" s="14"/>
      <c r="P216" s="28"/>
      <c r="Q216" s="120"/>
      <c r="R216" s="14"/>
      <c r="S216" s="14"/>
      <c r="T216" s="14"/>
      <c r="U216" s="14"/>
      <c r="V216" s="185"/>
    </row>
    <row r="217" spans="1:22" ht="18" hidden="1" customHeight="1">
      <c r="A217" s="96"/>
      <c r="B217" s="14"/>
      <c r="C217" s="14"/>
      <c r="D217" s="14"/>
      <c r="E217" s="14"/>
      <c r="F217" s="14"/>
      <c r="G217" s="14"/>
      <c r="H217" s="14"/>
      <c r="K217" s="14" t="s">
        <v>756</v>
      </c>
      <c r="L217" s="28"/>
      <c r="M217" s="47"/>
      <c r="N217" s="14"/>
      <c r="O217" s="14"/>
      <c r="P217" s="14"/>
      <c r="Q217" s="14"/>
      <c r="R217" s="14"/>
      <c r="S217" s="14"/>
      <c r="T217" s="14"/>
      <c r="U217" s="14"/>
      <c r="V217" s="185"/>
    </row>
    <row r="218" spans="1:22" ht="18" hidden="1" customHeight="1">
      <c r="A218" s="96"/>
      <c r="B218" s="28" t="s">
        <v>745</v>
      </c>
      <c r="C218" s="278" t="s">
        <v>652</v>
      </c>
      <c r="D218" s="14" t="s">
        <v>757</v>
      </c>
      <c r="E218" s="14"/>
      <c r="F218" s="268" t="s">
        <v>758</v>
      </c>
      <c r="K218" s="28" t="s">
        <v>745</v>
      </c>
      <c r="L218" s="28" t="s">
        <v>127</v>
      </c>
      <c r="M218" s="281" t="s">
        <v>759</v>
      </c>
      <c r="N218" s="28"/>
      <c r="O218" s="47"/>
      <c r="P218" s="14"/>
      <c r="Q218" s="14"/>
      <c r="R218" s="14"/>
      <c r="S218" s="14"/>
      <c r="T218" s="14"/>
      <c r="U218" s="14"/>
      <c r="V218" s="185"/>
    </row>
    <row r="219" spans="1:22" ht="18" hidden="1" customHeight="1">
      <c r="A219" s="96"/>
      <c r="B219" s="28" t="s">
        <v>745</v>
      </c>
      <c r="C219" s="278" t="s">
        <v>652</v>
      </c>
      <c r="D219" s="47" t="s">
        <v>760</v>
      </c>
      <c r="E219" s="14"/>
      <c r="F219" s="268" t="s">
        <v>761</v>
      </c>
      <c r="K219" s="28"/>
      <c r="L219" s="28" t="s">
        <v>127</v>
      </c>
      <c r="M219" s="14" t="s">
        <v>762</v>
      </c>
      <c r="N219" s="14"/>
      <c r="O219" s="14"/>
      <c r="P219" s="14"/>
      <c r="Q219" s="14"/>
      <c r="R219" s="14"/>
      <c r="S219" s="14"/>
      <c r="T219" s="14"/>
      <c r="U219" s="14"/>
      <c r="V219" s="185"/>
    </row>
    <row r="220" spans="1:22" ht="18" hidden="1" customHeight="1">
      <c r="A220" s="96"/>
      <c r="B220" s="14"/>
      <c r="C220" s="14"/>
      <c r="D220" s="14"/>
      <c r="E220" s="14"/>
      <c r="F220" s="14"/>
      <c r="G220" s="14"/>
      <c r="H220" s="14"/>
      <c r="K220" s="28" t="s">
        <v>757</v>
      </c>
      <c r="L220" s="28" t="s">
        <v>127</v>
      </c>
      <c r="M220" s="47" t="s">
        <v>763</v>
      </c>
      <c r="N220" s="14"/>
      <c r="O220" s="14"/>
      <c r="P220" s="14"/>
      <c r="Q220" s="14"/>
      <c r="R220" s="14"/>
      <c r="S220" s="14"/>
      <c r="T220" s="14"/>
      <c r="U220" s="14"/>
      <c r="V220" s="185"/>
    </row>
    <row r="221" spans="1:22" ht="18" hidden="1" customHeight="1">
      <c r="A221" s="96"/>
      <c r="B221" s="14"/>
      <c r="C221" s="14"/>
      <c r="K221" s="28" t="s">
        <v>760</v>
      </c>
      <c r="L221" s="28" t="s">
        <v>127</v>
      </c>
      <c r="M221" s="28">
        <v>10</v>
      </c>
      <c r="O221" s="14" t="s">
        <v>764</v>
      </c>
      <c r="P221" s="28" t="s">
        <v>765</v>
      </c>
      <c r="Q221" s="278" t="s">
        <v>766</v>
      </c>
      <c r="R221" s="28">
        <v>120</v>
      </c>
      <c r="S221" s="14" t="s">
        <v>767</v>
      </c>
      <c r="T221" s="14"/>
      <c r="U221" s="14"/>
      <c r="V221" s="185"/>
    </row>
    <row r="222" spans="1:22" ht="18" hidden="1" customHeight="1">
      <c r="A222" s="96"/>
      <c r="B222" s="14"/>
      <c r="C222" s="14"/>
      <c r="L222" s="28" t="s">
        <v>127</v>
      </c>
      <c r="M222" s="27">
        <v>20</v>
      </c>
      <c r="N222" s="14"/>
      <c r="O222" s="14" t="s">
        <v>764</v>
      </c>
      <c r="P222" s="28" t="s">
        <v>765</v>
      </c>
      <c r="Q222" s="278" t="s">
        <v>766</v>
      </c>
      <c r="R222" s="28">
        <v>300</v>
      </c>
      <c r="S222" s="14" t="s">
        <v>767</v>
      </c>
      <c r="T222" s="14"/>
      <c r="U222" s="14"/>
      <c r="V222" s="185"/>
    </row>
    <row r="223" spans="1:22" ht="18" hidden="1" customHeight="1">
      <c r="A223" s="96"/>
      <c r="B223" s="14"/>
      <c r="C223" s="14"/>
      <c r="N223" s="14"/>
      <c r="O223" s="14"/>
      <c r="P223" s="28"/>
      <c r="Q223" s="120"/>
      <c r="R223" s="14"/>
      <c r="S223" s="14"/>
      <c r="T223" s="14"/>
      <c r="U223" s="14"/>
      <c r="V223" s="185"/>
    </row>
    <row r="224" spans="1:22" ht="18" hidden="1" customHeight="1">
      <c r="A224" s="96" t="s">
        <v>768</v>
      </c>
      <c r="B224" s="14"/>
      <c r="C224" s="14"/>
      <c r="K224" s="27" t="s">
        <v>757</v>
      </c>
      <c r="L224" s="27" t="s">
        <v>127</v>
      </c>
      <c r="M224" s="684" t="s">
        <v>425</v>
      </c>
      <c r="N224" s="684"/>
      <c r="O224" s="27" t="s">
        <v>769</v>
      </c>
      <c r="P224" s="27">
        <v>5</v>
      </c>
      <c r="Q224" s="28" t="s">
        <v>315</v>
      </c>
      <c r="R224" s="684" t="s">
        <v>423</v>
      </c>
      <c r="S224" s="684"/>
      <c r="T224" s="14" t="s">
        <v>350</v>
      </c>
      <c r="U224" s="14"/>
      <c r="V224" s="185"/>
    </row>
    <row r="225" spans="1:22" ht="18" hidden="1" customHeight="1">
      <c r="A225" s="96"/>
      <c r="B225" s="14"/>
      <c r="C225" s="14"/>
      <c r="L225" s="27" t="s">
        <v>127</v>
      </c>
      <c r="M225" s="684">
        <f>S196</f>
        <v>1</v>
      </c>
      <c r="N225" s="684"/>
      <c r="O225" s="27" t="s">
        <v>769</v>
      </c>
      <c r="P225" s="27">
        <v>5</v>
      </c>
      <c r="Q225" s="28" t="s">
        <v>315</v>
      </c>
      <c r="R225" s="684" t="str">
        <f>S197</f>
        <v>-</v>
      </c>
      <c r="S225" s="684"/>
      <c r="T225" s="14" t="s">
        <v>350</v>
      </c>
      <c r="U225" s="14"/>
      <c r="V225" s="185"/>
    </row>
    <row r="226" spans="1:22" ht="18" hidden="1" customHeight="1">
      <c r="A226" s="96"/>
      <c r="B226" s="14"/>
      <c r="C226" s="14"/>
      <c r="D226" s="14"/>
      <c r="E226" s="120"/>
      <c r="F226" s="28"/>
      <c r="L226" s="27" t="s">
        <v>127</v>
      </c>
      <c r="M226" s="689" t="e">
        <f>M225/(P225*R225)</f>
        <v>#VALUE!</v>
      </c>
      <c r="N226" s="684"/>
      <c r="O226" s="14"/>
      <c r="P226" s="14"/>
      <c r="Q226" s="14"/>
      <c r="R226" s="14"/>
      <c r="S226" s="14"/>
      <c r="T226" s="14"/>
      <c r="U226" s="14"/>
      <c r="V226" s="185"/>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85"/>
    </row>
    <row r="228" spans="1:22" ht="18" hidden="1" customHeight="1">
      <c r="A228" s="96" t="s">
        <v>770</v>
      </c>
      <c r="B228" s="14"/>
      <c r="C228" s="14"/>
      <c r="D228" s="14"/>
      <c r="E228" s="257" t="s">
        <v>771</v>
      </c>
      <c r="F228" s="14"/>
      <c r="G228" s="28" t="s">
        <v>127</v>
      </c>
      <c r="H228" s="692">
        <f>'[2]Parameters &amp; Fault Cal.'!Q184</f>
        <v>0</v>
      </c>
      <c r="I228" s="684"/>
      <c r="J228" s="30" t="s">
        <v>531</v>
      </c>
      <c r="K228" s="28" t="s">
        <v>760</v>
      </c>
      <c r="L228" s="218" t="s">
        <v>127</v>
      </c>
      <c r="M228" s="692">
        <f>IF(H228&lt;=120,M221,M222)</f>
        <v>10</v>
      </c>
      <c r="N228" s="684"/>
      <c r="O228" s="14"/>
      <c r="P228" s="14"/>
      <c r="Q228" s="14"/>
      <c r="R228" s="14"/>
      <c r="S228" s="14"/>
      <c r="T228" s="14"/>
      <c r="U228" s="14"/>
      <c r="V228" s="185"/>
    </row>
    <row r="229" spans="1:22" ht="18" hidden="1" customHeight="1">
      <c r="A229" s="184"/>
      <c r="J229" s="14"/>
      <c r="K229" s="257"/>
      <c r="M229" s="14"/>
      <c r="N229" s="14"/>
      <c r="O229" s="14"/>
      <c r="P229" s="14"/>
      <c r="Q229" s="14"/>
      <c r="R229" s="14"/>
      <c r="S229" s="14"/>
      <c r="T229" s="14"/>
      <c r="U229" s="14"/>
      <c r="V229" s="185"/>
    </row>
    <row r="230" spans="1:22" ht="18" hidden="1" customHeight="1">
      <c r="A230" s="96" t="s">
        <v>772</v>
      </c>
      <c r="E230" s="199"/>
      <c r="G230" s="27" t="s">
        <v>127</v>
      </c>
      <c r="H230" s="27" t="s">
        <v>495</v>
      </c>
      <c r="I230" s="27" t="s">
        <v>554</v>
      </c>
      <c r="J230" s="120" t="s">
        <v>491</v>
      </c>
      <c r="K230" s="28" t="s">
        <v>347</v>
      </c>
      <c r="L230" s="120" t="s">
        <v>493</v>
      </c>
      <c r="M230" s="28" t="s">
        <v>539</v>
      </c>
      <c r="N230" s="120" t="s">
        <v>491</v>
      </c>
      <c r="O230" s="28" t="s">
        <v>347</v>
      </c>
      <c r="P230" s="120" t="s">
        <v>512</v>
      </c>
      <c r="Q230" s="296" t="s">
        <v>350</v>
      </c>
      <c r="V230" s="185"/>
    </row>
    <row r="231" spans="1:22" ht="18" hidden="1" customHeight="1">
      <c r="A231" s="184"/>
      <c r="G231" s="27" t="s">
        <v>127</v>
      </c>
      <c r="H231" s="242">
        <f>S202</f>
        <v>20</v>
      </c>
      <c r="I231" s="245" t="s">
        <v>554</v>
      </c>
      <c r="J231" s="301" t="e">
        <f>S199</f>
        <v>#VALUE!</v>
      </c>
      <c r="K231" s="245" t="s">
        <v>347</v>
      </c>
      <c r="L231" s="301" t="e">
        <f>E207</f>
        <v>#VALUE!</v>
      </c>
      <c r="M231" s="245" t="s">
        <v>539</v>
      </c>
      <c r="N231" s="301" t="e">
        <f>S199</f>
        <v>#VALUE!</v>
      </c>
      <c r="O231" s="245" t="s">
        <v>347</v>
      </c>
      <c r="P231" s="301">
        <f>S200</f>
        <v>1.0870224400000001</v>
      </c>
      <c r="Q231" s="461" t="s">
        <v>350</v>
      </c>
      <c r="V231" s="185"/>
    </row>
    <row r="232" spans="1:22" ht="18" hidden="1" customHeight="1">
      <c r="A232" s="184"/>
      <c r="G232" s="27" t="s">
        <v>127</v>
      </c>
      <c r="H232" s="795" t="e">
        <f>H231*((J231+L231)/(N231+P231))</f>
        <v>#VALUE!</v>
      </c>
      <c r="I232" s="795"/>
      <c r="V232" s="185"/>
    </row>
    <row r="233" spans="1:22" ht="18" hidden="1" customHeight="1">
      <c r="A233" s="184"/>
      <c r="V233" s="185"/>
    </row>
    <row r="234" spans="1:22" ht="18" hidden="1" customHeight="1">
      <c r="A234" s="184" t="s">
        <v>773</v>
      </c>
      <c r="E234" s="244"/>
      <c r="F234" s="27"/>
      <c r="G234" s="296"/>
      <c r="V234" s="185"/>
    </row>
    <row r="235" spans="1:22" ht="18" hidden="1" customHeight="1">
      <c r="A235" s="184"/>
      <c r="D235" s="211"/>
      <c r="E235" s="211"/>
      <c r="F235" s="27"/>
      <c r="G235" s="211"/>
      <c r="H235" s="211"/>
      <c r="V235" s="185"/>
    </row>
    <row r="236" spans="1:22" ht="18" hidden="1" customHeight="1">
      <c r="A236" s="184"/>
      <c r="D236" s="795" t="e">
        <f>H232</f>
        <v>#VALUE!</v>
      </c>
      <c r="E236" s="684"/>
      <c r="F236" s="27" t="e">
        <f>IF(D236&gt;=G236,"&gt;","&lt;")</f>
        <v>#VALUE!</v>
      </c>
      <c r="G236" s="795" t="e">
        <f>M226</f>
        <v>#VALUE!</v>
      </c>
      <c r="H236" s="684"/>
      <c r="I236" s="18"/>
      <c r="J236" s="268" t="s">
        <v>758</v>
      </c>
      <c r="V236" s="185"/>
    </row>
    <row r="237" spans="1:22" ht="18" hidden="1" customHeight="1">
      <c r="A237" s="184"/>
      <c r="D237" s="795" t="e">
        <f>H232</f>
        <v>#VALUE!</v>
      </c>
      <c r="E237" s="684"/>
      <c r="F237" s="27" t="e">
        <f>IF(D237&gt;=G237,"&gt;","&lt;")</f>
        <v>#VALUE!</v>
      </c>
      <c r="G237" s="795">
        <f>M228</f>
        <v>10</v>
      </c>
      <c r="H237" s="684"/>
      <c r="J237" s="268" t="s">
        <v>761</v>
      </c>
      <c r="V237" s="185"/>
    </row>
    <row r="238" spans="1:22" ht="18" hidden="1" customHeight="1">
      <c r="A238" s="184"/>
      <c r="E238" s="244" t="s">
        <v>478</v>
      </c>
      <c r="G238" s="18" t="e">
        <f>IF(AND(F236="&gt;",F237="&gt;")=TRUE,"Suitably Dimensioned","Under Dimensioned")</f>
        <v>#VALUE!</v>
      </c>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s="14" customFormat="1" ht="18" customHeight="1">
      <c r="A258" s="194"/>
      <c r="B258" s="195"/>
      <c r="C258" s="195"/>
      <c r="D258" s="195"/>
      <c r="E258" s="195"/>
      <c r="F258" s="195"/>
      <c r="G258" s="195"/>
      <c r="H258" s="195"/>
      <c r="I258" s="195"/>
      <c r="J258" s="195"/>
      <c r="K258" s="195"/>
      <c r="L258" s="195"/>
      <c r="M258" s="195"/>
      <c r="N258" s="195"/>
      <c r="O258" s="195"/>
      <c r="P258" s="195"/>
      <c r="Q258" s="224"/>
      <c r="R258" s="182"/>
      <c r="S258" s="225"/>
      <c r="T258" s="195"/>
      <c r="U258" s="195"/>
      <c r="V258" s="134"/>
    </row>
    <row r="259" spans="1:22" ht="18" customHeight="1">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8"/>
    </row>
    <row r="260" spans="1:22" ht="18" customHeight="1">
      <c r="A260" s="452" t="s">
        <v>501</v>
      </c>
      <c r="B260" s="14"/>
      <c r="C260" s="14"/>
      <c r="D260" s="120"/>
      <c r="E260" s="120"/>
      <c r="F260" s="18"/>
      <c r="G260" s="18"/>
      <c r="H260" s="14"/>
      <c r="I260" s="14"/>
      <c r="J260" s="14"/>
      <c r="K260" s="14"/>
      <c r="L260" s="14"/>
      <c r="M260" s="14"/>
      <c r="N260" s="14"/>
      <c r="O260" s="14"/>
      <c r="P260" s="28"/>
      <c r="Q260" s="120"/>
      <c r="R260" s="47"/>
      <c r="S260" s="206"/>
      <c r="T260" s="259"/>
      <c r="U260" s="14"/>
      <c r="V260" s="97"/>
    </row>
    <row r="261" spans="1:22" ht="18" customHeight="1">
      <c r="A261" s="955" t="s">
        <v>85</v>
      </c>
      <c r="B261" s="956"/>
      <c r="C261" s="957"/>
      <c r="D261" s="955" t="s">
        <v>86</v>
      </c>
      <c r="E261" s="956"/>
      <c r="F261" s="957"/>
      <c r="G261" s="955" t="s">
        <v>87</v>
      </c>
      <c r="H261" s="957"/>
      <c r="I261" s="955" t="s">
        <v>88</v>
      </c>
      <c r="J261" s="957"/>
      <c r="K261" s="955" t="s">
        <v>502</v>
      </c>
      <c r="L261" s="957"/>
      <c r="M261" s="955" t="s">
        <v>503</v>
      </c>
      <c r="N261" s="957"/>
      <c r="O261" s="955" t="s">
        <v>504</v>
      </c>
      <c r="P261" s="957"/>
      <c r="Q261" s="955" t="s">
        <v>505</v>
      </c>
      <c r="R261" s="957"/>
      <c r="S261" s="955" t="s">
        <v>93</v>
      </c>
      <c r="T261" s="956"/>
      <c r="U261" s="956"/>
      <c r="V261" s="957"/>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125"/>
      <c r="B263" s="983"/>
      <c r="C263" s="1126"/>
      <c r="D263" s="1125"/>
      <c r="E263" s="983"/>
      <c r="F263" s="1126"/>
      <c r="G263" s="1125"/>
      <c r="H263" s="1126"/>
      <c r="I263" s="1125"/>
      <c r="J263" s="1126"/>
      <c r="K263" s="1125"/>
      <c r="L263" s="1126"/>
      <c r="M263" s="1125"/>
      <c r="N263" s="1126"/>
      <c r="O263" s="1125"/>
      <c r="P263" s="1126"/>
      <c r="Q263" s="1125"/>
      <c r="R263" s="1126"/>
      <c r="S263" s="1125"/>
      <c r="T263" s="983"/>
      <c r="U263" s="983"/>
      <c r="V263" s="1126"/>
    </row>
    <row r="264" spans="1:22" ht="18" customHeight="1">
      <c r="A264" s="1047"/>
      <c r="B264" s="1048"/>
      <c r="C264" s="1049"/>
      <c r="D264" s="1047"/>
      <c r="E264" s="1048"/>
      <c r="F264" s="1049"/>
      <c r="G264" s="1047"/>
      <c r="H264" s="1049"/>
      <c r="I264" s="1047"/>
      <c r="J264" s="1049"/>
      <c r="K264" s="1047"/>
      <c r="L264" s="1049"/>
      <c r="M264" s="1047"/>
      <c r="N264" s="1049"/>
      <c r="O264" s="1047"/>
      <c r="P264" s="1049"/>
      <c r="Q264" s="1047"/>
      <c r="R264" s="1049"/>
      <c r="S264" s="1047"/>
      <c r="T264" s="1048"/>
      <c r="U264" s="1048"/>
      <c r="V264" s="1049"/>
    </row>
    <row r="265" spans="1:22" ht="18" customHeight="1">
      <c r="A265" s="765" t="str">
        <f>B7</f>
        <v>T2</v>
      </c>
      <c r="B265" s="765" t="str">
        <f>D7</f>
        <v>Core2</v>
      </c>
      <c r="C265" s="765"/>
      <c r="D265" s="870">
        <f>H10</f>
        <v>2000</v>
      </c>
      <c r="E265" s="870"/>
      <c r="F265" s="871">
        <f>O10</f>
        <v>1</v>
      </c>
      <c r="G265" s="870">
        <f>'CT-VT Burdens'!S21</f>
        <v>120</v>
      </c>
      <c r="H265" s="874">
        <f>'CT-VT Burdens'!S10</f>
        <v>6</v>
      </c>
      <c r="I265" s="874" t="str">
        <f>H11</f>
        <v>PX</v>
      </c>
      <c r="J265" s="874" t="e">
        <f>#REF!</f>
        <v>#REF!</v>
      </c>
      <c r="K265" s="869">
        <f>H12</f>
        <v>3.5</v>
      </c>
      <c r="L265" s="869"/>
      <c r="M265" s="869">
        <f>H13</f>
        <v>500</v>
      </c>
      <c r="N265" s="869"/>
      <c r="O265" s="870">
        <f>H14</f>
        <v>20</v>
      </c>
      <c r="P265" s="870"/>
      <c r="Q265" s="879" t="str">
        <f>IF(T8="",T7,IF(T9="",T7&amp;"+"&amp;T8,T7&amp;"+"&amp;T8&amp;"+"&amp;T9))</f>
        <v>REB500</v>
      </c>
      <c r="R265" s="879"/>
      <c r="S265" s="878" t="str">
        <f>M83</f>
        <v>Suitably Dimensioned</v>
      </c>
      <c r="T265" s="878"/>
      <c r="U265" s="878"/>
      <c r="V265" s="878"/>
    </row>
    <row r="266" spans="1:22" ht="18" customHeight="1">
      <c r="A266" s="765"/>
      <c r="B266" s="765"/>
      <c r="C266" s="765"/>
      <c r="D266" s="870">
        <f>J10</f>
        <v>3200</v>
      </c>
      <c r="E266" s="870"/>
      <c r="F266" s="872"/>
      <c r="G266" s="870"/>
      <c r="H266" s="870"/>
      <c r="I266" s="874"/>
      <c r="J266" s="874"/>
      <c r="K266" s="875">
        <f>J95</f>
        <v>5</v>
      </c>
      <c r="L266" s="869"/>
      <c r="M266" s="875">
        <f>J96</f>
        <v>900</v>
      </c>
      <c r="N266" s="869"/>
      <c r="O266" s="876">
        <f>J97</f>
        <v>10</v>
      </c>
      <c r="P266" s="870"/>
      <c r="Q266" s="879"/>
      <c r="R266" s="879"/>
      <c r="S266" s="877" t="str">
        <f>M165</f>
        <v>Suitably Dimensioned</v>
      </c>
      <c r="T266" s="878"/>
      <c r="U266" s="878"/>
      <c r="V266" s="878"/>
    </row>
    <row r="267" spans="1:22" ht="18" customHeight="1">
      <c r="A267" s="765"/>
      <c r="B267" s="765"/>
      <c r="C267" s="765"/>
      <c r="D267" s="870" t="str">
        <f>L10</f>
        <v>-</v>
      </c>
      <c r="E267" s="870"/>
      <c r="F267" s="873"/>
      <c r="G267" s="870"/>
      <c r="H267" s="870"/>
      <c r="I267" s="874"/>
      <c r="J267" s="874"/>
      <c r="K267" s="869" t="str">
        <f>L177</f>
        <v>-</v>
      </c>
      <c r="L267" s="869"/>
      <c r="M267" s="869" t="str">
        <f>L178</f>
        <v>-</v>
      </c>
      <c r="N267" s="869"/>
      <c r="O267" s="870" t="str">
        <f>L179</f>
        <v>-</v>
      </c>
      <c r="P267" s="870"/>
      <c r="Q267" s="879"/>
      <c r="R267" s="879"/>
      <c r="S267" s="878" t="s">
        <v>6</v>
      </c>
      <c r="T267" s="878"/>
      <c r="U267" s="878"/>
      <c r="V267" s="878"/>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s="14" customFormat="1" ht="18" customHeight="1">
      <c r="A299" s="194"/>
      <c r="B299" s="195"/>
      <c r="C299" s="195"/>
      <c r="D299" s="195"/>
      <c r="E299" s="195"/>
      <c r="F299" s="195"/>
      <c r="G299" s="195"/>
      <c r="H299" s="195"/>
      <c r="I299" s="195"/>
      <c r="J299" s="195"/>
      <c r="K299" s="195"/>
      <c r="L299" s="195"/>
      <c r="M299" s="195"/>
      <c r="N299" s="195"/>
      <c r="O299" s="195"/>
      <c r="P299" s="195"/>
      <c r="Q299" s="224"/>
      <c r="R299" s="182"/>
      <c r="S299" s="225"/>
      <c r="T299" s="195"/>
      <c r="U299" s="195"/>
      <c r="V299"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86" priority="3" stopIfTrue="1" operator="equal">
      <formula>"Under Dimentioned"</formula>
    </cfRule>
  </conditionalFormatting>
  <conditionalFormatting sqref="O81 M83:M86">
    <cfRule type="cellIs" dxfId="85" priority="1" stopIfTrue="1" operator="equal">
      <formula>"Under Dimentioned"</formula>
    </cfRule>
  </conditionalFormatting>
  <conditionalFormatting sqref="O163 M165">
    <cfRule type="cellIs" dxfId="84"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18E0C7A2-0833-4C43-9098-C9EF1FB6D732}">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887B5CE1-610B-448F-896C-71F1F1807FDD}">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8" max="21" man="1"/>
    <brk id="129" max="21" man="1"/>
    <brk id="258" max="21" man="1"/>
  </row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6" zoomScale="130" zoomScaleNormal="100" zoomScaleSheetLayoutView="130" workbookViewId="0">
      <selection activeCell="P271" sqref="P271"/>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920" t="s">
        <v>0</v>
      </c>
      <c r="B1" s="921"/>
      <c r="C1" s="921"/>
      <c r="D1" s="921"/>
      <c r="E1" s="921"/>
      <c r="F1" s="921"/>
      <c r="G1" s="922"/>
      <c r="H1" s="906" t="str">
        <f>[4]Title!H1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[4]Title!H2</f>
        <v>ADEQUACY CHECK</v>
      </c>
      <c r="I2" s="934"/>
      <c r="J2" s="934"/>
      <c r="K2" s="934"/>
      <c r="L2" s="934"/>
      <c r="M2" s="934"/>
      <c r="N2" s="935"/>
      <c r="O2" s="885" t="str">
        <f>[4]Title!O2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[4]Title!O3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[4]Title!O4</f>
        <v>Revision No.</v>
      </c>
      <c r="P4" s="886"/>
      <c r="Q4" s="887"/>
      <c r="R4" s="775" t="str">
        <f>Title!R4</f>
        <v>A</v>
      </c>
      <c r="S4" s="1068"/>
      <c r="T4" s="1068"/>
      <c r="U4" s="1068"/>
      <c r="V4" s="776"/>
      <c r="W4" s="14"/>
      <c r="X4" s="14"/>
    </row>
    <row r="5" spans="1:24" ht="18" customHeight="1">
      <c r="A5" s="880" t="str">
        <f>[4]Title!A5</f>
        <v>Prep. By</v>
      </c>
      <c r="B5" s="943"/>
      <c r="C5" s="25" t="str">
        <f>[4]Title!C5</f>
        <v>AK</v>
      </c>
      <c r="D5" s="880" t="str">
        <f>[4]Title!D5</f>
        <v>Checked By</v>
      </c>
      <c r="E5" s="881"/>
      <c r="F5" s="943"/>
      <c r="G5" s="25" t="str">
        <f>[4]Title!G5</f>
        <v>LN</v>
      </c>
      <c r="H5" s="1229" t="s">
        <v>900</v>
      </c>
      <c r="I5" s="1230"/>
      <c r="J5" s="1230"/>
      <c r="K5" s="1230"/>
      <c r="L5" s="1230"/>
      <c r="M5" s="1230"/>
      <c r="N5" s="1231"/>
      <c r="O5" s="947" t="str">
        <f>[4]Title!O5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1075" t="s">
        <v>109</v>
      </c>
      <c r="E7" s="1076"/>
      <c r="F7" s="255"/>
      <c r="H7" s="549"/>
      <c r="I7" s="549"/>
      <c r="J7" s="549"/>
      <c r="K7" s="549"/>
      <c r="L7" s="549"/>
      <c r="M7" s="549"/>
      <c r="P7" s="186"/>
      <c r="S7" s="187" t="s">
        <v>387</v>
      </c>
      <c r="T7" s="1226" t="s">
        <v>893</v>
      </c>
      <c r="U7" s="1227"/>
      <c r="V7" s="185"/>
    </row>
    <row r="8" spans="1:24" ht="18" customHeight="1">
      <c r="A8" s="184"/>
      <c r="B8" s="538"/>
      <c r="C8" s="538"/>
      <c r="D8" s="547"/>
      <c r="E8" s="547"/>
      <c r="F8" s="255"/>
      <c r="T8" s="1226" t="s">
        <v>508</v>
      </c>
      <c r="U8" s="1227"/>
      <c r="V8" s="185"/>
    </row>
    <row r="9" spans="1:24" ht="18" customHeight="1">
      <c r="A9" s="184"/>
      <c r="H9" s="789" t="s">
        <v>390</v>
      </c>
      <c r="I9" s="789"/>
      <c r="J9" s="790" t="s">
        <v>391</v>
      </c>
      <c r="K9" s="790"/>
      <c r="L9" s="790" t="s">
        <v>392</v>
      </c>
      <c r="M9" s="790"/>
      <c r="T9" s="1226" t="s">
        <v>894</v>
      </c>
      <c r="U9" s="1227"/>
      <c r="V9" s="185"/>
    </row>
    <row r="10" spans="1:24" ht="18" customHeight="1">
      <c r="A10" s="184"/>
      <c r="B10" s="47" t="s">
        <v>393</v>
      </c>
      <c r="H10" s="1090">
        <v>2500</v>
      </c>
      <c r="I10" s="1091"/>
      <c r="J10" s="1075" t="s">
        <v>6</v>
      </c>
      <c r="K10" s="1076"/>
      <c r="L10" s="1075" t="s">
        <v>6</v>
      </c>
      <c r="M10" s="1076"/>
      <c r="N10" s="191" t="s">
        <v>342</v>
      </c>
      <c r="O10" s="501">
        <v>1</v>
      </c>
      <c r="P10" s="27" t="s">
        <v>8</v>
      </c>
      <c r="R10" s="255"/>
      <c r="S10" s="255"/>
      <c r="V10" s="185"/>
    </row>
    <row r="11" spans="1:24" ht="18" customHeight="1">
      <c r="A11" s="184"/>
      <c r="B11" s="47" t="s">
        <v>394</v>
      </c>
      <c r="H11" s="1075" t="s">
        <v>813</v>
      </c>
      <c r="I11" s="1076"/>
      <c r="V11" s="185"/>
    </row>
    <row r="12" spans="1:24" ht="18" customHeight="1">
      <c r="A12" s="184"/>
      <c r="B12" s="47" t="s">
        <v>396</v>
      </c>
      <c r="G12" s="120" t="s">
        <v>497</v>
      </c>
      <c r="H12" s="1075">
        <v>5</v>
      </c>
      <c r="I12" s="1076"/>
      <c r="J12" s="192" t="s">
        <v>333</v>
      </c>
      <c r="V12" s="185"/>
    </row>
    <row r="13" spans="1:24" ht="18" customHeight="1">
      <c r="A13" s="184"/>
      <c r="B13" s="47" t="s">
        <v>398</v>
      </c>
      <c r="G13" s="120" t="s">
        <v>498</v>
      </c>
      <c r="H13" s="1075"/>
      <c r="I13" s="1076"/>
      <c r="J13" s="14" t="s">
        <v>305</v>
      </c>
      <c r="T13" s="295"/>
      <c r="U13" s="18"/>
      <c r="V13" s="185"/>
      <c r="W13" s="30" t="str">
        <f>G57</f>
        <v>Suitably Dimentioned</v>
      </c>
    </row>
    <row r="14" spans="1:24" ht="18" customHeight="1">
      <c r="A14" s="184"/>
      <c r="B14" s="14" t="s">
        <v>401</v>
      </c>
      <c r="G14" s="120" t="s">
        <v>402</v>
      </c>
      <c r="H14" s="1075"/>
      <c r="I14" s="1076"/>
      <c r="J14" s="14" t="s">
        <v>403</v>
      </c>
      <c r="V14" s="185"/>
    </row>
    <row r="15" spans="1:24" ht="18" customHeight="1">
      <c r="A15" s="184"/>
      <c r="V15" s="185"/>
    </row>
    <row r="16" spans="1:24" ht="18" customHeight="1">
      <c r="A16" s="193" t="s">
        <v>404</v>
      </c>
      <c r="V16" s="185"/>
    </row>
    <row r="17" spans="1:23" ht="18" customHeight="1">
      <c r="A17" s="184"/>
      <c r="V17" s="185"/>
    </row>
    <row r="18" spans="1:23" ht="18" customHeight="1">
      <c r="A18" s="184"/>
      <c r="B18" s="135" t="s">
        <v>405</v>
      </c>
      <c r="C18" s="273"/>
      <c r="D18" s="139" t="str">
        <f>T7</f>
        <v>REF650</v>
      </c>
      <c r="E18" s="227"/>
      <c r="F18" s="227"/>
      <c r="G18" s="227"/>
      <c r="H18" s="138"/>
      <c r="I18" s="260" t="s">
        <v>127</v>
      </c>
      <c r="J18" s="1077">
        <f>'CT-VT Burdens'!Q104</f>
        <v>0.02</v>
      </c>
      <c r="K18" s="1078"/>
      <c r="L18" s="3" t="s">
        <v>157</v>
      </c>
      <c r="N18" s="197" t="s">
        <v>510</v>
      </c>
      <c r="V18" s="185"/>
    </row>
    <row r="19" spans="1:23" ht="18" customHeight="1">
      <c r="A19" s="184"/>
      <c r="B19" s="96" t="s">
        <v>405</v>
      </c>
      <c r="D19" s="296" t="str">
        <f>T8</f>
        <v>REC670</v>
      </c>
      <c r="I19" s="177" t="s">
        <v>127</v>
      </c>
      <c r="J19" s="1232">
        <f>'CT-VT Burdens'!Q104</f>
        <v>0.02</v>
      </c>
      <c r="K19" s="1233"/>
      <c r="L19" s="198" t="s">
        <v>157</v>
      </c>
      <c r="P19" s="244"/>
      <c r="V19" s="185"/>
    </row>
    <row r="20" spans="1:23" ht="18" customHeight="1">
      <c r="A20" s="184"/>
      <c r="B20" s="96" t="s">
        <v>405</v>
      </c>
      <c r="C20" s="14"/>
      <c r="D20" s="47" t="str">
        <f>T9</f>
        <v>IDM+9</v>
      </c>
      <c r="E20" s="14"/>
      <c r="G20" s="199"/>
      <c r="H20" s="27"/>
      <c r="I20" s="101" t="s">
        <v>127</v>
      </c>
      <c r="J20" s="1220">
        <f>'CT-VT Burdens'!Q149</f>
        <v>5.8000000000000003E-2</v>
      </c>
      <c r="K20" s="1221"/>
      <c r="L20" s="202" t="s">
        <v>157</v>
      </c>
      <c r="N20" s="120" t="s">
        <v>491</v>
      </c>
      <c r="O20" s="27" t="s">
        <v>127</v>
      </c>
      <c r="P20" s="27" t="s">
        <v>511</v>
      </c>
      <c r="Q20" s="27" t="s">
        <v>315</v>
      </c>
      <c r="R20" s="27" t="s">
        <v>511</v>
      </c>
      <c r="S20" s="27" t="s">
        <v>315</v>
      </c>
      <c r="T20" s="27" t="s">
        <v>420</v>
      </c>
      <c r="V20" s="185"/>
    </row>
    <row r="21" spans="1:23" ht="18" customHeight="1">
      <c r="A21" s="184"/>
      <c r="B21" s="184" t="s">
        <v>412</v>
      </c>
      <c r="C21" s="14"/>
      <c r="D21" s="14"/>
      <c r="E21" s="14"/>
      <c r="H21" s="27"/>
      <c r="I21" s="101" t="s">
        <v>127</v>
      </c>
      <c r="J21" s="1081">
        <f>'CT-VT Burdens'!S24</f>
        <v>1.0770224400000001</v>
      </c>
      <c r="K21" s="1082"/>
      <c r="L21" s="297" t="s">
        <v>157</v>
      </c>
      <c r="O21" s="27" t="s">
        <v>127</v>
      </c>
      <c r="P21" s="27">
        <f>O10</f>
        <v>1</v>
      </c>
      <c r="Q21" s="27" t="s">
        <v>315</v>
      </c>
      <c r="R21" s="27">
        <f>O10</f>
        <v>1</v>
      </c>
      <c r="S21" s="27" t="s">
        <v>315</v>
      </c>
      <c r="T21" s="27">
        <f>H12</f>
        <v>5</v>
      </c>
      <c r="V21" s="185"/>
    </row>
    <row r="22" spans="1:23" ht="18" customHeight="1">
      <c r="A22" s="184"/>
      <c r="B22" s="1" t="s">
        <v>413</v>
      </c>
      <c r="C22" s="2"/>
      <c r="D22" s="2"/>
      <c r="E22" s="2"/>
      <c r="F22" s="196"/>
      <c r="G22" s="196"/>
      <c r="H22" s="224" t="s">
        <v>512</v>
      </c>
      <c r="I22" s="183" t="s">
        <v>127</v>
      </c>
      <c r="J22" s="722">
        <f>SUM(J18:J21)</f>
        <v>1.1750224400000002</v>
      </c>
      <c r="K22" s="958"/>
      <c r="L22" s="3" t="s">
        <v>157</v>
      </c>
      <c r="O22" s="27" t="s">
        <v>127</v>
      </c>
      <c r="P22" s="795">
        <f>P21*R21*T21</f>
        <v>5</v>
      </c>
      <c r="Q22" s="684"/>
      <c r="R22" s="27" t="s">
        <v>157</v>
      </c>
      <c r="S22" s="27"/>
      <c r="T22" s="27"/>
      <c r="V22" s="185"/>
    </row>
    <row r="23" spans="1:23" ht="18" customHeight="1">
      <c r="A23" s="184"/>
      <c r="B23" s="47"/>
      <c r="C23" s="47"/>
      <c r="D23" s="47"/>
      <c r="E23" s="47"/>
      <c r="H23" s="27"/>
      <c r="I23" s="28"/>
      <c r="J23" s="199"/>
      <c r="L23" s="47"/>
      <c r="O23" s="27"/>
      <c r="P23" s="211"/>
      <c r="Q23" s="27"/>
      <c r="R23" s="204"/>
      <c r="S23" s="27"/>
      <c r="V23" s="185"/>
    </row>
    <row r="24" spans="1:23"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c r="W24" s="30" t="s">
        <v>536</v>
      </c>
    </row>
    <row r="25" spans="1:23"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3" ht="18" customHeight="1">
      <c r="A26" s="184"/>
      <c r="C26" s="28" t="s">
        <v>473</v>
      </c>
      <c r="D26" s="28" t="s">
        <v>127</v>
      </c>
      <c r="E26" s="28" t="s">
        <v>537</v>
      </c>
      <c r="F26" s="120" t="s">
        <v>493</v>
      </c>
      <c r="G26" s="28" t="s">
        <v>347</v>
      </c>
      <c r="H26" s="120" t="s">
        <v>491</v>
      </c>
      <c r="I26" s="28" t="s">
        <v>538</v>
      </c>
      <c r="J26" s="28" t="s">
        <v>495</v>
      </c>
      <c r="K26" s="28" t="s">
        <v>539</v>
      </c>
      <c r="L26" s="28" t="s">
        <v>511</v>
      </c>
      <c r="M26" s="28" t="s">
        <v>315</v>
      </c>
      <c r="N26" s="28">
        <v>1.3</v>
      </c>
      <c r="O26" s="47" t="s">
        <v>350</v>
      </c>
      <c r="V26" s="185"/>
    </row>
    <row r="27" spans="1:23" ht="18" customHeight="1">
      <c r="A27" s="184" t="s">
        <v>540</v>
      </c>
      <c r="C27" s="28"/>
      <c r="D27" s="28"/>
      <c r="E27" s="14"/>
      <c r="F27" s="14"/>
      <c r="G27" s="14"/>
      <c r="H27" s="14"/>
      <c r="I27" s="14"/>
      <c r="J27" s="14"/>
      <c r="K27" s="14"/>
      <c r="L27" s="14"/>
      <c r="M27" s="14"/>
      <c r="N27" s="14"/>
      <c r="O27" s="14"/>
      <c r="V27" s="185"/>
    </row>
    <row r="28" spans="1:23" ht="18" customHeight="1">
      <c r="A28" s="184"/>
      <c r="C28" s="28" t="s">
        <v>493</v>
      </c>
      <c r="D28" s="28" t="s">
        <v>127</v>
      </c>
      <c r="E28" s="28" t="s">
        <v>537</v>
      </c>
      <c r="F28" s="28">
        <v>1.3</v>
      </c>
      <c r="G28" s="28" t="s">
        <v>315</v>
      </c>
      <c r="H28" s="689" t="s">
        <v>473</v>
      </c>
      <c r="I28" s="716"/>
      <c r="J28" s="28" t="s">
        <v>315</v>
      </c>
      <c r="K28" s="28" t="s">
        <v>511</v>
      </c>
      <c r="L28" s="28" t="s">
        <v>541</v>
      </c>
      <c r="M28" s="28" t="s">
        <v>495</v>
      </c>
      <c r="N28" s="47" t="s">
        <v>542</v>
      </c>
      <c r="O28" s="120" t="s">
        <v>491</v>
      </c>
      <c r="V28" s="185"/>
    </row>
    <row r="29" spans="1:23" ht="18" customHeight="1">
      <c r="A29" s="184"/>
      <c r="V29" s="185"/>
    </row>
    <row r="30" spans="1:23" ht="18" customHeight="1">
      <c r="A30" s="168"/>
      <c r="B30" s="5"/>
      <c r="C30" s="47" t="s">
        <v>543</v>
      </c>
      <c r="D30" s="14"/>
      <c r="E30" s="14"/>
      <c r="F30" s="14"/>
      <c r="G30" s="14"/>
      <c r="H30" s="279"/>
      <c r="I30" s="120"/>
      <c r="J30" s="279"/>
      <c r="K30" s="279"/>
      <c r="L30" s="14"/>
      <c r="M30" s="14"/>
      <c r="N30" s="14"/>
      <c r="O30" s="14"/>
      <c r="P30" s="14"/>
      <c r="Q30" s="120" t="s">
        <v>544</v>
      </c>
      <c r="R30" s="102" t="s">
        <v>127</v>
      </c>
      <c r="S30" s="689">
        <f>'Parameters &amp; Fault Cal. (4)'!Q32</f>
        <v>50000</v>
      </c>
      <c r="T30" s="689"/>
      <c r="U30" s="47" t="s">
        <v>8</v>
      </c>
      <c r="V30" s="185"/>
    </row>
    <row r="31" spans="1:23" ht="18" customHeight="1">
      <c r="A31" s="168"/>
      <c r="B31" s="5"/>
      <c r="C31" s="47" t="s">
        <v>545</v>
      </c>
      <c r="D31" s="14"/>
      <c r="E31" s="14"/>
      <c r="F31" s="18"/>
      <c r="G31" s="18"/>
      <c r="H31" s="279"/>
      <c r="I31" s="120"/>
      <c r="J31" s="279"/>
      <c r="K31" s="279"/>
      <c r="L31" s="14"/>
      <c r="M31" s="14"/>
      <c r="N31" s="14"/>
      <c r="O31" s="14"/>
      <c r="P31" s="14"/>
      <c r="Q31" s="120" t="s">
        <v>423</v>
      </c>
      <c r="R31" s="102" t="s">
        <v>127</v>
      </c>
      <c r="S31" s="689">
        <f>H10</f>
        <v>2500</v>
      </c>
      <c r="T31" s="689"/>
      <c r="U31" s="14" t="s">
        <v>8</v>
      </c>
      <c r="V31" s="185"/>
    </row>
    <row r="32" spans="1:23" ht="18" customHeight="1">
      <c r="A32" s="168"/>
      <c r="B32" s="5"/>
      <c r="C32" s="47" t="s">
        <v>546</v>
      </c>
      <c r="D32" s="14"/>
      <c r="E32" s="14"/>
      <c r="F32" s="18"/>
      <c r="G32" s="18"/>
      <c r="H32" s="279"/>
      <c r="I32" s="120"/>
      <c r="J32" s="279"/>
      <c r="K32" s="279"/>
      <c r="L32" s="14"/>
      <c r="M32" s="14"/>
      <c r="N32" s="14"/>
      <c r="O32" s="14"/>
      <c r="P32" s="14"/>
      <c r="Q32" s="120" t="s">
        <v>473</v>
      </c>
      <c r="R32" s="102" t="s">
        <v>127</v>
      </c>
      <c r="S32" s="689">
        <f>H13</f>
        <v>0</v>
      </c>
      <c r="T32" s="689"/>
      <c r="U32" s="14" t="s">
        <v>305</v>
      </c>
      <c r="V32" s="185"/>
    </row>
    <row r="33" spans="1:25" ht="18" customHeight="1">
      <c r="A33" s="168"/>
      <c r="B33" s="5"/>
      <c r="C33" s="47" t="s">
        <v>547</v>
      </c>
      <c r="D33" s="14"/>
      <c r="E33" s="14"/>
      <c r="F33" s="18"/>
      <c r="G33" s="18"/>
      <c r="H33" s="279"/>
      <c r="I33" s="120"/>
      <c r="J33" s="279"/>
      <c r="K33" s="279"/>
      <c r="L33" s="14"/>
      <c r="M33" s="14"/>
      <c r="N33" s="14"/>
      <c r="O33" s="14"/>
      <c r="P33" s="14"/>
      <c r="Q33" s="120" t="s">
        <v>491</v>
      </c>
      <c r="R33" s="102" t="s">
        <v>127</v>
      </c>
      <c r="S33" s="692">
        <f>P22</f>
        <v>5</v>
      </c>
      <c r="T33" s="689"/>
      <c r="U33" s="14" t="s">
        <v>157</v>
      </c>
      <c r="V33" s="185"/>
      <c r="W33" s="279"/>
      <c r="X33" s="279"/>
      <c r="Y33" s="279"/>
    </row>
    <row r="34" spans="1:25" ht="18" customHeight="1">
      <c r="A34" s="168"/>
      <c r="B34" s="5"/>
      <c r="C34" s="47" t="s">
        <v>548</v>
      </c>
      <c r="D34" s="14"/>
      <c r="E34" s="14"/>
      <c r="F34" s="18"/>
      <c r="G34" s="18"/>
      <c r="H34" s="279"/>
      <c r="I34" s="120"/>
      <c r="J34" s="279"/>
      <c r="K34" s="279"/>
      <c r="L34" s="14"/>
      <c r="M34" s="14"/>
      <c r="N34" s="14"/>
      <c r="O34" s="14"/>
      <c r="P34" s="14"/>
      <c r="Q34" s="120" t="s">
        <v>512</v>
      </c>
      <c r="R34" s="102" t="s">
        <v>127</v>
      </c>
      <c r="S34" s="692">
        <f>J22</f>
        <v>1.1750224400000002</v>
      </c>
      <c r="T34" s="689"/>
      <c r="U34" s="14" t="s">
        <v>157</v>
      </c>
      <c r="V34" s="185"/>
      <c r="X34" s="279"/>
      <c r="Y34" s="279"/>
    </row>
    <row r="35" spans="1:25" ht="18" customHeight="1">
      <c r="A35" s="168"/>
      <c r="B35" s="5"/>
      <c r="C35" s="47" t="s">
        <v>549</v>
      </c>
      <c r="D35" s="14"/>
      <c r="E35" s="14"/>
      <c r="F35" s="14"/>
      <c r="G35" s="14"/>
      <c r="H35" s="279"/>
      <c r="I35" s="120"/>
      <c r="J35" s="279"/>
      <c r="K35" s="279"/>
      <c r="L35" s="14"/>
      <c r="M35" s="14"/>
      <c r="N35" s="14"/>
      <c r="O35" s="14"/>
      <c r="P35" s="14"/>
      <c r="Q35" s="120" t="s">
        <v>511</v>
      </c>
      <c r="R35" s="102" t="s">
        <v>127</v>
      </c>
      <c r="S35" s="689">
        <f>O10</f>
        <v>1</v>
      </c>
      <c r="T35" s="689"/>
      <c r="U35" s="14" t="s">
        <v>8</v>
      </c>
      <c r="V35" s="185"/>
      <c r="X35" s="279"/>
      <c r="Y35" s="279"/>
    </row>
    <row r="36" spans="1:25" ht="18" customHeight="1">
      <c r="A36" s="168"/>
      <c r="B36" s="5"/>
      <c r="C36" s="47" t="s">
        <v>550</v>
      </c>
      <c r="D36" s="14"/>
      <c r="E36" s="14"/>
      <c r="F36" s="14"/>
      <c r="G36" s="14"/>
      <c r="H36" s="279"/>
      <c r="I36" s="120"/>
      <c r="J36" s="279"/>
      <c r="K36" s="279"/>
      <c r="L36" s="14"/>
      <c r="M36" s="14"/>
      <c r="N36" s="14"/>
      <c r="O36" s="14"/>
      <c r="P36" s="14"/>
      <c r="Q36" s="120" t="s">
        <v>495</v>
      </c>
      <c r="R36" s="102" t="s">
        <v>127</v>
      </c>
      <c r="S36" s="689">
        <v>20</v>
      </c>
      <c r="T36" s="689"/>
      <c r="U36" s="47"/>
      <c r="V36" s="185"/>
    </row>
    <row r="37" spans="1:25" ht="18" customHeight="1">
      <c r="A37" s="299"/>
      <c r="B37" s="279"/>
      <c r="C37" s="47" t="s">
        <v>492</v>
      </c>
      <c r="D37" s="14"/>
      <c r="E37" s="14"/>
      <c r="F37" s="14"/>
      <c r="G37" s="14"/>
      <c r="H37" s="279"/>
      <c r="I37" s="120"/>
      <c r="J37" s="279"/>
      <c r="K37" s="279"/>
      <c r="L37" s="14"/>
      <c r="M37" s="14"/>
      <c r="N37" s="279"/>
      <c r="O37" s="279"/>
      <c r="P37" s="14"/>
      <c r="Q37" s="120" t="s">
        <v>493</v>
      </c>
      <c r="R37" s="27" t="s">
        <v>127</v>
      </c>
      <c r="S37" s="684">
        <v>30</v>
      </c>
      <c r="T37" s="684"/>
      <c r="U37" s="279"/>
      <c r="V37" s="300"/>
      <c r="W37" s="279"/>
      <c r="X37" s="279"/>
      <c r="Y37" s="279"/>
    </row>
    <row r="38" spans="1:25" ht="18" customHeight="1">
      <c r="A38" s="184"/>
      <c r="V38" s="185"/>
    </row>
    <row r="39" spans="1:25" ht="18" customHeight="1">
      <c r="A39" s="184"/>
      <c r="C39" s="120" t="s">
        <v>493</v>
      </c>
      <c r="D39" s="28" t="s">
        <v>127</v>
      </c>
      <c r="E39" s="28" t="s">
        <v>537</v>
      </c>
      <c r="F39" s="221">
        <v>1.3</v>
      </c>
      <c r="G39" s="221" t="s">
        <v>315</v>
      </c>
      <c r="H39" s="805" t="s">
        <v>473</v>
      </c>
      <c r="I39" s="815"/>
      <c r="J39" s="221" t="s">
        <v>315</v>
      </c>
      <c r="K39" s="221" t="s">
        <v>511</v>
      </c>
      <c r="L39" s="221" t="s">
        <v>541</v>
      </c>
      <c r="M39" s="221" t="s">
        <v>495</v>
      </c>
      <c r="N39" s="527" t="s">
        <v>542</v>
      </c>
      <c r="O39" s="542" t="s">
        <v>491</v>
      </c>
      <c r="V39" s="185"/>
    </row>
    <row r="40" spans="1:25" ht="18" customHeight="1">
      <c r="A40" s="184"/>
      <c r="C40" s="120"/>
      <c r="D40" s="27" t="s">
        <v>127</v>
      </c>
      <c r="E40" s="27" t="s">
        <v>537</v>
      </c>
      <c r="F40" s="245">
        <v>1.3</v>
      </c>
      <c r="G40" s="245" t="s">
        <v>315</v>
      </c>
      <c r="H40" s="993">
        <f>S32</f>
        <v>0</v>
      </c>
      <c r="I40" s="1234"/>
      <c r="J40" s="245" t="s">
        <v>315</v>
      </c>
      <c r="K40" s="245">
        <f>S35</f>
        <v>1</v>
      </c>
      <c r="L40" s="245" t="s">
        <v>541</v>
      </c>
      <c r="M40" s="245">
        <f>S36</f>
        <v>20</v>
      </c>
      <c r="N40" s="461" t="s">
        <v>542</v>
      </c>
      <c r="O40" s="502">
        <f>S33</f>
        <v>5</v>
      </c>
      <c r="V40" s="185"/>
    </row>
    <row r="41" spans="1:25" ht="18" customHeight="1">
      <c r="A41" s="184"/>
      <c r="D41" s="27" t="s">
        <v>127</v>
      </c>
      <c r="E41" s="684">
        <f>((F40*H40)/(K40*M40))-O40</f>
        <v>-5</v>
      </c>
      <c r="F41" s="684"/>
      <c r="G41" s="27" t="s">
        <v>157</v>
      </c>
      <c r="V41" s="185"/>
    </row>
    <row r="42" spans="1:25" ht="18" customHeight="1">
      <c r="A42" s="184"/>
      <c r="D42" s="27"/>
      <c r="E42" s="27"/>
      <c r="F42" s="27"/>
      <c r="G42" s="27"/>
      <c r="V42" s="185"/>
    </row>
    <row r="43" spans="1:25" ht="18" customHeight="1">
      <c r="A43" s="184"/>
      <c r="D43" s="27"/>
      <c r="E43" s="27"/>
      <c r="F43" s="27"/>
      <c r="G43" s="27"/>
      <c r="V43" s="185"/>
    </row>
    <row r="44" spans="1:25" ht="18" customHeight="1">
      <c r="A44" s="184"/>
      <c r="D44" s="27"/>
      <c r="E44" s="27"/>
      <c r="F44" s="27"/>
      <c r="G44" s="27"/>
      <c r="V44" s="185"/>
    </row>
    <row r="45" spans="1:25"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184"/>
      <c r="E47" s="244" t="s">
        <v>111</v>
      </c>
      <c r="F47" s="27" t="s">
        <v>127</v>
      </c>
      <c r="G47" s="689" t="s">
        <v>544</v>
      </c>
      <c r="H47" s="689"/>
      <c r="I47" s="191" t="s">
        <v>342</v>
      </c>
      <c r="J47" s="684" t="s">
        <v>423</v>
      </c>
      <c r="K47" s="684"/>
      <c r="V47" s="185"/>
    </row>
    <row r="48" spans="1:25" ht="18" customHeight="1">
      <c r="A48" s="184"/>
      <c r="F48" s="27" t="s">
        <v>127</v>
      </c>
      <c r="G48" s="684">
        <f>S30</f>
        <v>50000</v>
      </c>
      <c r="H48" s="684"/>
      <c r="I48" s="191" t="s">
        <v>342</v>
      </c>
      <c r="J48" s="684">
        <f>S31</f>
        <v>2500</v>
      </c>
      <c r="K48" s="684"/>
      <c r="V48" s="185"/>
    </row>
    <row r="49" spans="1:22" ht="18" customHeight="1">
      <c r="A49" s="184"/>
      <c r="F49" s="27" t="s">
        <v>127</v>
      </c>
      <c r="G49" s="795">
        <f>G48/J48</f>
        <v>20</v>
      </c>
      <c r="H49" s="795"/>
      <c r="I49" s="27"/>
      <c r="J49" s="27"/>
      <c r="K49" s="27"/>
      <c r="V49" s="185"/>
    </row>
    <row r="50" spans="1:22" ht="18" customHeight="1">
      <c r="A50" s="184"/>
      <c r="V50" s="185"/>
    </row>
    <row r="51" spans="1:22" ht="17.399999999999999" customHeight="1">
      <c r="A51" s="184"/>
      <c r="E51" s="244" t="s">
        <v>553</v>
      </c>
      <c r="F51" s="27" t="s">
        <v>127</v>
      </c>
      <c r="G51" s="221" t="s">
        <v>495</v>
      </c>
      <c r="H51" s="221" t="s">
        <v>554</v>
      </c>
      <c r="I51" s="542" t="s">
        <v>491</v>
      </c>
      <c r="J51" s="221" t="s">
        <v>347</v>
      </c>
      <c r="K51" s="542" t="s">
        <v>493</v>
      </c>
      <c r="L51" s="221" t="s">
        <v>539</v>
      </c>
      <c r="M51" s="542" t="s">
        <v>491</v>
      </c>
      <c r="N51" s="221" t="s">
        <v>347</v>
      </c>
      <c r="O51" s="542" t="s">
        <v>512</v>
      </c>
      <c r="P51" s="28" t="s">
        <v>350</v>
      </c>
      <c r="V51" s="185"/>
    </row>
    <row r="52" spans="1:22" ht="18" customHeight="1">
      <c r="A52" s="184"/>
      <c r="F52" s="27" t="s">
        <v>127</v>
      </c>
      <c r="G52" s="242">
        <f>S36</f>
        <v>20</v>
      </c>
      <c r="H52" s="245" t="s">
        <v>554</v>
      </c>
      <c r="I52" s="301">
        <f>S33</f>
        <v>5</v>
      </c>
      <c r="J52" s="245" t="s">
        <v>347</v>
      </c>
      <c r="K52" s="301">
        <f>S37</f>
        <v>30</v>
      </c>
      <c r="L52" s="245" t="s">
        <v>539</v>
      </c>
      <c r="M52" s="301">
        <f>S33</f>
        <v>5</v>
      </c>
      <c r="N52" s="245" t="s">
        <v>347</v>
      </c>
      <c r="O52" s="301">
        <f>S34</f>
        <v>1.1750224400000002</v>
      </c>
      <c r="P52" s="27" t="s">
        <v>350</v>
      </c>
      <c r="V52" s="185"/>
    </row>
    <row r="53" spans="1:22" ht="18" customHeight="1">
      <c r="A53" s="184"/>
      <c r="F53" s="27" t="s">
        <v>127</v>
      </c>
      <c r="G53" s="1111">
        <f>G52*((I52+K52)/(M52+O52))</f>
        <v>113.35991193580182</v>
      </c>
      <c r="H53" s="1111"/>
      <c r="I53" s="242"/>
      <c r="J53" s="242"/>
      <c r="K53" s="242"/>
      <c r="L53" s="242"/>
      <c r="M53" s="242"/>
      <c r="N53" s="242"/>
      <c r="O53" s="242"/>
      <c r="V53" s="185"/>
    </row>
    <row r="54" spans="1:22" ht="18" customHeight="1">
      <c r="A54" s="184"/>
      <c r="V54" s="185"/>
    </row>
    <row r="55" spans="1:22" ht="18" customHeight="1">
      <c r="A55" s="184"/>
      <c r="E55" s="244" t="s">
        <v>555</v>
      </c>
      <c r="F55" s="27" t="str">
        <f>IF(D56&gt;G56,"&gt;","&lt;")</f>
        <v>&gt;</v>
      </c>
      <c r="G55" s="296" t="s">
        <v>111</v>
      </c>
      <c r="V55" s="185"/>
    </row>
    <row r="56" spans="1:22" ht="18" customHeight="1">
      <c r="A56" s="184"/>
      <c r="D56" s="795">
        <f>G53</f>
        <v>113.35991193580182</v>
      </c>
      <c r="E56" s="795"/>
      <c r="F56" s="27" t="str">
        <f>F55</f>
        <v>&gt;</v>
      </c>
      <c r="G56" s="795">
        <f>G49</f>
        <v>20</v>
      </c>
      <c r="H56" s="795"/>
      <c r="V56" s="185"/>
    </row>
    <row r="57" spans="1:22" ht="18" customHeight="1">
      <c r="A57" s="184"/>
      <c r="E57" s="244" t="s">
        <v>478</v>
      </c>
      <c r="G57" s="18" t="str">
        <f>IF(F55="&gt;","Suitably Dimentioned","Under Dimentioned")</f>
        <v>Suitably Dimentioned</v>
      </c>
      <c r="V57" s="185"/>
    </row>
    <row r="58" spans="1:22" ht="18" customHeight="1">
      <c r="A58" s="184"/>
      <c r="V58" s="185"/>
    </row>
    <row r="59" spans="1:22" ht="18" customHeight="1">
      <c r="A59" s="184"/>
      <c r="V59" s="185"/>
    </row>
    <row r="60" spans="1:22" ht="18" customHeight="1">
      <c r="A60" s="184"/>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3" ht="18" customHeight="1">
      <c r="A81" s="184"/>
      <c r="V81" s="185"/>
    </row>
    <row r="82" spans="1:23" ht="18" customHeight="1">
      <c r="A82" s="184"/>
      <c r="V82" s="185"/>
    </row>
    <row r="83" spans="1:23" ht="18" customHeight="1">
      <c r="A83" s="184"/>
      <c r="V83" s="185"/>
    </row>
    <row r="84" spans="1:23" ht="18" customHeight="1">
      <c r="A84" s="184"/>
      <c r="V84" s="185"/>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hidden="1"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hidden="1" customHeight="1">
      <c r="A87" s="184"/>
      <c r="B87" s="854" t="str">
        <f>B7</f>
        <v>T1</v>
      </c>
      <c r="C87" s="831"/>
      <c r="D87" s="855" t="str">
        <f>D7</f>
        <v>Core3</v>
      </c>
      <c r="E87" s="856"/>
      <c r="F87" s="255"/>
      <c r="H87" s="684">
        <f>H7</f>
        <v>0</v>
      </c>
      <c r="I87" s="684"/>
      <c r="J87" s="684"/>
      <c r="K87" s="684"/>
      <c r="L87" s="684"/>
      <c r="M87" s="684"/>
      <c r="P87" s="186"/>
      <c r="S87" s="187" t="s">
        <v>387</v>
      </c>
      <c r="T87" s="1123" t="str">
        <f>T7</f>
        <v>REF650</v>
      </c>
      <c r="U87" s="1124"/>
      <c r="V87" s="185"/>
    </row>
    <row r="88" spans="1:23" ht="18" hidden="1" customHeight="1">
      <c r="A88" s="184"/>
      <c r="B88" s="853">
        <f>B8</f>
        <v>0</v>
      </c>
      <c r="C88" s="853"/>
      <c r="D88" s="857"/>
      <c r="E88" s="858"/>
      <c r="F88" s="255"/>
      <c r="T88" s="1123" t="str">
        <f>T8</f>
        <v>REC670</v>
      </c>
      <c r="U88" s="1124"/>
      <c r="V88" s="185"/>
    </row>
    <row r="89" spans="1:23" ht="18" hidden="1" customHeight="1">
      <c r="A89" s="184"/>
      <c r="H89" s="708" t="s">
        <v>390</v>
      </c>
      <c r="I89" s="708"/>
      <c r="J89" s="789" t="s">
        <v>391</v>
      </c>
      <c r="K89" s="789"/>
      <c r="L89" s="790" t="s">
        <v>392</v>
      </c>
      <c r="M89" s="790"/>
      <c r="T89" s="1123" t="str">
        <f>T9</f>
        <v>IDM+9</v>
      </c>
      <c r="U89" s="1124"/>
      <c r="V89" s="185"/>
    </row>
    <row r="90" spans="1:23" ht="18" hidden="1" customHeight="1">
      <c r="A90" s="184"/>
      <c r="B90" s="47" t="s">
        <v>393</v>
      </c>
      <c r="H90" s="854">
        <f>H10</f>
        <v>2500</v>
      </c>
      <c r="I90" s="831"/>
      <c r="J90" s="863" t="str">
        <f>J10</f>
        <v>-</v>
      </c>
      <c r="K90" s="864"/>
      <c r="L90" s="854" t="str">
        <f>L10</f>
        <v>-</v>
      </c>
      <c r="M90" s="831"/>
      <c r="N90" s="191" t="s">
        <v>342</v>
      </c>
      <c r="O90" s="256">
        <f>O10</f>
        <v>1</v>
      </c>
      <c r="P90" s="27" t="s">
        <v>8</v>
      </c>
      <c r="R90" s="255"/>
      <c r="S90" s="255"/>
      <c r="V90" s="185"/>
    </row>
    <row r="91" spans="1:23" ht="18" hidden="1" customHeight="1">
      <c r="A91" s="184"/>
      <c r="B91" s="47" t="s">
        <v>394</v>
      </c>
      <c r="H91" s="14"/>
      <c r="I91" s="14"/>
      <c r="J91" s="854" t="str">
        <f>H11</f>
        <v>5P20</v>
      </c>
      <c r="K91" s="831"/>
      <c r="L91" s="14"/>
      <c r="M91" s="14"/>
      <c r="V91" s="185"/>
    </row>
    <row r="92" spans="1:23" ht="18" hidden="1" customHeight="1">
      <c r="A92" s="184"/>
      <c r="B92" s="47" t="s">
        <v>396</v>
      </c>
      <c r="I92" s="120" t="s">
        <v>497</v>
      </c>
      <c r="J92" s="1075" t="s">
        <v>6</v>
      </c>
      <c r="K92" s="1076"/>
      <c r="L92" s="192" t="s">
        <v>333</v>
      </c>
      <c r="V92" s="185"/>
    </row>
    <row r="93" spans="1:23" ht="18" hidden="1" customHeight="1">
      <c r="A93" s="184"/>
      <c r="B93" s="47" t="s">
        <v>398</v>
      </c>
      <c r="I93" s="120" t="s">
        <v>498</v>
      </c>
      <c r="J93" s="1075" t="s">
        <v>6</v>
      </c>
      <c r="K93" s="1076"/>
      <c r="L93" s="14" t="s">
        <v>305</v>
      </c>
      <c r="T93" s="295"/>
      <c r="U93" s="18"/>
      <c r="V93" s="185"/>
      <c r="W93" s="30" t="e">
        <f>G141</f>
        <v>#VALUE!</v>
      </c>
    </row>
    <row r="94" spans="1:23" ht="18" hidden="1" customHeight="1">
      <c r="A94" s="184"/>
      <c r="B94" s="14" t="s">
        <v>401</v>
      </c>
      <c r="I94" s="120" t="s">
        <v>402</v>
      </c>
      <c r="J94" s="1075" t="s">
        <v>6</v>
      </c>
      <c r="K94" s="1076"/>
      <c r="L94" s="14" t="s">
        <v>403</v>
      </c>
      <c r="V94" s="185"/>
    </row>
    <row r="95" spans="1:23" ht="18" hidden="1" customHeight="1">
      <c r="A95" s="184"/>
      <c r="V95" s="185"/>
    </row>
    <row r="96" spans="1:23" ht="18" hidden="1" customHeight="1">
      <c r="A96" s="193" t="s">
        <v>404</v>
      </c>
      <c r="V96" s="185"/>
    </row>
    <row r="97" spans="1:22" ht="18" hidden="1" customHeight="1">
      <c r="A97" s="184"/>
      <c r="V97" s="185"/>
    </row>
    <row r="98" spans="1:22" ht="18" hidden="1" customHeight="1">
      <c r="A98" s="184"/>
      <c r="B98" s="135" t="s">
        <v>405</v>
      </c>
      <c r="C98" s="273"/>
      <c r="D98" s="139" t="str">
        <f>T87</f>
        <v>REF650</v>
      </c>
      <c r="E98" s="227"/>
      <c r="F98" s="227"/>
      <c r="G98" s="227"/>
      <c r="H98" s="138"/>
      <c r="I98" s="260" t="s">
        <v>127</v>
      </c>
      <c r="J98" s="722">
        <f>J18</f>
        <v>0.02</v>
      </c>
      <c r="K98" s="958"/>
      <c r="L98" s="3" t="s">
        <v>157</v>
      </c>
      <c r="N98" s="197" t="s">
        <v>510</v>
      </c>
      <c r="V98" s="185"/>
    </row>
    <row r="99" spans="1:22" ht="18" hidden="1" customHeight="1">
      <c r="A99" s="184"/>
      <c r="B99" s="96" t="s">
        <v>405</v>
      </c>
      <c r="D99" s="296" t="str">
        <f>T88</f>
        <v>REC670</v>
      </c>
      <c r="I99" s="177" t="s">
        <v>127</v>
      </c>
      <c r="J99" s="1119">
        <f>J19</f>
        <v>0.02</v>
      </c>
      <c r="K99" s="989"/>
      <c r="L99" s="198" t="s">
        <v>157</v>
      </c>
      <c r="P99" s="244"/>
      <c r="V99" s="185"/>
    </row>
    <row r="100" spans="1:22" ht="18" hidden="1" customHeight="1">
      <c r="A100" s="184"/>
      <c r="B100" s="96" t="s">
        <v>405</v>
      </c>
      <c r="C100" s="14"/>
      <c r="D100" s="47" t="str">
        <f>T89</f>
        <v>IDM+9</v>
      </c>
      <c r="E100" s="14"/>
      <c r="G100" s="199"/>
      <c r="H100" s="27"/>
      <c r="I100" s="101" t="s">
        <v>127</v>
      </c>
      <c r="J100" s="696">
        <f>J20</f>
        <v>5.8000000000000003E-2</v>
      </c>
      <c r="K100" s="820"/>
      <c r="L100" s="202" t="s">
        <v>157</v>
      </c>
      <c r="N100" s="120" t="s">
        <v>491</v>
      </c>
      <c r="O100" s="27" t="s">
        <v>127</v>
      </c>
      <c r="P100" s="27" t="s">
        <v>511</v>
      </c>
      <c r="Q100" s="27" t="s">
        <v>315</v>
      </c>
      <c r="R100" s="27" t="s">
        <v>511</v>
      </c>
      <c r="S100" s="27" t="s">
        <v>315</v>
      </c>
      <c r="T100" s="27" t="s">
        <v>420</v>
      </c>
      <c r="V100" s="185"/>
    </row>
    <row r="101" spans="1:22" ht="18" hidden="1" customHeight="1">
      <c r="A101" s="184"/>
      <c r="B101" s="184" t="s">
        <v>412</v>
      </c>
      <c r="C101" s="14"/>
      <c r="D101" s="14"/>
      <c r="E101" s="14"/>
      <c r="H101" s="27"/>
      <c r="I101" s="101" t="s">
        <v>127</v>
      </c>
      <c r="J101" s="1120">
        <f>J21</f>
        <v>1.0770224400000001</v>
      </c>
      <c r="K101" s="987"/>
      <c r="L101" s="297" t="s">
        <v>157</v>
      </c>
      <c r="O101" s="27" t="s">
        <v>127</v>
      </c>
      <c r="P101" s="27">
        <f>O90</f>
        <v>1</v>
      </c>
      <c r="Q101" s="27" t="s">
        <v>315</v>
      </c>
      <c r="R101" s="27">
        <f>O90</f>
        <v>1</v>
      </c>
      <c r="S101" s="27" t="s">
        <v>315</v>
      </c>
      <c r="T101" s="27" t="str">
        <f>J92</f>
        <v>-</v>
      </c>
      <c r="V101" s="185"/>
    </row>
    <row r="102" spans="1:22" ht="18" hidden="1" customHeight="1">
      <c r="A102" s="184"/>
      <c r="B102" s="1" t="s">
        <v>413</v>
      </c>
      <c r="C102" s="2"/>
      <c r="D102" s="2"/>
      <c r="E102" s="2"/>
      <c r="F102" s="196"/>
      <c r="G102" s="196"/>
      <c r="H102" s="224" t="s">
        <v>512</v>
      </c>
      <c r="I102" s="183" t="s">
        <v>127</v>
      </c>
      <c r="J102" s="722">
        <f>SUM(J98:J101)</f>
        <v>1.1750224400000002</v>
      </c>
      <c r="K102" s="958"/>
      <c r="L102" s="3" t="s">
        <v>157</v>
      </c>
      <c r="O102" s="27" t="s">
        <v>127</v>
      </c>
      <c r="P102" s="795" t="e">
        <f>P101*R101*T101</f>
        <v>#VALUE!</v>
      </c>
      <c r="Q102" s="684"/>
      <c r="R102" s="27" t="s">
        <v>157</v>
      </c>
      <c r="S102" s="27"/>
      <c r="T102" s="27"/>
      <c r="V102" s="185"/>
    </row>
    <row r="103" spans="1:22" ht="18" hidden="1" customHeight="1">
      <c r="A103" s="184"/>
      <c r="B103" s="47"/>
      <c r="C103" s="47"/>
      <c r="D103" s="47"/>
      <c r="E103" s="47"/>
      <c r="H103" s="27"/>
      <c r="I103" s="28"/>
      <c r="J103" s="199"/>
      <c r="L103" s="47"/>
      <c r="O103" s="27"/>
      <c r="P103" s="211"/>
      <c r="Q103" s="27"/>
      <c r="R103" s="204"/>
      <c r="S103" s="27"/>
      <c r="V103" s="185"/>
    </row>
    <row r="104" spans="1:22" ht="18" hidden="1" customHeight="1">
      <c r="A104" s="1206" t="s">
        <v>536</v>
      </c>
      <c r="B104" s="1207"/>
      <c r="C104" s="1207"/>
      <c r="D104" s="1207"/>
      <c r="E104" s="1207"/>
      <c r="F104" s="1207"/>
      <c r="G104" s="1207"/>
      <c r="H104" s="1207"/>
      <c r="I104" s="1207"/>
      <c r="J104" s="1207"/>
      <c r="K104" s="1207"/>
      <c r="L104" s="1207"/>
      <c r="M104" s="1207"/>
      <c r="N104" s="1207"/>
      <c r="O104" s="1207"/>
      <c r="P104" s="1207"/>
      <c r="Q104" s="1207"/>
      <c r="R104" s="1207"/>
      <c r="S104" s="1207"/>
      <c r="T104" s="1207"/>
      <c r="U104" s="1207"/>
      <c r="V104" s="1208"/>
    </row>
    <row r="105" spans="1:22" ht="18" hidden="1" customHeight="1">
      <c r="A105" s="1209"/>
      <c r="B105" s="1207"/>
      <c r="C105" s="1207"/>
      <c r="D105" s="1207"/>
      <c r="E105" s="1207"/>
      <c r="F105" s="1207"/>
      <c r="G105" s="1207"/>
      <c r="H105" s="1207"/>
      <c r="I105" s="1207"/>
      <c r="J105" s="1207"/>
      <c r="K105" s="1207"/>
      <c r="L105" s="1207"/>
      <c r="M105" s="1207"/>
      <c r="N105" s="1207"/>
      <c r="O105" s="1207"/>
      <c r="P105" s="1207"/>
      <c r="Q105" s="1207"/>
      <c r="R105" s="1207"/>
      <c r="S105" s="1207"/>
      <c r="T105" s="1207"/>
      <c r="U105" s="1207"/>
      <c r="V105" s="1208"/>
    </row>
    <row r="106" spans="1:22" ht="18" hidden="1" customHeight="1">
      <c r="A106" s="184"/>
      <c r="Q106" s="211"/>
      <c r="R106" s="192"/>
      <c r="V106" s="185"/>
    </row>
    <row r="107" spans="1:22" ht="18" hidden="1" customHeight="1">
      <c r="A107" s="184"/>
      <c r="C107" s="28" t="s">
        <v>473</v>
      </c>
      <c r="D107" s="28" t="s">
        <v>127</v>
      </c>
      <c r="E107" s="28" t="s">
        <v>537</v>
      </c>
      <c r="F107" s="120" t="s">
        <v>493</v>
      </c>
      <c r="G107" s="28" t="s">
        <v>347</v>
      </c>
      <c r="H107" s="120" t="s">
        <v>491</v>
      </c>
      <c r="I107" s="28" t="s">
        <v>538</v>
      </c>
      <c r="J107" s="28" t="s">
        <v>495</v>
      </c>
      <c r="K107" s="28" t="s">
        <v>539</v>
      </c>
      <c r="L107" s="28" t="s">
        <v>511</v>
      </c>
      <c r="M107" s="28" t="s">
        <v>315</v>
      </c>
      <c r="N107" s="28">
        <v>1.3</v>
      </c>
      <c r="O107" s="47" t="s">
        <v>350</v>
      </c>
      <c r="P107" s="14"/>
      <c r="V107" s="185"/>
    </row>
    <row r="108" spans="1:22" ht="18" hidden="1" customHeight="1">
      <c r="A108" s="184" t="s">
        <v>540</v>
      </c>
      <c r="C108" s="28"/>
      <c r="D108" s="28"/>
      <c r="E108" s="14"/>
      <c r="F108" s="14"/>
      <c r="G108" s="14"/>
      <c r="H108" s="14"/>
      <c r="I108" s="14"/>
      <c r="J108" s="14"/>
      <c r="K108" s="14"/>
      <c r="L108" s="14"/>
      <c r="M108" s="14"/>
      <c r="N108" s="14"/>
      <c r="O108" s="14"/>
      <c r="P108" s="14"/>
      <c r="V108" s="185"/>
    </row>
    <row r="109" spans="1:22" ht="18" hidden="1" customHeight="1">
      <c r="A109" s="184"/>
      <c r="C109" s="28" t="s">
        <v>493</v>
      </c>
      <c r="D109" s="28" t="s">
        <v>127</v>
      </c>
      <c r="E109" s="28" t="s">
        <v>537</v>
      </c>
      <c r="F109" s="28">
        <v>1.3</v>
      </c>
      <c r="G109" s="28" t="s">
        <v>315</v>
      </c>
      <c r="H109" s="689" t="s">
        <v>473</v>
      </c>
      <c r="I109" s="716"/>
      <c r="J109" s="28" t="s">
        <v>315</v>
      </c>
      <c r="K109" s="28" t="s">
        <v>511</v>
      </c>
      <c r="L109" s="28" t="s">
        <v>541</v>
      </c>
      <c r="M109" s="28" t="s">
        <v>495</v>
      </c>
      <c r="N109" s="47" t="s">
        <v>542</v>
      </c>
      <c r="O109" s="120" t="s">
        <v>491</v>
      </c>
      <c r="P109" s="14"/>
      <c r="V109" s="185"/>
    </row>
    <row r="110" spans="1:22" ht="18" hidden="1" customHeight="1">
      <c r="A110" s="184"/>
      <c r="V110" s="185"/>
    </row>
    <row r="111" spans="1:22" ht="18" hidden="1" customHeight="1">
      <c r="A111" s="168"/>
      <c r="B111" s="5"/>
      <c r="C111" s="47" t="s">
        <v>543</v>
      </c>
      <c r="D111" s="14"/>
      <c r="E111" s="14"/>
      <c r="F111" s="14"/>
      <c r="G111" s="14"/>
      <c r="H111" s="279"/>
      <c r="I111" s="120"/>
      <c r="J111" s="279"/>
      <c r="K111" s="279"/>
      <c r="L111" s="14"/>
      <c r="M111" s="14"/>
      <c r="N111" s="14"/>
      <c r="O111" s="14"/>
      <c r="P111" s="14"/>
      <c r="Q111" s="120" t="s">
        <v>544</v>
      </c>
      <c r="R111" s="102" t="s">
        <v>127</v>
      </c>
      <c r="S111" s="689">
        <f>S30</f>
        <v>50000</v>
      </c>
      <c r="T111" s="689"/>
      <c r="U111" s="47" t="s">
        <v>8</v>
      </c>
      <c r="V111" s="185"/>
    </row>
    <row r="112" spans="1:22" ht="18" hidden="1" customHeight="1">
      <c r="A112" s="168"/>
      <c r="B112" s="5"/>
      <c r="C112" s="47" t="s">
        <v>545</v>
      </c>
      <c r="D112" s="14"/>
      <c r="E112" s="14"/>
      <c r="F112" s="18"/>
      <c r="G112" s="18"/>
      <c r="H112" s="279"/>
      <c r="I112" s="120"/>
      <c r="J112" s="279"/>
      <c r="K112" s="279"/>
      <c r="L112" s="14"/>
      <c r="M112" s="14"/>
      <c r="N112" s="14"/>
      <c r="O112" s="14"/>
      <c r="P112" s="14"/>
      <c r="Q112" s="120" t="s">
        <v>423</v>
      </c>
      <c r="R112" s="102" t="s">
        <v>127</v>
      </c>
      <c r="S112" s="689" t="str">
        <f>J90</f>
        <v>-</v>
      </c>
      <c r="T112" s="689"/>
      <c r="U112" s="14" t="s">
        <v>8</v>
      </c>
      <c r="V112" s="185"/>
    </row>
    <row r="113" spans="1:25" ht="18" hidden="1" customHeight="1">
      <c r="A113" s="168"/>
      <c r="B113" s="5"/>
      <c r="C113" s="47" t="s">
        <v>546</v>
      </c>
      <c r="D113" s="14"/>
      <c r="E113" s="14"/>
      <c r="F113" s="18"/>
      <c r="G113" s="18"/>
      <c r="H113" s="279"/>
      <c r="I113" s="120"/>
      <c r="J113" s="279"/>
      <c r="K113" s="279"/>
      <c r="L113" s="14"/>
      <c r="M113" s="14"/>
      <c r="N113" s="14"/>
      <c r="O113" s="14"/>
      <c r="P113" s="14"/>
      <c r="Q113" s="120" t="s">
        <v>473</v>
      </c>
      <c r="R113" s="102" t="s">
        <v>127</v>
      </c>
      <c r="S113" s="689" t="str">
        <f>J93</f>
        <v>-</v>
      </c>
      <c r="T113" s="689"/>
      <c r="U113" s="14" t="s">
        <v>305</v>
      </c>
      <c r="V113" s="185"/>
    </row>
    <row r="114" spans="1:25" ht="18" hidden="1" customHeight="1">
      <c r="A114" s="168"/>
      <c r="B114" s="5"/>
      <c r="C114" s="47" t="s">
        <v>547</v>
      </c>
      <c r="D114" s="14"/>
      <c r="E114" s="14"/>
      <c r="F114" s="18"/>
      <c r="G114" s="18"/>
      <c r="H114" s="279"/>
      <c r="I114" s="120"/>
      <c r="J114" s="279"/>
      <c r="K114" s="279"/>
      <c r="L114" s="14"/>
      <c r="M114" s="14"/>
      <c r="N114" s="14"/>
      <c r="O114" s="14"/>
      <c r="P114" s="14"/>
      <c r="Q114" s="120" t="s">
        <v>491</v>
      </c>
      <c r="R114" s="102" t="s">
        <v>127</v>
      </c>
      <c r="S114" s="692" t="e">
        <f>P102</f>
        <v>#VALUE!</v>
      </c>
      <c r="T114" s="689"/>
      <c r="U114" s="14" t="s">
        <v>157</v>
      </c>
      <c r="V114" s="185"/>
      <c r="W114" s="279"/>
      <c r="X114" s="279"/>
      <c r="Y114" s="279"/>
    </row>
    <row r="115" spans="1:25" ht="18" hidden="1" customHeight="1">
      <c r="A115" s="168"/>
      <c r="B115" s="5"/>
      <c r="C115" s="47" t="s">
        <v>548</v>
      </c>
      <c r="D115" s="14"/>
      <c r="E115" s="14"/>
      <c r="F115" s="18"/>
      <c r="G115" s="18"/>
      <c r="H115" s="279"/>
      <c r="I115" s="120"/>
      <c r="J115" s="279"/>
      <c r="K115" s="279"/>
      <c r="L115" s="14"/>
      <c r="M115" s="14"/>
      <c r="N115" s="14"/>
      <c r="O115" s="14"/>
      <c r="P115" s="14"/>
      <c r="Q115" s="120" t="s">
        <v>512</v>
      </c>
      <c r="R115" s="102" t="s">
        <v>127</v>
      </c>
      <c r="S115" s="692">
        <f>J102</f>
        <v>1.1750224400000002</v>
      </c>
      <c r="T115" s="689"/>
      <c r="U115" s="14" t="s">
        <v>157</v>
      </c>
      <c r="V115" s="185"/>
      <c r="X115" s="279"/>
      <c r="Y115" s="279"/>
    </row>
    <row r="116" spans="1:25" ht="18" hidden="1" customHeight="1">
      <c r="A116" s="168"/>
      <c r="B116" s="5"/>
      <c r="C116" s="47" t="s">
        <v>549</v>
      </c>
      <c r="D116" s="14"/>
      <c r="E116" s="14"/>
      <c r="F116" s="14"/>
      <c r="G116" s="14"/>
      <c r="H116" s="279"/>
      <c r="I116" s="120"/>
      <c r="J116" s="279"/>
      <c r="K116" s="279"/>
      <c r="L116" s="14"/>
      <c r="M116" s="14"/>
      <c r="N116" s="14"/>
      <c r="O116" s="14"/>
      <c r="P116" s="14"/>
      <c r="Q116" s="120" t="s">
        <v>511</v>
      </c>
      <c r="R116" s="102" t="s">
        <v>127</v>
      </c>
      <c r="S116" s="689">
        <f>O90</f>
        <v>1</v>
      </c>
      <c r="T116" s="689"/>
      <c r="U116" s="14" t="s">
        <v>8</v>
      </c>
      <c r="V116" s="185"/>
      <c r="X116" s="279"/>
      <c r="Y116" s="279"/>
    </row>
    <row r="117" spans="1:25" ht="18" hidden="1" customHeight="1">
      <c r="A117" s="168"/>
      <c r="B117" s="5"/>
      <c r="C117" s="47" t="s">
        <v>550</v>
      </c>
      <c r="D117" s="14"/>
      <c r="E117" s="14"/>
      <c r="F117" s="14"/>
      <c r="G117" s="14"/>
      <c r="H117" s="279"/>
      <c r="I117" s="120"/>
      <c r="J117" s="279"/>
      <c r="K117" s="279"/>
      <c r="L117" s="14"/>
      <c r="M117" s="14"/>
      <c r="N117" s="14"/>
      <c r="O117" s="14"/>
      <c r="P117" s="14"/>
      <c r="Q117" s="120" t="s">
        <v>495</v>
      </c>
      <c r="R117" s="102" t="s">
        <v>127</v>
      </c>
      <c r="S117" s="689">
        <v>20</v>
      </c>
      <c r="T117" s="689"/>
      <c r="U117" s="47"/>
      <c r="V117" s="185"/>
    </row>
    <row r="118" spans="1:25" ht="18" hidden="1" customHeight="1">
      <c r="A118" s="299"/>
      <c r="B118" s="279"/>
      <c r="C118" s="47" t="s">
        <v>492</v>
      </c>
      <c r="D118" s="14"/>
      <c r="E118" s="14"/>
      <c r="F118" s="14"/>
      <c r="G118" s="14"/>
      <c r="H118" s="279"/>
      <c r="I118" s="120"/>
      <c r="J118" s="279"/>
      <c r="K118" s="279"/>
      <c r="L118" s="14"/>
      <c r="M118" s="14"/>
      <c r="N118" s="279"/>
      <c r="O118" s="279"/>
      <c r="P118" s="14"/>
      <c r="Q118" s="120" t="s">
        <v>493</v>
      </c>
      <c r="R118" s="14"/>
      <c r="S118" s="279"/>
      <c r="T118" s="279"/>
      <c r="U118" s="279"/>
      <c r="V118" s="300"/>
      <c r="W118" s="279"/>
      <c r="X118" s="279"/>
      <c r="Y118" s="279"/>
    </row>
    <row r="119" spans="1:25" ht="18" hidden="1" customHeight="1">
      <c r="A119" s="184"/>
      <c r="V119" s="185"/>
    </row>
    <row r="120" spans="1:25" ht="18" hidden="1" customHeight="1">
      <c r="A120" s="184"/>
      <c r="C120" s="120" t="s">
        <v>493</v>
      </c>
      <c r="D120" s="28" t="s">
        <v>127</v>
      </c>
      <c r="E120" s="28" t="s">
        <v>537</v>
      </c>
      <c r="F120" s="221">
        <v>1.3</v>
      </c>
      <c r="G120" s="221" t="s">
        <v>315</v>
      </c>
      <c r="H120" s="805" t="s">
        <v>473</v>
      </c>
      <c r="I120" s="815"/>
      <c r="J120" s="221" t="s">
        <v>315</v>
      </c>
      <c r="K120" s="221" t="s">
        <v>511</v>
      </c>
      <c r="L120" s="221" t="s">
        <v>541</v>
      </c>
      <c r="M120" s="221" t="s">
        <v>495</v>
      </c>
      <c r="N120" s="527" t="s">
        <v>542</v>
      </c>
      <c r="O120" s="542" t="s">
        <v>491</v>
      </c>
      <c r="V120" s="185"/>
    </row>
    <row r="121" spans="1:25" ht="18" hidden="1" customHeight="1">
      <c r="A121" s="184"/>
      <c r="C121" s="120"/>
      <c r="D121" s="27" t="s">
        <v>127</v>
      </c>
      <c r="E121" s="27" t="s">
        <v>537</v>
      </c>
      <c r="F121" s="245">
        <v>1.3</v>
      </c>
      <c r="G121" s="245" t="s">
        <v>315</v>
      </c>
      <c r="H121" s="993" t="str">
        <f>S113</f>
        <v>-</v>
      </c>
      <c r="I121" s="1234"/>
      <c r="J121" s="245" t="s">
        <v>315</v>
      </c>
      <c r="K121" s="245">
        <f>S116</f>
        <v>1</v>
      </c>
      <c r="L121" s="245" t="s">
        <v>541</v>
      </c>
      <c r="M121" s="245">
        <f>S117</f>
        <v>20</v>
      </c>
      <c r="N121" s="461" t="s">
        <v>542</v>
      </c>
      <c r="O121" s="502" t="e">
        <f>S114</f>
        <v>#VALUE!</v>
      </c>
      <c r="V121" s="185"/>
    </row>
    <row r="122" spans="1:25" ht="18" hidden="1" customHeight="1">
      <c r="A122" s="184"/>
      <c r="D122" s="27" t="s">
        <v>127</v>
      </c>
      <c r="E122" s="684" t="e">
        <f>((F121*H121)/(K121*M121))-O121</f>
        <v>#VALUE!</v>
      </c>
      <c r="F122" s="684"/>
      <c r="G122" s="27" t="s">
        <v>157</v>
      </c>
      <c r="V122" s="185"/>
    </row>
    <row r="123" spans="1:25" ht="18" hidden="1" customHeight="1">
      <c r="A123" s="184"/>
      <c r="D123" s="27"/>
      <c r="E123" s="27"/>
      <c r="F123" s="27"/>
      <c r="G123" s="27"/>
      <c r="V123" s="185"/>
    </row>
    <row r="124" spans="1:25" ht="18" hidden="1" customHeight="1">
      <c r="A124" s="184"/>
      <c r="D124" s="27"/>
      <c r="E124" s="27"/>
      <c r="F124" s="27"/>
      <c r="G124" s="27"/>
      <c r="V124" s="185"/>
    </row>
    <row r="125" spans="1:25" ht="18" hidden="1" customHeight="1">
      <c r="A125" s="184"/>
      <c r="D125" s="27"/>
      <c r="E125" s="27"/>
      <c r="F125" s="27"/>
      <c r="G125" s="27"/>
      <c r="V125" s="185"/>
    </row>
    <row r="126" spans="1:25" ht="18" hidden="1" customHeight="1">
      <c r="A126" s="184"/>
      <c r="D126" s="27"/>
      <c r="E126" s="27"/>
      <c r="F126" s="27"/>
      <c r="G126" s="27"/>
      <c r="V126" s="185"/>
    </row>
    <row r="127" spans="1:25" ht="18" hidden="1" customHeight="1">
      <c r="A127" s="184"/>
      <c r="D127" s="27"/>
      <c r="E127" s="27"/>
      <c r="F127" s="27"/>
      <c r="G127" s="27"/>
      <c r="V127" s="185"/>
    </row>
    <row r="128" spans="1:25" ht="18" hidden="1" customHeight="1">
      <c r="A128" s="184"/>
      <c r="V128" s="185"/>
    </row>
    <row r="129" spans="1:22" s="14" customFormat="1" ht="18" hidden="1"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t="s">
        <v>552</v>
      </c>
    </row>
    <row r="130" spans="1:22" ht="18" hidden="1" customHeight="1">
      <c r="A130" s="226"/>
      <c r="B130" s="227"/>
      <c r="C130" s="227"/>
      <c r="D130" s="227"/>
      <c r="E130" s="227"/>
      <c r="F130" s="227"/>
      <c r="G130" s="227"/>
      <c r="H130" s="227"/>
      <c r="I130" s="227"/>
      <c r="J130" s="227"/>
      <c r="K130" s="227"/>
      <c r="L130" s="227"/>
      <c r="M130" s="227"/>
      <c r="N130" s="227"/>
      <c r="O130" s="227"/>
      <c r="P130" s="227"/>
      <c r="Q130" s="227"/>
      <c r="R130" s="227"/>
      <c r="S130" s="227"/>
      <c r="T130" s="227"/>
      <c r="U130" s="227"/>
      <c r="V130" s="228"/>
    </row>
    <row r="131" spans="1:22" ht="18" hidden="1" customHeight="1">
      <c r="A131" s="184"/>
      <c r="E131" s="244" t="s">
        <v>111</v>
      </c>
      <c r="F131" s="27" t="s">
        <v>127</v>
      </c>
      <c r="G131" s="689" t="s">
        <v>544</v>
      </c>
      <c r="H131" s="689"/>
      <c r="I131" s="191" t="s">
        <v>342</v>
      </c>
      <c r="J131" s="684" t="s">
        <v>423</v>
      </c>
      <c r="K131" s="684"/>
      <c r="V131" s="185"/>
    </row>
    <row r="132" spans="1:22" ht="18" hidden="1" customHeight="1">
      <c r="A132" s="184"/>
      <c r="F132" s="27" t="s">
        <v>127</v>
      </c>
      <c r="G132" s="684">
        <f>S111</f>
        <v>50000</v>
      </c>
      <c r="H132" s="684"/>
      <c r="I132" s="191" t="s">
        <v>342</v>
      </c>
      <c r="J132" s="684" t="str">
        <f>S112</f>
        <v>-</v>
      </c>
      <c r="K132" s="684"/>
      <c r="V132" s="185"/>
    </row>
    <row r="133" spans="1:22" ht="18" hidden="1" customHeight="1">
      <c r="A133" s="184"/>
      <c r="F133" s="27" t="s">
        <v>127</v>
      </c>
      <c r="G133" s="795" t="e">
        <f>G132/J132</f>
        <v>#VALUE!</v>
      </c>
      <c r="H133" s="795"/>
      <c r="I133" s="27"/>
      <c r="J133" s="27"/>
      <c r="K133" s="27"/>
      <c r="V133" s="185"/>
    </row>
    <row r="134" spans="1:22" ht="18" hidden="1" customHeight="1">
      <c r="A134" s="184"/>
      <c r="V134" s="185"/>
    </row>
    <row r="135" spans="1:22" ht="18" hidden="1" customHeight="1">
      <c r="A135" s="184"/>
      <c r="E135" s="244" t="s">
        <v>553</v>
      </c>
      <c r="F135" s="27" t="s">
        <v>127</v>
      </c>
      <c r="G135" s="221" t="s">
        <v>495</v>
      </c>
      <c r="H135" s="221" t="s">
        <v>554</v>
      </c>
      <c r="I135" s="542" t="s">
        <v>491</v>
      </c>
      <c r="J135" s="221" t="s">
        <v>347</v>
      </c>
      <c r="K135" s="542" t="s">
        <v>493</v>
      </c>
      <c r="L135" s="221" t="s">
        <v>539</v>
      </c>
      <c r="M135" s="542" t="s">
        <v>491</v>
      </c>
      <c r="N135" s="221" t="s">
        <v>347</v>
      </c>
      <c r="O135" s="542" t="s">
        <v>512</v>
      </c>
      <c r="P135" s="28" t="s">
        <v>350</v>
      </c>
      <c r="V135" s="185"/>
    </row>
    <row r="136" spans="1:22" ht="18" hidden="1" customHeight="1">
      <c r="A136" s="184"/>
      <c r="F136" s="27" t="s">
        <v>127</v>
      </c>
      <c r="G136" s="242">
        <f>S117</f>
        <v>20</v>
      </c>
      <c r="H136" s="245" t="s">
        <v>554</v>
      </c>
      <c r="I136" s="301" t="e">
        <f>S114</f>
        <v>#VALUE!</v>
      </c>
      <c r="J136" s="245" t="s">
        <v>347</v>
      </c>
      <c r="K136" s="301" t="e">
        <f>E122</f>
        <v>#VALUE!</v>
      </c>
      <c r="L136" s="245" t="s">
        <v>539</v>
      </c>
      <c r="M136" s="301" t="e">
        <f>S114</f>
        <v>#VALUE!</v>
      </c>
      <c r="N136" s="245" t="s">
        <v>347</v>
      </c>
      <c r="O136" s="301">
        <f>S115</f>
        <v>1.1750224400000002</v>
      </c>
      <c r="P136" s="27" t="s">
        <v>350</v>
      </c>
      <c r="V136" s="185"/>
    </row>
    <row r="137" spans="1:22" ht="18" hidden="1" customHeight="1">
      <c r="A137" s="184"/>
      <c r="F137" s="27" t="s">
        <v>127</v>
      </c>
      <c r="G137" s="1111" t="e">
        <f>G136*((I136+K136)/(M136+O136))</f>
        <v>#VALUE!</v>
      </c>
      <c r="H137" s="1111"/>
      <c r="I137" s="242"/>
      <c r="J137" s="242"/>
      <c r="K137" s="242"/>
      <c r="L137" s="242"/>
      <c r="M137" s="242"/>
      <c r="N137" s="242"/>
      <c r="O137" s="242"/>
      <c r="V137" s="185"/>
    </row>
    <row r="138" spans="1:22" ht="18" hidden="1" customHeight="1">
      <c r="A138" s="184"/>
      <c r="V138" s="185"/>
    </row>
    <row r="139" spans="1:22" ht="18" hidden="1" customHeight="1">
      <c r="A139" s="184"/>
      <c r="E139" s="244" t="s">
        <v>555</v>
      </c>
      <c r="F139" s="27" t="e">
        <f>IF(D140&gt;G140,"&gt;","&lt;")</f>
        <v>#VALUE!</v>
      </c>
      <c r="G139" s="296" t="s">
        <v>111</v>
      </c>
      <c r="V139" s="185"/>
    </row>
    <row r="140" spans="1:22" ht="18" hidden="1" customHeight="1">
      <c r="A140" s="184"/>
      <c r="D140" s="795" t="e">
        <f>G137</f>
        <v>#VALUE!</v>
      </c>
      <c r="E140" s="795"/>
      <c r="F140" s="27" t="e">
        <f>F139</f>
        <v>#VALUE!</v>
      </c>
      <c r="G140" s="795" t="e">
        <f>G133</f>
        <v>#VALUE!</v>
      </c>
      <c r="H140" s="795"/>
      <c r="V140" s="185"/>
    </row>
    <row r="141" spans="1:22" ht="18" hidden="1" customHeight="1">
      <c r="A141" s="184"/>
      <c r="E141" s="244" t="s">
        <v>478</v>
      </c>
      <c r="G141" s="18" t="e">
        <f>IF(F139="&gt;","Suitably Dimentioned","Under Dimentioned")</f>
        <v>#VALUE!</v>
      </c>
      <c r="V141" s="185"/>
    </row>
    <row r="142" spans="1:22" ht="18" hidden="1" customHeight="1">
      <c r="A142" s="184"/>
      <c r="V142" s="185"/>
    </row>
    <row r="143" spans="1:22" ht="18" hidden="1" customHeight="1">
      <c r="A143" s="184"/>
      <c r="V143" s="185"/>
    </row>
    <row r="144" spans="1:22" ht="18" hidden="1" customHeight="1">
      <c r="A144" s="184"/>
      <c r="V144" s="185"/>
    </row>
    <row r="145" spans="1:22" ht="18" hidden="1" customHeight="1">
      <c r="A145" s="184"/>
      <c r="V145" s="185"/>
    </row>
    <row r="146" spans="1:22" ht="18" hidden="1" customHeight="1">
      <c r="A146" s="184"/>
      <c r="V146" s="185"/>
    </row>
    <row r="147" spans="1:22" ht="18" hidden="1" customHeight="1">
      <c r="A147" s="184"/>
      <c r="V147" s="185"/>
    </row>
    <row r="148" spans="1:22" ht="18" hidden="1" customHeight="1">
      <c r="A148" s="184"/>
      <c r="V148" s="185"/>
    </row>
    <row r="149" spans="1:22" ht="18" hidden="1" customHeight="1">
      <c r="A149" s="184"/>
      <c r="V149" s="185"/>
    </row>
    <row r="150" spans="1:22" ht="18" hidden="1" customHeight="1">
      <c r="A150" s="184"/>
      <c r="V150" s="185"/>
    </row>
    <row r="151" spans="1:22" ht="18" hidden="1" customHeight="1">
      <c r="A151" s="184"/>
      <c r="V151" s="185"/>
    </row>
    <row r="152" spans="1:22" ht="18" hidden="1" customHeight="1">
      <c r="A152" s="184"/>
      <c r="V152" s="185"/>
    </row>
    <row r="153" spans="1:22" ht="18" hidden="1" customHeight="1">
      <c r="A153" s="184"/>
      <c r="V153" s="185"/>
    </row>
    <row r="154" spans="1:22" ht="18" hidden="1" customHeight="1">
      <c r="A154" s="184"/>
      <c r="V154" s="185"/>
    </row>
    <row r="155" spans="1:22" ht="18" hidden="1" customHeight="1">
      <c r="A155" s="184"/>
      <c r="V155" s="185"/>
    </row>
    <row r="156" spans="1:22" ht="18" hidden="1" customHeight="1">
      <c r="A156" s="184"/>
      <c r="V156" s="185"/>
    </row>
    <row r="157" spans="1:22" ht="18" hidden="1" customHeight="1">
      <c r="A157" s="184"/>
      <c r="V157" s="185"/>
    </row>
    <row r="158" spans="1:22" ht="18" hidden="1" customHeight="1">
      <c r="A158" s="184"/>
      <c r="V158" s="185"/>
    </row>
    <row r="159" spans="1:22" ht="18" hidden="1" customHeight="1">
      <c r="A159" s="184"/>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s="14" customFormat="1" ht="18" hidden="1" customHeight="1">
      <c r="A173" s="194"/>
      <c r="B173" s="195"/>
      <c r="C173" s="195"/>
      <c r="D173" s="195"/>
      <c r="E173" s="195"/>
      <c r="F173" s="195"/>
      <c r="G173" s="195"/>
      <c r="H173" s="195"/>
      <c r="I173" s="195"/>
      <c r="J173" s="195"/>
      <c r="K173" s="195"/>
      <c r="L173" s="195"/>
      <c r="M173" s="195"/>
      <c r="N173" s="195"/>
      <c r="O173" s="195"/>
      <c r="P173" s="195"/>
      <c r="Q173" s="224"/>
      <c r="R173" s="182"/>
      <c r="S173" s="225"/>
      <c r="T173" s="195"/>
      <c r="U173" s="195"/>
      <c r="V173" s="134" t="s">
        <v>552</v>
      </c>
    </row>
    <row r="174" spans="1:22" ht="18" hidden="1" customHeight="1">
      <c r="A174" s="226"/>
      <c r="B174" s="227"/>
      <c r="C174" s="227"/>
      <c r="D174" s="227"/>
      <c r="E174" s="227"/>
      <c r="F174" s="227"/>
      <c r="G174" s="227"/>
      <c r="H174" s="227"/>
      <c r="I174" s="227"/>
      <c r="J174" s="227"/>
      <c r="K174" s="227"/>
      <c r="L174" s="227"/>
      <c r="M174" s="227"/>
      <c r="N174" s="227"/>
      <c r="O174" s="227"/>
      <c r="P174" s="227"/>
      <c r="Q174" s="227"/>
      <c r="R174" s="227"/>
      <c r="S174" s="227"/>
      <c r="T174" s="227"/>
      <c r="U174" s="227"/>
      <c r="V174" s="228"/>
    </row>
    <row r="175" spans="1:22" ht="18" hidden="1" customHeight="1">
      <c r="A175" s="184"/>
      <c r="B175" s="854" t="str">
        <f>B87</f>
        <v>T1</v>
      </c>
      <c r="C175" s="831"/>
      <c r="D175" s="855" t="str">
        <f>D87</f>
        <v>Core3</v>
      </c>
      <c r="E175" s="856"/>
      <c r="F175" s="255"/>
      <c r="H175" s="684">
        <f>H87</f>
        <v>0</v>
      </c>
      <c r="I175" s="684"/>
      <c r="J175" s="684"/>
      <c r="K175" s="684"/>
      <c r="L175" s="684"/>
      <c r="M175" s="684"/>
      <c r="P175" s="186"/>
      <c r="S175" s="187" t="s">
        <v>387</v>
      </c>
      <c r="T175" s="1123" t="str">
        <f>T87</f>
        <v>REF650</v>
      </c>
      <c r="U175" s="1124"/>
      <c r="V175" s="185"/>
    </row>
    <row r="176" spans="1:22" ht="18" hidden="1" customHeight="1">
      <c r="A176" s="184"/>
      <c r="B176" s="853">
        <f>B88</f>
        <v>0</v>
      </c>
      <c r="C176" s="853"/>
      <c r="D176" s="857"/>
      <c r="E176" s="858"/>
      <c r="F176" s="255"/>
      <c r="T176" s="1123" t="str">
        <f>T88</f>
        <v>REC670</v>
      </c>
      <c r="U176" s="1124"/>
      <c r="V176" s="185"/>
    </row>
    <row r="177" spans="1:23" ht="18" hidden="1" customHeight="1">
      <c r="A177" s="184"/>
      <c r="H177" s="708" t="s">
        <v>390</v>
      </c>
      <c r="I177" s="708"/>
      <c r="J177" s="708" t="s">
        <v>391</v>
      </c>
      <c r="K177" s="708"/>
      <c r="L177" s="789" t="s">
        <v>392</v>
      </c>
      <c r="M177" s="789"/>
      <c r="T177" s="1123" t="str">
        <f>T89</f>
        <v>IDM+9</v>
      </c>
      <c r="U177" s="1124"/>
      <c r="V177" s="185"/>
    </row>
    <row r="178" spans="1:23" ht="18" hidden="1" customHeight="1">
      <c r="A178" s="184"/>
      <c r="B178" s="47" t="s">
        <v>393</v>
      </c>
      <c r="H178" s="854">
        <f>H90</f>
        <v>2500</v>
      </c>
      <c r="I178" s="831"/>
      <c r="J178" s="854" t="str">
        <f>J90</f>
        <v>-</v>
      </c>
      <c r="K178" s="831"/>
      <c r="L178" s="863" t="str">
        <f>L90</f>
        <v>-</v>
      </c>
      <c r="M178" s="864"/>
      <c r="N178" s="191" t="s">
        <v>342</v>
      </c>
      <c r="O178" s="256">
        <f>O90</f>
        <v>1</v>
      </c>
      <c r="P178" s="27" t="s">
        <v>8</v>
      </c>
      <c r="R178" s="255"/>
      <c r="S178" s="255"/>
      <c r="V178" s="185"/>
    </row>
    <row r="179" spans="1:23" ht="18" hidden="1" customHeight="1">
      <c r="A179" s="184"/>
      <c r="B179" s="47" t="s">
        <v>394</v>
      </c>
      <c r="H179" s="14"/>
      <c r="I179" s="14"/>
      <c r="L179" s="854" t="str">
        <f>J91</f>
        <v>5P20</v>
      </c>
      <c r="M179" s="831"/>
      <c r="V179" s="185"/>
    </row>
    <row r="180" spans="1:23" ht="18" hidden="1" customHeight="1">
      <c r="A180" s="184"/>
      <c r="B180" s="47" t="s">
        <v>396</v>
      </c>
      <c r="K180" s="120" t="s">
        <v>497</v>
      </c>
      <c r="L180" s="1075" t="s">
        <v>6</v>
      </c>
      <c r="M180" s="1076"/>
      <c r="N180" s="192" t="s">
        <v>333</v>
      </c>
      <c r="V180" s="185"/>
    </row>
    <row r="181" spans="1:23" ht="18" hidden="1" customHeight="1">
      <c r="A181" s="184"/>
      <c r="B181" s="47" t="s">
        <v>398</v>
      </c>
      <c r="K181" s="120" t="s">
        <v>498</v>
      </c>
      <c r="L181" s="1075" t="s">
        <v>6</v>
      </c>
      <c r="M181" s="1076"/>
      <c r="N181" s="14" t="s">
        <v>305</v>
      </c>
      <c r="T181" s="295"/>
      <c r="U181" s="18"/>
      <c r="V181" s="185"/>
      <c r="W181" s="30" t="e">
        <f>G229</f>
        <v>#VALUE!</v>
      </c>
    </row>
    <row r="182" spans="1:23" ht="18" hidden="1" customHeight="1">
      <c r="A182" s="184"/>
      <c r="B182" s="14" t="s">
        <v>401</v>
      </c>
      <c r="K182" s="120" t="s">
        <v>402</v>
      </c>
      <c r="L182" s="1075" t="s">
        <v>6</v>
      </c>
      <c r="M182" s="1076"/>
      <c r="N182" s="14" t="s">
        <v>403</v>
      </c>
      <c r="V182" s="185"/>
    </row>
    <row r="183" spans="1:23" ht="18" hidden="1" customHeight="1">
      <c r="A183" s="184"/>
      <c r="V183" s="185"/>
    </row>
    <row r="184" spans="1:23" ht="18" hidden="1" customHeight="1">
      <c r="A184" s="193" t="s">
        <v>404</v>
      </c>
      <c r="V184" s="185"/>
    </row>
    <row r="185" spans="1:23" ht="18" hidden="1" customHeight="1">
      <c r="A185" s="184"/>
      <c r="V185" s="185"/>
    </row>
    <row r="186" spans="1:23" ht="18" hidden="1" customHeight="1">
      <c r="A186" s="184"/>
      <c r="B186" s="135" t="s">
        <v>405</v>
      </c>
      <c r="C186" s="273"/>
      <c r="D186" s="139" t="str">
        <f>T175</f>
        <v>REF650</v>
      </c>
      <c r="E186" s="227"/>
      <c r="F186" s="227"/>
      <c r="G186" s="227"/>
      <c r="H186" s="138"/>
      <c r="I186" s="260" t="s">
        <v>127</v>
      </c>
      <c r="J186" s="722">
        <f>J98</f>
        <v>0.02</v>
      </c>
      <c r="K186" s="958"/>
      <c r="L186" s="3" t="s">
        <v>157</v>
      </c>
      <c r="N186" s="197" t="s">
        <v>510</v>
      </c>
      <c r="V186" s="185"/>
    </row>
    <row r="187" spans="1:23" ht="18" hidden="1" customHeight="1">
      <c r="A187" s="184"/>
      <c r="B187" s="96" t="s">
        <v>405</v>
      </c>
      <c r="D187" s="296" t="str">
        <f>T176</f>
        <v>REC670</v>
      </c>
      <c r="I187" s="177" t="s">
        <v>127</v>
      </c>
      <c r="J187" s="1119">
        <f>J99</f>
        <v>0.02</v>
      </c>
      <c r="K187" s="989"/>
      <c r="L187" s="198" t="s">
        <v>157</v>
      </c>
      <c r="P187" s="244"/>
      <c r="V187" s="185"/>
    </row>
    <row r="188" spans="1:23" ht="18" hidden="1" customHeight="1">
      <c r="A188" s="184"/>
      <c r="B188" s="96" t="s">
        <v>405</v>
      </c>
      <c r="C188" s="14"/>
      <c r="D188" s="47" t="str">
        <f>T177</f>
        <v>IDM+9</v>
      </c>
      <c r="E188" s="14"/>
      <c r="G188" s="199"/>
      <c r="H188" s="27"/>
      <c r="I188" s="101" t="s">
        <v>127</v>
      </c>
      <c r="J188" s="696">
        <f>J100</f>
        <v>5.8000000000000003E-2</v>
      </c>
      <c r="K188" s="820"/>
      <c r="L188" s="202" t="s">
        <v>157</v>
      </c>
      <c r="N188" s="120" t="s">
        <v>491</v>
      </c>
      <c r="O188" s="27" t="s">
        <v>127</v>
      </c>
      <c r="P188" s="27" t="s">
        <v>511</v>
      </c>
      <c r="Q188" s="27" t="s">
        <v>315</v>
      </c>
      <c r="R188" s="27" t="s">
        <v>511</v>
      </c>
      <c r="S188" s="27" t="s">
        <v>315</v>
      </c>
      <c r="T188" s="27" t="s">
        <v>420</v>
      </c>
      <c r="V188" s="185"/>
    </row>
    <row r="189" spans="1:23" ht="18" hidden="1" customHeight="1">
      <c r="A189" s="184"/>
      <c r="B189" s="184" t="s">
        <v>412</v>
      </c>
      <c r="C189" s="14"/>
      <c r="D189" s="14"/>
      <c r="E189" s="14"/>
      <c r="H189" s="27"/>
      <c r="I189" s="101" t="s">
        <v>127</v>
      </c>
      <c r="J189" s="1120">
        <f>J101</f>
        <v>1.0770224400000001</v>
      </c>
      <c r="K189" s="987"/>
      <c r="L189" s="297" t="s">
        <v>157</v>
      </c>
      <c r="O189" s="27" t="s">
        <v>127</v>
      </c>
      <c r="P189" s="27">
        <f>O178</f>
        <v>1</v>
      </c>
      <c r="Q189" s="27" t="s">
        <v>315</v>
      </c>
      <c r="R189" s="27">
        <f>O178</f>
        <v>1</v>
      </c>
      <c r="S189" s="27" t="s">
        <v>315</v>
      </c>
      <c r="T189" s="27" t="str">
        <f>L180</f>
        <v>-</v>
      </c>
      <c r="V189" s="185"/>
    </row>
    <row r="190" spans="1:23" ht="18" hidden="1" customHeight="1">
      <c r="A190" s="184"/>
      <c r="B190" s="1" t="s">
        <v>413</v>
      </c>
      <c r="C190" s="2"/>
      <c r="D190" s="2"/>
      <c r="E190" s="2"/>
      <c r="F190" s="196"/>
      <c r="G190" s="196"/>
      <c r="H190" s="224" t="s">
        <v>512</v>
      </c>
      <c r="I190" s="183" t="s">
        <v>127</v>
      </c>
      <c r="J190" s="722">
        <f>SUM(J186:J189)</f>
        <v>1.1750224400000002</v>
      </c>
      <c r="K190" s="958"/>
      <c r="L190" s="3" t="s">
        <v>157</v>
      </c>
      <c r="O190" s="27" t="s">
        <v>127</v>
      </c>
      <c r="P190" s="795" t="e">
        <f>P189*R189*T189</f>
        <v>#VALUE!</v>
      </c>
      <c r="Q190" s="684"/>
      <c r="R190" s="27" t="s">
        <v>157</v>
      </c>
      <c r="S190" s="27"/>
      <c r="T190" s="27"/>
      <c r="V190" s="185"/>
    </row>
    <row r="191" spans="1:23" ht="18" hidden="1" customHeight="1">
      <c r="A191" s="184"/>
      <c r="B191" s="47"/>
      <c r="C191" s="47"/>
      <c r="D191" s="47"/>
      <c r="E191" s="47"/>
      <c r="H191" s="27"/>
      <c r="I191" s="28"/>
      <c r="J191" s="199"/>
      <c r="L191" s="47"/>
      <c r="O191" s="27"/>
      <c r="P191" s="211"/>
      <c r="Q191" s="27"/>
      <c r="R191" s="204"/>
      <c r="S191" s="27"/>
      <c r="V191" s="185"/>
    </row>
    <row r="192" spans="1:23" ht="18" hidden="1" customHeight="1">
      <c r="A192" s="1206" t="s">
        <v>536</v>
      </c>
      <c r="B192" s="1207"/>
      <c r="C192" s="1207"/>
      <c r="D192" s="1207"/>
      <c r="E192" s="1207"/>
      <c r="F192" s="1207"/>
      <c r="G192" s="1207"/>
      <c r="H192" s="1207"/>
      <c r="I192" s="1207"/>
      <c r="J192" s="1207"/>
      <c r="K192" s="1207"/>
      <c r="L192" s="1207"/>
      <c r="M192" s="1207"/>
      <c r="N192" s="1207"/>
      <c r="O192" s="1207"/>
      <c r="P192" s="1207"/>
      <c r="Q192" s="1207"/>
      <c r="R192" s="1207"/>
      <c r="S192" s="1207"/>
      <c r="T192" s="1207"/>
      <c r="U192" s="1207"/>
      <c r="V192" s="1208"/>
    </row>
    <row r="193" spans="1:25" ht="18" hidden="1" customHeight="1">
      <c r="A193" s="1209"/>
      <c r="B193" s="1207"/>
      <c r="C193" s="1207"/>
      <c r="D193" s="1207"/>
      <c r="E193" s="1207"/>
      <c r="F193" s="1207"/>
      <c r="G193" s="1207"/>
      <c r="H193" s="1207"/>
      <c r="I193" s="1207"/>
      <c r="J193" s="1207"/>
      <c r="K193" s="1207"/>
      <c r="L193" s="1207"/>
      <c r="M193" s="1207"/>
      <c r="N193" s="1207"/>
      <c r="O193" s="1207"/>
      <c r="P193" s="1207"/>
      <c r="Q193" s="1207"/>
      <c r="R193" s="1207"/>
      <c r="S193" s="1207"/>
      <c r="T193" s="1207"/>
      <c r="U193" s="1207"/>
      <c r="V193" s="1208"/>
    </row>
    <row r="194" spans="1:25" ht="18" hidden="1" customHeight="1">
      <c r="A194" s="184"/>
      <c r="Q194" s="211"/>
      <c r="R194" s="192"/>
      <c r="V194" s="185"/>
    </row>
    <row r="195" spans="1:25" ht="18" hidden="1" customHeight="1">
      <c r="A195" s="184"/>
      <c r="C195" s="27" t="s">
        <v>473</v>
      </c>
      <c r="D195" s="27" t="s">
        <v>127</v>
      </c>
      <c r="E195" s="27" t="s">
        <v>537</v>
      </c>
      <c r="F195" s="120" t="s">
        <v>493</v>
      </c>
      <c r="G195" s="28" t="s">
        <v>347</v>
      </c>
      <c r="H195" s="120" t="s">
        <v>491</v>
      </c>
      <c r="I195" s="28" t="s">
        <v>538</v>
      </c>
      <c r="J195" s="28" t="s">
        <v>495</v>
      </c>
      <c r="K195" s="28" t="s">
        <v>539</v>
      </c>
      <c r="L195" s="28" t="s">
        <v>511</v>
      </c>
      <c r="M195" s="28" t="s">
        <v>315</v>
      </c>
      <c r="N195" s="28">
        <v>1.3</v>
      </c>
      <c r="O195" s="47" t="s">
        <v>350</v>
      </c>
      <c r="V195" s="185"/>
    </row>
    <row r="196" spans="1:25" ht="18" hidden="1" customHeight="1">
      <c r="A196" s="184" t="s">
        <v>540</v>
      </c>
      <c r="C196" s="27"/>
      <c r="D196" s="27"/>
      <c r="V196" s="185"/>
    </row>
    <row r="197" spans="1:25" ht="18" hidden="1" customHeight="1">
      <c r="A197" s="184"/>
      <c r="C197" s="28" t="s">
        <v>493</v>
      </c>
      <c r="D197" s="28" t="s">
        <v>127</v>
      </c>
      <c r="E197" s="28" t="s">
        <v>537</v>
      </c>
      <c r="F197" s="28">
        <v>1.3</v>
      </c>
      <c r="G197" s="28" t="s">
        <v>315</v>
      </c>
      <c r="H197" s="689" t="s">
        <v>473</v>
      </c>
      <c r="I197" s="716"/>
      <c r="J197" s="28" t="s">
        <v>315</v>
      </c>
      <c r="K197" s="28" t="s">
        <v>511</v>
      </c>
      <c r="L197" s="28" t="s">
        <v>541</v>
      </c>
      <c r="M197" s="28" t="s">
        <v>495</v>
      </c>
      <c r="N197" s="47" t="s">
        <v>542</v>
      </c>
      <c r="O197" s="120" t="s">
        <v>491</v>
      </c>
      <c r="V197" s="185"/>
    </row>
    <row r="198" spans="1:25" ht="18" hidden="1" customHeight="1">
      <c r="A198" s="184"/>
      <c r="V198" s="185"/>
    </row>
    <row r="199" spans="1:25" ht="18" hidden="1" customHeight="1">
      <c r="A199" s="168"/>
      <c r="B199" s="5"/>
      <c r="C199" s="47" t="s">
        <v>543</v>
      </c>
      <c r="D199" s="14"/>
      <c r="E199" s="14"/>
      <c r="F199" s="14"/>
      <c r="G199" s="14"/>
      <c r="H199" s="279"/>
      <c r="I199" s="120"/>
      <c r="J199" s="279"/>
      <c r="K199" s="279"/>
      <c r="L199" s="14"/>
      <c r="M199" s="14"/>
      <c r="N199" s="14"/>
      <c r="O199" s="14"/>
      <c r="P199" s="14"/>
      <c r="Q199" s="120" t="s">
        <v>544</v>
      </c>
      <c r="R199" s="102" t="s">
        <v>127</v>
      </c>
      <c r="S199" s="689">
        <f>S111</f>
        <v>50000</v>
      </c>
      <c r="T199" s="689"/>
      <c r="U199" s="47" t="s">
        <v>8</v>
      </c>
      <c r="V199" s="185"/>
    </row>
    <row r="200" spans="1:25" ht="18" hidden="1" customHeight="1">
      <c r="A200" s="168"/>
      <c r="B200" s="5"/>
      <c r="C200" s="47" t="s">
        <v>545</v>
      </c>
      <c r="D200" s="14"/>
      <c r="E200" s="14"/>
      <c r="F200" s="18"/>
      <c r="G200" s="18"/>
      <c r="H200" s="279"/>
      <c r="I200" s="120"/>
      <c r="J200" s="279"/>
      <c r="K200" s="279"/>
      <c r="L200" s="14"/>
      <c r="M200" s="14"/>
      <c r="N200" s="14"/>
      <c r="O200" s="14"/>
      <c r="P200" s="14"/>
      <c r="Q200" s="120" t="s">
        <v>423</v>
      </c>
      <c r="R200" s="102" t="s">
        <v>127</v>
      </c>
      <c r="S200" s="689" t="str">
        <f>L178</f>
        <v>-</v>
      </c>
      <c r="T200" s="689"/>
      <c r="U200" s="14" t="s">
        <v>8</v>
      </c>
      <c r="V200" s="185"/>
    </row>
    <row r="201" spans="1:25" ht="18" hidden="1" customHeight="1">
      <c r="A201" s="168"/>
      <c r="B201" s="5"/>
      <c r="C201" s="47" t="s">
        <v>546</v>
      </c>
      <c r="D201" s="14"/>
      <c r="E201" s="14"/>
      <c r="F201" s="18"/>
      <c r="G201" s="18"/>
      <c r="H201" s="279"/>
      <c r="I201" s="120"/>
      <c r="J201" s="279"/>
      <c r="K201" s="279"/>
      <c r="L201" s="14"/>
      <c r="M201" s="14"/>
      <c r="N201" s="14"/>
      <c r="O201" s="14"/>
      <c r="P201" s="14"/>
      <c r="Q201" s="120" t="s">
        <v>473</v>
      </c>
      <c r="R201" s="102" t="s">
        <v>127</v>
      </c>
      <c r="S201" s="689" t="str">
        <f>L181</f>
        <v>-</v>
      </c>
      <c r="T201" s="689"/>
      <c r="U201" s="14" t="s">
        <v>305</v>
      </c>
      <c r="V201" s="185"/>
    </row>
    <row r="202" spans="1:25" ht="18" hidden="1" customHeight="1">
      <c r="A202" s="168"/>
      <c r="B202" s="5"/>
      <c r="C202" s="47" t="s">
        <v>547</v>
      </c>
      <c r="D202" s="14"/>
      <c r="E202" s="14"/>
      <c r="F202" s="18"/>
      <c r="G202" s="18"/>
      <c r="H202" s="279"/>
      <c r="I202" s="120"/>
      <c r="J202" s="279"/>
      <c r="K202" s="279"/>
      <c r="L202" s="14"/>
      <c r="M202" s="14"/>
      <c r="N202" s="14"/>
      <c r="O202" s="14"/>
      <c r="P202" s="14"/>
      <c r="Q202" s="120" t="s">
        <v>491</v>
      </c>
      <c r="R202" s="102" t="s">
        <v>127</v>
      </c>
      <c r="S202" s="692" t="e">
        <f>P190</f>
        <v>#VALUE!</v>
      </c>
      <c r="T202" s="689"/>
      <c r="U202" s="14" t="s">
        <v>157</v>
      </c>
      <c r="V202" s="185"/>
      <c r="W202" s="279"/>
      <c r="X202" s="279"/>
      <c r="Y202" s="279"/>
    </row>
    <row r="203" spans="1:25" ht="18" hidden="1" customHeight="1">
      <c r="A203" s="168"/>
      <c r="B203" s="5"/>
      <c r="C203" s="47" t="s">
        <v>548</v>
      </c>
      <c r="D203" s="14"/>
      <c r="E203" s="14"/>
      <c r="F203" s="18"/>
      <c r="G203" s="18"/>
      <c r="H203" s="279"/>
      <c r="I203" s="120"/>
      <c r="J203" s="279"/>
      <c r="K203" s="279"/>
      <c r="L203" s="14"/>
      <c r="M203" s="14"/>
      <c r="N203" s="14"/>
      <c r="O203" s="14"/>
      <c r="P203" s="14"/>
      <c r="Q203" s="120" t="s">
        <v>512</v>
      </c>
      <c r="R203" s="102" t="s">
        <v>127</v>
      </c>
      <c r="S203" s="692">
        <f>J190</f>
        <v>1.1750224400000002</v>
      </c>
      <c r="T203" s="689"/>
      <c r="U203" s="14" t="s">
        <v>157</v>
      </c>
      <c r="V203" s="185"/>
      <c r="X203" s="279"/>
      <c r="Y203" s="279"/>
    </row>
    <row r="204" spans="1:25" ht="18" hidden="1" customHeight="1">
      <c r="A204" s="168"/>
      <c r="B204" s="5"/>
      <c r="C204" s="47" t="s">
        <v>549</v>
      </c>
      <c r="D204" s="14"/>
      <c r="E204" s="14"/>
      <c r="F204" s="14"/>
      <c r="G204" s="14"/>
      <c r="H204" s="279"/>
      <c r="I204" s="120"/>
      <c r="J204" s="279"/>
      <c r="K204" s="279"/>
      <c r="L204" s="14"/>
      <c r="M204" s="14"/>
      <c r="N204" s="14"/>
      <c r="O204" s="14"/>
      <c r="P204" s="14"/>
      <c r="Q204" s="120" t="s">
        <v>511</v>
      </c>
      <c r="R204" s="102" t="s">
        <v>127</v>
      </c>
      <c r="S204" s="689">
        <f>O178</f>
        <v>1</v>
      </c>
      <c r="T204" s="689"/>
      <c r="U204" s="14" t="s">
        <v>8</v>
      </c>
      <c r="V204" s="185"/>
      <c r="X204" s="279"/>
      <c r="Y204" s="279"/>
    </row>
    <row r="205" spans="1:25" ht="18" hidden="1" customHeight="1">
      <c r="A205" s="168"/>
      <c r="B205" s="5"/>
      <c r="C205" s="47" t="s">
        <v>550</v>
      </c>
      <c r="D205" s="14"/>
      <c r="E205" s="14"/>
      <c r="F205" s="14"/>
      <c r="G205" s="14"/>
      <c r="H205" s="279"/>
      <c r="I205" s="120"/>
      <c r="J205" s="279"/>
      <c r="K205" s="279"/>
      <c r="L205" s="14"/>
      <c r="M205" s="14"/>
      <c r="N205" s="14"/>
      <c r="O205" s="14"/>
      <c r="P205" s="14"/>
      <c r="Q205" s="120" t="s">
        <v>495</v>
      </c>
      <c r="R205" s="102" t="s">
        <v>127</v>
      </c>
      <c r="S205" s="689">
        <v>20</v>
      </c>
      <c r="T205" s="689"/>
      <c r="U205" s="47"/>
      <c r="V205" s="185"/>
    </row>
    <row r="206" spans="1:25" ht="18" hidden="1" customHeight="1">
      <c r="A206" s="299"/>
      <c r="B206" s="279"/>
      <c r="C206" s="47" t="s">
        <v>492</v>
      </c>
      <c r="D206" s="14"/>
      <c r="E206" s="14"/>
      <c r="F206" s="14"/>
      <c r="G206" s="14"/>
      <c r="H206" s="279"/>
      <c r="I206" s="120"/>
      <c r="J206" s="279"/>
      <c r="K206" s="279"/>
      <c r="L206" s="14"/>
      <c r="M206" s="14"/>
      <c r="N206" s="279"/>
      <c r="O206" s="279"/>
      <c r="P206" s="14"/>
      <c r="Q206" s="120" t="s">
        <v>493</v>
      </c>
      <c r="R206" s="14"/>
      <c r="S206" s="279"/>
      <c r="T206" s="279"/>
      <c r="U206" s="279"/>
      <c r="V206" s="300"/>
      <c r="W206" s="279"/>
      <c r="X206" s="279"/>
      <c r="Y206" s="279"/>
    </row>
    <row r="207" spans="1:25" ht="18" hidden="1" customHeight="1">
      <c r="A207" s="184"/>
      <c r="V207" s="185"/>
    </row>
    <row r="208" spans="1:25" ht="18" hidden="1" customHeight="1">
      <c r="A208" s="184"/>
      <c r="C208" s="120" t="s">
        <v>493</v>
      </c>
      <c r="D208" s="28" t="s">
        <v>127</v>
      </c>
      <c r="E208" s="28" t="s">
        <v>537</v>
      </c>
      <c r="F208" s="221">
        <v>1.3</v>
      </c>
      <c r="G208" s="221" t="s">
        <v>315</v>
      </c>
      <c r="H208" s="805" t="s">
        <v>473</v>
      </c>
      <c r="I208" s="815"/>
      <c r="J208" s="221" t="s">
        <v>315</v>
      </c>
      <c r="K208" s="221" t="s">
        <v>511</v>
      </c>
      <c r="L208" s="221" t="s">
        <v>541</v>
      </c>
      <c r="M208" s="221" t="s">
        <v>495</v>
      </c>
      <c r="N208" s="527" t="s">
        <v>542</v>
      </c>
      <c r="O208" s="542" t="s">
        <v>491</v>
      </c>
      <c r="V208" s="185"/>
    </row>
    <row r="209" spans="1:22" ht="18" hidden="1" customHeight="1">
      <c r="A209" s="184"/>
      <c r="C209" s="120"/>
      <c r="D209" s="27" t="s">
        <v>127</v>
      </c>
      <c r="E209" s="27" t="s">
        <v>537</v>
      </c>
      <c r="F209" s="245">
        <v>1.3</v>
      </c>
      <c r="G209" s="245" t="s">
        <v>315</v>
      </c>
      <c r="H209" s="993" t="str">
        <f>S201</f>
        <v>-</v>
      </c>
      <c r="I209" s="1234"/>
      <c r="J209" s="245" t="s">
        <v>315</v>
      </c>
      <c r="K209" s="245">
        <f>S204</f>
        <v>1</v>
      </c>
      <c r="L209" s="245" t="s">
        <v>541</v>
      </c>
      <c r="M209" s="245">
        <f>S205</f>
        <v>20</v>
      </c>
      <c r="N209" s="461" t="s">
        <v>542</v>
      </c>
      <c r="O209" s="502" t="e">
        <f>S202</f>
        <v>#VALUE!</v>
      </c>
      <c r="V209" s="185"/>
    </row>
    <row r="210" spans="1:22" ht="18" hidden="1" customHeight="1">
      <c r="A210" s="184"/>
      <c r="D210" s="27" t="s">
        <v>127</v>
      </c>
      <c r="E210" s="684" t="e">
        <f>((F209*H209)/(K209*M209))-O209</f>
        <v>#VALUE!</v>
      </c>
      <c r="F210" s="684"/>
      <c r="G210" s="27" t="s">
        <v>157</v>
      </c>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D213" s="27"/>
      <c r="E213" s="27"/>
      <c r="F213" s="27"/>
      <c r="G213" s="27"/>
      <c r="V213" s="185"/>
    </row>
    <row r="214" spans="1:22" ht="18" hidden="1" customHeight="1">
      <c r="A214" s="184"/>
      <c r="D214" s="27"/>
      <c r="E214" s="27"/>
      <c r="F214" s="27"/>
      <c r="G214" s="27"/>
      <c r="V214" s="185"/>
    </row>
    <row r="215" spans="1:22" ht="18" hidden="1" customHeight="1">
      <c r="A215" s="184"/>
      <c r="D215" s="27"/>
      <c r="E215" s="27"/>
      <c r="F215" s="27"/>
      <c r="G215" s="27"/>
      <c r="V215" s="185"/>
    </row>
    <row r="216" spans="1:22" ht="18" hidden="1" customHeight="1">
      <c r="A216" s="184"/>
      <c r="V216" s="185"/>
    </row>
    <row r="217" spans="1:22" s="14" customFormat="1" ht="18" hidden="1" customHeight="1">
      <c r="A217" s="194"/>
      <c r="B217" s="195"/>
      <c r="C217" s="195"/>
      <c r="D217" s="195"/>
      <c r="E217" s="195"/>
      <c r="F217" s="195"/>
      <c r="G217" s="195"/>
      <c r="H217" s="195"/>
      <c r="I217" s="195"/>
      <c r="J217" s="195"/>
      <c r="K217" s="195"/>
      <c r="L217" s="195"/>
      <c r="M217" s="195"/>
      <c r="N217" s="195"/>
      <c r="O217" s="195"/>
      <c r="P217" s="195"/>
      <c r="Q217" s="224"/>
      <c r="R217" s="182"/>
      <c r="S217" s="225"/>
      <c r="T217" s="195"/>
      <c r="U217" s="195"/>
      <c r="V217" s="134" t="s">
        <v>552</v>
      </c>
    </row>
    <row r="218" spans="1:22" ht="18" hidden="1" customHeight="1">
      <c r="A218" s="226"/>
      <c r="B218" s="227"/>
      <c r="C218" s="227"/>
      <c r="D218" s="227"/>
      <c r="E218" s="227"/>
      <c r="F218" s="227"/>
      <c r="G218" s="227"/>
      <c r="H218" s="227"/>
      <c r="I218" s="227"/>
      <c r="J218" s="227"/>
      <c r="K218" s="227"/>
      <c r="L218" s="227"/>
      <c r="M218" s="227"/>
      <c r="N218" s="227"/>
      <c r="O218" s="227"/>
      <c r="P218" s="227"/>
      <c r="Q218" s="227"/>
      <c r="R218" s="227"/>
      <c r="S218" s="227"/>
      <c r="T218" s="227"/>
      <c r="U218" s="227"/>
      <c r="V218" s="228"/>
    </row>
    <row r="219" spans="1:22" ht="18" hidden="1" customHeight="1">
      <c r="A219" s="184"/>
      <c r="E219" s="244" t="s">
        <v>111</v>
      </c>
      <c r="F219" s="27" t="s">
        <v>127</v>
      </c>
      <c r="G219" s="689" t="s">
        <v>544</v>
      </c>
      <c r="H219" s="689"/>
      <c r="I219" s="191" t="s">
        <v>342</v>
      </c>
      <c r="J219" s="684" t="s">
        <v>423</v>
      </c>
      <c r="K219" s="684"/>
      <c r="V219" s="185"/>
    </row>
    <row r="220" spans="1:22" ht="18" hidden="1" customHeight="1">
      <c r="A220" s="184"/>
      <c r="F220" s="27" t="s">
        <v>127</v>
      </c>
      <c r="G220" s="684">
        <f>S199</f>
        <v>50000</v>
      </c>
      <c r="H220" s="684"/>
      <c r="I220" s="191" t="s">
        <v>342</v>
      </c>
      <c r="J220" s="684" t="str">
        <f>S200</f>
        <v>-</v>
      </c>
      <c r="K220" s="684"/>
      <c r="V220" s="185"/>
    </row>
    <row r="221" spans="1:22" ht="18" hidden="1" customHeight="1">
      <c r="A221" s="184"/>
      <c r="F221" s="27" t="s">
        <v>127</v>
      </c>
      <c r="G221" s="795" t="e">
        <f>G220/J220</f>
        <v>#VALUE!</v>
      </c>
      <c r="H221" s="795"/>
      <c r="I221" s="27"/>
      <c r="J221" s="27"/>
      <c r="K221" s="27"/>
      <c r="V221" s="185"/>
    </row>
    <row r="222" spans="1:22" ht="18" hidden="1" customHeight="1">
      <c r="A222" s="184"/>
      <c r="V222" s="185"/>
    </row>
    <row r="223" spans="1:22" ht="18" hidden="1" customHeight="1">
      <c r="A223" s="184"/>
      <c r="E223" s="244" t="s">
        <v>553</v>
      </c>
      <c r="F223" s="27" t="s">
        <v>127</v>
      </c>
      <c r="G223" s="221" t="s">
        <v>495</v>
      </c>
      <c r="H223" s="221" t="s">
        <v>554</v>
      </c>
      <c r="I223" s="542" t="s">
        <v>491</v>
      </c>
      <c r="J223" s="221" t="s">
        <v>347</v>
      </c>
      <c r="K223" s="542" t="s">
        <v>493</v>
      </c>
      <c r="L223" s="221" t="s">
        <v>539</v>
      </c>
      <c r="M223" s="542" t="s">
        <v>491</v>
      </c>
      <c r="N223" s="221" t="s">
        <v>347</v>
      </c>
      <c r="O223" s="542" t="s">
        <v>512</v>
      </c>
      <c r="P223" s="28" t="s">
        <v>350</v>
      </c>
      <c r="V223" s="185"/>
    </row>
    <row r="224" spans="1:22" ht="18" hidden="1" customHeight="1">
      <c r="A224" s="184"/>
      <c r="F224" s="27" t="s">
        <v>127</v>
      </c>
      <c r="G224" s="242">
        <f>S205</f>
        <v>20</v>
      </c>
      <c r="H224" s="245" t="s">
        <v>554</v>
      </c>
      <c r="I224" s="301" t="e">
        <f>S202</f>
        <v>#VALUE!</v>
      </c>
      <c r="J224" s="245" t="s">
        <v>347</v>
      </c>
      <c r="K224" s="301" t="e">
        <f>E210</f>
        <v>#VALUE!</v>
      </c>
      <c r="L224" s="245" t="s">
        <v>539</v>
      </c>
      <c r="M224" s="301" t="e">
        <f>S202</f>
        <v>#VALUE!</v>
      </c>
      <c r="N224" s="245" t="s">
        <v>347</v>
      </c>
      <c r="O224" s="301">
        <f>S203</f>
        <v>1.1750224400000002</v>
      </c>
      <c r="P224" s="27" t="s">
        <v>350</v>
      </c>
      <c r="V224" s="185"/>
    </row>
    <row r="225" spans="1:22" ht="18" hidden="1" customHeight="1">
      <c r="A225" s="184"/>
      <c r="F225" s="27" t="s">
        <v>127</v>
      </c>
      <c r="G225" s="1111" t="e">
        <f>G224*((I224+K224)/(M224+O224))</f>
        <v>#VALUE!</v>
      </c>
      <c r="H225" s="1111"/>
      <c r="I225" s="242"/>
      <c r="J225" s="242"/>
      <c r="K225" s="242"/>
      <c r="L225" s="242"/>
      <c r="M225" s="242"/>
      <c r="N225" s="242"/>
      <c r="O225" s="242"/>
      <c r="V225" s="185"/>
    </row>
    <row r="226" spans="1:22" ht="18" hidden="1" customHeight="1">
      <c r="A226" s="184"/>
      <c r="V226" s="185"/>
    </row>
    <row r="227" spans="1:22" ht="18" hidden="1" customHeight="1">
      <c r="A227" s="184"/>
      <c r="E227" s="244" t="s">
        <v>555</v>
      </c>
      <c r="F227" s="27" t="e">
        <f>IF(D228&gt;G228,"&gt;","&lt;")</f>
        <v>#VALUE!</v>
      </c>
      <c r="G227" s="296" t="s">
        <v>111</v>
      </c>
      <c r="V227" s="185"/>
    </row>
    <row r="228" spans="1:22" ht="18" hidden="1" customHeight="1">
      <c r="A228" s="184"/>
      <c r="D228" s="795" t="e">
        <f>G225</f>
        <v>#VALUE!</v>
      </c>
      <c r="E228" s="795"/>
      <c r="F228" s="27" t="e">
        <f>F227</f>
        <v>#VALUE!</v>
      </c>
      <c r="G228" s="795" t="e">
        <f>G221</f>
        <v>#VALUE!</v>
      </c>
      <c r="H228" s="795"/>
      <c r="V228" s="185"/>
    </row>
    <row r="229" spans="1:22" ht="18" hidden="1" customHeight="1">
      <c r="A229" s="184"/>
      <c r="E229" s="244" t="s">
        <v>478</v>
      </c>
      <c r="G229" s="18" t="e">
        <f>IF(F227="&gt;","Suitably Dimentioned","Under Dimentioned")</f>
        <v>#VALUE!</v>
      </c>
      <c r="V229" s="185"/>
    </row>
    <row r="230" spans="1:22" ht="18" hidden="1" customHeight="1">
      <c r="A230" s="184"/>
      <c r="V230" s="185"/>
    </row>
    <row r="231" spans="1:22" ht="18" hidden="1" customHeight="1">
      <c r="A231" s="184"/>
      <c r="V231" s="185"/>
    </row>
    <row r="232" spans="1:22" ht="18" hidden="1" customHeight="1">
      <c r="A232" s="184"/>
      <c r="V232" s="185"/>
    </row>
    <row r="233" spans="1:22" ht="18" hidden="1" customHeight="1">
      <c r="A233" s="184"/>
      <c r="V233" s="185"/>
    </row>
    <row r="234" spans="1:22" ht="18" hidden="1" customHeight="1">
      <c r="A234" s="184"/>
      <c r="V234" s="185"/>
    </row>
    <row r="235" spans="1:22" ht="18" hidden="1" customHeight="1">
      <c r="A235" s="184"/>
      <c r="V235" s="185"/>
    </row>
    <row r="236" spans="1:22" ht="18" hidden="1" customHeight="1">
      <c r="A236" s="184"/>
      <c r="V236" s="185"/>
    </row>
    <row r="237" spans="1:22" ht="18" hidden="1" customHeight="1">
      <c r="A237" s="184"/>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44" ht="18" hidden="1" customHeight="1">
      <c r="A257" s="184"/>
      <c r="V257" s="185"/>
    </row>
    <row r="258" spans="1:44" ht="18" hidden="1" customHeight="1">
      <c r="A258" s="184"/>
      <c r="V258" s="185"/>
    </row>
    <row r="259" spans="1:44" ht="18" hidden="1" customHeight="1">
      <c r="A259" s="184"/>
      <c r="V259" s="185"/>
    </row>
    <row r="260" spans="1:44" ht="18" hidden="1" customHeight="1">
      <c r="A260" s="184"/>
      <c r="V260" s="185"/>
    </row>
    <row r="261" spans="1:44" s="14" customFormat="1" ht="18" hidden="1" customHeight="1">
      <c r="A261" s="194"/>
      <c r="B261" s="195"/>
      <c r="C261" s="195"/>
      <c r="D261" s="195"/>
      <c r="E261" s="195"/>
      <c r="F261" s="195"/>
      <c r="G261" s="195"/>
      <c r="H261" s="195"/>
      <c r="I261" s="195"/>
      <c r="J261" s="195"/>
      <c r="K261" s="195"/>
      <c r="L261" s="195"/>
      <c r="M261" s="195"/>
      <c r="N261" s="195"/>
      <c r="O261" s="195"/>
      <c r="P261" s="195"/>
      <c r="Q261" s="224"/>
      <c r="R261" s="182"/>
      <c r="S261" s="225"/>
      <c r="T261" s="195"/>
      <c r="U261" s="195"/>
      <c r="V261" s="134" t="s">
        <v>552</v>
      </c>
    </row>
    <row r="262" spans="1:44" ht="18" customHeight="1">
      <c r="A262" s="226"/>
      <c r="B262" s="227"/>
      <c r="C262" s="227"/>
      <c r="D262" s="227"/>
      <c r="E262" s="227"/>
      <c r="F262" s="227"/>
      <c r="G262" s="227"/>
      <c r="H262" s="227"/>
      <c r="I262" s="227"/>
      <c r="J262" s="227"/>
      <c r="K262" s="227"/>
      <c r="L262" s="227"/>
      <c r="M262" s="227"/>
      <c r="N262" s="227"/>
      <c r="O262" s="227"/>
      <c r="P262" s="227"/>
      <c r="Q262" s="227"/>
      <c r="R262" s="227"/>
      <c r="S262" s="227"/>
      <c r="T262" s="227"/>
      <c r="U262" s="227"/>
      <c r="V262" s="228"/>
    </row>
    <row r="263" spans="1:44" ht="18" customHeight="1">
      <c r="A263" s="262" t="s">
        <v>501</v>
      </c>
      <c r="B263" s="14"/>
      <c r="C263" s="14"/>
      <c r="D263" s="120"/>
      <c r="E263" s="120"/>
      <c r="F263" s="18"/>
      <c r="G263" s="18"/>
      <c r="H263" s="14"/>
      <c r="I263" s="14"/>
      <c r="J263" s="14"/>
      <c r="V263" s="185"/>
    </row>
    <row r="264" spans="1:44" ht="45" customHeight="1">
      <c r="A264" s="868" t="s">
        <v>85</v>
      </c>
      <c r="B264" s="868"/>
      <c r="C264" s="869"/>
      <c r="D264" s="868" t="s">
        <v>86</v>
      </c>
      <c r="E264" s="868"/>
      <c r="F264" s="868"/>
      <c r="G264" s="868" t="s">
        <v>87</v>
      </c>
      <c r="H264" s="868"/>
      <c r="I264" s="868" t="s">
        <v>88</v>
      </c>
      <c r="J264" s="868"/>
      <c r="K264" s="955" t="s">
        <v>89</v>
      </c>
      <c r="L264" s="957"/>
      <c r="M264" s="955" t="s">
        <v>90</v>
      </c>
      <c r="N264" s="957"/>
      <c r="O264" s="955" t="s">
        <v>91</v>
      </c>
      <c r="P264" s="957"/>
      <c r="Q264" s="955" t="s">
        <v>92</v>
      </c>
      <c r="R264" s="957"/>
      <c r="S264" s="868" t="s">
        <v>93</v>
      </c>
      <c r="T264" s="868"/>
      <c r="U264" s="868"/>
      <c r="V264" s="868"/>
    </row>
    <row r="265" spans="1:44" ht="18" customHeight="1">
      <c r="A265" s="869" t="str">
        <f>B7</f>
        <v>T1</v>
      </c>
      <c r="B265" s="765" t="str">
        <f>D7</f>
        <v>Core3</v>
      </c>
      <c r="C265" s="765"/>
      <c r="D265" s="870">
        <f>H10</f>
        <v>2500</v>
      </c>
      <c r="E265" s="870"/>
      <c r="F265" s="871">
        <f>O10</f>
        <v>1</v>
      </c>
      <c r="G265" s="870">
        <f>'CT-VT Burdens'!S21</f>
        <v>120</v>
      </c>
      <c r="H265" s="874">
        <f>'CT-VT Burdens'!S10</f>
        <v>6</v>
      </c>
      <c r="I265" s="874" t="str">
        <f>H11</f>
        <v>5P20</v>
      </c>
      <c r="J265" s="874"/>
      <c r="K265" s="869">
        <f>H12</f>
        <v>5</v>
      </c>
      <c r="L265" s="869"/>
      <c r="M265" s="875" t="s">
        <v>6</v>
      </c>
      <c r="N265" s="869"/>
      <c r="O265" s="876" t="s">
        <v>6</v>
      </c>
      <c r="P265" s="870"/>
      <c r="Q265" s="879" t="str">
        <f>IF(T8="",T7,IF(T9="",T7&amp;" "&amp;T8,T7&amp;" "&amp;T8&amp;" "&amp;T9))</f>
        <v>REF650 REC670 IDM+9</v>
      </c>
      <c r="R265" s="879"/>
      <c r="S265" s="878" t="str">
        <f>G57</f>
        <v>Suitably Dimentioned</v>
      </c>
      <c r="T265" s="878"/>
      <c r="U265" s="878"/>
      <c r="V265" s="878"/>
    </row>
    <row r="266" spans="1:44" ht="18" customHeight="1">
      <c r="A266" s="869"/>
      <c r="B266" s="765"/>
      <c r="C266" s="765"/>
      <c r="D266" s="870" t="str">
        <f>J10</f>
        <v>-</v>
      </c>
      <c r="E266" s="870"/>
      <c r="F266" s="872"/>
      <c r="G266" s="870"/>
      <c r="H266" s="870"/>
      <c r="I266" s="874"/>
      <c r="J266" s="874"/>
      <c r="K266" s="875" t="s">
        <v>6</v>
      </c>
      <c r="L266" s="869"/>
      <c r="M266" s="875" t="s">
        <v>6</v>
      </c>
      <c r="N266" s="869"/>
      <c r="O266" s="876" t="s">
        <v>6</v>
      </c>
      <c r="P266" s="870"/>
      <c r="Q266" s="879"/>
      <c r="R266" s="879"/>
      <c r="S266" s="877" t="s">
        <v>6</v>
      </c>
      <c r="T266" s="878"/>
      <c r="U266" s="878"/>
      <c r="V266" s="878"/>
    </row>
    <row r="267" spans="1:44" ht="18" customHeight="1">
      <c r="A267" s="869"/>
      <c r="B267" s="765"/>
      <c r="C267" s="765"/>
      <c r="D267" s="870" t="str">
        <f>L10</f>
        <v>-</v>
      </c>
      <c r="E267" s="870"/>
      <c r="F267" s="873"/>
      <c r="G267" s="870"/>
      <c r="H267" s="870"/>
      <c r="I267" s="874"/>
      <c r="J267" s="874"/>
      <c r="K267" s="875" t="s">
        <v>6</v>
      </c>
      <c r="L267" s="869"/>
      <c r="M267" s="875" t="s">
        <v>6</v>
      </c>
      <c r="N267" s="869"/>
      <c r="O267" s="876" t="s">
        <v>6</v>
      </c>
      <c r="P267" s="870"/>
      <c r="Q267" s="879"/>
      <c r="R267" s="879"/>
      <c r="S267" s="877" t="s">
        <v>6</v>
      </c>
      <c r="T267" s="878"/>
      <c r="U267" s="878"/>
      <c r="V267" s="878"/>
    </row>
    <row r="268" spans="1:44" ht="18" customHeight="1">
      <c r="A268" s="184"/>
      <c r="V268" s="185"/>
    </row>
    <row r="269" spans="1:44" ht="18" customHeight="1">
      <c r="A269" s="184"/>
      <c r="V269" s="185"/>
    </row>
    <row r="270" spans="1:44" ht="18" customHeight="1">
      <c r="A270" s="184"/>
      <c r="V270" s="185"/>
      <c r="W270" s="184"/>
      <c r="AR270" s="185"/>
    </row>
    <row r="271" spans="1:44" ht="18" customHeight="1">
      <c r="A271" s="184"/>
      <c r="V271" s="185"/>
      <c r="W271" s="184"/>
      <c r="AR271" s="185"/>
    </row>
    <row r="272" spans="1:44" ht="18" customHeight="1">
      <c r="A272" s="184"/>
      <c r="V272" s="185"/>
      <c r="W272" s="184"/>
      <c r="AR272" s="185"/>
    </row>
    <row r="273" spans="1:44" ht="18" customHeight="1">
      <c r="A273" s="184"/>
      <c r="V273" s="185"/>
      <c r="W273" s="184"/>
      <c r="AR273" s="185"/>
    </row>
    <row r="274" spans="1:44" ht="18" customHeight="1">
      <c r="A274" s="184"/>
      <c r="V274" s="185"/>
    </row>
    <row r="275" spans="1:44" ht="18" customHeight="1">
      <c r="A275" s="184"/>
      <c r="V275" s="185"/>
    </row>
    <row r="276" spans="1:44" ht="18" customHeight="1">
      <c r="A276" s="184"/>
      <c r="V276" s="185"/>
    </row>
    <row r="277" spans="1:44" ht="18" customHeight="1">
      <c r="A277" s="184"/>
      <c r="V277" s="185"/>
    </row>
    <row r="278" spans="1:44" ht="18" customHeight="1">
      <c r="A278" s="184"/>
      <c r="V278" s="185"/>
    </row>
    <row r="279" spans="1:44" ht="18" customHeight="1">
      <c r="A279" s="184"/>
      <c r="V279" s="185"/>
    </row>
    <row r="280" spans="1:44" ht="18" customHeight="1">
      <c r="A280" s="184"/>
      <c r="V280" s="185"/>
    </row>
    <row r="281" spans="1:44" ht="18" customHeight="1">
      <c r="A281" s="184"/>
      <c r="V281" s="185"/>
    </row>
    <row r="282" spans="1:44" ht="18" customHeight="1">
      <c r="A282" s="184"/>
      <c r="V282" s="185"/>
    </row>
    <row r="283" spans="1:44" ht="18" customHeight="1">
      <c r="A283" s="184"/>
      <c r="V283" s="185"/>
    </row>
    <row r="284" spans="1:44" ht="18" customHeight="1">
      <c r="A284" s="184"/>
      <c r="V284" s="185"/>
    </row>
    <row r="285" spans="1:44" ht="18" customHeight="1">
      <c r="A285" s="184"/>
      <c r="V285" s="185"/>
    </row>
    <row r="286" spans="1:44" ht="18" customHeight="1">
      <c r="A286" s="184"/>
      <c r="V286" s="185"/>
    </row>
    <row r="287" spans="1:44" ht="18" customHeight="1">
      <c r="A287" s="184"/>
      <c r="V287" s="185"/>
    </row>
    <row r="288" spans="1:44"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94"/>
      <c r="B299" s="195"/>
      <c r="C299" s="195"/>
      <c r="D299" s="195"/>
      <c r="E299" s="195"/>
      <c r="F299" s="195"/>
      <c r="G299" s="195"/>
      <c r="H299" s="195"/>
      <c r="I299" s="195"/>
      <c r="J299" s="195"/>
      <c r="K299" s="195"/>
      <c r="L299" s="195"/>
      <c r="M299" s="195"/>
      <c r="N299" s="195"/>
      <c r="O299" s="195"/>
      <c r="P299" s="195"/>
      <c r="Q299" s="224"/>
      <c r="R299" s="182"/>
      <c r="S299" s="225"/>
      <c r="T299" s="195"/>
      <c r="U299" s="195"/>
      <c r="V299" s="134"/>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G220:H220"/>
    <mergeCell ref="J220:K220"/>
    <mergeCell ref="G221:H221"/>
    <mergeCell ref="G225:H225"/>
    <mergeCell ref="D228:E228"/>
    <mergeCell ref="G228:H228"/>
    <mergeCell ref="S205:T205"/>
    <mergeCell ref="H208:I208"/>
    <mergeCell ref="H209:I209"/>
    <mergeCell ref="E210:F210"/>
    <mergeCell ref="G219:H219"/>
    <mergeCell ref="J219:K219"/>
    <mergeCell ref="S199:T199"/>
    <mergeCell ref="S200:T200"/>
    <mergeCell ref="S201:T201"/>
    <mergeCell ref="S202:T202"/>
    <mergeCell ref="S203:T203"/>
    <mergeCell ref="S204:T204"/>
    <mergeCell ref="J188:K188"/>
    <mergeCell ref="J189:K189"/>
    <mergeCell ref="J190:K190"/>
    <mergeCell ref="P190:Q190"/>
    <mergeCell ref="A192:V193"/>
    <mergeCell ref="H197:I197"/>
    <mergeCell ref="L179:M179"/>
    <mergeCell ref="L180:M180"/>
    <mergeCell ref="L181:M181"/>
    <mergeCell ref="L182:M182"/>
    <mergeCell ref="J186:K186"/>
    <mergeCell ref="J187:K187"/>
    <mergeCell ref="H177:I177"/>
    <mergeCell ref="J177:K177"/>
    <mergeCell ref="L177:M177"/>
    <mergeCell ref="T177:U177"/>
    <mergeCell ref="H178:I178"/>
    <mergeCell ref="J178:K178"/>
    <mergeCell ref="L178:M178"/>
    <mergeCell ref="B175:C175"/>
    <mergeCell ref="D175:E176"/>
    <mergeCell ref="H175:M175"/>
    <mergeCell ref="T175:U175"/>
    <mergeCell ref="B176:C176"/>
    <mergeCell ref="T176:U176"/>
    <mergeCell ref="G132:H132"/>
    <mergeCell ref="J132:K132"/>
    <mergeCell ref="G133:H133"/>
    <mergeCell ref="G137:H137"/>
    <mergeCell ref="D140:E140"/>
    <mergeCell ref="G140:H140"/>
    <mergeCell ref="S117:T117"/>
    <mergeCell ref="H120:I120"/>
    <mergeCell ref="H121:I121"/>
    <mergeCell ref="E122:F122"/>
    <mergeCell ref="G131:H131"/>
    <mergeCell ref="J131:K131"/>
    <mergeCell ref="S111:T111"/>
    <mergeCell ref="S112:T112"/>
    <mergeCell ref="S113:T113"/>
    <mergeCell ref="S114:T114"/>
    <mergeCell ref="S115:T115"/>
    <mergeCell ref="S116:T116"/>
    <mergeCell ref="J100:K100"/>
    <mergeCell ref="J101:K101"/>
    <mergeCell ref="J102:K102"/>
    <mergeCell ref="P102:Q102"/>
    <mergeCell ref="A104:V105"/>
    <mergeCell ref="H109:I109"/>
    <mergeCell ref="J91:K91"/>
    <mergeCell ref="J92:K92"/>
    <mergeCell ref="J93:K93"/>
    <mergeCell ref="J94:K94"/>
    <mergeCell ref="J98:K98"/>
    <mergeCell ref="J99:K99"/>
    <mergeCell ref="H89:I89"/>
    <mergeCell ref="J89:K89"/>
    <mergeCell ref="L89:M89"/>
    <mergeCell ref="T89:U89"/>
    <mergeCell ref="H90:I90"/>
    <mergeCell ref="J90:K90"/>
    <mergeCell ref="L90:M90"/>
    <mergeCell ref="B87:C87"/>
    <mergeCell ref="D87:E88"/>
    <mergeCell ref="H87:M87"/>
    <mergeCell ref="T87:U87"/>
    <mergeCell ref="B88:C88"/>
    <mergeCell ref="T88:U88"/>
    <mergeCell ref="G48:H48"/>
    <mergeCell ref="J48:K48"/>
    <mergeCell ref="G49:H49"/>
    <mergeCell ref="G53:H53"/>
    <mergeCell ref="D56:E56"/>
    <mergeCell ref="G56:H56"/>
    <mergeCell ref="S36:T36"/>
    <mergeCell ref="H39:I39"/>
    <mergeCell ref="H40:I40"/>
    <mergeCell ref="E41:F41"/>
    <mergeCell ref="G47:H47"/>
    <mergeCell ref="J47:K47"/>
    <mergeCell ref="S37:T37"/>
    <mergeCell ref="S30:T30"/>
    <mergeCell ref="S31:T31"/>
    <mergeCell ref="S32:T32"/>
    <mergeCell ref="S33:T33"/>
    <mergeCell ref="S34:T34"/>
    <mergeCell ref="S35:T35"/>
    <mergeCell ref="J20:K20"/>
    <mergeCell ref="J21:K21"/>
    <mergeCell ref="J22:K22"/>
    <mergeCell ref="P22:Q22"/>
    <mergeCell ref="A24:V25"/>
    <mergeCell ref="H28:I28"/>
    <mergeCell ref="J19:K19"/>
    <mergeCell ref="T8:U8"/>
    <mergeCell ref="H9:I9"/>
    <mergeCell ref="J9:K9"/>
    <mergeCell ref="L9:M9"/>
    <mergeCell ref="T9:U9"/>
    <mergeCell ref="H10:I10"/>
    <mergeCell ref="J10:K10"/>
    <mergeCell ref="L10:M10"/>
    <mergeCell ref="R5:V5"/>
    <mergeCell ref="B7:C7"/>
    <mergeCell ref="T7:U7"/>
    <mergeCell ref="D7:E7"/>
    <mergeCell ref="H11:I11"/>
    <mergeCell ref="H12:I12"/>
    <mergeCell ref="H13:I13"/>
    <mergeCell ref="H14:I14"/>
    <mergeCell ref="J18:K18"/>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s>
  <conditionalFormatting sqref="G57 G141 G229">
    <cfRule type="cellIs" dxfId="83"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codeName="Sheet45">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900</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108</v>
      </c>
      <c r="C7" s="782"/>
      <c r="D7" s="743" t="s">
        <v>113</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2500</v>
      </c>
      <c r="I10" s="792"/>
      <c r="J10" s="781"/>
      <c r="K10" s="782"/>
      <c r="L10" s="781" t="s">
        <v>6</v>
      </c>
      <c r="M10" s="782"/>
      <c r="N10" s="191" t="s">
        <v>342</v>
      </c>
      <c r="O10" s="125">
        <v>1</v>
      </c>
      <c r="P10" s="27" t="s">
        <v>8</v>
      </c>
      <c r="R10" s="255"/>
      <c r="S10" s="255"/>
      <c r="V10" s="185"/>
    </row>
    <row r="11" spans="1:24" ht="18" customHeight="1">
      <c r="A11" s="184"/>
      <c r="B11" s="47" t="s">
        <v>394</v>
      </c>
      <c r="H11" s="781" t="s">
        <v>814</v>
      </c>
      <c r="I11" s="782"/>
      <c r="V11" s="185"/>
    </row>
    <row r="12" spans="1:24" ht="18" customHeight="1">
      <c r="A12" s="184"/>
      <c r="B12" s="47" t="s">
        <v>396</v>
      </c>
      <c r="G12" s="120" t="s">
        <v>497</v>
      </c>
      <c r="H12" s="781">
        <v>5</v>
      </c>
      <c r="I12" s="782"/>
      <c r="J12" s="192" t="s">
        <v>333</v>
      </c>
      <c r="M12" s="14"/>
      <c r="N12" s="14"/>
      <c r="V12" s="185"/>
    </row>
    <row r="13" spans="1:24" ht="18" customHeight="1">
      <c r="A13" s="184"/>
      <c r="B13" s="47" t="s">
        <v>398</v>
      </c>
      <c r="G13" s="120" t="s">
        <v>498</v>
      </c>
      <c r="H13" s="781">
        <v>750</v>
      </c>
      <c r="I13" s="782"/>
      <c r="J13" s="14" t="s">
        <v>305</v>
      </c>
      <c r="M13" s="14"/>
      <c r="T13" s="295"/>
      <c r="U13" s="18"/>
      <c r="V13" s="185"/>
      <c r="W13" s="30" t="e">
        <f>#REF!</f>
        <v>#REF!</v>
      </c>
    </row>
    <row r="14" spans="1:24" ht="18" customHeight="1">
      <c r="A14" s="184"/>
      <c r="B14" s="14" t="s">
        <v>401</v>
      </c>
      <c r="G14" s="120" t="s">
        <v>402</v>
      </c>
      <c r="H14" s="781">
        <v>60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S23" s="2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2500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33</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750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2500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4</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5</v>
      </c>
      <c r="G75" s="692"/>
      <c r="H75" s="102" t="s">
        <v>347</v>
      </c>
      <c r="I75" s="218">
        <f>S30</f>
        <v>1.0870224400000001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60.970224399999999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48.776179519999999</v>
      </c>
      <c r="O79" s="1251"/>
      <c r="V79" s="185"/>
    </row>
    <row r="80" spans="1:22" ht="17.399999999999999" customHeight="1">
      <c r="A80" s="184"/>
      <c r="B80" s="7"/>
      <c r="E80" s="14"/>
      <c r="F80" s="14" t="s">
        <v>752</v>
      </c>
      <c r="G80" s="7"/>
      <c r="L80" s="28" t="s">
        <v>127</v>
      </c>
      <c r="N80" s="1072">
        <f>N79*1.2</f>
        <v>58.531415423999995</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750</v>
      </c>
      <c r="J82" s="795"/>
      <c r="K82" s="27"/>
      <c r="L82" s="27" t="str">
        <f>IF(I82&gt;=M82,"&gt;","&lt;")</f>
        <v>&gt;</v>
      </c>
      <c r="M82" s="795">
        <f>N80</f>
        <v>58.531415423999995</v>
      </c>
      <c r="N82" s="795"/>
      <c r="P82" s="268"/>
      <c r="V82" s="185"/>
    </row>
    <row r="83" spans="1:23" ht="17.399999999999999" customHeight="1">
      <c r="A83" s="184"/>
      <c r="K83" s="244" t="s">
        <v>478</v>
      </c>
      <c r="M83" s="18" t="str">
        <f>IF(I82&gt;M82,"Suitable Dimensions","Under Dimensioned")</f>
        <v>Suitable Dimensions</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B86" s="7"/>
      <c r="E86" s="14"/>
      <c r="F86" s="7"/>
      <c r="G86" s="7"/>
      <c r="V86" s="185"/>
    </row>
    <row r="87" spans="1:23" s="14" customFormat="1" ht="18" customHeight="1">
      <c r="A87" s="194"/>
      <c r="B87" s="195"/>
      <c r="C87" s="195"/>
      <c r="D87" s="195"/>
      <c r="E87" s="195"/>
      <c r="F87" s="195"/>
      <c r="G87" s="195"/>
      <c r="H87" s="195"/>
      <c r="I87" s="195"/>
      <c r="J87" s="195"/>
      <c r="K87" s="195"/>
      <c r="L87" s="195"/>
      <c r="M87" s="195"/>
      <c r="N87" s="195"/>
      <c r="O87" s="195"/>
      <c r="P87" s="195"/>
      <c r="Q87" s="224"/>
      <c r="R87" s="182"/>
      <c r="S87" s="225"/>
      <c r="T87" s="195"/>
      <c r="U87" s="195"/>
      <c r="V87" s="134"/>
    </row>
    <row r="88" spans="1:23" ht="18" hidden="1"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hidden="1" customHeight="1">
      <c r="A89" s="184"/>
      <c r="B89" s="835" t="str">
        <f>B7</f>
        <v>T1</v>
      </c>
      <c r="C89" s="836"/>
      <c r="D89" s="1118" t="str">
        <f>D7</f>
        <v>Core4</v>
      </c>
      <c r="E89" s="1290"/>
      <c r="F89" s="455"/>
      <c r="H89" s="684" t="str">
        <f>H7</f>
        <v>(Low Imp. Busbar)</v>
      </c>
      <c r="I89" s="684"/>
      <c r="J89" s="684"/>
      <c r="K89" s="684"/>
      <c r="L89" s="684"/>
      <c r="M89" s="684"/>
      <c r="P89" s="186"/>
      <c r="S89" s="187" t="s">
        <v>387</v>
      </c>
      <c r="T89" s="835" t="str">
        <f>T7</f>
        <v>REB500</v>
      </c>
      <c r="U89" s="836"/>
      <c r="V89" s="185"/>
    </row>
    <row r="90" spans="1:23" ht="18" hidden="1" customHeight="1">
      <c r="A90" s="456"/>
      <c r="F90" s="455"/>
      <c r="T90" s="839">
        <f>T8</f>
        <v>0</v>
      </c>
      <c r="U90" s="840"/>
      <c r="V90" s="185"/>
    </row>
    <row r="91" spans="1:23" ht="18" hidden="1" customHeight="1">
      <c r="A91" s="184"/>
      <c r="H91" s="708" t="s">
        <v>390</v>
      </c>
      <c r="I91" s="708"/>
      <c r="J91" s="789" t="s">
        <v>391</v>
      </c>
      <c r="K91" s="789"/>
      <c r="L91" s="790" t="s">
        <v>392</v>
      </c>
      <c r="M91" s="790"/>
      <c r="T91" s="839">
        <f>T9</f>
        <v>0</v>
      </c>
      <c r="U91" s="840"/>
      <c r="V91" s="185"/>
    </row>
    <row r="92" spans="1:23" ht="18" hidden="1" customHeight="1">
      <c r="A92" s="184"/>
      <c r="B92" s="47" t="s">
        <v>393</v>
      </c>
      <c r="H92" s="835">
        <f>H10</f>
        <v>2500</v>
      </c>
      <c r="I92" s="836"/>
      <c r="J92" s="835">
        <f>J10</f>
        <v>0</v>
      </c>
      <c r="K92" s="836"/>
      <c r="L92" s="835" t="str">
        <f>L10</f>
        <v>-</v>
      </c>
      <c r="M92" s="836"/>
      <c r="N92" s="191" t="s">
        <v>342</v>
      </c>
      <c r="O92" s="488">
        <f>O10</f>
        <v>1</v>
      </c>
      <c r="P92" s="27" t="s">
        <v>8</v>
      </c>
      <c r="R92" s="255"/>
      <c r="S92" s="255"/>
      <c r="V92" s="185"/>
    </row>
    <row r="93" spans="1:23" ht="18" hidden="1" customHeight="1">
      <c r="A93" s="184"/>
      <c r="B93" s="47" t="s">
        <v>394</v>
      </c>
      <c r="H93" s="14"/>
      <c r="I93" s="14"/>
      <c r="J93" s="835" t="str">
        <f>H11</f>
        <v>PX-B</v>
      </c>
      <c r="K93" s="836"/>
      <c r="L93" s="14"/>
      <c r="M93" s="14"/>
      <c r="V93" s="185"/>
    </row>
    <row r="94" spans="1:23" ht="18" hidden="1" customHeight="1">
      <c r="A94" s="184"/>
      <c r="B94" s="47" t="s">
        <v>396</v>
      </c>
      <c r="I94" s="120" t="s">
        <v>497</v>
      </c>
      <c r="J94" s="781">
        <v>9.3000000000000007</v>
      </c>
      <c r="K94" s="782"/>
      <c r="L94" s="192" t="s">
        <v>333</v>
      </c>
      <c r="V94" s="185"/>
    </row>
    <row r="95" spans="1:23" ht="18" hidden="1" customHeight="1">
      <c r="A95" s="184"/>
      <c r="B95" s="47" t="s">
        <v>398</v>
      </c>
      <c r="I95" s="120" t="s">
        <v>498</v>
      </c>
      <c r="J95" s="781">
        <v>500</v>
      </c>
      <c r="K95" s="782"/>
      <c r="L95" s="14" t="s">
        <v>305</v>
      </c>
      <c r="T95" s="295"/>
      <c r="U95" s="18"/>
      <c r="V95" s="185"/>
      <c r="W95" s="30" t="str">
        <f>M162</f>
        <v>Required Vk</v>
      </c>
    </row>
    <row r="96" spans="1:23" ht="18" hidden="1" customHeight="1">
      <c r="A96" s="184"/>
      <c r="B96" s="14" t="s">
        <v>401</v>
      </c>
      <c r="I96" s="120" t="s">
        <v>402</v>
      </c>
      <c r="J96" s="781">
        <v>60</v>
      </c>
      <c r="K96" s="782"/>
      <c r="L96" s="14" t="s">
        <v>403</v>
      </c>
      <c r="V96" s="185"/>
    </row>
    <row r="97" spans="1:22" ht="18" hidden="1" customHeight="1">
      <c r="A97" s="184"/>
      <c r="V97" s="185"/>
    </row>
    <row r="98" spans="1:22" ht="18" hidden="1" customHeight="1">
      <c r="A98" s="193" t="s">
        <v>404</v>
      </c>
      <c r="V98" s="185"/>
    </row>
    <row r="99" spans="1:22" ht="18" hidden="1" customHeight="1">
      <c r="A99" s="184"/>
      <c r="V99" s="185"/>
    </row>
    <row r="100" spans="1:22" ht="18" hidden="1" customHeight="1">
      <c r="A100" s="184"/>
      <c r="B100" s="135" t="s">
        <v>405</v>
      </c>
      <c r="C100" s="273"/>
      <c r="D100" s="139" t="str">
        <f>T89</f>
        <v>REB500</v>
      </c>
      <c r="E100" s="227"/>
      <c r="F100" s="227"/>
      <c r="G100" s="227"/>
      <c r="H100" s="138"/>
      <c r="I100" s="260" t="s">
        <v>127</v>
      </c>
      <c r="J100" s="722">
        <f>J18</f>
        <v>0.01</v>
      </c>
      <c r="K100" s="958"/>
      <c r="L100" s="3" t="s">
        <v>157</v>
      </c>
      <c r="N100" s="197" t="s">
        <v>510</v>
      </c>
      <c r="V100" s="185"/>
    </row>
    <row r="101" spans="1:22" ht="18" hidden="1" customHeight="1">
      <c r="A101" s="184"/>
      <c r="B101" s="96" t="s">
        <v>405</v>
      </c>
      <c r="C101" s="14"/>
      <c r="D101" s="47">
        <f>T90</f>
        <v>0</v>
      </c>
      <c r="H101" s="28"/>
      <c r="I101" s="101" t="s">
        <v>127</v>
      </c>
      <c r="J101" s="722">
        <f>J19</f>
        <v>0</v>
      </c>
      <c r="K101" s="958"/>
      <c r="L101" s="3" t="s">
        <v>157</v>
      </c>
      <c r="N101" s="120" t="s">
        <v>491</v>
      </c>
      <c r="O101" s="27" t="s">
        <v>127</v>
      </c>
      <c r="P101" s="27" t="s">
        <v>511</v>
      </c>
      <c r="Q101" s="27" t="s">
        <v>315</v>
      </c>
      <c r="R101" s="27" t="s">
        <v>511</v>
      </c>
      <c r="S101" s="27" t="s">
        <v>315</v>
      </c>
      <c r="T101" s="27" t="s">
        <v>420</v>
      </c>
      <c r="V101" s="185"/>
    </row>
    <row r="102" spans="1:22" ht="18" hidden="1" customHeight="1">
      <c r="A102" s="184"/>
      <c r="B102" s="96" t="s">
        <v>405</v>
      </c>
      <c r="C102" s="14"/>
      <c r="D102" s="47">
        <f>T91</f>
        <v>0</v>
      </c>
      <c r="H102" s="28"/>
      <c r="I102" s="101" t="s">
        <v>127</v>
      </c>
      <c r="J102" s="722">
        <f>J20</f>
        <v>0</v>
      </c>
      <c r="K102" s="958"/>
      <c r="L102" s="3" t="s">
        <v>157</v>
      </c>
      <c r="N102" s="27"/>
      <c r="O102" s="27" t="s">
        <v>127</v>
      </c>
      <c r="P102" s="27">
        <f>O92</f>
        <v>1</v>
      </c>
      <c r="Q102" s="27" t="s">
        <v>315</v>
      </c>
      <c r="R102" s="27">
        <f>O92</f>
        <v>1</v>
      </c>
      <c r="S102" s="27" t="s">
        <v>315</v>
      </c>
      <c r="T102" s="27">
        <f>J94</f>
        <v>9.3000000000000007</v>
      </c>
      <c r="V102" s="185"/>
    </row>
    <row r="103" spans="1:22" ht="18" hidden="1" customHeight="1">
      <c r="A103" s="184"/>
      <c r="B103" s="452" t="s">
        <v>412</v>
      </c>
      <c r="C103" s="259"/>
      <c r="D103" s="259"/>
      <c r="E103" s="259"/>
      <c r="F103" s="207"/>
      <c r="G103" s="207"/>
      <c r="H103" s="190"/>
      <c r="I103" s="208" t="s">
        <v>127</v>
      </c>
      <c r="J103" s="1120">
        <f>J21</f>
        <v>1.0770224400000001</v>
      </c>
      <c r="K103" s="987"/>
      <c r="L103" s="297" t="s">
        <v>157</v>
      </c>
      <c r="O103" s="27" t="s">
        <v>127</v>
      </c>
      <c r="P103" s="795">
        <f>P102*R102*T102</f>
        <v>9.3000000000000007</v>
      </c>
      <c r="Q103" s="684"/>
      <c r="R103" s="27" t="s">
        <v>157</v>
      </c>
      <c r="V103" s="185"/>
    </row>
    <row r="104" spans="1:22" ht="18" hidden="1" customHeight="1">
      <c r="A104" s="184"/>
      <c r="B104" s="1" t="s">
        <v>413</v>
      </c>
      <c r="C104" s="2"/>
      <c r="D104" s="2"/>
      <c r="E104" s="2"/>
      <c r="F104" s="196"/>
      <c r="G104" s="196"/>
      <c r="H104" s="224" t="s">
        <v>512</v>
      </c>
      <c r="I104" s="183" t="s">
        <v>127</v>
      </c>
      <c r="J104" s="722">
        <f>SUM(J100:J103)</f>
        <v>1.0870224400000001</v>
      </c>
      <c r="K104" s="958"/>
      <c r="L104" s="3" t="s">
        <v>157</v>
      </c>
      <c r="V104" s="185"/>
    </row>
    <row r="105" spans="1:22" ht="18" hidden="1" customHeight="1">
      <c r="A105" s="184"/>
      <c r="B105" s="47"/>
      <c r="C105" s="47"/>
      <c r="D105" s="47"/>
      <c r="E105" s="47"/>
      <c r="H105" s="27"/>
      <c r="I105" s="28"/>
      <c r="J105" s="199"/>
      <c r="L105" s="47"/>
      <c r="S105" s="27"/>
      <c r="V105" s="185"/>
    </row>
    <row r="106" spans="1:22" ht="18" hidden="1" customHeight="1">
      <c r="A106" s="258"/>
      <c r="B106" s="117" t="s">
        <v>712</v>
      </c>
      <c r="V106" s="185"/>
    </row>
    <row r="107" spans="1:22" ht="18" hidden="1" customHeight="1">
      <c r="A107" s="231"/>
      <c r="B107" s="5"/>
      <c r="C107" s="47" t="s">
        <v>713</v>
      </c>
      <c r="D107" s="14"/>
      <c r="E107" s="14"/>
      <c r="F107" s="14"/>
      <c r="G107" s="14"/>
      <c r="H107" s="279"/>
      <c r="I107" s="120"/>
      <c r="J107" s="279"/>
      <c r="K107" s="279"/>
      <c r="L107" s="14"/>
      <c r="M107" s="14"/>
      <c r="N107" s="14"/>
      <c r="O107" s="14"/>
      <c r="P107" s="14"/>
      <c r="Q107" s="120" t="s">
        <v>714</v>
      </c>
      <c r="R107" s="102" t="s">
        <v>127</v>
      </c>
      <c r="S107" s="689">
        <v>31500</v>
      </c>
      <c r="T107" s="689"/>
      <c r="U107" s="47" t="s">
        <v>8</v>
      </c>
      <c r="V107" s="97" t="s">
        <v>129</v>
      </c>
    </row>
    <row r="108" spans="1:22" ht="18" hidden="1" customHeight="1">
      <c r="A108" s="184"/>
      <c r="B108" s="5"/>
      <c r="C108" s="47" t="s">
        <v>545</v>
      </c>
      <c r="D108" s="14"/>
      <c r="E108" s="14"/>
      <c r="F108" s="18"/>
      <c r="G108" s="18"/>
      <c r="H108" s="279"/>
      <c r="I108" s="120"/>
      <c r="J108" s="279"/>
      <c r="K108" s="279"/>
      <c r="L108" s="14"/>
      <c r="M108" s="14"/>
      <c r="N108" s="14"/>
      <c r="O108" s="14"/>
      <c r="P108" s="14"/>
      <c r="Q108" s="120" t="s">
        <v>423</v>
      </c>
      <c r="R108" s="102" t="s">
        <v>127</v>
      </c>
      <c r="S108" s="689">
        <f>J92</f>
        <v>0</v>
      </c>
      <c r="T108" s="689"/>
      <c r="U108" s="14" t="s">
        <v>8</v>
      </c>
      <c r="V108" s="185"/>
    </row>
    <row r="109" spans="1:22" ht="18" hidden="1" customHeight="1">
      <c r="A109" s="184"/>
      <c r="B109" s="5"/>
      <c r="C109" s="47" t="s">
        <v>715</v>
      </c>
      <c r="D109" s="14"/>
      <c r="E109" s="14"/>
      <c r="F109" s="18"/>
      <c r="G109" s="18"/>
      <c r="H109" s="279"/>
      <c r="I109" s="120"/>
      <c r="J109" s="279"/>
      <c r="K109" s="279"/>
      <c r="L109" s="14"/>
      <c r="M109" s="14"/>
      <c r="N109" s="14"/>
      <c r="O109" s="14"/>
      <c r="P109" s="14"/>
      <c r="Q109" s="120" t="s">
        <v>716</v>
      </c>
      <c r="R109" s="102" t="s">
        <v>127</v>
      </c>
      <c r="S109" s="689">
        <v>33</v>
      </c>
      <c r="T109" s="689"/>
      <c r="U109" s="14" t="s">
        <v>163</v>
      </c>
      <c r="V109" s="185"/>
    </row>
    <row r="110" spans="1:22" ht="18" hidden="1" customHeight="1">
      <c r="A110" s="184"/>
      <c r="B110" s="5"/>
      <c r="C110" s="47" t="s">
        <v>546</v>
      </c>
      <c r="D110" s="14"/>
      <c r="E110" s="14"/>
      <c r="F110" s="18"/>
      <c r="G110" s="18"/>
      <c r="H110" s="279"/>
      <c r="I110" s="120"/>
      <c r="J110" s="279"/>
      <c r="K110" s="279"/>
      <c r="L110" s="14"/>
      <c r="M110" s="14"/>
      <c r="N110" s="14"/>
      <c r="O110" s="14"/>
      <c r="P110" s="14"/>
      <c r="Q110" s="120" t="s">
        <v>473</v>
      </c>
      <c r="R110" s="102" t="s">
        <v>127</v>
      </c>
      <c r="S110" s="689">
        <f>J95</f>
        <v>500</v>
      </c>
      <c r="T110" s="689"/>
      <c r="U110" s="14" t="s">
        <v>305</v>
      </c>
      <c r="V110" s="185"/>
    </row>
    <row r="111" spans="1:22" ht="18" hidden="1" customHeight="1">
      <c r="A111" s="184"/>
      <c r="B111" s="5"/>
      <c r="C111" s="47" t="s">
        <v>717</v>
      </c>
      <c r="D111" s="14"/>
      <c r="E111" s="14"/>
      <c r="F111" s="18"/>
      <c r="G111" s="18"/>
      <c r="H111" s="279"/>
      <c r="I111" s="120"/>
      <c r="J111" s="279"/>
      <c r="K111" s="279"/>
      <c r="L111" s="14"/>
      <c r="M111" s="14"/>
      <c r="N111" s="14"/>
      <c r="O111" s="14"/>
      <c r="P111" s="14"/>
      <c r="Q111" s="120" t="s">
        <v>420</v>
      </c>
      <c r="R111" s="102" t="s">
        <v>127</v>
      </c>
      <c r="S111" s="692">
        <f>P103</f>
        <v>9.3000000000000007</v>
      </c>
      <c r="T111" s="689"/>
      <c r="U111" s="14" t="s">
        <v>157</v>
      </c>
      <c r="V111" s="185"/>
    </row>
    <row r="112" spans="1:22" ht="18" hidden="1" customHeight="1">
      <c r="A112" s="184"/>
      <c r="B112" s="5"/>
      <c r="C112" s="47" t="s">
        <v>718</v>
      </c>
      <c r="D112" s="14"/>
      <c r="E112" s="14"/>
      <c r="F112" s="18"/>
      <c r="G112" s="18"/>
      <c r="H112" s="279"/>
      <c r="I112" s="120"/>
      <c r="J112" s="279"/>
      <c r="K112" s="279"/>
      <c r="L112" s="14"/>
      <c r="M112" s="14"/>
      <c r="N112" s="14"/>
      <c r="O112" s="14"/>
      <c r="P112" s="14"/>
      <c r="Q112" s="120" t="s">
        <v>522</v>
      </c>
      <c r="R112" s="102" t="s">
        <v>127</v>
      </c>
      <c r="S112" s="692">
        <f>J104</f>
        <v>1.0870224400000001</v>
      </c>
      <c r="T112" s="689"/>
      <c r="U112" s="14" t="s">
        <v>157</v>
      </c>
      <c r="V112" s="185"/>
    </row>
    <row r="113" spans="1:25" ht="18" hidden="1" customHeight="1">
      <c r="A113" s="168"/>
      <c r="B113" s="5"/>
      <c r="C113" s="47" t="s">
        <v>549</v>
      </c>
      <c r="D113" s="14"/>
      <c r="E113" s="14"/>
      <c r="F113" s="14"/>
      <c r="G113" s="14"/>
      <c r="H113" s="279"/>
      <c r="I113" s="120"/>
      <c r="J113" s="279"/>
      <c r="K113" s="279"/>
      <c r="L113" s="14"/>
      <c r="M113" s="14"/>
      <c r="N113" s="14"/>
      <c r="O113" s="14"/>
      <c r="P113" s="14"/>
      <c r="Q113" s="120" t="s">
        <v>714</v>
      </c>
      <c r="R113" s="102" t="s">
        <v>127</v>
      </c>
      <c r="S113" s="689">
        <f>O92</f>
        <v>1</v>
      </c>
      <c r="T113" s="689"/>
      <c r="U113" s="14" t="s">
        <v>8</v>
      </c>
      <c r="V113" s="185"/>
    </row>
    <row r="114" spans="1:25" ht="18" hidden="1" customHeight="1">
      <c r="A114" s="168"/>
      <c r="B114" s="5"/>
      <c r="C114" s="47" t="s">
        <v>719</v>
      </c>
      <c r="D114" s="14"/>
      <c r="E114" s="14"/>
      <c r="F114" s="14"/>
      <c r="G114" s="14"/>
      <c r="H114" s="279"/>
      <c r="I114" s="120"/>
      <c r="J114" s="279"/>
      <c r="K114" s="279"/>
      <c r="L114" s="14"/>
      <c r="M114" s="14"/>
      <c r="N114" s="14"/>
      <c r="O114" s="14"/>
      <c r="P114" s="14"/>
      <c r="Q114" s="120" t="s">
        <v>720</v>
      </c>
      <c r="R114" s="102" t="s">
        <v>127</v>
      </c>
      <c r="S114" s="689">
        <v>50</v>
      </c>
      <c r="T114" s="689"/>
      <c r="U114" s="47"/>
      <c r="V114" s="185"/>
    </row>
    <row r="115" spans="1:25" ht="18" hidden="1" customHeight="1">
      <c r="A115" s="168"/>
      <c r="B115" s="279"/>
      <c r="C115" s="47"/>
      <c r="D115" s="14"/>
      <c r="E115" s="14"/>
      <c r="F115" s="14"/>
      <c r="G115" s="14"/>
      <c r="H115" s="279"/>
      <c r="I115" s="120"/>
      <c r="J115" s="279"/>
      <c r="K115" s="279"/>
      <c r="L115" s="14"/>
      <c r="M115" s="14"/>
      <c r="N115" s="279"/>
      <c r="O115" s="279"/>
      <c r="P115" s="14"/>
      <c r="Q115" s="120"/>
      <c r="R115" s="14"/>
      <c r="S115" s="279"/>
      <c r="T115" s="279"/>
      <c r="U115" s="279"/>
      <c r="V115" s="300"/>
    </row>
    <row r="116" spans="1:25" ht="18" hidden="1" customHeight="1">
      <c r="A116" s="168"/>
      <c r="C116" s="18" t="s">
        <v>721</v>
      </c>
      <c r="D116" s="14"/>
      <c r="E116" s="14"/>
      <c r="F116" s="14"/>
      <c r="G116" s="14"/>
      <c r="H116" s="14"/>
      <c r="I116" s="14"/>
      <c r="J116" s="14"/>
      <c r="K116" s="14"/>
      <c r="L116" s="14"/>
      <c r="M116" s="14"/>
      <c r="N116" s="14"/>
      <c r="O116" s="14"/>
      <c r="P116" s="14"/>
      <c r="Q116" s="14"/>
      <c r="R116" s="14"/>
      <c r="S116" s="14"/>
      <c r="T116" s="14"/>
      <c r="U116" s="14"/>
      <c r="V116" s="185"/>
      <c r="W116" s="279"/>
      <c r="X116" s="279"/>
      <c r="Y116" s="279"/>
    </row>
    <row r="117" spans="1:25" ht="18" hidden="1" customHeight="1">
      <c r="A117" s="168"/>
      <c r="C117" s="28"/>
      <c r="D117" s="47" t="s">
        <v>722</v>
      </c>
      <c r="E117" s="28"/>
      <c r="F117" s="28"/>
      <c r="G117" s="28"/>
      <c r="H117" s="14"/>
      <c r="I117" s="14"/>
      <c r="J117" s="28"/>
      <c r="K117" s="28"/>
      <c r="L117" s="28"/>
      <c r="M117" s="28"/>
      <c r="N117" s="47"/>
      <c r="O117" s="28"/>
      <c r="V117" s="185"/>
      <c r="X117" s="279"/>
      <c r="Y117" s="279"/>
    </row>
    <row r="118" spans="1:25" ht="18" hidden="1" customHeight="1">
      <c r="A118" s="168"/>
      <c r="D118" s="27"/>
      <c r="E118" s="27"/>
      <c r="F118" s="27"/>
      <c r="G118" s="27"/>
      <c r="I118" s="689" t="s">
        <v>723</v>
      </c>
      <c r="J118" s="689" t="s">
        <v>127</v>
      </c>
      <c r="K118" s="695" t="s">
        <v>714</v>
      </c>
      <c r="L118" s="695"/>
      <c r="M118" s="27"/>
      <c r="N118" s="296"/>
      <c r="O118" s="222"/>
      <c r="V118" s="185"/>
      <c r="X118" s="279"/>
      <c r="Y118" s="279"/>
    </row>
    <row r="119" spans="1:25" ht="18" hidden="1" customHeight="1">
      <c r="A119" s="168"/>
      <c r="D119" s="27"/>
      <c r="G119" s="27"/>
      <c r="I119" s="689"/>
      <c r="J119" s="689"/>
      <c r="K119" s="1289" t="s">
        <v>724</v>
      </c>
      <c r="L119" s="1289"/>
      <c r="V119" s="185"/>
    </row>
    <row r="120" spans="1:25" ht="18" hidden="1" customHeight="1">
      <c r="A120" s="184"/>
      <c r="B120" s="18" t="s">
        <v>725</v>
      </c>
      <c r="C120" s="14"/>
      <c r="V120" s="185"/>
    </row>
    <row r="121" spans="1:25" ht="18" hidden="1" customHeight="1">
      <c r="A121" s="184"/>
      <c r="B121" s="28"/>
      <c r="C121" s="372" t="s">
        <v>726</v>
      </c>
      <c r="D121" s="14"/>
      <c r="E121" s="14"/>
      <c r="F121" s="14"/>
      <c r="G121" s="14"/>
      <c r="H121" s="14"/>
      <c r="I121" s="14"/>
      <c r="J121" s="14"/>
      <c r="K121" s="14"/>
      <c r="L121" s="14"/>
      <c r="M121" s="14"/>
      <c r="N121" s="14"/>
      <c r="O121" s="14"/>
      <c r="P121" s="28"/>
      <c r="Q121" s="120"/>
      <c r="R121" s="14"/>
      <c r="S121" s="14"/>
      <c r="T121" s="14"/>
      <c r="U121" s="14"/>
      <c r="V121" s="185"/>
    </row>
    <row r="122" spans="1:25" ht="18" hidden="1" customHeight="1">
      <c r="A122" s="184"/>
      <c r="B122" s="28"/>
      <c r="C122" s="7" t="s">
        <v>727</v>
      </c>
      <c r="D122" s="14"/>
      <c r="E122" s="14"/>
      <c r="F122" s="14"/>
      <c r="G122" s="14"/>
      <c r="H122" s="14"/>
      <c r="K122" s="14"/>
      <c r="L122" s="28"/>
      <c r="M122" s="47"/>
      <c r="N122" s="14"/>
      <c r="O122" s="14"/>
      <c r="P122" s="14"/>
      <c r="Q122" s="14"/>
      <c r="R122" s="14"/>
      <c r="S122" s="14"/>
      <c r="T122" s="14"/>
      <c r="U122" s="14"/>
      <c r="V122" s="185"/>
    </row>
    <row r="123" spans="1:25" ht="18" hidden="1" customHeight="1">
      <c r="A123" s="184"/>
      <c r="B123" s="14" t="s">
        <v>728</v>
      </c>
      <c r="C123" s="7"/>
      <c r="D123" s="14"/>
      <c r="E123" s="14"/>
      <c r="F123" s="268"/>
      <c r="K123" s="28"/>
      <c r="L123" s="28"/>
      <c r="M123" s="281"/>
      <c r="N123" s="28"/>
      <c r="O123" s="47"/>
      <c r="P123" s="14"/>
      <c r="Q123" s="14"/>
      <c r="R123" s="14"/>
      <c r="S123" s="14"/>
      <c r="T123" s="14"/>
      <c r="U123" s="14"/>
      <c r="V123" s="185"/>
    </row>
    <row r="124" spans="1:25" ht="18" hidden="1" customHeight="1">
      <c r="A124" s="184"/>
      <c r="B124" s="14"/>
      <c r="C124" s="14" t="s">
        <v>729</v>
      </c>
      <c r="D124" s="47"/>
      <c r="E124" s="14"/>
      <c r="F124" s="268"/>
      <c r="K124" s="28"/>
      <c r="L124" s="28"/>
      <c r="M124" s="14"/>
      <c r="N124" s="14"/>
      <c r="O124" s="14"/>
      <c r="P124" s="14"/>
      <c r="Q124" s="14"/>
      <c r="R124" s="14"/>
      <c r="S124" s="14"/>
      <c r="T124" s="14"/>
      <c r="U124" s="14"/>
      <c r="V124" s="185"/>
    </row>
    <row r="125" spans="1:25" ht="18" hidden="1" customHeight="1">
      <c r="A125" s="184"/>
      <c r="B125" s="14"/>
      <c r="C125" s="7" t="s">
        <v>730</v>
      </c>
      <c r="D125" s="14"/>
      <c r="E125" s="14"/>
      <c r="F125" s="14"/>
      <c r="G125" s="14"/>
      <c r="H125" s="14"/>
      <c r="K125" s="28"/>
      <c r="L125" s="28"/>
      <c r="M125" s="47"/>
      <c r="N125" s="14"/>
      <c r="O125" s="14"/>
      <c r="P125" s="14"/>
      <c r="Q125" s="14"/>
      <c r="R125" s="14"/>
      <c r="S125" s="14"/>
      <c r="T125" s="14"/>
      <c r="U125" s="14"/>
      <c r="V125" s="185"/>
    </row>
    <row r="126" spans="1:25" ht="18" hidden="1" customHeight="1">
      <c r="A126" s="184"/>
      <c r="B126" s="14"/>
      <c r="C126" s="7" t="s">
        <v>731</v>
      </c>
      <c r="K126" s="28"/>
      <c r="L126" s="28"/>
      <c r="M126" s="28"/>
      <c r="O126" s="14"/>
      <c r="P126" s="28"/>
      <c r="Q126" s="278"/>
      <c r="R126" s="28"/>
      <c r="S126" s="14"/>
      <c r="T126" s="14"/>
      <c r="U126" s="14"/>
      <c r="V126" s="185"/>
    </row>
    <row r="127" spans="1:25" ht="18" hidden="1" customHeight="1">
      <c r="A127" s="452"/>
      <c r="B127" s="207"/>
      <c r="C127" s="207"/>
      <c r="D127" s="207"/>
      <c r="E127" s="207"/>
      <c r="F127" s="207"/>
      <c r="G127" s="207"/>
      <c r="H127" s="207"/>
      <c r="I127" s="207"/>
      <c r="J127" s="207"/>
      <c r="K127" s="259" t="s">
        <v>129</v>
      </c>
      <c r="L127" s="259" t="s">
        <v>732</v>
      </c>
      <c r="M127" s="190"/>
      <c r="N127" s="259"/>
      <c r="O127" s="259"/>
      <c r="P127" s="229"/>
      <c r="Q127" s="473"/>
      <c r="R127" s="229"/>
      <c r="S127" s="259"/>
      <c r="T127" s="259"/>
      <c r="U127" s="259"/>
      <c r="V127" s="453"/>
    </row>
    <row r="128" spans="1:25" s="14" customFormat="1" ht="18" hidden="1" customHeight="1">
      <c r="A128" s="194"/>
      <c r="B128" s="195"/>
      <c r="C128" s="195"/>
      <c r="D128" s="195"/>
      <c r="E128" s="195"/>
      <c r="F128" s="195"/>
      <c r="G128" s="195"/>
      <c r="H128" s="195"/>
      <c r="I128" s="195"/>
      <c r="J128" s="195"/>
      <c r="K128" s="195"/>
      <c r="L128" s="195"/>
      <c r="M128" s="195"/>
      <c r="N128" s="195"/>
      <c r="O128" s="195"/>
      <c r="P128" s="195"/>
      <c r="Q128" s="224"/>
      <c r="R128" s="182"/>
      <c r="S128" s="225"/>
      <c r="T128" s="195"/>
      <c r="U128" s="195"/>
      <c r="V128" s="134"/>
    </row>
    <row r="129" spans="1:22" ht="18" hidden="1" customHeight="1">
      <c r="A129" s="226"/>
      <c r="B129" s="273"/>
      <c r="C129" s="273"/>
      <c r="D129" s="227"/>
      <c r="E129" s="227"/>
      <c r="F129" s="227"/>
      <c r="G129" s="227"/>
      <c r="H129" s="227"/>
      <c r="I129" s="227"/>
      <c r="J129" s="227"/>
      <c r="K129" s="311"/>
      <c r="L129" s="311"/>
      <c r="M129" s="227"/>
      <c r="N129" s="227"/>
      <c r="O129" s="311"/>
      <c r="P129" s="311"/>
      <c r="Q129" s="138"/>
      <c r="R129" s="227"/>
      <c r="S129" s="227"/>
      <c r="T129" s="273"/>
      <c r="U129" s="273"/>
      <c r="V129" s="228"/>
    </row>
    <row r="130" spans="1:22" ht="18" hidden="1" customHeight="1">
      <c r="A130" s="96"/>
      <c r="B130" s="7" t="s">
        <v>733</v>
      </c>
      <c r="C130" s="7"/>
      <c r="D130" s="14"/>
      <c r="E130" s="7"/>
      <c r="F130" s="7"/>
      <c r="L130" s="27"/>
      <c r="O130" s="27"/>
      <c r="P130" s="27"/>
      <c r="Q130" s="28"/>
      <c r="T130" s="14"/>
      <c r="U130" s="14"/>
      <c r="V130" s="185"/>
    </row>
    <row r="131" spans="1:22" ht="18" hidden="1" customHeight="1">
      <c r="A131" s="96"/>
      <c r="B131" s="14"/>
      <c r="C131" s="7"/>
      <c r="D131" s="7"/>
      <c r="E131" s="14"/>
      <c r="F131" s="7"/>
      <c r="L131" s="27"/>
      <c r="M131" s="14"/>
      <c r="O131" s="14"/>
      <c r="P131" s="14"/>
      <c r="Q131" s="14"/>
      <c r="R131" s="14"/>
      <c r="S131" s="14"/>
      <c r="T131" s="14"/>
      <c r="U131" s="14"/>
      <c r="V131" s="185"/>
    </row>
    <row r="132" spans="1:22" ht="18" hidden="1" customHeight="1">
      <c r="A132" s="96"/>
      <c r="B132" s="14"/>
      <c r="C132" s="120" t="s">
        <v>734</v>
      </c>
      <c r="D132" s="28" t="s">
        <v>127</v>
      </c>
      <c r="E132" s="805">
        <f>S107</f>
        <v>31500</v>
      </c>
      <c r="F132" s="805"/>
      <c r="G132" s="14"/>
      <c r="H132" s="14"/>
      <c r="I132" s="102"/>
      <c r="J132" s="47"/>
      <c r="K132" s="47"/>
      <c r="L132" s="14"/>
      <c r="M132" s="14"/>
      <c r="N132" s="14"/>
      <c r="O132" s="14"/>
      <c r="P132" s="14"/>
      <c r="Q132" s="14"/>
      <c r="R132" s="14"/>
      <c r="S132" s="14"/>
      <c r="T132" s="14"/>
      <c r="U132" s="14"/>
      <c r="V132" s="185"/>
    </row>
    <row r="133" spans="1:22" ht="18" hidden="1" customHeight="1">
      <c r="A133" s="96"/>
      <c r="B133" s="14"/>
      <c r="C133" s="120"/>
      <c r="D133" s="28"/>
      <c r="E133" s="978" t="str">
        <f>"5 x "&amp;S108&amp;""</f>
        <v>5 x 0</v>
      </c>
      <c r="F133" s="978"/>
      <c r="G133" s="28"/>
      <c r="H133" s="257"/>
      <c r="K133" s="28"/>
      <c r="L133" s="218"/>
      <c r="M133" s="257"/>
      <c r="O133" s="14"/>
      <c r="P133" s="14"/>
      <c r="Q133" s="14"/>
      <c r="R133" s="14"/>
      <c r="S133" s="14"/>
      <c r="T133" s="14"/>
      <c r="U133" s="14"/>
      <c r="V133" s="185"/>
    </row>
    <row r="134" spans="1:22" ht="18" hidden="1" customHeight="1">
      <c r="A134" s="96"/>
      <c r="J134" s="14"/>
      <c r="K134" s="257"/>
      <c r="M134" s="14"/>
      <c r="N134" s="14"/>
      <c r="O134" s="14"/>
      <c r="P134" s="14"/>
      <c r="Q134" s="14"/>
      <c r="R134" s="14"/>
      <c r="S134" s="14"/>
      <c r="T134" s="14"/>
      <c r="U134" s="14"/>
      <c r="V134" s="185"/>
    </row>
    <row r="135" spans="1:22" ht="18" hidden="1" customHeight="1">
      <c r="A135" s="96"/>
      <c r="C135" s="458" t="s">
        <v>734</v>
      </c>
      <c r="D135" s="182" t="s">
        <v>127</v>
      </c>
      <c r="E135" s="1288" t="e">
        <f>S107/5/S108</f>
        <v>#DIV/0!</v>
      </c>
      <c r="F135" s="722"/>
      <c r="G135" s="27"/>
      <c r="H135" s="27"/>
      <c r="I135" s="27"/>
      <c r="J135" s="120"/>
      <c r="K135" s="28"/>
      <c r="L135" s="120"/>
      <c r="M135" s="28"/>
      <c r="N135" s="120"/>
      <c r="O135" s="28"/>
      <c r="P135" s="120"/>
      <c r="Q135" s="296"/>
      <c r="V135" s="185"/>
    </row>
    <row r="136" spans="1:22" ht="18" hidden="1" customHeight="1">
      <c r="A136" s="96"/>
      <c r="C136" s="120"/>
      <c r="D136" s="28"/>
      <c r="E136" s="218"/>
      <c r="F136" s="218"/>
      <c r="G136" s="27"/>
      <c r="H136" s="27"/>
      <c r="I136" s="27"/>
      <c r="J136" s="120"/>
      <c r="K136" s="28"/>
      <c r="L136" s="120"/>
      <c r="M136" s="28"/>
      <c r="N136" s="120"/>
      <c r="O136" s="28"/>
      <c r="P136" s="120"/>
      <c r="Q136" s="296"/>
      <c r="V136" s="185"/>
    </row>
    <row r="137" spans="1:22" ht="18" hidden="1" customHeight="1">
      <c r="A137" s="96"/>
      <c r="B137" s="14" t="s">
        <v>735</v>
      </c>
      <c r="C137" s="14"/>
      <c r="D137" s="14"/>
      <c r="E137" s="7"/>
      <c r="F137" s="102"/>
      <c r="G137" s="7"/>
      <c r="H137" s="7"/>
      <c r="I137" s="239"/>
      <c r="J137" s="120"/>
      <c r="K137" s="28"/>
      <c r="L137" s="120"/>
      <c r="M137" s="28"/>
      <c r="N137" s="120"/>
      <c r="O137" s="28"/>
      <c r="P137" s="120"/>
      <c r="Q137" s="296"/>
      <c r="V137" s="185"/>
    </row>
    <row r="138" spans="1:22" ht="18" hidden="1" customHeight="1">
      <c r="A138" s="96"/>
      <c r="C138" s="14"/>
      <c r="D138" s="14"/>
      <c r="E138" s="689" t="s">
        <v>736</v>
      </c>
      <c r="F138" s="689">
        <v>1</v>
      </c>
      <c r="G138" s="689"/>
      <c r="H138" s="689" t="s">
        <v>312</v>
      </c>
      <c r="I138" s="459" t="s">
        <v>312</v>
      </c>
      <c r="J138" s="120"/>
      <c r="K138" s="28"/>
      <c r="L138" s="120"/>
      <c r="M138" s="28"/>
      <c r="N138" s="120"/>
      <c r="O138" s="28"/>
      <c r="P138" s="120"/>
      <c r="Q138" s="296"/>
      <c r="V138" s="185"/>
    </row>
    <row r="139" spans="1:22" ht="18" hidden="1" customHeight="1">
      <c r="A139" s="96"/>
      <c r="C139" s="14"/>
      <c r="D139" s="14"/>
      <c r="E139" s="723"/>
      <c r="F139" s="273"/>
      <c r="G139" s="274" t="s">
        <v>737</v>
      </c>
      <c r="H139" s="689"/>
      <c r="I139" s="14" t="s">
        <v>141</v>
      </c>
      <c r="J139" s="120"/>
      <c r="K139" s="28"/>
      <c r="L139" s="120"/>
      <c r="M139" s="28"/>
      <c r="N139" s="120"/>
      <c r="O139" s="28"/>
      <c r="P139" s="120"/>
      <c r="Q139" s="296"/>
      <c r="V139" s="185"/>
    </row>
    <row r="140" spans="1:22" ht="18" hidden="1" customHeight="1">
      <c r="A140" s="96"/>
      <c r="C140" s="120"/>
      <c r="D140" s="28"/>
      <c r="E140" s="218"/>
      <c r="F140" s="218"/>
      <c r="G140" s="27"/>
      <c r="H140" s="27"/>
      <c r="I140" s="27"/>
      <c r="J140" s="120"/>
      <c r="K140" s="28"/>
      <c r="L140" s="120"/>
      <c r="M140" s="28"/>
      <c r="N140" s="120"/>
      <c r="O140" s="28"/>
      <c r="P140" s="120"/>
      <c r="Q140" s="296"/>
      <c r="V140" s="185"/>
    </row>
    <row r="141" spans="1:22" ht="18" hidden="1" customHeight="1">
      <c r="A141" s="96"/>
      <c r="B141" s="14" t="s">
        <v>753</v>
      </c>
      <c r="J141" s="120"/>
      <c r="K141" s="28"/>
      <c r="L141" s="120"/>
      <c r="M141" s="28"/>
      <c r="N141" s="121" t="s">
        <v>127</v>
      </c>
      <c r="O141" s="47" t="e">
        <f>#REF!</f>
        <v>#REF!</v>
      </c>
      <c r="P141" s="120"/>
      <c r="Q141" s="296"/>
      <c r="V141" s="185"/>
    </row>
    <row r="142" spans="1:22" ht="18" hidden="1" customHeight="1">
      <c r="A142" s="184"/>
      <c r="C142" s="120"/>
      <c r="D142" s="28"/>
      <c r="E142" s="218"/>
      <c r="F142" s="218"/>
      <c r="G142" s="27"/>
      <c r="H142" s="27"/>
      <c r="I142" s="27"/>
      <c r="J142" s="120"/>
      <c r="K142" s="28"/>
      <c r="L142" s="120"/>
      <c r="M142" s="28"/>
      <c r="N142" s="120"/>
      <c r="O142" s="28"/>
      <c r="P142" s="120"/>
      <c r="Q142" s="296"/>
      <c r="V142" s="185"/>
    </row>
    <row r="143" spans="1:22" ht="18" hidden="1" customHeight="1">
      <c r="A143" s="96"/>
      <c r="C143" s="120"/>
      <c r="F143" s="708">
        <v>1</v>
      </c>
      <c r="G143" s="708"/>
      <c r="H143" s="708"/>
      <c r="I143" s="27"/>
      <c r="J143" s="689" t="s">
        <v>315</v>
      </c>
      <c r="K143" s="1286" t="e">
        <f>O141</f>
        <v>#REF!</v>
      </c>
      <c r="L143" s="120"/>
      <c r="M143" s="28"/>
      <c r="N143" s="120"/>
      <c r="O143" s="28"/>
      <c r="P143" s="120"/>
      <c r="Q143" s="296"/>
      <c r="V143" s="185"/>
    </row>
    <row r="144" spans="1:22" ht="18" hidden="1" customHeight="1">
      <c r="A144" s="184"/>
      <c r="C144" s="120"/>
      <c r="D144" s="120" t="s">
        <v>738</v>
      </c>
      <c r="E144" s="102" t="s">
        <v>127</v>
      </c>
      <c r="F144" s="14" t="s">
        <v>739</v>
      </c>
      <c r="I144" s="27"/>
      <c r="J144" s="684"/>
      <c r="K144" s="1251"/>
      <c r="L144" s="120"/>
      <c r="M144" s="28"/>
      <c r="N144" s="120"/>
      <c r="O144" s="28"/>
      <c r="P144" s="120"/>
      <c r="Q144" s="296"/>
      <c r="V144" s="185"/>
    </row>
    <row r="145" spans="1:22" ht="18" hidden="1" customHeight="1">
      <c r="A145" s="184"/>
      <c r="C145" s="120"/>
      <c r="D145" s="28"/>
      <c r="E145" s="218" t="s">
        <v>127</v>
      </c>
      <c r="F145" s="1287" t="e">
        <f>1*O141/(2*3.14*50)</f>
        <v>#REF!</v>
      </c>
      <c r="G145" s="1287"/>
      <c r="H145" s="28" t="s">
        <v>740</v>
      </c>
      <c r="I145" s="27"/>
      <c r="J145" s="120"/>
      <c r="K145" s="28"/>
      <c r="L145" s="120"/>
      <c r="M145" s="28"/>
      <c r="N145" s="120"/>
      <c r="O145" s="28"/>
      <c r="P145" s="120"/>
      <c r="Q145" s="296"/>
      <c r="V145" s="185"/>
    </row>
    <row r="146" spans="1:22" ht="18" hidden="1" customHeight="1">
      <c r="A146" s="184"/>
      <c r="C146" s="120"/>
      <c r="D146" s="120" t="s">
        <v>738</v>
      </c>
      <c r="E146" s="218" t="s">
        <v>127</v>
      </c>
      <c r="F146" s="1188" t="e">
        <f>F145*1000</f>
        <v>#REF!</v>
      </c>
      <c r="G146" s="1188"/>
      <c r="H146" s="28" t="s">
        <v>343</v>
      </c>
      <c r="I146" s="27"/>
      <c r="J146" s="120"/>
      <c r="K146" s="28"/>
      <c r="L146" s="120"/>
      <c r="M146" s="28"/>
      <c r="N146" s="120"/>
      <c r="O146" s="28"/>
      <c r="P146" s="120"/>
      <c r="Q146" s="296"/>
      <c r="V146" s="185"/>
    </row>
    <row r="147" spans="1:22" ht="18" hidden="1" customHeight="1">
      <c r="A147" s="184"/>
      <c r="B147" s="14" t="s">
        <v>741</v>
      </c>
      <c r="E147" s="28" t="s">
        <v>127</v>
      </c>
      <c r="F147" s="27">
        <v>10</v>
      </c>
      <c r="G147" s="27"/>
      <c r="H147" s="245"/>
      <c r="I147" s="245"/>
      <c r="J147" s="460"/>
      <c r="K147" s="245"/>
      <c r="L147" s="460"/>
      <c r="M147" s="245"/>
      <c r="N147" s="460"/>
      <c r="O147" s="245"/>
      <c r="P147" s="460"/>
      <c r="Q147" s="461"/>
      <c r="V147" s="185"/>
    </row>
    <row r="148" spans="1:22" ht="18" hidden="1" customHeight="1">
      <c r="A148" s="184"/>
      <c r="G148" s="27"/>
      <c r="H148" s="245"/>
      <c r="I148" s="245"/>
      <c r="J148" s="460"/>
      <c r="K148" s="245"/>
      <c r="L148" s="460"/>
      <c r="M148" s="245"/>
      <c r="N148" s="460"/>
      <c r="O148" s="245"/>
      <c r="P148" s="460"/>
      <c r="Q148" s="461"/>
      <c r="V148" s="185"/>
    </row>
    <row r="149" spans="1:22" ht="18" hidden="1" customHeight="1">
      <c r="A149" s="184"/>
      <c r="B149" s="7" t="s">
        <v>742</v>
      </c>
      <c r="F149" s="7"/>
      <c r="G149" s="7"/>
      <c r="H149" s="204"/>
      <c r="I149" s="204"/>
      <c r="V149" s="185"/>
    </row>
    <row r="150" spans="1:22" ht="18" hidden="1" customHeight="1">
      <c r="A150" s="184"/>
      <c r="B150" s="7"/>
      <c r="E150" s="14" t="s">
        <v>754</v>
      </c>
      <c r="F150" s="7"/>
      <c r="G150" s="7"/>
      <c r="V150" s="185"/>
    </row>
    <row r="151" spans="1:22" ht="18" hidden="1" customHeight="1">
      <c r="A151" s="184"/>
      <c r="B151" s="14" t="s">
        <v>744</v>
      </c>
      <c r="C151" s="14"/>
      <c r="D151" s="14"/>
      <c r="E151" s="14"/>
      <c r="F151" s="14"/>
      <c r="G151" s="120"/>
      <c r="H151" s="120"/>
      <c r="V151" s="185"/>
    </row>
    <row r="152" spans="1:22" ht="18" hidden="1" customHeight="1">
      <c r="A152" s="184"/>
      <c r="B152" s="14"/>
      <c r="C152" s="120" t="s">
        <v>745</v>
      </c>
      <c r="D152" s="28" t="s">
        <v>127</v>
      </c>
      <c r="E152" s="1188" t="e">
        <f>MAX(E135,F147)</f>
        <v>#DIV/0!</v>
      </c>
      <c r="F152" s="1188"/>
      <c r="G152" s="47" t="s">
        <v>746</v>
      </c>
      <c r="H152" s="120"/>
      <c r="V152" s="185"/>
    </row>
    <row r="153" spans="1:22" ht="18" hidden="1" customHeight="1">
      <c r="A153" s="184"/>
      <c r="B153" s="7"/>
      <c r="E153" s="14"/>
      <c r="F153" s="7"/>
      <c r="G153" s="7"/>
      <c r="V153" s="185"/>
    </row>
    <row r="154" spans="1:22" ht="18" hidden="1" customHeight="1">
      <c r="A154" s="184"/>
      <c r="B154" s="47" t="s">
        <v>747</v>
      </c>
      <c r="E154" s="14"/>
      <c r="F154" s="7"/>
      <c r="G154" s="7"/>
      <c r="V154" s="185"/>
    </row>
    <row r="155" spans="1:22" ht="18" hidden="1" customHeight="1">
      <c r="A155" s="184"/>
      <c r="B155" s="47" t="s">
        <v>748</v>
      </c>
      <c r="E155" s="14"/>
      <c r="F155" s="7"/>
      <c r="G155" s="7"/>
      <c r="V155" s="185"/>
    </row>
    <row r="156" spans="1:22" ht="18" hidden="1" customHeight="1" thickBot="1">
      <c r="A156" s="184"/>
      <c r="B156" s="102" t="s">
        <v>127</v>
      </c>
      <c r="C156" s="120" t="e">
        <f>E152</f>
        <v>#DIV/0!</v>
      </c>
      <c r="D156" s="28" t="s">
        <v>315</v>
      </c>
      <c r="E156" s="28" t="s">
        <v>419</v>
      </c>
      <c r="F156" s="692">
        <f>S111</f>
        <v>9.3000000000000007</v>
      </c>
      <c r="G156" s="692"/>
      <c r="H156" s="102" t="s">
        <v>347</v>
      </c>
      <c r="I156" s="218">
        <f>S112</f>
        <v>1.0870224400000001</v>
      </c>
      <c r="J156" s="240" t="s">
        <v>347</v>
      </c>
      <c r="K156" s="281">
        <f>J100</f>
        <v>0.01</v>
      </c>
      <c r="L156" s="14" t="s">
        <v>350</v>
      </c>
      <c r="M156" s="14" t="s">
        <v>315</v>
      </c>
      <c r="N156" s="28">
        <v>1</v>
      </c>
      <c r="V156" s="185"/>
    </row>
    <row r="157" spans="1:22" ht="18" hidden="1" customHeight="1" thickBot="1">
      <c r="A157" s="184"/>
      <c r="B157" s="462" t="s">
        <v>528</v>
      </c>
      <c r="C157" s="463" t="s">
        <v>127</v>
      </c>
      <c r="D157" s="464" t="e">
        <f>C156*(F156+I156+K156)*N156</f>
        <v>#DIV/0!</v>
      </c>
      <c r="E157" s="14" t="s">
        <v>305</v>
      </c>
      <c r="F157" s="7"/>
      <c r="G157" s="7"/>
      <c r="V157" s="185"/>
    </row>
    <row r="158" spans="1:22" ht="18" hidden="1" customHeight="1">
      <c r="A158" s="184"/>
      <c r="B158" s="7"/>
      <c r="E158" s="14"/>
      <c r="F158" s="7"/>
      <c r="G158" s="7"/>
      <c r="V158" s="185"/>
    </row>
    <row r="159" spans="1:22" ht="18" hidden="1" customHeight="1">
      <c r="A159" s="184"/>
      <c r="B159" s="47" t="s">
        <v>749</v>
      </c>
      <c r="E159" s="14"/>
      <c r="F159" s="7"/>
      <c r="G159" s="7"/>
      <c r="J159" s="14" t="s">
        <v>750</v>
      </c>
      <c r="L159" s="28" t="s">
        <v>476</v>
      </c>
      <c r="N159" s="14" t="s">
        <v>751</v>
      </c>
      <c r="V159" s="185"/>
    </row>
    <row r="160" spans="1:22" ht="18" hidden="1" customHeight="1">
      <c r="A160" s="184"/>
      <c r="B160" s="7"/>
      <c r="E160" s="14"/>
      <c r="F160" s="7"/>
      <c r="G160" s="7"/>
      <c r="L160" s="28" t="s">
        <v>127</v>
      </c>
      <c r="N160" s="1251" t="e">
        <f>0.8*D157</f>
        <v>#DIV/0!</v>
      </c>
      <c r="O160" s="1251"/>
      <c r="V160" s="185"/>
    </row>
    <row r="161" spans="1:22" ht="18" hidden="1" customHeight="1">
      <c r="A161" s="184"/>
      <c r="B161" s="7"/>
      <c r="E161" s="14"/>
      <c r="F161" s="14" t="s">
        <v>752</v>
      </c>
      <c r="G161" s="7"/>
      <c r="L161" s="28" t="s">
        <v>127</v>
      </c>
      <c r="N161" s="1072" t="e">
        <f>N160*1.2</f>
        <v>#DIV/0!</v>
      </c>
      <c r="O161" s="1072"/>
      <c r="V161" s="185"/>
    </row>
    <row r="162" spans="1:22" ht="18" hidden="1" customHeight="1">
      <c r="A162" s="184"/>
      <c r="B162" s="7"/>
      <c r="E162" s="14"/>
      <c r="F162" s="7"/>
      <c r="G162" s="7"/>
      <c r="K162" s="199" t="s">
        <v>475</v>
      </c>
      <c r="L162" s="28" t="e">
        <f>IF(J163&gt;M163,"&gt;","&lt;")</f>
        <v>#DIV/0!</v>
      </c>
      <c r="M162" s="257" t="s">
        <v>477</v>
      </c>
      <c r="O162" s="18"/>
      <c r="P162" s="268"/>
      <c r="V162" s="185"/>
    </row>
    <row r="163" spans="1:22" ht="18" hidden="1" customHeight="1">
      <c r="A163" s="184"/>
      <c r="D163" s="211"/>
      <c r="E163" s="211"/>
      <c r="F163" s="27"/>
      <c r="G163" s="211"/>
      <c r="J163" s="795">
        <f>S110</f>
        <v>500</v>
      </c>
      <c r="K163" s="795"/>
      <c r="L163" s="27" t="e">
        <f>IF(J163&gt;=M163,"&gt;","&lt;")</f>
        <v>#DIV/0!</v>
      </c>
      <c r="M163" s="795" t="e">
        <f>N161</f>
        <v>#DIV/0!</v>
      </c>
      <c r="N163" s="795"/>
      <c r="P163" s="268"/>
      <c r="V163" s="185"/>
    </row>
    <row r="164" spans="1:22" ht="18" hidden="1" customHeight="1">
      <c r="A164" s="184"/>
      <c r="K164" s="244" t="s">
        <v>478</v>
      </c>
      <c r="M164" s="18" t="e">
        <f>IF(J163&gt;M163,"Suitable Dimensions","Under Dimensioned")</f>
        <v>#DIV/0!</v>
      </c>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452"/>
      <c r="B168" s="207"/>
      <c r="C168" s="207"/>
      <c r="D168" s="207"/>
      <c r="E168" s="207"/>
      <c r="F168" s="207"/>
      <c r="G168" s="207"/>
      <c r="H168" s="207"/>
      <c r="I168" s="207"/>
      <c r="J168" s="207"/>
      <c r="K168" s="207"/>
      <c r="L168" s="207"/>
      <c r="M168" s="207"/>
      <c r="N168" s="207"/>
      <c r="O168" s="207"/>
      <c r="P168" s="207"/>
      <c r="Q168" s="207"/>
      <c r="R168" s="207"/>
      <c r="S168" s="207"/>
      <c r="T168" s="207"/>
      <c r="U168" s="207"/>
      <c r="V168" s="453"/>
    </row>
    <row r="169" spans="1:22" s="14" customFormat="1" ht="18" hidden="1"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ht="18" hidden="1" customHeight="1">
      <c r="A170" s="226"/>
      <c r="B170" s="227"/>
      <c r="C170" s="227"/>
      <c r="D170" s="227"/>
      <c r="E170" s="227"/>
      <c r="F170" s="227"/>
      <c r="G170" s="227"/>
      <c r="H170" s="227"/>
      <c r="I170" s="227"/>
      <c r="J170" s="227"/>
      <c r="K170" s="227"/>
      <c r="L170" s="227"/>
      <c r="M170" s="227"/>
      <c r="N170" s="227"/>
      <c r="O170" s="227"/>
      <c r="P170" s="227"/>
      <c r="Q170" s="227"/>
      <c r="R170" s="227"/>
      <c r="S170" s="227"/>
      <c r="T170" s="227"/>
      <c r="U170" s="227"/>
      <c r="V170" s="228"/>
    </row>
    <row r="171" spans="1:22" ht="18" hidden="1" customHeight="1">
      <c r="A171" s="184"/>
      <c r="B171" s="854" t="str">
        <f>B89</f>
        <v>T1</v>
      </c>
      <c r="C171" s="831"/>
      <c r="D171" s="854" t="str">
        <f>D89</f>
        <v>Core4</v>
      </c>
      <c r="E171" s="831"/>
      <c r="F171" s="455"/>
      <c r="H171" s="684" t="str">
        <f>H89</f>
        <v>(Low Imp. Busbar)</v>
      </c>
      <c r="I171" s="684"/>
      <c r="J171" s="684"/>
      <c r="K171" s="684"/>
      <c r="L171" s="684"/>
      <c r="M171" s="684"/>
      <c r="P171" s="186"/>
      <c r="S171" s="187" t="s">
        <v>387</v>
      </c>
      <c r="T171" s="854" t="str">
        <f>T89</f>
        <v>REB500</v>
      </c>
      <c r="U171" s="831"/>
      <c r="V171" s="185"/>
    </row>
    <row r="172" spans="1:22" ht="18" hidden="1" customHeight="1">
      <c r="A172" s="456"/>
      <c r="F172" s="455"/>
      <c r="T172" s="854">
        <f>T90</f>
        <v>0</v>
      </c>
      <c r="U172" s="831"/>
      <c r="V172" s="185"/>
    </row>
    <row r="173" spans="1:22" ht="18" hidden="1" customHeight="1">
      <c r="A173" s="184"/>
      <c r="H173" s="708" t="s">
        <v>390</v>
      </c>
      <c r="I173" s="708"/>
      <c r="J173" s="708" t="s">
        <v>391</v>
      </c>
      <c r="K173" s="708"/>
      <c r="L173" s="789" t="s">
        <v>392</v>
      </c>
      <c r="M173" s="789"/>
      <c r="T173" s="854">
        <f>T91</f>
        <v>0</v>
      </c>
      <c r="U173" s="831"/>
      <c r="V173" s="185"/>
    </row>
    <row r="174" spans="1:22" ht="18" hidden="1" customHeight="1">
      <c r="A174" s="184"/>
      <c r="B174" s="47" t="s">
        <v>393</v>
      </c>
      <c r="H174" s="854">
        <f>H92</f>
        <v>2500</v>
      </c>
      <c r="I174" s="831"/>
      <c r="J174" s="854">
        <f>J92</f>
        <v>0</v>
      </c>
      <c r="K174" s="831"/>
      <c r="L174" s="863" t="str">
        <f>L92</f>
        <v>-</v>
      </c>
      <c r="M174" s="864"/>
      <c r="N174" s="191" t="s">
        <v>342</v>
      </c>
      <c r="O174" s="256">
        <f>O92</f>
        <v>1</v>
      </c>
      <c r="P174" s="27" t="s">
        <v>8</v>
      </c>
      <c r="R174" s="255"/>
      <c r="S174" s="255"/>
      <c r="V174" s="185"/>
    </row>
    <row r="175" spans="1:22" ht="18" hidden="1" customHeight="1">
      <c r="A175" s="184"/>
      <c r="B175" s="47" t="s">
        <v>394</v>
      </c>
      <c r="H175" s="14"/>
      <c r="K175" s="14"/>
      <c r="L175" s="854" t="str">
        <f>J93</f>
        <v>PX-B</v>
      </c>
      <c r="M175" s="831"/>
      <c r="N175" s="14"/>
      <c r="V175" s="185"/>
    </row>
    <row r="176" spans="1:22" ht="18" hidden="1" customHeight="1">
      <c r="A176" s="184"/>
      <c r="B176" s="47" t="s">
        <v>396</v>
      </c>
      <c r="K176" s="120" t="s">
        <v>497</v>
      </c>
      <c r="L176" s="781" t="s">
        <v>6</v>
      </c>
      <c r="M176" s="782"/>
      <c r="N176" s="192" t="s">
        <v>333</v>
      </c>
      <c r="V176" s="185"/>
    </row>
    <row r="177" spans="1:23" ht="18" hidden="1" customHeight="1">
      <c r="A177" s="184"/>
      <c r="B177" s="47" t="s">
        <v>398</v>
      </c>
      <c r="K177" s="120" t="s">
        <v>498</v>
      </c>
      <c r="L177" s="781" t="s">
        <v>6</v>
      </c>
      <c r="M177" s="782"/>
      <c r="N177" s="14" t="s">
        <v>305</v>
      </c>
      <c r="V177" s="185"/>
      <c r="W177" s="30" t="e">
        <f>G237</f>
        <v>#VALUE!</v>
      </c>
    </row>
    <row r="178" spans="1:23" ht="18" hidden="1" customHeight="1">
      <c r="A178" s="184"/>
      <c r="B178" s="14" t="s">
        <v>401</v>
      </c>
      <c r="K178" s="120" t="s">
        <v>402</v>
      </c>
      <c r="L178" s="781" t="s">
        <v>6</v>
      </c>
      <c r="M178" s="782"/>
      <c r="N178" s="14" t="s">
        <v>403</v>
      </c>
      <c r="V178" s="185"/>
    </row>
    <row r="179" spans="1:23" ht="18" hidden="1" customHeight="1">
      <c r="A179" s="184"/>
      <c r="V179" s="185"/>
    </row>
    <row r="180" spans="1:23" ht="18" hidden="1" customHeight="1">
      <c r="A180" s="193" t="s">
        <v>404</v>
      </c>
      <c r="V180" s="185"/>
    </row>
    <row r="181" spans="1:23" ht="18" hidden="1" customHeight="1">
      <c r="A181" s="184"/>
      <c r="V181" s="185"/>
    </row>
    <row r="182" spans="1:23" ht="18" hidden="1" customHeight="1">
      <c r="A182" s="184"/>
      <c r="B182" s="135" t="s">
        <v>405</v>
      </c>
      <c r="C182" s="273"/>
      <c r="D182" s="139" t="str">
        <f>T171</f>
        <v>REB500</v>
      </c>
      <c r="E182" s="227"/>
      <c r="F182" s="227"/>
      <c r="G182" s="227"/>
      <c r="H182" s="138"/>
      <c r="I182" s="260" t="s">
        <v>127</v>
      </c>
      <c r="J182" s="722">
        <f>J100</f>
        <v>0.01</v>
      </c>
      <c r="K182" s="958"/>
      <c r="L182" s="3" t="s">
        <v>157</v>
      </c>
      <c r="N182" s="197" t="s">
        <v>510</v>
      </c>
      <c r="V182" s="185"/>
    </row>
    <row r="183" spans="1:23" ht="18" hidden="1" customHeight="1">
      <c r="A183" s="184"/>
      <c r="B183" s="96" t="s">
        <v>405</v>
      </c>
      <c r="C183" s="14"/>
      <c r="D183" s="47">
        <f>T172</f>
        <v>0</v>
      </c>
      <c r="H183" s="28"/>
      <c r="I183" s="101" t="s">
        <v>127</v>
      </c>
      <c r="J183" s="722">
        <f>J101</f>
        <v>0</v>
      </c>
      <c r="K183" s="958"/>
      <c r="L183" s="3" t="s">
        <v>157</v>
      </c>
      <c r="N183" s="120" t="s">
        <v>491</v>
      </c>
      <c r="O183" s="27" t="s">
        <v>127</v>
      </c>
      <c r="P183" s="27" t="s">
        <v>511</v>
      </c>
      <c r="Q183" s="27" t="s">
        <v>315</v>
      </c>
      <c r="R183" s="27" t="s">
        <v>511</v>
      </c>
      <c r="S183" s="27" t="s">
        <v>315</v>
      </c>
      <c r="T183" s="27" t="s">
        <v>420</v>
      </c>
      <c r="V183" s="185"/>
    </row>
    <row r="184" spans="1:23" ht="18" hidden="1" customHeight="1">
      <c r="A184" s="184"/>
      <c r="B184" s="96" t="s">
        <v>405</v>
      </c>
      <c r="C184" s="14"/>
      <c r="D184" s="47">
        <f>T173</f>
        <v>0</v>
      </c>
      <c r="H184" s="28"/>
      <c r="I184" s="101" t="s">
        <v>127</v>
      </c>
      <c r="J184" s="722">
        <f>J102</f>
        <v>0</v>
      </c>
      <c r="K184" s="958"/>
      <c r="L184" s="3" t="s">
        <v>157</v>
      </c>
      <c r="N184" s="27"/>
      <c r="O184" s="27" t="s">
        <v>127</v>
      </c>
      <c r="P184" s="27">
        <f>O174</f>
        <v>1</v>
      </c>
      <c r="Q184" s="27" t="s">
        <v>315</v>
      </c>
      <c r="R184" s="27">
        <f>O174</f>
        <v>1</v>
      </c>
      <c r="S184" s="27" t="s">
        <v>315</v>
      </c>
      <c r="T184" s="27" t="str">
        <f>L176</f>
        <v>-</v>
      </c>
      <c r="V184" s="185"/>
    </row>
    <row r="185" spans="1:23" ht="18" hidden="1" customHeight="1">
      <c r="A185" s="184"/>
      <c r="B185" s="452" t="s">
        <v>412</v>
      </c>
      <c r="C185" s="259"/>
      <c r="D185" s="259"/>
      <c r="E185" s="259"/>
      <c r="F185" s="207"/>
      <c r="G185" s="207"/>
      <c r="H185" s="190"/>
      <c r="I185" s="208" t="s">
        <v>127</v>
      </c>
      <c r="J185" s="1120">
        <f>J103</f>
        <v>1.0770224400000001</v>
      </c>
      <c r="K185" s="987"/>
      <c r="L185" s="297" t="s">
        <v>157</v>
      </c>
      <c r="O185" s="27" t="s">
        <v>127</v>
      </c>
      <c r="P185" s="795" t="e">
        <f>P184*R184*T184</f>
        <v>#VALUE!</v>
      </c>
      <c r="Q185" s="684"/>
      <c r="R185" s="27" t="s">
        <v>157</v>
      </c>
      <c r="V185" s="185"/>
    </row>
    <row r="186" spans="1:23" ht="18" hidden="1" customHeight="1">
      <c r="A186" s="184"/>
      <c r="B186" s="1" t="s">
        <v>413</v>
      </c>
      <c r="C186" s="2"/>
      <c r="D186" s="2"/>
      <c r="E186" s="2"/>
      <c r="F186" s="196"/>
      <c r="G186" s="196"/>
      <c r="H186" s="224" t="s">
        <v>512</v>
      </c>
      <c r="I186" s="183" t="s">
        <v>127</v>
      </c>
      <c r="J186" s="722">
        <f>SUM(J182:J185)</f>
        <v>1.0870224400000001</v>
      </c>
      <c r="K186" s="958"/>
      <c r="L186" s="3" t="s">
        <v>157</v>
      </c>
      <c r="V186" s="185"/>
    </row>
    <row r="187" spans="1:23" ht="18" hidden="1" customHeight="1">
      <c r="A187" s="184"/>
      <c r="B187" s="47"/>
      <c r="C187" s="47"/>
      <c r="D187" s="47"/>
      <c r="E187" s="47"/>
      <c r="H187" s="27"/>
      <c r="I187" s="28"/>
      <c r="J187" s="199"/>
      <c r="L187" s="47"/>
      <c r="S187" s="27"/>
      <c r="V187" s="185"/>
    </row>
    <row r="188" spans="1:23" ht="18" hidden="1" customHeight="1">
      <c r="A188" s="1206" t="s">
        <v>536</v>
      </c>
      <c r="B188" s="1207"/>
      <c r="C188" s="1207"/>
      <c r="D188" s="1207"/>
      <c r="E188" s="1207"/>
      <c r="F188" s="1207"/>
      <c r="G188" s="1207"/>
      <c r="H188" s="1207"/>
      <c r="I188" s="1207"/>
      <c r="J188" s="1207"/>
      <c r="K188" s="1207"/>
      <c r="L188" s="1207"/>
      <c r="M188" s="1207"/>
      <c r="N188" s="1207"/>
      <c r="O188" s="1207"/>
      <c r="P188" s="1207"/>
      <c r="Q188" s="1207"/>
      <c r="R188" s="1207"/>
      <c r="S188" s="1207"/>
      <c r="T188" s="1207"/>
      <c r="U188" s="1207"/>
      <c r="V188" s="1208"/>
    </row>
    <row r="189" spans="1:23" ht="18" hidden="1" customHeight="1">
      <c r="A189" s="1209"/>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84"/>
      <c r="Q190" s="211"/>
      <c r="R190" s="192"/>
      <c r="V190" s="185"/>
    </row>
    <row r="191" spans="1:23" ht="18" hidden="1" customHeight="1">
      <c r="A191" s="184"/>
      <c r="C191" s="28" t="s">
        <v>473</v>
      </c>
      <c r="D191" s="28" t="s">
        <v>127</v>
      </c>
      <c r="E191" s="28" t="s">
        <v>537</v>
      </c>
      <c r="F191" s="28" t="s">
        <v>493</v>
      </c>
      <c r="G191" s="28" t="s">
        <v>347</v>
      </c>
      <c r="H191" s="28" t="s">
        <v>491</v>
      </c>
      <c r="I191" s="28" t="s">
        <v>538</v>
      </c>
      <c r="J191" s="28" t="s">
        <v>495</v>
      </c>
      <c r="K191" s="28" t="s">
        <v>539</v>
      </c>
      <c r="L191" s="28" t="s">
        <v>511</v>
      </c>
      <c r="M191" s="28" t="s">
        <v>315</v>
      </c>
      <c r="N191" s="28">
        <v>1.3</v>
      </c>
      <c r="O191" s="47" t="s">
        <v>350</v>
      </c>
      <c r="V191" s="185"/>
    </row>
    <row r="192" spans="1:23" ht="18" hidden="1" customHeight="1">
      <c r="A192" s="184" t="s">
        <v>540</v>
      </c>
      <c r="C192" s="14"/>
      <c r="D192" s="28"/>
      <c r="E192" s="14"/>
      <c r="F192" s="14"/>
      <c r="G192" s="14"/>
      <c r="H192" s="14"/>
      <c r="I192" s="14"/>
      <c r="J192" s="14"/>
      <c r="K192" s="14"/>
      <c r="L192" s="14"/>
      <c r="M192" s="14"/>
      <c r="N192" s="14"/>
      <c r="O192" s="14"/>
      <c r="V192" s="185"/>
    </row>
    <row r="193" spans="1:25" ht="18" hidden="1" customHeight="1">
      <c r="A193" s="184"/>
      <c r="C193" s="28" t="s">
        <v>493</v>
      </c>
      <c r="D193" s="28" t="s">
        <v>127</v>
      </c>
      <c r="E193" s="28" t="s">
        <v>537</v>
      </c>
      <c r="F193" s="28">
        <v>1.3</v>
      </c>
      <c r="G193" s="28" t="s">
        <v>315</v>
      </c>
      <c r="H193" s="689" t="s">
        <v>473</v>
      </c>
      <c r="I193" s="716"/>
      <c r="J193" s="28" t="s">
        <v>315</v>
      </c>
      <c r="K193" s="28" t="s">
        <v>511</v>
      </c>
      <c r="L193" s="28" t="s">
        <v>541</v>
      </c>
      <c r="M193" s="28" t="s">
        <v>495</v>
      </c>
      <c r="N193" s="47" t="s">
        <v>542</v>
      </c>
      <c r="O193" s="28" t="s">
        <v>491</v>
      </c>
      <c r="V193" s="185"/>
    </row>
    <row r="194" spans="1:25" ht="18" hidden="1" customHeight="1">
      <c r="A194" s="184"/>
      <c r="V194" s="185"/>
    </row>
    <row r="195" spans="1:25" ht="18" hidden="1" customHeight="1">
      <c r="A195" s="168"/>
      <c r="B195" s="5"/>
      <c r="C195" s="47" t="s">
        <v>543</v>
      </c>
      <c r="D195" s="14"/>
      <c r="E195" s="14"/>
      <c r="F195" s="14"/>
      <c r="G195" s="14"/>
      <c r="H195" s="279"/>
      <c r="I195" s="120"/>
      <c r="J195" s="279"/>
      <c r="K195" s="279"/>
      <c r="L195" s="14"/>
      <c r="M195" s="14"/>
      <c r="N195" s="14"/>
      <c r="O195" s="14"/>
      <c r="P195" s="14"/>
      <c r="Q195" s="120" t="s">
        <v>544</v>
      </c>
      <c r="R195" s="102" t="s">
        <v>127</v>
      </c>
      <c r="S195" s="689">
        <f>S113</f>
        <v>1</v>
      </c>
      <c r="T195" s="689"/>
      <c r="U195" s="47" t="s">
        <v>8</v>
      </c>
      <c r="V195" s="185"/>
    </row>
    <row r="196" spans="1:25" ht="18" hidden="1" customHeight="1">
      <c r="A196" s="168"/>
      <c r="B196" s="5"/>
      <c r="C196" s="47" t="s">
        <v>545</v>
      </c>
      <c r="D196" s="14"/>
      <c r="E196" s="14"/>
      <c r="F196" s="18"/>
      <c r="G196" s="18"/>
      <c r="H196" s="279"/>
      <c r="I196" s="120"/>
      <c r="J196" s="279"/>
      <c r="K196" s="279"/>
      <c r="L196" s="14"/>
      <c r="M196" s="14"/>
      <c r="N196" s="14"/>
      <c r="O196" s="14"/>
      <c r="P196" s="14"/>
      <c r="Q196" s="120" t="s">
        <v>423</v>
      </c>
      <c r="R196" s="102" t="s">
        <v>127</v>
      </c>
      <c r="S196" s="689" t="str">
        <f>L174</f>
        <v>-</v>
      </c>
      <c r="T196" s="689"/>
      <c r="U196" s="14" t="s">
        <v>8</v>
      </c>
      <c r="V196" s="185"/>
    </row>
    <row r="197" spans="1:25" ht="18" hidden="1" customHeight="1">
      <c r="A197" s="168"/>
      <c r="B197" s="5"/>
      <c r="C197" s="47" t="s">
        <v>546</v>
      </c>
      <c r="D197" s="14"/>
      <c r="E197" s="14"/>
      <c r="F197" s="18"/>
      <c r="G197" s="18"/>
      <c r="H197" s="279"/>
      <c r="I197" s="120"/>
      <c r="J197" s="279"/>
      <c r="K197" s="279"/>
      <c r="L197" s="14"/>
      <c r="M197" s="14"/>
      <c r="N197" s="14"/>
      <c r="O197" s="14"/>
      <c r="P197" s="14"/>
      <c r="Q197" s="120" t="s">
        <v>473</v>
      </c>
      <c r="R197" s="102" t="s">
        <v>127</v>
      </c>
      <c r="S197" s="689" t="str">
        <f>L177</f>
        <v>-</v>
      </c>
      <c r="T197" s="689"/>
      <c r="U197" s="14" t="s">
        <v>305</v>
      </c>
      <c r="V197" s="185"/>
    </row>
    <row r="198" spans="1:25" ht="18" hidden="1" customHeight="1">
      <c r="A198" s="168"/>
      <c r="B198" s="5"/>
      <c r="C198" s="47" t="s">
        <v>547</v>
      </c>
      <c r="D198" s="14"/>
      <c r="E198" s="14"/>
      <c r="F198" s="18"/>
      <c r="G198" s="18"/>
      <c r="H198" s="279"/>
      <c r="I198" s="120"/>
      <c r="J198" s="279"/>
      <c r="K198" s="279"/>
      <c r="L198" s="14"/>
      <c r="M198" s="14"/>
      <c r="N198" s="14"/>
      <c r="O198" s="14"/>
      <c r="P198" s="14"/>
      <c r="Q198" s="120" t="s">
        <v>491</v>
      </c>
      <c r="R198" s="102" t="s">
        <v>127</v>
      </c>
      <c r="S198" s="692" t="e">
        <f>P185</f>
        <v>#VALUE!</v>
      </c>
      <c r="T198" s="689"/>
      <c r="U198" s="14" t="s">
        <v>157</v>
      </c>
      <c r="V198" s="185"/>
      <c r="W198" s="279"/>
      <c r="X198" s="279"/>
      <c r="Y198" s="279"/>
    </row>
    <row r="199" spans="1:25" ht="18" hidden="1" customHeight="1">
      <c r="A199" s="168"/>
      <c r="B199" s="5"/>
      <c r="C199" s="47" t="s">
        <v>548</v>
      </c>
      <c r="D199" s="14"/>
      <c r="E199" s="14"/>
      <c r="F199" s="18"/>
      <c r="G199" s="18"/>
      <c r="H199" s="279"/>
      <c r="I199" s="120"/>
      <c r="J199" s="279"/>
      <c r="K199" s="279"/>
      <c r="L199" s="14"/>
      <c r="M199" s="14"/>
      <c r="N199" s="14"/>
      <c r="O199" s="14"/>
      <c r="P199" s="14"/>
      <c r="Q199" s="120" t="s">
        <v>512</v>
      </c>
      <c r="R199" s="102" t="s">
        <v>127</v>
      </c>
      <c r="S199" s="692">
        <f>J186</f>
        <v>1.0870224400000001</v>
      </c>
      <c r="T199" s="689"/>
      <c r="U199" s="14" t="s">
        <v>157</v>
      </c>
      <c r="V199" s="185"/>
      <c r="X199" s="279"/>
      <c r="Y199" s="279"/>
    </row>
    <row r="200" spans="1:25" ht="18" hidden="1" customHeight="1">
      <c r="A200" s="168"/>
      <c r="B200" s="5"/>
      <c r="C200" s="47" t="s">
        <v>549</v>
      </c>
      <c r="D200" s="14"/>
      <c r="E200" s="14"/>
      <c r="F200" s="14"/>
      <c r="G200" s="14"/>
      <c r="H200" s="279"/>
      <c r="I200" s="120"/>
      <c r="J200" s="279"/>
      <c r="K200" s="279"/>
      <c r="L200" s="14"/>
      <c r="M200" s="14"/>
      <c r="N200" s="14"/>
      <c r="O200" s="14"/>
      <c r="P200" s="14"/>
      <c r="Q200" s="120" t="s">
        <v>511</v>
      </c>
      <c r="R200" s="102" t="s">
        <v>127</v>
      </c>
      <c r="S200" s="689">
        <f>O174</f>
        <v>1</v>
      </c>
      <c r="T200" s="689"/>
      <c r="U200" s="14" t="s">
        <v>8</v>
      </c>
      <c r="V200" s="185"/>
      <c r="X200" s="279"/>
      <c r="Y200" s="279"/>
    </row>
    <row r="201" spans="1:25" ht="18" hidden="1" customHeight="1">
      <c r="A201" s="168"/>
      <c r="B201" s="5"/>
      <c r="C201" s="47" t="s">
        <v>550</v>
      </c>
      <c r="D201" s="14"/>
      <c r="E201" s="14"/>
      <c r="F201" s="14"/>
      <c r="G201" s="14"/>
      <c r="H201" s="279"/>
      <c r="I201" s="120"/>
      <c r="J201" s="279"/>
      <c r="K201" s="279"/>
      <c r="L201" s="14"/>
      <c r="M201" s="14"/>
      <c r="N201" s="14"/>
      <c r="O201" s="14"/>
      <c r="P201" s="14"/>
      <c r="Q201" s="120" t="s">
        <v>495</v>
      </c>
      <c r="R201" s="102" t="s">
        <v>127</v>
      </c>
      <c r="S201" s="689">
        <v>20</v>
      </c>
      <c r="T201" s="689"/>
      <c r="U201" s="47"/>
      <c r="V201" s="185"/>
    </row>
    <row r="202" spans="1:25" ht="18" hidden="1" customHeight="1">
      <c r="A202" s="299"/>
      <c r="B202" s="279"/>
      <c r="C202" s="47" t="s">
        <v>551</v>
      </c>
      <c r="D202" s="14"/>
      <c r="E202" s="14"/>
      <c r="F202" s="14"/>
      <c r="G202" s="14"/>
      <c r="H202" s="279"/>
      <c r="I202" s="120"/>
      <c r="J202" s="279"/>
      <c r="K202" s="279"/>
      <c r="L202" s="14"/>
      <c r="M202" s="14"/>
      <c r="N202" s="279"/>
      <c r="O202" s="279"/>
      <c r="P202" s="14"/>
      <c r="Q202" s="120" t="s">
        <v>493</v>
      </c>
      <c r="R202" s="14"/>
      <c r="S202" s="279"/>
      <c r="T202" s="279"/>
      <c r="U202" s="279"/>
      <c r="V202" s="300"/>
      <c r="W202" s="279"/>
      <c r="X202" s="279"/>
      <c r="Y202" s="279"/>
    </row>
    <row r="203" spans="1:25" ht="18" hidden="1" customHeight="1">
      <c r="A203" s="184"/>
      <c r="C203" s="14"/>
      <c r="D203" s="14"/>
      <c r="E203" s="14"/>
      <c r="F203" s="14"/>
      <c r="G203" s="14"/>
      <c r="H203" s="14"/>
      <c r="I203" s="14"/>
      <c r="J203" s="14"/>
      <c r="K203" s="14"/>
      <c r="L203" s="14"/>
      <c r="M203" s="14"/>
      <c r="N203" s="14"/>
      <c r="O203" s="14"/>
      <c r="P203" s="14"/>
      <c r="Q203" s="14"/>
      <c r="R203" s="14"/>
      <c r="S203" s="14"/>
      <c r="T203" s="14"/>
      <c r="U203" s="14"/>
      <c r="V203" s="185"/>
    </row>
    <row r="204" spans="1:25" ht="18" hidden="1" customHeight="1">
      <c r="A204" s="184"/>
      <c r="C204" s="28" t="s">
        <v>493</v>
      </c>
      <c r="D204" s="28" t="s">
        <v>127</v>
      </c>
      <c r="E204" s="28" t="s">
        <v>537</v>
      </c>
      <c r="F204" s="28">
        <v>1.3</v>
      </c>
      <c r="G204" s="28" t="s">
        <v>315</v>
      </c>
      <c r="H204" s="689" t="s">
        <v>473</v>
      </c>
      <c r="I204" s="716"/>
      <c r="J204" s="28" t="s">
        <v>315</v>
      </c>
      <c r="K204" s="28" t="s">
        <v>511</v>
      </c>
      <c r="L204" s="28" t="s">
        <v>541</v>
      </c>
      <c r="M204" s="28" t="s">
        <v>495</v>
      </c>
      <c r="N204" s="47" t="s">
        <v>542</v>
      </c>
      <c r="O204" s="28" t="s">
        <v>491</v>
      </c>
      <c r="V204" s="185"/>
    </row>
    <row r="205" spans="1:25" ht="18" hidden="1" customHeight="1">
      <c r="A205" s="184"/>
      <c r="D205" s="27" t="s">
        <v>127</v>
      </c>
      <c r="E205" s="27" t="s">
        <v>537</v>
      </c>
      <c r="F205" s="27">
        <v>1.3</v>
      </c>
      <c r="G205" s="27" t="s">
        <v>315</v>
      </c>
      <c r="H205" s="684" t="str">
        <f>S197</f>
        <v>-</v>
      </c>
      <c r="I205" s="723"/>
      <c r="J205" s="27" t="s">
        <v>315</v>
      </c>
      <c r="K205" s="27">
        <f>S200</f>
        <v>1</v>
      </c>
      <c r="L205" s="27" t="s">
        <v>541</v>
      </c>
      <c r="M205" s="27">
        <f>S201</f>
        <v>20</v>
      </c>
      <c r="N205" s="296" t="s">
        <v>542</v>
      </c>
      <c r="O205" s="222" t="e">
        <f>S198</f>
        <v>#VALUE!</v>
      </c>
      <c r="V205" s="185"/>
    </row>
    <row r="206" spans="1:25" ht="18" hidden="1" customHeight="1">
      <c r="A206" s="184"/>
      <c r="D206" s="27" t="s">
        <v>127</v>
      </c>
      <c r="E206" s="684" t="e">
        <f>((F205*H205*K205)/M205)-O205</f>
        <v>#VALUE!</v>
      </c>
      <c r="F206" s="684"/>
      <c r="G206" s="27" t="s">
        <v>157</v>
      </c>
      <c r="V206" s="185"/>
    </row>
    <row r="207" spans="1:25" ht="18" hidden="1" customHeight="1">
      <c r="A207" s="184"/>
      <c r="D207" s="27"/>
      <c r="E207" s="27"/>
      <c r="F207" s="27"/>
      <c r="G207" s="27"/>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V212" s="185"/>
    </row>
    <row r="213" spans="1:22" s="14" customFormat="1" ht="18" hidden="1" customHeight="1">
      <c r="A213" s="194"/>
      <c r="B213" s="195"/>
      <c r="C213" s="195"/>
      <c r="D213" s="195"/>
      <c r="E213" s="195"/>
      <c r="F213" s="195"/>
      <c r="G213" s="195"/>
      <c r="H213" s="195"/>
      <c r="I213" s="195"/>
      <c r="J213" s="195"/>
      <c r="K213" s="195"/>
      <c r="L213" s="195"/>
      <c r="M213" s="195"/>
      <c r="N213" s="195"/>
      <c r="O213" s="195"/>
      <c r="P213" s="195"/>
      <c r="Q213" s="224"/>
      <c r="R213" s="182"/>
      <c r="S213" s="225"/>
      <c r="T213" s="195"/>
      <c r="U213" s="195"/>
      <c r="V213" s="134"/>
    </row>
    <row r="214" spans="1:22" ht="18" hidden="1" customHeight="1">
      <c r="A214" s="226"/>
      <c r="B214" s="227"/>
      <c r="C214" s="227"/>
      <c r="D214" s="227"/>
      <c r="E214" s="227"/>
      <c r="F214" s="227"/>
      <c r="G214" s="227"/>
      <c r="H214" s="227"/>
      <c r="I214" s="227"/>
      <c r="J214" s="227"/>
      <c r="K214" s="227"/>
      <c r="L214" s="227"/>
      <c r="M214" s="227"/>
      <c r="N214" s="227"/>
      <c r="O214" s="227"/>
      <c r="P214" s="227"/>
      <c r="Q214" s="227"/>
      <c r="R214" s="227"/>
      <c r="S214" s="227"/>
      <c r="T214" s="227"/>
      <c r="U214" s="227"/>
      <c r="V214" s="228"/>
    </row>
    <row r="215" spans="1:22" ht="18" hidden="1" customHeight="1">
      <c r="A215" s="96" t="s">
        <v>755</v>
      </c>
      <c r="B215" s="14"/>
      <c r="C215" s="14"/>
      <c r="D215" s="14"/>
      <c r="E215" s="14"/>
      <c r="F215" s="14"/>
      <c r="G215" s="14"/>
      <c r="H215" s="14"/>
      <c r="I215" s="14"/>
      <c r="J215" s="14"/>
      <c r="K215" s="14"/>
      <c r="L215" s="14"/>
      <c r="M215" s="14"/>
      <c r="N215" s="14"/>
      <c r="O215" s="14"/>
      <c r="P215" s="28"/>
      <c r="Q215" s="120"/>
      <c r="R215" s="14"/>
      <c r="S215" s="14"/>
      <c r="T215" s="14"/>
      <c r="U215" s="14"/>
      <c r="V215" s="185"/>
    </row>
    <row r="216" spans="1:22" ht="18" hidden="1" customHeight="1">
      <c r="A216" s="96"/>
      <c r="B216" s="14"/>
      <c r="C216" s="14"/>
      <c r="D216" s="14"/>
      <c r="E216" s="14"/>
      <c r="F216" s="14"/>
      <c r="G216" s="14"/>
      <c r="H216" s="14"/>
      <c r="K216" s="14" t="s">
        <v>756</v>
      </c>
      <c r="L216" s="28"/>
      <c r="M216" s="47"/>
      <c r="N216" s="14"/>
      <c r="O216" s="14"/>
      <c r="P216" s="14"/>
      <c r="Q216" s="14"/>
      <c r="R216" s="14"/>
      <c r="S216" s="14"/>
      <c r="T216" s="14"/>
      <c r="U216" s="14"/>
      <c r="V216" s="185"/>
    </row>
    <row r="217" spans="1:22" ht="18" hidden="1" customHeight="1">
      <c r="A217" s="96"/>
      <c r="B217" s="28" t="s">
        <v>745</v>
      </c>
      <c r="C217" s="278" t="s">
        <v>652</v>
      </c>
      <c r="D217" s="14" t="s">
        <v>757</v>
      </c>
      <c r="E217" s="14"/>
      <c r="F217" s="268" t="s">
        <v>758</v>
      </c>
      <c r="K217" s="28" t="s">
        <v>745</v>
      </c>
      <c r="L217" s="28" t="s">
        <v>127</v>
      </c>
      <c r="M217" s="281" t="s">
        <v>759</v>
      </c>
      <c r="N217" s="28"/>
      <c r="O217" s="47"/>
      <c r="P217" s="14"/>
      <c r="Q217" s="14"/>
      <c r="R217" s="14"/>
      <c r="S217" s="14"/>
      <c r="T217" s="14"/>
      <c r="U217" s="14"/>
      <c r="V217" s="185"/>
    </row>
    <row r="218" spans="1:22" ht="18" hidden="1" customHeight="1">
      <c r="A218" s="96"/>
      <c r="B218" s="28" t="s">
        <v>745</v>
      </c>
      <c r="C218" s="278" t="s">
        <v>652</v>
      </c>
      <c r="D218" s="47" t="s">
        <v>760</v>
      </c>
      <c r="E218" s="14"/>
      <c r="F218" s="268" t="s">
        <v>761</v>
      </c>
      <c r="K218" s="28"/>
      <c r="L218" s="28" t="s">
        <v>127</v>
      </c>
      <c r="M218" s="14" t="s">
        <v>762</v>
      </c>
      <c r="N218" s="14"/>
      <c r="O218" s="14"/>
      <c r="P218" s="14"/>
      <c r="Q218" s="14"/>
      <c r="R218" s="14"/>
      <c r="S218" s="14"/>
      <c r="T218" s="14"/>
      <c r="U218" s="14"/>
      <c r="V218" s="185"/>
    </row>
    <row r="219" spans="1:22" ht="18" hidden="1" customHeight="1">
      <c r="A219" s="96"/>
      <c r="B219" s="14"/>
      <c r="C219" s="14"/>
      <c r="D219" s="14"/>
      <c r="E219" s="14"/>
      <c r="F219" s="14"/>
      <c r="G219" s="14"/>
      <c r="H219" s="14"/>
      <c r="K219" s="28" t="s">
        <v>757</v>
      </c>
      <c r="L219" s="28" t="s">
        <v>127</v>
      </c>
      <c r="M219" s="47" t="s">
        <v>763</v>
      </c>
      <c r="N219" s="14"/>
      <c r="O219" s="14"/>
      <c r="P219" s="14"/>
      <c r="Q219" s="14"/>
      <c r="R219" s="14"/>
      <c r="S219" s="14"/>
      <c r="T219" s="14"/>
      <c r="U219" s="14"/>
      <c r="V219" s="185"/>
    </row>
    <row r="220" spans="1:22" ht="18" hidden="1" customHeight="1">
      <c r="A220" s="96"/>
      <c r="B220" s="14"/>
      <c r="C220" s="14"/>
      <c r="K220" s="28" t="s">
        <v>760</v>
      </c>
      <c r="L220" s="28" t="s">
        <v>127</v>
      </c>
      <c r="M220" s="28">
        <v>10</v>
      </c>
      <c r="O220" s="14" t="s">
        <v>764</v>
      </c>
      <c r="P220" s="28" t="s">
        <v>765</v>
      </c>
      <c r="Q220" s="278" t="s">
        <v>766</v>
      </c>
      <c r="R220" s="28">
        <v>120</v>
      </c>
      <c r="S220" s="14" t="s">
        <v>767</v>
      </c>
      <c r="T220" s="14"/>
      <c r="U220" s="14"/>
      <c r="V220" s="185"/>
    </row>
    <row r="221" spans="1:22" ht="18" hidden="1" customHeight="1">
      <c r="A221" s="96"/>
      <c r="B221" s="14"/>
      <c r="C221" s="14"/>
      <c r="L221" s="28" t="s">
        <v>127</v>
      </c>
      <c r="M221" s="27">
        <v>20</v>
      </c>
      <c r="N221" s="14"/>
      <c r="O221" s="14" t="s">
        <v>764</v>
      </c>
      <c r="P221" s="28" t="s">
        <v>765</v>
      </c>
      <c r="Q221" s="278" t="s">
        <v>766</v>
      </c>
      <c r="R221" s="28">
        <v>300</v>
      </c>
      <c r="S221" s="14" t="s">
        <v>767</v>
      </c>
      <c r="T221" s="14"/>
      <c r="U221" s="14"/>
      <c r="V221" s="185"/>
    </row>
    <row r="222" spans="1:22" ht="18" hidden="1" customHeight="1">
      <c r="A222" s="96"/>
      <c r="B222" s="14"/>
      <c r="C222" s="14"/>
      <c r="N222" s="14"/>
      <c r="O222" s="14"/>
      <c r="P222" s="28"/>
      <c r="Q222" s="120"/>
      <c r="R222" s="14"/>
      <c r="S222" s="14"/>
      <c r="T222" s="14"/>
      <c r="U222" s="14"/>
      <c r="V222" s="185"/>
    </row>
    <row r="223" spans="1:22" ht="18" hidden="1" customHeight="1">
      <c r="A223" s="96" t="s">
        <v>768</v>
      </c>
      <c r="B223" s="14"/>
      <c r="C223" s="14"/>
      <c r="K223" s="27" t="s">
        <v>757</v>
      </c>
      <c r="L223" s="27" t="s">
        <v>127</v>
      </c>
      <c r="M223" s="684" t="s">
        <v>425</v>
      </c>
      <c r="N223" s="684"/>
      <c r="O223" s="27" t="s">
        <v>769</v>
      </c>
      <c r="P223" s="27">
        <v>5</v>
      </c>
      <c r="Q223" s="28" t="s">
        <v>315</v>
      </c>
      <c r="R223" s="684" t="s">
        <v>423</v>
      </c>
      <c r="S223" s="684"/>
      <c r="T223" s="14" t="s">
        <v>350</v>
      </c>
      <c r="U223" s="14"/>
      <c r="V223" s="185"/>
    </row>
    <row r="224" spans="1:22" ht="18" hidden="1" customHeight="1">
      <c r="A224" s="96"/>
      <c r="B224" s="14"/>
      <c r="C224" s="14"/>
      <c r="L224" s="27" t="s">
        <v>127</v>
      </c>
      <c r="M224" s="684">
        <f>S195</f>
        <v>1</v>
      </c>
      <c r="N224" s="684"/>
      <c r="O224" s="27" t="s">
        <v>769</v>
      </c>
      <c r="P224" s="27">
        <v>5</v>
      </c>
      <c r="Q224" s="28" t="s">
        <v>315</v>
      </c>
      <c r="R224" s="684" t="str">
        <f>S196</f>
        <v>-</v>
      </c>
      <c r="S224" s="684"/>
      <c r="T224" s="14" t="s">
        <v>350</v>
      </c>
      <c r="U224" s="14"/>
      <c r="V224" s="185"/>
    </row>
    <row r="225" spans="1:22" ht="18" hidden="1" customHeight="1">
      <c r="A225" s="96"/>
      <c r="B225" s="14"/>
      <c r="C225" s="14"/>
      <c r="D225" s="14"/>
      <c r="E225" s="120"/>
      <c r="F225" s="28"/>
      <c r="L225" s="27" t="s">
        <v>127</v>
      </c>
      <c r="M225" s="689" t="e">
        <f>M224/(P224*R224)</f>
        <v>#VALUE!</v>
      </c>
      <c r="N225" s="684"/>
      <c r="O225" s="14"/>
      <c r="P225" s="14"/>
      <c r="Q225" s="14"/>
      <c r="R225" s="14"/>
      <c r="S225" s="14"/>
      <c r="T225" s="14"/>
      <c r="U225" s="14"/>
      <c r="V225" s="185"/>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85"/>
    </row>
    <row r="227" spans="1:22" ht="18" hidden="1" customHeight="1">
      <c r="A227" s="96" t="s">
        <v>770</v>
      </c>
      <c r="B227" s="14"/>
      <c r="C227" s="14"/>
      <c r="D227" s="14"/>
      <c r="E227" s="257" t="s">
        <v>771</v>
      </c>
      <c r="F227" s="14"/>
      <c r="G227" s="28" t="s">
        <v>127</v>
      </c>
      <c r="H227" s="692">
        <f>'[2]Parameters &amp; Fault Cal.'!Q184</f>
        <v>0</v>
      </c>
      <c r="I227" s="684"/>
      <c r="J227" s="30" t="s">
        <v>531</v>
      </c>
      <c r="K227" s="28" t="s">
        <v>760</v>
      </c>
      <c r="L227" s="218" t="s">
        <v>127</v>
      </c>
      <c r="M227" s="692">
        <f>IF(H227&lt;=120,M220,M221)</f>
        <v>10</v>
      </c>
      <c r="N227" s="684"/>
      <c r="O227" s="14"/>
      <c r="P227" s="14"/>
      <c r="Q227" s="14"/>
      <c r="R227" s="14"/>
      <c r="S227" s="14"/>
      <c r="T227" s="14"/>
      <c r="U227" s="14"/>
      <c r="V227" s="185"/>
    </row>
    <row r="228" spans="1:22" ht="18" hidden="1" customHeight="1">
      <c r="A228" s="184"/>
      <c r="J228" s="14"/>
      <c r="K228" s="257"/>
      <c r="M228" s="14"/>
      <c r="N228" s="14"/>
      <c r="O228" s="14"/>
      <c r="P228" s="14"/>
      <c r="Q228" s="14"/>
      <c r="R228" s="14"/>
      <c r="S228" s="14"/>
      <c r="T228" s="14"/>
      <c r="U228" s="14"/>
      <c r="V228" s="185"/>
    </row>
    <row r="229" spans="1:22" ht="18" hidden="1" customHeight="1">
      <c r="A229" s="96" t="s">
        <v>772</v>
      </c>
      <c r="E229" s="199"/>
      <c r="G229" s="27" t="s">
        <v>127</v>
      </c>
      <c r="H229" s="27" t="s">
        <v>495</v>
      </c>
      <c r="I229" s="27" t="s">
        <v>554</v>
      </c>
      <c r="J229" s="120" t="s">
        <v>491</v>
      </c>
      <c r="K229" s="28" t="s">
        <v>347</v>
      </c>
      <c r="L229" s="120" t="s">
        <v>493</v>
      </c>
      <c r="M229" s="28" t="s">
        <v>539</v>
      </c>
      <c r="N229" s="120" t="s">
        <v>491</v>
      </c>
      <c r="O229" s="28" t="s">
        <v>347</v>
      </c>
      <c r="P229" s="120" t="s">
        <v>512</v>
      </c>
      <c r="Q229" s="296" t="s">
        <v>350</v>
      </c>
      <c r="V229" s="185"/>
    </row>
    <row r="230" spans="1:22" ht="18" hidden="1" customHeight="1">
      <c r="A230" s="184"/>
      <c r="G230" s="27" t="s">
        <v>127</v>
      </c>
      <c r="H230" s="242">
        <f>S201</f>
        <v>20</v>
      </c>
      <c r="I230" s="245" t="s">
        <v>554</v>
      </c>
      <c r="J230" s="301" t="e">
        <f>S198</f>
        <v>#VALUE!</v>
      </c>
      <c r="K230" s="245" t="s">
        <v>347</v>
      </c>
      <c r="L230" s="301" t="e">
        <f>E206</f>
        <v>#VALUE!</v>
      </c>
      <c r="M230" s="245" t="s">
        <v>539</v>
      </c>
      <c r="N230" s="301" t="e">
        <f>S198</f>
        <v>#VALUE!</v>
      </c>
      <c r="O230" s="245" t="s">
        <v>347</v>
      </c>
      <c r="P230" s="301">
        <f>S199</f>
        <v>1.0870224400000001</v>
      </c>
      <c r="Q230" s="461" t="s">
        <v>350</v>
      </c>
      <c r="V230" s="185"/>
    </row>
    <row r="231" spans="1:22" ht="18" hidden="1" customHeight="1">
      <c r="A231" s="184"/>
      <c r="G231" s="27" t="s">
        <v>127</v>
      </c>
      <c r="H231" s="795" t="e">
        <f>H230*((J230+L230)/(N230+P230))</f>
        <v>#VALUE!</v>
      </c>
      <c r="I231" s="795"/>
      <c r="V231" s="185"/>
    </row>
    <row r="232" spans="1:22" ht="18" hidden="1" customHeight="1">
      <c r="A232" s="184"/>
      <c r="V232" s="185"/>
    </row>
    <row r="233" spans="1:22" ht="18" hidden="1" customHeight="1">
      <c r="A233" s="184" t="s">
        <v>773</v>
      </c>
      <c r="E233" s="244"/>
      <c r="F233" s="27"/>
      <c r="G233" s="296"/>
      <c r="V233" s="185"/>
    </row>
    <row r="234" spans="1:22" ht="18" hidden="1" customHeight="1">
      <c r="A234" s="184"/>
      <c r="D234" s="211"/>
      <c r="E234" s="211"/>
      <c r="F234" s="27"/>
      <c r="G234" s="211"/>
      <c r="H234" s="211"/>
      <c r="V234" s="185"/>
    </row>
    <row r="235" spans="1:22" ht="18" hidden="1" customHeight="1">
      <c r="A235" s="184"/>
      <c r="D235" s="795" t="e">
        <f>H231</f>
        <v>#VALUE!</v>
      </c>
      <c r="E235" s="684"/>
      <c r="F235" s="27" t="e">
        <f>IF(D235&gt;=G235,"&gt;","&lt;")</f>
        <v>#VALUE!</v>
      </c>
      <c r="G235" s="795" t="e">
        <f>M225</f>
        <v>#VALUE!</v>
      </c>
      <c r="H235" s="684"/>
      <c r="I235" s="18"/>
      <c r="J235" s="268" t="s">
        <v>758</v>
      </c>
      <c r="V235" s="185"/>
    </row>
    <row r="236" spans="1:22" ht="18" hidden="1" customHeight="1">
      <c r="A236" s="184"/>
      <c r="D236" s="795" t="e">
        <f>H231</f>
        <v>#VALUE!</v>
      </c>
      <c r="E236" s="684"/>
      <c r="F236" s="27" t="e">
        <f>IF(D236&gt;=G236,"&gt;","&lt;")</f>
        <v>#VALUE!</v>
      </c>
      <c r="G236" s="795">
        <f>M227</f>
        <v>10</v>
      </c>
      <c r="H236" s="684"/>
      <c r="J236" s="268" t="s">
        <v>761</v>
      </c>
      <c r="V236" s="185"/>
    </row>
    <row r="237" spans="1:22" ht="18" hidden="1" customHeight="1">
      <c r="A237" s="184"/>
      <c r="E237" s="244" t="s">
        <v>478</v>
      </c>
      <c r="G237" s="18" t="e">
        <f>IF(AND(F235="&gt;",F236="&gt;")=TRUE,"Suitably Dimensioned","Under Dimensioned")</f>
        <v>#VALUE!</v>
      </c>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s="14" customFormat="1" ht="18" hidden="1" customHeight="1">
      <c r="A257" s="194"/>
      <c r="B257" s="195"/>
      <c r="C257" s="195"/>
      <c r="D257" s="195"/>
      <c r="E257" s="195"/>
      <c r="F257" s="195"/>
      <c r="G257" s="195"/>
      <c r="H257" s="195"/>
      <c r="I257" s="195"/>
      <c r="J257" s="195"/>
      <c r="K257" s="195"/>
      <c r="L257" s="195"/>
      <c r="M257" s="195"/>
      <c r="N257" s="195"/>
      <c r="O257" s="195"/>
      <c r="P257" s="195"/>
      <c r="Q257" s="224"/>
      <c r="R257" s="182"/>
      <c r="S257" s="225"/>
      <c r="T257" s="195"/>
      <c r="U257" s="195"/>
      <c r="V257" s="134"/>
    </row>
    <row r="258" spans="1:22" ht="18" customHeight="1">
      <c r="A258" s="226"/>
      <c r="B258" s="227"/>
      <c r="C258" s="227"/>
      <c r="D258" s="227"/>
      <c r="E258" s="227"/>
      <c r="F258" s="227"/>
      <c r="G258" s="227"/>
      <c r="H258" s="227"/>
      <c r="I258" s="227"/>
      <c r="J258" s="227"/>
      <c r="K258" s="227"/>
      <c r="L258" s="227"/>
      <c r="M258" s="227"/>
      <c r="N258" s="227"/>
      <c r="O258" s="227"/>
      <c r="P258" s="227"/>
      <c r="Q258" s="227"/>
      <c r="R258" s="227"/>
      <c r="S258" s="227"/>
      <c r="T258" s="227"/>
      <c r="U258" s="227"/>
      <c r="V258" s="228"/>
    </row>
    <row r="259" spans="1:22" ht="18" customHeight="1">
      <c r="A259" s="262" t="s">
        <v>501</v>
      </c>
      <c r="B259" s="14"/>
      <c r="C259" s="14"/>
      <c r="D259" s="120"/>
      <c r="E259" s="120"/>
      <c r="F259" s="18"/>
      <c r="G259" s="18"/>
      <c r="H259" s="14"/>
      <c r="I259" s="14"/>
      <c r="J259" s="14"/>
      <c r="K259" s="14"/>
      <c r="L259" s="14"/>
      <c r="M259" s="14"/>
      <c r="N259" s="14"/>
      <c r="O259" s="14"/>
      <c r="P259" s="28"/>
      <c r="Q259" s="120"/>
      <c r="R259" s="47"/>
      <c r="S259" s="206"/>
      <c r="T259" s="259"/>
      <c r="U259" s="14"/>
      <c r="V259" s="97"/>
    </row>
    <row r="260" spans="1:22" ht="18" customHeight="1">
      <c r="A260" s="955" t="s">
        <v>85</v>
      </c>
      <c r="B260" s="956"/>
      <c r="C260" s="957"/>
      <c r="D260" s="955" t="s">
        <v>86</v>
      </c>
      <c r="E260" s="956"/>
      <c r="F260" s="957"/>
      <c r="G260" s="955" t="s">
        <v>87</v>
      </c>
      <c r="H260" s="957"/>
      <c r="I260" s="955" t="s">
        <v>88</v>
      </c>
      <c r="J260" s="957"/>
      <c r="K260" s="955" t="s">
        <v>502</v>
      </c>
      <c r="L260" s="957"/>
      <c r="M260" s="955" t="s">
        <v>503</v>
      </c>
      <c r="N260" s="957"/>
      <c r="O260" s="955" t="s">
        <v>504</v>
      </c>
      <c r="P260" s="957"/>
      <c r="Q260" s="955" t="s">
        <v>505</v>
      </c>
      <c r="R260" s="957"/>
      <c r="S260" s="955" t="s">
        <v>93</v>
      </c>
      <c r="T260" s="956"/>
      <c r="U260" s="956"/>
      <c r="V260" s="957"/>
    </row>
    <row r="261" spans="1:22" ht="18" customHeight="1">
      <c r="A261" s="1125"/>
      <c r="B261" s="983"/>
      <c r="C261" s="1126"/>
      <c r="D261" s="1125"/>
      <c r="E261" s="983"/>
      <c r="F261" s="1126"/>
      <c r="G261" s="1125"/>
      <c r="H261" s="1126"/>
      <c r="I261" s="1125"/>
      <c r="J261" s="1126"/>
      <c r="K261" s="1125"/>
      <c r="L261" s="1126"/>
      <c r="M261" s="1125"/>
      <c r="N261" s="1126"/>
      <c r="O261" s="1125"/>
      <c r="P261" s="1126"/>
      <c r="Q261" s="1125"/>
      <c r="R261" s="1126"/>
      <c r="S261" s="1125"/>
      <c r="T261" s="983"/>
      <c r="U261" s="983"/>
      <c r="V261" s="1126"/>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047"/>
      <c r="B263" s="1048"/>
      <c r="C263" s="1049"/>
      <c r="D263" s="1047"/>
      <c r="E263" s="1048"/>
      <c r="F263" s="1049"/>
      <c r="G263" s="1047"/>
      <c r="H263" s="1049"/>
      <c r="I263" s="1047"/>
      <c r="J263" s="1049"/>
      <c r="K263" s="1047"/>
      <c r="L263" s="1049"/>
      <c r="M263" s="1047"/>
      <c r="N263" s="1049"/>
      <c r="O263" s="1047"/>
      <c r="P263" s="1049"/>
      <c r="Q263" s="1047"/>
      <c r="R263" s="1049"/>
      <c r="S263" s="1047"/>
      <c r="T263" s="1048"/>
      <c r="U263" s="1048"/>
      <c r="V263" s="1049"/>
    </row>
    <row r="264" spans="1:22" ht="18" customHeight="1">
      <c r="A264" s="765" t="str">
        <f>B7</f>
        <v>T1</v>
      </c>
      <c r="B264" s="765" t="str">
        <f>D7</f>
        <v>Core4</v>
      </c>
      <c r="C264" s="765"/>
      <c r="D264" s="870">
        <f>H10</f>
        <v>2500</v>
      </c>
      <c r="E264" s="870"/>
      <c r="F264" s="871">
        <f>O10</f>
        <v>1</v>
      </c>
      <c r="G264" s="870">
        <f>'CT-VT Burdens'!S21</f>
        <v>120</v>
      </c>
      <c r="H264" s="874">
        <f>'CT-VT Burdens'!S10</f>
        <v>6</v>
      </c>
      <c r="I264" s="874" t="str">
        <f>H11</f>
        <v>PX-B</v>
      </c>
      <c r="J264" s="874" t="e">
        <f>#REF!</f>
        <v>#REF!</v>
      </c>
      <c r="K264" s="869">
        <f>H12</f>
        <v>5</v>
      </c>
      <c r="L264" s="869"/>
      <c r="M264" s="869">
        <f>H13</f>
        <v>750</v>
      </c>
      <c r="N264" s="869"/>
      <c r="O264" s="870">
        <f>H14</f>
        <v>60</v>
      </c>
      <c r="P264" s="870"/>
      <c r="Q264" s="879" t="str">
        <f>IF(T8="",T7,IF(T9="",T7&amp;"+"&amp;T8,T7&amp;"+"&amp;T8&amp;"+"&amp;T9))</f>
        <v>REB500</v>
      </c>
      <c r="R264" s="879"/>
      <c r="S264" s="878" t="str">
        <f>M83</f>
        <v>Suitable Dimensions</v>
      </c>
      <c r="T264" s="878"/>
      <c r="U264" s="878"/>
      <c r="V264" s="878"/>
    </row>
    <row r="265" spans="1:22" ht="18" customHeight="1">
      <c r="A265" s="765"/>
      <c r="B265" s="765"/>
      <c r="C265" s="765"/>
      <c r="D265" s="870">
        <f>J10</f>
        <v>0</v>
      </c>
      <c r="E265" s="870"/>
      <c r="F265" s="872"/>
      <c r="G265" s="870"/>
      <c r="H265" s="870"/>
      <c r="I265" s="874"/>
      <c r="J265" s="874"/>
      <c r="K265" s="875" t="s">
        <v>6</v>
      </c>
      <c r="L265" s="869"/>
      <c r="M265" s="875" t="s">
        <v>6</v>
      </c>
      <c r="N265" s="869"/>
      <c r="O265" s="876" t="s">
        <v>6</v>
      </c>
      <c r="P265" s="870"/>
      <c r="Q265" s="879"/>
      <c r="R265" s="879"/>
      <c r="S265" s="877" t="s">
        <v>6</v>
      </c>
      <c r="T265" s="878"/>
      <c r="U265" s="878"/>
      <c r="V265" s="878"/>
    </row>
    <row r="266" spans="1:22" ht="18" customHeight="1">
      <c r="A266" s="765"/>
      <c r="B266" s="765"/>
      <c r="C266" s="765"/>
      <c r="D266" s="870" t="str">
        <f>L10</f>
        <v>-</v>
      </c>
      <c r="E266" s="870"/>
      <c r="F266" s="873"/>
      <c r="G266" s="870"/>
      <c r="H266" s="870"/>
      <c r="I266" s="874"/>
      <c r="J266" s="874"/>
      <c r="K266" s="869" t="str">
        <f>L176</f>
        <v>-</v>
      </c>
      <c r="L266" s="869"/>
      <c r="M266" s="869" t="str">
        <f>L177</f>
        <v>-</v>
      </c>
      <c r="N266" s="869"/>
      <c r="O266" s="870" t="str">
        <f>L178</f>
        <v>-</v>
      </c>
      <c r="P266" s="870"/>
      <c r="Q266" s="879"/>
      <c r="R266" s="879"/>
      <c r="S266" s="878" t="s">
        <v>6</v>
      </c>
      <c r="T266" s="878"/>
      <c r="U266" s="878"/>
      <c r="V266" s="878"/>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s="14" customFormat="1" ht="18" customHeight="1">
      <c r="A298" s="194"/>
      <c r="B298" s="195"/>
      <c r="C298" s="195"/>
      <c r="D298" s="195"/>
      <c r="E298" s="195"/>
      <c r="F298" s="195"/>
      <c r="G298" s="195"/>
      <c r="H298" s="195"/>
      <c r="I298" s="195"/>
      <c r="J298" s="195"/>
      <c r="K298" s="195"/>
      <c r="L298" s="195"/>
      <c r="M298" s="195"/>
      <c r="N298" s="195"/>
      <c r="O298" s="195"/>
      <c r="P298" s="195"/>
      <c r="Q298" s="224"/>
      <c r="R298" s="182"/>
      <c r="S298" s="225"/>
      <c r="T298" s="195"/>
      <c r="U298" s="195"/>
      <c r="V298"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82" priority="3" stopIfTrue="1" operator="equal">
      <formula>"Under Dimentioned"</formula>
    </cfRule>
  </conditionalFormatting>
  <conditionalFormatting sqref="O81 M83:M85">
    <cfRule type="cellIs" dxfId="81" priority="1" stopIfTrue="1" operator="equal">
      <formula>"Under Dimentioned"</formula>
    </cfRule>
  </conditionalFormatting>
  <conditionalFormatting sqref="O162 M164">
    <cfRule type="cellIs" dxfId="80"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codeName="Sheet46">
    <tabColor rgb="FFFFFF00"/>
  </sheetPr>
  <dimension ref="A1:Y302"/>
  <sheetViews>
    <sheetView showZeros="0" view="pageBreakPreview" zoomScale="115" zoomScaleNormal="100" zoomScaleSheetLayoutView="115" workbookViewId="0">
      <selection activeCell="R292" sqref="R292"/>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[5]Title!O3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[5]Title!O4</f>
        <v>Revision No.</v>
      </c>
      <c r="P4" s="886"/>
      <c r="Q4" s="887"/>
      <c r="R4" s="775" t="str">
        <f>Title!R4</f>
        <v>A</v>
      </c>
      <c r="S4" s="1068"/>
      <c r="T4" s="1068"/>
      <c r="U4" s="1068"/>
      <c r="V4" s="776"/>
      <c r="W4" s="14"/>
      <c r="X4" s="14"/>
    </row>
    <row r="5" spans="1:24" ht="18" customHeight="1">
      <c r="A5" s="880" t="str">
        <f>[5]Title!A5</f>
        <v>Prep. By</v>
      </c>
      <c r="B5" s="943"/>
      <c r="C5" s="25" t="str">
        <f>[5]Title!C5</f>
        <v>AP</v>
      </c>
      <c r="D5" s="880" t="str">
        <f>[5]Title!D5</f>
        <v>Checked By</v>
      </c>
      <c r="E5" s="881"/>
      <c r="F5" s="943"/>
      <c r="G5" s="25" t="str">
        <f>[5]Title!G5</f>
        <v>RB</v>
      </c>
      <c r="H5" s="1340" t="s">
        <v>900</v>
      </c>
      <c r="I5" s="1341"/>
      <c r="J5" s="1341"/>
      <c r="K5" s="1341"/>
      <c r="L5" s="1341"/>
      <c r="M5" s="1341"/>
      <c r="N5" s="1342"/>
      <c r="O5" s="947" t="str">
        <f>[5]Title!O5</f>
        <v>Contractor</v>
      </c>
      <c r="P5" s="948"/>
      <c r="Q5" s="949"/>
      <c r="R5" s="775" t="str">
        <f>Title!R5</f>
        <v>HITACHI</v>
      </c>
      <c r="S5" s="1068"/>
      <c r="T5" s="1068"/>
      <c r="U5" s="1068"/>
      <c r="V5" s="776"/>
      <c r="W5" s="14"/>
      <c r="X5" s="14"/>
    </row>
    <row r="6" spans="1:24" ht="18" customHeight="1">
      <c r="A6" s="184"/>
      <c r="V6" s="185"/>
    </row>
    <row r="7" spans="1:24" ht="18" customHeight="1">
      <c r="A7" s="184"/>
      <c r="B7" s="1075" t="s">
        <v>108</v>
      </c>
      <c r="C7" s="1076"/>
      <c r="D7" s="1092" t="s">
        <v>112</v>
      </c>
      <c r="E7" s="1093"/>
      <c r="F7" s="455"/>
      <c r="H7" s="684"/>
      <c r="I7" s="684"/>
      <c r="J7" s="684"/>
      <c r="K7" s="684"/>
      <c r="L7" s="684"/>
      <c r="M7" s="684"/>
      <c r="P7" s="186"/>
      <c r="S7" s="187" t="s">
        <v>387</v>
      </c>
      <c r="T7" s="1075" t="s">
        <v>882</v>
      </c>
      <c r="U7" s="1076"/>
      <c r="V7" s="185"/>
    </row>
    <row r="8" spans="1:24" ht="18" customHeight="1">
      <c r="A8" s="456"/>
      <c r="F8" s="455"/>
      <c r="T8" s="1075"/>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2500</v>
      </c>
      <c r="I10" s="1091"/>
      <c r="J10" s="1075"/>
      <c r="K10" s="1076"/>
      <c r="L10" s="1075"/>
      <c r="M10" s="1076"/>
      <c r="N10" s="191" t="s">
        <v>342</v>
      </c>
      <c r="O10" s="501">
        <v>1</v>
      </c>
      <c r="P10" s="27" t="s">
        <v>8</v>
      </c>
      <c r="R10" s="255"/>
      <c r="S10" s="255"/>
      <c r="V10" s="185"/>
    </row>
    <row r="11" spans="1:24" ht="18" customHeight="1">
      <c r="A11" s="184"/>
      <c r="B11" s="47" t="s">
        <v>394</v>
      </c>
      <c r="H11" s="1075" t="s">
        <v>814</v>
      </c>
      <c r="I11" s="1076"/>
      <c r="V11" s="185"/>
    </row>
    <row r="12" spans="1:24" ht="18" customHeight="1">
      <c r="A12" s="184"/>
      <c r="B12" s="47" t="s">
        <v>396</v>
      </c>
      <c r="G12" s="120" t="s">
        <v>497</v>
      </c>
      <c r="H12" s="1224">
        <v>5</v>
      </c>
      <c r="I12" s="1225"/>
      <c r="J12" s="192" t="s">
        <v>333</v>
      </c>
      <c r="V12" s="185"/>
    </row>
    <row r="13" spans="1:24" ht="18" customHeight="1">
      <c r="A13" s="184"/>
      <c r="B13" s="47" t="s">
        <v>398</v>
      </c>
      <c r="G13" s="120" t="s">
        <v>498</v>
      </c>
      <c r="H13" s="1075">
        <v>750</v>
      </c>
      <c r="I13" s="1076"/>
      <c r="J13" s="14" t="s">
        <v>305</v>
      </c>
      <c r="U13" s="18"/>
      <c r="V13" s="185"/>
      <c r="W13" s="30" t="str">
        <f>H58</f>
        <v>Suitably Dimentioned</v>
      </c>
    </row>
    <row r="14" spans="1:24" ht="18" customHeight="1">
      <c r="A14" s="184"/>
      <c r="B14" s="14" t="s">
        <v>401</v>
      </c>
      <c r="G14" s="120" t="s">
        <v>402</v>
      </c>
      <c r="H14" s="1075">
        <v>60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P743</v>
      </c>
      <c r="E18" s="227"/>
      <c r="F18" s="227"/>
      <c r="G18" s="227"/>
      <c r="H18" s="138"/>
      <c r="I18" s="260" t="s">
        <v>127</v>
      </c>
      <c r="J18" s="1077">
        <f>'CT-VT Burdens'!Q159</f>
        <v>0.1</v>
      </c>
      <c r="K18" s="1078"/>
      <c r="L18" s="3" t="s">
        <v>157</v>
      </c>
      <c r="N18" s="197"/>
      <c r="V18" s="185"/>
    </row>
    <row r="19" spans="1:25" ht="18" customHeight="1">
      <c r="A19" s="184"/>
      <c r="B19" s="96" t="s">
        <v>405</v>
      </c>
      <c r="C19" s="14"/>
      <c r="D19" s="47">
        <f>T8</f>
        <v>0</v>
      </c>
      <c r="E19" s="14"/>
      <c r="G19" s="199"/>
      <c r="H19" s="27"/>
      <c r="I19" s="101" t="s">
        <v>127</v>
      </c>
      <c r="J19" s="1220"/>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Burdens'!S24</f>
        <v>1.0770224400000001</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1.1770224400000002</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68"/>
      <c r="B24" s="5"/>
      <c r="C24" s="47" t="s">
        <v>817</v>
      </c>
      <c r="D24" s="14"/>
      <c r="E24" s="14"/>
      <c r="F24" s="14"/>
      <c r="G24" s="14"/>
      <c r="H24" s="279"/>
      <c r="I24" s="120"/>
      <c r="J24" s="279"/>
      <c r="K24" s="279"/>
      <c r="L24" s="14"/>
      <c r="M24" s="14"/>
      <c r="N24" s="14"/>
      <c r="O24" s="14"/>
      <c r="P24" s="14"/>
      <c r="Q24" s="120" t="s">
        <v>818</v>
      </c>
      <c r="R24" s="102" t="s">
        <v>127</v>
      </c>
      <c r="S24" s="1237">
        <f>'Parameters &amp; Fault Cal. (4)'!Q10 *1000</f>
        <v>50000</v>
      </c>
      <c r="T24" s="1238"/>
      <c r="U24" s="47" t="s">
        <v>8</v>
      </c>
      <c r="V24" s="185"/>
    </row>
    <row r="25" spans="1:25" ht="18" customHeight="1">
      <c r="A25" s="168"/>
      <c r="B25" s="5"/>
      <c r="C25" s="47" t="s">
        <v>654</v>
      </c>
      <c r="D25" s="14"/>
      <c r="E25" s="14"/>
      <c r="F25" s="18"/>
      <c r="G25" s="18"/>
      <c r="H25" s="279"/>
      <c r="I25" s="120"/>
      <c r="J25" s="279"/>
      <c r="K25" s="279"/>
      <c r="L25" s="14"/>
      <c r="M25" s="14"/>
      <c r="N25" s="14"/>
      <c r="O25" s="14"/>
      <c r="P25" s="14"/>
      <c r="Q25" s="120" t="s">
        <v>423</v>
      </c>
      <c r="R25" s="102" t="s">
        <v>127</v>
      </c>
      <c r="S25" s="689">
        <f>H10</f>
        <v>2500</v>
      </c>
      <c r="T25" s="689"/>
      <c r="U25" s="14" t="s">
        <v>8</v>
      </c>
      <c r="V25" s="185"/>
    </row>
    <row r="26" spans="1:25" ht="18" customHeight="1">
      <c r="A26" s="168"/>
      <c r="B26" s="5"/>
      <c r="C26" s="47" t="s">
        <v>819</v>
      </c>
      <c r="E26" s="14"/>
      <c r="F26" s="18"/>
      <c r="G26" s="18"/>
      <c r="H26" s="279"/>
      <c r="I26" s="120"/>
      <c r="J26" s="279"/>
      <c r="K26" s="279"/>
      <c r="L26" s="14"/>
      <c r="M26" s="14"/>
      <c r="N26" s="14"/>
      <c r="O26" s="14"/>
      <c r="P26" s="14"/>
      <c r="Q26" s="120" t="s">
        <v>820</v>
      </c>
      <c r="R26" s="28" t="s">
        <v>127</v>
      </c>
      <c r="S26" s="692">
        <f>S24/S25*O10</f>
        <v>20</v>
      </c>
      <c r="T26" s="692"/>
      <c r="U26" s="14" t="s">
        <v>8</v>
      </c>
      <c r="V26" s="185"/>
    </row>
    <row r="27" spans="1:25" ht="18" customHeight="1">
      <c r="A27" s="168"/>
      <c r="B27" s="5"/>
      <c r="C27" s="47" t="s">
        <v>821</v>
      </c>
      <c r="D27" s="14"/>
      <c r="E27" s="14"/>
      <c r="F27" s="18"/>
      <c r="G27" s="18"/>
      <c r="H27" s="279"/>
      <c r="I27" s="120"/>
      <c r="J27" s="279"/>
      <c r="K27" s="279"/>
      <c r="L27" s="14"/>
      <c r="M27" s="14"/>
      <c r="N27" s="14"/>
      <c r="O27" s="14"/>
      <c r="P27" s="14"/>
      <c r="Q27" s="120" t="s">
        <v>689</v>
      </c>
      <c r="R27" s="28" t="s">
        <v>127</v>
      </c>
      <c r="S27" s="692">
        <f>J22/O10*O10</f>
        <v>1.1770224400000002</v>
      </c>
      <c r="T27" s="692"/>
      <c r="U27" s="192" t="s">
        <v>333</v>
      </c>
      <c r="V27" s="185"/>
      <c r="X27" s="279"/>
      <c r="Y27" s="279"/>
    </row>
    <row r="28" spans="1:25" ht="18" customHeight="1">
      <c r="A28" s="168"/>
      <c r="B28" s="5"/>
      <c r="C28" s="47" t="s">
        <v>822</v>
      </c>
      <c r="Q28" s="120" t="s">
        <v>823</v>
      </c>
      <c r="R28" s="28" t="s">
        <v>127</v>
      </c>
      <c r="S28" s="1237">
        <f>20*S25</f>
        <v>50000</v>
      </c>
      <c r="T28" s="1238"/>
      <c r="U28" s="14" t="s">
        <v>8</v>
      </c>
      <c r="V28" s="185"/>
      <c r="X28" s="279"/>
      <c r="Y28" s="279"/>
    </row>
    <row r="29" spans="1:25" ht="18" customHeight="1">
      <c r="A29" s="299"/>
      <c r="B29" s="279"/>
      <c r="C29" s="47" t="s">
        <v>824</v>
      </c>
      <c r="Q29" s="244" t="s">
        <v>825</v>
      </c>
      <c r="R29" s="28" t="s">
        <v>127</v>
      </c>
      <c r="S29" s="795">
        <f>S28/S25</f>
        <v>20</v>
      </c>
      <c r="T29" s="795"/>
      <c r="U29" s="14" t="s">
        <v>8</v>
      </c>
      <c r="V29" s="300"/>
      <c r="W29" s="279"/>
      <c r="X29" s="279"/>
      <c r="Y29" s="279"/>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85"/>
    </row>
    <row r="31" spans="1:25" ht="18" customHeight="1">
      <c r="A31" s="193" t="s">
        <v>755</v>
      </c>
      <c r="B31" s="14"/>
      <c r="C31" s="14"/>
      <c r="D31" s="14"/>
      <c r="E31" s="14"/>
      <c r="F31" s="14"/>
      <c r="G31" s="14"/>
      <c r="H31" s="14"/>
      <c r="K31" s="14"/>
      <c r="T31" s="14"/>
      <c r="U31" s="14"/>
      <c r="V31" s="185"/>
    </row>
    <row r="32" spans="1:25" ht="18" customHeight="1">
      <c r="A32" s="96"/>
      <c r="B32" s="14"/>
      <c r="C32" s="14"/>
      <c r="D32" s="14"/>
      <c r="E32" s="14"/>
      <c r="F32" s="14"/>
      <c r="G32" s="14"/>
      <c r="H32" s="14"/>
      <c r="K32" s="14"/>
      <c r="T32" s="14"/>
      <c r="U32" s="14"/>
      <c r="V32" s="185"/>
    </row>
    <row r="33" spans="1:22" ht="18" customHeight="1">
      <c r="A33" s="193" t="s">
        <v>826</v>
      </c>
      <c r="H33" s="28"/>
      <c r="I33" s="28"/>
      <c r="J33" s="28"/>
      <c r="K33" s="28"/>
      <c r="T33" s="14"/>
      <c r="U33" s="14"/>
      <c r="V33" s="185"/>
    </row>
    <row r="34" spans="1:22" ht="18" customHeight="1">
      <c r="A34" s="193"/>
      <c r="H34" s="28"/>
      <c r="I34" s="28"/>
      <c r="J34" s="28"/>
      <c r="K34" s="28"/>
      <c r="T34" s="14"/>
      <c r="U34" s="14"/>
      <c r="V34" s="185"/>
    </row>
    <row r="35" spans="1:22" ht="18" customHeight="1">
      <c r="A35" s="184"/>
      <c r="B35" s="689" t="s">
        <v>473</v>
      </c>
      <c r="C35" s="689"/>
      <c r="D35" s="28" t="s">
        <v>827</v>
      </c>
      <c r="E35" s="28">
        <v>0.5</v>
      </c>
      <c r="F35" s="28" t="s">
        <v>315</v>
      </c>
      <c r="G35" s="689" t="s">
        <v>820</v>
      </c>
      <c r="H35" s="689"/>
      <c r="I35" s="28" t="s">
        <v>672</v>
      </c>
      <c r="J35" s="689" t="s">
        <v>420</v>
      </c>
      <c r="K35" s="689"/>
      <c r="L35" s="28" t="s">
        <v>347</v>
      </c>
      <c r="M35" s="689" t="s">
        <v>689</v>
      </c>
      <c r="N35" s="689"/>
      <c r="O35" s="14" t="s">
        <v>350</v>
      </c>
      <c r="P35" s="14"/>
      <c r="Q35" s="14"/>
      <c r="R35" s="14"/>
      <c r="T35" s="14"/>
      <c r="U35" s="14"/>
      <c r="V35" s="185"/>
    </row>
    <row r="36" spans="1:22" ht="18" customHeight="1">
      <c r="A36" s="184"/>
      <c r="B36" s="14"/>
      <c r="C36" s="14"/>
      <c r="D36" s="102" t="s">
        <v>127</v>
      </c>
      <c r="E36" s="28">
        <v>0.5</v>
      </c>
      <c r="F36" s="28" t="s">
        <v>315</v>
      </c>
      <c r="G36" s="692">
        <f>S26</f>
        <v>20</v>
      </c>
      <c r="H36" s="689"/>
      <c r="I36" s="28" t="s">
        <v>672</v>
      </c>
      <c r="J36" s="689">
        <f>H12</f>
        <v>5</v>
      </c>
      <c r="K36" s="689"/>
      <c r="L36" s="28" t="s">
        <v>347</v>
      </c>
      <c r="M36" s="692">
        <f>S27</f>
        <v>1.1770224400000002</v>
      </c>
      <c r="N36" s="689"/>
      <c r="O36" s="14" t="s">
        <v>350</v>
      </c>
      <c r="S36" s="14"/>
      <c r="T36" s="14"/>
      <c r="U36" s="14"/>
      <c r="V36" s="185"/>
    </row>
    <row r="37" spans="1:22" ht="18" customHeight="1">
      <c r="A37" s="184"/>
      <c r="B37" s="14"/>
      <c r="C37" s="14"/>
      <c r="D37" s="102" t="s">
        <v>127</v>
      </c>
      <c r="E37" s="692">
        <f>E36*G36*(J36+M36)</f>
        <v>61.770224400000004</v>
      </c>
      <c r="F37" s="692"/>
      <c r="G37" s="211"/>
      <c r="H37" s="218"/>
      <c r="I37" s="14"/>
      <c r="J37" s="14"/>
      <c r="K37" s="14"/>
      <c r="L37" s="14"/>
      <c r="M37" s="14"/>
      <c r="N37" s="14"/>
      <c r="O37" s="14"/>
      <c r="P37" s="14"/>
      <c r="Q37" s="14"/>
      <c r="R37" s="14"/>
      <c r="V37" s="185"/>
    </row>
    <row r="38" spans="1:22" ht="18" customHeight="1">
      <c r="A38" s="184"/>
      <c r="B38" s="14"/>
      <c r="C38" s="14"/>
      <c r="D38" s="28"/>
      <c r="E38" s="218"/>
      <c r="F38" s="218"/>
      <c r="G38" s="211"/>
      <c r="H38" s="218"/>
      <c r="I38" s="14"/>
      <c r="J38" s="14"/>
      <c r="K38" s="14"/>
      <c r="L38" s="14"/>
      <c r="M38" s="14"/>
      <c r="N38" s="14"/>
      <c r="O38" s="14"/>
      <c r="P38" s="14"/>
      <c r="Q38" s="14"/>
      <c r="R38" s="14"/>
      <c r="V38" s="185"/>
    </row>
    <row r="39" spans="1:22" ht="18" customHeight="1">
      <c r="A39" s="193" t="s">
        <v>828</v>
      </c>
      <c r="B39" s="14"/>
      <c r="C39" s="14"/>
      <c r="D39" s="28"/>
      <c r="E39" s="218"/>
      <c r="F39" s="218"/>
      <c r="G39" s="211"/>
      <c r="H39" s="218"/>
      <c r="I39" s="14"/>
      <c r="J39" s="14"/>
      <c r="K39" s="14"/>
      <c r="L39" s="14"/>
      <c r="M39" s="14"/>
      <c r="N39" s="14"/>
      <c r="O39" s="14"/>
      <c r="P39" s="14"/>
      <c r="Q39" s="14"/>
      <c r="R39" s="14"/>
      <c r="V39" s="185"/>
    </row>
    <row r="40" spans="1:22" ht="18" customHeight="1">
      <c r="A40" s="184"/>
      <c r="B40" s="14"/>
      <c r="C40" s="14"/>
      <c r="D40" s="28"/>
      <c r="E40" s="218"/>
      <c r="F40" s="218"/>
      <c r="G40" s="211"/>
      <c r="H40" s="218"/>
      <c r="I40" s="14"/>
      <c r="J40" s="14"/>
      <c r="K40" s="14"/>
      <c r="L40" s="14"/>
      <c r="M40" s="14"/>
      <c r="N40" s="14"/>
      <c r="O40" s="14"/>
      <c r="P40" s="14"/>
      <c r="Q40" s="14"/>
      <c r="R40" s="14"/>
      <c r="V40" s="185"/>
    </row>
    <row r="41" spans="1:22" ht="18" customHeight="1">
      <c r="A41" s="184"/>
      <c r="B41" s="689" t="s">
        <v>473</v>
      </c>
      <c r="C41" s="689"/>
      <c r="D41" s="28" t="s">
        <v>827</v>
      </c>
      <c r="E41" s="689" t="s">
        <v>825</v>
      </c>
      <c r="F41" s="689"/>
      <c r="G41" s="28" t="s">
        <v>672</v>
      </c>
      <c r="H41" s="689" t="s">
        <v>420</v>
      </c>
      <c r="I41" s="689"/>
      <c r="J41" s="28" t="s">
        <v>347</v>
      </c>
      <c r="K41" s="689" t="s">
        <v>689</v>
      </c>
      <c r="L41" s="689"/>
      <c r="M41" s="14" t="s">
        <v>350</v>
      </c>
      <c r="P41" s="14"/>
      <c r="Q41" s="14"/>
      <c r="R41" s="14"/>
      <c r="V41" s="185"/>
    </row>
    <row r="42" spans="1:22" ht="18" customHeight="1">
      <c r="A42" s="184"/>
      <c r="B42" s="14"/>
      <c r="C42" s="14"/>
      <c r="D42" s="102" t="s">
        <v>127</v>
      </c>
      <c r="E42" s="692">
        <f>S29</f>
        <v>20</v>
      </c>
      <c r="F42" s="689"/>
      <c r="G42" s="28" t="s">
        <v>672</v>
      </c>
      <c r="H42" s="689">
        <f>H12</f>
        <v>5</v>
      </c>
      <c r="I42" s="689"/>
      <c r="J42" s="28" t="s">
        <v>347</v>
      </c>
      <c r="K42" s="692">
        <f>S27</f>
        <v>1.1770224400000002</v>
      </c>
      <c r="L42" s="689"/>
      <c r="M42" s="14" t="s">
        <v>350</v>
      </c>
      <c r="N42" s="14"/>
      <c r="O42" s="14"/>
      <c r="P42" s="14"/>
      <c r="Q42" s="14"/>
      <c r="R42" s="14"/>
      <c r="V42" s="185"/>
    </row>
    <row r="43" spans="1:22" ht="18" customHeight="1">
      <c r="A43" s="184"/>
      <c r="B43" s="14"/>
      <c r="C43" s="14"/>
      <c r="D43" s="102" t="s">
        <v>127</v>
      </c>
      <c r="E43" s="692">
        <f>E42*(H42+K42)</f>
        <v>123.54044880000001</v>
      </c>
      <c r="F43" s="692"/>
      <c r="G43" s="211"/>
      <c r="H43" s="218"/>
      <c r="I43" s="14"/>
      <c r="J43" s="14"/>
      <c r="K43" s="14"/>
      <c r="L43" s="14"/>
      <c r="M43" s="14"/>
      <c r="N43" s="14"/>
      <c r="O43" s="14"/>
      <c r="P43" s="14"/>
      <c r="Q43" s="14"/>
      <c r="R43" s="14"/>
      <c r="V43" s="185"/>
    </row>
    <row r="44" spans="1:22" ht="18" customHeight="1">
      <c r="A44" s="184"/>
      <c r="B44" s="14"/>
      <c r="C44" s="14"/>
      <c r="D44" s="102"/>
      <c r="E44" s="218"/>
      <c r="F44" s="218"/>
      <c r="G44" s="211"/>
      <c r="H44" s="218"/>
      <c r="I44" s="14"/>
      <c r="J44" s="14"/>
      <c r="K44" s="14"/>
      <c r="L44" s="14"/>
      <c r="M44" s="14"/>
      <c r="N44" s="14"/>
      <c r="O44" s="14"/>
      <c r="P44" s="14"/>
      <c r="Q44" s="14"/>
      <c r="R44" s="1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829</v>
      </c>
      <c r="B47" s="197"/>
      <c r="C47" s="197"/>
      <c r="D47" s="197"/>
      <c r="E47" s="14"/>
      <c r="F47" s="14"/>
      <c r="G47" s="14"/>
      <c r="H47" s="14"/>
      <c r="I47" s="14"/>
      <c r="J47" s="14"/>
      <c r="K47" s="14"/>
      <c r="L47" s="14"/>
      <c r="M47" s="14"/>
      <c r="N47" s="14"/>
      <c r="O47" s="14"/>
      <c r="P47" s="27"/>
      <c r="Q47" s="28"/>
      <c r="T47" s="14"/>
      <c r="U47" s="14"/>
      <c r="V47" s="185"/>
    </row>
    <row r="48" spans="1:22" ht="18" customHeight="1">
      <c r="A48" s="193"/>
      <c r="B48" s="197"/>
      <c r="C48" s="197"/>
      <c r="D48" s="197"/>
      <c r="E48" s="14"/>
      <c r="F48" s="14"/>
      <c r="G48" s="14"/>
      <c r="H48" s="14"/>
      <c r="I48" s="14"/>
      <c r="J48" s="14"/>
      <c r="K48" s="14"/>
      <c r="L48" s="14"/>
      <c r="M48" s="14"/>
      <c r="N48" s="14"/>
      <c r="O48" s="14"/>
      <c r="P48" s="27"/>
      <c r="Q48" s="28"/>
      <c r="T48" s="14"/>
      <c r="U48" s="14"/>
      <c r="V48" s="185"/>
    </row>
    <row r="49" spans="1:22" ht="18" customHeight="1">
      <c r="A49" s="96"/>
      <c r="B49" s="197" t="s">
        <v>826</v>
      </c>
      <c r="C49" s="197"/>
      <c r="D49" s="14"/>
      <c r="E49" s="14"/>
      <c r="F49" s="14"/>
      <c r="G49" s="14"/>
      <c r="H49" s="14"/>
      <c r="I49" s="14"/>
      <c r="J49" s="14"/>
      <c r="K49" s="14"/>
      <c r="L49" s="14"/>
      <c r="M49" s="14"/>
      <c r="N49" s="14"/>
      <c r="O49" s="14"/>
      <c r="P49" s="14"/>
      <c r="Q49" s="14"/>
      <c r="R49" s="14"/>
      <c r="S49" s="14"/>
      <c r="T49" s="14"/>
      <c r="U49" s="14"/>
      <c r="V49" s="185"/>
    </row>
    <row r="50" spans="1:22" ht="18" customHeight="1">
      <c r="A50" s="96"/>
      <c r="B50" s="14"/>
      <c r="C50" s="14"/>
      <c r="D50" s="14"/>
      <c r="E50" s="14"/>
      <c r="F50" s="244" t="s">
        <v>475</v>
      </c>
      <c r="G50" s="28" t="str">
        <f>IF(E51&gt;H51, "&gt;","&lt;")</f>
        <v>&gt;</v>
      </c>
      <c r="H50" s="14" t="s">
        <v>477</v>
      </c>
      <c r="I50" s="14"/>
      <c r="J50" s="14"/>
      <c r="K50" s="14"/>
      <c r="L50" s="14" t="s">
        <v>830</v>
      </c>
      <c r="M50" s="14"/>
      <c r="N50" s="14"/>
      <c r="O50" s="14"/>
      <c r="P50" s="14"/>
      <c r="Q50" s="14"/>
      <c r="R50" s="14"/>
      <c r="S50" s="14"/>
      <c r="T50" s="14"/>
      <c r="U50" s="14"/>
      <c r="V50" s="185"/>
    </row>
    <row r="51" spans="1:22" ht="18" customHeight="1">
      <c r="A51" s="96"/>
      <c r="B51" s="14"/>
      <c r="C51" s="14"/>
      <c r="D51" s="14"/>
      <c r="E51" s="834">
        <f>H13</f>
        <v>750</v>
      </c>
      <c r="F51" s="834"/>
      <c r="G51" s="28" t="str">
        <f>G50</f>
        <v>&gt;</v>
      </c>
      <c r="H51" s="692">
        <f>E37</f>
        <v>61.770224400000004</v>
      </c>
      <c r="I51" s="692"/>
      <c r="J51" s="14"/>
      <c r="K51" s="14"/>
      <c r="L51" s="14"/>
      <c r="M51" s="14"/>
      <c r="N51" s="14"/>
      <c r="O51" s="14"/>
      <c r="P51" s="14"/>
      <c r="Q51" s="14"/>
      <c r="R51" s="14"/>
      <c r="S51" s="14"/>
      <c r="T51" s="14"/>
      <c r="U51" s="14"/>
      <c r="V51" s="185"/>
    </row>
    <row r="52" spans="1:22" ht="18" customHeight="1">
      <c r="A52" s="184"/>
      <c r="D52" s="211"/>
      <c r="E52" s="218"/>
      <c r="F52" s="199" t="s">
        <v>831</v>
      </c>
      <c r="G52" s="211"/>
      <c r="H52" s="281" t="s">
        <v>832</v>
      </c>
      <c r="J52" s="28" t="s">
        <v>833</v>
      </c>
      <c r="K52" s="18" t="str">
        <f>IF(G51="&gt;", "Satisfied", "Not Satisfied")</f>
        <v>Satisfied</v>
      </c>
      <c r="P52" s="14"/>
      <c r="Q52" s="14"/>
      <c r="R52" s="14"/>
      <c r="S52" s="14"/>
      <c r="T52" s="14"/>
      <c r="U52" s="14"/>
      <c r="V52" s="185"/>
    </row>
    <row r="53" spans="1:22" ht="18" customHeight="1">
      <c r="A53" s="96"/>
      <c r="B53" s="197" t="s">
        <v>828</v>
      </c>
      <c r="C53" s="197"/>
      <c r="D53" s="14"/>
      <c r="E53" s="14"/>
      <c r="F53" s="14"/>
      <c r="G53" s="14"/>
      <c r="H53" s="14"/>
      <c r="I53" s="14"/>
      <c r="J53" s="14"/>
      <c r="K53" s="14"/>
      <c r="L53" s="14"/>
      <c r="M53" s="14"/>
      <c r="N53" s="14"/>
      <c r="O53" s="14"/>
      <c r="P53" s="120"/>
      <c r="Q53" s="296"/>
      <c r="V53" s="185"/>
    </row>
    <row r="54" spans="1:22" ht="18" customHeight="1">
      <c r="A54" s="96"/>
      <c r="B54" s="14"/>
      <c r="C54" s="14"/>
      <c r="D54" s="14"/>
      <c r="E54" s="14"/>
      <c r="F54" s="244" t="s">
        <v>475</v>
      </c>
      <c r="G54" s="28" t="str">
        <f>IF(E55&gt;H55, "&gt;","&lt;")</f>
        <v>&gt;</v>
      </c>
      <c r="H54" s="14" t="s">
        <v>477</v>
      </c>
      <c r="I54" s="14"/>
      <c r="J54" s="14"/>
      <c r="K54" s="14"/>
      <c r="L54" s="14" t="s">
        <v>834</v>
      </c>
      <c r="M54" s="14"/>
      <c r="N54" s="14"/>
      <c r="O54" s="14"/>
      <c r="P54" s="301"/>
      <c r="Q54" s="461"/>
      <c r="V54" s="185"/>
    </row>
    <row r="55" spans="1:22" ht="18" customHeight="1">
      <c r="A55" s="96"/>
      <c r="B55" s="14"/>
      <c r="C55" s="14"/>
      <c r="D55" s="14"/>
      <c r="E55" s="834">
        <f>H13</f>
        <v>750</v>
      </c>
      <c r="F55" s="834"/>
      <c r="G55" s="28" t="str">
        <f>G54</f>
        <v>&gt;</v>
      </c>
      <c r="H55" s="692">
        <f>E43</f>
        <v>123.54044880000001</v>
      </c>
      <c r="I55" s="692"/>
      <c r="J55" s="14"/>
      <c r="K55" s="14"/>
      <c r="L55" s="14"/>
      <c r="M55" s="14"/>
      <c r="N55" s="14"/>
      <c r="O55" s="14"/>
      <c r="V55" s="185"/>
    </row>
    <row r="56" spans="1:22" ht="18" customHeight="1">
      <c r="A56" s="184"/>
      <c r="D56" s="211"/>
      <c r="E56" s="14"/>
      <c r="F56" s="199" t="s">
        <v>831</v>
      </c>
      <c r="G56" s="211"/>
      <c r="H56" s="281" t="s">
        <v>828</v>
      </c>
      <c r="J56" s="28" t="s">
        <v>833</v>
      </c>
      <c r="K56" s="18" t="str">
        <f>IF(G55="&gt;", "Satisfied", "Not Satisfied")</f>
        <v>Satisfied</v>
      </c>
      <c r="P56" s="232"/>
      <c r="Q56" s="232"/>
      <c r="R56" s="232"/>
      <c r="S56" s="232"/>
      <c r="T56" s="232"/>
      <c r="U56" s="232"/>
      <c r="V56" s="233"/>
    </row>
    <row r="57" spans="1:22" ht="18" customHeight="1">
      <c r="A57" s="184"/>
      <c r="H57" s="28"/>
      <c r="I57" s="28"/>
      <c r="J57" s="28"/>
      <c r="K57" s="28"/>
      <c r="L57" s="28"/>
      <c r="M57" s="28"/>
      <c r="N57" s="28"/>
      <c r="O57" s="28"/>
      <c r="P57" s="232"/>
      <c r="Q57" s="232"/>
      <c r="R57" s="232"/>
      <c r="S57" s="232"/>
      <c r="T57" s="232"/>
      <c r="U57" s="232"/>
      <c r="V57" s="233"/>
    </row>
    <row r="58" spans="1:22" ht="18" customHeight="1">
      <c r="A58" s="96"/>
      <c r="B58" s="14"/>
      <c r="C58" s="14"/>
      <c r="D58" s="14"/>
      <c r="E58" s="14"/>
      <c r="F58" s="244" t="s">
        <v>478</v>
      </c>
      <c r="G58" s="14"/>
      <c r="H58" s="18" t="str">
        <f>IF(AND(E51&gt;H51,E55&gt;H55),"Suitably Dimentioned","Under Dimentioned")</f>
        <v>Suitably Dimentioned</v>
      </c>
      <c r="I58" s="18"/>
      <c r="J58" s="18"/>
      <c r="K58" s="18"/>
      <c r="L58" s="18"/>
      <c r="M58" s="18"/>
      <c r="N58" s="14"/>
      <c r="O58" s="14"/>
      <c r="V58" s="185"/>
    </row>
    <row r="59" spans="1:22" ht="18" customHeight="1">
      <c r="A59" s="184"/>
      <c r="B59" s="27"/>
      <c r="C59" s="27"/>
      <c r="D59" s="27"/>
      <c r="E59" s="28"/>
      <c r="F59" s="27"/>
      <c r="G59" s="28"/>
      <c r="H59" s="27"/>
      <c r="I59" s="28"/>
      <c r="J59" s="27"/>
      <c r="K59" s="27"/>
      <c r="L59" s="27"/>
      <c r="M59" s="27"/>
      <c r="V59" s="185"/>
    </row>
    <row r="60" spans="1:22" ht="18" customHeight="1">
      <c r="A60" s="184"/>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4.4" customHeight="1">
      <c r="A65" s="184"/>
      <c r="V65" s="185"/>
    </row>
    <row r="66" spans="1:22" ht="14.4"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4.4"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3" ht="18" customHeight="1">
      <c r="A81" s="184"/>
      <c r="V81" s="185"/>
    </row>
    <row r="82" spans="1:23" ht="18" customHeight="1">
      <c r="A82" s="184"/>
      <c r="V82" s="185"/>
    </row>
    <row r="83" spans="1:23" ht="18" customHeight="1">
      <c r="A83" s="184"/>
      <c r="V83" s="185"/>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hidden="1"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hidden="1" customHeight="1">
      <c r="A87" s="184"/>
      <c r="B87" s="854" t="str">
        <f>B7</f>
        <v>T1</v>
      </c>
      <c r="C87" s="831"/>
      <c r="D87" s="854" t="str">
        <f>D7</f>
        <v>Core5</v>
      </c>
      <c r="E87" s="831"/>
      <c r="F87" s="455"/>
      <c r="H87" s="684" t="s">
        <v>711</v>
      </c>
      <c r="I87" s="684"/>
      <c r="J87" s="684"/>
      <c r="K87" s="684"/>
      <c r="L87" s="684"/>
      <c r="M87" s="684"/>
      <c r="P87" s="186"/>
      <c r="S87" s="187" t="s">
        <v>387</v>
      </c>
      <c r="T87" s="854" t="str">
        <f>T7</f>
        <v>P743</v>
      </c>
      <c r="U87" s="831"/>
      <c r="V87" s="185"/>
    </row>
    <row r="88" spans="1:23" ht="18" hidden="1" customHeight="1">
      <c r="A88" s="456"/>
      <c r="F88" s="455"/>
      <c r="T88" s="854">
        <f>T8</f>
        <v>0</v>
      </c>
      <c r="U88" s="831"/>
      <c r="V88" s="185"/>
    </row>
    <row r="89" spans="1:23" ht="18" hidden="1" customHeight="1">
      <c r="A89" s="184"/>
      <c r="H89" s="708" t="s">
        <v>390</v>
      </c>
      <c r="I89" s="708"/>
      <c r="J89" s="789" t="s">
        <v>391</v>
      </c>
      <c r="K89" s="789"/>
      <c r="L89" s="790" t="s">
        <v>392</v>
      </c>
      <c r="M89" s="790"/>
      <c r="T89" s="854">
        <f>T9</f>
        <v>0</v>
      </c>
      <c r="U89" s="831"/>
      <c r="V89" s="185"/>
    </row>
    <row r="90" spans="1:23" ht="18" hidden="1" customHeight="1">
      <c r="A90" s="184"/>
      <c r="B90" s="47" t="s">
        <v>393</v>
      </c>
      <c r="H90" s="854">
        <f>H10</f>
        <v>2500</v>
      </c>
      <c r="I90" s="831"/>
      <c r="J90" s="863">
        <f>J10</f>
        <v>0</v>
      </c>
      <c r="K90" s="864"/>
      <c r="L90" s="854">
        <f>L10</f>
        <v>0</v>
      </c>
      <c r="M90" s="831"/>
      <c r="N90" s="191" t="s">
        <v>342</v>
      </c>
      <c r="O90" s="256">
        <f>O10</f>
        <v>1</v>
      </c>
      <c r="P90" s="27" t="s">
        <v>8</v>
      </c>
      <c r="R90" s="255"/>
      <c r="S90" s="255"/>
      <c r="V90" s="185"/>
    </row>
    <row r="91" spans="1:23" ht="18" hidden="1" customHeight="1">
      <c r="A91" s="184"/>
      <c r="B91" s="47" t="s">
        <v>394</v>
      </c>
      <c r="J91" s="854" t="str">
        <f>H11</f>
        <v>PX-B</v>
      </c>
      <c r="K91" s="831"/>
      <c r="V91" s="185"/>
    </row>
    <row r="92" spans="1:23" ht="18" hidden="1" customHeight="1">
      <c r="A92" s="184"/>
      <c r="B92" s="47" t="s">
        <v>396</v>
      </c>
      <c r="I92" s="120" t="s">
        <v>497</v>
      </c>
      <c r="J92" s="1224"/>
      <c r="K92" s="1225"/>
      <c r="L92" s="192" t="s">
        <v>333</v>
      </c>
      <c r="V92" s="185"/>
    </row>
    <row r="93" spans="1:23" ht="18" hidden="1" customHeight="1">
      <c r="A93" s="184"/>
      <c r="B93" s="47" t="s">
        <v>398</v>
      </c>
      <c r="I93" s="120" t="s">
        <v>498</v>
      </c>
      <c r="J93" s="1075"/>
      <c r="K93" s="1076"/>
      <c r="L93" s="14" t="s">
        <v>305</v>
      </c>
      <c r="U93" s="18"/>
      <c r="V93" s="185"/>
      <c r="W93" s="30" t="str">
        <f>H142</f>
        <v>Under Dimentioned</v>
      </c>
    </row>
    <row r="94" spans="1:23" ht="18" hidden="1" customHeight="1">
      <c r="A94" s="184"/>
      <c r="B94" s="14" t="s">
        <v>401</v>
      </c>
      <c r="I94" s="120" t="s">
        <v>402</v>
      </c>
      <c r="J94" s="1075"/>
      <c r="K94" s="1076"/>
      <c r="L94" s="14" t="s">
        <v>403</v>
      </c>
      <c r="V94" s="185"/>
    </row>
    <row r="95" spans="1:23" ht="18" hidden="1" customHeight="1">
      <c r="A95" s="184"/>
      <c r="V95" s="185"/>
    </row>
    <row r="96" spans="1:23" ht="18" hidden="1" customHeight="1">
      <c r="A96" s="193" t="s">
        <v>404</v>
      </c>
      <c r="V96" s="185"/>
    </row>
    <row r="97" spans="1:22" ht="18" hidden="1" customHeight="1">
      <c r="A97" s="184"/>
      <c r="V97" s="185"/>
    </row>
    <row r="98" spans="1:22" ht="18" hidden="1" customHeight="1">
      <c r="A98" s="184"/>
      <c r="B98" s="135" t="s">
        <v>405</v>
      </c>
      <c r="C98" s="273"/>
      <c r="D98" s="139" t="str">
        <f>T87</f>
        <v>P743</v>
      </c>
      <c r="E98" s="227"/>
      <c r="F98" s="227"/>
      <c r="G98" s="227"/>
      <c r="H98" s="138"/>
      <c r="I98" s="260" t="s">
        <v>127</v>
      </c>
      <c r="J98" s="696">
        <f>J18</f>
        <v>0.1</v>
      </c>
      <c r="K98" s="722"/>
      <c r="L98" s="3" t="s">
        <v>157</v>
      </c>
      <c r="N98" s="197"/>
      <c r="V98" s="185"/>
    </row>
    <row r="99" spans="1:22" ht="18" hidden="1" customHeight="1">
      <c r="A99" s="184"/>
      <c r="B99" s="96" t="s">
        <v>405</v>
      </c>
      <c r="C99" s="14"/>
      <c r="D99" s="47">
        <f>T88</f>
        <v>0</v>
      </c>
      <c r="E99" s="14"/>
      <c r="G99" s="199"/>
      <c r="H99" s="27"/>
      <c r="I99" s="101" t="s">
        <v>127</v>
      </c>
      <c r="J99" s="696">
        <f>J19</f>
        <v>0</v>
      </c>
      <c r="K99" s="722"/>
      <c r="L99" s="202" t="s">
        <v>157</v>
      </c>
      <c r="N99" s="28"/>
      <c r="O99" s="27"/>
      <c r="P99" s="28"/>
      <c r="Q99" s="102"/>
      <c r="R99" s="28"/>
      <c r="S99" s="27"/>
      <c r="T99" s="28"/>
      <c r="V99" s="185"/>
    </row>
    <row r="100" spans="1:22" ht="18" hidden="1"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hidden="1" customHeight="1">
      <c r="A101" s="184"/>
      <c r="B101" s="184" t="s">
        <v>412</v>
      </c>
      <c r="C101" s="14"/>
      <c r="D101" s="14"/>
      <c r="E101" s="14"/>
      <c r="H101" s="27"/>
      <c r="I101" s="101" t="s">
        <v>127</v>
      </c>
      <c r="J101" s="696">
        <f>J21</f>
        <v>1.0770224400000001</v>
      </c>
      <c r="K101" s="722"/>
      <c r="L101" s="297" t="s">
        <v>157</v>
      </c>
      <c r="N101" s="27"/>
      <c r="O101" s="27"/>
      <c r="P101" s="204"/>
      <c r="R101" s="192"/>
      <c r="S101" s="27"/>
      <c r="T101" s="27"/>
      <c r="V101" s="185"/>
    </row>
    <row r="102" spans="1:22" ht="18" hidden="1" customHeight="1">
      <c r="A102" s="184"/>
      <c r="B102" s="1" t="s">
        <v>413</v>
      </c>
      <c r="C102" s="2"/>
      <c r="D102" s="2"/>
      <c r="E102" s="2"/>
      <c r="F102" s="196"/>
      <c r="G102" s="196"/>
      <c r="H102" s="224" t="s">
        <v>512</v>
      </c>
      <c r="I102" s="183" t="s">
        <v>127</v>
      </c>
      <c r="J102" s="722">
        <f>SUM(J98:J101)</f>
        <v>1.1770224400000002</v>
      </c>
      <c r="K102" s="958"/>
      <c r="L102" s="3" t="s">
        <v>157</v>
      </c>
      <c r="V102" s="185"/>
    </row>
    <row r="103" spans="1:22" ht="18" hidden="1" customHeight="1">
      <c r="A103" s="184"/>
      <c r="B103" s="47"/>
      <c r="C103" s="47"/>
      <c r="D103" s="47"/>
      <c r="E103" s="47"/>
      <c r="H103" s="27"/>
      <c r="I103" s="28"/>
      <c r="J103" s="199"/>
      <c r="L103" s="47"/>
      <c r="O103" s="27"/>
      <c r="P103" s="211"/>
      <c r="Q103" s="27"/>
      <c r="R103" s="204"/>
      <c r="S103" s="27"/>
      <c r="V103" s="185"/>
    </row>
    <row r="104" spans="1:22" ht="18" hidden="1" customHeight="1">
      <c r="A104" s="168"/>
      <c r="B104" s="5"/>
      <c r="C104" s="47" t="s">
        <v>817</v>
      </c>
      <c r="D104" s="14"/>
      <c r="E104" s="14"/>
      <c r="F104" s="14"/>
      <c r="G104" s="14"/>
      <c r="H104" s="279"/>
      <c r="I104" s="120"/>
      <c r="J104" s="279"/>
      <c r="K104" s="279"/>
      <c r="L104" s="14"/>
      <c r="M104" s="14"/>
      <c r="N104" s="14"/>
      <c r="O104" s="14"/>
      <c r="P104" s="14"/>
      <c r="Q104" s="120" t="s">
        <v>818</v>
      </c>
      <c r="R104" s="102" t="s">
        <v>127</v>
      </c>
      <c r="S104" s="854">
        <f>S24</f>
        <v>50000</v>
      </c>
      <c r="T104" s="831"/>
      <c r="U104" s="47" t="s">
        <v>8</v>
      </c>
      <c r="V104" s="185"/>
    </row>
    <row r="105" spans="1:22" ht="18" hidden="1" customHeight="1">
      <c r="A105" s="168"/>
      <c r="B105" s="5"/>
      <c r="C105" s="47" t="s">
        <v>654</v>
      </c>
      <c r="D105" s="14"/>
      <c r="E105" s="14"/>
      <c r="F105" s="18"/>
      <c r="G105" s="18"/>
      <c r="H105" s="279"/>
      <c r="I105" s="120"/>
      <c r="J105" s="279"/>
      <c r="K105" s="279"/>
      <c r="L105" s="14"/>
      <c r="M105" s="14"/>
      <c r="N105" s="14"/>
      <c r="O105" s="14"/>
      <c r="P105" s="14"/>
      <c r="Q105" s="120" t="s">
        <v>423</v>
      </c>
      <c r="R105" s="102" t="s">
        <v>127</v>
      </c>
      <c r="S105" s="689">
        <f>H90</f>
        <v>2500</v>
      </c>
      <c r="T105" s="689"/>
      <c r="U105" s="14" t="s">
        <v>8</v>
      </c>
      <c r="V105" s="185"/>
    </row>
    <row r="106" spans="1:22" ht="18" hidden="1" customHeight="1">
      <c r="A106" s="168"/>
      <c r="B106" s="5"/>
      <c r="C106" s="47" t="s">
        <v>819</v>
      </c>
      <c r="E106" s="14"/>
      <c r="F106" s="18"/>
      <c r="G106" s="18"/>
      <c r="H106" s="279"/>
      <c r="I106" s="120"/>
      <c r="J106" s="279"/>
      <c r="K106" s="279"/>
      <c r="L106" s="14"/>
      <c r="M106" s="14"/>
      <c r="N106" s="14"/>
      <c r="O106" s="14"/>
      <c r="P106" s="14"/>
      <c r="Q106" s="120" t="s">
        <v>820</v>
      </c>
      <c r="R106" s="28" t="s">
        <v>127</v>
      </c>
      <c r="S106" s="692">
        <f>S104/S105*O90</f>
        <v>20</v>
      </c>
      <c r="T106" s="692"/>
      <c r="U106" s="14" t="s">
        <v>8</v>
      </c>
      <c r="V106" s="185"/>
    </row>
    <row r="107" spans="1:22" ht="18" hidden="1" customHeight="1">
      <c r="A107" s="168"/>
      <c r="B107" s="5"/>
      <c r="C107" s="47" t="s">
        <v>821</v>
      </c>
      <c r="D107" s="14"/>
      <c r="E107" s="14"/>
      <c r="F107" s="18"/>
      <c r="G107" s="18"/>
      <c r="H107" s="279"/>
      <c r="I107" s="120"/>
      <c r="J107" s="279"/>
      <c r="K107" s="279"/>
      <c r="L107" s="14"/>
      <c r="M107" s="14"/>
      <c r="N107" s="14"/>
      <c r="O107" s="14"/>
      <c r="P107" s="14"/>
      <c r="Q107" s="120" t="s">
        <v>689</v>
      </c>
      <c r="R107" s="28" t="s">
        <v>127</v>
      </c>
      <c r="S107" s="692">
        <f>J102/O90*O90</f>
        <v>1.1770224400000002</v>
      </c>
      <c r="T107" s="692"/>
      <c r="U107" s="192" t="s">
        <v>333</v>
      </c>
      <c r="V107" s="185"/>
    </row>
    <row r="108" spans="1:22" ht="18" hidden="1" customHeight="1">
      <c r="A108" s="168"/>
      <c r="B108" s="5"/>
      <c r="C108" s="47" t="s">
        <v>822</v>
      </c>
      <c r="Q108" s="120" t="s">
        <v>823</v>
      </c>
      <c r="R108" s="28" t="s">
        <v>127</v>
      </c>
      <c r="S108" s="854">
        <f>S28</f>
        <v>50000</v>
      </c>
      <c r="T108" s="831"/>
      <c r="U108" s="14" t="s">
        <v>8</v>
      </c>
      <c r="V108" s="185"/>
    </row>
    <row r="109" spans="1:22" ht="18" hidden="1" customHeight="1">
      <c r="A109" s="299"/>
      <c r="B109" s="279"/>
      <c r="C109" s="47" t="s">
        <v>824</v>
      </c>
      <c r="Q109" s="244" t="s">
        <v>825</v>
      </c>
      <c r="R109" s="28" t="s">
        <v>127</v>
      </c>
      <c r="S109" s="795">
        <f>S108/S105</f>
        <v>20</v>
      </c>
      <c r="T109" s="795"/>
      <c r="U109" s="14" t="s">
        <v>8</v>
      </c>
      <c r="V109" s="300"/>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85"/>
    </row>
    <row r="111" spans="1:22" ht="18" hidden="1" customHeight="1">
      <c r="A111" s="193" t="s">
        <v>755</v>
      </c>
      <c r="B111" s="14"/>
      <c r="C111" s="14"/>
      <c r="D111" s="14"/>
      <c r="E111" s="14"/>
      <c r="F111" s="14"/>
      <c r="G111" s="14"/>
      <c r="H111" s="14"/>
      <c r="K111" s="14"/>
      <c r="T111" s="14"/>
      <c r="U111" s="14"/>
      <c r="V111" s="185"/>
    </row>
    <row r="112" spans="1:22" ht="18" hidden="1" customHeight="1">
      <c r="A112" s="96"/>
      <c r="B112" s="14"/>
      <c r="C112" s="14"/>
      <c r="D112" s="14"/>
      <c r="E112" s="14"/>
      <c r="F112" s="14"/>
      <c r="G112" s="14"/>
      <c r="H112" s="14"/>
      <c r="K112" s="14"/>
      <c r="T112" s="14"/>
      <c r="U112" s="14"/>
      <c r="V112" s="185"/>
    </row>
    <row r="113" spans="1:22" ht="18" hidden="1" customHeight="1">
      <c r="A113" s="193" t="s">
        <v>826</v>
      </c>
      <c r="H113" s="28"/>
      <c r="I113" s="28"/>
      <c r="J113" s="28"/>
      <c r="K113" s="28"/>
      <c r="T113" s="14"/>
      <c r="U113" s="14"/>
      <c r="V113" s="185"/>
    </row>
    <row r="114" spans="1:22" ht="18" hidden="1" customHeight="1">
      <c r="A114" s="193"/>
      <c r="H114" s="28"/>
      <c r="I114" s="28"/>
      <c r="J114" s="28"/>
      <c r="K114" s="28"/>
      <c r="T114" s="14"/>
      <c r="U114" s="14"/>
      <c r="V114" s="185"/>
    </row>
    <row r="115" spans="1:22" ht="18" hidden="1" customHeight="1">
      <c r="A115" s="184"/>
      <c r="B115" s="689" t="s">
        <v>473</v>
      </c>
      <c r="C115" s="689"/>
      <c r="D115" s="28" t="s">
        <v>827</v>
      </c>
      <c r="E115" s="28">
        <v>0.5</v>
      </c>
      <c r="F115" s="28" t="s">
        <v>315</v>
      </c>
      <c r="G115" s="689" t="s">
        <v>820</v>
      </c>
      <c r="H115" s="689"/>
      <c r="I115" s="28" t="s">
        <v>672</v>
      </c>
      <c r="J115" s="689" t="s">
        <v>420</v>
      </c>
      <c r="K115" s="689"/>
      <c r="L115" s="28" t="s">
        <v>347</v>
      </c>
      <c r="M115" s="689" t="s">
        <v>689</v>
      </c>
      <c r="N115" s="689"/>
      <c r="O115" s="14" t="s">
        <v>350</v>
      </c>
      <c r="P115" s="14"/>
      <c r="Q115" s="14"/>
      <c r="R115" s="14"/>
      <c r="T115" s="14"/>
      <c r="U115" s="14"/>
      <c r="V115" s="185"/>
    </row>
    <row r="116" spans="1:22" ht="18" hidden="1" customHeight="1">
      <c r="A116" s="184"/>
      <c r="B116" s="14"/>
      <c r="C116" s="14"/>
      <c r="D116" s="102" t="s">
        <v>127</v>
      </c>
      <c r="E116" s="28">
        <v>0.5</v>
      </c>
      <c r="F116" s="28" t="s">
        <v>315</v>
      </c>
      <c r="G116" s="692">
        <f>S106</f>
        <v>20</v>
      </c>
      <c r="H116" s="689"/>
      <c r="I116" s="28" t="s">
        <v>672</v>
      </c>
      <c r="J116" s="689">
        <f>J92</f>
        <v>0</v>
      </c>
      <c r="K116" s="689"/>
      <c r="L116" s="28" t="s">
        <v>347</v>
      </c>
      <c r="M116" s="692">
        <f>S107</f>
        <v>1.1770224400000002</v>
      </c>
      <c r="N116" s="689"/>
      <c r="O116" s="14" t="s">
        <v>350</v>
      </c>
      <c r="S116" s="14"/>
      <c r="T116" s="14"/>
      <c r="U116" s="14"/>
      <c r="V116" s="185"/>
    </row>
    <row r="117" spans="1:22" ht="18" hidden="1" customHeight="1">
      <c r="A117" s="184"/>
      <c r="B117" s="14"/>
      <c r="C117" s="14"/>
      <c r="D117" s="102" t="s">
        <v>127</v>
      </c>
      <c r="E117" s="692">
        <f>E116*G116*(J116+M116)</f>
        <v>11.770224400000002</v>
      </c>
      <c r="F117" s="692"/>
      <c r="G117" s="211"/>
      <c r="H117" s="218"/>
      <c r="I117" s="14"/>
      <c r="J117" s="14"/>
      <c r="K117" s="14"/>
      <c r="L117" s="14"/>
      <c r="M117" s="14"/>
      <c r="N117" s="14"/>
      <c r="O117" s="14"/>
      <c r="P117" s="14"/>
      <c r="Q117" s="14"/>
      <c r="R117" s="14"/>
      <c r="V117" s="185"/>
    </row>
    <row r="118" spans="1:22" ht="18" hidden="1" customHeight="1">
      <c r="A118" s="184"/>
      <c r="B118" s="14"/>
      <c r="C118" s="14"/>
      <c r="D118" s="28"/>
      <c r="E118" s="218"/>
      <c r="F118" s="218"/>
      <c r="G118" s="211"/>
      <c r="H118" s="218"/>
      <c r="I118" s="14"/>
      <c r="J118" s="14"/>
      <c r="K118" s="14"/>
      <c r="L118" s="14"/>
      <c r="M118" s="14"/>
      <c r="N118" s="14"/>
      <c r="O118" s="14"/>
      <c r="P118" s="14"/>
      <c r="Q118" s="14"/>
      <c r="R118" s="14"/>
      <c r="V118" s="185"/>
    </row>
    <row r="119" spans="1:22" ht="18" hidden="1" customHeight="1">
      <c r="A119" s="193" t="s">
        <v>828</v>
      </c>
      <c r="B119" s="14"/>
      <c r="C119" s="14"/>
      <c r="D119" s="28"/>
      <c r="E119" s="218"/>
      <c r="F119" s="218"/>
      <c r="G119" s="211"/>
      <c r="H119" s="218"/>
      <c r="I119" s="14"/>
      <c r="J119" s="14"/>
      <c r="K119" s="14"/>
      <c r="L119" s="14"/>
      <c r="M119" s="14"/>
      <c r="N119" s="14"/>
      <c r="O119" s="14"/>
      <c r="P119" s="14"/>
      <c r="Q119" s="14"/>
      <c r="R119" s="14"/>
      <c r="V119" s="185"/>
    </row>
    <row r="120" spans="1:22" ht="18" hidden="1" customHeight="1">
      <c r="A120" s="184"/>
      <c r="B120" s="14"/>
      <c r="C120" s="14"/>
      <c r="D120" s="28"/>
      <c r="E120" s="218"/>
      <c r="F120" s="218"/>
      <c r="G120" s="211"/>
      <c r="H120" s="218"/>
      <c r="I120" s="14"/>
      <c r="J120" s="14"/>
      <c r="K120" s="14"/>
      <c r="L120" s="14"/>
      <c r="M120" s="14"/>
      <c r="N120" s="14"/>
      <c r="O120" s="14"/>
      <c r="P120" s="14"/>
      <c r="Q120" s="14"/>
      <c r="R120" s="14"/>
      <c r="V120" s="185"/>
    </row>
    <row r="121" spans="1:22" ht="18" hidden="1" customHeight="1">
      <c r="A121" s="184"/>
      <c r="B121" s="689" t="s">
        <v>473</v>
      </c>
      <c r="C121" s="689"/>
      <c r="D121" s="28" t="s">
        <v>827</v>
      </c>
      <c r="E121" s="689" t="s">
        <v>825</v>
      </c>
      <c r="F121" s="689"/>
      <c r="G121" s="28" t="s">
        <v>672</v>
      </c>
      <c r="H121" s="689" t="s">
        <v>420</v>
      </c>
      <c r="I121" s="689"/>
      <c r="J121" s="28" t="s">
        <v>347</v>
      </c>
      <c r="K121" s="689" t="s">
        <v>689</v>
      </c>
      <c r="L121" s="689"/>
      <c r="M121" s="14" t="s">
        <v>350</v>
      </c>
      <c r="P121" s="14"/>
      <c r="Q121" s="14"/>
      <c r="R121" s="14"/>
      <c r="V121" s="185"/>
    </row>
    <row r="122" spans="1:22" ht="18" hidden="1" customHeight="1">
      <c r="A122" s="184"/>
      <c r="B122" s="14"/>
      <c r="C122" s="14"/>
      <c r="D122" s="102" t="s">
        <v>127</v>
      </c>
      <c r="E122" s="692">
        <f>S109</f>
        <v>20</v>
      </c>
      <c r="F122" s="689"/>
      <c r="G122" s="28" t="s">
        <v>672</v>
      </c>
      <c r="H122" s="689">
        <f>J92</f>
        <v>0</v>
      </c>
      <c r="I122" s="689"/>
      <c r="J122" s="28" t="s">
        <v>347</v>
      </c>
      <c r="K122" s="692">
        <f>S107</f>
        <v>1.1770224400000002</v>
      </c>
      <c r="L122" s="689"/>
      <c r="M122" s="14" t="s">
        <v>350</v>
      </c>
      <c r="N122" s="14"/>
      <c r="O122" s="14"/>
      <c r="P122" s="14"/>
      <c r="Q122" s="14"/>
      <c r="R122" s="14"/>
      <c r="V122" s="185"/>
    </row>
    <row r="123" spans="1:22" ht="18" hidden="1" customHeight="1">
      <c r="A123" s="184"/>
      <c r="B123" s="14"/>
      <c r="C123" s="14"/>
      <c r="D123" s="102" t="s">
        <v>127</v>
      </c>
      <c r="E123" s="692">
        <f>E122*(H122+K122)</f>
        <v>23.540448800000004</v>
      </c>
      <c r="F123" s="692"/>
      <c r="G123" s="211"/>
      <c r="H123" s="218"/>
      <c r="I123" s="14"/>
      <c r="J123" s="14"/>
      <c r="K123" s="14"/>
      <c r="L123" s="14"/>
      <c r="M123" s="14"/>
      <c r="N123" s="14"/>
      <c r="O123" s="14"/>
      <c r="P123" s="14"/>
      <c r="Q123" s="14"/>
      <c r="R123" s="14"/>
      <c r="V123" s="185"/>
    </row>
    <row r="124" spans="1:22" ht="18" hidden="1" customHeight="1">
      <c r="A124" s="184"/>
      <c r="B124" s="14"/>
      <c r="C124" s="14"/>
      <c r="D124" s="102"/>
      <c r="E124" s="218"/>
      <c r="F124" s="218"/>
      <c r="G124" s="211"/>
      <c r="H124" s="218"/>
      <c r="I124" s="14"/>
      <c r="J124" s="14"/>
      <c r="K124" s="14"/>
      <c r="L124" s="14"/>
      <c r="M124" s="14"/>
      <c r="N124" s="14"/>
      <c r="O124" s="14"/>
      <c r="P124" s="14"/>
      <c r="Q124" s="14"/>
      <c r="R124" s="14"/>
      <c r="V124" s="185"/>
    </row>
    <row r="125" spans="1:22" ht="18" hidden="1" customHeight="1">
      <c r="A125" s="184"/>
      <c r="B125" s="14"/>
      <c r="C125" s="14"/>
      <c r="D125" s="102"/>
      <c r="E125" s="218"/>
      <c r="F125" s="218"/>
      <c r="G125" s="211"/>
      <c r="H125" s="218"/>
      <c r="I125" s="14"/>
      <c r="J125" s="14"/>
      <c r="K125" s="14"/>
      <c r="L125" s="14"/>
      <c r="M125" s="14"/>
      <c r="N125" s="14"/>
      <c r="O125" s="14"/>
      <c r="P125" s="14"/>
      <c r="Q125" s="14"/>
      <c r="R125" s="14"/>
      <c r="V125" s="185"/>
    </row>
    <row r="126" spans="1:22" ht="18" hidden="1" customHeight="1">
      <c r="A126" s="184"/>
      <c r="B126" s="14"/>
      <c r="C126" s="14"/>
      <c r="D126" s="102"/>
      <c r="E126" s="218"/>
      <c r="F126" s="218"/>
      <c r="G126" s="211"/>
      <c r="H126" s="218"/>
      <c r="I126" s="14"/>
      <c r="J126" s="14"/>
      <c r="K126" s="14"/>
      <c r="L126" s="14"/>
      <c r="M126" s="14"/>
      <c r="N126" s="14"/>
      <c r="O126" s="14"/>
      <c r="P126" s="14"/>
      <c r="Q126" s="14"/>
      <c r="R126" s="14"/>
      <c r="V126" s="185"/>
    </row>
    <row r="127" spans="1:22" ht="18" hidden="1" customHeight="1">
      <c r="A127" s="184"/>
      <c r="G127" s="211"/>
      <c r="H127" s="218"/>
      <c r="J127" s="28"/>
      <c r="K127" s="28"/>
      <c r="L127" s="28"/>
      <c r="M127" s="28"/>
      <c r="N127" s="28"/>
      <c r="O127" s="28"/>
      <c r="P127" s="28"/>
      <c r="Q127" s="28"/>
      <c r="R127" s="28"/>
      <c r="V127" s="185"/>
    </row>
    <row r="128" spans="1:22" ht="18" hidden="1" customHeight="1">
      <c r="A128" s="184"/>
      <c r="V128" s="185"/>
    </row>
    <row r="129" spans="1:22" ht="18" hidden="1"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hidden="1" customHeight="1">
      <c r="A130" s="135"/>
      <c r="B130" s="273"/>
      <c r="C130" s="273"/>
      <c r="D130" s="273"/>
      <c r="E130" s="273"/>
      <c r="F130" s="273"/>
      <c r="G130" s="273"/>
      <c r="H130" s="273"/>
      <c r="I130" s="273"/>
      <c r="J130" s="273"/>
      <c r="K130" s="273"/>
      <c r="L130" s="273"/>
      <c r="M130" s="273"/>
      <c r="N130" s="273"/>
      <c r="O130" s="273"/>
      <c r="P130" s="273"/>
      <c r="Q130" s="274"/>
      <c r="R130" s="138"/>
      <c r="S130" s="275"/>
      <c r="T130" s="273"/>
      <c r="U130" s="273"/>
      <c r="V130" s="276"/>
    </row>
    <row r="131" spans="1:22" ht="18" hidden="1" customHeight="1">
      <c r="A131" s="193" t="s">
        <v>829</v>
      </c>
      <c r="B131" s="197"/>
      <c r="C131" s="197"/>
      <c r="D131" s="197"/>
      <c r="E131" s="14"/>
      <c r="F131" s="14"/>
      <c r="G131" s="14"/>
      <c r="H131" s="14"/>
      <c r="I131" s="14"/>
      <c r="J131" s="14"/>
      <c r="K131" s="14"/>
      <c r="L131" s="14"/>
      <c r="M131" s="14"/>
      <c r="N131" s="14"/>
      <c r="O131" s="14"/>
      <c r="P131" s="27"/>
      <c r="Q131" s="28"/>
      <c r="T131" s="14"/>
      <c r="U131" s="14"/>
      <c r="V131" s="185"/>
    </row>
    <row r="132" spans="1:22" ht="18" hidden="1" customHeight="1">
      <c r="A132" s="193"/>
      <c r="B132" s="197"/>
      <c r="C132" s="197"/>
      <c r="D132" s="197"/>
      <c r="E132" s="14"/>
      <c r="F132" s="14"/>
      <c r="G132" s="14"/>
      <c r="H132" s="14"/>
      <c r="I132" s="14"/>
      <c r="J132" s="14"/>
      <c r="K132" s="14"/>
      <c r="L132" s="14"/>
      <c r="M132" s="14"/>
      <c r="N132" s="14"/>
      <c r="O132" s="14"/>
      <c r="P132" s="27"/>
      <c r="Q132" s="28"/>
      <c r="T132" s="14"/>
      <c r="U132" s="14"/>
      <c r="V132" s="185"/>
    </row>
    <row r="133" spans="1:22" ht="18" hidden="1" customHeight="1">
      <c r="A133" s="96"/>
      <c r="B133" s="197" t="s">
        <v>826</v>
      </c>
      <c r="C133" s="197"/>
      <c r="D133" s="14"/>
      <c r="E133" s="14"/>
      <c r="F133" s="14"/>
      <c r="G133" s="14"/>
      <c r="H133" s="14"/>
      <c r="I133" s="14"/>
      <c r="J133" s="14"/>
      <c r="K133" s="14"/>
      <c r="L133" s="14"/>
      <c r="M133" s="14"/>
      <c r="N133" s="14"/>
      <c r="O133" s="14"/>
      <c r="P133" s="14"/>
      <c r="Q133" s="14"/>
      <c r="R133" s="14"/>
      <c r="S133" s="14"/>
      <c r="T133" s="14"/>
      <c r="U133" s="14"/>
      <c r="V133" s="185"/>
    </row>
    <row r="134" spans="1:22" ht="18" hidden="1" customHeight="1">
      <c r="A134" s="96"/>
      <c r="B134" s="14"/>
      <c r="C134" s="14"/>
      <c r="D134" s="14"/>
      <c r="E134" s="14"/>
      <c r="F134" s="244" t="s">
        <v>475</v>
      </c>
      <c r="G134" s="28" t="str">
        <f>IF(E135&gt;H135, "&gt;","&lt;")</f>
        <v>&lt;</v>
      </c>
      <c r="H134" s="14" t="s">
        <v>477</v>
      </c>
      <c r="I134" s="14"/>
      <c r="J134" s="14"/>
      <c r="K134" s="14"/>
      <c r="L134" s="14" t="s">
        <v>830</v>
      </c>
      <c r="M134" s="14"/>
      <c r="N134" s="14"/>
      <c r="O134" s="14"/>
      <c r="P134" s="14"/>
      <c r="Q134" s="14"/>
      <c r="R134" s="14"/>
      <c r="S134" s="14"/>
      <c r="T134" s="14"/>
      <c r="U134" s="14"/>
      <c r="V134" s="185"/>
    </row>
    <row r="135" spans="1:22" ht="18" hidden="1" customHeight="1">
      <c r="A135" s="96"/>
      <c r="B135" s="14"/>
      <c r="C135" s="14"/>
      <c r="D135" s="14"/>
      <c r="E135" s="834">
        <f>J93</f>
        <v>0</v>
      </c>
      <c r="F135" s="834"/>
      <c r="G135" s="28" t="str">
        <f>G134</f>
        <v>&lt;</v>
      </c>
      <c r="H135" s="692">
        <f>E117</f>
        <v>11.770224400000002</v>
      </c>
      <c r="I135" s="692"/>
      <c r="J135" s="14"/>
      <c r="K135" s="14"/>
      <c r="L135" s="14"/>
      <c r="M135" s="14"/>
      <c r="N135" s="14"/>
      <c r="O135" s="14"/>
      <c r="P135" s="14"/>
      <c r="Q135" s="14"/>
      <c r="R135" s="14"/>
      <c r="S135" s="14"/>
      <c r="T135" s="14"/>
      <c r="U135" s="14"/>
      <c r="V135" s="185"/>
    </row>
    <row r="136" spans="1:22" ht="18" hidden="1" customHeight="1">
      <c r="A136" s="184"/>
      <c r="D136" s="211"/>
      <c r="E136" s="218"/>
      <c r="F136" s="199" t="s">
        <v>831</v>
      </c>
      <c r="G136" s="211"/>
      <c r="H136" s="281" t="s">
        <v>832</v>
      </c>
      <c r="J136" s="28" t="s">
        <v>833</v>
      </c>
      <c r="K136" s="18" t="str">
        <f>IF(G135="&gt;", "Satisfied", "Not Satisfied")</f>
        <v>Not Satisfied</v>
      </c>
      <c r="P136" s="14"/>
      <c r="Q136" s="14"/>
      <c r="R136" s="14"/>
      <c r="S136" s="14"/>
      <c r="T136" s="14"/>
      <c r="U136" s="14"/>
      <c r="V136" s="185"/>
    </row>
    <row r="137" spans="1:22" ht="18" hidden="1" customHeight="1">
      <c r="A137" s="96"/>
      <c r="B137" s="197" t="s">
        <v>828</v>
      </c>
      <c r="C137" s="197"/>
      <c r="D137" s="14"/>
      <c r="E137" s="14"/>
      <c r="F137" s="14"/>
      <c r="G137" s="14"/>
      <c r="H137" s="14"/>
      <c r="I137" s="14"/>
      <c r="J137" s="14"/>
      <c r="K137" s="14"/>
      <c r="L137" s="14"/>
      <c r="M137" s="14"/>
      <c r="N137" s="14"/>
      <c r="O137" s="14"/>
      <c r="P137" s="120"/>
      <c r="Q137" s="296"/>
      <c r="V137" s="185"/>
    </row>
    <row r="138" spans="1:22" ht="18" hidden="1" customHeight="1">
      <c r="A138" s="96"/>
      <c r="B138" s="14"/>
      <c r="C138" s="14"/>
      <c r="D138" s="14"/>
      <c r="E138" s="14"/>
      <c r="F138" s="244" t="s">
        <v>475</v>
      </c>
      <c r="G138" s="28" t="str">
        <f>IF(E139&gt;H139, "&gt;","&lt;")</f>
        <v>&lt;</v>
      </c>
      <c r="H138" s="14" t="s">
        <v>477</v>
      </c>
      <c r="I138" s="14"/>
      <c r="J138" s="14"/>
      <c r="K138" s="14"/>
      <c r="L138" s="14" t="s">
        <v>834</v>
      </c>
      <c r="M138" s="14"/>
      <c r="N138" s="14"/>
      <c r="O138" s="14"/>
      <c r="P138" s="301"/>
      <c r="Q138" s="461"/>
      <c r="V138" s="185"/>
    </row>
    <row r="139" spans="1:22" ht="18" hidden="1" customHeight="1">
      <c r="A139" s="96"/>
      <c r="B139" s="14"/>
      <c r="C139" s="14"/>
      <c r="D139" s="14"/>
      <c r="E139" s="834">
        <f>J93</f>
        <v>0</v>
      </c>
      <c r="F139" s="834"/>
      <c r="G139" s="28" t="str">
        <f>G138</f>
        <v>&lt;</v>
      </c>
      <c r="H139" s="692">
        <f>E123</f>
        <v>23.540448800000004</v>
      </c>
      <c r="I139" s="692"/>
      <c r="J139" s="14"/>
      <c r="K139" s="14"/>
      <c r="L139" s="14"/>
      <c r="M139" s="14"/>
      <c r="N139" s="14"/>
      <c r="O139" s="14"/>
      <c r="V139" s="185"/>
    </row>
    <row r="140" spans="1:22" ht="18" hidden="1" customHeight="1">
      <c r="A140" s="184"/>
      <c r="D140" s="211"/>
      <c r="E140" s="14"/>
      <c r="F140" s="199" t="s">
        <v>831</v>
      </c>
      <c r="G140" s="211"/>
      <c r="H140" s="281" t="s">
        <v>828</v>
      </c>
      <c r="J140" s="28" t="s">
        <v>833</v>
      </c>
      <c r="K140" s="18" t="str">
        <f>IF(G139="&gt;", "Satisfied", "Not Satisfied")</f>
        <v>Not Satisfied</v>
      </c>
      <c r="P140" s="232"/>
      <c r="Q140" s="232"/>
      <c r="R140" s="232"/>
      <c r="S140" s="232"/>
      <c r="T140" s="232"/>
      <c r="U140" s="232"/>
      <c r="V140" s="233"/>
    </row>
    <row r="141" spans="1:22" ht="18" hidden="1" customHeight="1">
      <c r="A141" s="184"/>
      <c r="H141" s="28"/>
      <c r="I141" s="28"/>
      <c r="J141" s="28"/>
      <c r="K141" s="28"/>
      <c r="L141" s="28"/>
      <c r="M141" s="28"/>
      <c r="N141" s="28"/>
      <c r="O141" s="28"/>
      <c r="P141" s="232"/>
      <c r="Q141" s="232"/>
      <c r="R141" s="232"/>
      <c r="S141" s="232"/>
      <c r="T141" s="232"/>
      <c r="U141" s="232"/>
      <c r="V141" s="233"/>
    </row>
    <row r="142" spans="1:22" ht="18" hidden="1" customHeight="1">
      <c r="A142" s="96"/>
      <c r="B142" s="14"/>
      <c r="C142" s="14"/>
      <c r="D142" s="14"/>
      <c r="E142" s="14"/>
      <c r="F142" s="244" t="s">
        <v>478</v>
      </c>
      <c r="G142" s="14"/>
      <c r="H142" s="18" t="str">
        <f>IF(AND(E135&gt;H135,E139&gt;H139),"Suitably Dimentioned","Under Dimentioned")</f>
        <v>Under Dimentioned</v>
      </c>
      <c r="I142" s="18"/>
      <c r="J142" s="18"/>
      <c r="K142" s="18"/>
      <c r="L142" s="18"/>
      <c r="M142" s="18"/>
      <c r="N142" s="14"/>
      <c r="O142" s="14"/>
      <c r="V142" s="185"/>
    </row>
    <row r="143" spans="1:22" ht="18" hidden="1" customHeight="1">
      <c r="A143" s="184"/>
      <c r="B143" s="27"/>
      <c r="C143" s="27"/>
      <c r="D143" s="27"/>
      <c r="E143" s="28"/>
      <c r="F143" s="27"/>
      <c r="G143" s="28"/>
      <c r="H143" s="27"/>
      <c r="I143" s="28"/>
      <c r="J143" s="27"/>
      <c r="K143" s="27"/>
      <c r="L143" s="27"/>
      <c r="M143" s="27"/>
      <c r="V143" s="185"/>
    </row>
    <row r="144" spans="1:22" ht="18" hidden="1" customHeight="1">
      <c r="A144" s="184"/>
      <c r="C144" s="27"/>
      <c r="D144" s="245"/>
      <c r="E144" s="221"/>
      <c r="F144" s="245"/>
      <c r="G144" s="222"/>
      <c r="H144" s="245"/>
      <c r="I144" s="245"/>
      <c r="J144" s="245"/>
      <c r="K144" s="245"/>
      <c r="L144" s="245"/>
      <c r="M144" s="27"/>
      <c r="V144" s="185"/>
    </row>
    <row r="145" spans="1:22" ht="18" hidden="1" customHeight="1">
      <c r="A145" s="184"/>
      <c r="C145" s="27"/>
      <c r="D145" s="204"/>
      <c r="E145" s="204"/>
      <c r="G145" s="18"/>
      <c r="V145" s="185"/>
    </row>
    <row r="146" spans="1:22" ht="18" hidden="1" customHeight="1">
      <c r="A146" s="96"/>
      <c r="B146" s="14"/>
      <c r="C146" s="14"/>
      <c r="D146" s="14"/>
      <c r="E146" s="14"/>
      <c r="F146" s="14"/>
      <c r="G146" s="14"/>
      <c r="H146" s="14"/>
      <c r="I146" s="14"/>
      <c r="J146" s="14"/>
      <c r="K146" s="14"/>
      <c r="L146" s="14"/>
      <c r="M146" s="14"/>
      <c r="N146" s="14"/>
      <c r="O146" s="14"/>
      <c r="P146" s="14"/>
      <c r="Q146" s="120"/>
      <c r="R146" s="28"/>
      <c r="S146" s="525"/>
      <c r="T146" s="14"/>
      <c r="U146" s="14"/>
      <c r="V146" s="381"/>
    </row>
    <row r="147" spans="1:22" ht="18" hidden="1" customHeight="1">
      <c r="A147" s="96"/>
      <c r="B147" s="14"/>
      <c r="C147" s="14"/>
      <c r="D147" s="14"/>
      <c r="E147" s="14"/>
      <c r="F147" s="14"/>
      <c r="G147" s="14"/>
      <c r="H147" s="14"/>
      <c r="I147" s="14"/>
      <c r="J147" s="14"/>
      <c r="K147" s="14"/>
      <c r="L147" s="14"/>
      <c r="M147" s="14"/>
      <c r="N147" s="14"/>
      <c r="O147" s="14"/>
      <c r="P147" s="14"/>
      <c r="Q147" s="120"/>
      <c r="R147" s="28"/>
      <c r="S147" s="525"/>
      <c r="T147" s="14"/>
      <c r="U147" s="14"/>
      <c r="V147" s="381"/>
    </row>
    <row r="148" spans="1:22" ht="18" hidden="1" customHeight="1">
      <c r="A148" s="96"/>
      <c r="B148" s="14"/>
      <c r="C148" s="14"/>
      <c r="D148" s="14"/>
      <c r="E148" s="14"/>
      <c r="F148" s="14"/>
      <c r="G148" s="14"/>
      <c r="H148" s="14"/>
      <c r="I148" s="14"/>
      <c r="J148" s="14"/>
      <c r="K148" s="14"/>
      <c r="L148" s="14"/>
      <c r="M148" s="14"/>
      <c r="N148" s="14"/>
      <c r="O148" s="14"/>
      <c r="P148" s="14"/>
      <c r="Q148" s="120"/>
      <c r="R148" s="28"/>
      <c r="S148" s="525"/>
      <c r="T148" s="14"/>
      <c r="U148" s="14"/>
      <c r="V148" s="381"/>
    </row>
    <row r="149" spans="1:22" ht="18" hidden="1" customHeight="1">
      <c r="A149" s="96"/>
      <c r="B149" s="14"/>
      <c r="C149" s="14"/>
      <c r="D149" s="14"/>
      <c r="E149" s="14"/>
      <c r="F149" s="14"/>
      <c r="G149" s="14"/>
      <c r="H149" s="14"/>
      <c r="I149" s="14"/>
      <c r="J149" s="14"/>
      <c r="K149" s="14"/>
      <c r="L149" s="14"/>
      <c r="M149" s="14"/>
      <c r="N149" s="14"/>
      <c r="O149" s="14"/>
      <c r="P149" s="14"/>
      <c r="Q149" s="120"/>
      <c r="R149" s="28"/>
      <c r="S149" s="525"/>
      <c r="T149" s="14"/>
      <c r="U149" s="14"/>
      <c r="V149" s="381"/>
    </row>
    <row r="150" spans="1:22" ht="18" hidden="1" customHeight="1">
      <c r="A150" s="96"/>
      <c r="B150" s="14"/>
      <c r="C150" s="14"/>
      <c r="D150" s="14"/>
      <c r="E150" s="14"/>
      <c r="F150" s="14"/>
      <c r="G150" s="14"/>
      <c r="H150" s="14"/>
      <c r="I150" s="14"/>
      <c r="J150" s="14"/>
      <c r="K150" s="14"/>
      <c r="L150" s="14"/>
      <c r="M150" s="14"/>
      <c r="N150" s="14"/>
      <c r="O150" s="14"/>
      <c r="P150" s="14"/>
      <c r="Q150" s="120"/>
      <c r="R150" s="28"/>
      <c r="S150" s="525"/>
      <c r="T150" s="14"/>
      <c r="U150" s="14"/>
      <c r="V150" s="381"/>
    </row>
    <row r="151" spans="1:22" ht="18" hidden="1" customHeight="1">
      <c r="A151" s="96"/>
      <c r="B151" s="14"/>
      <c r="C151" s="14"/>
      <c r="D151" s="14"/>
      <c r="E151" s="14"/>
      <c r="F151" s="14"/>
      <c r="G151" s="14"/>
      <c r="H151" s="14"/>
      <c r="I151" s="14"/>
      <c r="J151" s="14"/>
      <c r="K151" s="14"/>
      <c r="L151" s="14"/>
      <c r="M151" s="14"/>
      <c r="N151" s="14"/>
      <c r="O151" s="14"/>
      <c r="P151" s="14"/>
      <c r="Q151" s="120"/>
      <c r="R151" s="28"/>
      <c r="S151" s="525"/>
      <c r="T151" s="14"/>
      <c r="U151" s="14"/>
      <c r="V151" s="381"/>
    </row>
    <row r="152" spans="1:22" ht="18" hidden="1" customHeight="1">
      <c r="A152" s="96"/>
      <c r="B152" s="14"/>
      <c r="C152" s="14"/>
      <c r="D152" s="14"/>
      <c r="E152" s="14"/>
      <c r="F152" s="14"/>
      <c r="G152" s="14"/>
      <c r="H152" s="14"/>
      <c r="I152" s="14"/>
      <c r="J152" s="14"/>
      <c r="K152" s="14"/>
      <c r="L152" s="14"/>
      <c r="M152" s="14"/>
      <c r="N152" s="14"/>
      <c r="O152" s="14"/>
      <c r="P152" s="14"/>
      <c r="Q152" s="120"/>
      <c r="R152" s="28"/>
      <c r="S152" s="525"/>
      <c r="T152" s="14"/>
      <c r="U152" s="14"/>
      <c r="V152" s="381"/>
    </row>
    <row r="153" spans="1:22" ht="18" hidden="1" customHeight="1">
      <c r="A153" s="96"/>
      <c r="B153" s="14"/>
      <c r="C153" s="14"/>
      <c r="D153" s="14"/>
      <c r="E153" s="14"/>
      <c r="F153" s="14"/>
      <c r="G153" s="14"/>
      <c r="H153" s="14"/>
      <c r="I153" s="14"/>
      <c r="J153" s="14"/>
      <c r="K153" s="14"/>
      <c r="L153" s="14"/>
      <c r="M153" s="14"/>
      <c r="N153" s="14"/>
      <c r="O153" s="14"/>
      <c r="P153" s="14"/>
      <c r="Q153" s="120"/>
      <c r="R153" s="28"/>
      <c r="S153" s="525"/>
      <c r="T153" s="14"/>
      <c r="U153" s="14"/>
      <c r="V153" s="381"/>
    </row>
    <row r="154" spans="1:22" ht="18" hidden="1" customHeight="1">
      <c r="A154" s="96"/>
      <c r="B154" s="14"/>
      <c r="C154" s="14"/>
      <c r="D154" s="14"/>
      <c r="E154" s="14"/>
      <c r="F154" s="14"/>
      <c r="G154" s="14"/>
      <c r="H154" s="14"/>
      <c r="I154" s="14"/>
      <c r="J154" s="14"/>
      <c r="K154" s="14"/>
      <c r="L154" s="14"/>
      <c r="M154" s="14"/>
      <c r="N154" s="14"/>
      <c r="O154" s="14"/>
      <c r="P154" s="14"/>
      <c r="Q154" s="120"/>
      <c r="R154" s="28"/>
      <c r="S154" s="525"/>
      <c r="T154" s="14"/>
      <c r="U154" s="14"/>
      <c r="V154" s="381"/>
    </row>
    <row r="155" spans="1:22" ht="18" hidden="1"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hidden="1"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hidden="1"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hidden="1"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hidden="1"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hidden="1"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2" ht="18" hidden="1"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2" ht="18" hidden="1"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2" ht="18" hidden="1"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2" ht="18" hidden="1"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2" ht="18" hidden="1" customHeight="1">
      <c r="A165" s="96"/>
      <c r="B165" s="14"/>
      <c r="C165" s="14"/>
      <c r="D165" s="14"/>
      <c r="E165" s="14"/>
      <c r="F165" s="14"/>
      <c r="G165" s="14"/>
      <c r="H165" s="14"/>
      <c r="I165" s="14"/>
      <c r="J165" s="14"/>
      <c r="K165" s="14"/>
      <c r="L165" s="14"/>
      <c r="M165" s="14"/>
      <c r="N165" s="14"/>
      <c r="O165" s="14"/>
      <c r="P165" s="14"/>
      <c r="Q165" s="120"/>
      <c r="R165" s="28"/>
      <c r="S165" s="525"/>
      <c r="T165" s="14"/>
      <c r="U165" s="14"/>
      <c r="V165" s="381"/>
    </row>
    <row r="166" spans="1:22" ht="18" hidden="1" customHeight="1">
      <c r="A166" s="96"/>
      <c r="B166" s="14"/>
      <c r="C166" s="14"/>
      <c r="D166" s="14"/>
      <c r="E166" s="14"/>
      <c r="F166" s="14"/>
      <c r="G166" s="14"/>
      <c r="H166" s="14"/>
      <c r="I166" s="14"/>
      <c r="J166" s="14"/>
      <c r="K166" s="14"/>
      <c r="L166" s="14"/>
      <c r="M166" s="14"/>
      <c r="N166" s="14"/>
      <c r="O166" s="14"/>
      <c r="P166" s="14"/>
      <c r="Q166" s="120"/>
      <c r="R166" s="28"/>
      <c r="S166" s="525"/>
      <c r="T166" s="14"/>
      <c r="U166" s="14"/>
      <c r="V166" s="381"/>
    </row>
    <row r="167" spans="1:22" ht="18" hidden="1" customHeight="1">
      <c r="A167" s="96"/>
      <c r="B167" s="14"/>
      <c r="C167" s="14"/>
      <c r="D167" s="14"/>
      <c r="E167" s="14"/>
      <c r="F167" s="14"/>
      <c r="G167" s="14"/>
      <c r="H167" s="14"/>
      <c r="I167" s="14"/>
      <c r="J167" s="14"/>
      <c r="K167" s="14"/>
      <c r="L167" s="14"/>
      <c r="M167" s="14"/>
      <c r="N167" s="14"/>
      <c r="O167" s="14"/>
      <c r="P167" s="14"/>
      <c r="Q167" s="120"/>
      <c r="R167" s="28"/>
      <c r="S167" s="525"/>
      <c r="T167" s="14"/>
      <c r="U167" s="14"/>
      <c r="V167" s="381"/>
    </row>
    <row r="168" spans="1:22" ht="18" hidden="1" customHeight="1">
      <c r="A168" s="96"/>
      <c r="B168" s="14"/>
      <c r="C168" s="14"/>
      <c r="D168" s="14"/>
      <c r="E168" s="14"/>
      <c r="F168" s="14"/>
      <c r="G168" s="14"/>
      <c r="H168" s="14"/>
      <c r="I168" s="14"/>
      <c r="J168" s="14"/>
      <c r="K168" s="14"/>
      <c r="L168" s="14"/>
      <c r="M168" s="14"/>
      <c r="N168" s="14"/>
      <c r="O168" s="14"/>
      <c r="P168" s="14"/>
      <c r="Q168" s="120"/>
      <c r="R168" s="28"/>
      <c r="S168" s="525"/>
      <c r="T168" s="14"/>
      <c r="U168" s="14"/>
      <c r="V168" s="381"/>
    </row>
    <row r="169" spans="1:22" ht="18" hidden="1" customHeight="1">
      <c r="A169" s="96"/>
      <c r="B169" s="14"/>
      <c r="C169" s="14"/>
      <c r="D169" s="14"/>
      <c r="E169" s="14"/>
      <c r="F169" s="14"/>
      <c r="G169" s="14"/>
      <c r="H169" s="14"/>
      <c r="I169" s="14"/>
      <c r="J169" s="14"/>
      <c r="K169" s="14"/>
      <c r="L169" s="14"/>
      <c r="M169" s="14"/>
      <c r="N169" s="14"/>
      <c r="O169" s="14"/>
      <c r="P169" s="14"/>
      <c r="Q169" s="120"/>
      <c r="R169" s="28"/>
      <c r="S169" s="525"/>
      <c r="T169" s="14"/>
      <c r="U169" s="14"/>
      <c r="V169" s="381"/>
    </row>
    <row r="170" spans="1:22" ht="18" hidden="1" customHeight="1">
      <c r="A170" s="96"/>
      <c r="B170" s="14"/>
      <c r="C170" s="14"/>
      <c r="D170" s="14"/>
      <c r="E170" s="14"/>
      <c r="F170" s="14"/>
      <c r="G170" s="14"/>
      <c r="H170" s="14"/>
      <c r="I170" s="14"/>
      <c r="J170" s="14"/>
      <c r="K170" s="14"/>
      <c r="L170" s="14"/>
      <c r="M170" s="14"/>
      <c r="N170" s="14"/>
      <c r="O170" s="14"/>
      <c r="P170" s="14"/>
      <c r="Q170" s="120"/>
      <c r="R170" s="28"/>
      <c r="S170" s="525"/>
      <c r="T170" s="14"/>
      <c r="U170" s="14"/>
      <c r="V170" s="381"/>
    </row>
    <row r="171" spans="1:22" ht="18" hidden="1" customHeight="1">
      <c r="A171" s="96"/>
      <c r="B171" s="14"/>
      <c r="C171" s="14"/>
      <c r="D171" s="14"/>
      <c r="E171" s="14"/>
      <c r="F171" s="14"/>
      <c r="G171" s="14"/>
      <c r="H171" s="14"/>
      <c r="I171" s="14"/>
      <c r="J171" s="14"/>
      <c r="K171" s="14"/>
      <c r="L171" s="14"/>
      <c r="M171" s="14"/>
      <c r="N171" s="14"/>
      <c r="O171" s="14"/>
      <c r="P171" s="14"/>
      <c r="Q171" s="120"/>
      <c r="R171" s="28"/>
      <c r="S171" s="525"/>
      <c r="T171" s="14"/>
      <c r="U171" s="14"/>
      <c r="V171" s="381"/>
    </row>
    <row r="172" spans="1:22" ht="18" hidden="1" customHeight="1">
      <c r="A172" s="96"/>
      <c r="B172" s="14"/>
      <c r="C172" s="14"/>
      <c r="D172" s="14"/>
      <c r="E172" s="14"/>
      <c r="F172" s="14"/>
      <c r="G172" s="14"/>
      <c r="H172" s="14"/>
      <c r="I172" s="14"/>
      <c r="J172" s="14"/>
      <c r="K172" s="14"/>
      <c r="L172" s="14"/>
      <c r="M172" s="14"/>
      <c r="N172" s="14"/>
      <c r="O172" s="14"/>
      <c r="P172" s="14"/>
      <c r="Q172" s="120"/>
      <c r="R172" s="28"/>
      <c r="S172" s="525"/>
      <c r="T172" s="14"/>
      <c r="U172" s="14"/>
      <c r="V172" s="381"/>
    </row>
    <row r="173" spans="1:22" ht="18" hidden="1" customHeight="1">
      <c r="A173" s="194"/>
      <c r="B173" s="195"/>
      <c r="C173" s="195"/>
      <c r="D173" s="195"/>
      <c r="E173" s="195"/>
      <c r="F173" s="195"/>
      <c r="G173" s="195"/>
      <c r="H173" s="195"/>
      <c r="I173" s="195"/>
      <c r="J173" s="195"/>
      <c r="K173" s="195"/>
      <c r="L173" s="195"/>
      <c r="M173" s="195"/>
      <c r="N173" s="195"/>
      <c r="O173" s="195"/>
      <c r="P173" s="195"/>
      <c r="Q173" s="224"/>
      <c r="R173" s="182"/>
      <c r="S173" s="225"/>
      <c r="T173" s="195"/>
      <c r="U173" s="195"/>
      <c r="V173" s="134" t="s">
        <v>552</v>
      </c>
    </row>
    <row r="174" spans="1:22" ht="18" hidden="1" customHeight="1">
      <c r="A174" s="226"/>
      <c r="B174" s="227"/>
      <c r="C174" s="227"/>
      <c r="D174" s="227"/>
      <c r="E174" s="227"/>
      <c r="F174" s="227"/>
      <c r="G174" s="227"/>
      <c r="H174" s="227"/>
      <c r="I174" s="227"/>
      <c r="J174" s="227"/>
      <c r="K174" s="227"/>
      <c r="L174" s="227"/>
      <c r="M174" s="227"/>
      <c r="N174" s="227"/>
      <c r="O174" s="227"/>
      <c r="P174" s="227"/>
      <c r="Q174" s="227"/>
      <c r="R174" s="227"/>
      <c r="S174" s="227"/>
      <c r="T174" s="227"/>
      <c r="U174" s="227"/>
      <c r="V174" s="228"/>
    </row>
    <row r="175" spans="1:22" ht="18" hidden="1" customHeight="1">
      <c r="A175" s="184"/>
      <c r="B175" s="854" t="str">
        <f>B87</f>
        <v>T1</v>
      </c>
      <c r="C175" s="831"/>
      <c r="D175" s="854" t="str">
        <f>D87</f>
        <v>Core5</v>
      </c>
      <c r="E175" s="831"/>
      <c r="F175" s="455"/>
      <c r="H175" s="684" t="s">
        <v>711</v>
      </c>
      <c r="I175" s="684"/>
      <c r="J175" s="684"/>
      <c r="K175" s="684"/>
      <c r="L175" s="684"/>
      <c r="M175" s="684"/>
      <c r="P175" s="186"/>
      <c r="S175" s="187" t="s">
        <v>387</v>
      </c>
      <c r="T175" s="854" t="str">
        <f>T87</f>
        <v>P743</v>
      </c>
      <c r="U175" s="831"/>
      <c r="V175" s="185"/>
    </row>
    <row r="176" spans="1:22" ht="18" hidden="1" customHeight="1">
      <c r="A176" s="456"/>
      <c r="F176" s="455"/>
      <c r="T176" s="854">
        <f>T88</f>
        <v>0</v>
      </c>
      <c r="U176" s="831"/>
      <c r="V176" s="185"/>
    </row>
    <row r="177" spans="1:23" ht="18" hidden="1" customHeight="1">
      <c r="A177" s="184"/>
      <c r="H177" s="708" t="s">
        <v>390</v>
      </c>
      <c r="I177" s="708"/>
      <c r="J177" s="708" t="s">
        <v>391</v>
      </c>
      <c r="K177" s="708"/>
      <c r="L177" s="789" t="s">
        <v>392</v>
      </c>
      <c r="M177" s="789"/>
      <c r="T177" s="854">
        <f>T89</f>
        <v>0</v>
      </c>
      <c r="U177" s="831"/>
      <c r="V177" s="185"/>
    </row>
    <row r="178" spans="1:23" ht="18" hidden="1" customHeight="1">
      <c r="A178" s="184"/>
      <c r="B178" s="47" t="s">
        <v>393</v>
      </c>
      <c r="H178" s="854">
        <f>H90</f>
        <v>2500</v>
      </c>
      <c r="I178" s="831"/>
      <c r="J178" s="854">
        <f>J90</f>
        <v>0</v>
      </c>
      <c r="K178" s="831"/>
      <c r="L178" s="863">
        <f>L90</f>
        <v>0</v>
      </c>
      <c r="M178" s="864"/>
      <c r="N178" s="191" t="s">
        <v>342</v>
      </c>
      <c r="O178" s="256">
        <f>O90</f>
        <v>1</v>
      </c>
      <c r="P178" s="27" t="s">
        <v>8</v>
      </c>
      <c r="R178" s="255"/>
      <c r="S178" s="255"/>
      <c r="V178" s="185"/>
    </row>
    <row r="179" spans="1:23" ht="18" hidden="1" customHeight="1">
      <c r="A179" s="184"/>
      <c r="B179" s="47" t="s">
        <v>394</v>
      </c>
      <c r="L179" s="854" t="str">
        <f>J91</f>
        <v>PX-B</v>
      </c>
      <c r="M179" s="831"/>
      <c r="V179" s="185"/>
    </row>
    <row r="180" spans="1:23" ht="18" hidden="1" customHeight="1">
      <c r="A180" s="184"/>
      <c r="B180" s="47" t="s">
        <v>396</v>
      </c>
      <c r="K180" s="120" t="s">
        <v>497</v>
      </c>
      <c r="L180" s="1224"/>
      <c r="M180" s="1225"/>
      <c r="N180" s="192" t="s">
        <v>333</v>
      </c>
      <c r="V180" s="185"/>
    </row>
    <row r="181" spans="1:23" ht="18" hidden="1" customHeight="1">
      <c r="A181" s="184"/>
      <c r="B181" s="47" t="s">
        <v>398</v>
      </c>
      <c r="K181" s="120" t="s">
        <v>498</v>
      </c>
      <c r="L181" s="1075"/>
      <c r="M181" s="1076"/>
      <c r="N181" s="14" t="s">
        <v>305</v>
      </c>
      <c r="U181" s="18"/>
      <c r="V181" s="185"/>
      <c r="W181" s="30" t="e">
        <f>H230</f>
        <v>#DIV/0!</v>
      </c>
    </row>
    <row r="182" spans="1:23" ht="18" hidden="1" customHeight="1">
      <c r="A182" s="184"/>
      <c r="B182" s="14" t="s">
        <v>401</v>
      </c>
      <c r="K182" s="120" t="s">
        <v>402</v>
      </c>
      <c r="L182" s="1075"/>
      <c r="M182" s="1076"/>
      <c r="N182" s="14" t="s">
        <v>403</v>
      </c>
      <c r="V182" s="185"/>
    </row>
    <row r="183" spans="1:23" ht="18" hidden="1" customHeight="1">
      <c r="A183" s="184"/>
      <c r="V183" s="185"/>
    </row>
    <row r="184" spans="1:23" ht="18" hidden="1" customHeight="1">
      <c r="A184" s="193" t="s">
        <v>404</v>
      </c>
      <c r="V184" s="185"/>
    </row>
    <row r="185" spans="1:23" ht="18" hidden="1" customHeight="1">
      <c r="A185" s="184"/>
      <c r="V185" s="185"/>
    </row>
    <row r="186" spans="1:23" ht="18" hidden="1" customHeight="1">
      <c r="A186" s="184"/>
      <c r="B186" s="135" t="s">
        <v>405</v>
      </c>
      <c r="C186" s="273"/>
      <c r="D186" s="139" t="str">
        <f>T175</f>
        <v>P743</v>
      </c>
      <c r="E186" s="227"/>
      <c r="F186" s="227"/>
      <c r="G186" s="227"/>
      <c r="H186" s="138"/>
      <c r="I186" s="260" t="s">
        <v>127</v>
      </c>
      <c r="J186" s="696">
        <f>J98</f>
        <v>0.1</v>
      </c>
      <c r="K186" s="722"/>
      <c r="L186" s="3" t="s">
        <v>157</v>
      </c>
      <c r="N186" s="197"/>
      <c r="V186" s="185"/>
    </row>
    <row r="187" spans="1:23" ht="18" hidden="1" customHeight="1">
      <c r="A187" s="184"/>
      <c r="B187" s="96" t="s">
        <v>405</v>
      </c>
      <c r="C187" s="14"/>
      <c r="D187" s="47">
        <f>T176</f>
        <v>0</v>
      </c>
      <c r="E187" s="14"/>
      <c r="G187" s="199"/>
      <c r="H187" s="27"/>
      <c r="I187" s="101" t="s">
        <v>127</v>
      </c>
      <c r="J187" s="696">
        <f>J99</f>
        <v>0</v>
      </c>
      <c r="K187" s="722"/>
      <c r="L187" s="202" t="s">
        <v>157</v>
      </c>
      <c r="N187" s="28"/>
      <c r="O187" s="27"/>
      <c r="P187" s="28"/>
      <c r="Q187" s="102"/>
      <c r="R187" s="28"/>
      <c r="S187" s="27"/>
      <c r="T187" s="28"/>
      <c r="V187" s="185"/>
    </row>
    <row r="188" spans="1:23" ht="18" hidden="1" customHeight="1">
      <c r="A188" s="184"/>
      <c r="B188" s="96" t="s">
        <v>405</v>
      </c>
      <c r="C188" s="14"/>
      <c r="D188" s="47">
        <f>T177</f>
        <v>0</v>
      </c>
      <c r="E188" s="14"/>
      <c r="G188" s="199"/>
      <c r="H188" s="27"/>
      <c r="I188" s="101" t="s">
        <v>127</v>
      </c>
      <c r="J188" s="696">
        <f>J100</f>
        <v>0</v>
      </c>
      <c r="K188" s="722"/>
      <c r="L188" s="202" t="s">
        <v>157</v>
      </c>
      <c r="N188" s="27"/>
      <c r="O188" s="27"/>
      <c r="P188" s="27"/>
      <c r="Q188" s="102"/>
      <c r="R188" s="27"/>
      <c r="S188" s="27"/>
      <c r="T188" s="27"/>
      <c r="V188" s="185"/>
    </row>
    <row r="189" spans="1:23" ht="18" hidden="1" customHeight="1">
      <c r="A189" s="184"/>
      <c r="B189" s="184" t="s">
        <v>412</v>
      </c>
      <c r="C189" s="14"/>
      <c r="D189" s="14"/>
      <c r="E189" s="14"/>
      <c r="H189" s="27"/>
      <c r="I189" s="101" t="s">
        <v>127</v>
      </c>
      <c r="J189" s="696">
        <f>J101</f>
        <v>1.0770224400000001</v>
      </c>
      <c r="K189" s="722"/>
      <c r="L189" s="297" t="s">
        <v>157</v>
      </c>
      <c r="N189" s="27"/>
      <c r="O189" s="27"/>
      <c r="P189" s="204"/>
      <c r="R189" s="192"/>
      <c r="S189" s="27"/>
      <c r="T189" s="27"/>
      <c r="V189" s="185"/>
    </row>
    <row r="190" spans="1:23" ht="18" hidden="1" customHeight="1">
      <c r="A190" s="184"/>
      <c r="B190" s="1" t="s">
        <v>413</v>
      </c>
      <c r="C190" s="2"/>
      <c r="D190" s="2"/>
      <c r="E190" s="2"/>
      <c r="F190" s="196"/>
      <c r="G190" s="196"/>
      <c r="H190" s="224" t="s">
        <v>512</v>
      </c>
      <c r="I190" s="183" t="s">
        <v>127</v>
      </c>
      <c r="J190" s="722">
        <f>SUM(J186:J189)</f>
        <v>1.1770224400000002</v>
      </c>
      <c r="K190" s="958"/>
      <c r="L190" s="3" t="s">
        <v>157</v>
      </c>
      <c r="V190" s="185"/>
    </row>
    <row r="191" spans="1:23" ht="18" hidden="1" customHeight="1">
      <c r="A191" s="184"/>
      <c r="B191" s="47"/>
      <c r="C191" s="47"/>
      <c r="D191" s="47"/>
      <c r="E191" s="47"/>
      <c r="H191" s="27"/>
      <c r="I191" s="28"/>
      <c r="J191" s="199"/>
      <c r="L191" s="47"/>
      <c r="O191" s="27"/>
      <c r="P191" s="211"/>
      <c r="Q191" s="27"/>
      <c r="R191" s="204"/>
      <c r="S191" s="27"/>
      <c r="V191" s="185"/>
    </row>
    <row r="192" spans="1:23" ht="18" hidden="1" customHeight="1">
      <c r="A192" s="168"/>
      <c r="B192" s="5"/>
      <c r="C192" s="47" t="s">
        <v>817</v>
      </c>
      <c r="D192" s="14"/>
      <c r="E192" s="14"/>
      <c r="F192" s="14"/>
      <c r="G192" s="14"/>
      <c r="H192" s="279"/>
      <c r="I192" s="120"/>
      <c r="J192" s="279"/>
      <c r="K192" s="279"/>
      <c r="L192" s="14"/>
      <c r="M192" s="14"/>
      <c r="N192" s="14"/>
      <c r="O192" s="14"/>
      <c r="P192" s="14"/>
      <c r="Q192" s="120" t="s">
        <v>818</v>
      </c>
      <c r="R192" s="102" t="s">
        <v>127</v>
      </c>
      <c r="S192" s="854">
        <f>S104</f>
        <v>50000</v>
      </c>
      <c r="T192" s="831"/>
      <c r="U192" s="47" t="s">
        <v>8</v>
      </c>
      <c r="V192" s="185"/>
    </row>
    <row r="193" spans="1:22" ht="18" hidden="1" customHeight="1">
      <c r="A193" s="168"/>
      <c r="B193" s="5"/>
      <c r="C193" s="47" t="s">
        <v>654</v>
      </c>
      <c r="D193" s="14"/>
      <c r="E193" s="14"/>
      <c r="F193" s="18"/>
      <c r="G193" s="18"/>
      <c r="H193" s="279"/>
      <c r="I193" s="120"/>
      <c r="J193" s="279"/>
      <c r="K193" s="279"/>
      <c r="L193" s="14"/>
      <c r="M193" s="14"/>
      <c r="N193" s="14"/>
      <c r="O193" s="14"/>
      <c r="P193" s="14"/>
      <c r="Q193" s="120" t="s">
        <v>423</v>
      </c>
      <c r="R193" s="102" t="s">
        <v>127</v>
      </c>
      <c r="S193" s="689">
        <f>L178</f>
        <v>0</v>
      </c>
      <c r="T193" s="689"/>
      <c r="U193" s="14" t="s">
        <v>8</v>
      </c>
      <c r="V193" s="185"/>
    </row>
    <row r="194" spans="1:22" ht="18" hidden="1" customHeight="1">
      <c r="A194" s="168"/>
      <c r="B194" s="5"/>
      <c r="C194" s="47" t="s">
        <v>819</v>
      </c>
      <c r="E194" s="14"/>
      <c r="F194" s="18"/>
      <c r="G194" s="18"/>
      <c r="H194" s="279"/>
      <c r="I194" s="120"/>
      <c r="J194" s="279"/>
      <c r="K194" s="279"/>
      <c r="L194" s="14"/>
      <c r="M194" s="14"/>
      <c r="N194" s="14"/>
      <c r="O194" s="14"/>
      <c r="P194" s="14"/>
      <c r="Q194" s="120" t="s">
        <v>820</v>
      </c>
      <c r="R194" s="28" t="s">
        <v>127</v>
      </c>
      <c r="S194" s="692" t="e">
        <f>S192/S193*O178</f>
        <v>#DIV/0!</v>
      </c>
      <c r="T194" s="692"/>
      <c r="U194" s="14" t="s">
        <v>8</v>
      </c>
      <c r="V194" s="185"/>
    </row>
    <row r="195" spans="1:22" ht="18" hidden="1" customHeight="1">
      <c r="A195" s="168"/>
      <c r="B195" s="5"/>
      <c r="C195" s="47" t="s">
        <v>821</v>
      </c>
      <c r="D195" s="14"/>
      <c r="E195" s="14"/>
      <c r="F195" s="18"/>
      <c r="G195" s="18"/>
      <c r="H195" s="279"/>
      <c r="I195" s="120"/>
      <c r="J195" s="279"/>
      <c r="K195" s="279"/>
      <c r="L195" s="14"/>
      <c r="M195" s="14"/>
      <c r="N195" s="14"/>
      <c r="O195" s="14"/>
      <c r="P195" s="14"/>
      <c r="Q195" s="120" t="s">
        <v>689</v>
      </c>
      <c r="R195" s="28" t="s">
        <v>127</v>
      </c>
      <c r="S195" s="692">
        <f>J190/O178*O178</f>
        <v>1.1770224400000002</v>
      </c>
      <c r="T195" s="692"/>
      <c r="U195" s="192" t="s">
        <v>333</v>
      </c>
      <c r="V195" s="185"/>
    </row>
    <row r="196" spans="1:22" ht="18" hidden="1" customHeight="1">
      <c r="A196" s="168"/>
      <c r="B196" s="5"/>
      <c r="C196" s="47" t="s">
        <v>822</v>
      </c>
      <c r="Q196" s="120" t="s">
        <v>823</v>
      </c>
      <c r="R196" s="28" t="s">
        <v>127</v>
      </c>
      <c r="S196" s="854">
        <f>S108</f>
        <v>50000</v>
      </c>
      <c r="T196" s="831"/>
      <c r="U196" s="14" t="s">
        <v>8</v>
      </c>
      <c r="V196" s="185"/>
    </row>
    <row r="197" spans="1:22" ht="18" hidden="1" customHeight="1">
      <c r="A197" s="299"/>
      <c r="B197" s="279"/>
      <c r="C197" s="47" t="s">
        <v>824</v>
      </c>
      <c r="Q197" s="244" t="s">
        <v>825</v>
      </c>
      <c r="R197" s="28" t="s">
        <v>127</v>
      </c>
      <c r="S197" s="795" t="e">
        <f>S196/S193</f>
        <v>#DIV/0!</v>
      </c>
      <c r="T197" s="795"/>
      <c r="U197" s="14" t="s">
        <v>8</v>
      </c>
      <c r="V197" s="300"/>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85"/>
    </row>
    <row r="199" spans="1:22" ht="18" hidden="1" customHeight="1">
      <c r="A199" s="193" t="s">
        <v>755</v>
      </c>
      <c r="B199" s="14"/>
      <c r="C199" s="14"/>
      <c r="D199" s="14"/>
      <c r="E199" s="14"/>
      <c r="F199" s="14"/>
      <c r="G199" s="14"/>
      <c r="H199" s="14"/>
      <c r="K199" s="14"/>
      <c r="T199" s="14"/>
      <c r="U199" s="14"/>
      <c r="V199" s="185"/>
    </row>
    <row r="200" spans="1:22" ht="18" hidden="1" customHeight="1">
      <c r="A200" s="96"/>
      <c r="B200" s="14"/>
      <c r="C200" s="14"/>
      <c r="D200" s="14"/>
      <c r="E200" s="14"/>
      <c r="F200" s="14"/>
      <c r="G200" s="14"/>
      <c r="H200" s="14"/>
      <c r="K200" s="14"/>
      <c r="T200" s="14"/>
      <c r="U200" s="14"/>
      <c r="V200" s="185"/>
    </row>
    <row r="201" spans="1:22" ht="18" hidden="1" customHeight="1">
      <c r="A201" s="193" t="s">
        <v>826</v>
      </c>
      <c r="H201" s="28"/>
      <c r="I201" s="28"/>
      <c r="J201" s="28"/>
      <c r="K201" s="28"/>
      <c r="T201" s="14"/>
      <c r="U201" s="14"/>
      <c r="V201" s="185"/>
    </row>
    <row r="202" spans="1:22" ht="18" hidden="1" customHeight="1">
      <c r="A202" s="193"/>
      <c r="H202" s="28"/>
      <c r="I202" s="28"/>
      <c r="J202" s="28"/>
      <c r="K202" s="28"/>
      <c r="T202" s="14"/>
      <c r="U202" s="14"/>
      <c r="V202" s="185"/>
    </row>
    <row r="203" spans="1:22" ht="18" hidden="1" customHeight="1">
      <c r="A203" s="184"/>
      <c r="B203" s="689" t="s">
        <v>473</v>
      </c>
      <c r="C203" s="689"/>
      <c r="D203" s="28" t="s">
        <v>827</v>
      </c>
      <c r="E203" s="28">
        <v>0.5</v>
      </c>
      <c r="F203" s="28" t="s">
        <v>315</v>
      </c>
      <c r="G203" s="689" t="s">
        <v>820</v>
      </c>
      <c r="H203" s="689"/>
      <c r="I203" s="28" t="s">
        <v>672</v>
      </c>
      <c r="J203" s="689" t="s">
        <v>420</v>
      </c>
      <c r="K203" s="689"/>
      <c r="L203" s="28" t="s">
        <v>347</v>
      </c>
      <c r="M203" s="689" t="s">
        <v>689</v>
      </c>
      <c r="N203" s="689"/>
      <c r="O203" s="14" t="s">
        <v>350</v>
      </c>
      <c r="P203" s="14"/>
      <c r="Q203" s="14"/>
      <c r="R203" s="14"/>
      <c r="T203" s="14"/>
      <c r="U203" s="14"/>
      <c r="V203" s="185"/>
    </row>
    <row r="204" spans="1:22" ht="18" hidden="1" customHeight="1">
      <c r="A204" s="184"/>
      <c r="B204" s="14"/>
      <c r="C204" s="14"/>
      <c r="D204" s="102" t="s">
        <v>127</v>
      </c>
      <c r="E204" s="28">
        <v>0.5</v>
      </c>
      <c r="F204" s="28" t="s">
        <v>315</v>
      </c>
      <c r="G204" s="692" t="e">
        <f>S194</f>
        <v>#DIV/0!</v>
      </c>
      <c r="H204" s="689"/>
      <c r="I204" s="28" t="s">
        <v>672</v>
      </c>
      <c r="J204" s="689">
        <f>L180</f>
        <v>0</v>
      </c>
      <c r="K204" s="689"/>
      <c r="L204" s="28" t="s">
        <v>347</v>
      </c>
      <c r="M204" s="692">
        <f>S195</f>
        <v>1.1770224400000002</v>
      </c>
      <c r="N204" s="689"/>
      <c r="O204" s="14" t="s">
        <v>350</v>
      </c>
      <c r="S204" s="14"/>
      <c r="T204" s="14"/>
      <c r="U204" s="14"/>
      <c r="V204" s="185"/>
    </row>
    <row r="205" spans="1:22" ht="18" hidden="1" customHeight="1">
      <c r="A205" s="184"/>
      <c r="B205" s="14"/>
      <c r="C205" s="14"/>
      <c r="D205" s="102" t="s">
        <v>127</v>
      </c>
      <c r="E205" s="692" t="e">
        <f>E204*G204*(J204+M204)</f>
        <v>#DIV/0!</v>
      </c>
      <c r="F205" s="692"/>
      <c r="G205" s="211"/>
      <c r="H205" s="218"/>
      <c r="I205" s="14"/>
      <c r="J205" s="14"/>
      <c r="K205" s="14"/>
      <c r="L205" s="14"/>
      <c r="M205" s="14"/>
      <c r="N205" s="14"/>
      <c r="O205" s="14"/>
      <c r="P205" s="14"/>
      <c r="Q205" s="14"/>
      <c r="R205" s="14"/>
      <c r="V205" s="185"/>
    </row>
    <row r="206" spans="1:22" ht="18" hidden="1" customHeight="1">
      <c r="A206" s="184"/>
      <c r="B206" s="14"/>
      <c r="C206" s="14"/>
      <c r="D206" s="28"/>
      <c r="E206" s="218"/>
      <c r="F206" s="218"/>
      <c r="G206" s="211"/>
      <c r="H206" s="218"/>
      <c r="I206" s="14"/>
      <c r="J206" s="14"/>
      <c r="K206" s="14"/>
      <c r="L206" s="14"/>
      <c r="M206" s="14"/>
      <c r="N206" s="14"/>
      <c r="O206" s="14"/>
      <c r="P206" s="14"/>
      <c r="Q206" s="14"/>
      <c r="R206" s="14"/>
      <c r="V206" s="185"/>
    </row>
    <row r="207" spans="1:22" ht="18" hidden="1" customHeight="1">
      <c r="A207" s="193" t="s">
        <v>828</v>
      </c>
      <c r="B207" s="14"/>
      <c r="C207" s="14"/>
      <c r="D207" s="28"/>
      <c r="E207" s="218"/>
      <c r="F207" s="218"/>
      <c r="G207" s="211"/>
      <c r="H207" s="218"/>
      <c r="I207" s="14"/>
      <c r="J207" s="14"/>
      <c r="K207" s="14"/>
      <c r="L207" s="14"/>
      <c r="M207" s="14"/>
      <c r="N207" s="14"/>
      <c r="O207" s="14"/>
      <c r="P207" s="14"/>
      <c r="Q207" s="14"/>
      <c r="R207" s="14"/>
      <c r="V207" s="185"/>
    </row>
    <row r="208" spans="1:22" ht="18" hidden="1" customHeight="1">
      <c r="A208" s="184"/>
      <c r="B208" s="14"/>
      <c r="C208" s="14"/>
      <c r="D208" s="28"/>
      <c r="E208" s="218"/>
      <c r="F208" s="218"/>
      <c r="G208" s="211"/>
      <c r="H208" s="218"/>
      <c r="I208" s="14"/>
      <c r="J208" s="14"/>
      <c r="K208" s="14"/>
      <c r="L208" s="14"/>
      <c r="M208" s="14"/>
      <c r="N208" s="14"/>
      <c r="O208" s="14"/>
      <c r="P208" s="14"/>
      <c r="Q208" s="14"/>
      <c r="R208" s="14"/>
      <c r="V208" s="185"/>
    </row>
    <row r="209" spans="1:22" ht="18" hidden="1" customHeight="1">
      <c r="A209" s="184"/>
      <c r="B209" s="689" t="s">
        <v>473</v>
      </c>
      <c r="C209" s="689"/>
      <c r="D209" s="28" t="s">
        <v>827</v>
      </c>
      <c r="E209" s="689" t="s">
        <v>825</v>
      </c>
      <c r="F209" s="689"/>
      <c r="G209" s="28" t="s">
        <v>672</v>
      </c>
      <c r="H209" s="689" t="s">
        <v>420</v>
      </c>
      <c r="I209" s="689"/>
      <c r="J209" s="28" t="s">
        <v>347</v>
      </c>
      <c r="K209" s="689" t="s">
        <v>689</v>
      </c>
      <c r="L209" s="689"/>
      <c r="M209" s="14" t="s">
        <v>350</v>
      </c>
      <c r="P209" s="14"/>
      <c r="Q209" s="14"/>
      <c r="R209" s="14"/>
      <c r="V209" s="185"/>
    </row>
    <row r="210" spans="1:22" ht="18" hidden="1" customHeight="1">
      <c r="A210" s="184"/>
      <c r="B210" s="14"/>
      <c r="C210" s="14"/>
      <c r="D210" s="102" t="s">
        <v>127</v>
      </c>
      <c r="E210" s="692" t="e">
        <f>S197</f>
        <v>#DIV/0!</v>
      </c>
      <c r="F210" s="689"/>
      <c r="G210" s="28" t="s">
        <v>672</v>
      </c>
      <c r="H210" s="689">
        <f>L180</f>
        <v>0</v>
      </c>
      <c r="I210" s="689"/>
      <c r="J210" s="28" t="s">
        <v>347</v>
      </c>
      <c r="K210" s="692">
        <f>S195</f>
        <v>1.1770224400000002</v>
      </c>
      <c r="L210" s="689"/>
      <c r="M210" s="14" t="s">
        <v>350</v>
      </c>
      <c r="N210" s="14"/>
      <c r="O210" s="14"/>
      <c r="P210" s="14"/>
      <c r="Q210" s="14"/>
      <c r="R210" s="14"/>
      <c r="V210" s="185"/>
    </row>
    <row r="211" spans="1:22" ht="18" hidden="1" customHeight="1">
      <c r="A211" s="184"/>
      <c r="B211" s="14"/>
      <c r="C211" s="14"/>
      <c r="D211" s="102" t="s">
        <v>127</v>
      </c>
      <c r="E211" s="692" t="e">
        <f>E210*(H210+K210)</f>
        <v>#DIV/0!</v>
      </c>
      <c r="F211" s="692"/>
      <c r="G211" s="211"/>
      <c r="H211" s="218"/>
      <c r="I211" s="14"/>
      <c r="J211" s="14"/>
      <c r="K211" s="14"/>
      <c r="L211" s="14"/>
      <c r="M211" s="14"/>
      <c r="N211" s="14"/>
      <c r="O211" s="14"/>
      <c r="P211" s="14"/>
      <c r="Q211" s="14"/>
      <c r="R211" s="14"/>
      <c r="V211" s="185"/>
    </row>
    <row r="212" spans="1:22" ht="18" hidden="1" customHeight="1">
      <c r="A212" s="184"/>
      <c r="B212" s="14"/>
      <c r="C212" s="14"/>
      <c r="D212" s="102"/>
      <c r="E212" s="218"/>
      <c r="F212" s="218"/>
      <c r="G212" s="211"/>
      <c r="H212" s="218"/>
      <c r="I212" s="14"/>
      <c r="J212" s="14"/>
      <c r="K212" s="14"/>
      <c r="L212" s="14"/>
      <c r="M212" s="14"/>
      <c r="N212" s="14"/>
      <c r="O212" s="14"/>
      <c r="P212" s="14"/>
      <c r="Q212" s="14"/>
      <c r="R212" s="14"/>
      <c r="V212" s="185"/>
    </row>
    <row r="213" spans="1:22" ht="18" hidden="1" customHeight="1">
      <c r="A213" s="184"/>
      <c r="B213" s="14"/>
      <c r="C213" s="14"/>
      <c r="D213" s="102"/>
      <c r="E213" s="218"/>
      <c r="F213" s="218"/>
      <c r="G213" s="211"/>
      <c r="H213" s="218"/>
      <c r="I213" s="14"/>
      <c r="J213" s="14"/>
      <c r="K213" s="14"/>
      <c r="L213" s="14"/>
      <c r="M213" s="14"/>
      <c r="N213" s="14"/>
      <c r="O213" s="14"/>
      <c r="P213" s="14"/>
      <c r="Q213" s="14"/>
      <c r="R213" s="14"/>
      <c r="V213" s="185"/>
    </row>
    <row r="214" spans="1:22" ht="18" hidden="1" customHeight="1">
      <c r="A214" s="184"/>
      <c r="B214" s="14"/>
      <c r="C214" s="14"/>
      <c r="D214" s="102"/>
      <c r="E214" s="218"/>
      <c r="F214" s="218"/>
      <c r="G214" s="211"/>
      <c r="H214" s="218"/>
      <c r="I214" s="14"/>
      <c r="J214" s="14"/>
      <c r="K214" s="14"/>
      <c r="L214" s="14"/>
      <c r="M214" s="14"/>
      <c r="N214" s="14"/>
      <c r="O214" s="14"/>
      <c r="P214" s="14"/>
      <c r="Q214" s="14"/>
      <c r="R214" s="14"/>
      <c r="V214" s="185"/>
    </row>
    <row r="215" spans="1:22" ht="18" hidden="1" customHeight="1">
      <c r="A215" s="184"/>
      <c r="G215" s="211"/>
      <c r="H215" s="218"/>
      <c r="J215" s="28"/>
      <c r="K215" s="28"/>
      <c r="L215" s="28"/>
      <c r="M215" s="28"/>
      <c r="N215" s="28"/>
      <c r="O215" s="28"/>
      <c r="P215" s="28"/>
      <c r="Q215" s="28"/>
      <c r="R215" s="28"/>
      <c r="V215" s="185"/>
    </row>
    <row r="216" spans="1:22" ht="18" hidden="1" customHeight="1">
      <c r="A216" s="184"/>
      <c r="V216" s="185"/>
    </row>
    <row r="217" spans="1:22" ht="18" hidden="1" customHeight="1">
      <c r="A217" s="194"/>
      <c r="B217" s="195"/>
      <c r="C217" s="195"/>
      <c r="D217" s="195"/>
      <c r="E217" s="195"/>
      <c r="F217" s="195"/>
      <c r="G217" s="195"/>
      <c r="H217" s="195"/>
      <c r="I217" s="195"/>
      <c r="J217" s="195"/>
      <c r="K217" s="195"/>
      <c r="L217" s="195"/>
      <c r="M217" s="195"/>
      <c r="N217" s="195"/>
      <c r="O217" s="195"/>
      <c r="P217" s="195"/>
      <c r="Q217" s="224"/>
      <c r="R217" s="182"/>
      <c r="S217" s="225"/>
      <c r="T217" s="195"/>
      <c r="U217" s="195"/>
      <c r="V217" s="134" t="s">
        <v>552</v>
      </c>
    </row>
    <row r="218" spans="1:22" ht="18" hidden="1" customHeight="1">
      <c r="A218" s="135"/>
      <c r="B218" s="273"/>
      <c r="C218" s="273"/>
      <c r="D218" s="273"/>
      <c r="E218" s="273"/>
      <c r="F218" s="273"/>
      <c r="G218" s="273"/>
      <c r="H218" s="273"/>
      <c r="I218" s="273"/>
      <c r="J218" s="273"/>
      <c r="K218" s="273"/>
      <c r="L218" s="273"/>
      <c r="M218" s="273"/>
      <c r="N218" s="273"/>
      <c r="O218" s="273"/>
      <c r="P218" s="273"/>
      <c r="Q218" s="274"/>
      <c r="R218" s="138"/>
      <c r="S218" s="275"/>
      <c r="T218" s="273"/>
      <c r="U218" s="273"/>
      <c r="V218" s="276"/>
    </row>
    <row r="219" spans="1:22" ht="18" hidden="1" customHeight="1">
      <c r="A219" s="193" t="s">
        <v>829</v>
      </c>
      <c r="B219" s="197"/>
      <c r="C219" s="197"/>
      <c r="D219" s="197"/>
      <c r="E219" s="14"/>
      <c r="F219" s="14"/>
      <c r="G219" s="14"/>
      <c r="H219" s="14"/>
      <c r="I219" s="14"/>
      <c r="J219" s="14"/>
      <c r="K219" s="14"/>
      <c r="L219" s="14"/>
      <c r="M219" s="14"/>
      <c r="N219" s="14"/>
      <c r="O219" s="14"/>
      <c r="P219" s="27"/>
      <c r="Q219" s="28"/>
      <c r="T219" s="14"/>
      <c r="U219" s="14"/>
      <c r="V219" s="185"/>
    </row>
    <row r="220" spans="1:22" ht="18" hidden="1" customHeight="1">
      <c r="A220" s="193"/>
      <c r="B220" s="197"/>
      <c r="C220" s="197"/>
      <c r="D220" s="197"/>
      <c r="E220" s="14"/>
      <c r="F220" s="14"/>
      <c r="G220" s="14"/>
      <c r="H220" s="14"/>
      <c r="I220" s="14"/>
      <c r="J220" s="14"/>
      <c r="K220" s="14"/>
      <c r="L220" s="14"/>
      <c r="M220" s="14"/>
      <c r="N220" s="14"/>
      <c r="O220" s="14"/>
      <c r="P220" s="27"/>
      <c r="Q220" s="28"/>
      <c r="T220" s="14"/>
      <c r="U220" s="14"/>
      <c r="V220" s="185"/>
    </row>
    <row r="221" spans="1:22" ht="18" hidden="1" customHeight="1">
      <c r="A221" s="96"/>
      <c r="B221" s="197" t="s">
        <v>826</v>
      </c>
      <c r="C221" s="197"/>
      <c r="D221" s="14"/>
      <c r="E221" s="14"/>
      <c r="F221" s="14"/>
      <c r="G221" s="14"/>
      <c r="H221" s="14"/>
      <c r="I221" s="14"/>
      <c r="J221" s="14"/>
      <c r="K221" s="14"/>
      <c r="L221" s="14"/>
      <c r="M221" s="14"/>
      <c r="N221" s="14"/>
      <c r="O221" s="14"/>
      <c r="P221" s="14"/>
      <c r="Q221" s="14"/>
      <c r="R221" s="14"/>
      <c r="S221" s="14"/>
      <c r="T221" s="14"/>
      <c r="U221" s="14"/>
      <c r="V221" s="185"/>
    </row>
    <row r="222" spans="1:22" ht="18" hidden="1" customHeight="1">
      <c r="A222" s="96"/>
      <c r="B222" s="14"/>
      <c r="C222" s="14"/>
      <c r="D222" s="14"/>
      <c r="E222" s="14"/>
      <c r="F222" s="244" t="s">
        <v>475</v>
      </c>
      <c r="G222" s="28" t="e">
        <f>IF(E223&gt;H223, "&gt;","&lt;")</f>
        <v>#DIV/0!</v>
      </c>
      <c r="H222" s="14" t="s">
        <v>477</v>
      </c>
      <c r="I222" s="14"/>
      <c r="J222" s="14"/>
      <c r="K222" s="14"/>
      <c r="L222" s="14" t="s">
        <v>830</v>
      </c>
      <c r="M222" s="14"/>
      <c r="N222" s="14"/>
      <c r="O222" s="14"/>
      <c r="P222" s="14"/>
      <c r="Q222" s="14"/>
      <c r="R222" s="14"/>
      <c r="S222" s="14"/>
      <c r="T222" s="14"/>
      <c r="U222" s="14"/>
      <c r="V222" s="185"/>
    </row>
    <row r="223" spans="1:22" ht="18" hidden="1" customHeight="1">
      <c r="A223" s="96"/>
      <c r="B223" s="14"/>
      <c r="C223" s="14"/>
      <c r="D223" s="14"/>
      <c r="E223" s="834">
        <f>L181</f>
        <v>0</v>
      </c>
      <c r="F223" s="834"/>
      <c r="G223" s="28" t="e">
        <f>G222</f>
        <v>#DIV/0!</v>
      </c>
      <c r="H223" s="692" t="e">
        <f>E205</f>
        <v>#DIV/0!</v>
      </c>
      <c r="I223" s="692"/>
      <c r="J223" s="14"/>
      <c r="K223" s="14"/>
      <c r="L223" s="14"/>
      <c r="M223" s="14"/>
      <c r="N223" s="14"/>
      <c r="O223" s="14"/>
      <c r="P223" s="14"/>
      <c r="Q223" s="14"/>
      <c r="R223" s="14"/>
      <c r="S223" s="14"/>
      <c r="T223" s="14"/>
      <c r="U223" s="14"/>
      <c r="V223" s="185"/>
    </row>
    <row r="224" spans="1:22" ht="18" hidden="1" customHeight="1">
      <c r="A224" s="184"/>
      <c r="D224" s="211"/>
      <c r="E224" s="218"/>
      <c r="F224" s="199" t="s">
        <v>831</v>
      </c>
      <c r="G224" s="211"/>
      <c r="H224" s="281" t="s">
        <v>832</v>
      </c>
      <c r="J224" s="28" t="s">
        <v>833</v>
      </c>
      <c r="K224" s="18" t="e">
        <f>IF(G223="&gt;", "Satisfied", "Not Satisfied")</f>
        <v>#DIV/0!</v>
      </c>
      <c r="P224" s="14"/>
      <c r="Q224" s="14"/>
      <c r="R224" s="14"/>
      <c r="S224" s="14"/>
      <c r="T224" s="14"/>
      <c r="U224" s="14"/>
      <c r="V224" s="185"/>
    </row>
    <row r="225" spans="1:22" ht="18" hidden="1" customHeight="1">
      <c r="A225" s="96"/>
      <c r="B225" s="197" t="s">
        <v>828</v>
      </c>
      <c r="C225" s="197"/>
      <c r="D225" s="14"/>
      <c r="E225" s="14"/>
      <c r="F225" s="14"/>
      <c r="G225" s="14"/>
      <c r="H225" s="14"/>
      <c r="I225" s="14"/>
      <c r="J225" s="14"/>
      <c r="K225" s="14"/>
      <c r="L225" s="14"/>
      <c r="M225" s="14"/>
      <c r="N225" s="14"/>
      <c r="O225" s="14"/>
      <c r="P225" s="120"/>
      <c r="Q225" s="296"/>
      <c r="V225" s="185"/>
    </row>
    <row r="226" spans="1:22" ht="18" hidden="1" customHeight="1">
      <c r="A226" s="96"/>
      <c r="B226" s="14"/>
      <c r="C226" s="14"/>
      <c r="D226" s="14"/>
      <c r="E226" s="14"/>
      <c r="F226" s="244" t="s">
        <v>475</v>
      </c>
      <c r="G226" s="28" t="e">
        <f>IF(E227&gt;H227, "&gt;","&lt;")</f>
        <v>#DIV/0!</v>
      </c>
      <c r="H226" s="14" t="s">
        <v>477</v>
      </c>
      <c r="I226" s="14"/>
      <c r="J226" s="14"/>
      <c r="K226" s="14"/>
      <c r="L226" s="14" t="s">
        <v>834</v>
      </c>
      <c r="M226" s="14"/>
      <c r="N226" s="14"/>
      <c r="O226" s="14"/>
      <c r="P226" s="301"/>
      <c r="Q226" s="461"/>
      <c r="V226" s="185"/>
    </row>
    <row r="227" spans="1:22" ht="18" hidden="1" customHeight="1">
      <c r="A227" s="96"/>
      <c r="B227" s="14"/>
      <c r="C227" s="14"/>
      <c r="D227" s="14"/>
      <c r="E227" s="834">
        <f>L181</f>
        <v>0</v>
      </c>
      <c r="F227" s="834"/>
      <c r="G227" s="28" t="e">
        <f>G226</f>
        <v>#DIV/0!</v>
      </c>
      <c r="H227" s="692" t="e">
        <f>E211</f>
        <v>#DIV/0!</v>
      </c>
      <c r="I227" s="692"/>
      <c r="J227" s="14"/>
      <c r="K227" s="14"/>
      <c r="L227" s="14"/>
      <c r="M227" s="14"/>
      <c r="N227" s="14"/>
      <c r="O227" s="14"/>
      <c r="V227" s="185"/>
    </row>
    <row r="228" spans="1:22" ht="18" hidden="1" customHeight="1">
      <c r="A228" s="184"/>
      <c r="D228" s="211"/>
      <c r="E228" s="14"/>
      <c r="F228" s="199" t="s">
        <v>831</v>
      </c>
      <c r="G228" s="211"/>
      <c r="H228" s="281" t="s">
        <v>828</v>
      </c>
      <c r="J228" s="28" t="s">
        <v>833</v>
      </c>
      <c r="K228" s="18" t="e">
        <f>IF(G227="&gt;", "Satisfied", "Not Satisfied")</f>
        <v>#DIV/0!</v>
      </c>
      <c r="P228" s="232"/>
      <c r="Q228" s="232"/>
      <c r="R228" s="232"/>
      <c r="S228" s="232"/>
      <c r="T228" s="232"/>
      <c r="U228" s="232"/>
      <c r="V228" s="233"/>
    </row>
    <row r="229" spans="1:22" ht="18" hidden="1" customHeight="1">
      <c r="A229" s="184"/>
      <c r="H229" s="28"/>
      <c r="I229" s="28"/>
      <c r="J229" s="28"/>
      <c r="K229" s="28"/>
      <c r="L229" s="28"/>
      <c r="M229" s="28"/>
      <c r="N229" s="28"/>
      <c r="O229" s="28"/>
      <c r="P229" s="232"/>
      <c r="Q229" s="232"/>
      <c r="R229" s="232"/>
      <c r="S229" s="232"/>
      <c r="T229" s="232"/>
      <c r="U229" s="232"/>
      <c r="V229" s="233"/>
    </row>
    <row r="230" spans="1:22" ht="18" hidden="1" customHeight="1">
      <c r="A230" s="96"/>
      <c r="B230" s="14"/>
      <c r="C230" s="14"/>
      <c r="D230" s="14"/>
      <c r="E230" s="14"/>
      <c r="F230" s="244" t="s">
        <v>478</v>
      </c>
      <c r="G230" s="14"/>
      <c r="H230" s="18" t="e">
        <f>IF(AND(E223&gt;H223,E227&gt;H227),"Suitably Dimentioned","Under Dimentioned")</f>
        <v>#DIV/0!</v>
      </c>
      <c r="I230" s="18"/>
      <c r="J230" s="18"/>
      <c r="K230" s="18"/>
      <c r="L230" s="18"/>
      <c r="M230" s="18"/>
      <c r="N230" s="14"/>
      <c r="O230" s="14"/>
      <c r="V230" s="185"/>
    </row>
    <row r="231" spans="1:22" ht="18" hidden="1" customHeight="1">
      <c r="A231" s="184"/>
      <c r="B231" s="27"/>
      <c r="C231" s="27"/>
      <c r="D231" s="27"/>
      <c r="E231" s="28"/>
      <c r="F231" s="27"/>
      <c r="G231" s="28"/>
      <c r="H231" s="27"/>
      <c r="I231" s="28"/>
      <c r="J231" s="27"/>
      <c r="K231" s="27"/>
      <c r="L231" s="27"/>
      <c r="M231" s="27"/>
      <c r="V231" s="185"/>
    </row>
    <row r="232" spans="1:22" ht="18" hidden="1" customHeight="1">
      <c r="A232" s="184"/>
      <c r="C232" s="27"/>
      <c r="D232" s="245"/>
      <c r="E232" s="221"/>
      <c r="F232" s="245"/>
      <c r="G232" s="222"/>
      <c r="H232" s="245"/>
      <c r="I232" s="245"/>
      <c r="J232" s="245"/>
      <c r="K232" s="245"/>
      <c r="L232" s="245"/>
      <c r="M232" s="27"/>
      <c r="V232" s="185"/>
    </row>
    <row r="233" spans="1:22" ht="18" hidden="1" customHeight="1">
      <c r="A233" s="184"/>
      <c r="C233" s="27"/>
      <c r="D233" s="204"/>
      <c r="E233" s="204"/>
      <c r="G233" s="18"/>
      <c r="V233" s="185"/>
    </row>
    <row r="234" spans="1:22" ht="18" hidden="1" customHeight="1">
      <c r="A234" s="96"/>
      <c r="B234" s="14"/>
      <c r="C234" s="14"/>
      <c r="D234" s="14"/>
      <c r="E234" s="14"/>
      <c r="F234" s="14"/>
      <c r="G234" s="14"/>
      <c r="H234" s="14"/>
      <c r="I234" s="14"/>
      <c r="J234" s="14"/>
      <c r="K234" s="14"/>
      <c r="L234" s="14"/>
      <c r="M234" s="14"/>
      <c r="N234" s="14"/>
      <c r="O234" s="14"/>
      <c r="P234" s="14"/>
      <c r="Q234" s="120"/>
      <c r="R234" s="28"/>
      <c r="S234" s="525"/>
      <c r="T234" s="14"/>
      <c r="U234" s="14"/>
      <c r="V234" s="381"/>
    </row>
    <row r="235" spans="1:22" ht="18" hidden="1" customHeight="1">
      <c r="A235" s="96"/>
      <c r="B235" s="14"/>
      <c r="C235" s="14"/>
      <c r="D235" s="14"/>
      <c r="E235" s="14"/>
      <c r="F235" s="14"/>
      <c r="G235" s="14"/>
      <c r="H235" s="14"/>
      <c r="I235" s="14"/>
      <c r="J235" s="14"/>
      <c r="K235" s="14"/>
      <c r="L235" s="14"/>
      <c r="M235" s="14"/>
      <c r="N235" s="14"/>
      <c r="O235" s="14"/>
      <c r="P235" s="14"/>
      <c r="Q235" s="120"/>
      <c r="R235" s="28"/>
      <c r="S235" s="525"/>
      <c r="T235" s="14"/>
      <c r="U235" s="14"/>
      <c r="V235" s="381"/>
    </row>
    <row r="236" spans="1:22" ht="18" hidden="1" customHeight="1">
      <c r="A236" s="96"/>
      <c r="B236" s="14"/>
      <c r="C236" s="14"/>
      <c r="D236" s="14"/>
      <c r="E236" s="14"/>
      <c r="F236" s="14"/>
      <c r="G236" s="14"/>
      <c r="H236" s="14"/>
      <c r="I236" s="14"/>
      <c r="J236" s="14"/>
      <c r="K236" s="14"/>
      <c r="L236" s="14"/>
      <c r="M236" s="14"/>
      <c r="N236" s="14"/>
      <c r="O236" s="14"/>
      <c r="P236" s="14"/>
      <c r="Q236" s="120"/>
      <c r="R236" s="28"/>
      <c r="S236" s="525"/>
      <c r="T236" s="14"/>
      <c r="U236" s="14"/>
      <c r="V236" s="381"/>
    </row>
    <row r="237" spans="1:22" ht="18" hidden="1" customHeight="1">
      <c r="A237" s="96"/>
      <c r="B237" s="14"/>
      <c r="C237" s="14"/>
      <c r="D237" s="14"/>
      <c r="E237" s="14"/>
      <c r="F237" s="14"/>
      <c r="G237" s="14"/>
      <c r="H237" s="14"/>
      <c r="I237" s="14"/>
      <c r="J237" s="14"/>
      <c r="K237" s="14"/>
      <c r="L237" s="14"/>
      <c r="M237" s="14"/>
      <c r="N237" s="14"/>
      <c r="O237" s="14"/>
      <c r="P237" s="14"/>
      <c r="Q237" s="120"/>
      <c r="R237" s="28"/>
      <c r="S237" s="525"/>
      <c r="T237" s="14"/>
      <c r="U237" s="14"/>
      <c r="V237" s="381"/>
    </row>
    <row r="238" spans="1:22" ht="18" hidden="1" customHeight="1">
      <c r="A238" s="96"/>
      <c r="B238" s="14"/>
      <c r="C238" s="14"/>
      <c r="D238" s="14"/>
      <c r="E238" s="14"/>
      <c r="F238" s="14"/>
      <c r="G238" s="14"/>
      <c r="H238" s="14"/>
      <c r="I238" s="14"/>
      <c r="J238" s="14"/>
      <c r="K238" s="14"/>
      <c r="L238" s="14"/>
      <c r="M238" s="14"/>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96"/>
      <c r="B253" s="14"/>
      <c r="C253" s="14"/>
      <c r="D253" s="14"/>
      <c r="E253" s="14"/>
      <c r="F253" s="14"/>
      <c r="G253" s="14"/>
      <c r="H253" s="14"/>
      <c r="I253" s="14"/>
      <c r="J253" s="14"/>
      <c r="K253" s="14"/>
      <c r="L253" s="14"/>
      <c r="M253" s="14"/>
      <c r="N253" s="14"/>
      <c r="O253" s="14"/>
      <c r="P253" s="14"/>
      <c r="Q253" s="120"/>
      <c r="R253" s="28"/>
      <c r="S253" s="525"/>
      <c r="T253" s="14"/>
      <c r="U253" s="14"/>
      <c r="V253" s="381"/>
    </row>
    <row r="254" spans="1:22" ht="18" hidden="1" customHeight="1">
      <c r="A254" s="96"/>
      <c r="B254" s="14"/>
      <c r="C254" s="14"/>
      <c r="D254" s="14"/>
      <c r="E254" s="14"/>
      <c r="F254" s="14"/>
      <c r="G254" s="14"/>
      <c r="H254" s="14"/>
      <c r="I254" s="14"/>
      <c r="J254" s="14"/>
      <c r="K254" s="14"/>
      <c r="L254" s="14"/>
      <c r="M254" s="14"/>
      <c r="N254" s="14"/>
      <c r="O254" s="14"/>
      <c r="P254" s="14"/>
      <c r="Q254" s="120"/>
      <c r="R254" s="28"/>
      <c r="S254" s="525"/>
      <c r="T254" s="14"/>
      <c r="U254" s="14"/>
      <c r="V254" s="381"/>
    </row>
    <row r="255" spans="1:22" ht="18" hidden="1" customHeight="1">
      <c r="A255" s="96"/>
      <c r="B255" s="14"/>
      <c r="C255" s="14"/>
      <c r="D255" s="14"/>
      <c r="E255" s="14"/>
      <c r="F255" s="14"/>
      <c r="G255" s="14"/>
      <c r="H255" s="14"/>
      <c r="I255" s="14"/>
      <c r="J255" s="14"/>
      <c r="K255" s="14"/>
      <c r="L255" s="14"/>
      <c r="M255" s="14"/>
      <c r="N255" s="14"/>
      <c r="O255" s="14"/>
      <c r="P255" s="14"/>
      <c r="Q255" s="120"/>
      <c r="R255" s="28"/>
      <c r="S255" s="525"/>
      <c r="T255" s="14"/>
      <c r="U255" s="14"/>
      <c r="V255" s="381"/>
    </row>
    <row r="256" spans="1:22" ht="18" hidden="1" customHeight="1">
      <c r="A256" s="96"/>
      <c r="B256" s="14"/>
      <c r="C256" s="14"/>
      <c r="D256" s="14"/>
      <c r="E256" s="14"/>
      <c r="F256" s="14"/>
      <c r="G256" s="14"/>
      <c r="H256" s="14"/>
      <c r="I256" s="14"/>
      <c r="J256" s="14"/>
      <c r="K256" s="14"/>
      <c r="L256" s="14"/>
      <c r="M256" s="14"/>
      <c r="N256" s="14"/>
      <c r="O256" s="14"/>
      <c r="P256" s="14"/>
      <c r="Q256" s="120"/>
      <c r="R256" s="28"/>
      <c r="S256" s="525"/>
      <c r="T256" s="14"/>
      <c r="U256" s="14"/>
      <c r="V256" s="381"/>
    </row>
    <row r="257" spans="1:22" ht="18" hidden="1" customHeight="1">
      <c r="A257" s="96"/>
      <c r="B257" s="14"/>
      <c r="C257" s="14"/>
      <c r="D257" s="14"/>
      <c r="E257" s="14"/>
      <c r="F257" s="14"/>
      <c r="G257" s="14"/>
      <c r="H257" s="14"/>
      <c r="I257" s="14"/>
      <c r="J257" s="14"/>
      <c r="K257" s="14"/>
      <c r="L257" s="14"/>
      <c r="M257" s="14"/>
      <c r="N257" s="14"/>
      <c r="O257" s="14"/>
      <c r="P257" s="14"/>
      <c r="Q257" s="120"/>
      <c r="R257" s="28"/>
      <c r="S257" s="525"/>
      <c r="T257" s="14"/>
      <c r="U257" s="14"/>
      <c r="V257" s="381"/>
    </row>
    <row r="258" spans="1:22" ht="18" hidden="1" customHeight="1">
      <c r="A258" s="96"/>
      <c r="B258" s="14"/>
      <c r="C258" s="14"/>
      <c r="D258" s="14"/>
      <c r="E258" s="14"/>
      <c r="F258" s="14"/>
      <c r="G258" s="14"/>
      <c r="H258" s="14"/>
      <c r="I258" s="14"/>
      <c r="J258" s="14"/>
      <c r="K258" s="14"/>
      <c r="L258" s="14"/>
      <c r="M258" s="14"/>
      <c r="N258" s="14"/>
      <c r="O258" s="14"/>
      <c r="P258" s="14"/>
      <c r="Q258" s="120"/>
      <c r="R258" s="28"/>
      <c r="S258" s="525"/>
      <c r="T258" s="14"/>
      <c r="U258" s="14"/>
      <c r="V258" s="381"/>
    </row>
    <row r="259" spans="1:22" ht="18" hidden="1" customHeight="1">
      <c r="A259" s="96"/>
      <c r="B259" s="14"/>
      <c r="C259" s="14"/>
      <c r="D259" s="14"/>
      <c r="E259" s="14"/>
      <c r="F259" s="14"/>
      <c r="G259" s="14"/>
      <c r="H259" s="14"/>
      <c r="I259" s="14"/>
      <c r="J259" s="14"/>
      <c r="K259" s="14"/>
      <c r="L259" s="14"/>
      <c r="M259" s="14"/>
      <c r="N259" s="14"/>
      <c r="O259" s="14"/>
      <c r="P259" s="14"/>
      <c r="Q259" s="120"/>
      <c r="R259" s="28"/>
      <c r="S259" s="525"/>
      <c r="T259" s="14"/>
      <c r="U259" s="14"/>
      <c r="V259" s="381"/>
    </row>
    <row r="260" spans="1:22" ht="18" hidden="1" customHeight="1">
      <c r="A260" s="96"/>
      <c r="B260" s="14"/>
      <c r="C260" s="14"/>
      <c r="D260" s="14"/>
      <c r="E260" s="14"/>
      <c r="F260" s="14"/>
      <c r="G260" s="14"/>
      <c r="H260" s="14"/>
      <c r="I260" s="14"/>
      <c r="J260" s="14"/>
      <c r="K260" s="14"/>
      <c r="L260" s="14"/>
      <c r="M260" s="14"/>
      <c r="N260" s="14"/>
      <c r="O260" s="14"/>
      <c r="P260" s="14"/>
      <c r="Q260" s="120"/>
      <c r="R260" s="28"/>
      <c r="S260" s="525"/>
      <c r="T260" s="14"/>
      <c r="U260" s="14"/>
      <c r="V260" s="381"/>
    </row>
    <row r="261" spans="1:22" ht="18" hidden="1" customHeight="1">
      <c r="A261" s="194"/>
      <c r="B261" s="195"/>
      <c r="C261" s="195"/>
      <c r="D261" s="195"/>
      <c r="E261" s="195"/>
      <c r="F261" s="195"/>
      <c r="G261" s="195"/>
      <c r="H261" s="195"/>
      <c r="I261" s="195"/>
      <c r="J261" s="195"/>
      <c r="K261" s="195"/>
      <c r="L261" s="195"/>
      <c r="M261" s="195"/>
      <c r="N261" s="195"/>
      <c r="O261" s="195"/>
      <c r="P261" s="195"/>
      <c r="Q261" s="224"/>
      <c r="R261" s="182"/>
      <c r="S261" s="225"/>
      <c r="T261" s="195"/>
      <c r="U261" s="195"/>
      <c r="V261" s="134" t="s">
        <v>552</v>
      </c>
    </row>
    <row r="262" spans="1:22" ht="18" customHeight="1">
      <c r="A262" s="226"/>
      <c r="B262" s="227"/>
      <c r="C262" s="227"/>
      <c r="D262" s="227"/>
      <c r="E262" s="227"/>
      <c r="F262" s="227"/>
      <c r="G262" s="227"/>
      <c r="H262" s="227"/>
      <c r="I262" s="227"/>
      <c r="J262" s="227"/>
      <c r="K262" s="227"/>
      <c r="L262" s="227"/>
      <c r="M262" s="227"/>
      <c r="N262" s="227"/>
      <c r="O262" s="227"/>
      <c r="P262" s="227"/>
      <c r="Q262" s="227"/>
      <c r="R262" s="227"/>
      <c r="S262" s="227"/>
      <c r="T262" s="227"/>
      <c r="U262" s="227"/>
      <c r="V262" s="228"/>
    </row>
    <row r="263" spans="1:22" ht="18" customHeight="1">
      <c r="A263" s="262" t="s">
        <v>501</v>
      </c>
      <c r="B263" s="14"/>
      <c r="C263" s="14"/>
      <c r="D263" s="120"/>
      <c r="E263" s="120"/>
      <c r="F263" s="18"/>
      <c r="G263" s="18"/>
      <c r="H263" s="14"/>
      <c r="I263" s="14"/>
      <c r="J263" s="14"/>
      <c r="V263" s="185"/>
    </row>
    <row r="264" spans="1:22" ht="18" customHeight="1">
      <c r="A264" s="955" t="s">
        <v>85</v>
      </c>
      <c r="B264" s="956"/>
      <c r="C264" s="957"/>
      <c r="D264" s="955" t="s">
        <v>86</v>
      </c>
      <c r="E264" s="956"/>
      <c r="F264" s="957"/>
      <c r="G264" s="955" t="s">
        <v>87</v>
      </c>
      <c r="H264" s="957"/>
      <c r="I264" s="955" t="s">
        <v>88</v>
      </c>
      <c r="J264" s="957"/>
      <c r="K264" s="955" t="s">
        <v>502</v>
      </c>
      <c r="L264" s="957"/>
      <c r="M264" s="955" t="s">
        <v>503</v>
      </c>
      <c r="N264" s="957"/>
      <c r="O264" s="955" t="s">
        <v>504</v>
      </c>
      <c r="P264" s="957"/>
      <c r="Q264" s="955" t="s">
        <v>505</v>
      </c>
      <c r="R264" s="957"/>
      <c r="S264" s="955" t="s">
        <v>93</v>
      </c>
      <c r="T264" s="956"/>
      <c r="U264" s="956"/>
      <c r="V264" s="957"/>
    </row>
    <row r="265" spans="1:22" ht="18" customHeight="1">
      <c r="A265" s="1125"/>
      <c r="B265" s="983"/>
      <c r="C265" s="1126"/>
      <c r="D265" s="1125"/>
      <c r="E265" s="983"/>
      <c r="F265" s="1126"/>
      <c r="G265" s="1125"/>
      <c r="H265" s="1126"/>
      <c r="I265" s="1125"/>
      <c r="J265" s="1126"/>
      <c r="K265" s="1125"/>
      <c r="L265" s="1126"/>
      <c r="M265" s="1125"/>
      <c r="N265" s="1126"/>
      <c r="O265" s="1125"/>
      <c r="P265" s="1126"/>
      <c r="Q265" s="1125"/>
      <c r="R265" s="1126"/>
      <c r="S265" s="1125"/>
      <c r="T265" s="983"/>
      <c r="U265" s="983"/>
      <c r="V265" s="1126"/>
    </row>
    <row r="266" spans="1:22" ht="18" customHeight="1">
      <c r="A266" s="1125"/>
      <c r="B266" s="983"/>
      <c r="C266" s="1126"/>
      <c r="D266" s="1125"/>
      <c r="E266" s="983"/>
      <c r="F266" s="1126"/>
      <c r="G266" s="1125"/>
      <c r="H266" s="1126"/>
      <c r="I266" s="1125"/>
      <c r="J266" s="1126"/>
      <c r="K266" s="1125"/>
      <c r="L266" s="1126"/>
      <c r="M266" s="1125"/>
      <c r="N266" s="1126"/>
      <c r="O266" s="1125"/>
      <c r="P266" s="1126"/>
      <c r="Q266" s="1125"/>
      <c r="R266" s="1126"/>
      <c r="S266" s="1125"/>
      <c r="T266" s="983"/>
      <c r="U266" s="983"/>
      <c r="V266" s="1126"/>
    </row>
    <row r="267" spans="1:22" ht="18" customHeight="1">
      <c r="A267" s="1047"/>
      <c r="B267" s="1048"/>
      <c r="C267" s="1049"/>
      <c r="D267" s="1047"/>
      <c r="E267" s="1048"/>
      <c r="F267" s="1049"/>
      <c r="G267" s="1047"/>
      <c r="H267" s="1049"/>
      <c r="I267" s="1047"/>
      <c r="J267" s="1049"/>
      <c r="K267" s="1047"/>
      <c r="L267" s="1049"/>
      <c r="M267" s="1047"/>
      <c r="N267" s="1049"/>
      <c r="O267" s="1047"/>
      <c r="P267" s="1049"/>
      <c r="Q267" s="1047"/>
      <c r="R267" s="1049"/>
      <c r="S267" s="1047"/>
      <c r="T267" s="1048"/>
      <c r="U267" s="1048"/>
      <c r="V267" s="1049"/>
    </row>
    <row r="268" spans="1:22" ht="18" customHeight="1">
      <c r="A268" s="994" t="str">
        <f>B7</f>
        <v>T1</v>
      </c>
      <c r="B268" s="976" t="str">
        <f>D7</f>
        <v>Core5</v>
      </c>
      <c r="C268" s="856"/>
      <c r="D268" s="971">
        <f>H10</f>
        <v>2500</v>
      </c>
      <c r="E268" s="973"/>
      <c r="F268" s="871">
        <f>O10</f>
        <v>1</v>
      </c>
      <c r="G268" s="871">
        <f>'CT-VT Burdens'!S21</f>
        <v>120</v>
      </c>
      <c r="H268" s="1036">
        <f>'CT-VT Burdens'!S10</f>
        <v>6</v>
      </c>
      <c r="I268" s="965" t="str">
        <f>H11</f>
        <v>PX-B</v>
      </c>
      <c r="J268" s="1025"/>
      <c r="K268" s="1030">
        <f>H12</f>
        <v>5</v>
      </c>
      <c r="L268" s="1031"/>
      <c r="M268" s="1030">
        <f>H13</f>
        <v>750</v>
      </c>
      <c r="N268" s="1031"/>
      <c r="O268" s="971">
        <f>H14</f>
        <v>60</v>
      </c>
      <c r="P268" s="973"/>
      <c r="Q268" s="1013" t="str">
        <f>T7</f>
        <v>P743</v>
      </c>
      <c r="R268" s="1014"/>
      <c r="S268" s="1296" t="str">
        <f>H58</f>
        <v>Suitably Dimentioned</v>
      </c>
      <c r="T268" s="1297"/>
      <c r="U268" s="1297"/>
      <c r="V268" s="1298"/>
    </row>
    <row r="269" spans="1:22" ht="18" customHeight="1">
      <c r="A269" s="1033"/>
      <c r="B269" s="837"/>
      <c r="C269" s="977"/>
      <c r="D269" s="990" t="s">
        <v>6</v>
      </c>
      <c r="E269" s="992"/>
      <c r="F269" s="872"/>
      <c r="G269" s="872"/>
      <c r="H269" s="1127"/>
      <c r="I269" s="1026"/>
      <c r="J269" s="1027"/>
      <c r="K269" s="1040" t="s">
        <v>6</v>
      </c>
      <c r="L269" s="1041"/>
      <c r="M269" s="1040" t="s">
        <v>6</v>
      </c>
      <c r="N269" s="1041"/>
      <c r="O269" s="990" t="s">
        <v>6</v>
      </c>
      <c r="P269" s="992"/>
      <c r="Q269" s="1015"/>
      <c r="R269" s="1016"/>
      <c r="S269" s="1299" t="s">
        <v>6</v>
      </c>
      <c r="T269" s="1300"/>
      <c r="U269" s="1300"/>
      <c r="V269" s="1301"/>
    </row>
    <row r="270" spans="1:22" ht="18" customHeight="1">
      <c r="A270" s="1034"/>
      <c r="B270" s="857"/>
      <c r="C270" s="858"/>
      <c r="D270" s="990" t="s">
        <v>6</v>
      </c>
      <c r="E270" s="992"/>
      <c r="F270" s="873"/>
      <c r="G270" s="873"/>
      <c r="H270" s="1128"/>
      <c r="I270" s="1028"/>
      <c r="J270" s="1029"/>
      <c r="K270" s="1040" t="s">
        <v>6</v>
      </c>
      <c r="L270" s="1041"/>
      <c r="M270" s="1040" t="s">
        <v>6</v>
      </c>
      <c r="N270" s="1041"/>
      <c r="O270" s="990" t="s">
        <v>6</v>
      </c>
      <c r="P270" s="992"/>
      <c r="Q270" s="1017"/>
      <c r="R270" s="1018"/>
      <c r="S270" s="1296" t="s">
        <v>6</v>
      </c>
      <c r="T270" s="1297"/>
      <c r="U270" s="1297"/>
      <c r="V270" s="1298"/>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4.4"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4.4" customHeight="1">
      <c r="A284" s="184"/>
      <c r="V284" s="185"/>
    </row>
    <row r="285" spans="1:22" ht="14.4" customHeight="1">
      <c r="A285" s="184"/>
      <c r="V285" s="185"/>
    </row>
    <row r="286" spans="1:22" ht="14.4" customHeight="1">
      <c r="A286" s="184"/>
      <c r="V286" s="185"/>
    </row>
    <row r="287" spans="1:22" ht="14.4" customHeight="1">
      <c r="A287" s="184"/>
      <c r="V287" s="185"/>
    </row>
    <row r="288" spans="1:22" ht="14.4" customHeight="1">
      <c r="A288" s="184"/>
      <c r="V288" s="185"/>
    </row>
    <row r="289" spans="1:22" ht="14.4"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94"/>
      <c r="B302" s="195"/>
      <c r="C302" s="195"/>
      <c r="D302" s="195"/>
      <c r="E302" s="195"/>
      <c r="F302" s="195"/>
      <c r="G302" s="195"/>
      <c r="H302" s="195"/>
      <c r="I302" s="195"/>
      <c r="J302" s="195"/>
      <c r="K302" s="195"/>
      <c r="L302" s="195"/>
      <c r="M302" s="195"/>
      <c r="N302" s="195"/>
      <c r="O302" s="195"/>
      <c r="P302" s="195"/>
      <c r="Q302" s="224"/>
      <c r="R302" s="182"/>
      <c r="S302" s="225"/>
      <c r="T302" s="195"/>
      <c r="U302" s="195"/>
      <c r="V302" s="134"/>
    </row>
  </sheetData>
  <mergeCells count="189">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B175:C175"/>
    <mergeCell ref="D175:E175"/>
    <mergeCell ref="H175:M175"/>
    <mergeCell ref="E117:F117"/>
    <mergeCell ref="B121:C121"/>
    <mergeCell ref="E121:F121"/>
    <mergeCell ref="H121:I121"/>
    <mergeCell ref="K121:L121"/>
    <mergeCell ref="E122:F122"/>
    <mergeCell ref="H122:I122"/>
    <mergeCell ref="K122:L122"/>
    <mergeCell ref="T175:U175"/>
    <mergeCell ref="T176:U176"/>
    <mergeCell ref="H177:I177"/>
    <mergeCell ref="J177:K177"/>
    <mergeCell ref="L177:M177"/>
    <mergeCell ref="T177:U177"/>
    <mergeCell ref="E123:F123"/>
    <mergeCell ref="E135:F135"/>
    <mergeCell ref="H135:I135"/>
    <mergeCell ref="E139:F139"/>
    <mergeCell ref="H139:I139"/>
    <mergeCell ref="L182:M182"/>
    <mergeCell ref="J186:K186"/>
    <mergeCell ref="J187:K187"/>
    <mergeCell ref="J188:K188"/>
    <mergeCell ref="J189:K189"/>
    <mergeCell ref="J190:K190"/>
    <mergeCell ref="H178:I178"/>
    <mergeCell ref="J178:K178"/>
    <mergeCell ref="L178:M178"/>
    <mergeCell ref="L179:M179"/>
    <mergeCell ref="L180:M180"/>
    <mergeCell ref="L181:M181"/>
    <mergeCell ref="M203:N203"/>
    <mergeCell ref="G204:H204"/>
    <mergeCell ref="J204:K204"/>
    <mergeCell ref="M204:N204"/>
    <mergeCell ref="S192:T192"/>
    <mergeCell ref="S193:T193"/>
    <mergeCell ref="S194:T194"/>
    <mergeCell ref="S195:T195"/>
    <mergeCell ref="S196:T196"/>
    <mergeCell ref="S197:T197"/>
    <mergeCell ref="E205:F205"/>
    <mergeCell ref="B209:C209"/>
    <mergeCell ref="E209:F209"/>
    <mergeCell ref="H209:I209"/>
    <mergeCell ref="K209:L209"/>
    <mergeCell ref="E210:F210"/>
    <mergeCell ref="H210:I210"/>
    <mergeCell ref="K210:L210"/>
    <mergeCell ref="B203:C203"/>
    <mergeCell ref="G203:H203"/>
    <mergeCell ref="J203:K203"/>
    <mergeCell ref="S270:V270"/>
    <mergeCell ref="S269:V269"/>
    <mergeCell ref="S268:V268"/>
    <mergeCell ref="S264:V267"/>
    <mergeCell ref="E211:F211"/>
    <mergeCell ref="E223:F223"/>
    <mergeCell ref="H223:I223"/>
    <mergeCell ref="E227:F227"/>
    <mergeCell ref="H227:I227"/>
    <mergeCell ref="M270:N270"/>
    <mergeCell ref="O270:P270"/>
    <mergeCell ref="I268:J270"/>
  </mergeCells>
  <conditionalFormatting sqref="G145 G233">
    <cfRule type="cellIs" dxfId="79" priority="2" stopIfTrue="1" operator="equal">
      <formula>"Under Dimentioned"</formula>
    </cfRule>
  </conditionalFormatting>
  <conditionalFormatting sqref="H58 H142 H230">
    <cfRule type="cellIs" dxfId="78"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codeName="Sheet47">
    <tabColor rgb="FFFFFF00"/>
  </sheetPr>
  <dimension ref="A1:AE178"/>
  <sheetViews>
    <sheetView showZeros="0" view="pageBreakPreview" topLeftCell="A16" zoomScale="85" zoomScaleNormal="100" zoomScaleSheetLayoutView="85" workbookViewId="0">
      <selection activeCell="S169" sqref="S16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900</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781" t="s">
        <v>108</v>
      </c>
      <c r="C7" s="782"/>
      <c r="D7" s="781" t="s">
        <v>106</v>
      </c>
      <c r="E7" s="782"/>
      <c r="F7" s="255"/>
      <c r="H7" s="684" t="s">
        <v>909</v>
      </c>
      <c r="I7" s="684"/>
      <c r="J7" s="684"/>
      <c r="K7" s="684"/>
      <c r="L7" s="684"/>
      <c r="M7" s="684"/>
      <c r="P7" s="186"/>
      <c r="R7" s="255"/>
      <c r="S7" s="187" t="s">
        <v>387</v>
      </c>
      <c r="T7" s="1216" t="s">
        <v>244</v>
      </c>
      <c r="U7" s="1247"/>
      <c r="V7" s="185"/>
    </row>
    <row r="8" spans="1:24" ht="18" customHeight="1">
      <c r="A8" s="184"/>
      <c r="B8" s="538"/>
      <c r="C8" s="538"/>
      <c r="D8" s="547"/>
      <c r="E8" s="547"/>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2000</v>
      </c>
      <c r="I10" s="792"/>
      <c r="J10" s="781" t="s">
        <v>6</v>
      </c>
      <c r="K10" s="782"/>
      <c r="L10" s="781" t="s">
        <v>6</v>
      </c>
      <c r="M10" s="782"/>
      <c r="N10" s="191" t="s">
        <v>342</v>
      </c>
      <c r="O10" s="125">
        <v>1</v>
      </c>
      <c r="P10" s="27" t="s">
        <v>8</v>
      </c>
      <c r="T10" s="1216"/>
      <c r="U10" s="1247"/>
      <c r="V10" s="185"/>
    </row>
    <row r="11" spans="1:24" ht="18" customHeight="1">
      <c r="A11" s="184"/>
      <c r="B11" s="47" t="s">
        <v>394</v>
      </c>
      <c r="H11" s="781" t="s">
        <v>901</v>
      </c>
      <c r="I11" s="782"/>
      <c r="T11" s="1248"/>
      <c r="U11" s="1248"/>
      <c r="V11" s="185"/>
    </row>
    <row r="12" spans="1:24" ht="18" customHeight="1">
      <c r="A12" s="184"/>
      <c r="B12" s="47" t="s">
        <v>396</v>
      </c>
      <c r="G12" s="120" t="s">
        <v>497</v>
      </c>
      <c r="H12" s="781">
        <v>5</v>
      </c>
      <c r="I12" s="782"/>
      <c r="J12" s="192" t="s">
        <v>333</v>
      </c>
      <c r="T12" s="295"/>
      <c r="U12" s="18"/>
      <c r="V12" s="185"/>
    </row>
    <row r="13" spans="1:24" ht="18" customHeight="1">
      <c r="A13" s="184"/>
      <c r="B13" s="30" t="s">
        <v>568</v>
      </c>
      <c r="G13" s="120" t="s">
        <v>569</v>
      </c>
      <c r="H13" s="781">
        <v>10</v>
      </c>
      <c r="I13" s="782"/>
      <c r="T13" s="295"/>
      <c r="U13" s="18"/>
      <c r="V13" s="185"/>
      <c r="W13" s="30" t="str">
        <f>J47</f>
        <v>Not suitable</v>
      </c>
    </row>
    <row r="14" spans="1:24" ht="18" customHeight="1">
      <c r="A14" s="184"/>
      <c r="B14" s="47" t="s">
        <v>562</v>
      </c>
      <c r="G14" s="120" t="s">
        <v>493</v>
      </c>
      <c r="H14" s="781">
        <v>10</v>
      </c>
      <c r="I14" s="782"/>
      <c r="J14" s="30"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5</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5</v>
      </c>
      <c r="Q22" s="684"/>
      <c r="R22" s="27" t="s">
        <v>157</v>
      </c>
      <c r="S22" s="27"/>
      <c r="T22" s="27"/>
      <c r="V22" s="185"/>
    </row>
    <row r="23" spans="1:31" ht="18" customHeight="1">
      <c r="A23" s="184"/>
      <c r="B23" s="1" t="s">
        <v>413</v>
      </c>
      <c r="C23" s="2"/>
      <c r="D23" s="2"/>
      <c r="E23" s="2"/>
      <c r="F23" s="196"/>
      <c r="G23" s="196"/>
      <c r="H23" s="224" t="s">
        <v>512</v>
      </c>
      <c r="I23" s="183" t="s">
        <v>127</v>
      </c>
      <c r="J23" s="722">
        <f>SUM(J18:K22)</f>
        <v>1.0850224400000001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2000</v>
      </c>
      <c r="Q25" s="1251"/>
      <c r="R25" s="192" t="s">
        <v>8</v>
      </c>
      <c r="V25" s="185"/>
    </row>
    <row r="26" spans="1:31" ht="18" customHeight="1">
      <c r="A26" s="184"/>
      <c r="B26" s="47" t="s">
        <v>547</v>
      </c>
      <c r="C26" s="47"/>
      <c r="D26" s="47"/>
      <c r="E26" s="47"/>
      <c r="H26" s="27"/>
      <c r="I26" s="28"/>
      <c r="J26" s="199"/>
      <c r="L26" s="47"/>
      <c r="N26" s="120" t="s">
        <v>572</v>
      </c>
      <c r="O26" s="28" t="s">
        <v>127</v>
      </c>
      <c r="P26" s="1251">
        <f>H12</f>
        <v>5</v>
      </c>
      <c r="Q26" s="1251"/>
      <c r="R26" s="304" t="s">
        <v>157</v>
      </c>
      <c r="V26" s="185"/>
    </row>
    <row r="27" spans="1:31" ht="18" customHeight="1">
      <c r="A27" s="184"/>
      <c r="B27" s="47" t="s">
        <v>548</v>
      </c>
      <c r="C27" s="47"/>
      <c r="D27" s="47"/>
      <c r="E27" s="47"/>
      <c r="H27" s="27"/>
      <c r="I27" s="28"/>
      <c r="J27" s="199"/>
      <c r="L27" s="47"/>
      <c r="N27" s="120" t="s">
        <v>573</v>
      </c>
      <c r="O27" s="28" t="s">
        <v>127</v>
      </c>
      <c r="P27" s="1072">
        <f>J23</f>
        <v>1.0850224400000001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244" t="s">
        <v>575</v>
      </c>
      <c r="O29" s="28" t="s">
        <v>127</v>
      </c>
      <c r="P29" s="1251">
        <f>H13</f>
        <v>10</v>
      </c>
      <c r="Q29" s="1251"/>
      <c r="R29" s="192"/>
      <c r="V29" s="185"/>
    </row>
    <row r="30" spans="1:31" ht="18" customHeight="1">
      <c r="A30" s="184"/>
      <c r="B30" s="296" t="s">
        <v>576</v>
      </c>
      <c r="C30" s="47"/>
      <c r="D30" s="47"/>
      <c r="E30" s="47"/>
      <c r="H30" s="27"/>
      <c r="I30" s="28"/>
      <c r="J30" s="199"/>
      <c r="L30" s="47"/>
      <c r="N30" s="244"/>
      <c r="O30" s="28" t="s">
        <v>127</v>
      </c>
      <c r="P30" s="1072">
        <v>20</v>
      </c>
      <c r="Q30" s="1072"/>
      <c r="R30" s="192"/>
      <c r="S30" s="14"/>
      <c r="V30" s="185"/>
      <c r="Y30" s="30" t="s">
        <v>577</v>
      </c>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1.0850224400000001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520">
        <f>P29</f>
        <v>10</v>
      </c>
      <c r="K38" s="245" t="s">
        <v>554</v>
      </c>
      <c r="L38" s="301">
        <f>P22</f>
        <v>5</v>
      </c>
      <c r="M38" s="245" t="s">
        <v>347</v>
      </c>
      <c r="N38" s="242">
        <f>H14</f>
        <v>10</v>
      </c>
      <c r="O38" s="245" t="s">
        <v>539</v>
      </c>
      <c r="P38" s="301">
        <f>P22</f>
        <v>5</v>
      </c>
      <c r="Q38" s="245" t="s">
        <v>347</v>
      </c>
      <c r="R38" s="301">
        <f>J23</f>
        <v>1.0850224400000001</v>
      </c>
      <c r="S38" s="296" t="s">
        <v>350</v>
      </c>
      <c r="V38" s="185"/>
    </row>
    <row r="39" spans="1:22" ht="18" customHeight="1">
      <c r="A39" s="184"/>
      <c r="I39" s="27" t="s">
        <v>127</v>
      </c>
      <c r="J39" s="1111">
        <f>J38*((L38+N38)/(P38+R38))</f>
        <v>24.650689702304529</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10</v>
      </c>
      <c r="H43" s="684"/>
      <c r="I43" s="27" t="str">
        <f>IF(G43&gt;J43,"&gt;","&lt;")</f>
        <v>&gt;</v>
      </c>
      <c r="J43" s="795">
        <f>J35</f>
        <v>1.0850224400000001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&lt;</v>
      </c>
      <c r="J46" s="795">
        <f>J39</f>
        <v>24.650689702304529</v>
      </c>
      <c r="K46" s="795"/>
      <c r="R46" s="14"/>
      <c r="S46" s="186" t="str">
        <f>IF(G46&gt;J46,"Satisfied","Not satisfied")</f>
        <v>Not satisfied</v>
      </c>
      <c r="V46" s="185"/>
    </row>
    <row r="47" spans="1:22" ht="18" customHeight="1">
      <c r="A47" s="184"/>
      <c r="D47" s="47"/>
      <c r="H47" s="244" t="s">
        <v>478</v>
      </c>
      <c r="J47" s="18" t="str">
        <f>IF(AND(I43="&gt;",I46="&gt;")=TRUE,"Suitable Dimensions","Not suitable")</f>
        <v>Not suitable</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hidden="1"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hidden="1" customHeight="1">
      <c r="A50" s="184"/>
      <c r="B50" s="835" t="str">
        <f>B7</f>
        <v>T1</v>
      </c>
      <c r="C50" s="836"/>
      <c r="D50" s="1112" t="str">
        <f>D7</f>
        <v>Core6</v>
      </c>
      <c r="E50" s="1113"/>
      <c r="F50" s="255"/>
      <c r="H50" s="684" t="str">
        <f>H7</f>
        <v>(Metering)</v>
      </c>
      <c r="I50" s="684"/>
      <c r="J50" s="684"/>
      <c r="K50" s="684"/>
      <c r="L50" s="684"/>
      <c r="M50" s="684"/>
      <c r="P50" s="186"/>
      <c r="R50" s="255"/>
      <c r="S50" s="187" t="s">
        <v>387</v>
      </c>
      <c r="T50" s="1216" t="str">
        <f>T7</f>
        <v>XC-RACK</v>
      </c>
      <c r="U50" s="1247"/>
      <c r="V50" s="185"/>
    </row>
    <row r="51" spans="1:23" ht="18" hidden="1" customHeight="1">
      <c r="A51" s="184"/>
      <c r="B51" s="1118">
        <f>B8</f>
        <v>0</v>
      </c>
      <c r="C51" s="1118"/>
      <c r="D51" s="1114"/>
      <c r="E51" s="1115"/>
      <c r="F51" s="255"/>
      <c r="T51" s="1216"/>
      <c r="U51" s="1247"/>
      <c r="V51" s="185"/>
    </row>
    <row r="52" spans="1:23" ht="18" hidden="1" customHeight="1">
      <c r="A52" s="184"/>
      <c r="H52" s="708" t="s">
        <v>390</v>
      </c>
      <c r="I52" s="708"/>
      <c r="J52" s="789" t="s">
        <v>391</v>
      </c>
      <c r="K52" s="789"/>
      <c r="L52" s="790" t="s">
        <v>392</v>
      </c>
      <c r="M52" s="790"/>
      <c r="T52" s="1216"/>
      <c r="U52" s="1247"/>
      <c r="V52" s="185"/>
    </row>
    <row r="53" spans="1:23" ht="18" hidden="1" customHeight="1">
      <c r="A53" s="184"/>
      <c r="B53" s="47" t="s">
        <v>393</v>
      </c>
      <c r="H53" s="835">
        <f>H10</f>
        <v>2000</v>
      </c>
      <c r="I53" s="836"/>
      <c r="J53" s="843" t="str">
        <f>J10</f>
        <v>-</v>
      </c>
      <c r="K53" s="844"/>
      <c r="L53" s="835" t="str">
        <f>L10</f>
        <v>-</v>
      </c>
      <c r="M53" s="836"/>
      <c r="N53" s="191" t="s">
        <v>342</v>
      </c>
      <c r="O53" s="488">
        <f>O10</f>
        <v>1</v>
      </c>
      <c r="P53" s="27" t="s">
        <v>8</v>
      </c>
      <c r="T53" s="1216"/>
      <c r="U53" s="1247"/>
      <c r="V53" s="185"/>
    </row>
    <row r="54" spans="1:23" ht="18" hidden="1" customHeight="1">
      <c r="A54" s="184"/>
      <c r="B54" s="47" t="s">
        <v>394</v>
      </c>
      <c r="H54" s="14"/>
      <c r="I54" s="14"/>
      <c r="J54" s="835" t="str">
        <f>H11</f>
        <v>0.2S</v>
      </c>
      <c r="K54" s="836"/>
      <c r="L54" s="14"/>
      <c r="M54" s="14"/>
      <c r="V54" s="185"/>
    </row>
    <row r="55" spans="1:23" ht="18" hidden="1" customHeight="1">
      <c r="A55" s="184"/>
      <c r="B55" s="47" t="s">
        <v>396</v>
      </c>
      <c r="I55" s="120" t="s">
        <v>497</v>
      </c>
      <c r="J55" s="781">
        <v>5</v>
      </c>
      <c r="K55" s="782"/>
      <c r="L55" s="192" t="s">
        <v>333</v>
      </c>
      <c r="T55" s="295"/>
      <c r="U55" s="18"/>
      <c r="V55" s="185"/>
    </row>
    <row r="56" spans="1:23" ht="18" hidden="1" customHeight="1">
      <c r="A56" s="184"/>
      <c r="B56" s="30" t="s">
        <v>568</v>
      </c>
      <c r="I56" s="120" t="s">
        <v>569</v>
      </c>
      <c r="J56" s="781">
        <v>10</v>
      </c>
      <c r="K56" s="782"/>
      <c r="T56" s="295"/>
      <c r="U56" s="18"/>
      <c r="V56" s="185"/>
      <c r="W56" s="30" t="str">
        <f>J90</f>
        <v>Suitable Dimensions</v>
      </c>
    </row>
    <row r="57" spans="1:23" ht="18" hidden="1" customHeight="1">
      <c r="A57" s="184"/>
      <c r="B57" s="47" t="s">
        <v>562</v>
      </c>
      <c r="I57" s="120" t="s">
        <v>493</v>
      </c>
      <c r="J57" s="781">
        <v>5</v>
      </c>
      <c r="K57" s="782"/>
      <c r="L57" s="14" t="s">
        <v>157</v>
      </c>
      <c r="T57" s="295"/>
      <c r="U57" s="18"/>
      <c r="V57" s="185"/>
    </row>
    <row r="58" spans="1:23" ht="18" hidden="1" customHeight="1">
      <c r="A58" s="184"/>
      <c r="V58" s="185"/>
    </row>
    <row r="59" spans="1:23" ht="18" hidden="1" customHeight="1">
      <c r="A59" s="193" t="s">
        <v>404</v>
      </c>
      <c r="V59" s="185"/>
    </row>
    <row r="60" spans="1:23" ht="18" hidden="1" customHeight="1">
      <c r="A60" s="184"/>
      <c r="V60" s="185"/>
    </row>
    <row r="61" spans="1:23" ht="18" hidden="1"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hidden="1" customHeight="1">
      <c r="A62" s="184"/>
      <c r="B62" s="96" t="s">
        <v>405</v>
      </c>
      <c r="D62" s="296">
        <f>D19</f>
        <v>0</v>
      </c>
      <c r="I62" s="177" t="s">
        <v>127</v>
      </c>
      <c r="J62" s="1119">
        <f t="shared" si="0"/>
        <v>0</v>
      </c>
      <c r="K62" s="989"/>
      <c r="L62" s="198" t="s">
        <v>157</v>
      </c>
      <c r="P62" s="244"/>
      <c r="V62" s="185"/>
    </row>
    <row r="63" spans="1:23" ht="18" hidden="1"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hidden="1"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hidden="1"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hidden="1" customHeight="1">
      <c r="A66" s="184"/>
      <c r="B66" s="1" t="s">
        <v>413</v>
      </c>
      <c r="C66" s="2"/>
      <c r="D66" s="2"/>
      <c r="E66" s="2"/>
      <c r="F66" s="196"/>
      <c r="G66" s="196"/>
      <c r="H66" s="224" t="s">
        <v>512</v>
      </c>
      <c r="I66" s="183" t="s">
        <v>127</v>
      </c>
      <c r="J66" s="722">
        <f t="shared" si="0"/>
        <v>1.0850224400000001</v>
      </c>
      <c r="K66" s="958"/>
      <c r="L66" s="3" t="s">
        <v>157</v>
      </c>
      <c r="O66" s="27"/>
      <c r="P66" s="211"/>
      <c r="Q66" s="211"/>
      <c r="R66" s="192"/>
      <c r="V66" s="185"/>
    </row>
    <row r="67" spans="1:22" ht="18" hidden="1" customHeight="1">
      <c r="A67" s="184"/>
      <c r="B67" s="47"/>
      <c r="C67" s="47"/>
      <c r="D67" s="47"/>
      <c r="E67" s="47"/>
      <c r="H67" s="27"/>
      <c r="I67" s="28"/>
      <c r="J67" s="218"/>
      <c r="K67" s="27"/>
      <c r="L67" s="47"/>
      <c r="O67" s="27"/>
      <c r="P67" s="211"/>
      <c r="Q67" s="211"/>
      <c r="R67" s="192"/>
      <c r="V67" s="185"/>
    </row>
    <row r="68" spans="1:22" ht="18" hidden="1" customHeight="1">
      <c r="A68" s="184"/>
      <c r="B68" s="47" t="s">
        <v>545</v>
      </c>
      <c r="C68" s="47"/>
      <c r="D68" s="47"/>
      <c r="E68" s="47"/>
      <c r="H68" s="27"/>
      <c r="I68" s="28"/>
      <c r="J68" s="199"/>
      <c r="L68" s="47"/>
      <c r="N68" s="120" t="s">
        <v>423</v>
      </c>
      <c r="O68" s="28" t="s">
        <v>127</v>
      </c>
      <c r="P68" s="1251" t="str">
        <f>J53</f>
        <v>-</v>
      </c>
      <c r="Q68" s="1251"/>
      <c r="R68" s="192" t="s">
        <v>8</v>
      </c>
      <c r="V68" s="185"/>
    </row>
    <row r="69" spans="1:22" ht="18" hidden="1" customHeight="1">
      <c r="A69" s="184"/>
      <c r="B69" s="47" t="s">
        <v>547</v>
      </c>
      <c r="C69" s="47"/>
      <c r="D69" s="47"/>
      <c r="E69" s="47"/>
      <c r="H69" s="27"/>
      <c r="I69" s="28"/>
      <c r="J69" s="199"/>
      <c r="L69" s="47"/>
      <c r="N69" s="120" t="s">
        <v>572</v>
      </c>
      <c r="O69" s="28" t="s">
        <v>127</v>
      </c>
      <c r="P69" s="1251">
        <f>J55</f>
        <v>5</v>
      </c>
      <c r="Q69" s="1251"/>
      <c r="R69" s="304" t="s">
        <v>157</v>
      </c>
      <c r="V69" s="185"/>
    </row>
    <row r="70" spans="1:22" ht="18" hidden="1" customHeight="1">
      <c r="A70" s="184"/>
      <c r="B70" s="47" t="s">
        <v>548</v>
      </c>
      <c r="C70" s="47"/>
      <c r="D70" s="47"/>
      <c r="E70" s="47"/>
      <c r="H70" s="27"/>
      <c r="I70" s="28"/>
      <c r="J70" s="199"/>
      <c r="L70" s="47"/>
      <c r="N70" s="120" t="s">
        <v>573</v>
      </c>
      <c r="O70" s="28" t="s">
        <v>127</v>
      </c>
      <c r="P70" s="1072">
        <f>J66</f>
        <v>1.0850224400000001</v>
      </c>
      <c r="Q70" s="1251"/>
      <c r="R70" s="304" t="s">
        <v>157</v>
      </c>
      <c r="V70" s="185"/>
    </row>
    <row r="71" spans="1:22" ht="18" hidden="1" customHeight="1">
      <c r="A71" s="184"/>
      <c r="B71" s="47" t="s">
        <v>549</v>
      </c>
      <c r="C71" s="47"/>
      <c r="D71" s="47"/>
      <c r="E71" s="47"/>
      <c r="H71" s="27"/>
      <c r="I71" s="28"/>
      <c r="J71" s="199"/>
      <c r="L71" s="47"/>
      <c r="N71" s="120" t="s">
        <v>511</v>
      </c>
      <c r="O71" s="28" t="s">
        <v>127</v>
      </c>
      <c r="P71" s="1251">
        <f>O53</f>
        <v>1</v>
      </c>
      <c r="Q71" s="1251"/>
      <c r="R71" s="192" t="s">
        <v>8</v>
      </c>
      <c r="V71" s="185"/>
    </row>
    <row r="72" spans="1:22" ht="18" hidden="1" customHeight="1">
      <c r="A72" s="184"/>
      <c r="B72" s="47" t="s">
        <v>574</v>
      </c>
      <c r="C72" s="47"/>
      <c r="D72" s="47"/>
      <c r="E72" s="47"/>
      <c r="H72" s="27"/>
      <c r="I72" s="28"/>
      <c r="J72" s="199"/>
      <c r="L72" s="47"/>
      <c r="N72" s="120" t="s">
        <v>495</v>
      </c>
      <c r="O72" s="28" t="s">
        <v>127</v>
      </c>
      <c r="P72" s="1251">
        <v>10</v>
      </c>
      <c r="Q72" s="1251"/>
      <c r="R72" s="192"/>
      <c r="V72" s="185"/>
    </row>
    <row r="73" spans="1:22" ht="18" hidden="1" customHeight="1">
      <c r="A73" s="184"/>
      <c r="B73" s="47" t="s">
        <v>577</v>
      </c>
      <c r="C73" s="47"/>
      <c r="D73" s="47"/>
      <c r="E73" s="47"/>
      <c r="H73" s="27"/>
      <c r="I73" s="28"/>
      <c r="J73" s="199"/>
      <c r="L73" s="47"/>
      <c r="O73" s="28" t="s">
        <v>127</v>
      </c>
      <c r="P73" s="1072">
        <v>20</v>
      </c>
      <c r="Q73" s="1072"/>
      <c r="R73" s="192" t="s">
        <v>129</v>
      </c>
      <c r="S73" s="14" t="s">
        <v>170</v>
      </c>
      <c r="V73" s="185"/>
    </row>
    <row r="74" spans="1:22" ht="18" hidden="1"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hidden="1" customHeight="1">
      <c r="A77" s="184"/>
      <c r="B77" s="47"/>
      <c r="C77" s="47" t="s">
        <v>581</v>
      </c>
      <c r="D77" s="47"/>
      <c r="E77" s="47"/>
      <c r="H77" s="27"/>
      <c r="I77" s="28" t="s">
        <v>127</v>
      </c>
      <c r="J77" s="281" t="s">
        <v>582</v>
      </c>
      <c r="L77" s="47"/>
      <c r="O77" s="27"/>
      <c r="P77" s="28" t="s">
        <v>347</v>
      </c>
      <c r="Q77" s="14" t="s">
        <v>583</v>
      </c>
      <c r="R77" s="192"/>
      <c r="V77" s="185"/>
    </row>
    <row r="78" spans="1:22" ht="18" hidden="1" customHeight="1">
      <c r="A78" s="184"/>
      <c r="I78" s="28" t="s">
        <v>127</v>
      </c>
      <c r="J78" s="795">
        <f>J66</f>
        <v>1.0850224400000001</v>
      </c>
      <c r="K78" s="684"/>
      <c r="L78" s="28"/>
      <c r="M78" s="795"/>
      <c r="N78" s="684"/>
      <c r="V78" s="185"/>
    </row>
    <row r="79" spans="1:22" ht="18" hidden="1" customHeight="1">
      <c r="A79" s="184"/>
      <c r="I79" s="28"/>
      <c r="J79" s="204"/>
      <c r="V79" s="185"/>
    </row>
    <row r="80" spans="1:22" ht="18" hidden="1"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hidden="1" customHeight="1">
      <c r="A81" s="184"/>
      <c r="I81" s="27" t="s">
        <v>127</v>
      </c>
      <c r="J81" s="245">
        <f>J56</f>
        <v>10</v>
      </c>
      <c r="K81" s="245" t="s">
        <v>554</v>
      </c>
      <c r="L81" s="301">
        <f>P65</f>
        <v>5</v>
      </c>
      <c r="M81" s="245" t="s">
        <v>347</v>
      </c>
      <c r="N81" s="242">
        <f>J57</f>
        <v>5</v>
      </c>
      <c r="O81" s="245" t="s">
        <v>539</v>
      </c>
      <c r="P81" s="301">
        <f>P65</f>
        <v>5</v>
      </c>
      <c r="Q81" s="245" t="s">
        <v>347</v>
      </c>
      <c r="R81" s="301">
        <f>J66</f>
        <v>1.0850224400000001</v>
      </c>
      <c r="S81" s="296" t="s">
        <v>350</v>
      </c>
      <c r="V81" s="185"/>
    </row>
    <row r="82" spans="1:22" ht="18" hidden="1" customHeight="1">
      <c r="A82" s="184"/>
      <c r="I82" s="27" t="s">
        <v>127</v>
      </c>
      <c r="J82" s="1111">
        <f>J81*((L81+N81)/(P81+R81))</f>
        <v>16.433793134869688</v>
      </c>
      <c r="K82" s="1111"/>
      <c r="L82" s="242"/>
      <c r="M82" s="242"/>
      <c r="N82" s="242"/>
      <c r="O82" s="242"/>
      <c r="P82" s="242"/>
      <c r="Q82" s="242"/>
      <c r="R82" s="242"/>
      <c r="V82" s="185"/>
    </row>
    <row r="83" spans="1:22" ht="18" hidden="1" customHeight="1">
      <c r="A83" s="184"/>
      <c r="I83" s="28"/>
      <c r="J83" s="211"/>
      <c r="K83" s="27"/>
      <c r="V83" s="185"/>
    </row>
    <row r="84" spans="1:22" ht="18" hidden="1" customHeight="1">
      <c r="A84" s="96" t="s">
        <v>584</v>
      </c>
      <c r="I84" s="28"/>
      <c r="J84" s="211"/>
      <c r="K84" s="27"/>
      <c r="V84" s="185"/>
    </row>
    <row r="85" spans="1:22" ht="18" hidden="1" customHeight="1">
      <c r="A85" s="184"/>
      <c r="B85" s="28">
        <v>1</v>
      </c>
      <c r="D85" s="14"/>
      <c r="H85" s="120" t="s">
        <v>492</v>
      </c>
      <c r="I85" s="28" t="s">
        <v>476</v>
      </c>
      <c r="J85" s="47" t="s">
        <v>104</v>
      </c>
      <c r="S85" s="14" t="s">
        <v>585</v>
      </c>
      <c r="V85" s="185"/>
    </row>
    <row r="86" spans="1:22" ht="18" hidden="1" customHeight="1">
      <c r="A86" s="184"/>
      <c r="G86" s="684">
        <f>J57</f>
        <v>5</v>
      </c>
      <c r="H86" s="684"/>
      <c r="I86" s="27" t="str">
        <f>IF(G86&gt;J86,"&gt;","&lt;")</f>
        <v>&gt;</v>
      </c>
      <c r="J86" s="795">
        <f>J78</f>
        <v>1.0850224400000001</v>
      </c>
      <c r="K86" s="684"/>
      <c r="S86" s="186" t="str">
        <f>IF(G86&gt;J86,"Satisfied","Not satisfied")</f>
        <v>Satisfied</v>
      </c>
      <c r="V86" s="185"/>
    </row>
    <row r="87" spans="1:22" ht="18" hidden="1" customHeight="1">
      <c r="A87" s="184"/>
      <c r="D87" s="14"/>
      <c r="H87" s="120"/>
      <c r="I87" s="27"/>
      <c r="R87" s="14"/>
      <c r="V87" s="185"/>
    </row>
    <row r="88" spans="1:22" ht="18" hidden="1" customHeight="1">
      <c r="A88" s="184"/>
      <c r="B88" s="28">
        <v>2</v>
      </c>
      <c r="D88" s="14"/>
      <c r="H88" s="244" t="s">
        <v>586</v>
      </c>
      <c r="I88" s="28" t="s">
        <v>476</v>
      </c>
      <c r="J88" s="14" t="s">
        <v>105</v>
      </c>
      <c r="K88" s="14"/>
      <c r="S88" s="14" t="s">
        <v>587</v>
      </c>
      <c r="V88" s="185"/>
    </row>
    <row r="89" spans="1:22" ht="18" hidden="1" customHeight="1">
      <c r="A89" s="184"/>
      <c r="D89" s="14"/>
      <c r="G89" s="795">
        <f>P73</f>
        <v>20</v>
      </c>
      <c r="H89" s="795"/>
      <c r="I89" s="27" t="str">
        <f>IF(G89&gt;J89,"&gt;","&lt;")</f>
        <v>&gt;</v>
      </c>
      <c r="J89" s="795">
        <f>J82</f>
        <v>16.433793134869688</v>
      </c>
      <c r="K89" s="795"/>
      <c r="R89" s="14"/>
      <c r="S89" s="186" t="str">
        <f>IF(G89&gt;J89,"Satisfied","Not satisfied")</f>
        <v>Satisfied</v>
      </c>
      <c r="V89" s="185"/>
    </row>
    <row r="90" spans="1:22" ht="18" hidden="1"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Core6</v>
      </c>
      <c r="E95" s="986"/>
      <c r="F95" s="255"/>
      <c r="H95" s="684" t="str">
        <f>H50</f>
        <v>(Metering)</v>
      </c>
      <c r="I95" s="684"/>
      <c r="J95" s="684"/>
      <c r="K95" s="684"/>
      <c r="L95" s="684"/>
      <c r="M95" s="684"/>
      <c r="P95" s="186"/>
      <c r="V95" s="185"/>
    </row>
    <row r="96" spans="1:22" ht="18" hidden="1" customHeight="1">
      <c r="A96" s="184"/>
      <c r="B96" s="854">
        <f>B51</f>
        <v>0</v>
      </c>
      <c r="C96" s="831"/>
      <c r="D96" s="1343"/>
      <c r="E96" s="1344"/>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2000</v>
      </c>
      <c r="I98" s="831"/>
      <c r="J98" s="854" t="str">
        <f>J53</f>
        <v>-</v>
      </c>
      <c r="K98" s="831"/>
      <c r="L98" s="863" t="str">
        <f>L53</f>
        <v>-</v>
      </c>
      <c r="M98" s="864"/>
      <c r="N98" s="191" t="s">
        <v>342</v>
      </c>
      <c r="O98" s="256">
        <f>O53</f>
        <v>1</v>
      </c>
      <c r="P98" s="27" t="s">
        <v>8</v>
      </c>
      <c r="V98" s="185"/>
    </row>
    <row r="99" spans="1:23" ht="18" hidden="1" customHeight="1">
      <c r="A99" s="184"/>
      <c r="B99" s="47" t="s">
        <v>394</v>
      </c>
      <c r="H99" s="14"/>
      <c r="I99" s="14"/>
      <c r="K99" s="14"/>
      <c r="L99" s="854" t="str">
        <f>J54</f>
        <v>0.2S</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696">
        <f t="shared" ref="J106:J111" si="1">J61</f>
        <v>8.0000000000000002E-3</v>
      </c>
      <c r="K106" s="722"/>
      <c r="L106" s="3" t="s">
        <v>157</v>
      </c>
      <c r="N106" s="197" t="s">
        <v>510</v>
      </c>
      <c r="V106" s="185"/>
    </row>
    <row r="107" spans="1:23" ht="18" hidden="1" customHeight="1">
      <c r="A107" s="184"/>
      <c r="B107" s="96" t="s">
        <v>405</v>
      </c>
      <c r="D107" s="296">
        <f>D62</f>
        <v>0</v>
      </c>
      <c r="I107" s="177" t="s">
        <v>127</v>
      </c>
      <c r="J107" s="696">
        <f t="shared" si="1"/>
        <v>0</v>
      </c>
      <c r="K107" s="722"/>
      <c r="L107" s="198" t="s">
        <v>157</v>
      </c>
      <c r="P107" s="244"/>
      <c r="V107" s="185"/>
    </row>
    <row r="108" spans="1:23" ht="18" hidden="1" customHeight="1">
      <c r="A108" s="184"/>
      <c r="B108" s="96" t="s">
        <v>405</v>
      </c>
      <c r="C108" s="14"/>
      <c r="D108" s="47">
        <f>D63</f>
        <v>0</v>
      </c>
      <c r="E108" s="14"/>
      <c r="G108" s="199"/>
      <c r="H108" s="27"/>
      <c r="I108" s="101" t="s">
        <v>127</v>
      </c>
      <c r="J108" s="696">
        <f t="shared" si="1"/>
        <v>0</v>
      </c>
      <c r="K108" s="722"/>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722"/>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696">
        <f t="shared" si="1"/>
        <v>1.0770224400000001</v>
      </c>
      <c r="K110" s="722"/>
      <c r="L110" s="297" t="s">
        <v>157</v>
      </c>
      <c r="O110" s="27" t="s">
        <v>127</v>
      </c>
      <c r="P110" s="795" t="e">
        <f>P109*R109*T109</f>
        <v>#VALUE!</v>
      </c>
      <c r="Q110" s="795"/>
      <c r="R110" s="27" t="s">
        <v>157</v>
      </c>
      <c r="S110" s="27"/>
      <c r="T110" s="27"/>
      <c r="V110" s="185"/>
    </row>
    <row r="111" spans="1:23" ht="18" hidden="1" customHeight="1">
      <c r="A111" s="184"/>
      <c r="B111" s="1" t="s">
        <v>413</v>
      </c>
      <c r="C111" s="2"/>
      <c r="D111" s="2"/>
      <c r="E111" s="2"/>
      <c r="F111" s="196"/>
      <c r="G111" s="196"/>
      <c r="H111" s="224" t="s">
        <v>512</v>
      </c>
      <c r="I111" s="183" t="s">
        <v>127</v>
      </c>
      <c r="J111" s="696">
        <f t="shared" si="1"/>
        <v>1.0850224400000001</v>
      </c>
      <c r="K111" s="722"/>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795"/>
      <c r="L116" s="28" t="s">
        <v>347</v>
      </c>
      <c r="M116" s="795">
        <f>J111</f>
        <v>1.0850224400000001</v>
      </c>
      <c r="N116" s="795"/>
      <c r="V116" s="185"/>
    </row>
    <row r="117" spans="1:22" ht="18" hidden="1" customHeight="1">
      <c r="A117" s="184"/>
      <c r="I117" s="28" t="s">
        <v>127</v>
      </c>
      <c r="J117" s="795" t="e">
        <f>J116+M116</f>
        <v>#VALUE!</v>
      </c>
      <c r="K117" s="795"/>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1.0850224400000001</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795"/>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6.8" customHeight="1">
      <c r="A139" s="262" t="s">
        <v>501</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Core6</v>
      </c>
      <c r="C144" s="765"/>
      <c r="D144" s="870">
        <f>H98</f>
        <v>2000</v>
      </c>
      <c r="E144" s="870"/>
      <c r="F144" s="871">
        <f>O98</f>
        <v>1</v>
      </c>
      <c r="G144" s="961">
        <f>'CT-VT Burdens'!S21</f>
        <v>120</v>
      </c>
      <c r="H144" s="959">
        <f>'CT-VT Burdens'!S10</f>
        <v>6</v>
      </c>
      <c r="I144" s="874" t="str">
        <f>L99</f>
        <v>0.2S</v>
      </c>
      <c r="J144" s="874"/>
      <c r="K144" s="869">
        <f>H12</f>
        <v>5</v>
      </c>
      <c r="L144" s="869"/>
      <c r="M144" s="869">
        <f>H14</f>
        <v>10</v>
      </c>
      <c r="N144" s="869"/>
      <c r="O144" s="870" t="s">
        <v>6</v>
      </c>
      <c r="P144" s="870"/>
      <c r="Q144" s="879" t="str">
        <f>CONCATENATE(T7," ",T8," ",T9," ",T10)</f>
        <v xml:space="preserve">XC-RACK   </v>
      </c>
      <c r="R144" s="879"/>
      <c r="S144" s="878" t="str">
        <f>J47</f>
        <v>Not suitable</v>
      </c>
      <c r="T144" s="878"/>
      <c r="U144" s="878"/>
      <c r="V144" s="878"/>
    </row>
    <row r="145" spans="1:22" ht="18" customHeight="1">
      <c r="A145" s="765"/>
      <c r="B145" s="765"/>
      <c r="C145" s="765"/>
      <c r="D145" s="870" t="str">
        <f>J98</f>
        <v>-</v>
      </c>
      <c r="E145" s="870"/>
      <c r="F145" s="872"/>
      <c r="G145" s="961"/>
      <c r="H145" s="959"/>
      <c r="I145" s="874"/>
      <c r="J145" s="874"/>
      <c r="K145" s="875" t="s">
        <v>6</v>
      </c>
      <c r="L145" s="869"/>
      <c r="M145" s="875" t="s">
        <v>6</v>
      </c>
      <c r="N145" s="869"/>
      <c r="O145" s="870" t="s">
        <v>6</v>
      </c>
      <c r="P145" s="870"/>
      <c r="Q145" s="879"/>
      <c r="R145" s="879"/>
      <c r="S145" s="877" t="s">
        <v>6</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184"/>
      <c r="V177" s="185"/>
    </row>
    <row r="178" spans="1:22" s="14" customFormat="1" ht="18" customHeight="1">
      <c r="A178" s="194"/>
      <c r="B178" s="195"/>
      <c r="C178" s="195"/>
      <c r="D178" s="195"/>
      <c r="E178" s="195"/>
      <c r="F178" s="195"/>
      <c r="G178" s="195"/>
      <c r="H178" s="195"/>
      <c r="I178" s="195"/>
      <c r="J178" s="195"/>
      <c r="K178" s="195"/>
      <c r="L178" s="195"/>
      <c r="M178" s="195"/>
      <c r="N178" s="195"/>
      <c r="O178" s="195"/>
      <c r="P178" s="195"/>
      <c r="Q178" s="224"/>
      <c r="R178" s="182"/>
      <c r="S178" s="225"/>
      <c r="T178" s="195"/>
      <c r="U178" s="195"/>
      <c r="V178" s="134"/>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1:U11"/>
    <mergeCell ref="H7:M7"/>
    <mergeCell ref="T7:U7"/>
    <mergeCell ref="T8:U8"/>
    <mergeCell ref="H9:I9"/>
    <mergeCell ref="J9:K9"/>
    <mergeCell ref="L9:M9"/>
    <mergeCell ref="T9:U9"/>
    <mergeCell ref="L10:M10"/>
    <mergeCell ref="T10:U10"/>
    <mergeCell ref="H11:I11"/>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T52:U52"/>
    <mergeCell ref="H53:I53"/>
    <mergeCell ref="J53:K53"/>
    <mergeCell ref="L53:M53"/>
    <mergeCell ref="T53:U53"/>
    <mergeCell ref="B50:C50"/>
    <mergeCell ref="D50:E51"/>
    <mergeCell ref="H50:M50"/>
    <mergeCell ref="T50:U50"/>
    <mergeCell ref="B51:C51"/>
    <mergeCell ref="T51:U51"/>
    <mergeCell ref="J54:K54"/>
    <mergeCell ref="J55:K55"/>
    <mergeCell ref="J56:K56"/>
    <mergeCell ref="J57:K57"/>
    <mergeCell ref="J61:K61"/>
    <mergeCell ref="J62:K62"/>
    <mergeCell ref="H52:I52"/>
    <mergeCell ref="J52:K52"/>
    <mergeCell ref="L52:M52"/>
    <mergeCell ref="P69:Q69"/>
    <mergeCell ref="P70:Q70"/>
    <mergeCell ref="P71:Q71"/>
    <mergeCell ref="P72:Q72"/>
    <mergeCell ref="P73:Q73"/>
    <mergeCell ref="S75:T75"/>
    <mergeCell ref="J63:K63"/>
    <mergeCell ref="J64:K64"/>
    <mergeCell ref="J65:K65"/>
    <mergeCell ref="P65:Q65"/>
    <mergeCell ref="J66:K66"/>
    <mergeCell ref="P68:Q68"/>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L102:M102"/>
    <mergeCell ref="J106:K106"/>
    <mergeCell ref="J107:K107"/>
    <mergeCell ref="J108:K108"/>
    <mergeCell ref="J109:K109"/>
    <mergeCell ref="J110:K110"/>
    <mergeCell ref="P110:Q110"/>
    <mergeCell ref="J111:K111"/>
    <mergeCell ref="S113:T113"/>
    <mergeCell ref="G128:H128"/>
    <mergeCell ref="J125:K125"/>
    <mergeCell ref="G125:H125"/>
    <mergeCell ref="J121:K121"/>
    <mergeCell ref="A140:C143"/>
    <mergeCell ref="D140:F143"/>
    <mergeCell ref="G140:H143"/>
    <mergeCell ref="I140:J143"/>
    <mergeCell ref="K140:L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77" priority="2" stopIfTrue="1" operator="equal">
      <formula>"Not suitable"</formula>
    </cfRule>
  </conditionalFormatting>
  <conditionalFormatting sqref="S43 S46 S86 S89 S125 S128">
    <cfRule type="cellIs" dxfId="76"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codeName="Sheet49">
    <tabColor rgb="FFFFFF00"/>
  </sheetPr>
  <dimension ref="A1:AE178"/>
  <sheetViews>
    <sheetView showZeros="0" view="pageBreakPreview" zoomScaleNormal="100" zoomScaleSheetLayoutView="100" workbookViewId="0">
      <selection activeCell="U172" sqref="U17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239"/>
      <c r="T2" s="1239"/>
      <c r="U2" s="1239"/>
      <c r="V2" s="1240"/>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900</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781" t="s">
        <v>108</v>
      </c>
      <c r="C7" s="782"/>
      <c r="D7" s="781" t="s">
        <v>906</v>
      </c>
      <c r="E7" s="782"/>
      <c r="F7" s="255"/>
      <c r="H7" s="684" t="s">
        <v>909</v>
      </c>
      <c r="I7" s="684"/>
      <c r="J7" s="684"/>
      <c r="K7" s="684"/>
      <c r="L7" s="684"/>
      <c r="M7" s="684"/>
      <c r="P7" s="186"/>
      <c r="R7" s="255"/>
      <c r="S7" s="187" t="s">
        <v>387</v>
      </c>
      <c r="T7" s="1216" t="s">
        <v>244</v>
      </c>
      <c r="U7" s="1247"/>
      <c r="V7" s="185"/>
    </row>
    <row r="8" spans="1:24" ht="18" customHeight="1">
      <c r="A8" s="184"/>
      <c r="B8" s="538"/>
      <c r="C8" s="538"/>
      <c r="D8" s="547"/>
      <c r="E8" s="547"/>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2000</v>
      </c>
      <c r="I10" s="792"/>
      <c r="J10" s="781" t="s">
        <v>6</v>
      </c>
      <c r="K10" s="782"/>
      <c r="L10" s="781" t="s">
        <v>6</v>
      </c>
      <c r="M10" s="782"/>
      <c r="N10" s="191" t="s">
        <v>342</v>
      </c>
      <c r="O10" s="125">
        <v>1</v>
      </c>
      <c r="P10" s="27" t="s">
        <v>8</v>
      </c>
      <c r="T10" s="1216"/>
      <c r="U10" s="1247"/>
      <c r="V10" s="185"/>
    </row>
    <row r="11" spans="1:24" ht="18" customHeight="1">
      <c r="A11" s="184"/>
      <c r="B11" s="47" t="s">
        <v>394</v>
      </c>
      <c r="H11" s="781" t="s">
        <v>901</v>
      </c>
      <c r="I11" s="782"/>
      <c r="T11" s="1248"/>
      <c r="U11" s="1248"/>
      <c r="V11" s="185"/>
    </row>
    <row r="12" spans="1:24" ht="18" customHeight="1">
      <c r="A12" s="184"/>
      <c r="B12" s="47" t="s">
        <v>396</v>
      </c>
      <c r="G12" s="120" t="s">
        <v>497</v>
      </c>
      <c r="H12" s="781">
        <v>5</v>
      </c>
      <c r="I12" s="782"/>
      <c r="J12" s="192" t="s">
        <v>333</v>
      </c>
      <c r="T12" s="295"/>
      <c r="U12" s="18"/>
      <c r="V12" s="185"/>
    </row>
    <row r="13" spans="1:24" ht="18" customHeight="1">
      <c r="A13" s="184"/>
      <c r="B13" s="30" t="s">
        <v>568</v>
      </c>
      <c r="G13" s="120" t="s">
        <v>569</v>
      </c>
      <c r="H13" s="781">
        <v>10</v>
      </c>
      <c r="I13" s="782"/>
      <c r="T13" s="295"/>
      <c r="U13" s="18"/>
      <c r="V13" s="185"/>
      <c r="W13" s="30" t="str">
        <f>J47</f>
        <v>Not suitable</v>
      </c>
    </row>
    <row r="14" spans="1:24" ht="18" customHeight="1">
      <c r="A14" s="184"/>
      <c r="B14" s="47" t="s">
        <v>562</v>
      </c>
      <c r="G14" s="120" t="s">
        <v>493</v>
      </c>
      <c r="H14" s="781">
        <v>10</v>
      </c>
      <c r="I14" s="782"/>
      <c r="J14" s="30" t="s">
        <v>157</v>
      </c>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XC-RACK</v>
      </c>
      <c r="E18" s="227"/>
      <c r="F18" s="227"/>
      <c r="G18" s="227"/>
      <c r="H18" s="138"/>
      <c r="I18" s="260" t="s">
        <v>127</v>
      </c>
      <c r="J18" s="1250">
        <f>'CT-VT Burdens'!Q142</f>
        <v>8.0000000000000002E-3</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5</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5</v>
      </c>
      <c r="Q22" s="684"/>
      <c r="R22" s="27" t="s">
        <v>157</v>
      </c>
      <c r="S22" s="27"/>
      <c r="T22" s="27"/>
      <c r="V22" s="185"/>
    </row>
    <row r="23" spans="1:31" ht="18" customHeight="1">
      <c r="A23" s="184"/>
      <c r="B23" s="1" t="s">
        <v>413</v>
      </c>
      <c r="C23" s="2"/>
      <c r="D23" s="2"/>
      <c r="E23" s="2"/>
      <c r="F23" s="196"/>
      <c r="G23" s="196"/>
      <c r="H23" s="224" t="s">
        <v>512</v>
      </c>
      <c r="I23" s="183" t="s">
        <v>127</v>
      </c>
      <c r="J23" s="722">
        <f>SUM(J18:K22)</f>
        <v>1.0850224400000001</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2000</v>
      </c>
      <c r="Q25" s="1251"/>
      <c r="R25" s="192" t="s">
        <v>8</v>
      </c>
      <c r="V25" s="185"/>
    </row>
    <row r="26" spans="1:31" ht="18" customHeight="1">
      <c r="A26" s="184"/>
      <c r="B26" s="47" t="s">
        <v>547</v>
      </c>
      <c r="C26" s="47"/>
      <c r="D26" s="47"/>
      <c r="E26" s="47"/>
      <c r="H26" s="27"/>
      <c r="I26" s="28"/>
      <c r="J26" s="199"/>
      <c r="L26" s="47"/>
      <c r="N26" s="120" t="s">
        <v>572</v>
      </c>
      <c r="O26" s="28" t="s">
        <v>127</v>
      </c>
      <c r="P26" s="1251">
        <f>H12</f>
        <v>5</v>
      </c>
      <c r="Q26" s="1251"/>
      <c r="R26" s="304" t="s">
        <v>157</v>
      </c>
      <c r="V26" s="185"/>
    </row>
    <row r="27" spans="1:31" ht="18" customHeight="1">
      <c r="A27" s="184"/>
      <c r="B27" s="47" t="s">
        <v>548</v>
      </c>
      <c r="C27" s="47"/>
      <c r="D27" s="47"/>
      <c r="E27" s="47"/>
      <c r="H27" s="27"/>
      <c r="I27" s="28"/>
      <c r="J27" s="199"/>
      <c r="L27" s="47"/>
      <c r="N27" s="120" t="s">
        <v>573</v>
      </c>
      <c r="O27" s="28" t="s">
        <v>127</v>
      </c>
      <c r="P27" s="1072">
        <f>J23</f>
        <v>1.0850224400000001</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244" t="s">
        <v>575</v>
      </c>
      <c r="O29" s="28" t="s">
        <v>127</v>
      </c>
      <c r="P29" s="1251">
        <f>H13</f>
        <v>10</v>
      </c>
      <c r="Q29" s="1251"/>
      <c r="R29" s="192"/>
      <c r="V29" s="185"/>
    </row>
    <row r="30" spans="1:31" ht="18" customHeight="1">
      <c r="A30" s="184"/>
      <c r="B30" s="296" t="s">
        <v>576</v>
      </c>
      <c r="C30" s="47"/>
      <c r="D30" s="47"/>
      <c r="E30" s="47"/>
      <c r="H30" s="27"/>
      <c r="I30" s="28"/>
      <c r="J30" s="199"/>
      <c r="L30" s="47"/>
      <c r="N30" s="244"/>
      <c r="O30" s="28" t="s">
        <v>127</v>
      </c>
      <c r="P30" s="1072">
        <v>20</v>
      </c>
      <c r="Q30" s="1072"/>
      <c r="R30" s="192"/>
      <c r="S30" s="14"/>
      <c r="V30" s="185"/>
      <c r="Y30" s="30" t="s">
        <v>577</v>
      </c>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1.0850224400000001</v>
      </c>
      <c r="K35" s="684"/>
      <c r="L35" s="28"/>
      <c r="M35" s="795"/>
      <c r="N35" s="684"/>
      <c r="V35" s="185"/>
    </row>
    <row r="36" spans="1:22" ht="18" customHeight="1">
      <c r="A36" s="184"/>
      <c r="I36" s="28"/>
      <c r="J36" s="795"/>
      <c r="K36" s="684"/>
      <c r="V36" s="185"/>
    </row>
    <row r="37" spans="1:22" ht="18" customHeight="1">
      <c r="A37" s="184"/>
      <c r="F37" s="244"/>
      <c r="H37" s="120" t="s">
        <v>105</v>
      </c>
      <c r="I37" s="27" t="s">
        <v>127</v>
      </c>
      <c r="J37" s="27" t="s">
        <v>569</v>
      </c>
      <c r="K37" s="27" t="s">
        <v>554</v>
      </c>
      <c r="L37" s="120" t="s">
        <v>491</v>
      </c>
      <c r="M37" s="28" t="s">
        <v>347</v>
      </c>
      <c r="N37" s="120" t="s">
        <v>493</v>
      </c>
      <c r="O37" s="28" t="s">
        <v>539</v>
      </c>
      <c r="P37" s="120" t="s">
        <v>491</v>
      </c>
      <c r="Q37" s="28" t="s">
        <v>347</v>
      </c>
      <c r="R37" s="120" t="s">
        <v>512</v>
      </c>
      <c r="S37" s="296" t="s">
        <v>350</v>
      </c>
      <c r="V37" s="185"/>
    </row>
    <row r="38" spans="1:22" ht="18" customHeight="1">
      <c r="A38" s="184"/>
      <c r="I38" s="27" t="s">
        <v>127</v>
      </c>
      <c r="J38" s="520">
        <f>P29</f>
        <v>10</v>
      </c>
      <c r="K38" s="245" t="s">
        <v>554</v>
      </c>
      <c r="L38" s="301">
        <f>P22</f>
        <v>5</v>
      </c>
      <c r="M38" s="245" t="s">
        <v>347</v>
      </c>
      <c r="N38" s="242">
        <f>H14</f>
        <v>10</v>
      </c>
      <c r="O38" s="245" t="s">
        <v>539</v>
      </c>
      <c r="P38" s="301">
        <f>P22</f>
        <v>5</v>
      </c>
      <c r="Q38" s="245" t="s">
        <v>347</v>
      </c>
      <c r="R38" s="301">
        <f>J23</f>
        <v>1.0850224400000001</v>
      </c>
      <c r="S38" s="296" t="s">
        <v>350</v>
      </c>
      <c r="V38" s="185"/>
    </row>
    <row r="39" spans="1:22" ht="18" customHeight="1">
      <c r="A39" s="184"/>
      <c r="I39" s="27" t="s">
        <v>127</v>
      </c>
      <c r="J39" s="1111">
        <f>J38*((L38+N38)/(P38+R38))</f>
        <v>24.650689702304529</v>
      </c>
      <c r="K39" s="1111"/>
      <c r="L39" s="242"/>
      <c r="M39" s="242"/>
      <c r="N39" s="242"/>
      <c r="O39" s="242"/>
      <c r="P39" s="242"/>
      <c r="Q39" s="242"/>
      <c r="R39" s="242"/>
      <c r="V39" s="185"/>
    </row>
    <row r="40" spans="1:22" ht="18" customHeight="1">
      <c r="A40" s="184"/>
      <c r="I40" s="28"/>
      <c r="J40" s="211"/>
      <c r="K40" s="27"/>
      <c r="V40" s="185"/>
    </row>
    <row r="41" spans="1:22" ht="18" customHeight="1">
      <c r="A41" s="96" t="s">
        <v>584</v>
      </c>
      <c r="I41" s="28"/>
      <c r="J41" s="211"/>
      <c r="K41" s="27"/>
      <c r="V41" s="185"/>
    </row>
    <row r="42" spans="1:22" ht="18" customHeight="1">
      <c r="A42" s="184"/>
      <c r="B42" s="28">
        <v>1</v>
      </c>
      <c r="D42" s="14"/>
      <c r="H42" s="120" t="s">
        <v>492</v>
      </c>
      <c r="I42" s="28" t="s">
        <v>476</v>
      </c>
      <c r="J42" s="47" t="s">
        <v>104</v>
      </c>
      <c r="S42" s="14" t="s">
        <v>585</v>
      </c>
      <c r="V42" s="185"/>
    </row>
    <row r="43" spans="1:22" ht="18" customHeight="1">
      <c r="A43" s="184"/>
      <c r="G43" s="684">
        <f>H14</f>
        <v>10</v>
      </c>
      <c r="H43" s="684"/>
      <c r="I43" s="27" t="str">
        <f>IF(G43&gt;J43,"&gt;","&lt;")</f>
        <v>&gt;</v>
      </c>
      <c r="J43" s="795">
        <f>J35</f>
        <v>1.0850224400000001</v>
      </c>
      <c r="K43" s="684"/>
      <c r="S43" s="186" t="str">
        <f>IF(G43&gt;J43,"Satisfied","Not satisfied")</f>
        <v>Satisfied</v>
      </c>
      <c r="V43" s="185"/>
    </row>
    <row r="44" spans="1:22" ht="18" customHeight="1">
      <c r="A44" s="184"/>
      <c r="D44" s="14"/>
      <c r="H44" s="120"/>
      <c r="I44" s="27"/>
      <c r="R44" s="14"/>
      <c r="V44" s="185"/>
    </row>
    <row r="45" spans="1:22" ht="18" customHeight="1">
      <c r="A45" s="184"/>
      <c r="B45" s="28">
        <v>2</v>
      </c>
      <c r="D45" s="14"/>
      <c r="H45" s="244" t="s">
        <v>586</v>
      </c>
      <c r="I45" s="28" t="s">
        <v>476</v>
      </c>
      <c r="J45" s="14" t="s">
        <v>105</v>
      </c>
      <c r="K45" s="14"/>
      <c r="S45" s="14" t="s">
        <v>587</v>
      </c>
      <c r="V45" s="185"/>
    </row>
    <row r="46" spans="1:22" ht="18" customHeight="1">
      <c r="A46" s="184"/>
      <c r="D46" s="14"/>
      <c r="G46" s="795">
        <f>P30</f>
        <v>20</v>
      </c>
      <c r="H46" s="795"/>
      <c r="I46" s="27" t="str">
        <f>IF(G46&gt;J46,"&gt;","&lt;")</f>
        <v>&lt;</v>
      </c>
      <c r="J46" s="795">
        <f>J39</f>
        <v>24.650689702304529</v>
      </c>
      <c r="K46" s="795"/>
      <c r="R46" s="14"/>
      <c r="S46" s="186" t="str">
        <f>IF(G46&gt;J46,"Satisfied","Not satisfied")</f>
        <v>Not satisfied</v>
      </c>
      <c r="V46" s="185"/>
    </row>
    <row r="47" spans="1:22" ht="18" customHeight="1">
      <c r="A47" s="184"/>
      <c r="D47" s="47"/>
      <c r="H47" s="244" t="s">
        <v>478</v>
      </c>
      <c r="J47" s="18" t="str">
        <f>IF(AND(I43="&gt;",I46="&gt;")=TRUE,"Suitable Dimensions","Not suitable")</f>
        <v>Not suitable</v>
      </c>
      <c r="O47" s="27"/>
      <c r="P47" s="211"/>
      <c r="Q47" s="211"/>
      <c r="R47" s="192"/>
      <c r="V47" s="185"/>
    </row>
    <row r="48" spans="1:22" ht="18" customHeight="1">
      <c r="A48" s="194"/>
      <c r="B48" s="195"/>
      <c r="C48" s="195"/>
      <c r="D48" s="195"/>
      <c r="E48" s="195"/>
      <c r="F48" s="195"/>
      <c r="G48" s="195"/>
      <c r="H48" s="195"/>
      <c r="I48" s="195"/>
      <c r="J48" s="195"/>
      <c r="K48" s="195"/>
      <c r="L48" s="195"/>
      <c r="M48" s="195"/>
      <c r="N48" s="195"/>
      <c r="O48" s="195"/>
      <c r="P48" s="195"/>
      <c r="Q48" s="224"/>
      <c r="R48" s="182"/>
      <c r="S48" s="225"/>
      <c r="T48" s="195"/>
      <c r="U48" s="195"/>
      <c r="V48" s="134"/>
    </row>
    <row r="49" spans="1:23" ht="18" hidden="1"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hidden="1" customHeight="1">
      <c r="A50" s="184"/>
      <c r="B50" s="835" t="str">
        <f>B7</f>
        <v>T1</v>
      </c>
      <c r="C50" s="836"/>
      <c r="D50" s="1112" t="str">
        <f>D7</f>
        <v>Core7</v>
      </c>
      <c r="E50" s="1113"/>
      <c r="F50" s="255"/>
      <c r="H50" s="684" t="str">
        <f>H7</f>
        <v>(Metering)</v>
      </c>
      <c r="I50" s="684"/>
      <c r="J50" s="684"/>
      <c r="K50" s="684"/>
      <c r="L50" s="684"/>
      <c r="M50" s="684"/>
      <c r="P50" s="186"/>
      <c r="R50" s="255"/>
      <c r="S50" s="187" t="s">
        <v>387</v>
      </c>
      <c r="T50" s="1216" t="str">
        <f>T7</f>
        <v>XC-RACK</v>
      </c>
      <c r="U50" s="1247"/>
      <c r="V50" s="185"/>
    </row>
    <row r="51" spans="1:23" ht="18" hidden="1" customHeight="1">
      <c r="A51" s="184"/>
      <c r="B51" s="1118">
        <f>B8</f>
        <v>0</v>
      </c>
      <c r="C51" s="1118"/>
      <c r="D51" s="1114"/>
      <c r="E51" s="1115"/>
      <c r="F51" s="255"/>
      <c r="T51" s="1216"/>
      <c r="U51" s="1247"/>
      <c r="V51" s="185"/>
    </row>
    <row r="52" spans="1:23" ht="18" hidden="1" customHeight="1">
      <c r="A52" s="184"/>
      <c r="H52" s="708" t="s">
        <v>390</v>
      </c>
      <c r="I52" s="708"/>
      <c r="J52" s="789" t="s">
        <v>391</v>
      </c>
      <c r="K52" s="789"/>
      <c r="L52" s="790" t="s">
        <v>392</v>
      </c>
      <c r="M52" s="790"/>
      <c r="T52" s="1216"/>
      <c r="U52" s="1247"/>
      <c r="V52" s="185"/>
    </row>
    <row r="53" spans="1:23" ht="18" hidden="1" customHeight="1">
      <c r="A53" s="184"/>
      <c r="B53" s="47" t="s">
        <v>393</v>
      </c>
      <c r="H53" s="835">
        <f>H10</f>
        <v>2000</v>
      </c>
      <c r="I53" s="836"/>
      <c r="J53" s="843" t="str">
        <f>J10</f>
        <v>-</v>
      </c>
      <c r="K53" s="844"/>
      <c r="L53" s="835" t="str">
        <f>L10</f>
        <v>-</v>
      </c>
      <c r="M53" s="836"/>
      <c r="N53" s="191" t="s">
        <v>342</v>
      </c>
      <c r="O53" s="488">
        <f>O10</f>
        <v>1</v>
      </c>
      <c r="P53" s="27" t="s">
        <v>8</v>
      </c>
      <c r="T53" s="1216"/>
      <c r="U53" s="1247"/>
      <c r="V53" s="185"/>
    </row>
    <row r="54" spans="1:23" ht="18" hidden="1" customHeight="1">
      <c r="A54" s="184"/>
      <c r="B54" s="47" t="s">
        <v>394</v>
      </c>
      <c r="H54" s="14"/>
      <c r="I54" s="14"/>
      <c r="J54" s="835" t="str">
        <f>H11</f>
        <v>0.2S</v>
      </c>
      <c r="K54" s="836"/>
      <c r="L54" s="14"/>
      <c r="M54" s="14"/>
      <c r="V54" s="185"/>
    </row>
    <row r="55" spans="1:23" ht="18" hidden="1" customHeight="1">
      <c r="A55" s="184"/>
      <c r="B55" s="47" t="s">
        <v>396</v>
      </c>
      <c r="I55" s="120" t="s">
        <v>497</v>
      </c>
      <c r="J55" s="781">
        <v>5</v>
      </c>
      <c r="K55" s="782"/>
      <c r="L55" s="192" t="s">
        <v>333</v>
      </c>
      <c r="T55" s="295"/>
      <c r="U55" s="18"/>
      <c r="V55" s="185"/>
    </row>
    <row r="56" spans="1:23" ht="18" hidden="1" customHeight="1">
      <c r="A56" s="184"/>
      <c r="B56" s="30" t="s">
        <v>568</v>
      </c>
      <c r="I56" s="120" t="s">
        <v>569</v>
      </c>
      <c r="J56" s="781">
        <v>10</v>
      </c>
      <c r="K56" s="782"/>
      <c r="T56" s="295"/>
      <c r="U56" s="18"/>
      <c r="V56" s="185"/>
      <c r="W56" s="30" t="str">
        <f>J90</f>
        <v>Suitable Dimensions</v>
      </c>
    </row>
    <row r="57" spans="1:23" ht="18" hidden="1" customHeight="1">
      <c r="A57" s="184"/>
      <c r="B57" s="47" t="s">
        <v>562</v>
      </c>
      <c r="I57" s="120" t="s">
        <v>493</v>
      </c>
      <c r="J57" s="781">
        <v>5</v>
      </c>
      <c r="K57" s="782"/>
      <c r="L57" s="14" t="s">
        <v>157</v>
      </c>
      <c r="T57" s="295"/>
      <c r="U57" s="18"/>
      <c r="V57" s="185"/>
    </row>
    <row r="58" spans="1:23" ht="18" hidden="1" customHeight="1">
      <c r="A58" s="184"/>
      <c r="V58" s="185"/>
    </row>
    <row r="59" spans="1:23" ht="18" hidden="1" customHeight="1">
      <c r="A59" s="193" t="s">
        <v>404</v>
      </c>
      <c r="V59" s="185"/>
    </row>
    <row r="60" spans="1:23" ht="18" hidden="1" customHeight="1">
      <c r="A60" s="184"/>
      <c r="V60" s="185"/>
    </row>
    <row r="61" spans="1:23" ht="18" hidden="1" customHeight="1">
      <c r="A61" s="184"/>
      <c r="B61" s="135" t="s">
        <v>405</v>
      </c>
      <c r="C61" s="273"/>
      <c r="D61" s="139" t="str">
        <f>D18</f>
        <v>XC-RACK</v>
      </c>
      <c r="E61" s="227"/>
      <c r="F61" s="227"/>
      <c r="G61" s="227"/>
      <c r="H61" s="138"/>
      <c r="I61" s="260" t="s">
        <v>127</v>
      </c>
      <c r="J61" s="1213">
        <f t="shared" ref="J61:J66" si="0">J18</f>
        <v>8.0000000000000002E-3</v>
      </c>
      <c r="K61" s="1252"/>
      <c r="L61" s="3" t="s">
        <v>157</v>
      </c>
      <c r="N61" s="197" t="s">
        <v>510</v>
      </c>
      <c r="V61" s="185"/>
    </row>
    <row r="62" spans="1:23" ht="18" hidden="1" customHeight="1">
      <c r="A62" s="184"/>
      <c r="B62" s="96" t="s">
        <v>405</v>
      </c>
      <c r="D62" s="296">
        <f>D19</f>
        <v>0</v>
      </c>
      <c r="I62" s="177" t="s">
        <v>127</v>
      </c>
      <c r="J62" s="1119">
        <f t="shared" si="0"/>
        <v>0</v>
      </c>
      <c r="K62" s="989"/>
      <c r="L62" s="198" t="s">
        <v>157</v>
      </c>
      <c r="P62" s="244"/>
      <c r="V62" s="185"/>
    </row>
    <row r="63" spans="1:23" ht="18" hidden="1" customHeight="1">
      <c r="A63" s="184"/>
      <c r="B63" s="96" t="s">
        <v>405</v>
      </c>
      <c r="C63" s="14"/>
      <c r="D63" s="47">
        <f>D20</f>
        <v>0</v>
      </c>
      <c r="E63" s="14"/>
      <c r="G63" s="199"/>
      <c r="H63" s="27"/>
      <c r="I63" s="101" t="s">
        <v>127</v>
      </c>
      <c r="J63" s="696">
        <f t="shared" si="0"/>
        <v>0</v>
      </c>
      <c r="K63" s="820"/>
      <c r="L63" s="202" t="s">
        <v>157</v>
      </c>
      <c r="N63" s="120" t="s">
        <v>491</v>
      </c>
      <c r="O63" s="27" t="s">
        <v>127</v>
      </c>
      <c r="P63" s="27" t="s">
        <v>511</v>
      </c>
      <c r="Q63" s="27" t="s">
        <v>315</v>
      </c>
      <c r="R63" s="27" t="s">
        <v>511</v>
      </c>
      <c r="S63" s="27" t="s">
        <v>315</v>
      </c>
      <c r="T63" s="27" t="s">
        <v>420</v>
      </c>
      <c r="V63" s="185"/>
    </row>
    <row r="64" spans="1:23" ht="18" hidden="1" customHeight="1">
      <c r="A64" s="184"/>
      <c r="B64" s="96" t="s">
        <v>405</v>
      </c>
      <c r="C64" s="14"/>
      <c r="D64" s="47">
        <f>T10</f>
        <v>0</v>
      </c>
      <c r="E64" s="14"/>
      <c r="G64" s="199"/>
      <c r="H64" s="27"/>
      <c r="I64" s="101" t="s">
        <v>127</v>
      </c>
      <c r="J64" s="696">
        <f t="shared" si="0"/>
        <v>0</v>
      </c>
      <c r="K64" s="820"/>
      <c r="L64" s="202" t="s">
        <v>157</v>
      </c>
      <c r="O64" s="27" t="s">
        <v>127</v>
      </c>
      <c r="P64" s="27">
        <f>O53</f>
        <v>1</v>
      </c>
      <c r="Q64" s="27" t="s">
        <v>315</v>
      </c>
      <c r="R64" s="27">
        <f>O53</f>
        <v>1</v>
      </c>
      <c r="S64" s="27" t="s">
        <v>315</v>
      </c>
      <c r="T64" s="27">
        <f>J55</f>
        <v>5</v>
      </c>
      <c r="V64" s="185"/>
    </row>
    <row r="65" spans="1:22" ht="18" hidden="1" customHeight="1">
      <c r="A65" s="184"/>
      <c r="B65" s="184" t="s">
        <v>412</v>
      </c>
      <c r="C65" s="14"/>
      <c r="D65" s="47"/>
      <c r="E65" s="14"/>
      <c r="H65" s="27"/>
      <c r="I65" s="101" t="s">
        <v>127</v>
      </c>
      <c r="J65" s="1120">
        <f t="shared" si="0"/>
        <v>1.0770224400000001</v>
      </c>
      <c r="K65" s="987"/>
      <c r="L65" s="297" t="s">
        <v>157</v>
      </c>
      <c r="O65" s="27" t="s">
        <v>127</v>
      </c>
      <c r="P65" s="795">
        <f>P64*R64*T64</f>
        <v>5</v>
      </c>
      <c r="Q65" s="684"/>
      <c r="R65" s="27" t="s">
        <v>157</v>
      </c>
      <c r="S65" s="27"/>
      <c r="T65" s="27"/>
      <c r="V65" s="185"/>
    </row>
    <row r="66" spans="1:22" ht="18" hidden="1" customHeight="1">
      <c r="A66" s="184"/>
      <c r="B66" s="1" t="s">
        <v>413</v>
      </c>
      <c r="C66" s="2"/>
      <c r="D66" s="2"/>
      <c r="E66" s="2"/>
      <c r="F66" s="196"/>
      <c r="G66" s="196"/>
      <c r="H66" s="224" t="s">
        <v>512</v>
      </c>
      <c r="I66" s="183" t="s">
        <v>127</v>
      </c>
      <c r="J66" s="722">
        <f t="shared" si="0"/>
        <v>1.0850224400000001</v>
      </c>
      <c r="K66" s="958"/>
      <c r="L66" s="3" t="s">
        <v>157</v>
      </c>
      <c r="O66" s="27"/>
      <c r="P66" s="211"/>
      <c r="Q66" s="211"/>
      <c r="R66" s="192"/>
      <c r="V66" s="185"/>
    </row>
    <row r="67" spans="1:22" ht="18" hidden="1" customHeight="1">
      <c r="A67" s="184"/>
      <c r="B67" s="47"/>
      <c r="C67" s="47"/>
      <c r="D67" s="47"/>
      <c r="E67" s="47"/>
      <c r="H67" s="27"/>
      <c r="I67" s="28"/>
      <c r="J67" s="218"/>
      <c r="K67" s="27"/>
      <c r="L67" s="47"/>
      <c r="O67" s="27"/>
      <c r="P67" s="211"/>
      <c r="Q67" s="211"/>
      <c r="R67" s="192"/>
      <c r="V67" s="185"/>
    </row>
    <row r="68" spans="1:22" ht="18" hidden="1" customHeight="1">
      <c r="A68" s="184"/>
      <c r="B68" s="47" t="s">
        <v>545</v>
      </c>
      <c r="C68" s="47"/>
      <c r="D68" s="47"/>
      <c r="E68" s="47"/>
      <c r="H68" s="27"/>
      <c r="I68" s="28"/>
      <c r="J68" s="199"/>
      <c r="L68" s="47"/>
      <c r="N68" s="120" t="s">
        <v>423</v>
      </c>
      <c r="O68" s="28" t="s">
        <v>127</v>
      </c>
      <c r="P68" s="1251" t="str">
        <f>J53</f>
        <v>-</v>
      </c>
      <c r="Q68" s="1251"/>
      <c r="R68" s="192" t="s">
        <v>8</v>
      </c>
      <c r="V68" s="185"/>
    </row>
    <row r="69" spans="1:22" ht="18" hidden="1" customHeight="1">
      <c r="A69" s="184"/>
      <c r="B69" s="47" t="s">
        <v>547</v>
      </c>
      <c r="C69" s="47"/>
      <c r="D69" s="47"/>
      <c r="E69" s="47"/>
      <c r="H69" s="27"/>
      <c r="I69" s="28"/>
      <c r="J69" s="199"/>
      <c r="L69" s="47"/>
      <c r="N69" s="120" t="s">
        <v>572</v>
      </c>
      <c r="O69" s="28" t="s">
        <v>127</v>
      </c>
      <c r="P69" s="1251">
        <f>J55</f>
        <v>5</v>
      </c>
      <c r="Q69" s="1251"/>
      <c r="R69" s="304" t="s">
        <v>157</v>
      </c>
      <c r="V69" s="185"/>
    </row>
    <row r="70" spans="1:22" ht="18" hidden="1" customHeight="1">
      <c r="A70" s="184"/>
      <c r="B70" s="47" t="s">
        <v>548</v>
      </c>
      <c r="C70" s="47"/>
      <c r="D70" s="47"/>
      <c r="E70" s="47"/>
      <c r="H70" s="27"/>
      <c r="I70" s="28"/>
      <c r="J70" s="199"/>
      <c r="L70" s="47"/>
      <c r="N70" s="120" t="s">
        <v>573</v>
      </c>
      <c r="O70" s="28" t="s">
        <v>127</v>
      </c>
      <c r="P70" s="1072">
        <f>J66</f>
        <v>1.0850224400000001</v>
      </c>
      <c r="Q70" s="1251"/>
      <c r="R70" s="304" t="s">
        <v>157</v>
      </c>
      <c r="V70" s="185"/>
    </row>
    <row r="71" spans="1:22" ht="18" hidden="1" customHeight="1">
      <c r="A71" s="184"/>
      <c r="B71" s="47" t="s">
        <v>549</v>
      </c>
      <c r="C71" s="47"/>
      <c r="D71" s="47"/>
      <c r="E71" s="47"/>
      <c r="H71" s="27"/>
      <c r="I71" s="28"/>
      <c r="J71" s="199"/>
      <c r="L71" s="47"/>
      <c r="N71" s="120" t="s">
        <v>511</v>
      </c>
      <c r="O71" s="28" t="s">
        <v>127</v>
      </c>
      <c r="P71" s="1251">
        <f>O53</f>
        <v>1</v>
      </c>
      <c r="Q71" s="1251"/>
      <c r="R71" s="192" t="s">
        <v>8</v>
      </c>
      <c r="V71" s="185"/>
    </row>
    <row r="72" spans="1:22" ht="18" hidden="1" customHeight="1">
      <c r="A72" s="184"/>
      <c r="B72" s="47" t="s">
        <v>574</v>
      </c>
      <c r="C72" s="47"/>
      <c r="D72" s="47"/>
      <c r="E72" s="47"/>
      <c r="H72" s="27"/>
      <c r="I72" s="28"/>
      <c r="J72" s="199"/>
      <c r="L72" s="47"/>
      <c r="N72" s="120" t="s">
        <v>495</v>
      </c>
      <c r="O72" s="28" t="s">
        <v>127</v>
      </c>
      <c r="P72" s="1251">
        <v>10</v>
      </c>
      <c r="Q72" s="1251"/>
      <c r="R72" s="192"/>
      <c r="V72" s="185"/>
    </row>
    <row r="73" spans="1:22" ht="18" hidden="1" customHeight="1">
      <c r="A73" s="184"/>
      <c r="B73" s="47" t="s">
        <v>577</v>
      </c>
      <c r="C73" s="47"/>
      <c r="D73" s="47"/>
      <c r="E73" s="47"/>
      <c r="H73" s="27"/>
      <c r="I73" s="28"/>
      <c r="J73" s="199"/>
      <c r="L73" s="47"/>
      <c r="O73" s="28" t="s">
        <v>127</v>
      </c>
      <c r="P73" s="1072">
        <v>20</v>
      </c>
      <c r="Q73" s="1072"/>
      <c r="R73" s="192" t="s">
        <v>129</v>
      </c>
      <c r="S73" s="14" t="s">
        <v>170</v>
      </c>
      <c r="V73" s="185"/>
    </row>
    <row r="74" spans="1:22" ht="18" hidden="1" customHeight="1">
      <c r="A74" s="184"/>
      <c r="B74" s="47"/>
      <c r="C74" s="47"/>
      <c r="D74" s="47"/>
      <c r="E74" s="47"/>
      <c r="H74" s="27"/>
      <c r="I74" s="28"/>
      <c r="J74" s="218"/>
      <c r="K74" s="27"/>
      <c r="L74" s="47"/>
      <c r="O74" s="27"/>
      <c r="P74" s="211"/>
      <c r="Q74" s="211"/>
      <c r="R74" s="192"/>
      <c r="V74" s="185"/>
    </row>
    <row r="75" spans="1:22" ht="18" hidden="1" customHeight="1">
      <c r="A75" s="184"/>
      <c r="B75" s="47"/>
      <c r="C75" s="47" t="s">
        <v>579</v>
      </c>
      <c r="D75" s="47"/>
      <c r="E75" s="47"/>
      <c r="H75" s="27"/>
      <c r="I75" s="28"/>
      <c r="J75" s="199"/>
      <c r="L75" s="47"/>
      <c r="O75" s="27"/>
      <c r="P75" s="211"/>
      <c r="Q75" s="305" t="s">
        <v>580</v>
      </c>
      <c r="R75" s="102" t="s">
        <v>127</v>
      </c>
      <c r="S75" s="775">
        <f>S32</f>
        <v>20</v>
      </c>
      <c r="T75" s="776"/>
      <c r="V75" s="185" t="s">
        <v>129</v>
      </c>
    </row>
    <row r="76" spans="1:22" ht="18" hidden="1" customHeight="1">
      <c r="A76" s="184"/>
      <c r="B76" s="47"/>
      <c r="C76" s="47"/>
      <c r="D76" s="47"/>
      <c r="E76" s="47"/>
      <c r="H76" s="27"/>
      <c r="I76" s="28"/>
      <c r="J76" s="199"/>
      <c r="L76" s="47"/>
      <c r="O76" s="27"/>
      <c r="P76" s="211"/>
      <c r="Q76" s="211"/>
      <c r="R76" s="192"/>
      <c r="V76" s="185"/>
    </row>
    <row r="77" spans="1:22" ht="18" hidden="1" customHeight="1">
      <c r="A77" s="184"/>
      <c r="B77" s="47"/>
      <c r="C77" s="47" t="s">
        <v>581</v>
      </c>
      <c r="D77" s="47"/>
      <c r="E77" s="47"/>
      <c r="H77" s="27"/>
      <c r="I77" s="28" t="s">
        <v>127</v>
      </c>
      <c r="J77" s="281" t="s">
        <v>582</v>
      </c>
      <c r="L77" s="47"/>
      <c r="O77" s="27"/>
      <c r="P77" s="28" t="s">
        <v>347</v>
      </c>
      <c r="Q77" s="14" t="s">
        <v>583</v>
      </c>
      <c r="R77" s="192"/>
      <c r="V77" s="185"/>
    </row>
    <row r="78" spans="1:22" ht="18" hidden="1" customHeight="1">
      <c r="A78" s="184"/>
      <c r="I78" s="28" t="s">
        <v>127</v>
      </c>
      <c r="J78" s="795">
        <f>J66</f>
        <v>1.0850224400000001</v>
      </c>
      <c r="K78" s="684"/>
      <c r="L78" s="28"/>
      <c r="M78" s="795"/>
      <c r="N78" s="684"/>
      <c r="V78" s="185"/>
    </row>
    <row r="79" spans="1:22" ht="18" hidden="1" customHeight="1">
      <c r="A79" s="184"/>
      <c r="I79" s="28"/>
      <c r="J79" s="204"/>
      <c r="V79" s="185"/>
    </row>
    <row r="80" spans="1:22" ht="18" hidden="1" customHeight="1">
      <c r="A80" s="184"/>
      <c r="F80" s="244"/>
      <c r="H80" s="120" t="s">
        <v>105</v>
      </c>
      <c r="I80" s="27" t="s">
        <v>127</v>
      </c>
      <c r="J80" s="27" t="s">
        <v>569</v>
      </c>
      <c r="K80" s="27" t="s">
        <v>554</v>
      </c>
      <c r="L80" s="120" t="s">
        <v>491</v>
      </c>
      <c r="M80" s="28" t="s">
        <v>347</v>
      </c>
      <c r="N80" s="120" t="s">
        <v>493</v>
      </c>
      <c r="O80" s="28" t="s">
        <v>539</v>
      </c>
      <c r="P80" s="120" t="s">
        <v>491</v>
      </c>
      <c r="Q80" s="28" t="s">
        <v>347</v>
      </c>
      <c r="R80" s="120" t="s">
        <v>512</v>
      </c>
      <c r="S80" s="296" t="s">
        <v>350</v>
      </c>
      <c r="V80" s="185"/>
    </row>
    <row r="81" spans="1:22" ht="18" hidden="1" customHeight="1">
      <c r="A81" s="184"/>
      <c r="I81" s="27" t="s">
        <v>127</v>
      </c>
      <c r="J81" s="245">
        <f>J56</f>
        <v>10</v>
      </c>
      <c r="K81" s="245" t="s">
        <v>554</v>
      </c>
      <c r="L81" s="301">
        <f>P65</f>
        <v>5</v>
      </c>
      <c r="M81" s="245" t="s">
        <v>347</v>
      </c>
      <c r="N81" s="242">
        <f>J57</f>
        <v>5</v>
      </c>
      <c r="O81" s="245" t="s">
        <v>539</v>
      </c>
      <c r="P81" s="301">
        <f>P65</f>
        <v>5</v>
      </c>
      <c r="Q81" s="245" t="s">
        <v>347</v>
      </c>
      <c r="R81" s="301">
        <f>J66</f>
        <v>1.0850224400000001</v>
      </c>
      <c r="S81" s="296" t="s">
        <v>350</v>
      </c>
      <c r="V81" s="185"/>
    </row>
    <row r="82" spans="1:22" ht="18" hidden="1" customHeight="1">
      <c r="A82" s="184"/>
      <c r="I82" s="27" t="s">
        <v>127</v>
      </c>
      <c r="J82" s="1111">
        <f>J81*((L81+N81)/(P81+R81))</f>
        <v>16.433793134869688</v>
      </c>
      <c r="K82" s="1111"/>
      <c r="L82" s="242"/>
      <c r="M82" s="242"/>
      <c r="N82" s="242"/>
      <c r="O82" s="242"/>
      <c r="P82" s="242"/>
      <c r="Q82" s="242"/>
      <c r="R82" s="242"/>
      <c r="V82" s="185"/>
    </row>
    <row r="83" spans="1:22" ht="18" hidden="1" customHeight="1">
      <c r="A83" s="184"/>
      <c r="I83" s="28"/>
      <c r="J83" s="211"/>
      <c r="K83" s="27"/>
      <c r="V83" s="185"/>
    </row>
    <row r="84" spans="1:22" ht="18" hidden="1" customHeight="1">
      <c r="A84" s="96" t="s">
        <v>584</v>
      </c>
      <c r="I84" s="28"/>
      <c r="J84" s="211"/>
      <c r="K84" s="27"/>
      <c r="V84" s="185"/>
    </row>
    <row r="85" spans="1:22" ht="18" hidden="1" customHeight="1">
      <c r="A85" s="184"/>
      <c r="B85" s="28">
        <v>1</v>
      </c>
      <c r="D85" s="14"/>
      <c r="H85" s="120" t="s">
        <v>492</v>
      </c>
      <c r="I85" s="28" t="s">
        <v>476</v>
      </c>
      <c r="J85" s="47" t="s">
        <v>104</v>
      </c>
      <c r="S85" s="14" t="s">
        <v>585</v>
      </c>
      <c r="V85" s="185"/>
    </row>
    <row r="86" spans="1:22" ht="18" hidden="1" customHeight="1">
      <c r="A86" s="184"/>
      <c r="G86" s="684">
        <f>J57</f>
        <v>5</v>
      </c>
      <c r="H86" s="684"/>
      <c r="I86" s="27" t="str">
        <f>IF(G86&gt;J86,"&gt;","&lt;")</f>
        <v>&gt;</v>
      </c>
      <c r="J86" s="795">
        <f>J78</f>
        <v>1.0850224400000001</v>
      </c>
      <c r="K86" s="684"/>
      <c r="S86" s="186" t="str">
        <f>IF(G86&gt;J86,"Satisfied","Not satisfied")</f>
        <v>Satisfied</v>
      </c>
      <c r="V86" s="185"/>
    </row>
    <row r="87" spans="1:22" ht="18" hidden="1" customHeight="1">
      <c r="A87" s="184"/>
      <c r="D87" s="14"/>
      <c r="H87" s="120"/>
      <c r="I87" s="27"/>
      <c r="R87" s="14"/>
      <c r="V87" s="185"/>
    </row>
    <row r="88" spans="1:22" ht="18" hidden="1" customHeight="1">
      <c r="A88" s="184"/>
      <c r="B88" s="28">
        <v>2</v>
      </c>
      <c r="D88" s="14"/>
      <c r="H88" s="244" t="s">
        <v>586</v>
      </c>
      <c r="I88" s="28" t="s">
        <v>476</v>
      </c>
      <c r="J88" s="14" t="s">
        <v>105</v>
      </c>
      <c r="K88" s="14"/>
      <c r="S88" s="14" t="s">
        <v>587</v>
      </c>
      <c r="V88" s="185"/>
    </row>
    <row r="89" spans="1:22" ht="18" hidden="1" customHeight="1">
      <c r="A89" s="184"/>
      <c r="D89" s="14"/>
      <c r="G89" s="795">
        <f>P73</f>
        <v>20</v>
      </c>
      <c r="H89" s="795"/>
      <c r="I89" s="27" t="str">
        <f>IF(G89&gt;J89,"&gt;","&lt;")</f>
        <v>&gt;</v>
      </c>
      <c r="J89" s="795">
        <f>J82</f>
        <v>16.433793134869688</v>
      </c>
      <c r="K89" s="795"/>
      <c r="R89" s="14"/>
      <c r="S89" s="186" t="str">
        <f>IF(G89&gt;J89,"Satisfied","Not satisfied")</f>
        <v>Satisfied</v>
      </c>
      <c r="V89" s="185"/>
    </row>
    <row r="90" spans="1:22" ht="18" hidden="1" customHeight="1">
      <c r="A90" s="184"/>
      <c r="D90" s="47"/>
      <c r="H90" s="244" t="s">
        <v>478</v>
      </c>
      <c r="J90" s="18" t="str">
        <f>IF(AND(I86="&gt;",I89="&gt;")=TRUE,"Suitable Dimensions","Not suitable")</f>
        <v>Suitable Dimensions</v>
      </c>
      <c r="O90" s="27"/>
      <c r="P90" s="211"/>
      <c r="Q90" s="211"/>
      <c r="R90" s="192"/>
      <c r="V90" s="185"/>
    </row>
    <row r="91" spans="1:22" ht="18" customHeight="1">
      <c r="A91" s="290"/>
      <c r="B91" s="196"/>
      <c r="C91" s="196"/>
      <c r="D91" s="2"/>
      <c r="E91" s="196"/>
      <c r="F91" s="196"/>
      <c r="G91" s="196"/>
      <c r="H91" s="306"/>
      <c r="I91" s="196"/>
      <c r="J91" s="195"/>
      <c r="K91" s="196"/>
      <c r="L91" s="196"/>
      <c r="M91" s="196"/>
      <c r="N91" s="196"/>
      <c r="O91" s="307"/>
      <c r="P91" s="308"/>
      <c r="Q91" s="308"/>
      <c r="R91" s="309"/>
      <c r="S91" s="196"/>
      <c r="T91" s="196"/>
      <c r="U91" s="196"/>
      <c r="V91" s="291"/>
    </row>
    <row r="92" spans="1:22" ht="18" hidden="1" customHeight="1">
      <c r="A92" s="184"/>
      <c r="D92" s="47"/>
      <c r="H92" s="244"/>
      <c r="J92" s="14"/>
      <c r="O92" s="27"/>
      <c r="P92" s="211"/>
      <c r="Q92" s="211"/>
      <c r="R92" s="192"/>
      <c r="V92" s="185"/>
    </row>
    <row r="93" spans="1:22" s="14" customFormat="1" ht="18" hidden="1" customHeight="1">
      <c r="A93" s="194"/>
      <c r="B93" s="195"/>
      <c r="C93" s="195"/>
      <c r="D93" s="195"/>
      <c r="E93" s="195"/>
      <c r="F93" s="195"/>
      <c r="G93" s="195"/>
      <c r="H93" s="195"/>
      <c r="I93" s="195"/>
      <c r="J93" s="195"/>
      <c r="K93" s="195"/>
      <c r="L93" s="195"/>
      <c r="M93" s="195"/>
      <c r="N93" s="195"/>
      <c r="O93" s="195"/>
      <c r="P93" s="195"/>
      <c r="Q93" s="224"/>
      <c r="R93" s="182"/>
      <c r="S93" s="225"/>
      <c r="T93" s="195"/>
      <c r="U93" s="195"/>
      <c r="V93" s="134"/>
    </row>
    <row r="94" spans="1:22" ht="18" hidden="1" customHeight="1">
      <c r="A94" s="226"/>
      <c r="B94" s="227"/>
      <c r="C94" s="227"/>
      <c r="D94" s="227"/>
      <c r="E94" s="227"/>
      <c r="F94" s="227"/>
      <c r="G94" s="227"/>
      <c r="H94" s="227"/>
      <c r="I94" s="227"/>
      <c r="J94" s="227"/>
      <c r="K94" s="227"/>
      <c r="L94" s="227"/>
      <c r="M94" s="227"/>
      <c r="N94" s="227"/>
      <c r="O94" s="227"/>
      <c r="P94" s="227"/>
      <c r="Q94" s="227"/>
      <c r="R94" s="227"/>
      <c r="S94" s="227"/>
      <c r="T94" s="227"/>
      <c r="U94" s="227"/>
      <c r="V94" s="228"/>
    </row>
    <row r="95" spans="1:22" ht="18" hidden="1" customHeight="1">
      <c r="A95" s="184"/>
      <c r="B95" s="854" t="str">
        <f>B50</f>
        <v>T1</v>
      </c>
      <c r="C95" s="831"/>
      <c r="D95" s="855" t="str">
        <f>D50</f>
        <v>Core7</v>
      </c>
      <c r="E95" s="856"/>
      <c r="F95" s="255"/>
      <c r="H95" s="684" t="str">
        <f>H50</f>
        <v>(Metering)</v>
      </c>
      <c r="I95" s="684"/>
      <c r="J95" s="684"/>
      <c r="K95" s="684"/>
      <c r="L95" s="684"/>
      <c r="M95" s="684"/>
      <c r="P95" s="186"/>
      <c r="V95" s="185"/>
    </row>
    <row r="96" spans="1:22" ht="18" hidden="1" customHeight="1">
      <c r="A96" s="184"/>
      <c r="B96" s="853">
        <f>B51</f>
        <v>0</v>
      </c>
      <c r="C96" s="853"/>
      <c r="D96" s="857"/>
      <c r="E96" s="858"/>
      <c r="F96" s="255"/>
      <c r="V96" s="185"/>
    </row>
    <row r="97" spans="1:23" ht="18" hidden="1" customHeight="1">
      <c r="A97" s="184"/>
      <c r="H97" s="708" t="s">
        <v>390</v>
      </c>
      <c r="I97" s="708"/>
      <c r="J97" s="708" t="s">
        <v>391</v>
      </c>
      <c r="K97" s="708"/>
      <c r="L97" s="789" t="s">
        <v>392</v>
      </c>
      <c r="M97" s="789"/>
      <c r="V97" s="185"/>
    </row>
    <row r="98" spans="1:23" ht="18" hidden="1" customHeight="1">
      <c r="A98" s="184"/>
      <c r="B98" s="47" t="s">
        <v>393</v>
      </c>
      <c r="H98" s="854">
        <f>H53</f>
        <v>2000</v>
      </c>
      <c r="I98" s="831"/>
      <c r="J98" s="854" t="str">
        <f>J53</f>
        <v>-</v>
      </c>
      <c r="K98" s="831"/>
      <c r="L98" s="863" t="str">
        <f>L53</f>
        <v>-</v>
      </c>
      <c r="M98" s="864"/>
      <c r="N98" s="191" t="s">
        <v>342</v>
      </c>
      <c r="O98" s="256">
        <f>O53</f>
        <v>1</v>
      </c>
      <c r="P98" s="27" t="s">
        <v>8</v>
      </c>
      <c r="V98" s="185"/>
    </row>
    <row r="99" spans="1:23" ht="18" hidden="1" customHeight="1">
      <c r="A99" s="184"/>
      <c r="B99" s="47" t="s">
        <v>394</v>
      </c>
      <c r="H99" s="14"/>
      <c r="I99" s="14"/>
      <c r="K99" s="14"/>
      <c r="L99" s="854" t="str">
        <f>J54</f>
        <v>0.2S</v>
      </c>
      <c r="M99" s="831"/>
      <c r="N99" s="14"/>
      <c r="V99" s="185"/>
    </row>
    <row r="100" spans="1:23" ht="18" hidden="1" customHeight="1">
      <c r="A100" s="184"/>
      <c r="B100" s="47" t="s">
        <v>396</v>
      </c>
      <c r="I100" s="120"/>
      <c r="K100" s="120" t="s">
        <v>497</v>
      </c>
      <c r="L100" s="781" t="s">
        <v>6</v>
      </c>
      <c r="M100" s="782"/>
      <c r="N100" s="192" t="s">
        <v>333</v>
      </c>
      <c r="T100" s="295"/>
      <c r="U100" s="18"/>
      <c r="V100" s="185"/>
    </row>
    <row r="101" spans="1:23" ht="18" hidden="1" customHeight="1">
      <c r="A101" s="184"/>
      <c r="B101" s="30" t="s">
        <v>568</v>
      </c>
      <c r="I101" s="120"/>
      <c r="K101" s="120" t="s">
        <v>569</v>
      </c>
      <c r="L101" s="781" t="s">
        <v>6</v>
      </c>
      <c r="M101" s="782"/>
      <c r="T101" s="295"/>
      <c r="U101" s="18"/>
      <c r="V101" s="185"/>
      <c r="W101" s="30" t="e">
        <f>J130</f>
        <v>#VALUE!</v>
      </c>
    </row>
    <row r="102" spans="1:23" ht="18" hidden="1" customHeight="1">
      <c r="A102" s="184"/>
      <c r="B102" s="47" t="s">
        <v>562</v>
      </c>
      <c r="I102" s="120"/>
      <c r="K102" s="120" t="s">
        <v>493</v>
      </c>
      <c r="L102" s="781" t="s">
        <v>6</v>
      </c>
      <c r="M102" s="782"/>
      <c r="N102" s="14" t="s">
        <v>157</v>
      </c>
      <c r="T102" s="295"/>
      <c r="U102" s="18"/>
      <c r="V102" s="185"/>
    </row>
    <row r="103" spans="1:23" ht="18" hidden="1" customHeight="1">
      <c r="A103" s="184"/>
      <c r="V103" s="185"/>
    </row>
    <row r="104" spans="1:23" ht="18" hidden="1" customHeight="1">
      <c r="A104" s="193" t="s">
        <v>404</v>
      </c>
      <c r="V104" s="185"/>
    </row>
    <row r="105" spans="1:23" ht="18" hidden="1" customHeight="1">
      <c r="A105" s="184"/>
      <c r="V105" s="185"/>
    </row>
    <row r="106" spans="1:23" ht="18" hidden="1" customHeight="1">
      <c r="A106" s="184"/>
      <c r="B106" s="135" t="s">
        <v>405</v>
      </c>
      <c r="C106" s="273"/>
      <c r="D106" s="139" t="str">
        <f>D61</f>
        <v>XC-RACK</v>
      </c>
      <c r="E106" s="227"/>
      <c r="F106" s="227"/>
      <c r="G106" s="227"/>
      <c r="H106" s="138"/>
      <c r="I106" s="260" t="s">
        <v>127</v>
      </c>
      <c r="J106" s="722">
        <f t="shared" ref="J106:J111" si="1">J61</f>
        <v>8.0000000000000002E-3</v>
      </c>
      <c r="K106" s="958"/>
      <c r="L106" s="3" t="s">
        <v>157</v>
      </c>
      <c r="N106" s="197" t="s">
        <v>510</v>
      </c>
      <c r="V106" s="185"/>
    </row>
    <row r="107" spans="1:23" ht="18" hidden="1" customHeight="1">
      <c r="A107" s="184"/>
      <c r="B107" s="96" t="s">
        <v>405</v>
      </c>
      <c r="D107" s="296">
        <f>D62</f>
        <v>0</v>
      </c>
      <c r="I107" s="177" t="s">
        <v>127</v>
      </c>
      <c r="J107" s="1119">
        <f t="shared" si="1"/>
        <v>0</v>
      </c>
      <c r="K107" s="989"/>
      <c r="L107" s="198" t="s">
        <v>157</v>
      </c>
      <c r="P107" s="244"/>
      <c r="V107" s="185"/>
    </row>
    <row r="108" spans="1:23" ht="18" hidden="1" customHeight="1">
      <c r="A108" s="184"/>
      <c r="B108" s="96" t="s">
        <v>405</v>
      </c>
      <c r="C108" s="14"/>
      <c r="D108" s="47">
        <f>D63</f>
        <v>0</v>
      </c>
      <c r="E108" s="14"/>
      <c r="G108" s="199"/>
      <c r="H108" s="27"/>
      <c r="I108" s="101" t="s">
        <v>127</v>
      </c>
      <c r="J108" s="696">
        <f t="shared" si="1"/>
        <v>0</v>
      </c>
      <c r="K108" s="820"/>
      <c r="L108" s="202" t="s">
        <v>157</v>
      </c>
      <c r="N108" s="120" t="s">
        <v>491</v>
      </c>
      <c r="O108" s="27" t="s">
        <v>127</v>
      </c>
      <c r="P108" s="27" t="s">
        <v>511</v>
      </c>
      <c r="Q108" s="27" t="s">
        <v>315</v>
      </c>
      <c r="R108" s="27" t="s">
        <v>511</v>
      </c>
      <c r="S108" s="27" t="s">
        <v>315</v>
      </c>
      <c r="T108" s="27" t="s">
        <v>420</v>
      </c>
      <c r="V108" s="185"/>
    </row>
    <row r="109" spans="1:23" ht="18" hidden="1" customHeight="1">
      <c r="A109" s="184"/>
      <c r="B109" s="96" t="s">
        <v>405</v>
      </c>
      <c r="C109" s="14"/>
      <c r="D109" s="47">
        <f>T10</f>
        <v>0</v>
      </c>
      <c r="E109" s="14"/>
      <c r="G109" s="199"/>
      <c r="H109" s="27"/>
      <c r="I109" s="101" t="s">
        <v>127</v>
      </c>
      <c r="J109" s="696">
        <f t="shared" si="1"/>
        <v>0</v>
      </c>
      <c r="K109" s="820"/>
      <c r="L109" s="202" t="s">
        <v>157</v>
      </c>
      <c r="O109" s="27" t="s">
        <v>127</v>
      </c>
      <c r="P109" s="27">
        <f>O98</f>
        <v>1</v>
      </c>
      <c r="Q109" s="27" t="s">
        <v>315</v>
      </c>
      <c r="R109" s="27">
        <f>O98</f>
        <v>1</v>
      </c>
      <c r="S109" s="27" t="s">
        <v>315</v>
      </c>
      <c r="T109" s="27" t="str">
        <f>L100</f>
        <v>-</v>
      </c>
      <c r="V109" s="185"/>
    </row>
    <row r="110" spans="1:23" ht="18" hidden="1" customHeight="1">
      <c r="A110" s="184"/>
      <c r="B110" s="184" t="s">
        <v>412</v>
      </c>
      <c r="C110" s="14"/>
      <c r="D110" s="47"/>
      <c r="E110" s="14"/>
      <c r="H110" s="27"/>
      <c r="I110" s="101" t="s">
        <v>127</v>
      </c>
      <c r="J110" s="1120">
        <f t="shared" si="1"/>
        <v>1.0770224400000001</v>
      </c>
      <c r="K110" s="987"/>
      <c r="L110" s="297" t="s">
        <v>157</v>
      </c>
      <c r="O110" s="27" t="s">
        <v>127</v>
      </c>
      <c r="P110" s="795" t="e">
        <f>P109*R109*T109</f>
        <v>#VALUE!</v>
      </c>
      <c r="Q110" s="684"/>
      <c r="R110" s="27" t="s">
        <v>157</v>
      </c>
      <c r="S110" s="27"/>
      <c r="T110" s="27"/>
      <c r="V110" s="185"/>
    </row>
    <row r="111" spans="1:23" ht="18" hidden="1" customHeight="1">
      <c r="A111" s="184"/>
      <c r="B111" s="1" t="s">
        <v>413</v>
      </c>
      <c r="C111" s="2"/>
      <c r="D111" s="2"/>
      <c r="E111" s="2"/>
      <c r="F111" s="196"/>
      <c r="G111" s="196"/>
      <c r="H111" s="224" t="s">
        <v>512</v>
      </c>
      <c r="I111" s="183" t="s">
        <v>127</v>
      </c>
      <c r="J111" s="766">
        <f t="shared" si="1"/>
        <v>1.0850224400000001</v>
      </c>
      <c r="K111" s="958"/>
      <c r="L111" s="3" t="s">
        <v>157</v>
      </c>
      <c r="O111" s="27"/>
      <c r="P111" s="211"/>
      <c r="Q111" s="211"/>
      <c r="R111" s="192"/>
      <c r="V111" s="185"/>
    </row>
    <row r="112" spans="1:23" ht="18" hidden="1" customHeight="1">
      <c r="A112" s="184"/>
      <c r="V112" s="185"/>
    </row>
    <row r="113" spans="1:22" ht="18" hidden="1" customHeight="1">
      <c r="A113" s="184"/>
      <c r="B113" s="47"/>
      <c r="C113" s="47" t="s">
        <v>579</v>
      </c>
      <c r="D113" s="47"/>
      <c r="E113" s="47"/>
      <c r="H113" s="27"/>
      <c r="I113" s="28"/>
      <c r="J113" s="199"/>
      <c r="L113" s="47"/>
      <c r="O113" s="27"/>
      <c r="P113" s="211"/>
      <c r="Q113" s="305" t="s">
        <v>580</v>
      </c>
      <c r="R113" s="102" t="s">
        <v>127</v>
      </c>
      <c r="S113" s="775">
        <f>S75</f>
        <v>20</v>
      </c>
      <c r="T113" s="776"/>
      <c r="V113" s="185"/>
    </row>
    <row r="114" spans="1:22" ht="18" hidden="1" customHeight="1">
      <c r="A114" s="184"/>
      <c r="B114" s="47"/>
      <c r="C114" s="47"/>
      <c r="D114" s="47"/>
      <c r="E114" s="47"/>
      <c r="H114" s="27"/>
      <c r="I114" s="28"/>
      <c r="J114" s="199"/>
      <c r="L114" s="47"/>
      <c r="O114" s="27"/>
      <c r="P114" s="211"/>
      <c r="Q114" s="211"/>
      <c r="R114" s="192"/>
      <c r="V114" s="185"/>
    </row>
    <row r="115" spans="1:22" ht="18" hidden="1" customHeight="1">
      <c r="A115" s="184"/>
      <c r="B115" s="47"/>
      <c r="C115" s="47" t="s">
        <v>581</v>
      </c>
      <c r="D115" s="47"/>
      <c r="E115" s="47"/>
      <c r="H115" s="27"/>
      <c r="I115" s="28" t="s">
        <v>127</v>
      </c>
      <c r="J115" s="281" t="s">
        <v>588</v>
      </c>
      <c r="L115" s="47"/>
      <c r="M115" s="28" t="s">
        <v>347</v>
      </c>
      <c r="N115" s="14" t="s">
        <v>589</v>
      </c>
      <c r="O115" s="27"/>
      <c r="P115" s="211"/>
      <c r="Q115" s="211"/>
      <c r="R115" s="192"/>
      <c r="V115" s="185"/>
    </row>
    <row r="116" spans="1:22" ht="18" hidden="1" customHeight="1">
      <c r="A116" s="184"/>
      <c r="I116" s="28" t="s">
        <v>127</v>
      </c>
      <c r="J116" s="795" t="e">
        <f>P110</f>
        <v>#VALUE!</v>
      </c>
      <c r="K116" s="684"/>
      <c r="L116" s="28" t="s">
        <v>347</v>
      </c>
      <c r="M116" s="795">
        <f>J111</f>
        <v>1.0850224400000001</v>
      </c>
      <c r="N116" s="684"/>
      <c r="V116" s="185"/>
    </row>
    <row r="117" spans="1:22" ht="18" hidden="1" customHeight="1">
      <c r="A117" s="184"/>
      <c r="I117" s="28" t="s">
        <v>127</v>
      </c>
      <c r="J117" s="795" t="e">
        <f>J116+M116</f>
        <v>#VALUE!</v>
      </c>
      <c r="K117" s="684"/>
      <c r="V117" s="185"/>
    </row>
    <row r="118" spans="1:22" ht="18" hidden="1" customHeight="1">
      <c r="A118" s="184"/>
      <c r="V118" s="185"/>
    </row>
    <row r="119" spans="1:22" ht="18" hidden="1" customHeight="1">
      <c r="A119" s="184"/>
      <c r="F119" s="244"/>
      <c r="H119" s="120" t="s">
        <v>105</v>
      </c>
      <c r="I119" s="27" t="s">
        <v>127</v>
      </c>
      <c r="J119" s="27" t="s">
        <v>569</v>
      </c>
      <c r="K119" s="27" t="s">
        <v>554</v>
      </c>
      <c r="L119" s="120" t="s">
        <v>491</v>
      </c>
      <c r="M119" s="28" t="s">
        <v>347</v>
      </c>
      <c r="N119" s="120" t="s">
        <v>493</v>
      </c>
      <c r="O119" s="28" t="s">
        <v>539</v>
      </c>
      <c r="P119" s="120" t="s">
        <v>491</v>
      </c>
      <c r="Q119" s="28" t="s">
        <v>347</v>
      </c>
      <c r="R119" s="120" t="s">
        <v>512</v>
      </c>
      <c r="S119" s="296" t="s">
        <v>350</v>
      </c>
      <c r="V119" s="185"/>
    </row>
    <row r="120" spans="1:22" ht="18" hidden="1" customHeight="1">
      <c r="A120" s="184"/>
      <c r="I120" s="27" t="s">
        <v>127</v>
      </c>
      <c r="J120" s="245" t="str">
        <f>L101</f>
        <v>-</v>
      </c>
      <c r="K120" s="245" t="s">
        <v>554</v>
      </c>
      <c r="L120" s="301" t="e">
        <f>P110</f>
        <v>#VALUE!</v>
      </c>
      <c r="M120" s="245" t="s">
        <v>347</v>
      </c>
      <c r="N120" s="242" t="str">
        <f>L102</f>
        <v>-</v>
      </c>
      <c r="O120" s="245" t="s">
        <v>539</v>
      </c>
      <c r="P120" s="301" t="e">
        <f>P110</f>
        <v>#VALUE!</v>
      </c>
      <c r="Q120" s="245" t="s">
        <v>347</v>
      </c>
      <c r="R120" s="301">
        <f>J111</f>
        <v>1.0850224400000001</v>
      </c>
      <c r="S120" s="296" t="s">
        <v>350</v>
      </c>
      <c r="V120" s="185"/>
    </row>
    <row r="121" spans="1:22" ht="18" hidden="1" customHeight="1">
      <c r="A121" s="184"/>
      <c r="I121" s="27" t="s">
        <v>127</v>
      </c>
      <c r="J121" s="1111" t="e">
        <f>J120*((L120+N120)/(P120+R120))</f>
        <v>#VALUE!</v>
      </c>
      <c r="K121" s="1111"/>
      <c r="L121" s="242"/>
      <c r="M121" s="242"/>
      <c r="N121" s="242"/>
      <c r="O121" s="242"/>
      <c r="P121" s="242"/>
      <c r="Q121" s="242"/>
      <c r="R121" s="242"/>
      <c r="V121" s="185"/>
    </row>
    <row r="122" spans="1:22" ht="18" hidden="1" customHeight="1">
      <c r="A122" s="184"/>
      <c r="I122" s="28"/>
      <c r="J122" s="211"/>
      <c r="K122" s="27"/>
      <c r="V122" s="185"/>
    </row>
    <row r="123" spans="1:22" ht="18" hidden="1" customHeight="1">
      <c r="A123" s="96" t="s">
        <v>584</v>
      </c>
      <c r="I123" s="28"/>
      <c r="J123" s="211"/>
      <c r="K123" s="27"/>
      <c r="V123" s="185"/>
    </row>
    <row r="124" spans="1:22" ht="18" hidden="1" customHeight="1">
      <c r="A124" s="184"/>
      <c r="B124" s="28">
        <v>1</v>
      </c>
      <c r="D124" s="14"/>
      <c r="H124" s="120" t="s">
        <v>492</v>
      </c>
      <c r="I124" s="28" t="s">
        <v>476</v>
      </c>
      <c r="J124" s="47" t="s">
        <v>104</v>
      </c>
      <c r="S124" s="14" t="s">
        <v>585</v>
      </c>
      <c r="V124" s="185"/>
    </row>
    <row r="125" spans="1:22" ht="18" hidden="1" customHeight="1">
      <c r="A125" s="184"/>
      <c r="G125" s="684" t="str">
        <f>L102</f>
        <v>-</v>
      </c>
      <c r="H125" s="684"/>
      <c r="I125" s="27" t="e">
        <f>IF(G125&gt;J125,"&gt;","&lt;")</f>
        <v>#VALUE!</v>
      </c>
      <c r="J125" s="795" t="e">
        <f>J117</f>
        <v>#VALUE!</v>
      </c>
      <c r="K125" s="684"/>
      <c r="S125" s="186" t="e">
        <f>IF(G125&gt;J125,"Satisfied","Not satisfied")</f>
        <v>#VALUE!</v>
      </c>
      <c r="V125" s="185"/>
    </row>
    <row r="126" spans="1:22" ht="18" hidden="1" customHeight="1">
      <c r="A126" s="184"/>
      <c r="D126" s="14"/>
      <c r="H126" s="120"/>
      <c r="I126" s="27"/>
      <c r="R126" s="14"/>
      <c r="V126" s="185"/>
    </row>
    <row r="127" spans="1:22" ht="18" hidden="1" customHeight="1">
      <c r="A127" s="184"/>
      <c r="B127" s="28">
        <v>2</v>
      </c>
      <c r="D127" s="14"/>
      <c r="H127" s="244" t="s">
        <v>586</v>
      </c>
      <c r="I127" s="28" t="s">
        <v>476</v>
      </c>
      <c r="J127" s="14" t="s">
        <v>105</v>
      </c>
      <c r="K127" s="14"/>
      <c r="S127" s="14" t="s">
        <v>587</v>
      </c>
      <c r="V127" s="185"/>
    </row>
    <row r="128" spans="1:22" ht="18" hidden="1" customHeight="1">
      <c r="A128" s="184"/>
      <c r="D128" s="14"/>
      <c r="G128" s="795">
        <f>S113</f>
        <v>20</v>
      </c>
      <c r="H128" s="795"/>
      <c r="I128" s="27" t="e">
        <f>IF(G128&gt;J128,"&gt;","&lt;")</f>
        <v>#VALUE!</v>
      </c>
      <c r="J128" s="795" t="e">
        <f>J121</f>
        <v>#VALUE!</v>
      </c>
      <c r="K128" s="795"/>
      <c r="R128" s="14"/>
      <c r="S128" s="186" t="e">
        <f>IF(G128&gt;J128,"Satisfied","Not satisfied")</f>
        <v>#VALUE!</v>
      </c>
      <c r="V128" s="185"/>
    </row>
    <row r="129" spans="1:22" ht="18" hidden="1" customHeight="1">
      <c r="A129" s="184"/>
      <c r="D129" s="47"/>
      <c r="I129" s="27"/>
      <c r="O129" s="27"/>
      <c r="P129" s="211"/>
      <c r="Q129" s="211"/>
      <c r="R129" s="192"/>
      <c r="V129" s="185"/>
    </row>
    <row r="130" spans="1:22" ht="18" hidden="1" customHeight="1">
      <c r="A130" s="184"/>
      <c r="D130" s="47"/>
      <c r="H130" s="244" t="s">
        <v>478</v>
      </c>
      <c r="J130" s="18" t="e">
        <f>IF(AND(I125="&gt;",I128="&gt;")=TRUE,"Suitably Dimentioned","Not suitable")</f>
        <v>#VALUE!</v>
      </c>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D133" s="47"/>
      <c r="H133" s="244"/>
      <c r="J133" s="18"/>
      <c r="O133" s="27"/>
      <c r="P133" s="211"/>
      <c r="Q133" s="211"/>
      <c r="R133" s="192"/>
      <c r="V133" s="185"/>
    </row>
    <row r="134" spans="1:22" ht="18" hidden="1" customHeight="1">
      <c r="A134" s="184"/>
      <c r="D134" s="47"/>
      <c r="H134" s="244"/>
      <c r="J134" s="18"/>
      <c r="O134" s="27"/>
      <c r="P134" s="211"/>
      <c r="Q134" s="211"/>
      <c r="R134" s="192"/>
      <c r="V134" s="185"/>
    </row>
    <row r="135" spans="1:22" ht="18" hidden="1" customHeight="1">
      <c r="A135" s="184"/>
      <c r="D135" s="47"/>
      <c r="H135" s="244"/>
      <c r="J135" s="18"/>
      <c r="O135" s="27"/>
      <c r="P135" s="211"/>
      <c r="Q135" s="211"/>
      <c r="R135" s="192"/>
      <c r="V135" s="185"/>
    </row>
    <row r="136" spans="1:22" ht="18" hidden="1" customHeight="1">
      <c r="A136" s="184"/>
      <c r="B136" s="47"/>
      <c r="C136" s="47"/>
      <c r="D136" s="47"/>
      <c r="E136" s="47"/>
      <c r="H136" s="27"/>
      <c r="I136" s="28"/>
      <c r="J136" s="199"/>
      <c r="L136" s="47"/>
      <c r="O136" s="27"/>
      <c r="P136" s="211"/>
      <c r="Q136" s="211"/>
      <c r="R136" s="192"/>
      <c r="V136" s="185"/>
    </row>
    <row r="137" spans="1:22" s="14" customFormat="1" ht="18" hidden="1" customHeight="1">
      <c r="A137" s="194"/>
      <c r="B137" s="195"/>
      <c r="C137" s="195"/>
      <c r="D137" s="195"/>
      <c r="E137" s="195"/>
      <c r="F137" s="195"/>
      <c r="G137" s="195"/>
      <c r="H137" s="195"/>
      <c r="I137" s="195"/>
      <c r="J137" s="195"/>
      <c r="K137" s="195"/>
      <c r="L137" s="195"/>
      <c r="M137" s="195"/>
      <c r="N137" s="195"/>
      <c r="O137" s="195"/>
      <c r="P137" s="195"/>
      <c r="Q137" s="224"/>
      <c r="R137" s="182"/>
      <c r="S137" s="225"/>
      <c r="T137" s="195"/>
      <c r="U137" s="195"/>
      <c r="V137" s="134" t="s">
        <v>552</v>
      </c>
    </row>
    <row r="138" spans="1:22" ht="18" hidden="1" customHeight="1">
      <c r="A138" s="226"/>
      <c r="B138" s="227"/>
      <c r="C138" s="227"/>
      <c r="D138" s="227"/>
      <c r="E138" s="227"/>
      <c r="F138" s="227"/>
      <c r="G138" s="227"/>
      <c r="H138" s="227"/>
      <c r="I138" s="227"/>
      <c r="J138" s="227"/>
      <c r="K138" s="227"/>
      <c r="L138" s="227"/>
      <c r="M138" s="227"/>
      <c r="N138" s="227"/>
      <c r="O138" s="227"/>
      <c r="P138" s="227"/>
      <c r="Q138" s="227"/>
      <c r="R138" s="227"/>
      <c r="S138" s="227"/>
      <c r="T138" s="227"/>
      <c r="U138" s="227"/>
      <c r="V138" s="228"/>
    </row>
    <row r="139" spans="1:22" ht="18" customHeight="1">
      <c r="A139" s="262" t="s">
        <v>501</v>
      </c>
      <c r="B139" s="14"/>
      <c r="C139" s="14"/>
      <c r="D139" s="120"/>
      <c r="E139" s="120"/>
      <c r="F139" s="18"/>
      <c r="G139" s="18"/>
      <c r="H139" s="14"/>
      <c r="I139" s="14"/>
      <c r="J139" s="14"/>
      <c r="K139" s="14"/>
      <c r="L139" s="14"/>
      <c r="M139" s="14"/>
      <c r="N139" s="14"/>
      <c r="O139" s="14"/>
      <c r="P139" s="28"/>
      <c r="Q139" s="120"/>
      <c r="R139" s="47"/>
      <c r="S139" s="206"/>
      <c r="T139" s="259"/>
      <c r="U139" s="14"/>
      <c r="V139" s="97"/>
    </row>
    <row r="140" spans="1:22" ht="18" customHeight="1">
      <c r="A140" s="955" t="s">
        <v>85</v>
      </c>
      <c r="B140" s="956"/>
      <c r="C140" s="957"/>
      <c r="D140" s="955" t="s">
        <v>86</v>
      </c>
      <c r="E140" s="956"/>
      <c r="F140" s="957"/>
      <c r="G140" s="955" t="s">
        <v>87</v>
      </c>
      <c r="H140" s="957"/>
      <c r="I140" s="955" t="s">
        <v>88</v>
      </c>
      <c r="J140" s="957"/>
      <c r="K140" s="955" t="s">
        <v>502</v>
      </c>
      <c r="L140" s="957"/>
      <c r="M140" s="955" t="s">
        <v>102</v>
      </c>
      <c r="N140" s="957"/>
      <c r="O140" s="955"/>
      <c r="P140" s="957"/>
      <c r="Q140" s="955" t="s">
        <v>505</v>
      </c>
      <c r="R140" s="957"/>
      <c r="S140" s="955" t="s">
        <v>93</v>
      </c>
      <c r="T140" s="956"/>
      <c r="U140" s="956"/>
      <c r="V140" s="957"/>
    </row>
    <row r="141" spans="1:22" ht="18" customHeight="1">
      <c r="A141" s="1125"/>
      <c r="B141" s="983"/>
      <c r="C141" s="1126"/>
      <c r="D141" s="1125"/>
      <c r="E141" s="983"/>
      <c r="F141" s="1126"/>
      <c r="G141" s="1125"/>
      <c r="H141" s="1126"/>
      <c r="I141" s="1125"/>
      <c r="J141" s="1126"/>
      <c r="K141" s="1125"/>
      <c r="L141" s="1126"/>
      <c r="M141" s="1125"/>
      <c r="N141" s="1126"/>
      <c r="O141" s="1125"/>
      <c r="P141" s="1126"/>
      <c r="Q141" s="1125"/>
      <c r="R141" s="1126"/>
      <c r="S141" s="1125"/>
      <c r="T141" s="983"/>
      <c r="U141" s="983"/>
      <c r="V141" s="1126"/>
    </row>
    <row r="142" spans="1:22" ht="18" customHeight="1">
      <c r="A142" s="1125"/>
      <c r="B142" s="983"/>
      <c r="C142" s="1126"/>
      <c r="D142" s="1125"/>
      <c r="E142" s="983"/>
      <c r="F142" s="1126"/>
      <c r="G142" s="1125"/>
      <c r="H142" s="1126"/>
      <c r="I142" s="1125"/>
      <c r="J142" s="1126"/>
      <c r="K142" s="1125"/>
      <c r="L142" s="1126"/>
      <c r="M142" s="1125"/>
      <c r="N142" s="1126"/>
      <c r="O142" s="1125"/>
      <c r="P142" s="1126"/>
      <c r="Q142" s="1125"/>
      <c r="R142" s="1126"/>
      <c r="S142" s="1125"/>
      <c r="T142" s="983"/>
      <c r="U142" s="983"/>
      <c r="V142" s="1126"/>
    </row>
    <row r="143" spans="1:22" ht="18" customHeight="1">
      <c r="A143" s="1047"/>
      <c r="B143" s="1048"/>
      <c r="C143" s="1049"/>
      <c r="D143" s="1047"/>
      <c r="E143" s="1048"/>
      <c r="F143" s="1049"/>
      <c r="G143" s="1047"/>
      <c r="H143" s="1049"/>
      <c r="I143" s="1047"/>
      <c r="J143" s="1049"/>
      <c r="K143" s="1047"/>
      <c r="L143" s="1049"/>
      <c r="M143" s="1047"/>
      <c r="N143" s="1049"/>
      <c r="O143" s="1047"/>
      <c r="P143" s="1049"/>
      <c r="Q143" s="1047"/>
      <c r="R143" s="1049"/>
      <c r="S143" s="1047"/>
      <c r="T143" s="1048"/>
      <c r="U143" s="1048"/>
      <c r="V143" s="1049"/>
    </row>
    <row r="144" spans="1:22" ht="18" customHeight="1">
      <c r="A144" s="765" t="str">
        <f>B95</f>
        <v>T1</v>
      </c>
      <c r="B144" s="765" t="str">
        <f>D95</f>
        <v>Core7</v>
      </c>
      <c r="C144" s="765"/>
      <c r="D144" s="870">
        <f>H98</f>
        <v>2000</v>
      </c>
      <c r="E144" s="870"/>
      <c r="F144" s="871">
        <f>O98</f>
        <v>1</v>
      </c>
      <c r="G144" s="961">
        <f>'CT-VT Burdens'!S21</f>
        <v>120</v>
      </c>
      <c r="H144" s="959">
        <f>'CT-VT Burdens'!S10</f>
        <v>6</v>
      </c>
      <c r="I144" s="874" t="str">
        <f>L99</f>
        <v>0.2S</v>
      </c>
      <c r="J144" s="874"/>
      <c r="K144" s="869">
        <f>H12</f>
        <v>5</v>
      </c>
      <c r="L144" s="869"/>
      <c r="M144" s="869">
        <f>H14</f>
        <v>10</v>
      </c>
      <c r="N144" s="869"/>
      <c r="O144" s="870" t="s">
        <v>6</v>
      </c>
      <c r="P144" s="870"/>
      <c r="Q144" s="879" t="str">
        <f>CONCATENATE(T7," ",T8," ",T9," ",T10)</f>
        <v xml:space="preserve">XC-RACK   </v>
      </c>
      <c r="R144" s="879"/>
      <c r="S144" s="878" t="str">
        <f>J47</f>
        <v>Not suitable</v>
      </c>
      <c r="T144" s="878"/>
      <c r="U144" s="878"/>
      <c r="V144" s="878"/>
    </row>
    <row r="145" spans="1:22" ht="18" customHeight="1">
      <c r="A145" s="765"/>
      <c r="B145" s="765"/>
      <c r="C145" s="765"/>
      <c r="D145" s="870" t="str">
        <f>J98</f>
        <v>-</v>
      </c>
      <c r="E145" s="870"/>
      <c r="F145" s="872"/>
      <c r="G145" s="961"/>
      <c r="H145" s="959"/>
      <c r="I145" s="874"/>
      <c r="J145" s="874"/>
      <c r="K145" s="875" t="s">
        <v>6</v>
      </c>
      <c r="L145" s="869"/>
      <c r="M145" s="875" t="s">
        <v>6</v>
      </c>
      <c r="N145" s="869"/>
      <c r="O145" s="870" t="s">
        <v>6</v>
      </c>
      <c r="P145" s="870"/>
      <c r="Q145" s="879"/>
      <c r="R145" s="879"/>
      <c r="S145" s="877" t="s">
        <v>6</v>
      </c>
      <c r="T145" s="878"/>
      <c r="U145" s="878"/>
      <c r="V145" s="878"/>
    </row>
    <row r="146" spans="1:22" ht="18" customHeight="1">
      <c r="A146" s="765"/>
      <c r="B146" s="765"/>
      <c r="C146" s="765"/>
      <c r="D146" s="870" t="s">
        <v>6</v>
      </c>
      <c r="E146" s="870"/>
      <c r="F146" s="873"/>
      <c r="G146" s="961"/>
      <c r="H146" s="959"/>
      <c r="I146" s="874"/>
      <c r="J146" s="874"/>
      <c r="K146" s="869" t="s">
        <v>6</v>
      </c>
      <c r="L146" s="869"/>
      <c r="M146" s="869" t="s">
        <v>6</v>
      </c>
      <c r="N146" s="869"/>
      <c r="O146" s="870" t="s">
        <v>6</v>
      </c>
      <c r="P146" s="870"/>
      <c r="Q146" s="879"/>
      <c r="R146" s="879"/>
      <c r="S146" s="878" t="s">
        <v>6</v>
      </c>
      <c r="T146" s="878"/>
      <c r="U146" s="878"/>
      <c r="V146" s="878"/>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265"/>
      <c r="B174" s="239"/>
      <c r="C174" s="239"/>
      <c r="D174" s="239"/>
      <c r="E174" s="239"/>
      <c r="F174" s="239"/>
      <c r="G174" s="239"/>
      <c r="H174" s="239"/>
      <c r="I174" s="239"/>
      <c r="J174" s="93"/>
      <c r="K174" s="93"/>
      <c r="L174" s="239"/>
      <c r="M174" s="239"/>
      <c r="N174" s="239"/>
      <c r="O174" s="239"/>
      <c r="P174" s="239"/>
      <c r="Q174" s="239"/>
      <c r="R174" s="239"/>
      <c r="S174" s="239"/>
      <c r="T174" s="239"/>
      <c r="U174" s="103"/>
      <c r="V174" s="310"/>
    </row>
    <row r="175" spans="1:22" ht="18" customHeight="1">
      <c r="A175" s="265"/>
      <c r="B175" s="239"/>
      <c r="C175" s="239"/>
      <c r="D175" s="239"/>
      <c r="E175" s="239"/>
      <c r="F175" s="239"/>
      <c r="G175" s="239"/>
      <c r="H175" s="239"/>
      <c r="I175" s="239"/>
      <c r="J175" s="93"/>
      <c r="K175" s="93"/>
      <c r="L175" s="239"/>
      <c r="M175" s="239"/>
      <c r="N175" s="239"/>
      <c r="O175" s="239"/>
      <c r="P175" s="239"/>
      <c r="Q175" s="239"/>
      <c r="R175" s="239"/>
      <c r="S175" s="239"/>
      <c r="T175" s="239"/>
      <c r="U175" s="103"/>
      <c r="V175" s="310"/>
    </row>
    <row r="176" spans="1:22" ht="18" customHeight="1">
      <c r="A176" s="265"/>
      <c r="B176" s="239"/>
      <c r="C176" s="239"/>
      <c r="D176" s="239"/>
      <c r="E176" s="239"/>
      <c r="F176" s="239"/>
      <c r="G176" s="239"/>
      <c r="H176" s="239"/>
      <c r="I176" s="239"/>
      <c r="J176" s="93"/>
      <c r="K176" s="93"/>
      <c r="L176" s="239"/>
      <c r="M176" s="239"/>
      <c r="N176" s="239"/>
      <c r="O176" s="239"/>
      <c r="P176" s="239"/>
      <c r="Q176" s="239"/>
      <c r="R176" s="239"/>
      <c r="S176" s="239"/>
      <c r="T176" s="239"/>
      <c r="U176" s="103"/>
      <c r="V176" s="310"/>
    </row>
    <row r="177" spans="1:22" ht="18" customHeight="1">
      <c r="A177" s="184"/>
      <c r="V177" s="185"/>
    </row>
    <row r="178" spans="1:22" s="14" customFormat="1" ht="18" customHeight="1">
      <c r="A178" s="194"/>
      <c r="B178" s="195"/>
      <c r="C178" s="195"/>
      <c r="D178" s="195"/>
      <c r="E178" s="195"/>
      <c r="F178" s="195"/>
      <c r="G178" s="195"/>
      <c r="H178" s="195"/>
      <c r="I178" s="195"/>
      <c r="J178" s="195"/>
      <c r="K178" s="195"/>
      <c r="L178" s="195"/>
      <c r="M178" s="195"/>
      <c r="N178" s="195"/>
      <c r="O178" s="195"/>
      <c r="P178" s="195"/>
      <c r="Q178" s="224"/>
      <c r="R178" s="182"/>
      <c r="S178" s="225"/>
      <c r="T178" s="195"/>
      <c r="U178" s="195"/>
      <c r="V178" s="134"/>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H7:M7"/>
    <mergeCell ref="T7:U7"/>
    <mergeCell ref="T8:U8"/>
    <mergeCell ref="H9:I9"/>
    <mergeCell ref="J9:K9"/>
    <mergeCell ref="L9:M9"/>
    <mergeCell ref="T9:U9"/>
    <mergeCell ref="L10:M10"/>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75" priority="2" stopIfTrue="1" operator="equal">
      <formula>"Not suitable"</formula>
    </cfRule>
  </conditionalFormatting>
  <conditionalFormatting sqref="S43 S46 S86 S89 S125 S128">
    <cfRule type="cellIs" dxfId="7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codeName="Sheet24">
    <tabColor indexed="50"/>
  </sheetPr>
  <dimension ref="A1:AA322"/>
  <sheetViews>
    <sheetView showZeros="0" view="pageBreakPreview" zoomScale="130" zoomScaleNormal="100" zoomScaleSheetLayoutView="130" workbookViewId="0">
      <selection activeCell="Q13" sqref="Q13"/>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593</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92" t="s">
        <v>109</v>
      </c>
      <c r="E7" s="1093"/>
      <c r="F7" s="455"/>
      <c r="H7" s="684" t="s">
        <v>507</v>
      </c>
      <c r="I7" s="684"/>
      <c r="J7" s="684"/>
      <c r="K7" s="684"/>
      <c r="L7" s="684"/>
      <c r="M7" s="684"/>
      <c r="P7" s="186"/>
      <c r="S7" s="187" t="s">
        <v>387</v>
      </c>
      <c r="T7" s="1075" t="s">
        <v>509</v>
      </c>
      <c r="U7" s="1076"/>
      <c r="V7" s="185"/>
    </row>
    <row r="8" spans="1:24" ht="18" customHeight="1">
      <c r="A8" s="456"/>
      <c r="F8" s="455"/>
      <c r="T8" s="1075" t="s">
        <v>896</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2800</v>
      </c>
      <c r="I10" s="1091"/>
      <c r="J10" s="1075">
        <v>3200</v>
      </c>
      <c r="K10" s="1076"/>
      <c r="L10" s="1075" t="s">
        <v>6</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4</v>
      </c>
      <c r="I12" s="1076"/>
      <c r="J12" s="192" t="s">
        <v>333</v>
      </c>
      <c r="V12" s="185"/>
    </row>
    <row r="13" spans="1:24" ht="18" customHeight="1">
      <c r="A13" s="184"/>
      <c r="B13" s="47" t="s">
        <v>398</v>
      </c>
      <c r="G13" s="120" t="s">
        <v>498</v>
      </c>
      <c r="H13" s="1075">
        <v>500</v>
      </c>
      <c r="I13" s="1076"/>
      <c r="J13" s="14" t="s">
        <v>305</v>
      </c>
      <c r="T13" s="295"/>
      <c r="U13" s="18"/>
      <c r="V13" s="185"/>
      <c r="W13" s="30" t="e">
        <f>#REF!</f>
        <v>#REF!</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REF615</v>
      </c>
      <c r="E18" s="227"/>
      <c r="F18" s="227"/>
      <c r="G18" s="227"/>
      <c r="H18" s="138"/>
      <c r="I18" s="260" t="s">
        <v>127</v>
      </c>
      <c r="J18" s="1077">
        <f>'CT-VT Burdens'!Q111</f>
        <v>0.02</v>
      </c>
      <c r="K18" s="1078"/>
      <c r="L18" s="3" t="s">
        <v>157</v>
      </c>
      <c r="N18" s="197" t="s">
        <v>510</v>
      </c>
      <c r="V18" s="185"/>
    </row>
    <row r="19" spans="1:25" ht="18" customHeight="1">
      <c r="A19" s="184"/>
      <c r="B19" s="96" t="s">
        <v>405</v>
      </c>
      <c r="C19" s="14"/>
      <c r="D19" s="47" t="str">
        <f>T8</f>
        <v>IDM+</v>
      </c>
      <c r="H19" s="28"/>
      <c r="I19" s="101" t="s">
        <v>127</v>
      </c>
      <c r="J19" s="1077">
        <f>'CT-VT Burdens'!Q149</f>
        <v>5.8000000000000003E-2</v>
      </c>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079"/>
      <c r="K20" s="1080"/>
      <c r="L20" s="3" t="s">
        <v>157</v>
      </c>
      <c r="N20" s="27"/>
      <c r="O20" s="27" t="s">
        <v>127</v>
      </c>
      <c r="P20" s="27">
        <f>O10</f>
        <v>1</v>
      </c>
      <c r="Q20" s="27" t="s">
        <v>315</v>
      </c>
      <c r="R20" s="27">
        <f>O10</f>
        <v>1</v>
      </c>
      <c r="S20" s="27" t="s">
        <v>315</v>
      </c>
      <c r="T20" s="27">
        <f>H12</f>
        <v>4</v>
      </c>
      <c r="V20" s="185"/>
    </row>
    <row r="21" spans="1:25" ht="18" customHeight="1">
      <c r="A21" s="184"/>
      <c r="B21" s="452" t="s">
        <v>412</v>
      </c>
      <c r="C21" s="259"/>
      <c r="D21" s="259"/>
      <c r="E21" s="259"/>
      <c r="F21" s="207"/>
      <c r="G21" s="207"/>
      <c r="H21" s="190"/>
      <c r="I21" s="208" t="s">
        <v>127</v>
      </c>
      <c r="J21" s="1081">
        <f>'CT-VT Burdens'!S42</f>
        <v>1.4360299200000002</v>
      </c>
      <c r="K21" s="1082"/>
      <c r="L21" s="297" t="s">
        <v>157</v>
      </c>
      <c r="O21" s="27" t="s">
        <v>127</v>
      </c>
      <c r="P21" s="795">
        <f>P20*R20*T20</f>
        <v>4</v>
      </c>
      <c r="Q21" s="684"/>
      <c r="R21" s="27" t="s">
        <v>157</v>
      </c>
      <c r="V21" s="185"/>
    </row>
    <row r="22" spans="1:25" ht="18" customHeight="1">
      <c r="A22" s="184"/>
      <c r="B22" s="1" t="s">
        <v>413</v>
      </c>
      <c r="C22" s="2"/>
      <c r="D22" s="2"/>
      <c r="E22" s="2"/>
      <c r="F22" s="196"/>
      <c r="G22" s="196"/>
      <c r="H22" s="224" t="s">
        <v>512</v>
      </c>
      <c r="I22" s="183" t="s">
        <v>127</v>
      </c>
      <c r="J22" s="722">
        <f>SUM(J18:J21)</f>
        <v>1.5140299200000003</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R28" s="27" t="s">
        <v>127</v>
      </c>
      <c r="S28" s="684">
        <v>6</v>
      </c>
      <c r="T28" s="684"/>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S28*S30</f>
        <v>16800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2800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4</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1.5140299200000003</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16800</v>
      </c>
      <c r="G37" s="689"/>
      <c r="H37" s="684" t="s">
        <v>315</v>
      </c>
      <c r="I37" s="790">
        <f>S31</f>
        <v>1</v>
      </c>
      <c r="J37" s="790"/>
      <c r="K37" s="684" t="s">
        <v>315</v>
      </c>
      <c r="L37" s="684" t="s">
        <v>419</v>
      </c>
      <c r="M37" s="1316">
        <f>S33</f>
        <v>4</v>
      </c>
      <c r="N37" s="684" t="s">
        <v>347</v>
      </c>
      <c r="O37" s="795">
        <f>S34</f>
        <v>1.5140299200000003</v>
      </c>
      <c r="P37" s="684" t="s">
        <v>347</v>
      </c>
      <c r="Q37" s="1071">
        <f>S35</f>
        <v>0.02</v>
      </c>
      <c r="R37" s="790"/>
      <c r="S37" s="790"/>
      <c r="T37" s="684" t="s">
        <v>350</v>
      </c>
      <c r="V37" s="185"/>
    </row>
    <row r="38" spans="1:25" ht="18" customHeight="1">
      <c r="A38" s="184"/>
      <c r="B38" s="684"/>
      <c r="C38" s="684"/>
      <c r="D38" s="689"/>
      <c r="E38" s="684"/>
      <c r="F38" s="689"/>
      <c r="G38" s="689"/>
      <c r="H38" s="684"/>
      <c r="I38" s="684">
        <f>S30</f>
        <v>2800</v>
      </c>
      <c r="J38" s="684"/>
      <c r="K38" s="684"/>
      <c r="L38" s="684"/>
      <c r="M38" s="1316"/>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49.809999999999995</v>
      </c>
      <c r="E40" s="1072"/>
      <c r="F40" s="286" t="s">
        <v>305</v>
      </c>
      <c r="G40" s="27"/>
      <c r="V40" s="185"/>
    </row>
    <row r="41" spans="1:25" ht="18" customHeight="1">
      <c r="A41" s="184"/>
      <c r="C41" s="27"/>
      <c r="D41" s="476"/>
      <c r="E41" s="476"/>
      <c r="F41" s="286"/>
      <c r="G41" s="27"/>
      <c r="V41" s="185"/>
    </row>
    <row r="42" spans="1:25" ht="18" customHeight="1">
      <c r="A42" s="184"/>
      <c r="C42" s="27"/>
      <c r="D42" s="476"/>
      <c r="E42" s="476"/>
      <c r="F42" s="286"/>
      <c r="G42" s="27"/>
      <c r="V42" s="185"/>
    </row>
    <row r="43" spans="1:25" ht="18" customHeight="1">
      <c r="A43" s="184"/>
      <c r="V43" s="185"/>
    </row>
    <row r="44" spans="1:25" ht="18" customHeight="1">
      <c r="A44" s="184"/>
      <c r="V44" s="185"/>
    </row>
    <row r="45" spans="1:25" ht="18" customHeight="1">
      <c r="A45" s="184"/>
      <c r="V45" s="185"/>
    </row>
    <row r="46" spans="1:25" ht="18" customHeight="1">
      <c r="A46" s="184"/>
      <c r="V46" s="185"/>
    </row>
    <row r="47" spans="1:25" ht="18" customHeight="1">
      <c r="A47" s="184"/>
      <c r="V47" s="185"/>
    </row>
    <row r="48" spans="1:25" ht="18" customHeight="1">
      <c r="A48" s="290"/>
      <c r="B48" s="196"/>
      <c r="C48" s="196"/>
      <c r="D48" s="196"/>
      <c r="E48" s="196"/>
      <c r="F48" s="196"/>
      <c r="G48" s="196"/>
      <c r="H48" s="196"/>
      <c r="I48" s="196"/>
      <c r="J48" s="196"/>
      <c r="K48" s="196"/>
      <c r="L48" s="196"/>
      <c r="M48" s="196"/>
      <c r="N48" s="196"/>
      <c r="O48" s="196"/>
      <c r="P48" s="196"/>
      <c r="Q48" s="196"/>
      <c r="R48" s="196"/>
      <c r="S48" s="196"/>
      <c r="T48" s="196"/>
      <c r="U48" s="196"/>
      <c r="V48" s="291"/>
    </row>
    <row r="49" spans="1:25" ht="18" customHeight="1">
      <c r="A49" s="226"/>
      <c r="B49" s="519" t="s">
        <v>525</v>
      </c>
      <c r="C49" s="227"/>
      <c r="D49" s="227"/>
      <c r="E49" s="227"/>
      <c r="F49" s="227"/>
      <c r="G49" s="227"/>
      <c r="H49" s="227"/>
      <c r="I49" s="227"/>
      <c r="J49" s="227"/>
      <c r="K49" s="227"/>
      <c r="L49" s="227"/>
      <c r="M49" s="227"/>
      <c r="N49" s="227"/>
      <c r="O49" s="227"/>
      <c r="P49" s="227"/>
      <c r="Q49" s="227"/>
      <c r="R49" s="227"/>
      <c r="S49" s="227"/>
      <c r="T49" s="227"/>
      <c r="U49" s="227"/>
      <c r="V49" s="228"/>
    </row>
    <row r="50" spans="1:25" ht="18" customHeight="1">
      <c r="A50" s="184"/>
      <c r="V50" s="185"/>
    </row>
    <row r="51" spans="1:25" ht="18" customHeight="1">
      <c r="A51" s="184"/>
      <c r="B51" s="1074" t="s">
        <v>417</v>
      </c>
      <c r="C51" s="800"/>
      <c r="D51" s="800"/>
      <c r="E51" s="689">
        <v>20</v>
      </c>
      <c r="F51" s="689" t="s">
        <v>315</v>
      </c>
      <c r="G51" s="790" t="s">
        <v>481</v>
      </c>
      <c r="H51" s="790" t="s">
        <v>482</v>
      </c>
      <c r="I51" s="803"/>
      <c r="J51" s="689" t="s">
        <v>315</v>
      </c>
      <c r="K51" s="689" t="s">
        <v>419</v>
      </c>
      <c r="L51" s="689" t="s">
        <v>440</v>
      </c>
      <c r="M51" s="729" t="s">
        <v>347</v>
      </c>
      <c r="N51" s="689" t="s">
        <v>447</v>
      </c>
      <c r="O51" s="689" t="s">
        <v>347</v>
      </c>
      <c r="P51" s="759" t="s">
        <v>448</v>
      </c>
      <c r="Q51" s="759"/>
      <c r="R51" s="759"/>
      <c r="S51" s="798" t="s">
        <v>350</v>
      </c>
      <c r="T51" s="1073" t="s">
        <v>422</v>
      </c>
      <c r="V51" s="185"/>
    </row>
    <row r="52" spans="1:25" ht="18" customHeight="1">
      <c r="A52" s="184"/>
      <c r="B52" s="800"/>
      <c r="C52" s="800"/>
      <c r="D52" s="800"/>
      <c r="E52" s="689"/>
      <c r="F52" s="689"/>
      <c r="G52" s="689"/>
      <c r="H52" s="684" t="s">
        <v>483</v>
      </c>
      <c r="I52" s="804"/>
      <c r="J52" s="689"/>
      <c r="K52" s="689"/>
      <c r="L52" s="689"/>
      <c r="M52" s="729"/>
      <c r="N52" s="689"/>
      <c r="O52" s="689"/>
      <c r="P52" s="28" t="s">
        <v>438</v>
      </c>
      <c r="Q52" s="28" t="s">
        <v>315</v>
      </c>
      <c r="R52" s="28" t="s">
        <v>438</v>
      </c>
      <c r="S52" s="798"/>
      <c r="T52" s="1073"/>
      <c r="V52" s="112"/>
    </row>
    <row r="53" spans="1:25" ht="18" customHeight="1">
      <c r="A53" s="184"/>
      <c r="C53" s="28"/>
      <c r="D53" s="28"/>
      <c r="E53" s="28"/>
      <c r="F53" s="28"/>
      <c r="G53" s="28"/>
      <c r="H53" s="689"/>
      <c r="I53" s="716"/>
      <c r="J53" s="28"/>
      <c r="K53" s="28"/>
      <c r="L53" s="28"/>
      <c r="M53" s="28"/>
      <c r="N53" s="47"/>
      <c r="O53" s="28"/>
      <c r="V53" s="185"/>
    </row>
    <row r="54" spans="1:25" ht="18" customHeight="1">
      <c r="A54" s="184"/>
      <c r="C54" s="30" t="s">
        <v>526</v>
      </c>
      <c r="R54" s="27" t="s">
        <v>127</v>
      </c>
      <c r="S54" s="684">
        <v>1.2</v>
      </c>
      <c r="T54" s="684"/>
      <c r="V54" s="185"/>
    </row>
    <row r="55" spans="1:25" ht="18" customHeight="1">
      <c r="A55" s="168"/>
      <c r="B55" s="5"/>
      <c r="C55" s="296" t="s">
        <v>515</v>
      </c>
      <c r="D55" s="14"/>
      <c r="E55" s="14"/>
      <c r="F55" s="14"/>
      <c r="G55" s="14"/>
      <c r="H55" s="279"/>
      <c r="I55" s="120"/>
      <c r="J55" s="279"/>
      <c r="K55" s="279"/>
      <c r="L55" s="14"/>
      <c r="M55" s="14"/>
      <c r="N55" s="14"/>
      <c r="O55" s="14"/>
      <c r="P55" s="14"/>
      <c r="Q55" s="244" t="s">
        <v>481</v>
      </c>
      <c r="R55" s="102" t="s">
        <v>127</v>
      </c>
      <c r="S55" s="689">
        <f>S54*S56</f>
        <v>3360</v>
      </c>
      <c r="T55" s="689"/>
      <c r="U55" s="47" t="s">
        <v>8</v>
      </c>
      <c r="V55" s="185"/>
    </row>
    <row r="56" spans="1:25" ht="18" customHeight="1">
      <c r="A56" s="168"/>
      <c r="B56" s="5"/>
      <c r="C56" s="47" t="s">
        <v>516</v>
      </c>
      <c r="D56" s="14"/>
      <c r="E56" s="14"/>
      <c r="F56" s="18"/>
      <c r="G56" s="18"/>
      <c r="H56" s="279"/>
      <c r="I56" s="120"/>
      <c r="J56" s="279"/>
      <c r="K56" s="279"/>
      <c r="L56" s="14"/>
      <c r="M56" s="14"/>
      <c r="N56" s="14"/>
      <c r="O56" s="14"/>
      <c r="P56" s="14"/>
      <c r="Q56" s="244" t="s">
        <v>483</v>
      </c>
      <c r="R56" s="102" t="s">
        <v>127</v>
      </c>
      <c r="S56" s="689">
        <f>H10</f>
        <v>2800</v>
      </c>
      <c r="T56" s="689"/>
      <c r="U56" s="14" t="s">
        <v>8</v>
      </c>
      <c r="V56" s="185"/>
    </row>
    <row r="57" spans="1:25" ht="18" customHeight="1">
      <c r="A57" s="168"/>
      <c r="B57" s="5"/>
      <c r="C57" s="47" t="s">
        <v>517</v>
      </c>
      <c r="D57" s="14"/>
      <c r="E57" s="14"/>
      <c r="F57" s="18"/>
      <c r="G57" s="18"/>
      <c r="H57" s="279"/>
      <c r="I57" s="120"/>
      <c r="J57" s="279"/>
      <c r="K57" s="279"/>
      <c r="L57" s="14"/>
      <c r="M57" s="14"/>
      <c r="N57" s="14"/>
      <c r="O57" s="14"/>
      <c r="P57" s="14"/>
      <c r="Q57" s="244" t="s">
        <v>482</v>
      </c>
      <c r="R57" s="102" t="s">
        <v>127</v>
      </c>
      <c r="S57" s="689">
        <f>O10</f>
        <v>1</v>
      </c>
      <c r="T57" s="689"/>
      <c r="U57" s="30" t="s">
        <v>8</v>
      </c>
      <c r="V57" s="185"/>
    </row>
    <row r="58" spans="1:25" ht="18" customHeight="1">
      <c r="A58" s="168"/>
      <c r="B58" s="5"/>
      <c r="C58" s="47" t="s">
        <v>518</v>
      </c>
      <c r="D58" s="14"/>
      <c r="E58" s="14"/>
      <c r="F58" s="18"/>
      <c r="G58" s="18"/>
      <c r="H58" s="279"/>
      <c r="I58" s="120"/>
      <c r="J58" s="279"/>
      <c r="K58" s="279"/>
      <c r="L58" s="14"/>
      <c r="M58" s="14"/>
      <c r="N58" s="14"/>
      <c r="O58" s="14"/>
      <c r="P58" s="14"/>
      <c r="Q58" s="244" t="s">
        <v>146</v>
      </c>
      <c r="R58" s="102" t="s">
        <v>127</v>
      </c>
      <c r="S58" s="834">
        <f>S32</f>
        <v>1</v>
      </c>
      <c r="T58" s="834"/>
      <c r="U58" s="30" t="s">
        <v>8</v>
      </c>
      <c r="V58" s="185"/>
      <c r="W58" s="279"/>
      <c r="X58" s="279"/>
      <c r="Y58" s="279"/>
    </row>
    <row r="59" spans="1:25" ht="18" customHeight="1">
      <c r="A59" s="168"/>
      <c r="B59" s="5"/>
      <c r="C59" s="296" t="s">
        <v>519</v>
      </c>
      <c r="D59" s="14"/>
      <c r="E59" s="14"/>
      <c r="F59" s="18"/>
      <c r="G59" s="18"/>
      <c r="H59" s="279"/>
      <c r="I59" s="120"/>
      <c r="J59" s="279"/>
      <c r="K59" s="279"/>
      <c r="L59" s="14"/>
      <c r="M59" s="14"/>
      <c r="N59" s="14"/>
      <c r="O59" s="14"/>
      <c r="P59" s="14"/>
      <c r="Q59" s="244" t="s">
        <v>420</v>
      </c>
      <c r="R59" s="102" t="s">
        <v>127</v>
      </c>
      <c r="S59" s="692">
        <f>H12</f>
        <v>4</v>
      </c>
      <c r="T59" s="689"/>
      <c r="U59" s="30" t="s">
        <v>520</v>
      </c>
      <c r="V59" s="185"/>
      <c r="X59" s="279"/>
      <c r="Y59" s="279"/>
    </row>
    <row r="60" spans="1:25" ht="18" customHeight="1">
      <c r="A60" s="168"/>
      <c r="B60" s="5"/>
      <c r="C60" s="296" t="s">
        <v>521</v>
      </c>
      <c r="D60" s="14"/>
      <c r="E60" s="14"/>
      <c r="F60" s="14"/>
      <c r="G60" s="14"/>
      <c r="H60" s="279"/>
      <c r="I60" s="120"/>
      <c r="J60" s="279"/>
      <c r="K60" s="279"/>
      <c r="L60" s="14"/>
      <c r="M60" s="14"/>
      <c r="N60" s="14"/>
      <c r="O60" s="14"/>
      <c r="P60" s="14"/>
      <c r="Q60" s="244" t="s">
        <v>522</v>
      </c>
      <c r="R60" s="102" t="s">
        <v>127</v>
      </c>
      <c r="S60" s="692">
        <f>J22</f>
        <v>1.5140299200000003</v>
      </c>
      <c r="T60" s="689"/>
      <c r="U60" s="30" t="s">
        <v>520</v>
      </c>
      <c r="V60" s="185"/>
      <c r="X60" s="279"/>
      <c r="Y60" s="279"/>
    </row>
    <row r="61" spans="1:25" ht="18" customHeight="1">
      <c r="A61" s="168"/>
      <c r="B61" s="5"/>
      <c r="C61" s="296" t="s">
        <v>523</v>
      </c>
      <c r="D61" s="14"/>
      <c r="E61" s="14"/>
      <c r="F61" s="14"/>
      <c r="G61" s="14"/>
      <c r="H61" s="279"/>
      <c r="I61" s="120"/>
      <c r="J61" s="279"/>
      <c r="K61" s="279"/>
      <c r="L61" s="14"/>
      <c r="M61" s="14"/>
      <c r="N61" s="14"/>
      <c r="O61" s="14"/>
      <c r="P61" s="14"/>
      <c r="Q61" s="244" t="s">
        <v>524</v>
      </c>
      <c r="R61" s="102" t="s">
        <v>127</v>
      </c>
      <c r="S61" s="795">
        <f>J18</f>
        <v>0.02</v>
      </c>
      <c r="T61" s="689"/>
      <c r="U61" s="296" t="s">
        <v>157</v>
      </c>
      <c r="V61" s="185"/>
    </row>
    <row r="62" spans="1:25" ht="18" customHeight="1">
      <c r="A62" s="299"/>
      <c r="B62" s="279"/>
      <c r="C62" s="47"/>
      <c r="D62" s="14"/>
      <c r="E62" s="14"/>
      <c r="F62" s="14"/>
      <c r="G62" s="14"/>
      <c r="H62" s="279"/>
      <c r="I62" s="120"/>
      <c r="J62" s="279"/>
      <c r="K62" s="279"/>
      <c r="L62" s="14"/>
      <c r="M62" s="14"/>
      <c r="N62" s="279"/>
      <c r="O62" s="279"/>
      <c r="P62" s="14"/>
      <c r="Q62" s="120"/>
      <c r="R62" s="14"/>
      <c r="S62" s="279"/>
      <c r="T62" s="279"/>
      <c r="U62" s="279"/>
      <c r="V62" s="300"/>
      <c r="W62" s="279"/>
      <c r="X62" s="279"/>
      <c r="Y62" s="279"/>
    </row>
    <row r="63" spans="1:25" ht="18" customHeight="1">
      <c r="A63" s="184"/>
      <c r="B63" s="684" t="s">
        <v>417</v>
      </c>
      <c r="C63" s="684"/>
      <c r="D63" s="689">
        <f>E51</f>
        <v>20</v>
      </c>
      <c r="E63" s="684" t="s">
        <v>315</v>
      </c>
      <c r="F63" s="689">
        <f>S55</f>
        <v>3360</v>
      </c>
      <c r="G63" s="689"/>
      <c r="H63" s="684" t="s">
        <v>315</v>
      </c>
      <c r="I63" s="790">
        <f>S57</f>
        <v>1</v>
      </c>
      <c r="J63" s="790"/>
      <c r="K63" s="684" t="s">
        <v>315</v>
      </c>
      <c r="L63" s="684" t="s">
        <v>419</v>
      </c>
      <c r="M63" s="1316">
        <f>S59</f>
        <v>4</v>
      </c>
      <c r="N63" s="684" t="s">
        <v>347</v>
      </c>
      <c r="O63" s="795">
        <f>S60</f>
        <v>1.5140299200000003</v>
      </c>
      <c r="P63" s="684" t="s">
        <v>347</v>
      </c>
      <c r="Q63" s="1071">
        <f>S61</f>
        <v>0.02</v>
      </c>
      <c r="R63" s="790"/>
      <c r="S63" s="790"/>
      <c r="T63" s="684" t="s">
        <v>350</v>
      </c>
      <c r="V63" s="185"/>
    </row>
    <row r="64" spans="1:25" ht="18" customHeight="1">
      <c r="A64" s="184"/>
      <c r="B64" s="684"/>
      <c r="C64" s="684"/>
      <c r="D64" s="689"/>
      <c r="E64" s="684"/>
      <c r="F64" s="689"/>
      <c r="G64" s="689"/>
      <c r="H64" s="684"/>
      <c r="I64" s="684">
        <f>S56</f>
        <v>2800</v>
      </c>
      <c r="J64" s="684"/>
      <c r="K64" s="684"/>
      <c r="L64" s="684"/>
      <c r="M64" s="1316"/>
      <c r="N64" s="684"/>
      <c r="O64" s="684"/>
      <c r="P64" s="684"/>
      <c r="Q64" s="503">
        <f>S58</f>
        <v>1</v>
      </c>
      <c r="R64" s="27" t="s">
        <v>315</v>
      </c>
      <c r="S64" s="503">
        <f>S58</f>
        <v>1</v>
      </c>
      <c r="T64" s="684"/>
      <c r="V64" s="185"/>
    </row>
    <row r="65" spans="1:27" ht="18" customHeight="1">
      <c r="A65" s="184"/>
      <c r="C65" s="120"/>
      <c r="D65" s="28"/>
      <c r="E65" s="28"/>
      <c r="F65" s="28"/>
      <c r="G65" s="28"/>
      <c r="H65" s="14"/>
      <c r="I65" s="14"/>
      <c r="J65" s="28"/>
      <c r="K65" s="28"/>
      <c r="L65" s="28"/>
      <c r="M65" s="28"/>
      <c r="N65" s="47"/>
      <c r="O65" s="502"/>
      <c r="V65" s="185"/>
    </row>
    <row r="66" spans="1:27" ht="18" customHeight="1">
      <c r="A66" s="184"/>
      <c r="C66" s="27" t="s">
        <v>127</v>
      </c>
      <c r="D66" s="1072">
        <f>ROUNDUP(D63*F63*(I63/I64)*(M63+O63+(Q63/(Q64*S64))),2)</f>
        <v>132.82</v>
      </c>
      <c r="E66" s="1072"/>
      <c r="F66" s="286" t="s">
        <v>305</v>
      </c>
      <c r="G66" s="27"/>
      <c r="V66" s="185"/>
    </row>
    <row r="67" spans="1:27" ht="18" customHeight="1">
      <c r="A67" s="184"/>
      <c r="V67" s="185"/>
    </row>
    <row r="68" spans="1:27" ht="18" customHeight="1">
      <c r="A68" s="184"/>
      <c r="D68" s="30" t="s">
        <v>527</v>
      </c>
      <c r="L68" s="30" t="s">
        <v>528</v>
      </c>
      <c r="M68" s="505" t="s">
        <v>529</v>
      </c>
      <c r="N68" s="30" t="str">
        <f>CONCATENATE(Y68,X68,D40,Z68,D66,AA68)</f>
        <v>max(49.81,132.82)</v>
      </c>
      <c r="V68" s="185"/>
      <c r="X68" s="30" t="s">
        <v>419</v>
      </c>
      <c r="Y68" s="30" t="s">
        <v>530</v>
      </c>
      <c r="Z68" s="30" t="s">
        <v>531</v>
      </c>
      <c r="AA68" s="30" t="s">
        <v>350</v>
      </c>
    </row>
    <row r="69" spans="1:27" ht="18" customHeight="1">
      <c r="A69" s="184"/>
      <c r="D69" s="14"/>
      <c r="E69"/>
      <c r="F69"/>
      <c r="G69" s="27"/>
      <c r="H69" s="14"/>
      <c r="I69"/>
      <c r="J69"/>
      <c r="K69"/>
      <c r="L69" s="30" t="s">
        <v>528</v>
      </c>
      <c r="M69" s="505" t="s">
        <v>529</v>
      </c>
      <c r="N69" s="795">
        <f>MAX(D66,D40)</f>
        <v>132.82</v>
      </c>
      <c r="O69" s="795"/>
      <c r="V69" s="185"/>
    </row>
    <row r="70" spans="1:27" ht="18" customHeight="1">
      <c r="A70" s="184"/>
      <c r="D70"/>
      <c r="E70" s="1089"/>
      <c r="F70" s="684"/>
      <c r="G70" s="27"/>
      <c r="H70" s="795"/>
      <c r="I70" s="684"/>
      <c r="J70"/>
      <c r="K70"/>
      <c r="L70" s="296">
        <f>H13</f>
        <v>500</v>
      </c>
      <c r="M70" s="505" t="s">
        <v>529</v>
      </c>
      <c r="N70" s="795">
        <f>N69</f>
        <v>132.82</v>
      </c>
      <c r="O70" s="795"/>
      <c r="V70" s="185"/>
    </row>
    <row r="71" spans="1:27" ht="18" customHeight="1">
      <c r="A71" s="184"/>
      <c r="D71"/>
      <c r="E71" s="504"/>
      <c r="F71" s="27"/>
      <c r="G71" s="27"/>
      <c r="H71" s="211"/>
      <c r="I71" s="27"/>
      <c r="J71"/>
      <c r="K71"/>
      <c r="L71" s="296"/>
      <c r="M71" s="505"/>
      <c r="N71" s="476"/>
      <c r="V71" s="185"/>
    </row>
    <row r="72" spans="1:27" ht="18" customHeight="1">
      <c r="A72" s="184"/>
      <c r="D72"/>
      <c r="E72"/>
      <c r="F72" s="244" t="s">
        <v>478</v>
      </c>
      <c r="G72"/>
      <c r="H72" s="18" t="str">
        <f>IF(L70&gt;N70,"Suitably Dimensioned","Under Dimensioned")</f>
        <v>Suitably Dimensioned</v>
      </c>
      <c r="I72"/>
      <c r="J72"/>
      <c r="K72"/>
      <c r="L72"/>
      <c r="V72" s="185"/>
    </row>
    <row r="73" spans="1:27" ht="18" customHeight="1">
      <c r="A73" s="184"/>
      <c r="V73" s="185"/>
    </row>
    <row r="74" spans="1:27" ht="18" customHeight="1">
      <c r="A74" s="184"/>
      <c r="V74" s="185"/>
    </row>
    <row r="75" spans="1:27" ht="18" customHeight="1">
      <c r="A75" s="184"/>
      <c r="V75" s="185"/>
    </row>
    <row r="76" spans="1:27" ht="18" customHeight="1">
      <c r="A76" s="184"/>
      <c r="V76" s="185"/>
    </row>
    <row r="77" spans="1:27" ht="18" customHeight="1">
      <c r="A77" s="184"/>
      <c r="V77" s="185"/>
    </row>
    <row r="78" spans="1:27" ht="18" customHeight="1">
      <c r="A78" s="184"/>
      <c r="V78" s="185"/>
    </row>
    <row r="79" spans="1:27" ht="18" customHeight="1">
      <c r="A79" s="184"/>
      <c r="V79" s="185"/>
    </row>
    <row r="80" spans="1:27" ht="18" customHeight="1">
      <c r="A80" s="184"/>
      <c r="V80" s="185"/>
    </row>
    <row r="81" spans="1:22" ht="18" customHeight="1">
      <c r="A81" s="184"/>
      <c r="D81"/>
      <c r="E81"/>
      <c r="F81" s="244"/>
      <c r="G81"/>
      <c r="H81" s="18"/>
      <c r="I81"/>
      <c r="J81"/>
      <c r="K81"/>
      <c r="L81"/>
      <c r="V81" s="185"/>
    </row>
    <row r="82" spans="1:22" ht="18" customHeight="1">
      <c r="A82" s="184"/>
      <c r="V82" s="185"/>
    </row>
    <row r="83" spans="1:22" ht="18" customHeight="1">
      <c r="A83" s="184"/>
      <c r="V83" s="185"/>
    </row>
    <row r="84" spans="1:22" ht="18" customHeight="1">
      <c r="A84" s="184"/>
      <c r="V84" s="185"/>
    </row>
    <row r="85" spans="1:22" ht="18" customHeight="1">
      <c r="A85" s="184"/>
      <c r="D85"/>
      <c r="E85"/>
      <c r="F85" s="244"/>
      <c r="G85"/>
      <c r="H85" s="18"/>
      <c r="I85"/>
      <c r="J85"/>
      <c r="K85"/>
      <c r="L85"/>
      <c r="V85" s="185"/>
    </row>
    <row r="86" spans="1:22" ht="18" customHeight="1">
      <c r="A86" s="184"/>
      <c r="V86" s="185"/>
    </row>
    <row r="87" spans="1:22" ht="18" customHeight="1">
      <c r="A87" s="184"/>
      <c r="V87" s="185"/>
    </row>
    <row r="88" spans="1:22" ht="18" customHeight="1">
      <c r="A88" s="184"/>
      <c r="D88"/>
      <c r="E88"/>
      <c r="F88" s="244"/>
      <c r="G88"/>
      <c r="H88" s="18"/>
      <c r="I88"/>
      <c r="J88"/>
      <c r="K88"/>
      <c r="L88"/>
      <c r="V88" s="185"/>
    </row>
    <row r="89" spans="1:22" ht="18" customHeight="1">
      <c r="A89" s="184"/>
      <c r="D89"/>
      <c r="E89"/>
      <c r="F89" s="244"/>
      <c r="G89"/>
      <c r="H89" s="18"/>
      <c r="I89"/>
      <c r="J89"/>
      <c r="K89"/>
      <c r="L89"/>
      <c r="V89" s="185"/>
    </row>
    <row r="90" spans="1:22" ht="18" customHeight="1">
      <c r="A90" s="184"/>
      <c r="V90" s="185"/>
    </row>
    <row r="91" spans="1:22" ht="18" customHeight="1">
      <c r="A91" s="184"/>
      <c r="V91" s="185"/>
    </row>
    <row r="92" spans="1:22" ht="18" customHeight="1">
      <c r="A92" s="184"/>
      <c r="V92" s="185"/>
    </row>
    <row r="93" spans="1:22" ht="18" customHeight="1">
      <c r="A93" s="184"/>
      <c r="V93" s="185"/>
    </row>
    <row r="94" spans="1:22" ht="18" customHeight="1">
      <c r="A94" s="184"/>
      <c r="V94" s="185"/>
    </row>
    <row r="95" spans="1:22" ht="18" customHeight="1">
      <c r="A95" s="184"/>
      <c r="V95" s="185"/>
    </row>
    <row r="96" spans="1:22" ht="18" customHeight="1">
      <c r="A96" s="184"/>
      <c r="V96" s="185"/>
    </row>
    <row r="97" spans="1:23" ht="18" customHeight="1">
      <c r="A97" s="184"/>
      <c r="V97" s="185"/>
    </row>
    <row r="98" spans="1:23" ht="18" customHeight="1">
      <c r="A98" s="184"/>
      <c r="V98" s="185"/>
    </row>
    <row r="99" spans="1:23" ht="18" customHeight="1">
      <c r="A99" s="184"/>
      <c r="V99" s="185"/>
    </row>
    <row r="100" spans="1:23" ht="18" customHeight="1">
      <c r="A100" s="184"/>
      <c r="V100" s="185"/>
    </row>
    <row r="101" spans="1:23" ht="18" customHeight="1">
      <c r="A101" s="184"/>
      <c r="V101" s="185"/>
    </row>
    <row r="102" spans="1:23" ht="18" customHeight="1">
      <c r="A102" s="184"/>
      <c r="V102" s="185"/>
    </row>
    <row r="103" spans="1:23" s="14" customFormat="1" ht="18" customHeight="1">
      <c r="A103" s="194"/>
      <c r="B103" s="195"/>
      <c r="C103" s="195"/>
      <c r="D103" s="195"/>
      <c r="E103" s="195"/>
      <c r="F103" s="195"/>
      <c r="G103" s="195"/>
      <c r="H103" s="195"/>
      <c r="I103" s="195"/>
      <c r="J103" s="195"/>
      <c r="K103" s="195"/>
      <c r="L103" s="195"/>
      <c r="M103" s="195"/>
      <c r="N103" s="195"/>
      <c r="O103" s="195"/>
      <c r="P103" s="195"/>
      <c r="Q103" s="224"/>
      <c r="R103" s="182"/>
      <c r="S103" s="225"/>
      <c r="T103" s="195"/>
      <c r="U103" s="195"/>
      <c r="V103" s="134"/>
    </row>
    <row r="104" spans="1:23" ht="18" customHeight="1">
      <c r="A104" s="226"/>
      <c r="B104" s="227"/>
      <c r="C104" s="227"/>
      <c r="D104" s="227"/>
      <c r="E104" s="227"/>
      <c r="F104" s="227"/>
      <c r="G104" s="227"/>
      <c r="H104" s="227"/>
      <c r="I104" s="227"/>
      <c r="J104" s="227"/>
      <c r="K104" s="227"/>
      <c r="L104" s="227"/>
      <c r="M104" s="227"/>
      <c r="N104" s="227"/>
      <c r="O104" s="227"/>
      <c r="P104" s="227"/>
      <c r="Q104" s="227"/>
      <c r="R104" s="227"/>
      <c r="S104" s="227"/>
      <c r="T104" s="227"/>
      <c r="U104" s="227"/>
      <c r="V104" s="228"/>
    </row>
    <row r="105" spans="1:23" ht="18" customHeight="1">
      <c r="A105" s="184"/>
      <c r="B105" s="854" t="str">
        <f>B7</f>
        <v>T1</v>
      </c>
      <c r="C105" s="831"/>
      <c r="D105" s="853" t="str">
        <f>D7</f>
        <v>Core3</v>
      </c>
      <c r="E105" s="765"/>
      <c r="F105" s="455"/>
      <c r="H105" s="684" t="str">
        <f>H7</f>
        <v>(OC+BCPU+FMS)</v>
      </c>
      <c r="I105" s="684"/>
      <c r="J105" s="684"/>
      <c r="K105" s="684"/>
      <c r="L105" s="684"/>
      <c r="M105" s="684"/>
      <c r="P105" s="186"/>
      <c r="S105" s="187" t="s">
        <v>387</v>
      </c>
      <c r="T105" s="1123" t="str">
        <f>T7</f>
        <v>REF615</v>
      </c>
      <c r="U105" s="1124"/>
      <c r="V105" s="185"/>
    </row>
    <row r="106" spans="1:23" ht="18" customHeight="1">
      <c r="A106" s="456"/>
      <c r="F106" s="455"/>
      <c r="T106" s="1123" t="str">
        <f>T8</f>
        <v>IDM+</v>
      </c>
      <c r="U106" s="1124"/>
      <c r="V106" s="185"/>
    </row>
    <row r="107" spans="1:23" ht="18" customHeight="1">
      <c r="A107" s="184"/>
      <c r="H107" s="708" t="s">
        <v>390</v>
      </c>
      <c r="I107" s="708"/>
      <c r="J107" s="789" t="s">
        <v>391</v>
      </c>
      <c r="K107" s="789"/>
      <c r="L107" s="790" t="s">
        <v>392</v>
      </c>
      <c r="M107" s="790"/>
      <c r="T107" s="1123">
        <f>T9</f>
        <v>0</v>
      </c>
      <c r="U107" s="1124"/>
      <c r="V107" s="185"/>
    </row>
    <row r="108" spans="1:23" ht="18" customHeight="1">
      <c r="A108" s="184"/>
      <c r="B108" s="47" t="s">
        <v>393</v>
      </c>
      <c r="H108" s="854">
        <f>H10</f>
        <v>2800</v>
      </c>
      <c r="I108" s="831"/>
      <c r="J108" s="863">
        <f>J10</f>
        <v>3200</v>
      </c>
      <c r="K108" s="864"/>
      <c r="L108" s="854" t="str">
        <f>L10</f>
        <v>-</v>
      </c>
      <c r="M108" s="831"/>
      <c r="N108" s="191" t="s">
        <v>342</v>
      </c>
      <c r="O108" s="256">
        <f>O10</f>
        <v>1</v>
      </c>
      <c r="P108" s="27" t="s">
        <v>8</v>
      </c>
      <c r="R108" s="255"/>
      <c r="S108" s="255"/>
      <c r="V108" s="185"/>
    </row>
    <row r="109" spans="1:23" ht="18" customHeight="1">
      <c r="A109" s="184"/>
      <c r="B109" s="47" t="s">
        <v>394</v>
      </c>
      <c r="J109" s="854" t="str">
        <f>H11</f>
        <v>PX</v>
      </c>
      <c r="K109" s="831"/>
      <c r="V109" s="185"/>
    </row>
    <row r="110" spans="1:23" ht="18" customHeight="1">
      <c r="A110" s="184"/>
      <c r="B110" s="47" t="s">
        <v>396</v>
      </c>
      <c r="I110" s="120" t="s">
        <v>497</v>
      </c>
      <c r="J110" s="1075">
        <v>5</v>
      </c>
      <c r="K110" s="1076"/>
      <c r="L110" s="192" t="s">
        <v>333</v>
      </c>
      <c r="V110" s="185"/>
    </row>
    <row r="111" spans="1:23" ht="18" customHeight="1">
      <c r="A111" s="184"/>
      <c r="B111" s="47" t="s">
        <v>398</v>
      </c>
      <c r="I111" s="120" t="s">
        <v>498</v>
      </c>
      <c r="J111" s="1075">
        <v>600</v>
      </c>
      <c r="K111" s="1076"/>
      <c r="L111" s="14" t="s">
        <v>305</v>
      </c>
      <c r="T111" s="295"/>
      <c r="U111" s="18"/>
      <c r="V111" s="185"/>
      <c r="W111" s="30" t="str">
        <f>G159</f>
        <v>Suitably Dimentioned</v>
      </c>
    </row>
    <row r="112" spans="1:23" ht="18" customHeight="1">
      <c r="A112" s="184"/>
      <c r="B112" s="14" t="s">
        <v>401</v>
      </c>
      <c r="I112" s="120" t="s">
        <v>402</v>
      </c>
      <c r="J112" s="1075">
        <v>10</v>
      </c>
      <c r="K112" s="1076"/>
      <c r="L112" s="14" t="s">
        <v>403</v>
      </c>
      <c r="V112" s="185"/>
    </row>
    <row r="113" spans="1:22" ht="18" customHeight="1">
      <c r="A113" s="184"/>
      <c r="V113" s="185"/>
    </row>
    <row r="114" spans="1:22" ht="18" customHeight="1">
      <c r="A114" s="193" t="s">
        <v>404</v>
      </c>
      <c r="V114" s="185"/>
    </row>
    <row r="115" spans="1:22" ht="18" customHeight="1">
      <c r="A115" s="184"/>
      <c r="V115" s="185"/>
    </row>
    <row r="116" spans="1:22" ht="18" customHeight="1">
      <c r="A116" s="184"/>
      <c r="B116" s="135" t="s">
        <v>405</v>
      </c>
      <c r="C116" s="273"/>
      <c r="D116" s="139" t="str">
        <f>T105</f>
        <v>REF615</v>
      </c>
      <c r="E116" s="227"/>
      <c r="F116" s="227"/>
      <c r="G116" s="227"/>
      <c r="H116" s="138"/>
      <c r="I116" s="260" t="s">
        <v>127</v>
      </c>
      <c r="J116" s="722">
        <f>J18</f>
        <v>0.02</v>
      </c>
      <c r="K116" s="958"/>
      <c r="L116" s="3" t="s">
        <v>157</v>
      </c>
      <c r="N116" s="197" t="s">
        <v>510</v>
      </c>
      <c r="V116" s="185"/>
    </row>
    <row r="117" spans="1:22" ht="18" customHeight="1">
      <c r="A117" s="184"/>
      <c r="B117" s="96" t="s">
        <v>405</v>
      </c>
      <c r="C117" s="14"/>
      <c r="D117" s="47" t="str">
        <f>T106</f>
        <v>IDM+</v>
      </c>
      <c r="H117" s="28"/>
      <c r="I117" s="101" t="s">
        <v>127</v>
      </c>
      <c r="J117" s="722">
        <f>J19</f>
        <v>5.8000000000000003E-2</v>
      </c>
      <c r="K117" s="958"/>
      <c r="L117" s="3" t="s">
        <v>157</v>
      </c>
      <c r="N117" s="120" t="s">
        <v>491</v>
      </c>
      <c r="O117" s="27" t="s">
        <v>127</v>
      </c>
      <c r="P117" s="27" t="s">
        <v>511</v>
      </c>
      <c r="Q117" s="27" t="s">
        <v>315</v>
      </c>
      <c r="R117" s="27" t="s">
        <v>511</v>
      </c>
      <c r="S117" s="27" t="s">
        <v>315</v>
      </c>
      <c r="T117" s="27" t="s">
        <v>420</v>
      </c>
      <c r="V117" s="185"/>
    </row>
    <row r="118" spans="1:22" ht="18" customHeight="1">
      <c r="A118" s="184"/>
      <c r="B118" s="96" t="s">
        <v>405</v>
      </c>
      <c r="C118" s="14"/>
      <c r="D118" s="47">
        <f>T107</f>
        <v>0</v>
      </c>
      <c r="H118" s="28"/>
      <c r="I118" s="101" t="s">
        <v>127</v>
      </c>
      <c r="J118" s="722">
        <f>J20</f>
        <v>0</v>
      </c>
      <c r="K118" s="958"/>
      <c r="L118" s="3" t="s">
        <v>157</v>
      </c>
      <c r="N118" s="27"/>
      <c r="O118" s="27" t="s">
        <v>127</v>
      </c>
      <c r="P118" s="27">
        <f>O108</f>
        <v>1</v>
      </c>
      <c r="Q118" s="27" t="s">
        <v>315</v>
      </c>
      <c r="R118" s="27">
        <f>O108</f>
        <v>1</v>
      </c>
      <c r="S118" s="27" t="s">
        <v>315</v>
      </c>
      <c r="T118" s="27">
        <f>J110</f>
        <v>5</v>
      </c>
      <c r="V118" s="185"/>
    </row>
    <row r="119" spans="1:22" ht="18" customHeight="1">
      <c r="A119" s="184"/>
      <c r="B119" s="452" t="s">
        <v>412</v>
      </c>
      <c r="C119" s="259"/>
      <c r="D119" s="259"/>
      <c r="E119" s="259"/>
      <c r="F119" s="207"/>
      <c r="G119" s="207"/>
      <c r="H119" s="190"/>
      <c r="I119" s="208" t="s">
        <v>127</v>
      </c>
      <c r="J119" s="1120">
        <f>J21</f>
        <v>1.4360299200000002</v>
      </c>
      <c r="K119" s="987"/>
      <c r="L119" s="297" t="s">
        <v>157</v>
      </c>
      <c r="O119" s="27" t="s">
        <v>127</v>
      </c>
      <c r="P119" s="795">
        <f>P118*R118*T118</f>
        <v>5</v>
      </c>
      <c r="Q119" s="684"/>
      <c r="R119" s="27" t="s">
        <v>157</v>
      </c>
      <c r="V119" s="185"/>
    </row>
    <row r="120" spans="1:22" ht="18" customHeight="1">
      <c r="A120" s="184"/>
      <c r="B120" s="1" t="s">
        <v>413</v>
      </c>
      <c r="C120" s="2"/>
      <c r="D120" s="2"/>
      <c r="E120" s="2"/>
      <c r="F120" s="196"/>
      <c r="G120" s="196"/>
      <c r="H120" s="224" t="s">
        <v>512</v>
      </c>
      <c r="I120" s="183" t="s">
        <v>127</v>
      </c>
      <c r="J120" s="722">
        <f>SUM(J116:J119)</f>
        <v>1.5140299200000003</v>
      </c>
      <c r="K120" s="958"/>
      <c r="L120" s="3" t="s">
        <v>157</v>
      </c>
      <c r="V120" s="185"/>
    </row>
    <row r="121" spans="1:22" ht="18" customHeight="1">
      <c r="A121" s="184"/>
      <c r="B121" s="47"/>
      <c r="C121" s="47"/>
      <c r="D121" s="47"/>
      <c r="E121" s="47"/>
      <c r="H121" s="27"/>
      <c r="I121" s="28"/>
      <c r="J121" s="199"/>
      <c r="L121" s="47"/>
      <c r="S121" s="27"/>
      <c r="V121" s="185"/>
    </row>
    <row r="122" spans="1:22" ht="18" customHeight="1">
      <c r="A122" s="1206" t="s">
        <v>536</v>
      </c>
      <c r="B122" s="1207"/>
      <c r="C122" s="1207"/>
      <c r="D122" s="1207"/>
      <c r="E122" s="1207"/>
      <c r="F122" s="1207"/>
      <c r="G122" s="1207"/>
      <c r="H122" s="1207"/>
      <c r="I122" s="1207"/>
      <c r="J122" s="1207"/>
      <c r="K122" s="1207"/>
      <c r="L122" s="1207"/>
      <c r="M122" s="1207"/>
      <c r="N122" s="1207"/>
      <c r="O122" s="1207"/>
      <c r="P122" s="1207"/>
      <c r="Q122" s="1207"/>
      <c r="R122" s="1207"/>
      <c r="S122" s="1207"/>
      <c r="T122" s="1207"/>
      <c r="U122" s="1207"/>
      <c r="V122" s="1208"/>
    </row>
    <row r="123" spans="1:22" ht="18" customHeight="1">
      <c r="A123" s="1209"/>
      <c r="B123" s="1207"/>
      <c r="C123" s="1207"/>
      <c r="D123" s="1207"/>
      <c r="E123" s="1207"/>
      <c r="F123" s="1207"/>
      <c r="G123" s="1207"/>
      <c r="H123" s="1207"/>
      <c r="I123" s="1207"/>
      <c r="J123" s="1207"/>
      <c r="K123" s="1207"/>
      <c r="L123" s="1207"/>
      <c r="M123" s="1207"/>
      <c r="N123" s="1207"/>
      <c r="O123" s="1207"/>
      <c r="P123" s="1207"/>
      <c r="Q123" s="1207"/>
      <c r="R123" s="1207"/>
      <c r="S123" s="1207"/>
      <c r="T123" s="1207"/>
      <c r="U123" s="1207"/>
      <c r="V123" s="1208"/>
    </row>
    <row r="124" spans="1:22" ht="18" customHeight="1">
      <c r="A124" s="184"/>
      <c r="Q124" s="211"/>
      <c r="R124" s="192"/>
      <c r="V124" s="185"/>
    </row>
    <row r="125" spans="1:22" ht="18" customHeight="1">
      <c r="A125" s="184"/>
      <c r="C125" s="14" t="s">
        <v>473</v>
      </c>
      <c r="D125" s="28" t="s">
        <v>127</v>
      </c>
      <c r="E125" s="28" t="s">
        <v>537</v>
      </c>
      <c r="F125" s="120" t="s">
        <v>493</v>
      </c>
      <c r="G125" s="28" t="s">
        <v>347</v>
      </c>
      <c r="H125" s="120" t="s">
        <v>491</v>
      </c>
      <c r="I125" s="28" t="s">
        <v>538</v>
      </c>
      <c r="J125" s="28" t="s">
        <v>495</v>
      </c>
      <c r="K125" s="28" t="s">
        <v>539</v>
      </c>
      <c r="L125" s="28" t="s">
        <v>511</v>
      </c>
      <c r="M125" s="28" t="s">
        <v>315</v>
      </c>
      <c r="N125" s="28">
        <v>1.3</v>
      </c>
      <c r="O125" s="47" t="s">
        <v>350</v>
      </c>
      <c r="V125" s="185"/>
    </row>
    <row r="126" spans="1:22" ht="18" customHeight="1">
      <c r="A126" s="184" t="s">
        <v>540</v>
      </c>
      <c r="C126" s="14"/>
      <c r="D126" s="28"/>
      <c r="E126" s="14"/>
      <c r="F126" s="14"/>
      <c r="G126" s="14"/>
      <c r="H126" s="14"/>
      <c r="I126" s="14"/>
      <c r="J126" s="14"/>
      <c r="K126" s="14"/>
      <c r="L126" s="14"/>
      <c r="M126" s="14"/>
      <c r="N126" s="14"/>
      <c r="O126" s="14"/>
      <c r="V126" s="185"/>
    </row>
    <row r="127" spans="1:22" ht="18" customHeight="1">
      <c r="A127" s="184"/>
      <c r="C127" s="120" t="s">
        <v>493</v>
      </c>
      <c r="D127" s="28" t="s">
        <v>127</v>
      </c>
      <c r="E127" s="28" t="s">
        <v>537</v>
      </c>
      <c r="F127" s="28">
        <v>1.3</v>
      </c>
      <c r="G127" s="28" t="s">
        <v>315</v>
      </c>
      <c r="H127" s="689" t="s">
        <v>473</v>
      </c>
      <c r="I127" s="716"/>
      <c r="J127" s="28" t="s">
        <v>315</v>
      </c>
      <c r="K127" s="28" t="s">
        <v>511</v>
      </c>
      <c r="L127" s="28" t="s">
        <v>541</v>
      </c>
      <c r="M127" s="28" t="s">
        <v>495</v>
      </c>
      <c r="N127" s="47" t="s">
        <v>542</v>
      </c>
      <c r="O127" s="120" t="s">
        <v>491</v>
      </c>
      <c r="V127" s="185"/>
    </row>
    <row r="128" spans="1:22" ht="18" customHeight="1">
      <c r="A128" s="184"/>
      <c r="V128" s="185"/>
    </row>
    <row r="129" spans="1:25" ht="18" customHeight="1">
      <c r="A129" s="168"/>
      <c r="B129" s="5"/>
      <c r="C129" s="47" t="s">
        <v>543</v>
      </c>
      <c r="D129" s="14"/>
      <c r="E129" s="14"/>
      <c r="F129" s="14"/>
      <c r="G129" s="14"/>
      <c r="H129" s="279"/>
      <c r="I129" s="120"/>
      <c r="J129" s="279"/>
      <c r="K129" s="279"/>
      <c r="L129" s="14"/>
      <c r="M129" s="14"/>
      <c r="N129" s="14"/>
      <c r="O129" s="14"/>
      <c r="P129" s="14"/>
      <c r="Q129" s="120" t="s">
        <v>544</v>
      </c>
      <c r="R129" s="102" t="s">
        <v>127</v>
      </c>
      <c r="S129" s="689">
        <f>S29</f>
        <v>16800</v>
      </c>
      <c r="T129" s="689"/>
      <c r="U129" s="47" t="s">
        <v>8</v>
      </c>
      <c r="V129" s="185"/>
    </row>
    <row r="130" spans="1:25" ht="18" customHeight="1">
      <c r="A130" s="168"/>
      <c r="B130" s="5"/>
      <c r="C130" s="47" t="s">
        <v>545</v>
      </c>
      <c r="D130" s="14"/>
      <c r="E130" s="14"/>
      <c r="F130" s="18"/>
      <c r="G130" s="18"/>
      <c r="H130" s="279"/>
      <c r="I130" s="120"/>
      <c r="J130" s="279"/>
      <c r="K130" s="279"/>
      <c r="L130" s="14"/>
      <c r="M130" s="14"/>
      <c r="N130" s="14"/>
      <c r="O130" s="14"/>
      <c r="P130" s="14"/>
      <c r="Q130" s="120" t="s">
        <v>423</v>
      </c>
      <c r="R130" s="102" t="s">
        <v>127</v>
      </c>
      <c r="S130" s="689">
        <f>J108</f>
        <v>3200</v>
      </c>
      <c r="T130" s="689"/>
      <c r="U130" s="14" t="s">
        <v>8</v>
      </c>
      <c r="V130" s="185"/>
    </row>
    <row r="131" spans="1:25" ht="18" customHeight="1">
      <c r="A131" s="168"/>
      <c r="B131" s="5"/>
      <c r="C131" s="47" t="s">
        <v>546</v>
      </c>
      <c r="D131" s="14"/>
      <c r="E131" s="14"/>
      <c r="F131" s="18"/>
      <c r="G131" s="18"/>
      <c r="H131" s="279"/>
      <c r="I131" s="120"/>
      <c r="J131" s="279"/>
      <c r="K131" s="279"/>
      <c r="L131" s="14"/>
      <c r="M131" s="14"/>
      <c r="N131" s="14"/>
      <c r="O131" s="14"/>
      <c r="P131" s="14"/>
      <c r="Q131" s="120" t="s">
        <v>473</v>
      </c>
      <c r="R131" s="102" t="s">
        <v>127</v>
      </c>
      <c r="S131" s="689">
        <f>J111</f>
        <v>600</v>
      </c>
      <c r="T131" s="689"/>
      <c r="U131" s="14" t="s">
        <v>305</v>
      </c>
      <c r="V131" s="185"/>
    </row>
    <row r="132" spans="1:25" ht="18" customHeight="1">
      <c r="A132" s="168"/>
      <c r="B132" s="5"/>
      <c r="C132" s="47" t="s">
        <v>547</v>
      </c>
      <c r="D132" s="14"/>
      <c r="E132" s="14"/>
      <c r="F132" s="18"/>
      <c r="G132" s="18"/>
      <c r="H132" s="279"/>
      <c r="I132" s="120"/>
      <c r="J132" s="279"/>
      <c r="K132" s="279"/>
      <c r="L132" s="14"/>
      <c r="M132" s="14"/>
      <c r="N132" s="14"/>
      <c r="O132" s="14"/>
      <c r="P132" s="14"/>
      <c r="Q132" s="120" t="s">
        <v>491</v>
      </c>
      <c r="R132" s="102" t="s">
        <v>127</v>
      </c>
      <c r="S132" s="692">
        <f>P119</f>
        <v>5</v>
      </c>
      <c r="T132" s="689"/>
      <c r="U132" s="14" t="s">
        <v>157</v>
      </c>
      <c r="V132" s="185"/>
      <c r="W132" s="279"/>
      <c r="X132" s="279"/>
      <c r="Y132" s="279"/>
    </row>
    <row r="133" spans="1:25" ht="18" customHeight="1">
      <c r="A133" s="168"/>
      <c r="B133" s="5"/>
      <c r="C133" s="47" t="s">
        <v>548</v>
      </c>
      <c r="D133" s="14"/>
      <c r="E133" s="14"/>
      <c r="F133" s="18"/>
      <c r="G133" s="18"/>
      <c r="H133" s="279"/>
      <c r="I133" s="120"/>
      <c r="J133" s="279"/>
      <c r="K133" s="279"/>
      <c r="L133" s="14"/>
      <c r="M133" s="14"/>
      <c r="N133" s="14"/>
      <c r="O133" s="14"/>
      <c r="P133" s="14"/>
      <c r="Q133" s="120" t="s">
        <v>512</v>
      </c>
      <c r="R133" s="102" t="s">
        <v>127</v>
      </c>
      <c r="S133" s="692">
        <f>J120</f>
        <v>1.5140299200000003</v>
      </c>
      <c r="T133" s="689"/>
      <c r="U133" s="14" t="s">
        <v>157</v>
      </c>
      <c r="V133" s="185"/>
      <c r="X133" s="279"/>
      <c r="Y133" s="279"/>
    </row>
    <row r="134" spans="1:25" ht="18" customHeight="1">
      <c r="A134" s="168"/>
      <c r="B134" s="5"/>
      <c r="C134" s="47" t="s">
        <v>549</v>
      </c>
      <c r="D134" s="14"/>
      <c r="E134" s="14"/>
      <c r="F134" s="14"/>
      <c r="G134" s="14"/>
      <c r="H134" s="279"/>
      <c r="I134" s="120"/>
      <c r="J134" s="279"/>
      <c r="K134" s="279"/>
      <c r="L134" s="14"/>
      <c r="M134" s="14"/>
      <c r="N134" s="14"/>
      <c r="O134" s="14"/>
      <c r="P134" s="14"/>
      <c r="Q134" s="120" t="s">
        <v>511</v>
      </c>
      <c r="R134" s="102" t="s">
        <v>127</v>
      </c>
      <c r="S134" s="689">
        <f>O108</f>
        <v>1</v>
      </c>
      <c r="T134" s="689"/>
      <c r="U134" s="14" t="s">
        <v>8</v>
      </c>
      <c r="V134" s="185"/>
      <c r="X134" s="279"/>
      <c r="Y134" s="279"/>
    </row>
    <row r="135" spans="1:25" ht="18" customHeight="1">
      <c r="A135" s="168"/>
      <c r="B135" s="5"/>
      <c r="C135" s="47" t="s">
        <v>550</v>
      </c>
      <c r="D135" s="14"/>
      <c r="E135" s="14"/>
      <c r="F135" s="14"/>
      <c r="G135" s="14"/>
      <c r="H135" s="279"/>
      <c r="I135" s="120"/>
      <c r="J135" s="279"/>
      <c r="K135" s="279"/>
      <c r="L135" s="14"/>
      <c r="M135" s="14"/>
      <c r="N135" s="14"/>
      <c r="O135" s="14"/>
      <c r="P135" s="14"/>
      <c r="Q135" s="120" t="s">
        <v>495</v>
      </c>
      <c r="R135" s="102" t="s">
        <v>127</v>
      </c>
      <c r="S135" s="689">
        <v>20</v>
      </c>
      <c r="T135" s="689"/>
      <c r="U135" s="47"/>
      <c r="V135" s="185"/>
    </row>
    <row r="136" spans="1:25" ht="18" customHeight="1">
      <c r="A136" s="299"/>
      <c r="B136" s="279"/>
      <c r="C136" s="47" t="s">
        <v>551</v>
      </c>
      <c r="D136" s="14"/>
      <c r="E136" s="14"/>
      <c r="F136" s="14"/>
      <c r="G136" s="14"/>
      <c r="H136" s="279"/>
      <c r="I136" s="120"/>
      <c r="J136" s="279"/>
      <c r="K136" s="279"/>
      <c r="L136" s="14"/>
      <c r="M136" s="14"/>
      <c r="N136" s="279"/>
      <c r="O136" s="279"/>
      <c r="P136" s="14"/>
      <c r="Q136" s="120" t="s">
        <v>493</v>
      </c>
      <c r="R136" s="14"/>
      <c r="S136" s="279"/>
      <c r="T136" s="279"/>
      <c r="U136" s="279"/>
      <c r="V136" s="300"/>
      <c r="W136" s="279"/>
      <c r="X136" s="279"/>
      <c r="Y136" s="279"/>
    </row>
    <row r="137" spans="1:25" ht="18" customHeight="1">
      <c r="A137" s="184"/>
      <c r="V137" s="185"/>
    </row>
    <row r="138" spans="1:25" ht="18" customHeight="1">
      <c r="A138" s="184"/>
      <c r="C138" s="120" t="s">
        <v>493</v>
      </c>
      <c r="D138" s="28" t="s">
        <v>127</v>
      </c>
      <c r="E138" s="28" t="s">
        <v>537</v>
      </c>
      <c r="F138" s="28">
        <v>1.3</v>
      </c>
      <c r="G138" s="28" t="s">
        <v>315</v>
      </c>
      <c r="H138" s="689" t="s">
        <v>473</v>
      </c>
      <c r="I138" s="716"/>
      <c r="J138" s="28" t="s">
        <v>315</v>
      </c>
      <c r="K138" s="28" t="s">
        <v>511</v>
      </c>
      <c r="L138" s="28" t="s">
        <v>541</v>
      </c>
      <c r="M138" s="28" t="s">
        <v>495</v>
      </c>
      <c r="N138" s="47" t="s">
        <v>542</v>
      </c>
      <c r="O138" s="120" t="s">
        <v>491</v>
      </c>
      <c r="V138" s="185"/>
    </row>
    <row r="139" spans="1:25" ht="18" customHeight="1">
      <c r="A139" s="184"/>
      <c r="C139" s="120" t="s">
        <v>493</v>
      </c>
      <c r="D139" s="28" t="s">
        <v>127</v>
      </c>
      <c r="E139" s="28" t="s">
        <v>537</v>
      </c>
      <c r="F139" s="28">
        <v>1.3</v>
      </c>
      <c r="G139" s="28" t="s">
        <v>315</v>
      </c>
      <c r="H139" s="689">
        <f>S131</f>
        <v>600</v>
      </c>
      <c r="I139" s="716"/>
      <c r="J139" s="28" t="s">
        <v>315</v>
      </c>
      <c r="K139" s="28">
        <f>S134</f>
        <v>1</v>
      </c>
      <c r="L139" s="28" t="s">
        <v>541</v>
      </c>
      <c r="M139" s="28">
        <f>S135</f>
        <v>20</v>
      </c>
      <c r="N139" s="47" t="s">
        <v>542</v>
      </c>
      <c r="O139" s="502">
        <f>S132</f>
        <v>5</v>
      </c>
      <c r="V139" s="185"/>
    </row>
    <row r="140" spans="1:25" ht="18" customHeight="1">
      <c r="A140" s="184"/>
      <c r="D140" s="27" t="s">
        <v>127</v>
      </c>
      <c r="E140" s="684">
        <f>((F139*H139*K139)/M139)-O139</f>
        <v>34</v>
      </c>
      <c r="F140" s="684"/>
      <c r="G140" s="27" t="s">
        <v>157</v>
      </c>
      <c r="V140" s="185"/>
    </row>
    <row r="141" spans="1:25" ht="18" customHeight="1">
      <c r="A141" s="184"/>
      <c r="D141" s="27"/>
      <c r="E141" s="27"/>
      <c r="F141" s="27"/>
      <c r="G141" s="27"/>
      <c r="V141" s="185"/>
    </row>
    <row r="142" spans="1:25" ht="18" customHeight="1">
      <c r="A142" s="184"/>
      <c r="D142" s="27"/>
      <c r="E142" s="27"/>
      <c r="F142" s="27"/>
      <c r="G142" s="27"/>
      <c r="V142" s="185"/>
    </row>
    <row r="143" spans="1:25" ht="18" customHeight="1">
      <c r="A143" s="184"/>
      <c r="D143" s="27"/>
      <c r="E143" s="27"/>
      <c r="F143" s="27"/>
      <c r="G143" s="27"/>
      <c r="V143" s="185"/>
    </row>
    <row r="144" spans="1:25" ht="18" customHeight="1">
      <c r="A144" s="184"/>
      <c r="D144" s="27"/>
      <c r="E144" s="27"/>
      <c r="F144" s="27"/>
      <c r="G144" s="27"/>
      <c r="V144" s="185"/>
    </row>
    <row r="145" spans="1:22" ht="18" customHeight="1">
      <c r="A145" s="184"/>
      <c r="D145" s="27"/>
      <c r="E145" s="27"/>
      <c r="F145" s="27"/>
      <c r="G145" s="27"/>
      <c r="V145" s="185"/>
    </row>
    <row r="146" spans="1:22" ht="18" customHeight="1">
      <c r="A146" s="184"/>
      <c r="V146" s="185"/>
    </row>
    <row r="147" spans="1:22" s="14" customFormat="1" ht="18" customHeight="1">
      <c r="A147" s="194"/>
      <c r="B147" s="195"/>
      <c r="C147" s="195"/>
      <c r="D147" s="195"/>
      <c r="E147" s="195"/>
      <c r="F147" s="195"/>
      <c r="G147" s="195"/>
      <c r="H147" s="195"/>
      <c r="I147" s="195"/>
      <c r="J147" s="195"/>
      <c r="K147" s="195"/>
      <c r="L147" s="195"/>
      <c r="M147" s="195"/>
      <c r="N147" s="195"/>
      <c r="O147" s="195"/>
      <c r="P147" s="195"/>
      <c r="Q147" s="224"/>
      <c r="R147" s="182"/>
      <c r="S147" s="225"/>
      <c r="T147" s="195"/>
      <c r="U147" s="195"/>
      <c r="V147" s="134"/>
    </row>
    <row r="148" spans="1:22" ht="18" customHeight="1">
      <c r="A148" s="226"/>
      <c r="B148" s="227"/>
      <c r="C148" s="227"/>
      <c r="D148" s="227"/>
      <c r="E148" s="227"/>
      <c r="F148" s="227"/>
      <c r="G148" s="227"/>
      <c r="H148" s="227"/>
      <c r="I148" s="227"/>
      <c r="J148" s="227"/>
      <c r="K148" s="227"/>
      <c r="L148" s="227"/>
      <c r="M148" s="227"/>
      <c r="N148" s="227"/>
      <c r="O148" s="227"/>
      <c r="P148" s="227"/>
      <c r="Q148" s="227"/>
      <c r="R148" s="227"/>
      <c r="S148" s="227"/>
      <c r="T148" s="227"/>
      <c r="U148" s="227"/>
      <c r="V148" s="228"/>
    </row>
    <row r="149" spans="1:22" ht="18" customHeight="1">
      <c r="A149" s="184"/>
      <c r="E149" s="244" t="s">
        <v>111</v>
      </c>
      <c r="F149" s="27" t="s">
        <v>127</v>
      </c>
      <c r="G149" s="689" t="s">
        <v>544</v>
      </c>
      <c r="H149" s="689"/>
      <c r="I149" s="191" t="s">
        <v>342</v>
      </c>
      <c r="J149" s="684" t="s">
        <v>423</v>
      </c>
      <c r="K149" s="684"/>
      <c r="V149" s="185"/>
    </row>
    <row r="150" spans="1:22" ht="18" customHeight="1">
      <c r="A150" s="184"/>
      <c r="F150" s="27" t="s">
        <v>127</v>
      </c>
      <c r="G150" s="684">
        <f>S129</f>
        <v>16800</v>
      </c>
      <c r="H150" s="684"/>
      <c r="I150" s="191" t="s">
        <v>342</v>
      </c>
      <c r="J150" s="684">
        <f>S130</f>
        <v>3200</v>
      </c>
      <c r="K150" s="684"/>
      <c r="V150" s="185"/>
    </row>
    <row r="151" spans="1:22" ht="18" customHeight="1">
      <c r="A151" s="184"/>
      <c r="F151" s="27" t="s">
        <v>127</v>
      </c>
      <c r="G151" s="795">
        <f>G150/J150</f>
        <v>5.25</v>
      </c>
      <c r="H151" s="795"/>
      <c r="I151" s="27"/>
      <c r="J151" s="27"/>
      <c r="K151" s="27"/>
      <c r="V151" s="185"/>
    </row>
    <row r="152" spans="1:22" ht="18" customHeight="1">
      <c r="A152" s="184"/>
      <c r="V152" s="185"/>
    </row>
    <row r="153" spans="1:22" ht="18" customHeight="1">
      <c r="A153" s="184"/>
      <c r="E153" s="244" t="s">
        <v>553</v>
      </c>
      <c r="F153" s="27" t="s">
        <v>127</v>
      </c>
      <c r="G153" s="27" t="s">
        <v>495</v>
      </c>
      <c r="H153" s="27" t="s">
        <v>554</v>
      </c>
      <c r="I153" s="120" t="s">
        <v>491</v>
      </c>
      <c r="J153" s="28" t="s">
        <v>347</v>
      </c>
      <c r="K153" s="120" t="s">
        <v>493</v>
      </c>
      <c r="L153" s="28" t="s">
        <v>539</v>
      </c>
      <c r="M153" s="120" t="s">
        <v>491</v>
      </c>
      <c r="N153" s="28" t="s">
        <v>347</v>
      </c>
      <c r="O153" s="120" t="s">
        <v>512</v>
      </c>
      <c r="P153" s="296" t="s">
        <v>350</v>
      </c>
      <c r="V153" s="185"/>
    </row>
    <row r="154" spans="1:22" ht="18" customHeight="1">
      <c r="A154" s="184"/>
      <c r="F154" s="27" t="s">
        <v>127</v>
      </c>
      <c r="G154" s="242">
        <f>S135</f>
        <v>20</v>
      </c>
      <c r="H154" s="245" t="s">
        <v>554</v>
      </c>
      <c r="I154" s="301">
        <f>S132</f>
        <v>5</v>
      </c>
      <c r="J154" s="245" t="s">
        <v>347</v>
      </c>
      <c r="K154" s="301">
        <f>E140</f>
        <v>34</v>
      </c>
      <c r="L154" s="245" t="s">
        <v>539</v>
      </c>
      <c r="M154" s="301">
        <f>S132</f>
        <v>5</v>
      </c>
      <c r="N154" s="245" t="s">
        <v>347</v>
      </c>
      <c r="O154" s="301">
        <f>S133</f>
        <v>1.5140299200000003</v>
      </c>
      <c r="P154" s="461" t="s">
        <v>350</v>
      </c>
      <c r="V154" s="185"/>
    </row>
    <row r="155" spans="1:22" ht="18" customHeight="1">
      <c r="A155" s="184"/>
      <c r="F155" s="27" t="s">
        <v>127</v>
      </c>
      <c r="G155" s="795">
        <f>G154*((I154+K154)/(M154+O154))</f>
        <v>119.74154395655586</v>
      </c>
      <c r="H155" s="795"/>
      <c r="V155" s="185"/>
    </row>
    <row r="156" spans="1:22" ht="18" customHeight="1">
      <c r="A156" s="184"/>
      <c r="V156" s="185"/>
    </row>
    <row r="157" spans="1:22" ht="18" customHeight="1">
      <c r="A157" s="184"/>
      <c r="E157" s="244" t="s">
        <v>555</v>
      </c>
      <c r="F157" s="27" t="str">
        <f>IF(D158&gt;G158,"&gt;","&lt;")</f>
        <v>&gt;</v>
      </c>
      <c r="G157" s="296" t="s">
        <v>111</v>
      </c>
      <c r="V157" s="185"/>
    </row>
    <row r="158" spans="1:22" ht="18" customHeight="1">
      <c r="A158" s="184"/>
      <c r="D158" s="795">
        <f>G155</f>
        <v>119.74154395655586</v>
      </c>
      <c r="E158" s="795"/>
      <c r="F158" s="27" t="str">
        <f>F157</f>
        <v>&gt;</v>
      </c>
      <c r="G158" s="795">
        <f>G151</f>
        <v>5.25</v>
      </c>
      <c r="H158" s="795"/>
      <c r="V158" s="185"/>
    </row>
    <row r="159" spans="1:22" ht="18" customHeight="1">
      <c r="A159" s="184"/>
      <c r="E159" s="244" t="s">
        <v>478</v>
      </c>
      <c r="G159" s="18" t="str">
        <f>IF(F157="&gt;","Suitably Dimentioned","Under Dimentioned")</f>
        <v>Suitably Dimentioned</v>
      </c>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ht="18" customHeight="1">
      <c r="A170" s="184"/>
      <c r="V170" s="185"/>
    </row>
    <row r="171" spans="1:22" ht="18" customHeight="1">
      <c r="A171" s="184"/>
      <c r="V171" s="185"/>
    </row>
    <row r="172" spans="1:22" ht="18" customHeight="1">
      <c r="A172" s="184"/>
      <c r="V172" s="185"/>
    </row>
    <row r="173" spans="1:22" ht="18" customHeight="1">
      <c r="A173" s="184"/>
      <c r="V173" s="185"/>
    </row>
    <row r="174" spans="1:22" ht="18" customHeight="1">
      <c r="A174" s="184"/>
      <c r="V174" s="185"/>
    </row>
    <row r="175" spans="1:22" ht="18" customHeight="1">
      <c r="A175" s="184"/>
      <c r="V175" s="185"/>
    </row>
    <row r="176" spans="1:22" ht="18" customHeight="1">
      <c r="A176" s="184"/>
      <c r="V176" s="185"/>
    </row>
    <row r="177" spans="1:22" ht="18" customHeight="1">
      <c r="A177" s="184"/>
      <c r="V177" s="185"/>
    </row>
    <row r="178" spans="1:22" ht="18" customHeight="1">
      <c r="A178" s="184"/>
      <c r="V178" s="185"/>
    </row>
    <row r="179" spans="1:22" ht="18" customHeight="1">
      <c r="A179" s="184"/>
      <c r="V179" s="185"/>
    </row>
    <row r="180" spans="1:22" ht="18" customHeight="1">
      <c r="A180" s="184"/>
      <c r="V180" s="185"/>
    </row>
    <row r="181" spans="1:22" ht="18" customHeight="1">
      <c r="A181" s="184"/>
      <c r="V181" s="185"/>
    </row>
    <row r="182" spans="1:22" ht="18" customHeight="1">
      <c r="A182" s="184"/>
      <c r="V182" s="185"/>
    </row>
    <row r="183" spans="1:22" ht="18" customHeight="1">
      <c r="A183" s="184"/>
      <c r="V183" s="185"/>
    </row>
    <row r="184" spans="1:22" ht="18" customHeight="1">
      <c r="A184" s="184"/>
      <c r="V184" s="185"/>
    </row>
    <row r="185" spans="1:22" ht="18" customHeight="1">
      <c r="A185" s="184"/>
      <c r="V185" s="185"/>
    </row>
    <row r="186" spans="1:22" ht="18" customHeight="1">
      <c r="A186" s="184"/>
      <c r="V186" s="185"/>
    </row>
    <row r="187" spans="1:22" ht="18" customHeight="1">
      <c r="A187" s="184"/>
      <c r="V187" s="185"/>
    </row>
    <row r="188" spans="1:22" ht="18" customHeight="1">
      <c r="A188" s="184"/>
      <c r="V188" s="185"/>
    </row>
    <row r="189" spans="1:22" ht="18" customHeight="1">
      <c r="A189" s="184"/>
      <c r="V189" s="185"/>
    </row>
    <row r="190" spans="1:22" ht="18" customHeight="1">
      <c r="A190" s="184"/>
      <c r="V190" s="185"/>
    </row>
    <row r="191" spans="1:22" s="14" customFormat="1" ht="18" customHeight="1">
      <c r="A191" s="194"/>
      <c r="B191" s="195"/>
      <c r="C191" s="195"/>
      <c r="D191" s="195"/>
      <c r="E191" s="195"/>
      <c r="F191" s="195"/>
      <c r="G191" s="195"/>
      <c r="H191" s="195"/>
      <c r="I191" s="195"/>
      <c r="J191" s="195"/>
      <c r="K191" s="195"/>
      <c r="L191" s="195"/>
      <c r="M191" s="195"/>
      <c r="N191" s="195"/>
      <c r="O191" s="195"/>
      <c r="P191" s="195"/>
      <c r="Q191" s="224"/>
      <c r="R191" s="182"/>
      <c r="S191" s="225"/>
      <c r="T191" s="195"/>
      <c r="U191" s="195"/>
      <c r="V191" s="134"/>
    </row>
    <row r="192" spans="1:22" ht="18" hidden="1" customHeight="1">
      <c r="A192" s="226"/>
      <c r="B192" s="227"/>
      <c r="C192" s="227"/>
      <c r="D192" s="227"/>
      <c r="E192" s="227"/>
      <c r="F192" s="227"/>
      <c r="G192" s="227"/>
      <c r="H192" s="227"/>
      <c r="I192" s="227"/>
      <c r="J192" s="227"/>
      <c r="K192" s="227"/>
      <c r="L192" s="227"/>
      <c r="M192" s="227"/>
      <c r="N192" s="227"/>
      <c r="O192" s="227"/>
      <c r="P192" s="227"/>
      <c r="Q192" s="227"/>
      <c r="R192" s="227"/>
      <c r="S192" s="227"/>
      <c r="T192" s="227"/>
      <c r="U192" s="227"/>
      <c r="V192" s="228"/>
    </row>
    <row r="193" spans="1:23" ht="18" hidden="1" customHeight="1">
      <c r="A193" s="184"/>
      <c r="B193" s="854" t="str">
        <f>B105</f>
        <v>T1</v>
      </c>
      <c r="C193" s="831"/>
      <c r="D193" s="853" t="str">
        <f>D105</f>
        <v>Core3</v>
      </c>
      <c r="E193" s="765"/>
      <c r="F193" s="455"/>
      <c r="H193" s="684" t="str">
        <f>H105</f>
        <v>(OC+BCPU+FMS)</v>
      </c>
      <c r="I193" s="684"/>
      <c r="J193" s="684"/>
      <c r="K193" s="684"/>
      <c r="L193" s="684"/>
      <c r="M193" s="684"/>
      <c r="P193" s="186"/>
      <c r="S193" s="187" t="s">
        <v>387</v>
      </c>
      <c r="T193" s="1123" t="str">
        <f>T105</f>
        <v>REF615</v>
      </c>
      <c r="U193" s="1124"/>
      <c r="V193" s="185"/>
    </row>
    <row r="194" spans="1:23" ht="18" hidden="1" customHeight="1">
      <c r="A194" s="456"/>
      <c r="F194" s="455"/>
      <c r="T194" s="1123" t="str">
        <f>T106</f>
        <v>IDM+</v>
      </c>
      <c r="U194" s="1124"/>
      <c r="V194" s="185"/>
    </row>
    <row r="195" spans="1:23" ht="18" hidden="1" customHeight="1">
      <c r="A195" s="184"/>
      <c r="H195" s="708" t="s">
        <v>390</v>
      </c>
      <c r="I195" s="708"/>
      <c r="J195" s="708" t="s">
        <v>391</v>
      </c>
      <c r="K195" s="708"/>
      <c r="L195" s="789" t="s">
        <v>392</v>
      </c>
      <c r="M195" s="789"/>
      <c r="T195" s="1123">
        <f>T107</f>
        <v>0</v>
      </c>
      <c r="U195" s="1124"/>
      <c r="V195" s="185"/>
    </row>
    <row r="196" spans="1:23" ht="18" hidden="1" customHeight="1">
      <c r="A196" s="184"/>
      <c r="B196" s="47" t="s">
        <v>393</v>
      </c>
      <c r="H196" s="854">
        <f>H108</f>
        <v>2800</v>
      </c>
      <c r="I196" s="831"/>
      <c r="J196" s="854">
        <f>J108</f>
        <v>3200</v>
      </c>
      <c r="K196" s="831"/>
      <c r="L196" s="863" t="str">
        <f>L108</f>
        <v>-</v>
      </c>
      <c r="M196" s="864"/>
      <c r="N196" s="191" t="s">
        <v>342</v>
      </c>
      <c r="O196" s="256">
        <f>O108</f>
        <v>1</v>
      </c>
      <c r="P196" s="27" t="s">
        <v>8</v>
      </c>
      <c r="R196" s="255"/>
      <c r="S196" s="255"/>
      <c r="V196" s="185"/>
    </row>
    <row r="197" spans="1:23" ht="18" hidden="1" customHeight="1">
      <c r="A197" s="184"/>
      <c r="B197" s="47" t="s">
        <v>394</v>
      </c>
      <c r="L197" s="854" t="str">
        <f>J109</f>
        <v>PX</v>
      </c>
      <c r="M197" s="831"/>
      <c r="V197" s="185"/>
    </row>
    <row r="198" spans="1:23" ht="18" hidden="1" customHeight="1">
      <c r="A198" s="184"/>
      <c r="B198" s="47" t="s">
        <v>396</v>
      </c>
      <c r="K198" s="120" t="s">
        <v>497</v>
      </c>
      <c r="L198" s="1075">
        <v>8</v>
      </c>
      <c r="M198" s="1076"/>
      <c r="N198" s="192" t="s">
        <v>333</v>
      </c>
      <c r="V198" s="185"/>
    </row>
    <row r="199" spans="1:23" ht="18" hidden="1" customHeight="1">
      <c r="A199" s="184"/>
      <c r="B199" s="47" t="s">
        <v>398</v>
      </c>
      <c r="K199" s="120" t="s">
        <v>498</v>
      </c>
      <c r="L199" s="1075">
        <v>800</v>
      </c>
      <c r="M199" s="1076"/>
      <c r="N199" s="14" t="s">
        <v>305</v>
      </c>
      <c r="V199" s="185"/>
      <c r="W199" s="30" t="e">
        <f>G247</f>
        <v>#VALUE!</v>
      </c>
    </row>
    <row r="200" spans="1:23" ht="18" hidden="1" customHeight="1">
      <c r="A200" s="184"/>
      <c r="B200" s="14" t="s">
        <v>401</v>
      </c>
      <c r="K200" s="120" t="s">
        <v>402</v>
      </c>
      <c r="L200" s="1075">
        <v>75</v>
      </c>
      <c r="M200" s="1076"/>
      <c r="N200" s="14" t="s">
        <v>403</v>
      </c>
      <c r="V200" s="185"/>
    </row>
    <row r="201" spans="1:23" ht="18" hidden="1" customHeight="1">
      <c r="A201" s="184"/>
      <c r="V201" s="185"/>
    </row>
    <row r="202" spans="1:23" ht="18" hidden="1" customHeight="1">
      <c r="A202" s="193" t="s">
        <v>404</v>
      </c>
      <c r="V202" s="185"/>
    </row>
    <row r="203" spans="1:23" ht="18" hidden="1" customHeight="1">
      <c r="A203" s="184"/>
      <c r="V203" s="185"/>
    </row>
    <row r="204" spans="1:23" ht="18" hidden="1" customHeight="1">
      <c r="A204" s="184"/>
      <c r="B204" s="135" t="s">
        <v>405</v>
      </c>
      <c r="C204" s="273"/>
      <c r="D204" s="139" t="str">
        <f>T193</f>
        <v>REF615</v>
      </c>
      <c r="E204" s="227"/>
      <c r="F204" s="227"/>
      <c r="G204" s="227"/>
      <c r="H204" s="138"/>
      <c r="I204" s="260" t="s">
        <v>127</v>
      </c>
      <c r="J204" s="722">
        <f>J116</f>
        <v>0.02</v>
      </c>
      <c r="K204" s="958"/>
      <c r="L204" s="3" t="s">
        <v>157</v>
      </c>
      <c r="N204" s="197" t="s">
        <v>510</v>
      </c>
      <c r="V204" s="185"/>
    </row>
    <row r="205" spans="1:23" ht="18" hidden="1" customHeight="1">
      <c r="A205" s="184"/>
      <c r="B205" s="96" t="s">
        <v>405</v>
      </c>
      <c r="C205" s="14"/>
      <c r="D205" s="47" t="str">
        <f>T194</f>
        <v>IDM+</v>
      </c>
      <c r="H205" s="28"/>
      <c r="I205" s="101" t="s">
        <v>127</v>
      </c>
      <c r="J205" s="722">
        <f>J117</f>
        <v>5.8000000000000003E-2</v>
      </c>
      <c r="K205" s="958"/>
      <c r="L205" s="3" t="s">
        <v>157</v>
      </c>
      <c r="N205" s="120" t="s">
        <v>491</v>
      </c>
      <c r="O205" s="27" t="s">
        <v>127</v>
      </c>
      <c r="P205" s="27" t="s">
        <v>511</v>
      </c>
      <c r="Q205" s="27" t="s">
        <v>315</v>
      </c>
      <c r="R205" s="27" t="s">
        <v>511</v>
      </c>
      <c r="S205" s="27" t="s">
        <v>315</v>
      </c>
      <c r="T205" s="27" t="s">
        <v>420</v>
      </c>
      <c r="V205" s="185"/>
    </row>
    <row r="206" spans="1:23" ht="18" hidden="1" customHeight="1">
      <c r="A206" s="184"/>
      <c r="B206" s="96" t="s">
        <v>405</v>
      </c>
      <c r="C206" s="14"/>
      <c r="D206" s="47">
        <f>T195</f>
        <v>0</v>
      </c>
      <c r="H206" s="28"/>
      <c r="I206" s="101" t="s">
        <v>127</v>
      </c>
      <c r="J206" s="722">
        <f>J118</f>
        <v>0</v>
      </c>
      <c r="K206" s="958"/>
      <c r="L206" s="3" t="s">
        <v>157</v>
      </c>
      <c r="N206" s="27"/>
      <c r="O206" s="27" t="s">
        <v>127</v>
      </c>
      <c r="P206" s="27">
        <f>O196</f>
        <v>1</v>
      </c>
      <c r="Q206" s="27" t="s">
        <v>315</v>
      </c>
      <c r="R206" s="27">
        <f>O196</f>
        <v>1</v>
      </c>
      <c r="S206" s="27" t="s">
        <v>315</v>
      </c>
      <c r="T206" s="27">
        <f>L198</f>
        <v>8</v>
      </c>
      <c r="V206" s="185"/>
    </row>
    <row r="207" spans="1:23" ht="18" hidden="1" customHeight="1">
      <c r="A207" s="184"/>
      <c r="B207" s="452" t="s">
        <v>412</v>
      </c>
      <c r="C207" s="259"/>
      <c r="D207" s="259"/>
      <c r="E207" s="259"/>
      <c r="F207" s="207"/>
      <c r="G207" s="207"/>
      <c r="H207" s="190"/>
      <c r="I207" s="208" t="s">
        <v>127</v>
      </c>
      <c r="J207" s="1120">
        <f>J119</f>
        <v>1.4360299200000002</v>
      </c>
      <c r="K207" s="987"/>
      <c r="L207" s="297" t="s">
        <v>157</v>
      </c>
      <c r="O207" s="27" t="s">
        <v>127</v>
      </c>
      <c r="P207" s="795">
        <f>P206*R206*T206</f>
        <v>8</v>
      </c>
      <c r="Q207" s="684"/>
      <c r="R207" s="27" t="s">
        <v>157</v>
      </c>
      <c r="V207" s="185"/>
    </row>
    <row r="208" spans="1:23" ht="18" hidden="1" customHeight="1">
      <c r="A208" s="184"/>
      <c r="B208" s="1" t="s">
        <v>413</v>
      </c>
      <c r="C208" s="2"/>
      <c r="D208" s="2"/>
      <c r="E208" s="2"/>
      <c r="F208" s="196"/>
      <c r="G208" s="196"/>
      <c r="H208" s="224" t="s">
        <v>512</v>
      </c>
      <c r="I208" s="183" t="s">
        <v>127</v>
      </c>
      <c r="J208" s="722">
        <f>SUM(J204:J207)</f>
        <v>1.5140299200000003</v>
      </c>
      <c r="K208" s="958"/>
      <c r="L208" s="3" t="s">
        <v>157</v>
      </c>
      <c r="V208" s="185"/>
    </row>
    <row r="209" spans="1:25" ht="18" hidden="1" customHeight="1">
      <c r="A209" s="184"/>
      <c r="B209" s="47"/>
      <c r="C209" s="47"/>
      <c r="D209" s="47"/>
      <c r="E209" s="47"/>
      <c r="H209" s="27"/>
      <c r="I209" s="28"/>
      <c r="J209" s="199"/>
      <c r="L209" s="47"/>
      <c r="S209" s="27"/>
      <c r="V209" s="185"/>
    </row>
    <row r="210" spans="1:25" ht="18" hidden="1" customHeight="1">
      <c r="A210" s="1206" t="s">
        <v>536</v>
      </c>
      <c r="B210" s="1207"/>
      <c r="C210" s="1207"/>
      <c r="D210" s="1207"/>
      <c r="E210" s="1207"/>
      <c r="F210" s="1207"/>
      <c r="G210" s="1207"/>
      <c r="H210" s="1207"/>
      <c r="I210" s="1207"/>
      <c r="J210" s="1207"/>
      <c r="K210" s="1207"/>
      <c r="L210" s="1207"/>
      <c r="M210" s="1207"/>
      <c r="N210" s="1207"/>
      <c r="O210" s="1207"/>
      <c r="P210" s="1207"/>
      <c r="Q210" s="1207"/>
      <c r="R210" s="1207"/>
      <c r="S210" s="1207"/>
      <c r="T210" s="1207"/>
      <c r="U210" s="1207"/>
      <c r="V210" s="1208"/>
    </row>
    <row r="211" spans="1:25" ht="18" hidden="1" customHeight="1">
      <c r="A211" s="1209"/>
      <c r="B211" s="1207"/>
      <c r="C211" s="1207"/>
      <c r="D211" s="1207"/>
      <c r="E211" s="1207"/>
      <c r="F211" s="1207"/>
      <c r="G211" s="1207"/>
      <c r="H211" s="1207"/>
      <c r="I211" s="1207"/>
      <c r="J211" s="1207"/>
      <c r="K211" s="1207"/>
      <c r="L211" s="1207"/>
      <c r="M211" s="1207"/>
      <c r="N211" s="1207"/>
      <c r="O211" s="1207"/>
      <c r="P211" s="1207"/>
      <c r="Q211" s="1207"/>
      <c r="R211" s="1207"/>
      <c r="S211" s="1207"/>
      <c r="T211" s="1207"/>
      <c r="U211" s="1207"/>
      <c r="V211" s="1208"/>
    </row>
    <row r="212" spans="1:25" ht="18" hidden="1" customHeight="1">
      <c r="A212" s="184"/>
      <c r="Q212" s="211"/>
      <c r="R212" s="192"/>
      <c r="V212" s="185"/>
    </row>
    <row r="213" spans="1:25" ht="18" hidden="1" customHeight="1">
      <c r="A213" s="184"/>
      <c r="C213" s="14" t="s">
        <v>473</v>
      </c>
      <c r="D213" s="28" t="s">
        <v>127</v>
      </c>
      <c r="E213" s="28" t="s">
        <v>537</v>
      </c>
      <c r="F213" s="120" t="s">
        <v>493</v>
      </c>
      <c r="G213" s="28" t="s">
        <v>347</v>
      </c>
      <c r="H213" s="120" t="s">
        <v>491</v>
      </c>
      <c r="I213" s="28" t="s">
        <v>538</v>
      </c>
      <c r="J213" s="28" t="s">
        <v>495</v>
      </c>
      <c r="K213" s="28" t="s">
        <v>539</v>
      </c>
      <c r="L213" s="28" t="s">
        <v>511</v>
      </c>
      <c r="M213" s="28" t="s">
        <v>315</v>
      </c>
      <c r="N213" s="28">
        <v>1.3</v>
      </c>
      <c r="O213" s="47" t="s">
        <v>350</v>
      </c>
      <c r="V213" s="185"/>
    </row>
    <row r="214" spans="1:25" ht="18" hidden="1" customHeight="1">
      <c r="A214" s="184" t="s">
        <v>540</v>
      </c>
      <c r="C214" s="14"/>
      <c r="D214" s="28"/>
      <c r="E214" s="14"/>
      <c r="F214" s="14"/>
      <c r="G214" s="14"/>
      <c r="H214" s="14"/>
      <c r="I214" s="14"/>
      <c r="J214" s="14"/>
      <c r="K214" s="14"/>
      <c r="L214" s="14"/>
      <c r="M214" s="14"/>
      <c r="N214" s="14"/>
      <c r="O214" s="14"/>
      <c r="V214" s="185"/>
    </row>
    <row r="215" spans="1:25" ht="18" hidden="1" customHeight="1">
      <c r="A215" s="184"/>
      <c r="C215" s="120" t="s">
        <v>493</v>
      </c>
      <c r="D215" s="28" t="s">
        <v>127</v>
      </c>
      <c r="E215" s="28" t="s">
        <v>537</v>
      </c>
      <c r="F215" s="28">
        <v>1.3</v>
      </c>
      <c r="G215" s="28" t="s">
        <v>315</v>
      </c>
      <c r="H215" s="689" t="s">
        <v>473</v>
      </c>
      <c r="I215" s="716"/>
      <c r="J215" s="28" t="s">
        <v>315</v>
      </c>
      <c r="K215" s="28" t="s">
        <v>511</v>
      </c>
      <c r="L215" s="28" t="s">
        <v>541</v>
      </c>
      <c r="M215" s="28" t="s">
        <v>495</v>
      </c>
      <c r="N215" s="47" t="s">
        <v>542</v>
      </c>
      <c r="O215" s="120" t="s">
        <v>491</v>
      </c>
      <c r="V215" s="185"/>
    </row>
    <row r="216" spans="1:25" ht="18" hidden="1" customHeight="1">
      <c r="A216" s="184"/>
      <c r="V216" s="185"/>
    </row>
    <row r="217" spans="1:25" ht="18" hidden="1" customHeight="1">
      <c r="A217" s="168"/>
      <c r="B217" s="5"/>
      <c r="C217" s="47" t="s">
        <v>543</v>
      </c>
      <c r="D217" s="14"/>
      <c r="E217" s="14"/>
      <c r="F217" s="14"/>
      <c r="G217" s="14"/>
      <c r="H217" s="279"/>
      <c r="I217" s="120"/>
      <c r="J217" s="279"/>
      <c r="K217" s="279"/>
      <c r="L217" s="14"/>
      <c r="M217" s="14"/>
      <c r="N217" s="14"/>
      <c r="O217" s="14"/>
      <c r="P217" s="14"/>
      <c r="Q217" s="120" t="s">
        <v>544</v>
      </c>
      <c r="R217" s="102" t="s">
        <v>127</v>
      </c>
      <c r="S217" s="689">
        <f>S129</f>
        <v>16800</v>
      </c>
      <c r="T217" s="689"/>
      <c r="U217" s="47" t="s">
        <v>8</v>
      </c>
      <c r="V217" s="185"/>
    </row>
    <row r="218" spans="1:25" ht="18" hidden="1" customHeight="1">
      <c r="A218" s="168"/>
      <c r="B218" s="5"/>
      <c r="C218" s="47" t="s">
        <v>545</v>
      </c>
      <c r="D218" s="14"/>
      <c r="E218" s="14"/>
      <c r="F218" s="18"/>
      <c r="G218" s="18"/>
      <c r="H218" s="279"/>
      <c r="I218" s="120"/>
      <c r="J218" s="279"/>
      <c r="K218" s="279"/>
      <c r="L218" s="14"/>
      <c r="M218" s="14"/>
      <c r="N218" s="14"/>
      <c r="O218" s="14"/>
      <c r="P218" s="14"/>
      <c r="Q218" s="120" t="s">
        <v>423</v>
      </c>
      <c r="R218" s="102" t="s">
        <v>127</v>
      </c>
      <c r="S218" s="689" t="str">
        <f>L196</f>
        <v>-</v>
      </c>
      <c r="T218" s="689"/>
      <c r="U218" s="14" t="s">
        <v>8</v>
      </c>
      <c r="V218" s="185"/>
    </row>
    <row r="219" spans="1:25" ht="18" hidden="1" customHeight="1">
      <c r="A219" s="168"/>
      <c r="B219" s="5"/>
      <c r="C219" s="47" t="s">
        <v>546</v>
      </c>
      <c r="D219" s="14"/>
      <c r="E219" s="14"/>
      <c r="F219" s="18"/>
      <c r="G219" s="18"/>
      <c r="H219" s="279"/>
      <c r="I219" s="120"/>
      <c r="J219" s="279"/>
      <c r="K219" s="279"/>
      <c r="L219" s="14"/>
      <c r="M219" s="14"/>
      <c r="N219" s="14"/>
      <c r="O219" s="14"/>
      <c r="P219" s="14"/>
      <c r="Q219" s="120" t="s">
        <v>473</v>
      </c>
      <c r="R219" s="102" t="s">
        <v>127</v>
      </c>
      <c r="S219" s="689">
        <f>L199</f>
        <v>800</v>
      </c>
      <c r="T219" s="689"/>
      <c r="U219" s="14" t="s">
        <v>305</v>
      </c>
      <c r="V219" s="185"/>
    </row>
    <row r="220" spans="1:25" ht="18" hidden="1" customHeight="1">
      <c r="A220" s="168"/>
      <c r="B220" s="5"/>
      <c r="C220" s="47" t="s">
        <v>547</v>
      </c>
      <c r="D220" s="14"/>
      <c r="E220" s="14"/>
      <c r="F220" s="18"/>
      <c r="G220" s="18"/>
      <c r="H220" s="279"/>
      <c r="I220" s="120"/>
      <c r="J220" s="279"/>
      <c r="K220" s="279"/>
      <c r="L220" s="14"/>
      <c r="M220" s="14"/>
      <c r="N220" s="14"/>
      <c r="O220" s="14"/>
      <c r="P220" s="14"/>
      <c r="Q220" s="120" t="s">
        <v>491</v>
      </c>
      <c r="R220" s="102" t="s">
        <v>127</v>
      </c>
      <c r="S220" s="692">
        <f>P207</f>
        <v>8</v>
      </c>
      <c r="T220" s="689"/>
      <c r="U220" s="14" t="s">
        <v>157</v>
      </c>
      <c r="V220" s="185"/>
      <c r="W220" s="279"/>
      <c r="X220" s="279"/>
      <c r="Y220" s="279"/>
    </row>
    <row r="221" spans="1:25" ht="18" hidden="1" customHeight="1">
      <c r="A221" s="168"/>
      <c r="B221" s="5"/>
      <c r="C221" s="47" t="s">
        <v>548</v>
      </c>
      <c r="D221" s="14"/>
      <c r="E221" s="14"/>
      <c r="F221" s="18"/>
      <c r="G221" s="18"/>
      <c r="H221" s="279"/>
      <c r="I221" s="120"/>
      <c r="J221" s="279"/>
      <c r="K221" s="279"/>
      <c r="L221" s="14"/>
      <c r="M221" s="14"/>
      <c r="N221" s="14"/>
      <c r="O221" s="14"/>
      <c r="P221" s="14"/>
      <c r="Q221" s="120" t="s">
        <v>512</v>
      </c>
      <c r="R221" s="102" t="s">
        <v>127</v>
      </c>
      <c r="S221" s="692">
        <f>J208</f>
        <v>1.5140299200000003</v>
      </c>
      <c r="T221" s="689"/>
      <c r="U221" s="14" t="s">
        <v>157</v>
      </c>
      <c r="V221" s="185"/>
      <c r="X221" s="279"/>
      <c r="Y221" s="279"/>
    </row>
    <row r="222" spans="1:25" ht="18" hidden="1" customHeight="1">
      <c r="A222" s="168"/>
      <c r="B222" s="5"/>
      <c r="C222" s="47" t="s">
        <v>549</v>
      </c>
      <c r="D222" s="14"/>
      <c r="E222" s="14"/>
      <c r="F222" s="14"/>
      <c r="G222" s="14"/>
      <c r="H222" s="279"/>
      <c r="I222" s="120"/>
      <c r="J222" s="279"/>
      <c r="K222" s="279"/>
      <c r="L222" s="14"/>
      <c r="M222" s="14"/>
      <c r="N222" s="14"/>
      <c r="O222" s="14"/>
      <c r="P222" s="14"/>
      <c r="Q222" s="120" t="s">
        <v>511</v>
      </c>
      <c r="R222" s="102" t="s">
        <v>127</v>
      </c>
      <c r="S222" s="689">
        <f>O196</f>
        <v>1</v>
      </c>
      <c r="T222" s="689"/>
      <c r="U222" s="14" t="s">
        <v>8</v>
      </c>
      <c r="V222" s="185"/>
      <c r="X222" s="279"/>
      <c r="Y222" s="279"/>
    </row>
    <row r="223" spans="1:25" ht="18" hidden="1" customHeight="1">
      <c r="A223" s="168"/>
      <c r="B223" s="5"/>
      <c r="C223" s="47" t="s">
        <v>550</v>
      </c>
      <c r="D223" s="14"/>
      <c r="E223" s="14"/>
      <c r="F223" s="14"/>
      <c r="G223" s="14"/>
      <c r="H223" s="279"/>
      <c r="I223" s="120"/>
      <c r="J223" s="279"/>
      <c r="K223" s="279"/>
      <c r="L223" s="14"/>
      <c r="M223" s="14"/>
      <c r="N223" s="14"/>
      <c r="O223" s="14"/>
      <c r="P223" s="14"/>
      <c r="Q223" s="120" t="s">
        <v>495</v>
      </c>
      <c r="R223" s="102" t="s">
        <v>127</v>
      </c>
      <c r="S223" s="689">
        <v>20</v>
      </c>
      <c r="T223" s="689"/>
      <c r="U223" s="47"/>
      <c r="V223" s="185"/>
    </row>
    <row r="224" spans="1:25" ht="18" hidden="1" customHeight="1">
      <c r="A224" s="299"/>
      <c r="B224" s="279"/>
      <c r="C224" s="47" t="s">
        <v>551</v>
      </c>
      <c r="D224" s="14"/>
      <c r="E224" s="14"/>
      <c r="F224" s="14"/>
      <c r="G224" s="14"/>
      <c r="H224" s="279"/>
      <c r="I224" s="120"/>
      <c r="J224" s="279"/>
      <c r="K224" s="279"/>
      <c r="L224" s="14"/>
      <c r="M224" s="14"/>
      <c r="N224" s="279"/>
      <c r="O224" s="279"/>
      <c r="P224" s="14"/>
      <c r="Q224" s="120" t="s">
        <v>493</v>
      </c>
      <c r="R224" s="14"/>
      <c r="S224" s="279"/>
      <c r="T224" s="279"/>
      <c r="U224" s="279"/>
      <c r="V224" s="300"/>
      <c r="W224" s="279"/>
      <c r="X224" s="279"/>
      <c r="Y224" s="279"/>
    </row>
    <row r="225" spans="1:22" ht="18" hidden="1" customHeight="1">
      <c r="A225" s="184"/>
      <c r="V225" s="185"/>
    </row>
    <row r="226" spans="1:22" ht="18" hidden="1" customHeight="1">
      <c r="A226" s="184"/>
      <c r="C226" s="120" t="s">
        <v>493</v>
      </c>
      <c r="D226" s="28" t="s">
        <v>127</v>
      </c>
      <c r="E226" s="28" t="s">
        <v>537</v>
      </c>
      <c r="F226" s="28">
        <v>1.3</v>
      </c>
      <c r="G226" s="28" t="s">
        <v>315</v>
      </c>
      <c r="H226" s="689" t="s">
        <v>473</v>
      </c>
      <c r="I226" s="716"/>
      <c r="J226" s="28" t="s">
        <v>315</v>
      </c>
      <c r="K226" s="28" t="s">
        <v>511</v>
      </c>
      <c r="L226" s="28" t="s">
        <v>541</v>
      </c>
      <c r="M226" s="28" t="s">
        <v>495</v>
      </c>
      <c r="N226" s="47" t="s">
        <v>542</v>
      </c>
      <c r="O226" s="120" t="s">
        <v>491</v>
      </c>
      <c r="V226" s="185"/>
    </row>
    <row r="227" spans="1:22" ht="18" hidden="1" customHeight="1">
      <c r="A227" s="184"/>
      <c r="C227" s="120" t="s">
        <v>493</v>
      </c>
      <c r="D227" s="28" t="s">
        <v>127</v>
      </c>
      <c r="E227" s="28" t="s">
        <v>537</v>
      </c>
      <c r="F227" s="28">
        <v>1.3</v>
      </c>
      <c r="G227" s="28" t="s">
        <v>315</v>
      </c>
      <c r="H227" s="689">
        <f>S219</f>
        <v>800</v>
      </c>
      <c r="I227" s="716"/>
      <c r="J227" s="28" t="s">
        <v>315</v>
      </c>
      <c r="K227" s="28">
        <f>S222</f>
        <v>1</v>
      </c>
      <c r="L227" s="28" t="s">
        <v>541</v>
      </c>
      <c r="M227" s="28">
        <f>S223</f>
        <v>20</v>
      </c>
      <c r="N227" s="47" t="s">
        <v>542</v>
      </c>
      <c r="O227" s="502">
        <f>S220</f>
        <v>8</v>
      </c>
      <c r="V227" s="185"/>
    </row>
    <row r="228" spans="1:22" ht="18" hidden="1" customHeight="1">
      <c r="A228" s="184"/>
      <c r="D228" s="27" t="s">
        <v>127</v>
      </c>
      <c r="E228" s="684">
        <f>((F227*H227*K227)/M227)-O227</f>
        <v>44</v>
      </c>
      <c r="F228" s="684"/>
      <c r="G228" s="27" t="s">
        <v>157</v>
      </c>
      <c r="V228" s="185"/>
    </row>
    <row r="229" spans="1:22" ht="18" hidden="1" customHeight="1">
      <c r="A229" s="184"/>
      <c r="D229" s="27"/>
      <c r="E229" s="27"/>
      <c r="F229" s="27"/>
      <c r="G229" s="27"/>
      <c r="V229" s="185"/>
    </row>
    <row r="230" spans="1:22" ht="18" hidden="1" customHeight="1">
      <c r="A230" s="184"/>
      <c r="D230" s="27"/>
      <c r="E230" s="27"/>
      <c r="F230" s="27"/>
      <c r="G230" s="27"/>
      <c r="V230" s="185"/>
    </row>
    <row r="231" spans="1:22" ht="18" hidden="1" customHeight="1">
      <c r="A231" s="184"/>
      <c r="D231" s="27"/>
      <c r="E231" s="27"/>
      <c r="F231" s="27"/>
      <c r="G231" s="27"/>
      <c r="V231" s="185"/>
    </row>
    <row r="232" spans="1:22" ht="18" hidden="1" customHeight="1">
      <c r="A232" s="184"/>
      <c r="D232" s="27"/>
      <c r="E232" s="27"/>
      <c r="F232" s="27"/>
      <c r="G232" s="27"/>
      <c r="V232" s="185"/>
    </row>
    <row r="233" spans="1:22" ht="18" hidden="1" customHeight="1">
      <c r="A233" s="184"/>
      <c r="D233" s="27"/>
      <c r="E233" s="27"/>
      <c r="F233" s="27"/>
      <c r="G233" s="27"/>
      <c r="V233" s="185"/>
    </row>
    <row r="234" spans="1:22" ht="18" hidden="1" customHeight="1">
      <c r="A234" s="184"/>
      <c r="V234" s="185"/>
    </row>
    <row r="235" spans="1:22" s="14" customFormat="1" ht="18" hidden="1" customHeight="1">
      <c r="A235" s="194"/>
      <c r="B235" s="195"/>
      <c r="C235" s="195"/>
      <c r="D235" s="195"/>
      <c r="E235" s="195"/>
      <c r="F235" s="195"/>
      <c r="G235" s="195"/>
      <c r="H235" s="195"/>
      <c r="I235" s="195"/>
      <c r="J235" s="195"/>
      <c r="K235" s="195"/>
      <c r="L235" s="195"/>
      <c r="M235" s="195"/>
      <c r="N235" s="195"/>
      <c r="O235" s="195"/>
      <c r="P235" s="195"/>
      <c r="Q235" s="224"/>
      <c r="R235" s="182"/>
      <c r="S235" s="225"/>
      <c r="T235" s="195"/>
      <c r="U235" s="195"/>
      <c r="V235" s="134" t="s">
        <v>552</v>
      </c>
    </row>
    <row r="236" spans="1:22" ht="18" hidden="1" customHeight="1">
      <c r="A236" s="226"/>
      <c r="B236" s="227"/>
      <c r="C236" s="227"/>
      <c r="D236" s="227"/>
      <c r="E236" s="227"/>
      <c r="F236" s="227"/>
      <c r="G236" s="227"/>
      <c r="H236" s="227"/>
      <c r="I236" s="227"/>
      <c r="J236" s="227"/>
      <c r="K236" s="227"/>
      <c r="L236" s="227"/>
      <c r="M236" s="227"/>
      <c r="N236" s="227"/>
      <c r="O236" s="227"/>
      <c r="P236" s="227"/>
      <c r="Q236" s="227"/>
      <c r="R236" s="227"/>
      <c r="S236" s="227"/>
      <c r="T236" s="227"/>
      <c r="U236" s="227"/>
      <c r="V236" s="228"/>
    </row>
    <row r="237" spans="1:22" ht="18" hidden="1" customHeight="1">
      <c r="A237" s="184"/>
      <c r="E237" s="244" t="s">
        <v>111</v>
      </c>
      <c r="F237" s="27" t="s">
        <v>127</v>
      </c>
      <c r="G237" s="689" t="s">
        <v>544</v>
      </c>
      <c r="H237" s="689"/>
      <c r="I237" s="191" t="s">
        <v>342</v>
      </c>
      <c r="J237" s="684" t="s">
        <v>423</v>
      </c>
      <c r="K237" s="684"/>
      <c r="V237" s="185"/>
    </row>
    <row r="238" spans="1:22" ht="18" hidden="1" customHeight="1">
      <c r="A238" s="184"/>
      <c r="F238" s="27" t="s">
        <v>127</v>
      </c>
      <c r="G238" s="684">
        <f>S217</f>
        <v>16800</v>
      </c>
      <c r="H238" s="684"/>
      <c r="I238" s="191" t="s">
        <v>342</v>
      </c>
      <c r="J238" s="684" t="str">
        <f>S218</f>
        <v>-</v>
      </c>
      <c r="K238" s="684"/>
      <c r="V238" s="185"/>
    </row>
    <row r="239" spans="1:22" ht="18" hidden="1" customHeight="1">
      <c r="A239" s="184"/>
      <c r="F239" s="27" t="s">
        <v>127</v>
      </c>
      <c r="G239" s="795" t="e">
        <f>G238/J238</f>
        <v>#VALUE!</v>
      </c>
      <c r="H239" s="795"/>
      <c r="I239" s="27"/>
      <c r="J239" s="27"/>
      <c r="K239" s="27"/>
      <c r="V239" s="185"/>
    </row>
    <row r="240" spans="1:22" ht="18" hidden="1" customHeight="1">
      <c r="A240" s="184"/>
      <c r="V240" s="185"/>
    </row>
    <row r="241" spans="1:22" ht="18" hidden="1" customHeight="1">
      <c r="A241" s="184"/>
      <c r="E241" s="244" t="s">
        <v>553</v>
      </c>
      <c r="F241" s="27" t="s">
        <v>127</v>
      </c>
      <c r="G241" s="27" t="s">
        <v>495</v>
      </c>
      <c r="H241" s="27" t="s">
        <v>554</v>
      </c>
      <c r="I241" s="120" t="s">
        <v>491</v>
      </c>
      <c r="J241" s="28" t="s">
        <v>347</v>
      </c>
      <c r="K241" s="120" t="s">
        <v>493</v>
      </c>
      <c r="L241" s="28" t="s">
        <v>539</v>
      </c>
      <c r="M241" s="120" t="s">
        <v>491</v>
      </c>
      <c r="N241" s="28" t="s">
        <v>347</v>
      </c>
      <c r="O241" s="120" t="s">
        <v>512</v>
      </c>
      <c r="P241" s="296" t="s">
        <v>350</v>
      </c>
      <c r="V241" s="185"/>
    </row>
    <row r="242" spans="1:22" ht="18" hidden="1" customHeight="1">
      <c r="A242" s="184"/>
      <c r="F242" s="27" t="s">
        <v>127</v>
      </c>
      <c r="G242" s="242">
        <f>S223</f>
        <v>20</v>
      </c>
      <c r="H242" s="245" t="s">
        <v>554</v>
      </c>
      <c r="I242" s="301">
        <f>S220</f>
        <v>8</v>
      </c>
      <c r="J242" s="245" t="s">
        <v>347</v>
      </c>
      <c r="K242" s="301">
        <f>E228</f>
        <v>44</v>
      </c>
      <c r="L242" s="245" t="s">
        <v>539</v>
      </c>
      <c r="M242" s="301">
        <f>S220</f>
        <v>8</v>
      </c>
      <c r="N242" s="245" t="s">
        <v>347</v>
      </c>
      <c r="O242" s="301">
        <f>S221</f>
        <v>1.5140299200000003</v>
      </c>
      <c r="P242" s="461" t="s">
        <v>350</v>
      </c>
      <c r="V242" s="185"/>
    </row>
    <row r="243" spans="1:22" ht="18" hidden="1" customHeight="1">
      <c r="A243" s="184"/>
      <c r="F243" s="27" t="s">
        <v>127</v>
      </c>
      <c r="G243" s="795">
        <f>G242*((I242+K242)/(M242+O242))</f>
        <v>109.31224820028734</v>
      </c>
      <c r="H243" s="795"/>
      <c r="V243" s="185"/>
    </row>
    <row r="244" spans="1:22" ht="18" hidden="1" customHeight="1">
      <c r="A244" s="184"/>
      <c r="V244" s="185"/>
    </row>
    <row r="245" spans="1:22" ht="18" hidden="1" customHeight="1">
      <c r="A245" s="184"/>
      <c r="E245" s="244" t="s">
        <v>555</v>
      </c>
      <c r="F245" s="27" t="e">
        <f>IF(D246&gt;G246,"&gt;","&lt;")</f>
        <v>#VALUE!</v>
      </c>
      <c r="G245" s="296" t="s">
        <v>111</v>
      </c>
      <c r="V245" s="185"/>
    </row>
    <row r="246" spans="1:22" ht="18" hidden="1" customHeight="1">
      <c r="A246" s="184"/>
      <c r="D246" s="795">
        <f>G243</f>
        <v>109.31224820028734</v>
      </c>
      <c r="E246" s="795"/>
      <c r="F246" s="27" t="e">
        <f>F245</f>
        <v>#VALUE!</v>
      </c>
      <c r="G246" s="795" t="e">
        <f>G239</f>
        <v>#VALUE!</v>
      </c>
      <c r="H246" s="795"/>
      <c r="V246" s="185"/>
    </row>
    <row r="247" spans="1:22" ht="18" hidden="1" customHeight="1">
      <c r="A247" s="184"/>
      <c r="E247" s="244" t="s">
        <v>478</v>
      </c>
      <c r="G247" s="18" t="e">
        <f>IF(F245="&gt;","Suitably Dimentioned","Under Dimentioned")</f>
        <v>#VALUE!</v>
      </c>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ht="18" hidden="1" customHeight="1">
      <c r="A266" s="184"/>
      <c r="V266" s="185"/>
    </row>
    <row r="267" spans="1:22" ht="18" hidden="1" customHeight="1">
      <c r="A267" s="184"/>
      <c r="V267" s="185"/>
    </row>
    <row r="268" spans="1:22" ht="18" hidden="1" customHeight="1">
      <c r="A268" s="184"/>
      <c r="V268" s="185"/>
    </row>
    <row r="269" spans="1:22" ht="18" hidden="1" customHeight="1">
      <c r="A269" s="184"/>
      <c r="V269" s="185"/>
    </row>
    <row r="270" spans="1:22" ht="18" hidden="1" customHeight="1">
      <c r="A270" s="184"/>
      <c r="V270" s="185"/>
    </row>
    <row r="271" spans="1:22" ht="18" hidden="1" customHeight="1">
      <c r="A271" s="184"/>
      <c r="V271" s="185"/>
    </row>
    <row r="272" spans="1:22" ht="18" hidden="1" customHeight="1">
      <c r="A272" s="184"/>
      <c r="V272" s="185"/>
    </row>
    <row r="273" spans="1:22" ht="18" hidden="1" customHeight="1">
      <c r="A273" s="184"/>
      <c r="V273" s="185"/>
    </row>
    <row r="274" spans="1:22" ht="18" hidden="1" customHeight="1">
      <c r="A274" s="184"/>
      <c r="V274" s="185"/>
    </row>
    <row r="275" spans="1:22" ht="18" hidden="1" customHeight="1">
      <c r="A275" s="184"/>
      <c r="V275" s="185"/>
    </row>
    <row r="276" spans="1:22" ht="18" hidden="1" customHeight="1">
      <c r="A276" s="184"/>
      <c r="V276" s="185"/>
    </row>
    <row r="277" spans="1:22" ht="18" hidden="1" customHeight="1">
      <c r="A277" s="184"/>
      <c r="V277" s="185"/>
    </row>
    <row r="278" spans="1:22" ht="18" hidden="1" customHeight="1">
      <c r="A278" s="184"/>
      <c r="V278" s="185"/>
    </row>
    <row r="279" spans="1:22" s="14" customFormat="1" ht="18" hidden="1" customHeight="1">
      <c r="A279" s="194"/>
      <c r="B279" s="195"/>
      <c r="C279" s="195"/>
      <c r="D279" s="195"/>
      <c r="E279" s="195"/>
      <c r="F279" s="195"/>
      <c r="G279" s="195"/>
      <c r="H279" s="195"/>
      <c r="I279" s="195"/>
      <c r="J279" s="195"/>
      <c r="K279" s="195"/>
      <c r="L279" s="195"/>
      <c r="M279" s="195"/>
      <c r="N279" s="195"/>
      <c r="O279" s="195"/>
      <c r="P279" s="195"/>
      <c r="Q279" s="224"/>
      <c r="R279" s="182"/>
      <c r="S279" s="225"/>
      <c r="T279" s="195"/>
      <c r="U279" s="195"/>
      <c r="V279" s="134"/>
    </row>
    <row r="280" spans="1:22" ht="18" customHeight="1">
      <c r="A280" s="226"/>
      <c r="B280" s="227"/>
      <c r="C280" s="227"/>
      <c r="D280" s="227"/>
      <c r="E280" s="227"/>
      <c r="F280" s="227"/>
      <c r="G280" s="227"/>
      <c r="H280" s="227"/>
      <c r="I280" s="227"/>
      <c r="J280" s="227"/>
      <c r="K280" s="227"/>
      <c r="L280" s="227"/>
      <c r="M280" s="227"/>
      <c r="N280" s="227"/>
      <c r="O280" s="227"/>
      <c r="P280" s="227"/>
      <c r="Q280" s="227"/>
      <c r="R280" s="227"/>
      <c r="S280" s="227"/>
      <c r="T280" s="227"/>
      <c r="U280" s="227"/>
      <c r="V280" s="228"/>
    </row>
    <row r="281" spans="1:22" ht="18" customHeight="1">
      <c r="A281" s="262" t="s">
        <v>532</v>
      </c>
      <c r="B281" s="14"/>
      <c r="C281" s="14"/>
      <c r="D281" s="120"/>
      <c r="E281" s="120"/>
      <c r="F281" s="18"/>
      <c r="G281" s="18"/>
      <c r="H281" s="14"/>
      <c r="I281" s="14"/>
      <c r="J281" s="14"/>
      <c r="K281" s="14"/>
      <c r="L281" s="14"/>
      <c r="M281" s="14"/>
      <c r="N281" s="14"/>
      <c r="O281" s="14"/>
      <c r="P281" s="28"/>
      <c r="Q281" s="120"/>
      <c r="R281" s="47"/>
      <c r="S281" s="206"/>
      <c r="T281" s="259"/>
      <c r="U281" s="14"/>
      <c r="V281" s="97"/>
    </row>
    <row r="282" spans="1:22" customFormat="1" ht="18" customHeight="1">
      <c r="A282" s="868" t="s">
        <v>85</v>
      </c>
      <c r="B282" s="868"/>
      <c r="C282" s="869"/>
      <c r="D282" s="868" t="s">
        <v>86</v>
      </c>
      <c r="E282" s="868"/>
      <c r="F282" s="868"/>
      <c r="G282" s="868" t="s">
        <v>87</v>
      </c>
      <c r="H282" s="868"/>
      <c r="I282" s="868" t="s">
        <v>88</v>
      </c>
      <c r="J282" s="868"/>
      <c r="K282" s="868" t="s">
        <v>502</v>
      </c>
      <c r="L282" s="868"/>
      <c r="M282" s="868" t="s">
        <v>503</v>
      </c>
      <c r="N282" s="868"/>
      <c r="O282" s="868" t="s">
        <v>504</v>
      </c>
      <c r="P282" s="868"/>
      <c r="Q282" s="868" t="s">
        <v>505</v>
      </c>
      <c r="R282" s="868"/>
      <c r="S282" s="868" t="s">
        <v>93</v>
      </c>
      <c r="T282" s="868"/>
      <c r="U282" s="868"/>
      <c r="V282" s="868"/>
    </row>
    <row r="283" spans="1:22" customFormat="1" ht="18" customHeight="1">
      <c r="A283" s="868"/>
      <c r="B283" s="868"/>
      <c r="C283" s="869"/>
      <c r="D283" s="868"/>
      <c r="E283" s="868"/>
      <c r="F283" s="868"/>
      <c r="G283" s="868"/>
      <c r="H283" s="868"/>
      <c r="I283" s="868"/>
      <c r="J283" s="868"/>
      <c r="K283" s="868"/>
      <c r="L283" s="868"/>
      <c r="M283" s="868"/>
      <c r="N283" s="868"/>
      <c r="O283" s="868"/>
      <c r="P283" s="868"/>
      <c r="Q283" s="868"/>
      <c r="R283" s="868"/>
      <c r="S283" s="868"/>
      <c r="T283" s="868"/>
      <c r="U283" s="868"/>
      <c r="V283" s="868"/>
    </row>
    <row r="284" spans="1:22" customFormat="1" ht="18" customHeight="1">
      <c r="A284" s="868"/>
      <c r="B284" s="868"/>
      <c r="C284" s="869"/>
      <c r="D284" s="868"/>
      <c r="E284" s="868"/>
      <c r="F284" s="868"/>
      <c r="G284" s="868"/>
      <c r="H284" s="868"/>
      <c r="I284" s="868"/>
      <c r="J284" s="868"/>
      <c r="K284" s="868"/>
      <c r="L284" s="868"/>
      <c r="M284" s="868"/>
      <c r="N284" s="868"/>
      <c r="O284" s="868"/>
      <c r="P284" s="868"/>
      <c r="Q284" s="868"/>
      <c r="R284" s="868"/>
      <c r="S284" s="868"/>
      <c r="T284" s="868"/>
      <c r="U284" s="868"/>
      <c r="V284" s="868"/>
    </row>
    <row r="285" spans="1:22" customFormat="1" ht="18" customHeight="1">
      <c r="A285" s="868"/>
      <c r="B285" s="868"/>
      <c r="C285" s="869"/>
      <c r="D285" s="868"/>
      <c r="E285" s="868"/>
      <c r="F285" s="868"/>
      <c r="G285" s="868"/>
      <c r="H285" s="868"/>
      <c r="I285" s="868"/>
      <c r="J285" s="868"/>
      <c r="K285" s="868"/>
      <c r="L285" s="868"/>
      <c r="M285" s="868"/>
      <c r="N285" s="868"/>
      <c r="O285" s="868"/>
      <c r="P285" s="868"/>
      <c r="Q285" s="868"/>
      <c r="R285" s="868"/>
      <c r="S285" s="868"/>
      <c r="T285" s="868"/>
      <c r="U285" s="868"/>
      <c r="V285" s="868"/>
    </row>
    <row r="286" spans="1:22" customFormat="1" ht="18" customHeight="1">
      <c r="A286" s="765" t="str">
        <f>B7</f>
        <v>T1</v>
      </c>
      <c r="B286" s="765" t="str">
        <f>D7</f>
        <v>Core3</v>
      </c>
      <c r="C286" s="765"/>
      <c r="D286" s="870">
        <f>H10</f>
        <v>2800</v>
      </c>
      <c r="E286" s="870"/>
      <c r="F286" s="871">
        <f>O10</f>
        <v>1</v>
      </c>
      <c r="G286" s="870">
        <f>'CT-VT Burdens'!S21</f>
        <v>120</v>
      </c>
      <c r="H286" s="874">
        <f>'CT-VT Burdens'!S56</f>
        <v>2.5</v>
      </c>
      <c r="I286" s="874" t="str">
        <f>H11</f>
        <v>PX</v>
      </c>
      <c r="J286" s="874"/>
      <c r="K286" s="869">
        <f>H12</f>
        <v>4</v>
      </c>
      <c r="L286" s="869"/>
      <c r="M286" s="869">
        <f>H13</f>
        <v>500</v>
      </c>
      <c r="N286" s="869"/>
      <c r="O286" s="870">
        <f>H14</f>
        <v>20</v>
      </c>
      <c r="P286" s="870"/>
      <c r="Q286" s="879" t="str">
        <f>CONCATENATE(T7,T8,T9)</f>
        <v>REF615IDM+</v>
      </c>
      <c r="R286" s="879"/>
      <c r="S286" s="876" t="s">
        <v>533</v>
      </c>
      <c r="T286" s="870"/>
      <c r="U286" s="870"/>
      <c r="V286" s="870"/>
    </row>
    <row r="287" spans="1:22" customFormat="1" ht="18" customHeight="1">
      <c r="A287" s="765"/>
      <c r="B287" s="765"/>
      <c r="C287" s="765"/>
      <c r="D287" s="876" t="s">
        <v>6</v>
      </c>
      <c r="E287" s="870"/>
      <c r="F287" s="872"/>
      <c r="G287" s="870"/>
      <c r="H287" s="870"/>
      <c r="I287" s="874"/>
      <c r="J287" s="874"/>
      <c r="K287" s="875" t="s">
        <v>6</v>
      </c>
      <c r="L287" s="869"/>
      <c r="M287" s="875" t="s">
        <v>6</v>
      </c>
      <c r="N287" s="869"/>
      <c r="O287" s="876" t="s">
        <v>6</v>
      </c>
      <c r="P287" s="870"/>
      <c r="Q287" s="879"/>
      <c r="R287" s="879"/>
      <c r="S287" s="876" t="s">
        <v>6</v>
      </c>
      <c r="T287" s="870"/>
      <c r="U287" s="870"/>
      <c r="V287" s="870"/>
    </row>
    <row r="288" spans="1:22" customFormat="1" ht="18" customHeight="1">
      <c r="A288" s="765"/>
      <c r="B288" s="765"/>
      <c r="C288" s="765"/>
      <c r="D288" s="876" t="s">
        <v>6</v>
      </c>
      <c r="E288" s="870"/>
      <c r="F288" s="873"/>
      <c r="G288" s="870"/>
      <c r="H288" s="870"/>
      <c r="I288" s="874"/>
      <c r="J288" s="874"/>
      <c r="K288" s="875" t="s">
        <v>6</v>
      </c>
      <c r="L288" s="869"/>
      <c r="M288" s="875" t="s">
        <v>6</v>
      </c>
      <c r="N288" s="869"/>
      <c r="O288" s="876" t="s">
        <v>6</v>
      </c>
      <c r="P288" s="870"/>
      <c r="Q288" s="879"/>
      <c r="R288" s="879"/>
      <c r="S288" s="870" t="s">
        <v>6</v>
      </c>
      <c r="T288" s="870"/>
      <c r="U288" s="870"/>
      <c r="V288" s="870"/>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84"/>
      <c r="V307" s="185"/>
    </row>
    <row r="308" spans="1:22" ht="18" customHeight="1">
      <c r="A308" s="184"/>
      <c r="V308" s="185"/>
    </row>
    <row r="309" spans="1:22" ht="18" customHeight="1">
      <c r="A309" s="184"/>
      <c r="V309" s="185"/>
    </row>
    <row r="310" spans="1:22" ht="18" customHeight="1">
      <c r="A310" s="184"/>
      <c r="V310" s="185"/>
    </row>
    <row r="311" spans="1:22" ht="18" customHeight="1">
      <c r="A311" s="184"/>
      <c r="V311" s="185"/>
    </row>
    <row r="312" spans="1:22" ht="18" customHeight="1">
      <c r="A312" s="184"/>
      <c r="V312" s="185"/>
    </row>
    <row r="313" spans="1:22" ht="18" customHeight="1">
      <c r="A313" s="184"/>
      <c r="V313" s="185"/>
    </row>
    <row r="314" spans="1:22" ht="18" customHeight="1">
      <c r="A314" s="184"/>
      <c r="V314" s="185"/>
    </row>
    <row r="315" spans="1:22" ht="18" customHeight="1">
      <c r="A315" s="184"/>
      <c r="V315" s="185"/>
    </row>
    <row r="316" spans="1:22" ht="18" customHeight="1">
      <c r="A316" s="184"/>
      <c r="V316" s="185"/>
    </row>
    <row r="317" spans="1:22" ht="18" customHeight="1">
      <c r="A317" s="184"/>
      <c r="V317" s="185"/>
    </row>
    <row r="318" spans="1:22" ht="18" customHeight="1">
      <c r="A318" s="184"/>
      <c r="V318" s="185"/>
    </row>
    <row r="319" spans="1:22" ht="18" customHeight="1">
      <c r="A319" s="184"/>
      <c r="V319" s="185"/>
    </row>
    <row r="320" spans="1:22" ht="18" customHeight="1">
      <c r="A320" s="184"/>
      <c r="V320" s="185"/>
    </row>
    <row r="321" spans="1:22" ht="18" customHeight="1">
      <c r="A321" s="184"/>
      <c r="V321" s="185"/>
    </row>
    <row r="322" spans="1:22" s="14" customFormat="1" ht="18" customHeight="1">
      <c r="A322" s="194"/>
      <c r="B322" s="195"/>
      <c r="C322" s="195"/>
      <c r="D322" s="195"/>
      <c r="E322" s="195"/>
      <c r="F322" s="195"/>
      <c r="G322" s="195"/>
      <c r="H322" s="195"/>
      <c r="I322" s="195"/>
      <c r="J322" s="195"/>
      <c r="K322" s="195"/>
      <c r="L322" s="195"/>
      <c r="M322" s="195"/>
      <c r="N322" s="195"/>
      <c r="O322" s="195"/>
      <c r="P322" s="195"/>
      <c r="Q322" s="224"/>
      <c r="R322" s="182"/>
      <c r="S322" s="225"/>
      <c r="T322" s="195"/>
      <c r="U322" s="195"/>
      <c r="V322" s="134"/>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N69:O69"/>
    <mergeCell ref="N70:O70"/>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H72 H88:H89">
    <cfRule type="cellIs" dxfId="73" priority="4" stopIfTrue="1" operator="equal">
      <formula>"Under Dimentioned"</formula>
    </cfRule>
  </conditionalFormatting>
  <conditionalFormatting sqref="H81">
    <cfRule type="cellIs" dxfId="72" priority="1" stopIfTrue="1" operator="equal">
      <formula>"Under Dimentioned"</formula>
    </cfRule>
  </conditionalFormatting>
  <conditionalFormatting sqref="H85 G159 G247">
    <cfRule type="cellIs" dxfId="71"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74" orientation="portrait" r:id="rId1"/>
  <headerFooter alignWithMargins="0">
    <oddFooter>Page &amp;P of &amp;N</oddFooter>
  </headerFooter>
  <rowBreaks count="2" manualBreakCount="2">
    <brk id="91" max="21" man="1"/>
    <brk id="147" max="21"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E956-CB19-4B60-BD9E-20408299184C}">
  <sheetPr>
    <tabColor indexed="62"/>
  </sheetPr>
  <dimension ref="A1:Y293"/>
  <sheetViews>
    <sheetView showZeros="0" view="pageBreakPreview" topLeftCell="A7" zoomScale="145" zoomScaleNormal="100" zoomScaleSheetLayoutView="145" workbookViewId="0">
      <selection activeCell="J21" sqref="J21:K21"/>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108</v>
      </c>
      <c r="C7" s="1076"/>
      <c r="D7" s="1092" t="s">
        <v>385</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2000</v>
      </c>
      <c r="I10" s="1091"/>
      <c r="J10" s="1075">
        <v>3200</v>
      </c>
      <c r="K10" s="1076"/>
      <c r="L10" s="1075"/>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224">
        <v>3.5</v>
      </c>
      <c r="I12" s="1225"/>
      <c r="J12" s="192" t="s">
        <v>333</v>
      </c>
      <c r="V12" s="185"/>
    </row>
    <row r="13" spans="1:24" ht="18" customHeight="1">
      <c r="A13" s="184"/>
      <c r="B13" s="47" t="s">
        <v>398</v>
      </c>
      <c r="G13" s="120" t="s">
        <v>498</v>
      </c>
      <c r="H13" s="1075">
        <v>500</v>
      </c>
      <c r="I13" s="1076"/>
      <c r="J13" s="14" t="s">
        <v>305</v>
      </c>
      <c r="U13" s="18"/>
      <c r="V13" s="185"/>
      <c r="W13" s="30" t="str">
        <f>H74</f>
        <v>Suitably Dimentioned</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Burdens'!S42</f>
        <v>1.4360299200000002</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1.6360299200000001</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1.6360299200000001</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1.6360299200000001</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3.5</v>
      </c>
      <c r="M39" s="689"/>
      <c r="N39" s="689" t="s">
        <v>347</v>
      </c>
      <c r="O39" s="692">
        <f>S29</f>
        <v>1.6360299200000001</v>
      </c>
      <c r="P39" s="689"/>
      <c r="Q39" s="689" t="s">
        <v>674</v>
      </c>
      <c r="R39" s="689">
        <f>S27</f>
        <v>1</v>
      </c>
      <c r="S39" s="14"/>
      <c r="T39" s="14"/>
      <c r="U39" s="14"/>
      <c r="V39" s="185"/>
    </row>
    <row r="40" spans="1:22" ht="18" customHeight="1">
      <c r="A40" s="184"/>
      <c r="B40" s="14"/>
      <c r="C40" s="14"/>
      <c r="D40" s="689"/>
      <c r="E40" s="689"/>
      <c r="F40" s="689"/>
      <c r="G40" s="211">
        <v>1.3</v>
      </c>
      <c r="H40" s="218" t="s">
        <v>315</v>
      </c>
      <c r="I40" s="689">
        <f>S26</f>
        <v>2000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49.384903076923081</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3.5</v>
      </c>
      <c r="I51" s="689"/>
      <c r="J51" s="689" t="s">
        <v>347</v>
      </c>
      <c r="K51" s="692">
        <f>S29</f>
        <v>1.6360299200000001</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395.07922461538465</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500</v>
      </c>
      <c r="F67" s="692"/>
      <c r="G67" s="28" t="str">
        <f>G66</f>
        <v>&gt;</v>
      </c>
      <c r="H67" s="692">
        <f>E42</f>
        <v>49.384903076923081</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500</v>
      </c>
      <c r="F71" s="692"/>
      <c r="G71" s="28" t="str">
        <f>G70</f>
        <v>&gt;</v>
      </c>
      <c r="H71" s="692">
        <f>E54</f>
        <v>395.07922461538465</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Dimentioned",IF(AND(G66="&gt;",G70="&gt;"),"Over Dimentioned",IF(G66="&lt;","Under Dimentioned","")))</f>
        <v>Suitably Dimentioned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T1</v>
      </c>
      <c r="C87" s="831"/>
      <c r="D87" s="854" t="str">
        <f>D7</f>
        <v>Core1</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2000</v>
      </c>
      <c r="I90" s="831"/>
      <c r="J90" s="863">
        <f>J10</f>
        <v>3200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Dimentioned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1.4360299200000002</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1.6360299200000001</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3200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1.6360299200000001</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1.6360299200000001</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1.6360299200000001</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3200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39.879987500000006</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1.6360299200000001</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510.46384</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39.879987500000006</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510.46384</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Dimentioned",IF(AND(G146="&gt;",G150="&gt;"),"Over Dimentioned",IF(G146="&lt;","Under Dimentioned","")))</f>
        <v>Suitably Dimentioned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T1</v>
      </c>
      <c r="C167" s="831"/>
      <c r="D167" s="854" t="str">
        <f>D87</f>
        <v>Core1</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2000</v>
      </c>
      <c r="I170" s="831"/>
      <c r="J170" s="854">
        <f>J90</f>
        <v>3200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1.4360299200000002</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1.6360299200000001</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1.6360299200000001</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1.6360299200000001</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1.6360299200000001</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1.6360299200000001</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125.84845538461539</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125.84845538461539</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T1</v>
      </c>
      <c r="B261" s="765" t="str">
        <f>D7</f>
        <v>Core1</v>
      </c>
      <c r="C261" s="765"/>
      <c r="D261" s="870">
        <f>H10</f>
        <v>2000</v>
      </c>
      <c r="E261" s="870"/>
      <c r="F261" s="871">
        <f>O10</f>
        <v>1</v>
      </c>
      <c r="G261" s="961">
        <f>'CT-VT Burdens'!S21</f>
        <v>120</v>
      </c>
      <c r="H261" s="959">
        <f>'CT-VT Burdens'!S10</f>
        <v>6</v>
      </c>
      <c r="I261" s="874" t="str">
        <f>H11</f>
        <v>PX</v>
      </c>
      <c r="J261" s="874"/>
      <c r="K261" s="869">
        <f>H12</f>
        <v>3.5</v>
      </c>
      <c r="L261" s="869"/>
      <c r="M261" s="869">
        <f>H13</f>
        <v>500</v>
      </c>
      <c r="N261" s="869"/>
      <c r="O261" s="870">
        <f>H14</f>
        <v>20</v>
      </c>
      <c r="P261" s="870"/>
      <c r="Q261" s="879" t="str">
        <f>CONCATENATE(T7," ",T8," ",T9," ",T10)</f>
        <v xml:space="preserve">7SS522 6MU85  </v>
      </c>
      <c r="R261" s="879"/>
      <c r="S261" s="878" t="str">
        <f>H74</f>
        <v>Suitably Dimentioned</v>
      </c>
      <c r="T261" s="878"/>
      <c r="U261" s="878"/>
      <c r="V261" s="878"/>
    </row>
    <row r="262" spans="1:22" ht="18" customHeight="1">
      <c r="A262" s="765"/>
      <c r="B262" s="765"/>
      <c r="C262" s="765"/>
      <c r="D262" s="870">
        <f>J10</f>
        <v>3200</v>
      </c>
      <c r="E262" s="870"/>
      <c r="F262" s="872"/>
      <c r="G262" s="961"/>
      <c r="H262" s="959"/>
      <c r="I262" s="874"/>
      <c r="J262" s="874"/>
      <c r="K262" s="875">
        <f>J92</f>
        <v>5</v>
      </c>
      <c r="L262" s="869"/>
      <c r="M262" s="875">
        <f>J93</f>
        <v>900</v>
      </c>
      <c r="N262" s="869"/>
      <c r="O262" s="870">
        <f>J94</f>
        <v>10</v>
      </c>
      <c r="P262" s="870"/>
      <c r="Q262" s="879"/>
      <c r="R262" s="879"/>
      <c r="S262" s="877" t="str">
        <f>H154</f>
        <v>Suitably Dimentioned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O257:P260"/>
    <mergeCell ref="Q257:R260"/>
    <mergeCell ref="S257:V260"/>
    <mergeCell ref="A261:A263"/>
    <mergeCell ref="B261:C263"/>
    <mergeCell ref="D261:E261"/>
    <mergeCell ref="F261:F263"/>
    <mergeCell ref="G261:G263"/>
    <mergeCell ref="D263:E263"/>
    <mergeCell ref="K263:L263"/>
    <mergeCell ref="M263:N263"/>
    <mergeCell ref="O263:P263"/>
    <mergeCell ref="S263:V263"/>
    <mergeCell ref="S261:V261"/>
    <mergeCell ref="D262:E262"/>
    <mergeCell ref="K262:L262"/>
    <mergeCell ref="M262:N262"/>
    <mergeCell ref="O262:P262"/>
    <mergeCell ref="S262:V262"/>
    <mergeCell ref="H261:H263"/>
    <mergeCell ref="I261:J263"/>
    <mergeCell ref="K261:L261"/>
    <mergeCell ref="M261:N261"/>
    <mergeCell ref="O261:P261"/>
    <mergeCell ref="K215:L216"/>
    <mergeCell ref="M215:M216"/>
    <mergeCell ref="N215:N216"/>
    <mergeCell ref="E216:F216"/>
    <mergeCell ref="E218:F218"/>
    <mergeCell ref="E231:F231"/>
    <mergeCell ref="H231:I231"/>
    <mergeCell ref="K257:L260"/>
    <mergeCell ref="M257:N260"/>
    <mergeCell ref="D215:D216"/>
    <mergeCell ref="E215:F215"/>
    <mergeCell ref="G215:G216"/>
    <mergeCell ref="H215:I216"/>
    <mergeCell ref="J215:J216"/>
    <mergeCell ref="E235:F235"/>
    <mergeCell ref="H235:I235"/>
    <mergeCell ref="A257:C260"/>
    <mergeCell ref="D257:F260"/>
    <mergeCell ref="G257:H260"/>
    <mergeCell ref="I257:J260"/>
    <mergeCell ref="E202:F202"/>
    <mergeCell ref="B212:C213"/>
    <mergeCell ref="D212:D213"/>
    <mergeCell ref="E212:F212"/>
    <mergeCell ref="G212:G213"/>
    <mergeCell ref="H212:I213"/>
    <mergeCell ref="L199:M200"/>
    <mergeCell ref="N199:N200"/>
    <mergeCell ref="O199:P200"/>
    <mergeCell ref="J212:J213"/>
    <mergeCell ref="K212:L213"/>
    <mergeCell ref="M212:M213"/>
    <mergeCell ref="N212:N213"/>
    <mergeCell ref="E213:F213"/>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9:T109"/>
    <mergeCell ref="S110:T110"/>
    <mergeCell ref="B116:C117"/>
    <mergeCell ref="D116:D117"/>
    <mergeCell ref="E116:E117"/>
    <mergeCell ref="F116:F117"/>
    <mergeCell ref="G116:J116"/>
    <mergeCell ref="K116:K117"/>
    <mergeCell ref="L116:M117"/>
    <mergeCell ref="S106:T106"/>
    <mergeCell ref="S107:T107"/>
    <mergeCell ref="J91:K91"/>
    <mergeCell ref="J92:K92"/>
    <mergeCell ref="J93:K93"/>
    <mergeCell ref="J94:K94"/>
    <mergeCell ref="J98:K98"/>
    <mergeCell ref="J99:K99"/>
    <mergeCell ref="S108:T108"/>
    <mergeCell ref="H90:I90"/>
    <mergeCell ref="J90:K90"/>
    <mergeCell ref="L90:M90"/>
    <mergeCell ref="E71:F71"/>
    <mergeCell ref="H71:I71"/>
    <mergeCell ref="J100:K100"/>
    <mergeCell ref="J101:K101"/>
    <mergeCell ref="J102:K102"/>
    <mergeCell ref="S105:T105"/>
    <mergeCell ref="T87:U87"/>
    <mergeCell ref="N51:N52"/>
    <mergeCell ref="E52:F52"/>
    <mergeCell ref="E54:F54"/>
    <mergeCell ref="E67:F67"/>
    <mergeCell ref="H67:I67"/>
    <mergeCell ref="T88:U88"/>
    <mergeCell ref="H89:I89"/>
    <mergeCell ref="J89:K89"/>
    <mergeCell ref="L89:M89"/>
    <mergeCell ref="T89:U89"/>
    <mergeCell ref="D51:D52"/>
    <mergeCell ref="E51:F51"/>
    <mergeCell ref="G51:G52"/>
    <mergeCell ref="H51:I52"/>
    <mergeCell ref="J51:J52"/>
    <mergeCell ref="K51:L52"/>
    <mergeCell ref="B87:C87"/>
    <mergeCell ref="D87:E87"/>
    <mergeCell ref="H87:M87"/>
    <mergeCell ref="M51:M52"/>
    <mergeCell ref="B48:C49"/>
    <mergeCell ref="D48:D49"/>
    <mergeCell ref="E48:F48"/>
    <mergeCell ref="G48:G49"/>
    <mergeCell ref="H48:I49"/>
    <mergeCell ref="J48:J49"/>
    <mergeCell ref="N39:N40"/>
    <mergeCell ref="O39:P40"/>
    <mergeCell ref="Q39:Q40"/>
    <mergeCell ref="K48:L49"/>
    <mergeCell ref="M48:M49"/>
    <mergeCell ref="N48:N49"/>
    <mergeCell ref="E49:F49"/>
    <mergeCell ref="R39:R40"/>
    <mergeCell ref="I40:J40"/>
    <mergeCell ref="E42:F42"/>
    <mergeCell ref="D39:D40"/>
    <mergeCell ref="E39:E40"/>
    <mergeCell ref="F39:F40"/>
    <mergeCell ref="G39:J39"/>
    <mergeCell ref="K39:K40"/>
    <mergeCell ref="L39:M40"/>
    <mergeCell ref="L36:M37"/>
    <mergeCell ref="N36:N37"/>
    <mergeCell ref="O36:P37"/>
    <mergeCell ref="Q36:Q37"/>
    <mergeCell ref="R36:R37"/>
    <mergeCell ref="I37:J37"/>
    <mergeCell ref="B36:C37"/>
    <mergeCell ref="D36:D37"/>
    <mergeCell ref="E36:E37"/>
    <mergeCell ref="F36:F37"/>
    <mergeCell ref="G36:J36"/>
    <mergeCell ref="K36:K37"/>
    <mergeCell ref="S25:T25"/>
    <mergeCell ref="S26:T26"/>
    <mergeCell ref="S27:T27"/>
    <mergeCell ref="S28:T28"/>
    <mergeCell ref="S29:T29"/>
    <mergeCell ref="S30:T30"/>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1 G207 G225">
    <cfRule type="cellIs" dxfId="70" priority="8" stopIfTrue="1" operator="equal">
      <formula>"Under Dimentioned"</formula>
    </cfRule>
  </conditionalFormatting>
  <conditionalFormatting sqref="H74">
    <cfRule type="cellIs" dxfId="69" priority="5" stopIfTrue="1" operator="equal">
      <formula>"Under Dimentioned"</formula>
    </cfRule>
    <cfRule type="cellIs" dxfId="68" priority="6" stopIfTrue="1" operator="equal">
      <formula>"Over Dimentioned"</formula>
    </cfRule>
  </conditionalFormatting>
  <conditionalFormatting sqref="H154 H238">
    <cfRule type="containsText" dxfId="67" priority="7" operator="containsText" text="Under Dimentioned">
      <formula>NOT(ISERROR(SEARCH("Under Dimentioned",H154)))</formula>
    </cfRule>
  </conditionalFormatting>
  <conditionalFormatting sqref="H154">
    <cfRule type="cellIs" dxfId="66" priority="3" stopIfTrue="1" operator="equal">
      <formula>"Under Dimentioned"</formula>
    </cfRule>
    <cfRule type="cellIs" dxfId="65" priority="4" stopIfTrue="1" operator="equal">
      <formula>"Over Dimentioned"</formula>
    </cfRule>
  </conditionalFormatting>
  <conditionalFormatting sqref="H238">
    <cfRule type="cellIs" dxfId="64" priority="1" stopIfTrue="1" operator="equal">
      <formula>"Under Dimentioned"</formula>
    </cfRule>
    <cfRule type="cellIs" dxfId="63" priority="2" stopIfTrue="1" operator="equal">
      <formula>"Over Dimentioned"</formula>
    </cfRule>
  </conditionalFormatting>
  <dataValidations count="2">
    <dataValidation type="list" allowBlank="1" showInputMessage="1" showErrorMessage="1" sqref="D7:E7" xr:uid="{12A3ACD2-C607-4AD9-B650-3FA4AFE58B0A}">
      <formula1>"Core1,Core2,Core3,Core4"</formula1>
    </dataValidation>
    <dataValidation type="list" allowBlank="1" showInputMessage="1" showErrorMessage="1" sqref="D87 D167" xr:uid="{C1417396-1C1E-4CFE-9CCC-410DF1FE47E9}">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B115-6AC9-47E2-BB88-D546BD99C105}">
  <sheetPr>
    <tabColor indexed="50"/>
  </sheetPr>
  <dimension ref="A1:AA591"/>
  <sheetViews>
    <sheetView showZeros="0" view="pageBreakPreview" zoomScale="115" zoomScaleNormal="100" zoomScaleSheetLayoutView="115" workbookViewId="0">
      <selection activeCell="X21" sqref="X21"/>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22" width="4.33203125" style="30"/>
    <col min="23" max="23" width="6.109375" style="30" bestFit="1" customWidth="1"/>
    <col min="24" max="16384" width="4.33203125" style="30"/>
  </cols>
  <sheetData>
    <row r="1" spans="1:24" ht="18" customHeight="1">
      <c r="A1" s="920" t="s">
        <v>0</v>
      </c>
      <c r="B1" s="921"/>
      <c r="C1" s="921"/>
      <c r="D1" s="921"/>
      <c r="E1" s="921"/>
      <c r="F1" s="921"/>
      <c r="G1" s="922"/>
      <c r="H1" s="906" t="str">
        <f>[7]Title!H1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[7]Title!H2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[7]Title!A5</f>
        <v>Prep. By</v>
      </c>
      <c r="B5" s="943"/>
      <c r="C5" s="25" t="str">
        <f>[7]Title!C5</f>
        <v>AP</v>
      </c>
      <c r="D5" s="880" t="str">
        <f>[7]Title!D5</f>
        <v>Checked By</v>
      </c>
      <c r="E5" s="881"/>
      <c r="F5" s="943"/>
      <c r="G5" s="25" t="str">
        <f>[7]Title!G5</f>
        <v>RB</v>
      </c>
      <c r="H5" s="944" t="s">
        <v>1025</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92" t="s">
        <v>385</v>
      </c>
      <c r="E7" s="1093"/>
      <c r="F7" s="455"/>
      <c r="H7" s="684" t="s">
        <v>1046</v>
      </c>
      <c r="I7" s="684"/>
      <c r="J7" s="684"/>
      <c r="K7" s="684"/>
      <c r="L7" s="684"/>
      <c r="M7" s="684"/>
      <c r="P7" s="186"/>
      <c r="S7" s="187" t="s">
        <v>387</v>
      </c>
      <c r="T7" s="1075" t="s">
        <v>509</v>
      </c>
      <c r="U7" s="1076"/>
      <c r="V7" s="185"/>
    </row>
    <row r="8" spans="1:24" ht="18" customHeight="1">
      <c r="A8" s="456"/>
      <c r="F8" s="455"/>
      <c r="T8" s="1075"/>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3200</v>
      </c>
      <c r="I10" s="1091"/>
      <c r="J10" s="1075">
        <v>2800</v>
      </c>
      <c r="K10" s="1076"/>
      <c r="L10" s="1075" t="s">
        <v>6</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9.1999999999999993</v>
      </c>
      <c r="I12" s="1076"/>
      <c r="J12" s="192" t="s">
        <v>333</v>
      </c>
      <c r="V12" s="185"/>
    </row>
    <row r="13" spans="1:24" ht="18" customHeight="1">
      <c r="A13" s="184"/>
      <c r="B13" s="47" t="s">
        <v>398</v>
      </c>
      <c r="G13" s="120" t="s">
        <v>498</v>
      </c>
      <c r="H13" s="1075">
        <v>600</v>
      </c>
      <c r="I13" s="1076"/>
      <c r="J13" s="14" t="s">
        <v>305</v>
      </c>
      <c r="T13" s="295"/>
      <c r="U13" s="18"/>
      <c r="V13" s="185"/>
      <c r="W13" s="30" t="e">
        <f>#REF!</f>
        <v>#REF!</v>
      </c>
    </row>
    <row r="14" spans="1:24" ht="18" customHeight="1">
      <c r="A14" s="184"/>
      <c r="B14" s="14" t="s">
        <v>401</v>
      </c>
      <c r="G14" s="120" t="s">
        <v>402</v>
      </c>
      <c r="H14" s="1075">
        <v>10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REF615</v>
      </c>
      <c r="E18" s="227"/>
      <c r="F18" s="227"/>
      <c r="G18" s="227"/>
      <c r="H18" s="138"/>
      <c r="I18" s="260" t="s">
        <v>127</v>
      </c>
      <c r="J18" s="1077">
        <f>'CT-VT Burdens'!Q111</f>
        <v>0.02</v>
      </c>
      <c r="K18" s="1078"/>
      <c r="L18" s="3" t="s">
        <v>157</v>
      </c>
      <c r="N18" s="197" t="s">
        <v>510</v>
      </c>
      <c r="V18" s="185"/>
    </row>
    <row r="19" spans="1:25" ht="18" customHeight="1">
      <c r="A19" s="184"/>
      <c r="B19" s="96" t="s">
        <v>405</v>
      </c>
      <c r="C19" s="14"/>
      <c r="D19" s="47">
        <f>T8</f>
        <v>0</v>
      </c>
      <c r="H19" s="28"/>
      <c r="I19" s="101" t="s">
        <v>127</v>
      </c>
      <c r="J19" s="1077"/>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077"/>
      <c r="K20" s="1078"/>
      <c r="L20" s="3" t="s">
        <v>157</v>
      </c>
      <c r="N20" s="27"/>
      <c r="O20" s="27" t="s">
        <v>127</v>
      </c>
      <c r="P20" s="27">
        <f>O10</f>
        <v>1</v>
      </c>
      <c r="Q20" s="27" t="s">
        <v>315</v>
      </c>
      <c r="R20" s="27">
        <f>O10</f>
        <v>1</v>
      </c>
      <c r="S20" s="27" t="s">
        <v>315</v>
      </c>
      <c r="T20" s="27">
        <f>H12</f>
        <v>9.1999999999999993</v>
      </c>
      <c r="V20" s="185"/>
    </row>
    <row r="21" spans="1:25" ht="18" customHeight="1">
      <c r="A21" s="184"/>
      <c r="B21" s="452" t="s">
        <v>412</v>
      </c>
      <c r="C21" s="259"/>
      <c r="D21" s="259"/>
      <c r="E21" s="259"/>
      <c r="F21" s="207"/>
      <c r="G21" s="207"/>
      <c r="H21" s="190"/>
      <c r="I21" s="208" t="s">
        <v>127</v>
      </c>
      <c r="J21" s="1081">
        <f>'CT-VT Burdens'!S24</f>
        <v>1.0770224400000001</v>
      </c>
      <c r="K21" s="1082"/>
      <c r="L21" s="297" t="s">
        <v>157</v>
      </c>
      <c r="O21" s="27" t="s">
        <v>127</v>
      </c>
      <c r="P21" s="795">
        <f>P20*R20*T20</f>
        <v>9.1999999999999993</v>
      </c>
      <c r="Q21" s="684"/>
      <c r="R21" s="27" t="s">
        <v>157</v>
      </c>
      <c r="V21" s="185"/>
    </row>
    <row r="22" spans="1:25" ht="18" customHeight="1">
      <c r="A22" s="184"/>
      <c r="B22" s="1" t="s">
        <v>413</v>
      </c>
      <c r="C22" s="2"/>
      <c r="D22" s="2"/>
      <c r="E22" s="2"/>
      <c r="F22" s="196"/>
      <c r="G22" s="196"/>
      <c r="H22" s="224" t="s">
        <v>512</v>
      </c>
      <c r="I22" s="183" t="s">
        <v>127</v>
      </c>
      <c r="J22" s="722">
        <f>SUM(J18:J21)</f>
        <v>1.0970224400000002</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R28" s="27" t="s">
        <v>127</v>
      </c>
      <c r="S28" s="684">
        <v>6</v>
      </c>
      <c r="T28" s="684"/>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S28*S30</f>
        <v>19200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3200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9.1999999999999993</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1.0970224400000002</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19200</v>
      </c>
      <c r="G37" s="689"/>
      <c r="H37" s="684" t="s">
        <v>315</v>
      </c>
      <c r="I37" s="790">
        <f>S31</f>
        <v>1</v>
      </c>
      <c r="J37" s="790"/>
      <c r="K37" s="684" t="s">
        <v>315</v>
      </c>
      <c r="L37" s="684" t="s">
        <v>419</v>
      </c>
      <c r="M37" s="1317">
        <f>S33</f>
        <v>9.1999999999999993</v>
      </c>
      <c r="N37" s="684" t="s">
        <v>347</v>
      </c>
      <c r="O37" s="795">
        <f>S34</f>
        <v>1.0970224400000002</v>
      </c>
      <c r="P37" s="684" t="s">
        <v>347</v>
      </c>
      <c r="Q37" s="1071">
        <f>S35</f>
        <v>0.02</v>
      </c>
      <c r="R37" s="790"/>
      <c r="S37" s="790"/>
      <c r="T37" s="684" t="s">
        <v>350</v>
      </c>
      <c r="V37" s="185"/>
    </row>
    <row r="38" spans="1:25" ht="18" customHeight="1">
      <c r="A38" s="184"/>
      <c r="B38" s="684"/>
      <c r="C38" s="684"/>
      <c r="D38" s="689"/>
      <c r="E38" s="684"/>
      <c r="F38" s="689"/>
      <c r="G38" s="689"/>
      <c r="H38" s="684"/>
      <c r="I38" s="684">
        <f>S30</f>
        <v>3200</v>
      </c>
      <c r="J38" s="684"/>
      <c r="K38" s="684"/>
      <c r="L38" s="684"/>
      <c r="M38" s="1317"/>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92.86</v>
      </c>
      <c r="E40" s="1072"/>
      <c r="F40" s="286" t="s">
        <v>305</v>
      </c>
      <c r="G40" s="27"/>
      <c r="V40" s="185"/>
    </row>
    <row r="41" spans="1:25" ht="18" customHeight="1">
      <c r="A41" s="184"/>
      <c r="C41" s="27"/>
      <c r="D41" s="476"/>
      <c r="E41" s="476"/>
      <c r="F41" s="286"/>
      <c r="G41" s="27"/>
      <c r="V41" s="185"/>
    </row>
    <row r="42" spans="1:25" ht="18" customHeight="1">
      <c r="A42" s="184"/>
      <c r="V42" s="185"/>
    </row>
    <row r="43" spans="1:25" ht="18" customHeight="1">
      <c r="A43" s="184"/>
      <c r="V43" s="185"/>
    </row>
    <row r="44" spans="1:25" ht="18" customHeight="1">
      <c r="A44" s="184"/>
      <c r="V44" s="185"/>
    </row>
    <row r="45" spans="1:25" ht="18" customHeight="1">
      <c r="A45" s="452"/>
      <c r="B45" s="207"/>
      <c r="C45" s="207"/>
      <c r="D45" s="207"/>
      <c r="E45" s="207"/>
      <c r="F45" s="207"/>
      <c r="G45" s="207"/>
      <c r="H45" s="207"/>
      <c r="I45" s="207"/>
      <c r="J45" s="207"/>
      <c r="K45" s="207"/>
      <c r="L45" s="207"/>
      <c r="M45" s="207"/>
      <c r="N45" s="207"/>
      <c r="O45" s="207"/>
      <c r="P45" s="207"/>
      <c r="Q45" s="207"/>
      <c r="R45" s="207"/>
      <c r="S45" s="207"/>
      <c r="T45" s="207"/>
      <c r="U45" s="207"/>
      <c r="V45" s="453"/>
    </row>
    <row r="46" spans="1:25" ht="18" customHeight="1">
      <c r="A46" s="290"/>
      <c r="B46" s="196"/>
      <c r="C46" s="196"/>
      <c r="D46" s="196"/>
      <c r="E46" s="196"/>
      <c r="F46" s="196"/>
      <c r="G46" s="196"/>
      <c r="H46" s="196"/>
      <c r="I46" s="196"/>
      <c r="J46" s="196"/>
      <c r="K46" s="196"/>
      <c r="L46" s="196"/>
      <c r="M46" s="196"/>
      <c r="N46" s="196"/>
      <c r="O46" s="196"/>
      <c r="P46" s="196"/>
      <c r="Q46" s="196"/>
      <c r="R46" s="196"/>
      <c r="S46" s="196"/>
      <c r="T46" s="196"/>
      <c r="U46" s="196"/>
      <c r="V46" s="291"/>
    </row>
    <row r="47" spans="1:25"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5" ht="18" customHeight="1">
      <c r="A48" s="184"/>
      <c r="B48" s="117" t="s">
        <v>525</v>
      </c>
      <c r="V48" s="185"/>
    </row>
    <row r="49" spans="1:25" ht="18" customHeight="1">
      <c r="A49" s="184"/>
      <c r="V49" s="185"/>
    </row>
    <row r="50" spans="1:25" ht="18" customHeight="1">
      <c r="A50" s="184"/>
      <c r="B50" s="1074" t="s">
        <v>417</v>
      </c>
      <c r="C50" s="800"/>
      <c r="D50" s="800"/>
      <c r="E50" s="689">
        <v>20</v>
      </c>
      <c r="F50" s="689" t="s">
        <v>315</v>
      </c>
      <c r="G50" s="790" t="s">
        <v>481</v>
      </c>
      <c r="H50" s="790" t="s">
        <v>482</v>
      </c>
      <c r="I50" s="803"/>
      <c r="J50" s="689" t="s">
        <v>315</v>
      </c>
      <c r="K50" s="689" t="s">
        <v>419</v>
      </c>
      <c r="L50" s="689" t="s">
        <v>440</v>
      </c>
      <c r="M50" s="729" t="s">
        <v>347</v>
      </c>
      <c r="N50" s="689" t="s">
        <v>447</v>
      </c>
      <c r="O50" s="689" t="s">
        <v>347</v>
      </c>
      <c r="P50" s="759" t="s">
        <v>448</v>
      </c>
      <c r="Q50" s="759"/>
      <c r="R50" s="759"/>
      <c r="S50" s="798" t="s">
        <v>350</v>
      </c>
      <c r="T50" s="1073" t="s">
        <v>422</v>
      </c>
      <c r="V50" s="185"/>
    </row>
    <row r="51" spans="1:25" ht="18" customHeight="1">
      <c r="A51" s="184"/>
      <c r="B51" s="800"/>
      <c r="C51" s="800"/>
      <c r="D51" s="800"/>
      <c r="E51" s="689"/>
      <c r="F51" s="689"/>
      <c r="G51" s="689"/>
      <c r="H51" s="684" t="s">
        <v>483</v>
      </c>
      <c r="I51" s="804"/>
      <c r="J51" s="689"/>
      <c r="K51" s="689"/>
      <c r="L51" s="689"/>
      <c r="M51" s="729"/>
      <c r="N51" s="689"/>
      <c r="O51" s="689"/>
      <c r="P51" s="28" t="s">
        <v>438</v>
      </c>
      <c r="Q51" s="28" t="s">
        <v>315</v>
      </c>
      <c r="R51" s="28" t="s">
        <v>438</v>
      </c>
      <c r="S51" s="798"/>
      <c r="T51" s="1073"/>
      <c r="V51" s="112"/>
    </row>
    <row r="52" spans="1:25" ht="18" customHeight="1">
      <c r="A52" s="184"/>
      <c r="C52" s="28"/>
      <c r="D52" s="28"/>
      <c r="E52" s="28"/>
      <c r="F52" s="28"/>
      <c r="G52" s="28"/>
      <c r="H52" s="689"/>
      <c r="I52" s="716"/>
      <c r="J52" s="28"/>
      <c r="K52" s="28"/>
      <c r="L52" s="28"/>
      <c r="M52" s="28"/>
      <c r="N52" s="47"/>
      <c r="O52" s="28"/>
      <c r="V52" s="185"/>
    </row>
    <row r="53" spans="1:25" ht="18" customHeight="1">
      <c r="A53" s="184"/>
      <c r="C53" s="30" t="s">
        <v>526</v>
      </c>
      <c r="R53" s="27" t="s">
        <v>127</v>
      </c>
      <c r="S53" s="684">
        <v>1.2</v>
      </c>
      <c r="T53" s="684"/>
      <c r="V53" s="185"/>
    </row>
    <row r="54" spans="1:25" ht="18" customHeight="1">
      <c r="A54" s="168"/>
      <c r="B54" s="5"/>
      <c r="C54" s="296" t="s">
        <v>515</v>
      </c>
      <c r="D54" s="14"/>
      <c r="E54" s="14"/>
      <c r="F54" s="14"/>
      <c r="G54" s="14"/>
      <c r="H54" s="279"/>
      <c r="I54" s="120"/>
      <c r="J54" s="279"/>
      <c r="K54" s="279"/>
      <c r="L54" s="14"/>
      <c r="M54" s="14"/>
      <c r="N54" s="14"/>
      <c r="O54" s="14"/>
      <c r="P54" s="14"/>
      <c r="Q54" s="244" t="s">
        <v>481</v>
      </c>
      <c r="R54" s="102" t="s">
        <v>127</v>
      </c>
      <c r="S54" s="689">
        <f>S53*S55</f>
        <v>3840</v>
      </c>
      <c r="T54" s="689"/>
      <c r="U54" s="47" t="s">
        <v>8</v>
      </c>
      <c r="V54" s="185"/>
    </row>
    <row r="55" spans="1:25" ht="18" customHeight="1">
      <c r="A55" s="168"/>
      <c r="B55" s="5"/>
      <c r="C55" s="47" t="s">
        <v>516</v>
      </c>
      <c r="D55" s="14"/>
      <c r="E55" s="14"/>
      <c r="F55" s="18"/>
      <c r="G55" s="18"/>
      <c r="H55" s="279"/>
      <c r="I55" s="120"/>
      <c r="J55" s="279"/>
      <c r="K55" s="279"/>
      <c r="L55" s="14"/>
      <c r="M55" s="14"/>
      <c r="N55" s="14"/>
      <c r="O55" s="14"/>
      <c r="P55" s="14"/>
      <c r="Q55" s="244" t="s">
        <v>483</v>
      </c>
      <c r="R55" s="102" t="s">
        <v>127</v>
      </c>
      <c r="S55" s="689">
        <f>H10</f>
        <v>3200</v>
      </c>
      <c r="T55" s="689"/>
      <c r="U55" s="14" t="s">
        <v>8</v>
      </c>
      <c r="V55" s="185"/>
    </row>
    <row r="56" spans="1:25" ht="18" customHeight="1">
      <c r="A56" s="168"/>
      <c r="B56" s="5"/>
      <c r="C56" s="47" t="s">
        <v>517</v>
      </c>
      <c r="D56" s="14"/>
      <c r="E56" s="14"/>
      <c r="F56" s="18"/>
      <c r="G56" s="18"/>
      <c r="H56" s="279"/>
      <c r="I56" s="120"/>
      <c r="J56" s="279"/>
      <c r="K56" s="279"/>
      <c r="L56" s="14"/>
      <c r="M56" s="14"/>
      <c r="N56" s="14"/>
      <c r="O56" s="14"/>
      <c r="P56" s="14"/>
      <c r="Q56" s="244" t="s">
        <v>482</v>
      </c>
      <c r="R56" s="102" t="s">
        <v>127</v>
      </c>
      <c r="S56" s="689">
        <f>O10</f>
        <v>1</v>
      </c>
      <c r="T56" s="689"/>
      <c r="U56" s="30" t="s">
        <v>8</v>
      </c>
      <c r="V56" s="185"/>
    </row>
    <row r="57" spans="1:25" ht="18" customHeight="1">
      <c r="A57" s="168"/>
      <c r="B57" s="5"/>
      <c r="C57" s="47" t="s">
        <v>518</v>
      </c>
      <c r="D57" s="14"/>
      <c r="E57" s="14"/>
      <c r="F57" s="18"/>
      <c r="G57" s="18"/>
      <c r="H57" s="279"/>
      <c r="I57" s="120"/>
      <c r="J57" s="279"/>
      <c r="K57" s="279"/>
      <c r="L57" s="14"/>
      <c r="M57" s="14"/>
      <c r="N57" s="14"/>
      <c r="O57" s="14"/>
      <c r="P57" s="14"/>
      <c r="Q57" s="244" t="s">
        <v>146</v>
      </c>
      <c r="R57" s="102" t="s">
        <v>127</v>
      </c>
      <c r="S57" s="834">
        <f>S32</f>
        <v>1</v>
      </c>
      <c r="T57" s="834"/>
      <c r="U57" s="30" t="s">
        <v>8</v>
      </c>
      <c r="V57" s="185"/>
      <c r="W57" s="279"/>
      <c r="X57" s="279"/>
      <c r="Y57" s="279"/>
    </row>
    <row r="58" spans="1:25" ht="18" customHeight="1">
      <c r="A58" s="168"/>
      <c r="B58" s="5"/>
      <c r="C58" s="296" t="s">
        <v>519</v>
      </c>
      <c r="D58" s="14"/>
      <c r="E58" s="14"/>
      <c r="F58" s="18"/>
      <c r="G58" s="18"/>
      <c r="H58" s="279"/>
      <c r="I58" s="120"/>
      <c r="J58" s="279"/>
      <c r="K58" s="279"/>
      <c r="L58" s="14"/>
      <c r="M58" s="14"/>
      <c r="N58" s="14"/>
      <c r="O58" s="14"/>
      <c r="P58" s="14"/>
      <c r="Q58" s="244" t="s">
        <v>420</v>
      </c>
      <c r="R58" s="102" t="s">
        <v>127</v>
      </c>
      <c r="S58" s="692">
        <f>H12</f>
        <v>9.1999999999999993</v>
      </c>
      <c r="T58" s="689"/>
      <c r="U58" s="30" t="s">
        <v>520</v>
      </c>
      <c r="V58" s="185"/>
      <c r="X58" s="279"/>
      <c r="Y58" s="279"/>
    </row>
    <row r="59" spans="1:25" ht="18" customHeight="1">
      <c r="A59" s="168"/>
      <c r="B59" s="5"/>
      <c r="C59" s="296" t="s">
        <v>521</v>
      </c>
      <c r="D59" s="14"/>
      <c r="E59" s="14"/>
      <c r="F59" s="14"/>
      <c r="G59" s="14"/>
      <c r="H59" s="279"/>
      <c r="I59" s="120"/>
      <c r="J59" s="279"/>
      <c r="K59" s="279"/>
      <c r="L59" s="14"/>
      <c r="M59" s="14"/>
      <c r="N59" s="14"/>
      <c r="O59" s="14"/>
      <c r="P59" s="14"/>
      <c r="Q59" s="244" t="s">
        <v>522</v>
      </c>
      <c r="R59" s="102" t="s">
        <v>127</v>
      </c>
      <c r="S59" s="692">
        <f>J22</f>
        <v>1.0970224400000002</v>
      </c>
      <c r="T59" s="689"/>
      <c r="U59" s="30" t="s">
        <v>520</v>
      </c>
      <c r="V59" s="185"/>
      <c r="X59" s="279"/>
      <c r="Y59" s="279"/>
    </row>
    <row r="60" spans="1:25" ht="18" customHeight="1">
      <c r="A60" s="168"/>
      <c r="B60" s="5"/>
      <c r="C60" s="296" t="s">
        <v>523</v>
      </c>
      <c r="D60" s="14"/>
      <c r="E60" s="14"/>
      <c r="F60" s="14"/>
      <c r="G60" s="14"/>
      <c r="H60" s="279"/>
      <c r="I60" s="120"/>
      <c r="J60" s="279"/>
      <c r="K60" s="279"/>
      <c r="L60" s="14"/>
      <c r="M60" s="14"/>
      <c r="N60" s="14"/>
      <c r="O60" s="14"/>
      <c r="P60" s="14"/>
      <c r="Q60" s="244" t="s">
        <v>524</v>
      </c>
      <c r="R60" s="102" t="s">
        <v>127</v>
      </c>
      <c r="S60" s="795">
        <f>J18</f>
        <v>0.02</v>
      </c>
      <c r="T60" s="689"/>
      <c r="U60" s="296" t="s">
        <v>157</v>
      </c>
      <c r="V60" s="185"/>
    </row>
    <row r="61" spans="1:25" ht="18" customHeight="1">
      <c r="A61" s="299"/>
      <c r="B61" s="279"/>
      <c r="C61" s="47"/>
      <c r="D61" s="14"/>
      <c r="E61" s="14"/>
      <c r="F61" s="14"/>
      <c r="G61" s="14"/>
      <c r="H61" s="279"/>
      <c r="I61" s="120"/>
      <c r="J61" s="279"/>
      <c r="K61" s="279"/>
      <c r="L61" s="14"/>
      <c r="M61" s="14"/>
      <c r="N61" s="279"/>
      <c r="O61" s="279"/>
      <c r="P61" s="14"/>
      <c r="Q61" s="120"/>
      <c r="R61" s="14"/>
      <c r="S61" s="279"/>
      <c r="T61" s="279"/>
      <c r="U61" s="279"/>
      <c r="V61" s="300"/>
      <c r="W61" s="279"/>
      <c r="X61" s="279"/>
      <c r="Y61" s="279"/>
    </row>
    <row r="62" spans="1:25" ht="18" customHeight="1">
      <c r="A62" s="184"/>
      <c r="B62" s="684" t="s">
        <v>417</v>
      </c>
      <c r="C62" s="684"/>
      <c r="D62" s="689">
        <f>E50</f>
        <v>20</v>
      </c>
      <c r="E62" s="684" t="s">
        <v>315</v>
      </c>
      <c r="F62" s="689">
        <f>S54</f>
        <v>3840</v>
      </c>
      <c r="G62" s="689"/>
      <c r="H62" s="684" t="s">
        <v>315</v>
      </c>
      <c r="I62" s="790">
        <f>S56</f>
        <v>1</v>
      </c>
      <c r="J62" s="790"/>
      <c r="K62" s="684" t="s">
        <v>315</v>
      </c>
      <c r="L62" s="684" t="s">
        <v>419</v>
      </c>
      <c r="M62" s="1316">
        <f>S58</f>
        <v>9.1999999999999993</v>
      </c>
      <c r="N62" s="684" t="s">
        <v>347</v>
      </c>
      <c r="O62" s="795">
        <f>S59</f>
        <v>1.0970224400000002</v>
      </c>
      <c r="P62" s="684" t="s">
        <v>347</v>
      </c>
      <c r="Q62" s="1071">
        <f>S60</f>
        <v>0.02</v>
      </c>
      <c r="R62" s="790"/>
      <c r="S62" s="790"/>
      <c r="T62" s="684" t="s">
        <v>350</v>
      </c>
      <c r="V62" s="185"/>
    </row>
    <row r="63" spans="1:25" ht="18" customHeight="1">
      <c r="A63" s="184"/>
      <c r="B63" s="684"/>
      <c r="C63" s="684"/>
      <c r="D63" s="689"/>
      <c r="E63" s="684"/>
      <c r="F63" s="689"/>
      <c r="G63" s="689"/>
      <c r="H63" s="684"/>
      <c r="I63" s="684">
        <f>S55</f>
        <v>3200</v>
      </c>
      <c r="J63" s="684"/>
      <c r="K63" s="684"/>
      <c r="L63" s="684"/>
      <c r="M63" s="1316"/>
      <c r="N63" s="684"/>
      <c r="O63" s="684"/>
      <c r="P63" s="684"/>
      <c r="Q63" s="503">
        <f>S57</f>
        <v>1</v>
      </c>
      <c r="R63" s="27" t="s">
        <v>315</v>
      </c>
      <c r="S63" s="503">
        <f>S57</f>
        <v>1</v>
      </c>
      <c r="T63" s="684"/>
      <c r="V63" s="185"/>
    </row>
    <row r="64" spans="1:25" ht="18" customHeight="1">
      <c r="A64" s="184"/>
      <c r="C64" s="120"/>
      <c r="D64" s="28"/>
      <c r="E64" s="28"/>
      <c r="F64" s="28"/>
      <c r="G64" s="28"/>
      <c r="H64" s="14"/>
      <c r="I64" s="14"/>
      <c r="J64" s="28"/>
      <c r="K64" s="28"/>
      <c r="L64" s="28"/>
      <c r="M64" s="28"/>
      <c r="N64" s="47"/>
      <c r="O64" s="502"/>
      <c r="V64" s="185"/>
    </row>
    <row r="65" spans="1:27" ht="18" customHeight="1">
      <c r="A65" s="184"/>
      <c r="C65" s="27" t="s">
        <v>127</v>
      </c>
      <c r="D65" s="1072">
        <f>ROUNDUP(D62*F62*(I62/I63)*(M62+O62+(Q62/(Q63*S63))),2)</f>
        <v>247.60999999999999</v>
      </c>
      <c r="E65" s="1072"/>
      <c r="F65" s="286" t="s">
        <v>305</v>
      </c>
      <c r="G65" s="27"/>
      <c r="V65" s="185"/>
    </row>
    <row r="66" spans="1:27" ht="18" customHeight="1">
      <c r="A66" s="184"/>
      <c r="V66" s="185"/>
    </row>
    <row r="67" spans="1:27" ht="18" customHeight="1">
      <c r="A67" s="184"/>
      <c r="D67" s="30" t="s">
        <v>527</v>
      </c>
      <c r="L67" s="30" t="s">
        <v>528</v>
      </c>
      <c r="M67" s="505" t="s">
        <v>529</v>
      </c>
      <c r="N67" s="30" t="str">
        <f>CONCATENATE(Y67,X67,D40,Z67,D65,AA67)</f>
        <v>max(92.86,247.61)</v>
      </c>
      <c r="V67" s="185"/>
      <c r="X67" s="30" t="s">
        <v>419</v>
      </c>
      <c r="Y67" s="30" t="s">
        <v>530</v>
      </c>
      <c r="Z67" s="30" t="s">
        <v>531</v>
      </c>
      <c r="AA67" s="30" t="s">
        <v>350</v>
      </c>
    </row>
    <row r="68" spans="1:27" ht="18" customHeight="1">
      <c r="A68" s="184"/>
      <c r="D68" s="14"/>
      <c r="E68"/>
      <c r="F68"/>
      <c r="G68" s="27"/>
      <c r="H68" s="14"/>
      <c r="I68"/>
      <c r="J68"/>
      <c r="K68"/>
      <c r="L68" s="30" t="s">
        <v>528</v>
      </c>
      <c r="M68" s="505" t="s">
        <v>529</v>
      </c>
      <c r="N68" s="795">
        <f>MAX(D65,D40)</f>
        <v>247.60999999999999</v>
      </c>
      <c r="O68" s="795"/>
      <c r="V68" s="185"/>
    </row>
    <row r="69" spans="1:27" ht="18" customHeight="1">
      <c r="A69" s="184"/>
      <c r="D69"/>
      <c r="E69" s="1089"/>
      <c r="F69" s="684"/>
      <c r="G69" s="27"/>
      <c r="H69" s="795"/>
      <c r="I69" s="684"/>
      <c r="J69"/>
      <c r="K69"/>
      <c r="L69" s="296">
        <f>H13</f>
        <v>600</v>
      </c>
      <c r="M69" s="505" t="s">
        <v>529</v>
      </c>
      <c r="N69" s="795">
        <f>N68</f>
        <v>247.60999999999999</v>
      </c>
      <c r="O69" s="795"/>
      <c r="V69" s="185"/>
    </row>
    <row r="70" spans="1:27" ht="18" customHeight="1">
      <c r="A70" s="184"/>
      <c r="D70"/>
      <c r="E70" s="504"/>
      <c r="F70" s="27"/>
      <c r="G70" s="27"/>
      <c r="H70" s="211"/>
      <c r="I70" s="27"/>
      <c r="J70"/>
      <c r="K70"/>
      <c r="L70" s="296"/>
      <c r="M70" s="505"/>
      <c r="N70" s="476"/>
      <c r="V70" s="185"/>
    </row>
    <row r="71" spans="1:27" ht="18" customHeight="1">
      <c r="A71" s="184"/>
      <c r="D71"/>
      <c r="E71"/>
      <c r="F71" s="244" t="s">
        <v>478</v>
      </c>
      <c r="G71"/>
      <c r="H71" s="18" t="str">
        <f>IF(L69&gt;N69,"Suitably Dimensioned","Under Dimensioned")</f>
        <v>Suitably Dimensioned</v>
      </c>
      <c r="I71"/>
      <c r="J71"/>
      <c r="K71"/>
      <c r="L71"/>
      <c r="V71" s="185"/>
    </row>
    <row r="72" spans="1:27" ht="18" customHeight="1">
      <c r="A72" s="184"/>
      <c r="V72" s="185"/>
    </row>
    <row r="73" spans="1:27" ht="18" customHeight="1">
      <c r="A73" s="184"/>
      <c r="V73" s="185"/>
    </row>
    <row r="74" spans="1:27" ht="18" customHeight="1">
      <c r="A74" s="184"/>
      <c r="V74" s="185"/>
    </row>
    <row r="75" spans="1:27" ht="18" customHeight="1">
      <c r="A75" s="184"/>
      <c r="V75" s="185"/>
    </row>
    <row r="76" spans="1:27" ht="18" customHeight="1">
      <c r="A76" s="184"/>
      <c r="V76" s="185"/>
    </row>
    <row r="77" spans="1:27" ht="18" customHeight="1">
      <c r="A77" s="184"/>
      <c r="V77" s="185"/>
    </row>
    <row r="78" spans="1:27" ht="18" customHeight="1">
      <c r="A78" s="184"/>
      <c r="V78" s="185"/>
    </row>
    <row r="79" spans="1:27" ht="18" customHeight="1">
      <c r="A79" s="184"/>
      <c r="V79" s="185"/>
    </row>
    <row r="80" spans="1:27"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184"/>
      <c r="V84" s="185"/>
    </row>
    <row r="85" spans="1:22" ht="18" customHeight="1">
      <c r="A85" s="184"/>
      <c r="V85" s="185"/>
    </row>
    <row r="86" spans="1:22" ht="18" customHeight="1">
      <c r="A86" s="452"/>
      <c r="B86" s="207"/>
      <c r="C86" s="207"/>
      <c r="D86" s="207"/>
      <c r="E86" s="207"/>
      <c r="F86" s="207"/>
      <c r="G86" s="207"/>
      <c r="H86" s="207"/>
      <c r="I86" s="207"/>
      <c r="J86" s="207"/>
      <c r="K86" s="207"/>
      <c r="L86" s="207"/>
      <c r="M86" s="207"/>
      <c r="N86" s="207"/>
      <c r="O86" s="207"/>
      <c r="P86" s="207"/>
      <c r="Q86" s="207"/>
      <c r="R86" s="207"/>
      <c r="S86" s="207"/>
      <c r="T86" s="207"/>
      <c r="U86" s="207"/>
      <c r="V86" s="453"/>
    </row>
    <row r="87" spans="1:22" ht="18" customHeight="1">
      <c r="A87" s="290"/>
      <c r="B87" s="196"/>
      <c r="C87" s="196"/>
      <c r="D87" s="196"/>
      <c r="E87" s="196"/>
      <c r="F87" s="196"/>
      <c r="G87" s="196"/>
      <c r="H87" s="196"/>
      <c r="I87" s="196"/>
      <c r="J87" s="196"/>
      <c r="K87" s="196"/>
      <c r="L87" s="196"/>
      <c r="M87" s="196"/>
      <c r="N87" s="196"/>
      <c r="O87" s="196"/>
      <c r="P87" s="196"/>
      <c r="Q87" s="196"/>
      <c r="R87" s="196"/>
      <c r="S87" s="196"/>
      <c r="T87" s="196"/>
      <c r="U87" s="196"/>
      <c r="V87" s="291"/>
    </row>
    <row r="88" spans="1:22" ht="18" hidden="1" customHeight="1">
      <c r="A88" s="184"/>
      <c r="V88" s="185"/>
    </row>
    <row r="89" spans="1:22" ht="18" hidden="1" customHeight="1">
      <c r="A89" s="184"/>
      <c r="V89" s="185"/>
    </row>
    <row r="90" spans="1:22" ht="18" hidden="1" customHeight="1">
      <c r="A90" s="184"/>
      <c r="V90" s="185"/>
    </row>
    <row r="91" spans="1:22" ht="18" hidden="1" customHeight="1">
      <c r="A91" s="184"/>
      <c r="V91" s="185"/>
    </row>
    <row r="92" spans="1:22" ht="18" hidden="1" customHeight="1">
      <c r="A92" s="184"/>
      <c r="V92" s="185"/>
    </row>
    <row r="93" spans="1:22" ht="18" hidden="1" customHeight="1">
      <c r="A93" s="184"/>
      <c r="V93" s="185"/>
    </row>
    <row r="94" spans="1:22" ht="18" hidden="1" customHeight="1">
      <c r="A94" s="184"/>
      <c r="V94" s="185"/>
    </row>
    <row r="95" spans="1:22" ht="18" hidden="1" customHeight="1">
      <c r="A95" s="184"/>
      <c r="V95" s="185"/>
    </row>
    <row r="96" spans="1:22" ht="18" hidden="1" customHeight="1">
      <c r="A96" s="184"/>
      <c r="V96" s="185"/>
    </row>
    <row r="97" spans="1:23" ht="18" hidden="1" customHeight="1">
      <c r="A97" s="184"/>
      <c r="V97" s="185"/>
    </row>
    <row r="98" spans="1:23" ht="18" hidden="1" customHeight="1">
      <c r="A98" s="184"/>
      <c r="V98" s="185"/>
    </row>
    <row r="99" spans="1:23" s="14" customFormat="1" ht="18" hidden="1" customHeight="1">
      <c r="A99" s="194"/>
      <c r="B99" s="195"/>
      <c r="C99" s="195"/>
      <c r="D99" s="195"/>
      <c r="E99" s="195"/>
      <c r="F99" s="195"/>
      <c r="G99" s="195"/>
      <c r="H99" s="195"/>
      <c r="I99" s="195"/>
      <c r="J99" s="195"/>
      <c r="K99" s="195"/>
      <c r="L99" s="195"/>
      <c r="M99" s="195"/>
      <c r="N99" s="195"/>
      <c r="O99" s="195"/>
      <c r="P99" s="195"/>
      <c r="Q99" s="224"/>
      <c r="R99" s="182"/>
      <c r="S99" s="225"/>
      <c r="T99" s="195"/>
      <c r="U99" s="195"/>
      <c r="V99" s="134" t="s">
        <v>552</v>
      </c>
    </row>
    <row r="100" spans="1:23" ht="18" customHeight="1">
      <c r="A100" s="226"/>
      <c r="B100" s="227"/>
      <c r="C100" s="227"/>
      <c r="D100" s="227"/>
      <c r="E100" s="227"/>
      <c r="F100" s="227"/>
      <c r="G100" s="227"/>
      <c r="H100" s="227"/>
      <c r="I100" s="227"/>
      <c r="J100" s="227"/>
      <c r="K100" s="227"/>
      <c r="L100" s="227"/>
      <c r="M100" s="227"/>
      <c r="N100" s="227"/>
      <c r="O100" s="227"/>
      <c r="P100" s="227"/>
      <c r="Q100" s="227"/>
      <c r="R100" s="227"/>
      <c r="S100" s="227"/>
      <c r="T100" s="227"/>
      <c r="U100" s="227"/>
      <c r="V100" s="228"/>
    </row>
    <row r="101" spans="1:23" ht="18" customHeight="1">
      <c r="A101" s="184"/>
      <c r="B101" s="854" t="str">
        <f>B7</f>
        <v>T1</v>
      </c>
      <c r="C101" s="831"/>
      <c r="D101" s="853" t="str">
        <f>D7</f>
        <v>Core1</v>
      </c>
      <c r="E101" s="765"/>
      <c r="F101" s="455"/>
      <c r="H101" s="684" t="str">
        <f>H7</f>
        <v>(OC+EF+FMS)</v>
      </c>
      <c r="I101" s="684"/>
      <c r="J101" s="684"/>
      <c r="K101" s="684"/>
      <c r="L101" s="684"/>
      <c r="M101" s="684"/>
      <c r="P101" s="186"/>
      <c r="S101" s="187" t="s">
        <v>387</v>
      </c>
      <c r="T101" s="1123" t="str">
        <f>T7</f>
        <v>REF615</v>
      </c>
      <c r="U101" s="1124"/>
      <c r="V101" s="185"/>
    </row>
    <row r="102" spans="1:23" ht="18" customHeight="1">
      <c r="A102" s="456"/>
      <c r="F102" s="455"/>
      <c r="T102" s="1123">
        <f>T8</f>
        <v>0</v>
      </c>
      <c r="U102" s="1124"/>
      <c r="V102" s="185"/>
    </row>
    <row r="103" spans="1:23" ht="18" customHeight="1">
      <c r="A103" s="184"/>
      <c r="H103" s="708" t="s">
        <v>390</v>
      </c>
      <c r="I103" s="708"/>
      <c r="J103" s="789" t="s">
        <v>391</v>
      </c>
      <c r="K103" s="789"/>
      <c r="L103" s="790" t="s">
        <v>392</v>
      </c>
      <c r="M103" s="790"/>
      <c r="T103" s="1123">
        <f>T9</f>
        <v>0</v>
      </c>
      <c r="U103" s="1124"/>
      <c r="V103" s="185"/>
    </row>
    <row r="104" spans="1:23" ht="18" customHeight="1">
      <c r="A104" s="184"/>
      <c r="B104" s="47" t="s">
        <v>393</v>
      </c>
      <c r="H104" s="854">
        <f>H10</f>
        <v>3200</v>
      </c>
      <c r="I104" s="831"/>
      <c r="J104" s="863">
        <f>J10</f>
        <v>2800</v>
      </c>
      <c r="K104" s="864"/>
      <c r="L104" s="854" t="str">
        <f>L10</f>
        <v>-</v>
      </c>
      <c r="M104" s="831"/>
      <c r="N104" s="191" t="s">
        <v>342</v>
      </c>
      <c r="O104" s="256">
        <f>O10</f>
        <v>1</v>
      </c>
      <c r="P104" s="27" t="s">
        <v>8</v>
      </c>
      <c r="R104" s="255"/>
      <c r="S104" s="255"/>
      <c r="V104" s="185"/>
    </row>
    <row r="105" spans="1:23" ht="18" customHeight="1">
      <c r="A105" s="184"/>
      <c r="B105" s="47" t="s">
        <v>394</v>
      </c>
      <c r="J105" s="854" t="str">
        <f>H11</f>
        <v>PX</v>
      </c>
      <c r="K105" s="831"/>
      <c r="V105" s="185"/>
    </row>
    <row r="106" spans="1:23" ht="18" customHeight="1">
      <c r="A106" s="184"/>
      <c r="B106" s="47" t="s">
        <v>396</v>
      </c>
      <c r="I106" s="120" t="s">
        <v>497</v>
      </c>
      <c r="J106" s="1075">
        <v>8</v>
      </c>
      <c r="K106" s="1076"/>
      <c r="L106" s="192" t="s">
        <v>333</v>
      </c>
      <c r="V106" s="185"/>
    </row>
    <row r="107" spans="1:23" ht="18" customHeight="1">
      <c r="A107" s="184"/>
      <c r="B107" s="47" t="s">
        <v>398</v>
      </c>
      <c r="I107" s="120" t="s">
        <v>498</v>
      </c>
      <c r="J107" s="1075">
        <v>500</v>
      </c>
      <c r="K107" s="1076"/>
      <c r="L107" s="14" t="s">
        <v>305</v>
      </c>
      <c r="T107" s="295"/>
      <c r="U107" s="18"/>
      <c r="V107" s="185"/>
      <c r="W107" s="30" t="str">
        <f>G155</f>
        <v>Suitably Dimentioned</v>
      </c>
    </row>
    <row r="108" spans="1:23" ht="18" customHeight="1">
      <c r="A108" s="184"/>
      <c r="B108" s="14" t="s">
        <v>401</v>
      </c>
      <c r="I108" s="120" t="s">
        <v>402</v>
      </c>
      <c r="J108" s="1075">
        <v>20</v>
      </c>
      <c r="K108" s="1076"/>
      <c r="L108" s="14" t="s">
        <v>403</v>
      </c>
      <c r="V108" s="185"/>
    </row>
    <row r="109" spans="1:23" ht="18" customHeight="1">
      <c r="A109" s="184"/>
      <c r="V109" s="185"/>
    </row>
    <row r="110" spans="1:23" ht="18" customHeight="1">
      <c r="A110" s="193" t="s">
        <v>404</v>
      </c>
      <c r="V110" s="185"/>
    </row>
    <row r="111" spans="1:23" ht="18" customHeight="1">
      <c r="A111" s="184"/>
      <c r="V111" s="185"/>
    </row>
    <row r="112" spans="1:23" ht="18" customHeight="1">
      <c r="A112" s="184"/>
      <c r="B112" s="135" t="s">
        <v>405</v>
      </c>
      <c r="C112" s="273"/>
      <c r="D112" s="139" t="str">
        <f>T101</f>
        <v>REF615</v>
      </c>
      <c r="E112" s="227"/>
      <c r="F112" s="227"/>
      <c r="G112" s="227"/>
      <c r="H112" s="138"/>
      <c r="I112" s="260" t="s">
        <v>127</v>
      </c>
      <c r="J112" s="722">
        <f>J18</f>
        <v>0.02</v>
      </c>
      <c r="K112" s="958"/>
      <c r="L112" s="3" t="s">
        <v>157</v>
      </c>
      <c r="N112" s="197" t="s">
        <v>510</v>
      </c>
      <c r="V112" s="185"/>
    </row>
    <row r="113" spans="1:25" ht="18" customHeight="1">
      <c r="A113" s="184"/>
      <c r="B113" s="96" t="s">
        <v>405</v>
      </c>
      <c r="C113" s="14"/>
      <c r="D113" s="47">
        <f>T102</f>
        <v>0</v>
      </c>
      <c r="H113" s="28"/>
      <c r="I113" s="101" t="s">
        <v>127</v>
      </c>
      <c r="J113" s="722">
        <f>J19</f>
        <v>0</v>
      </c>
      <c r="K113" s="958"/>
      <c r="L113" s="3" t="s">
        <v>157</v>
      </c>
      <c r="N113" s="120" t="s">
        <v>491</v>
      </c>
      <c r="O113" s="27" t="s">
        <v>127</v>
      </c>
      <c r="P113" s="27" t="s">
        <v>511</v>
      </c>
      <c r="Q113" s="27" t="s">
        <v>315</v>
      </c>
      <c r="R113" s="27" t="s">
        <v>511</v>
      </c>
      <c r="S113" s="27" t="s">
        <v>315</v>
      </c>
      <c r="T113" s="27" t="s">
        <v>420</v>
      </c>
      <c r="V113" s="185"/>
    </row>
    <row r="114" spans="1:25" ht="18" customHeight="1">
      <c r="A114" s="184"/>
      <c r="B114" s="96" t="s">
        <v>405</v>
      </c>
      <c r="C114" s="14"/>
      <c r="D114" s="47">
        <f>T103</f>
        <v>0</v>
      </c>
      <c r="H114" s="28"/>
      <c r="I114" s="101" t="s">
        <v>127</v>
      </c>
      <c r="J114" s="722">
        <f>J20</f>
        <v>0</v>
      </c>
      <c r="K114" s="958"/>
      <c r="L114" s="3" t="s">
        <v>157</v>
      </c>
      <c r="N114" s="27"/>
      <c r="O114" s="27" t="s">
        <v>127</v>
      </c>
      <c r="P114" s="27">
        <f>O104</f>
        <v>1</v>
      </c>
      <c r="Q114" s="27" t="s">
        <v>315</v>
      </c>
      <c r="R114" s="27">
        <f>O104</f>
        <v>1</v>
      </c>
      <c r="S114" s="27" t="s">
        <v>315</v>
      </c>
      <c r="T114" s="27">
        <f>J106</f>
        <v>8</v>
      </c>
      <c r="V114" s="185"/>
    </row>
    <row r="115" spans="1:25" ht="18" customHeight="1">
      <c r="A115" s="184"/>
      <c r="B115" s="452" t="s">
        <v>412</v>
      </c>
      <c r="C115" s="259"/>
      <c r="D115" s="259"/>
      <c r="E115" s="259"/>
      <c r="F115" s="207"/>
      <c r="G115" s="207"/>
      <c r="H115" s="190"/>
      <c r="I115" s="208" t="s">
        <v>127</v>
      </c>
      <c r="J115" s="1120">
        <f>J21</f>
        <v>1.0770224400000001</v>
      </c>
      <c r="K115" s="987"/>
      <c r="L115" s="297" t="s">
        <v>157</v>
      </c>
      <c r="O115" s="27" t="s">
        <v>127</v>
      </c>
      <c r="P115" s="795">
        <f>P114*R114*T114</f>
        <v>8</v>
      </c>
      <c r="Q115" s="684"/>
      <c r="R115" s="27" t="s">
        <v>157</v>
      </c>
      <c r="V115" s="185"/>
    </row>
    <row r="116" spans="1:25" ht="18" customHeight="1">
      <c r="A116" s="184"/>
      <c r="B116" s="1" t="s">
        <v>413</v>
      </c>
      <c r="C116" s="2"/>
      <c r="D116" s="2"/>
      <c r="E116" s="2"/>
      <c r="F116" s="196"/>
      <c r="G116" s="196"/>
      <c r="H116" s="224" t="s">
        <v>512</v>
      </c>
      <c r="I116" s="183" t="s">
        <v>127</v>
      </c>
      <c r="J116" s="722">
        <f>SUM(J112:J115)</f>
        <v>1.0970224400000002</v>
      </c>
      <c r="K116" s="958"/>
      <c r="L116" s="3" t="s">
        <v>157</v>
      </c>
      <c r="V116" s="185"/>
    </row>
    <row r="117" spans="1:25" ht="18" customHeight="1">
      <c r="A117" s="184"/>
      <c r="B117" s="47"/>
      <c r="C117" s="47"/>
      <c r="D117" s="47"/>
      <c r="E117" s="47"/>
      <c r="H117" s="27"/>
      <c r="I117" s="28"/>
      <c r="J117" s="199"/>
      <c r="L117" s="47"/>
      <c r="S117" s="27"/>
      <c r="V117" s="185"/>
    </row>
    <row r="118" spans="1:25" ht="18" customHeight="1">
      <c r="A118" s="1206" t="s">
        <v>536</v>
      </c>
      <c r="B118" s="1207"/>
      <c r="C118" s="1207"/>
      <c r="D118" s="1207"/>
      <c r="E118" s="1207"/>
      <c r="F118" s="1207"/>
      <c r="G118" s="1207"/>
      <c r="H118" s="1207"/>
      <c r="I118" s="1207"/>
      <c r="J118" s="1207"/>
      <c r="K118" s="1207"/>
      <c r="L118" s="1207"/>
      <c r="M118" s="1207"/>
      <c r="N118" s="1207"/>
      <c r="O118" s="1207"/>
      <c r="P118" s="1207"/>
      <c r="Q118" s="1207"/>
      <c r="R118" s="1207"/>
      <c r="S118" s="1207"/>
      <c r="T118" s="1207"/>
      <c r="U118" s="1207"/>
      <c r="V118" s="1208"/>
    </row>
    <row r="119" spans="1:25" ht="18" customHeight="1">
      <c r="A119" s="1209"/>
      <c r="B119" s="1207"/>
      <c r="C119" s="1207"/>
      <c r="D119" s="1207"/>
      <c r="E119" s="1207"/>
      <c r="F119" s="1207"/>
      <c r="G119" s="1207"/>
      <c r="H119" s="1207"/>
      <c r="I119" s="1207"/>
      <c r="J119" s="1207"/>
      <c r="K119" s="1207"/>
      <c r="L119" s="1207"/>
      <c r="M119" s="1207"/>
      <c r="N119" s="1207"/>
      <c r="O119" s="1207"/>
      <c r="P119" s="1207"/>
      <c r="Q119" s="1207"/>
      <c r="R119" s="1207"/>
      <c r="S119" s="1207"/>
      <c r="T119" s="1207"/>
      <c r="U119" s="1207"/>
      <c r="V119" s="1208"/>
    </row>
    <row r="120" spans="1:25" ht="18" customHeight="1">
      <c r="A120" s="184"/>
      <c r="Q120" s="211"/>
      <c r="R120" s="192"/>
      <c r="V120" s="185"/>
    </row>
    <row r="121" spans="1:25" ht="18" customHeight="1">
      <c r="A121" s="184"/>
      <c r="C121" s="14" t="s">
        <v>473</v>
      </c>
      <c r="D121" s="28" t="s">
        <v>127</v>
      </c>
      <c r="E121" s="28" t="s">
        <v>537</v>
      </c>
      <c r="F121" s="120" t="s">
        <v>493</v>
      </c>
      <c r="G121" s="28" t="s">
        <v>347</v>
      </c>
      <c r="H121" s="120" t="s">
        <v>491</v>
      </c>
      <c r="I121" s="28" t="s">
        <v>538</v>
      </c>
      <c r="J121" s="28" t="s">
        <v>495</v>
      </c>
      <c r="K121" s="28" t="s">
        <v>539</v>
      </c>
      <c r="L121" s="28" t="s">
        <v>511</v>
      </c>
      <c r="M121" s="28" t="s">
        <v>315</v>
      </c>
      <c r="N121" s="28">
        <v>1.3</v>
      </c>
      <c r="O121" s="47" t="s">
        <v>350</v>
      </c>
      <c r="V121" s="185"/>
    </row>
    <row r="122" spans="1:25" ht="18" customHeight="1">
      <c r="A122" s="184" t="s">
        <v>540</v>
      </c>
      <c r="C122" s="14"/>
      <c r="D122" s="28"/>
      <c r="E122" s="14"/>
      <c r="F122" s="14"/>
      <c r="G122" s="14"/>
      <c r="H122" s="14"/>
      <c r="I122" s="14"/>
      <c r="J122" s="14"/>
      <c r="K122" s="14"/>
      <c r="L122" s="14"/>
      <c r="M122" s="14"/>
      <c r="N122" s="14"/>
      <c r="O122" s="14"/>
      <c r="V122" s="185"/>
    </row>
    <row r="123" spans="1:25" ht="18" customHeight="1">
      <c r="A123" s="184"/>
      <c r="C123" s="120" t="s">
        <v>493</v>
      </c>
      <c r="D123" s="28" t="s">
        <v>127</v>
      </c>
      <c r="E123" s="28" t="s">
        <v>537</v>
      </c>
      <c r="F123" s="28">
        <v>1.3</v>
      </c>
      <c r="G123" s="28" t="s">
        <v>315</v>
      </c>
      <c r="H123" s="689" t="s">
        <v>473</v>
      </c>
      <c r="I123" s="716"/>
      <c r="J123" s="28" t="s">
        <v>315</v>
      </c>
      <c r="K123" s="28" t="s">
        <v>511</v>
      </c>
      <c r="L123" s="28" t="s">
        <v>541</v>
      </c>
      <c r="M123" s="28" t="s">
        <v>495</v>
      </c>
      <c r="N123" s="47" t="s">
        <v>542</v>
      </c>
      <c r="O123" s="120" t="s">
        <v>491</v>
      </c>
      <c r="V123" s="185"/>
    </row>
    <row r="124" spans="1:25" ht="18" customHeight="1">
      <c r="A124" s="184"/>
      <c r="V124" s="185"/>
    </row>
    <row r="125" spans="1:25" ht="18" customHeight="1">
      <c r="A125" s="168"/>
      <c r="B125" s="5"/>
      <c r="C125" s="47" t="s">
        <v>543</v>
      </c>
      <c r="D125" s="14"/>
      <c r="E125" s="14"/>
      <c r="F125" s="14"/>
      <c r="G125" s="14"/>
      <c r="H125" s="279"/>
      <c r="I125" s="120"/>
      <c r="J125" s="279"/>
      <c r="K125" s="279"/>
      <c r="L125" s="14"/>
      <c r="M125" s="14"/>
      <c r="N125" s="14"/>
      <c r="O125" s="14"/>
      <c r="P125" s="14"/>
      <c r="Q125" s="120" t="s">
        <v>544</v>
      </c>
      <c r="R125" s="102" t="s">
        <v>127</v>
      </c>
      <c r="S125" s="689">
        <f>S29</f>
        <v>19200</v>
      </c>
      <c r="T125" s="689"/>
      <c r="U125" s="47" t="s">
        <v>8</v>
      </c>
      <c r="V125" s="185"/>
    </row>
    <row r="126" spans="1:25" ht="18" customHeight="1">
      <c r="A126" s="168"/>
      <c r="B126" s="5"/>
      <c r="C126" s="47" t="s">
        <v>545</v>
      </c>
      <c r="D126" s="14"/>
      <c r="E126" s="14"/>
      <c r="F126" s="18"/>
      <c r="G126" s="18"/>
      <c r="H126" s="279"/>
      <c r="I126" s="120"/>
      <c r="J126" s="279"/>
      <c r="K126" s="279"/>
      <c r="L126" s="14"/>
      <c r="M126" s="14"/>
      <c r="N126" s="14"/>
      <c r="O126" s="14"/>
      <c r="P126" s="14"/>
      <c r="Q126" s="120" t="s">
        <v>423</v>
      </c>
      <c r="R126" s="102" t="s">
        <v>127</v>
      </c>
      <c r="S126" s="689">
        <f>J104</f>
        <v>2800</v>
      </c>
      <c r="T126" s="689"/>
      <c r="U126" s="14" t="s">
        <v>8</v>
      </c>
      <c r="V126" s="185"/>
    </row>
    <row r="127" spans="1:25" ht="18" customHeight="1">
      <c r="A127" s="168"/>
      <c r="B127" s="5"/>
      <c r="C127" s="47" t="s">
        <v>546</v>
      </c>
      <c r="D127" s="14"/>
      <c r="E127" s="14"/>
      <c r="F127" s="18"/>
      <c r="G127" s="18"/>
      <c r="H127" s="279"/>
      <c r="I127" s="120"/>
      <c r="J127" s="279"/>
      <c r="K127" s="279"/>
      <c r="L127" s="14"/>
      <c r="M127" s="14"/>
      <c r="N127" s="14"/>
      <c r="O127" s="14"/>
      <c r="P127" s="14"/>
      <c r="Q127" s="120" t="s">
        <v>473</v>
      </c>
      <c r="R127" s="102" t="s">
        <v>127</v>
      </c>
      <c r="S127" s="689">
        <f>J107</f>
        <v>500</v>
      </c>
      <c r="T127" s="689"/>
      <c r="U127" s="14" t="s">
        <v>305</v>
      </c>
      <c r="V127" s="185"/>
    </row>
    <row r="128" spans="1:25" ht="18" customHeight="1">
      <c r="A128" s="168"/>
      <c r="B128" s="5"/>
      <c r="C128" s="47" t="s">
        <v>547</v>
      </c>
      <c r="D128" s="14"/>
      <c r="E128" s="14"/>
      <c r="F128" s="18"/>
      <c r="G128" s="18"/>
      <c r="H128" s="279"/>
      <c r="I128" s="120"/>
      <c r="J128" s="279"/>
      <c r="K128" s="279"/>
      <c r="L128" s="14"/>
      <c r="M128" s="14"/>
      <c r="N128" s="14"/>
      <c r="O128" s="14"/>
      <c r="P128" s="14"/>
      <c r="Q128" s="120" t="s">
        <v>491</v>
      </c>
      <c r="R128" s="102" t="s">
        <v>127</v>
      </c>
      <c r="S128" s="692">
        <f>P115</f>
        <v>8</v>
      </c>
      <c r="T128" s="689"/>
      <c r="U128" s="14" t="s">
        <v>157</v>
      </c>
      <c r="V128" s="185"/>
      <c r="W128" s="279"/>
      <c r="X128" s="279"/>
      <c r="Y128" s="279"/>
    </row>
    <row r="129" spans="1:25" ht="18" customHeight="1">
      <c r="A129" s="168"/>
      <c r="B129" s="5"/>
      <c r="C129" s="47" t="s">
        <v>548</v>
      </c>
      <c r="D129" s="14"/>
      <c r="E129" s="14"/>
      <c r="F129" s="18"/>
      <c r="G129" s="18"/>
      <c r="H129" s="279"/>
      <c r="I129" s="120"/>
      <c r="J129" s="279"/>
      <c r="K129" s="279"/>
      <c r="L129" s="14"/>
      <c r="M129" s="14"/>
      <c r="N129" s="14"/>
      <c r="O129" s="14"/>
      <c r="P129" s="14"/>
      <c r="Q129" s="120" t="s">
        <v>512</v>
      </c>
      <c r="R129" s="102" t="s">
        <v>127</v>
      </c>
      <c r="S129" s="692">
        <f>J116</f>
        <v>1.0970224400000002</v>
      </c>
      <c r="T129" s="689"/>
      <c r="U129" s="14" t="s">
        <v>157</v>
      </c>
      <c r="V129" s="185"/>
      <c r="X129" s="279"/>
      <c r="Y129" s="279"/>
    </row>
    <row r="130" spans="1:25" ht="18" customHeight="1">
      <c r="A130" s="168"/>
      <c r="B130" s="5"/>
      <c r="C130" s="47" t="s">
        <v>549</v>
      </c>
      <c r="D130" s="14"/>
      <c r="E130" s="14"/>
      <c r="F130" s="14"/>
      <c r="G130" s="14"/>
      <c r="H130" s="279"/>
      <c r="I130" s="120"/>
      <c r="J130" s="279"/>
      <c r="K130" s="279"/>
      <c r="L130" s="14"/>
      <c r="M130" s="14"/>
      <c r="N130" s="14"/>
      <c r="O130" s="14"/>
      <c r="P130" s="14"/>
      <c r="Q130" s="120" t="s">
        <v>511</v>
      </c>
      <c r="R130" s="102" t="s">
        <v>127</v>
      </c>
      <c r="S130" s="689">
        <f>O104</f>
        <v>1</v>
      </c>
      <c r="T130" s="689"/>
      <c r="U130" s="14" t="s">
        <v>8</v>
      </c>
      <c r="V130" s="185"/>
      <c r="X130" s="279"/>
      <c r="Y130" s="279"/>
    </row>
    <row r="131" spans="1:25" ht="18" customHeight="1">
      <c r="A131" s="168"/>
      <c r="B131" s="5"/>
      <c r="C131" s="47" t="s">
        <v>550</v>
      </c>
      <c r="D131" s="14"/>
      <c r="E131" s="14"/>
      <c r="F131" s="14"/>
      <c r="G131" s="14"/>
      <c r="H131" s="279"/>
      <c r="I131" s="120"/>
      <c r="J131" s="279"/>
      <c r="K131" s="279"/>
      <c r="L131" s="14"/>
      <c r="M131" s="14"/>
      <c r="N131" s="14"/>
      <c r="O131" s="14"/>
      <c r="P131" s="14"/>
      <c r="Q131" s="120" t="s">
        <v>495</v>
      </c>
      <c r="R131" s="102" t="s">
        <v>127</v>
      </c>
      <c r="S131" s="689">
        <v>20</v>
      </c>
      <c r="T131" s="689"/>
      <c r="U131" s="47"/>
      <c r="V131" s="185"/>
    </row>
    <row r="132" spans="1:25" ht="18" customHeight="1">
      <c r="A132" s="299"/>
      <c r="B132" s="279"/>
      <c r="C132" s="47" t="s">
        <v>551</v>
      </c>
      <c r="D132" s="14"/>
      <c r="E132" s="14"/>
      <c r="F132" s="14"/>
      <c r="G132" s="14"/>
      <c r="H132" s="279"/>
      <c r="I132" s="120"/>
      <c r="J132" s="279"/>
      <c r="K132" s="279"/>
      <c r="L132" s="14"/>
      <c r="M132" s="14"/>
      <c r="N132" s="279"/>
      <c r="O132" s="279"/>
      <c r="P132" s="14"/>
      <c r="Q132" s="120" t="s">
        <v>493</v>
      </c>
      <c r="R132" s="14"/>
      <c r="S132" s="279"/>
      <c r="T132" s="279"/>
      <c r="U132" s="279"/>
      <c r="V132" s="300"/>
      <c r="W132" s="279"/>
      <c r="X132" s="279"/>
      <c r="Y132" s="279"/>
    </row>
    <row r="133" spans="1:25" ht="18" customHeight="1">
      <c r="A133" s="184"/>
      <c r="V133" s="185"/>
    </row>
    <row r="134" spans="1:25" ht="18" customHeight="1">
      <c r="A134" s="184"/>
      <c r="C134" s="120" t="s">
        <v>493</v>
      </c>
      <c r="D134" s="28" t="s">
        <v>127</v>
      </c>
      <c r="E134" s="28" t="s">
        <v>537</v>
      </c>
      <c r="F134" s="28">
        <v>1.3</v>
      </c>
      <c r="G134" s="28" t="s">
        <v>315</v>
      </c>
      <c r="H134" s="689" t="s">
        <v>473</v>
      </c>
      <c r="I134" s="716"/>
      <c r="J134" s="28" t="s">
        <v>315</v>
      </c>
      <c r="K134" s="28" t="s">
        <v>511</v>
      </c>
      <c r="L134" s="28" t="s">
        <v>541</v>
      </c>
      <c r="M134" s="28" t="s">
        <v>495</v>
      </c>
      <c r="N134" s="47" t="s">
        <v>542</v>
      </c>
      <c r="O134" s="120" t="s">
        <v>491</v>
      </c>
      <c r="V134" s="185"/>
    </row>
    <row r="135" spans="1:25" ht="18" customHeight="1">
      <c r="A135" s="184"/>
      <c r="C135" s="120" t="s">
        <v>493</v>
      </c>
      <c r="D135" s="28" t="s">
        <v>127</v>
      </c>
      <c r="E135" s="28" t="s">
        <v>537</v>
      </c>
      <c r="F135" s="28">
        <v>1.3</v>
      </c>
      <c r="G135" s="28" t="s">
        <v>315</v>
      </c>
      <c r="H135" s="689">
        <f>S127</f>
        <v>500</v>
      </c>
      <c r="I135" s="716"/>
      <c r="J135" s="28" t="s">
        <v>315</v>
      </c>
      <c r="K135" s="28">
        <f>S130</f>
        <v>1</v>
      </c>
      <c r="L135" s="28" t="s">
        <v>541</v>
      </c>
      <c r="M135" s="28">
        <f>S131</f>
        <v>20</v>
      </c>
      <c r="N135" s="47" t="s">
        <v>542</v>
      </c>
      <c r="O135" s="502">
        <f>S128</f>
        <v>8</v>
      </c>
      <c r="V135" s="185"/>
    </row>
    <row r="136" spans="1:25" ht="18" customHeight="1">
      <c r="A136" s="184"/>
      <c r="D136" s="27" t="s">
        <v>127</v>
      </c>
      <c r="E136" s="684">
        <f>((F135*H135*K135)/M135)-O135</f>
        <v>24.5</v>
      </c>
      <c r="F136" s="684"/>
      <c r="G136" s="27" t="s">
        <v>157</v>
      </c>
      <c r="V136" s="185"/>
    </row>
    <row r="137" spans="1:25" ht="18" customHeight="1">
      <c r="A137" s="184"/>
      <c r="D137" s="27"/>
      <c r="E137" s="27"/>
      <c r="F137" s="27"/>
      <c r="G137" s="27"/>
      <c r="V137" s="185"/>
    </row>
    <row r="138" spans="1:25" ht="18" customHeight="1">
      <c r="A138" s="184"/>
      <c r="D138" s="27"/>
      <c r="E138" s="27"/>
      <c r="F138" s="27"/>
      <c r="G138" s="27"/>
      <c r="V138" s="185"/>
    </row>
    <row r="139" spans="1:25" ht="18" hidden="1" customHeight="1">
      <c r="A139" s="184"/>
      <c r="D139" s="27"/>
      <c r="E139" s="27"/>
      <c r="F139" s="27"/>
      <c r="G139" s="27"/>
      <c r="V139" s="185"/>
    </row>
    <row r="140" spans="1:25" ht="18" customHeight="1">
      <c r="A140" s="184"/>
      <c r="D140" s="27"/>
      <c r="E140" s="27"/>
      <c r="F140" s="27"/>
      <c r="G140" s="27"/>
      <c r="V140" s="185"/>
    </row>
    <row r="141" spans="1:25" ht="18" hidden="1" customHeight="1">
      <c r="A141" s="184"/>
      <c r="D141" s="27"/>
      <c r="E141" s="27"/>
      <c r="F141" s="27"/>
      <c r="G141" s="27"/>
      <c r="V141" s="185"/>
    </row>
    <row r="142" spans="1:25" ht="18" hidden="1" customHeight="1">
      <c r="A142" s="184"/>
      <c r="V142" s="185"/>
    </row>
    <row r="143" spans="1:25" s="14" customFormat="1" ht="18" customHeight="1">
      <c r="A143" s="194"/>
      <c r="B143" s="195"/>
      <c r="C143" s="195"/>
      <c r="D143" s="195"/>
      <c r="E143" s="195"/>
      <c r="F143" s="195"/>
      <c r="G143" s="195"/>
      <c r="H143" s="195"/>
      <c r="I143" s="195"/>
      <c r="J143" s="195"/>
      <c r="K143" s="195"/>
      <c r="L143" s="195"/>
      <c r="M143" s="195"/>
      <c r="N143" s="195"/>
      <c r="O143" s="195"/>
      <c r="P143" s="195"/>
      <c r="Q143" s="224"/>
      <c r="R143" s="182"/>
      <c r="S143" s="225"/>
      <c r="T143" s="195"/>
      <c r="U143" s="195"/>
      <c r="V143" s="134"/>
    </row>
    <row r="144" spans="1:25" ht="18" customHeight="1">
      <c r="A144" s="226"/>
      <c r="B144" s="227"/>
      <c r="C144" s="227"/>
      <c r="D144" s="227"/>
      <c r="E144" s="227"/>
      <c r="F144" s="227"/>
      <c r="G144" s="227"/>
      <c r="H144" s="227"/>
      <c r="I144" s="227"/>
      <c r="J144" s="227"/>
      <c r="K144" s="227"/>
      <c r="L144" s="227"/>
      <c r="M144" s="227"/>
      <c r="N144" s="227"/>
      <c r="O144" s="227"/>
      <c r="P144" s="227"/>
      <c r="Q144" s="227"/>
      <c r="R144" s="227"/>
      <c r="S144" s="227"/>
      <c r="T144" s="227"/>
      <c r="U144" s="227"/>
      <c r="V144" s="228"/>
    </row>
    <row r="145" spans="1:22" ht="18" customHeight="1">
      <c r="A145" s="184"/>
      <c r="E145" s="244" t="s">
        <v>111</v>
      </c>
      <c r="F145" s="27" t="s">
        <v>127</v>
      </c>
      <c r="G145" s="689" t="s">
        <v>544</v>
      </c>
      <c r="H145" s="689"/>
      <c r="I145" s="191" t="s">
        <v>342</v>
      </c>
      <c r="J145" s="684" t="s">
        <v>423</v>
      </c>
      <c r="K145" s="684"/>
      <c r="V145" s="185"/>
    </row>
    <row r="146" spans="1:22" ht="18" customHeight="1">
      <c r="A146" s="184"/>
      <c r="F146" s="27" t="s">
        <v>127</v>
      </c>
      <c r="G146" s="684">
        <f>S125</f>
        <v>19200</v>
      </c>
      <c r="H146" s="684"/>
      <c r="I146" s="191" t="s">
        <v>342</v>
      </c>
      <c r="J146" s="684">
        <f>S126</f>
        <v>2800</v>
      </c>
      <c r="K146" s="684"/>
      <c r="V146" s="185"/>
    </row>
    <row r="147" spans="1:22" ht="18" customHeight="1">
      <c r="A147" s="184"/>
      <c r="F147" s="27" t="s">
        <v>127</v>
      </c>
      <c r="G147" s="795">
        <f>G146/J146</f>
        <v>6.8571428571428568</v>
      </c>
      <c r="H147" s="795"/>
      <c r="I147" s="27"/>
      <c r="J147" s="27"/>
      <c r="K147" s="27"/>
      <c r="V147" s="185"/>
    </row>
    <row r="148" spans="1:22" ht="18" customHeight="1">
      <c r="A148" s="184"/>
      <c r="V148" s="185"/>
    </row>
    <row r="149" spans="1:22" ht="18" customHeight="1">
      <c r="A149" s="184"/>
      <c r="E149" s="244" t="s">
        <v>553</v>
      </c>
      <c r="F149" s="27" t="s">
        <v>127</v>
      </c>
      <c r="G149" s="27" t="s">
        <v>495</v>
      </c>
      <c r="H149" s="27" t="s">
        <v>554</v>
      </c>
      <c r="I149" s="120" t="s">
        <v>491</v>
      </c>
      <c r="J149" s="28" t="s">
        <v>347</v>
      </c>
      <c r="K149" s="120" t="s">
        <v>493</v>
      </c>
      <c r="L149" s="28" t="s">
        <v>539</v>
      </c>
      <c r="M149" s="120" t="s">
        <v>491</v>
      </c>
      <c r="N149" s="28" t="s">
        <v>347</v>
      </c>
      <c r="O149" s="120" t="s">
        <v>512</v>
      </c>
      <c r="P149" s="296" t="s">
        <v>350</v>
      </c>
      <c r="V149" s="185"/>
    </row>
    <row r="150" spans="1:22" ht="18" customHeight="1">
      <c r="A150" s="184"/>
      <c r="F150" s="27" t="s">
        <v>127</v>
      </c>
      <c r="G150" s="242">
        <f>S131</f>
        <v>20</v>
      </c>
      <c r="H150" s="245" t="s">
        <v>554</v>
      </c>
      <c r="I150" s="301">
        <f>S128</f>
        <v>8</v>
      </c>
      <c r="J150" s="245" t="s">
        <v>347</v>
      </c>
      <c r="K150" s="301">
        <f>E136</f>
        <v>24.5</v>
      </c>
      <c r="L150" s="245" t="s">
        <v>539</v>
      </c>
      <c r="M150" s="301">
        <f>S128</f>
        <v>8</v>
      </c>
      <c r="N150" s="245" t="s">
        <v>347</v>
      </c>
      <c r="O150" s="301">
        <f>S129</f>
        <v>1.0970224400000002</v>
      </c>
      <c r="P150" s="461" t="s">
        <v>350</v>
      </c>
      <c r="V150" s="185"/>
    </row>
    <row r="151" spans="1:22" ht="18" customHeight="1">
      <c r="A151" s="184"/>
      <c r="F151" s="27" t="s">
        <v>127</v>
      </c>
      <c r="G151" s="795">
        <f>G150*((I150+K150)/(M150+O150))</f>
        <v>71.451950820954551</v>
      </c>
      <c r="H151" s="795"/>
      <c r="V151" s="185"/>
    </row>
    <row r="152" spans="1:22" ht="18" customHeight="1">
      <c r="A152" s="184"/>
      <c r="V152" s="185"/>
    </row>
    <row r="153" spans="1:22" ht="18" customHeight="1">
      <c r="A153" s="184"/>
      <c r="E153" s="244" t="s">
        <v>555</v>
      </c>
      <c r="F153" s="27" t="str">
        <f>IF(D154&gt;G154,"&gt;","&lt;")</f>
        <v>&gt;</v>
      </c>
      <c r="G153" s="296" t="s">
        <v>111</v>
      </c>
      <c r="V153" s="185"/>
    </row>
    <row r="154" spans="1:22" ht="18" customHeight="1">
      <c r="A154" s="184"/>
      <c r="D154" s="795">
        <f>G151</f>
        <v>71.451950820954551</v>
      </c>
      <c r="E154" s="795"/>
      <c r="F154" s="27" t="str">
        <f>F153</f>
        <v>&gt;</v>
      </c>
      <c r="G154" s="795">
        <f>G147</f>
        <v>6.8571428571428568</v>
      </c>
      <c r="H154" s="795"/>
      <c r="V154" s="185"/>
    </row>
    <row r="155" spans="1:22" ht="18.600000000000001" customHeight="1">
      <c r="A155" s="184"/>
      <c r="E155" s="244" t="s">
        <v>478</v>
      </c>
      <c r="G155" s="18" t="str">
        <f>IF(F153="&gt;","Suitably Dimentioned","Under Dimentioned")</f>
        <v>Suitably Dimentioned</v>
      </c>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ht="18" customHeight="1">
      <c r="A170" s="184"/>
      <c r="V170" s="185"/>
    </row>
    <row r="171" spans="1:22" ht="18" customHeight="1">
      <c r="A171" s="184"/>
      <c r="V171" s="185"/>
    </row>
    <row r="172" spans="1:22" ht="18" customHeight="1">
      <c r="A172" s="184"/>
      <c r="V172" s="185"/>
    </row>
    <row r="173" spans="1:22" ht="18" customHeight="1">
      <c r="A173" s="184"/>
      <c r="V173" s="185"/>
    </row>
    <row r="174" spans="1:22" ht="18" customHeight="1">
      <c r="A174" s="184"/>
      <c r="V174" s="185"/>
    </row>
    <row r="175" spans="1:22" ht="18" customHeight="1">
      <c r="A175" s="184"/>
      <c r="V175" s="185"/>
    </row>
    <row r="176" spans="1:22" ht="18" customHeight="1">
      <c r="A176" s="184"/>
      <c r="V176" s="185"/>
    </row>
    <row r="177" spans="1:22" ht="18" customHeight="1">
      <c r="A177" s="184"/>
      <c r="V177" s="185"/>
    </row>
    <row r="178" spans="1:22" ht="18" customHeight="1">
      <c r="A178" s="184"/>
      <c r="V178" s="185"/>
    </row>
    <row r="179" spans="1:22" ht="18" customHeight="1">
      <c r="A179" s="184"/>
      <c r="V179" s="185"/>
    </row>
    <row r="180" spans="1:22" ht="18" customHeight="1">
      <c r="A180" s="184"/>
      <c r="V180" s="185"/>
    </row>
    <row r="181" spans="1:22" ht="18" customHeight="1">
      <c r="A181" s="184"/>
      <c r="V181" s="185"/>
    </row>
    <row r="182" spans="1:22" ht="18" hidden="1" customHeight="1">
      <c r="A182" s="184"/>
      <c r="V182" s="185"/>
    </row>
    <row r="183" spans="1:22" ht="18" hidden="1" customHeight="1">
      <c r="A183" s="184"/>
      <c r="V183" s="185"/>
    </row>
    <row r="184" spans="1:22" ht="18" hidden="1" customHeight="1">
      <c r="A184" s="184"/>
      <c r="V184" s="185"/>
    </row>
    <row r="185" spans="1:22" ht="18" hidden="1" customHeight="1">
      <c r="A185" s="184"/>
      <c r="V185" s="185"/>
    </row>
    <row r="186" spans="1:22" ht="18" customHeight="1">
      <c r="A186" s="184"/>
      <c r="V186" s="185"/>
    </row>
    <row r="187" spans="1:22" ht="18" customHeight="1">
      <c r="A187" s="184"/>
      <c r="V187" s="185"/>
    </row>
    <row r="188" spans="1:22" s="14" customFormat="1" ht="18" customHeight="1">
      <c r="A188" s="194"/>
      <c r="B188" s="195"/>
      <c r="C188" s="195"/>
      <c r="D188" s="195"/>
      <c r="E188" s="195"/>
      <c r="F188" s="195"/>
      <c r="G188" s="195"/>
      <c r="H188" s="195"/>
      <c r="I188" s="195"/>
      <c r="J188" s="195"/>
      <c r="K188" s="195"/>
      <c r="L188" s="195"/>
      <c r="M188" s="195"/>
      <c r="N188" s="195"/>
      <c r="O188" s="195"/>
      <c r="P188" s="195"/>
      <c r="Q188" s="224"/>
      <c r="R188" s="182"/>
      <c r="S188" s="225"/>
      <c r="T188" s="195"/>
      <c r="U188" s="195"/>
      <c r="V188" s="134"/>
    </row>
    <row r="189" spans="1:22" ht="18" hidden="1" customHeight="1">
      <c r="A189" s="226"/>
      <c r="B189" s="227"/>
      <c r="C189" s="227"/>
      <c r="D189" s="227"/>
      <c r="E189" s="227"/>
      <c r="F189" s="227"/>
      <c r="G189" s="227"/>
      <c r="H189" s="227"/>
      <c r="I189" s="227"/>
      <c r="J189" s="227"/>
      <c r="K189" s="227"/>
      <c r="L189" s="227"/>
      <c r="M189" s="227"/>
      <c r="N189" s="227"/>
      <c r="O189" s="227"/>
      <c r="P189" s="227"/>
      <c r="Q189" s="227"/>
      <c r="R189" s="227"/>
      <c r="S189" s="227"/>
      <c r="T189" s="227"/>
      <c r="U189" s="227"/>
      <c r="V189" s="228"/>
    </row>
    <row r="190" spans="1:22" ht="18" hidden="1" customHeight="1">
      <c r="A190" s="184"/>
      <c r="B190" s="854" t="str">
        <f>B101</f>
        <v>T1</v>
      </c>
      <c r="C190" s="831"/>
      <c r="D190" s="853" t="str">
        <f>D101</f>
        <v>Core1</v>
      </c>
      <c r="E190" s="765"/>
      <c r="F190" s="455"/>
      <c r="H190" s="684" t="str">
        <f>H101</f>
        <v>(OC+EF+FMS)</v>
      </c>
      <c r="I190" s="684"/>
      <c r="J190" s="684"/>
      <c r="K190" s="684"/>
      <c r="L190" s="684"/>
      <c r="M190" s="684"/>
      <c r="P190" s="186"/>
      <c r="S190" s="187" t="s">
        <v>387</v>
      </c>
      <c r="T190" s="1123" t="str">
        <f>T101</f>
        <v>REF615</v>
      </c>
      <c r="U190" s="1124"/>
      <c r="V190" s="185"/>
    </row>
    <row r="191" spans="1:22" ht="18" hidden="1" customHeight="1">
      <c r="A191" s="456"/>
      <c r="F191" s="455"/>
      <c r="T191" s="1123">
        <f>T102</f>
        <v>0</v>
      </c>
      <c r="U191" s="1124"/>
      <c r="V191" s="185"/>
    </row>
    <row r="192" spans="1:22" ht="18" hidden="1" customHeight="1">
      <c r="A192" s="184"/>
      <c r="H192" s="708" t="s">
        <v>390</v>
      </c>
      <c r="I192" s="708"/>
      <c r="J192" s="708" t="s">
        <v>391</v>
      </c>
      <c r="K192" s="708"/>
      <c r="L192" s="789" t="s">
        <v>392</v>
      </c>
      <c r="M192" s="789"/>
      <c r="T192" s="1123">
        <f>T103</f>
        <v>0</v>
      </c>
      <c r="U192" s="1124"/>
      <c r="V192" s="185"/>
    </row>
    <row r="193" spans="1:23" ht="18" hidden="1" customHeight="1">
      <c r="A193" s="184"/>
      <c r="B193" s="47" t="s">
        <v>393</v>
      </c>
      <c r="H193" s="854">
        <f>H104</f>
        <v>3200</v>
      </c>
      <c r="I193" s="831"/>
      <c r="J193" s="854">
        <f>J104</f>
        <v>2800</v>
      </c>
      <c r="K193" s="831"/>
      <c r="L193" s="863" t="str">
        <f>L104</f>
        <v>-</v>
      </c>
      <c r="M193" s="864"/>
      <c r="N193" s="191" t="s">
        <v>342</v>
      </c>
      <c r="O193" s="256">
        <f>O104</f>
        <v>1</v>
      </c>
      <c r="P193" s="27" t="s">
        <v>8</v>
      </c>
      <c r="R193" s="255"/>
      <c r="S193" s="255"/>
      <c r="V193" s="185"/>
    </row>
    <row r="194" spans="1:23" ht="18" hidden="1" customHeight="1">
      <c r="A194" s="184"/>
      <c r="B194" s="47" t="s">
        <v>394</v>
      </c>
      <c r="L194" s="854" t="str">
        <f>J105</f>
        <v>PX</v>
      </c>
      <c r="M194" s="831"/>
      <c r="V194" s="185"/>
    </row>
    <row r="195" spans="1:23" ht="18" hidden="1" customHeight="1">
      <c r="A195" s="184"/>
      <c r="B195" s="47" t="s">
        <v>396</v>
      </c>
      <c r="K195" s="120" t="s">
        <v>497</v>
      </c>
      <c r="L195" s="1075">
        <v>8</v>
      </c>
      <c r="M195" s="1076"/>
      <c r="N195" s="192" t="s">
        <v>333</v>
      </c>
      <c r="V195" s="185"/>
    </row>
    <row r="196" spans="1:23" ht="18" hidden="1" customHeight="1">
      <c r="A196" s="184"/>
      <c r="B196" s="47" t="s">
        <v>398</v>
      </c>
      <c r="K196" s="120" t="s">
        <v>498</v>
      </c>
      <c r="L196" s="1075">
        <v>800</v>
      </c>
      <c r="M196" s="1076"/>
      <c r="N196" s="14" t="s">
        <v>305</v>
      </c>
      <c r="V196" s="185"/>
      <c r="W196" s="30" t="e">
        <f>G244</f>
        <v>#VALUE!</v>
      </c>
    </row>
    <row r="197" spans="1:23" ht="18" hidden="1" customHeight="1">
      <c r="A197" s="184"/>
      <c r="B197" s="14" t="s">
        <v>401</v>
      </c>
      <c r="K197" s="120" t="s">
        <v>402</v>
      </c>
      <c r="L197" s="1075">
        <v>75</v>
      </c>
      <c r="M197" s="1076"/>
      <c r="N197" s="14" t="s">
        <v>403</v>
      </c>
      <c r="V197" s="185"/>
    </row>
    <row r="198" spans="1:23" ht="18" hidden="1" customHeight="1">
      <c r="A198" s="184"/>
      <c r="V198" s="185"/>
    </row>
    <row r="199" spans="1:23" ht="18" hidden="1" customHeight="1">
      <c r="A199" s="193" t="s">
        <v>404</v>
      </c>
      <c r="V199" s="185"/>
    </row>
    <row r="200" spans="1:23" ht="18" hidden="1" customHeight="1">
      <c r="A200" s="184"/>
      <c r="V200" s="185"/>
    </row>
    <row r="201" spans="1:23" ht="18" hidden="1" customHeight="1">
      <c r="A201" s="184"/>
      <c r="B201" s="135" t="s">
        <v>405</v>
      </c>
      <c r="C201" s="273"/>
      <c r="D201" s="139" t="str">
        <f>T190</f>
        <v>REF615</v>
      </c>
      <c r="E201" s="227"/>
      <c r="F201" s="227"/>
      <c r="G201" s="227"/>
      <c r="H201" s="138"/>
      <c r="I201" s="260" t="s">
        <v>127</v>
      </c>
      <c r="J201" s="722">
        <f>J112</f>
        <v>0.02</v>
      </c>
      <c r="K201" s="958"/>
      <c r="L201" s="3" t="s">
        <v>157</v>
      </c>
      <c r="N201" s="197" t="s">
        <v>510</v>
      </c>
      <c r="V201" s="185"/>
    </row>
    <row r="202" spans="1:23" ht="18" hidden="1" customHeight="1">
      <c r="A202" s="184"/>
      <c r="B202" s="96" t="s">
        <v>405</v>
      </c>
      <c r="C202" s="14"/>
      <c r="D202" s="47">
        <f>T191</f>
        <v>0</v>
      </c>
      <c r="H202" s="28"/>
      <c r="I202" s="101" t="s">
        <v>127</v>
      </c>
      <c r="J202" s="722">
        <f>J113</f>
        <v>0</v>
      </c>
      <c r="K202" s="958"/>
      <c r="L202" s="3" t="s">
        <v>157</v>
      </c>
      <c r="N202" s="120" t="s">
        <v>491</v>
      </c>
      <c r="O202" s="27" t="s">
        <v>127</v>
      </c>
      <c r="P202" s="27" t="s">
        <v>511</v>
      </c>
      <c r="Q202" s="27" t="s">
        <v>315</v>
      </c>
      <c r="R202" s="27" t="s">
        <v>511</v>
      </c>
      <c r="S202" s="27" t="s">
        <v>315</v>
      </c>
      <c r="T202" s="27" t="s">
        <v>420</v>
      </c>
      <c r="V202" s="185"/>
    </row>
    <row r="203" spans="1:23" ht="18" hidden="1" customHeight="1">
      <c r="A203" s="184"/>
      <c r="B203" s="96" t="s">
        <v>405</v>
      </c>
      <c r="C203" s="14"/>
      <c r="D203" s="47">
        <f>T192</f>
        <v>0</v>
      </c>
      <c r="H203" s="28"/>
      <c r="I203" s="101" t="s">
        <v>127</v>
      </c>
      <c r="J203" s="722">
        <f>J114</f>
        <v>0</v>
      </c>
      <c r="K203" s="958"/>
      <c r="L203" s="3" t="s">
        <v>157</v>
      </c>
      <c r="N203" s="27"/>
      <c r="O203" s="27" t="s">
        <v>127</v>
      </c>
      <c r="P203" s="27">
        <f>O193</f>
        <v>1</v>
      </c>
      <c r="Q203" s="27" t="s">
        <v>315</v>
      </c>
      <c r="R203" s="27">
        <f>O193</f>
        <v>1</v>
      </c>
      <c r="S203" s="27" t="s">
        <v>315</v>
      </c>
      <c r="T203" s="27">
        <f>L195</f>
        <v>8</v>
      </c>
      <c r="V203" s="185"/>
    </row>
    <row r="204" spans="1:23" ht="18" hidden="1" customHeight="1">
      <c r="A204" s="184"/>
      <c r="B204" s="452" t="s">
        <v>412</v>
      </c>
      <c r="C204" s="259"/>
      <c r="D204" s="259"/>
      <c r="E204" s="259"/>
      <c r="F204" s="207"/>
      <c r="G204" s="207"/>
      <c r="H204" s="190"/>
      <c r="I204" s="208" t="s">
        <v>127</v>
      </c>
      <c r="J204" s="1120">
        <f>J115</f>
        <v>1.0770224400000001</v>
      </c>
      <c r="K204" s="987"/>
      <c r="L204" s="297" t="s">
        <v>157</v>
      </c>
      <c r="O204" s="27" t="s">
        <v>127</v>
      </c>
      <c r="P204" s="795">
        <f>P203*R203*T203</f>
        <v>8</v>
      </c>
      <c r="Q204" s="684"/>
      <c r="R204" s="27" t="s">
        <v>157</v>
      </c>
      <c r="V204" s="185"/>
    </row>
    <row r="205" spans="1:23" ht="18" hidden="1" customHeight="1">
      <c r="A205" s="184"/>
      <c r="B205" s="1" t="s">
        <v>413</v>
      </c>
      <c r="C205" s="2"/>
      <c r="D205" s="2"/>
      <c r="E205" s="2"/>
      <c r="F205" s="196"/>
      <c r="G205" s="196"/>
      <c r="H205" s="224" t="s">
        <v>512</v>
      </c>
      <c r="I205" s="183" t="s">
        <v>127</v>
      </c>
      <c r="J205" s="722">
        <f>SUM(J201:J204)</f>
        <v>1.0970224400000002</v>
      </c>
      <c r="K205" s="958"/>
      <c r="L205" s="3" t="s">
        <v>157</v>
      </c>
      <c r="V205" s="185"/>
    </row>
    <row r="206" spans="1:23" ht="18" hidden="1" customHeight="1">
      <c r="A206" s="184"/>
      <c r="B206" s="47"/>
      <c r="C206" s="47"/>
      <c r="D206" s="47"/>
      <c r="E206" s="47"/>
      <c r="H206" s="27"/>
      <c r="I206" s="28"/>
      <c r="J206" s="199"/>
      <c r="L206" s="47"/>
      <c r="S206" s="27"/>
      <c r="V206" s="185"/>
    </row>
    <row r="207" spans="1:23" ht="18" hidden="1" customHeight="1">
      <c r="A207" s="1206" t="s">
        <v>536</v>
      </c>
      <c r="B207" s="1207"/>
      <c r="C207" s="1207"/>
      <c r="D207" s="1207"/>
      <c r="E207" s="1207"/>
      <c r="F207" s="1207"/>
      <c r="G207" s="1207"/>
      <c r="H207" s="1207"/>
      <c r="I207" s="1207"/>
      <c r="J207" s="1207"/>
      <c r="K207" s="1207"/>
      <c r="L207" s="1207"/>
      <c r="M207" s="1207"/>
      <c r="N207" s="1207"/>
      <c r="O207" s="1207"/>
      <c r="P207" s="1207"/>
      <c r="Q207" s="1207"/>
      <c r="R207" s="1207"/>
      <c r="S207" s="1207"/>
      <c r="T207" s="1207"/>
      <c r="U207" s="1207"/>
      <c r="V207" s="1208"/>
    </row>
    <row r="208" spans="1:23" ht="18" hidden="1" customHeight="1">
      <c r="A208" s="1209"/>
      <c r="B208" s="1207"/>
      <c r="C208" s="1207"/>
      <c r="D208" s="1207"/>
      <c r="E208" s="1207"/>
      <c r="F208" s="1207"/>
      <c r="G208" s="1207"/>
      <c r="H208" s="1207"/>
      <c r="I208" s="1207"/>
      <c r="J208" s="1207"/>
      <c r="K208" s="1207"/>
      <c r="L208" s="1207"/>
      <c r="M208" s="1207"/>
      <c r="N208" s="1207"/>
      <c r="O208" s="1207"/>
      <c r="P208" s="1207"/>
      <c r="Q208" s="1207"/>
      <c r="R208" s="1207"/>
      <c r="S208" s="1207"/>
      <c r="T208" s="1207"/>
      <c r="U208" s="1207"/>
      <c r="V208" s="1208"/>
    </row>
    <row r="209" spans="1:25" ht="18" hidden="1" customHeight="1">
      <c r="A209" s="184"/>
      <c r="Q209" s="211"/>
      <c r="R209" s="192"/>
      <c r="V209" s="185"/>
    </row>
    <row r="210" spans="1:25" ht="18" hidden="1" customHeight="1">
      <c r="A210" s="184"/>
      <c r="C210" s="14" t="s">
        <v>473</v>
      </c>
      <c r="D210" s="28" t="s">
        <v>127</v>
      </c>
      <c r="E210" s="28" t="s">
        <v>537</v>
      </c>
      <c r="F210" s="120" t="s">
        <v>493</v>
      </c>
      <c r="G210" s="28" t="s">
        <v>347</v>
      </c>
      <c r="H210" s="120" t="s">
        <v>491</v>
      </c>
      <c r="I210" s="28" t="s">
        <v>538</v>
      </c>
      <c r="J210" s="28" t="s">
        <v>495</v>
      </c>
      <c r="K210" s="28" t="s">
        <v>539</v>
      </c>
      <c r="L210" s="28" t="s">
        <v>511</v>
      </c>
      <c r="M210" s="28" t="s">
        <v>315</v>
      </c>
      <c r="N210" s="28">
        <v>1.3</v>
      </c>
      <c r="O210" s="47" t="s">
        <v>350</v>
      </c>
      <c r="V210" s="185"/>
    </row>
    <row r="211" spans="1:25" ht="18" hidden="1" customHeight="1">
      <c r="A211" s="184" t="s">
        <v>540</v>
      </c>
      <c r="C211" s="14"/>
      <c r="D211" s="28"/>
      <c r="E211" s="14"/>
      <c r="F211" s="14"/>
      <c r="G211" s="14"/>
      <c r="H211" s="14"/>
      <c r="I211" s="14"/>
      <c r="J211" s="14"/>
      <c r="K211" s="14"/>
      <c r="L211" s="14"/>
      <c r="M211" s="14"/>
      <c r="N211" s="14"/>
      <c r="O211" s="14"/>
      <c r="V211" s="185"/>
    </row>
    <row r="212" spans="1:25" ht="18" hidden="1" customHeight="1">
      <c r="A212" s="184"/>
      <c r="C212" s="120" t="s">
        <v>493</v>
      </c>
      <c r="D212" s="28" t="s">
        <v>127</v>
      </c>
      <c r="E212" s="28" t="s">
        <v>537</v>
      </c>
      <c r="F212" s="28">
        <v>1.3</v>
      </c>
      <c r="G212" s="28" t="s">
        <v>315</v>
      </c>
      <c r="H212" s="689" t="s">
        <v>473</v>
      </c>
      <c r="I212" s="716"/>
      <c r="J212" s="28" t="s">
        <v>315</v>
      </c>
      <c r="K212" s="28" t="s">
        <v>511</v>
      </c>
      <c r="L212" s="28" t="s">
        <v>541</v>
      </c>
      <c r="M212" s="28" t="s">
        <v>495</v>
      </c>
      <c r="N212" s="47" t="s">
        <v>542</v>
      </c>
      <c r="O212" s="120" t="s">
        <v>491</v>
      </c>
      <c r="V212" s="185"/>
    </row>
    <row r="213" spans="1:25" ht="18" hidden="1" customHeight="1">
      <c r="A213" s="184"/>
      <c r="V213" s="185"/>
    </row>
    <row r="214" spans="1:25" ht="18" hidden="1" customHeight="1">
      <c r="A214" s="168"/>
      <c r="B214" s="5"/>
      <c r="C214" s="47" t="s">
        <v>543</v>
      </c>
      <c r="D214" s="14"/>
      <c r="E214" s="14"/>
      <c r="F214" s="14"/>
      <c r="G214" s="14"/>
      <c r="H214" s="279"/>
      <c r="I214" s="120"/>
      <c r="J214" s="279"/>
      <c r="K214" s="279"/>
      <c r="L214" s="14"/>
      <c r="M214" s="14"/>
      <c r="N214" s="14"/>
      <c r="O214" s="14"/>
      <c r="P214" s="14"/>
      <c r="Q214" s="120" t="s">
        <v>544</v>
      </c>
      <c r="R214" s="102" t="s">
        <v>127</v>
      </c>
      <c r="S214" s="689">
        <f>S125</f>
        <v>19200</v>
      </c>
      <c r="T214" s="689"/>
      <c r="U214" s="47" t="s">
        <v>8</v>
      </c>
      <c r="V214" s="185"/>
    </row>
    <row r="215" spans="1:25" ht="18" hidden="1" customHeight="1">
      <c r="A215" s="168"/>
      <c r="B215" s="5"/>
      <c r="C215" s="47" t="s">
        <v>545</v>
      </c>
      <c r="D215" s="14"/>
      <c r="E215" s="14"/>
      <c r="F215" s="18"/>
      <c r="G215" s="18"/>
      <c r="H215" s="279"/>
      <c r="I215" s="120"/>
      <c r="J215" s="279"/>
      <c r="K215" s="279"/>
      <c r="L215" s="14"/>
      <c r="M215" s="14"/>
      <c r="N215" s="14"/>
      <c r="O215" s="14"/>
      <c r="P215" s="14"/>
      <c r="Q215" s="120" t="s">
        <v>423</v>
      </c>
      <c r="R215" s="102" t="s">
        <v>127</v>
      </c>
      <c r="S215" s="689" t="str">
        <f>L193</f>
        <v>-</v>
      </c>
      <c r="T215" s="689"/>
      <c r="U215" s="14" t="s">
        <v>8</v>
      </c>
      <c r="V215" s="185"/>
    </row>
    <row r="216" spans="1:25" ht="18" hidden="1" customHeight="1">
      <c r="A216" s="168"/>
      <c r="B216" s="5"/>
      <c r="C216" s="47" t="s">
        <v>546</v>
      </c>
      <c r="D216" s="14"/>
      <c r="E216" s="14"/>
      <c r="F216" s="18"/>
      <c r="G216" s="18"/>
      <c r="H216" s="279"/>
      <c r="I216" s="120"/>
      <c r="J216" s="279"/>
      <c r="K216" s="279"/>
      <c r="L216" s="14"/>
      <c r="M216" s="14"/>
      <c r="N216" s="14"/>
      <c r="O216" s="14"/>
      <c r="P216" s="14"/>
      <c r="Q216" s="120" t="s">
        <v>473</v>
      </c>
      <c r="R216" s="102" t="s">
        <v>127</v>
      </c>
      <c r="S216" s="689">
        <f>L196</f>
        <v>800</v>
      </c>
      <c r="T216" s="689"/>
      <c r="U216" s="14" t="s">
        <v>305</v>
      </c>
      <c r="V216" s="185"/>
    </row>
    <row r="217" spans="1:25" ht="18" hidden="1" customHeight="1">
      <c r="A217" s="168"/>
      <c r="B217" s="5"/>
      <c r="C217" s="47" t="s">
        <v>547</v>
      </c>
      <c r="D217" s="14"/>
      <c r="E217" s="14"/>
      <c r="F217" s="18"/>
      <c r="G217" s="18"/>
      <c r="H217" s="279"/>
      <c r="I217" s="120"/>
      <c r="J217" s="279"/>
      <c r="K217" s="279"/>
      <c r="L217" s="14"/>
      <c r="M217" s="14"/>
      <c r="N217" s="14"/>
      <c r="O217" s="14"/>
      <c r="P217" s="14"/>
      <c r="Q217" s="120" t="s">
        <v>491</v>
      </c>
      <c r="R217" s="102" t="s">
        <v>127</v>
      </c>
      <c r="S217" s="692">
        <f>P204</f>
        <v>8</v>
      </c>
      <c r="T217" s="689"/>
      <c r="U217" s="14" t="s">
        <v>157</v>
      </c>
      <c r="V217" s="185"/>
      <c r="W217" s="279"/>
      <c r="X217" s="279"/>
      <c r="Y217" s="279"/>
    </row>
    <row r="218" spans="1:25" ht="18" hidden="1" customHeight="1">
      <c r="A218" s="168"/>
      <c r="B218" s="5"/>
      <c r="C218" s="47" t="s">
        <v>548</v>
      </c>
      <c r="D218" s="14"/>
      <c r="E218" s="14"/>
      <c r="F218" s="18"/>
      <c r="G218" s="18"/>
      <c r="H218" s="279"/>
      <c r="I218" s="120"/>
      <c r="J218" s="279"/>
      <c r="K218" s="279"/>
      <c r="L218" s="14"/>
      <c r="M218" s="14"/>
      <c r="N218" s="14"/>
      <c r="O218" s="14"/>
      <c r="P218" s="14"/>
      <c r="Q218" s="120" t="s">
        <v>512</v>
      </c>
      <c r="R218" s="102" t="s">
        <v>127</v>
      </c>
      <c r="S218" s="692">
        <f>J205</f>
        <v>1.0970224400000002</v>
      </c>
      <c r="T218" s="689"/>
      <c r="U218" s="14" t="s">
        <v>157</v>
      </c>
      <c r="V218" s="185"/>
      <c r="X218" s="279"/>
      <c r="Y218" s="279"/>
    </row>
    <row r="219" spans="1:25" ht="18" hidden="1" customHeight="1">
      <c r="A219" s="168"/>
      <c r="B219" s="5"/>
      <c r="C219" s="47" t="s">
        <v>549</v>
      </c>
      <c r="D219" s="14"/>
      <c r="E219" s="14"/>
      <c r="F219" s="14"/>
      <c r="G219" s="14"/>
      <c r="H219" s="279"/>
      <c r="I219" s="120"/>
      <c r="J219" s="279"/>
      <c r="K219" s="279"/>
      <c r="L219" s="14"/>
      <c r="M219" s="14"/>
      <c r="N219" s="14"/>
      <c r="O219" s="14"/>
      <c r="P219" s="14"/>
      <c r="Q219" s="120" t="s">
        <v>511</v>
      </c>
      <c r="R219" s="102" t="s">
        <v>127</v>
      </c>
      <c r="S219" s="689">
        <f>O193</f>
        <v>1</v>
      </c>
      <c r="T219" s="689"/>
      <c r="U219" s="14" t="s">
        <v>8</v>
      </c>
      <c r="V219" s="185"/>
      <c r="X219" s="279"/>
      <c r="Y219" s="279"/>
    </row>
    <row r="220" spans="1:25" ht="18" hidden="1" customHeight="1">
      <c r="A220" s="168"/>
      <c r="B220" s="5"/>
      <c r="C220" s="47" t="s">
        <v>550</v>
      </c>
      <c r="D220" s="14"/>
      <c r="E220" s="14"/>
      <c r="F220" s="14"/>
      <c r="G220" s="14"/>
      <c r="H220" s="279"/>
      <c r="I220" s="120"/>
      <c r="J220" s="279"/>
      <c r="K220" s="279"/>
      <c r="L220" s="14"/>
      <c r="M220" s="14"/>
      <c r="N220" s="14"/>
      <c r="O220" s="14"/>
      <c r="P220" s="14"/>
      <c r="Q220" s="120" t="s">
        <v>495</v>
      </c>
      <c r="R220" s="102" t="s">
        <v>127</v>
      </c>
      <c r="S220" s="689">
        <v>20</v>
      </c>
      <c r="T220" s="689"/>
      <c r="U220" s="47"/>
      <c r="V220" s="185"/>
    </row>
    <row r="221" spans="1:25" ht="18" hidden="1" customHeight="1">
      <c r="A221" s="299"/>
      <c r="B221" s="279"/>
      <c r="C221" s="47" t="s">
        <v>551</v>
      </c>
      <c r="D221" s="14"/>
      <c r="E221" s="14"/>
      <c r="F221" s="14"/>
      <c r="G221" s="14"/>
      <c r="H221" s="279"/>
      <c r="I221" s="120"/>
      <c r="J221" s="279"/>
      <c r="K221" s="279"/>
      <c r="L221" s="14"/>
      <c r="M221" s="14"/>
      <c r="N221" s="279"/>
      <c r="O221" s="279"/>
      <c r="P221" s="14"/>
      <c r="Q221" s="120" t="s">
        <v>493</v>
      </c>
      <c r="R221" s="14"/>
      <c r="S221" s="279"/>
      <c r="T221" s="279"/>
      <c r="U221" s="279"/>
      <c r="V221" s="300"/>
      <c r="W221" s="279"/>
      <c r="X221" s="279"/>
      <c r="Y221" s="279"/>
    </row>
    <row r="222" spans="1:25" ht="18" hidden="1" customHeight="1">
      <c r="A222" s="184"/>
      <c r="V222" s="185"/>
    </row>
    <row r="223" spans="1:25" ht="18" hidden="1" customHeight="1">
      <c r="A223" s="184"/>
      <c r="C223" s="120" t="s">
        <v>493</v>
      </c>
      <c r="D223" s="28" t="s">
        <v>127</v>
      </c>
      <c r="E223" s="28" t="s">
        <v>537</v>
      </c>
      <c r="F223" s="28">
        <v>1.3</v>
      </c>
      <c r="G223" s="28" t="s">
        <v>315</v>
      </c>
      <c r="H223" s="689" t="s">
        <v>473</v>
      </c>
      <c r="I223" s="716"/>
      <c r="J223" s="28" t="s">
        <v>315</v>
      </c>
      <c r="K223" s="28" t="s">
        <v>511</v>
      </c>
      <c r="L223" s="28" t="s">
        <v>541</v>
      </c>
      <c r="M223" s="28" t="s">
        <v>495</v>
      </c>
      <c r="N223" s="47" t="s">
        <v>542</v>
      </c>
      <c r="O223" s="120" t="s">
        <v>491</v>
      </c>
      <c r="V223" s="185"/>
    </row>
    <row r="224" spans="1:25" ht="18" hidden="1" customHeight="1">
      <c r="A224" s="184"/>
      <c r="C224" s="120" t="s">
        <v>493</v>
      </c>
      <c r="D224" s="28" t="s">
        <v>127</v>
      </c>
      <c r="E224" s="28" t="s">
        <v>537</v>
      </c>
      <c r="F224" s="28">
        <v>1.3</v>
      </c>
      <c r="G224" s="28" t="s">
        <v>315</v>
      </c>
      <c r="H224" s="689">
        <f>S216</f>
        <v>800</v>
      </c>
      <c r="I224" s="716"/>
      <c r="J224" s="28" t="s">
        <v>315</v>
      </c>
      <c r="K224" s="28">
        <f>S219</f>
        <v>1</v>
      </c>
      <c r="L224" s="28" t="s">
        <v>541</v>
      </c>
      <c r="M224" s="28">
        <f>S220</f>
        <v>20</v>
      </c>
      <c r="N224" s="47" t="s">
        <v>542</v>
      </c>
      <c r="O224" s="502">
        <f>S217</f>
        <v>8</v>
      </c>
      <c r="V224" s="185"/>
    </row>
    <row r="225" spans="1:22" ht="18" hidden="1" customHeight="1">
      <c r="A225" s="184"/>
      <c r="D225" s="27" t="s">
        <v>127</v>
      </c>
      <c r="E225" s="684">
        <f>((F224*H224*K224)/M224)-O224</f>
        <v>44</v>
      </c>
      <c r="F225" s="684"/>
      <c r="G225" s="27" t="s">
        <v>157</v>
      </c>
      <c r="V225" s="185"/>
    </row>
    <row r="226" spans="1:22" ht="18" hidden="1" customHeight="1">
      <c r="A226" s="184"/>
      <c r="D226" s="27"/>
      <c r="E226" s="27"/>
      <c r="F226" s="27"/>
      <c r="G226" s="27"/>
      <c r="V226" s="185"/>
    </row>
    <row r="227" spans="1:22" ht="18" hidden="1" customHeight="1">
      <c r="A227" s="184"/>
      <c r="D227" s="27"/>
      <c r="E227" s="27"/>
      <c r="F227" s="27"/>
      <c r="G227" s="27"/>
      <c r="V227" s="185"/>
    </row>
    <row r="228" spans="1:22" ht="18" hidden="1" customHeight="1">
      <c r="A228" s="184"/>
      <c r="D228" s="27"/>
      <c r="E228" s="27"/>
      <c r="F228" s="27"/>
      <c r="G228" s="27"/>
      <c r="V228" s="185"/>
    </row>
    <row r="229" spans="1:22" ht="18" hidden="1" customHeight="1">
      <c r="A229" s="184"/>
      <c r="D229" s="27"/>
      <c r="E229" s="27"/>
      <c r="F229" s="27"/>
      <c r="G229" s="27"/>
      <c r="V229" s="185"/>
    </row>
    <row r="230" spans="1:22" ht="18" hidden="1" customHeight="1">
      <c r="A230" s="184"/>
      <c r="D230" s="27"/>
      <c r="E230" s="27"/>
      <c r="F230" s="27"/>
      <c r="G230" s="27"/>
      <c r="V230" s="185"/>
    </row>
    <row r="231" spans="1:22" ht="18" hidden="1" customHeight="1">
      <c r="A231" s="184"/>
      <c r="V231" s="185"/>
    </row>
    <row r="232" spans="1:22" s="14" customFormat="1" ht="18" hidden="1" customHeight="1">
      <c r="A232" s="194"/>
      <c r="B232" s="195"/>
      <c r="C232" s="195"/>
      <c r="D232" s="195"/>
      <c r="E232" s="195"/>
      <c r="F232" s="195"/>
      <c r="G232" s="195"/>
      <c r="H232" s="195"/>
      <c r="I232" s="195"/>
      <c r="J232" s="195"/>
      <c r="K232" s="195"/>
      <c r="L232" s="195"/>
      <c r="M232" s="195"/>
      <c r="N232" s="195"/>
      <c r="O232" s="195"/>
      <c r="P232" s="195"/>
      <c r="Q232" s="224"/>
      <c r="R232" s="182"/>
      <c r="S232" s="225"/>
      <c r="T232" s="195"/>
      <c r="U232" s="195"/>
      <c r="V232" s="134" t="s">
        <v>552</v>
      </c>
    </row>
    <row r="233" spans="1:22" ht="18" hidden="1" customHeight="1">
      <c r="A233" s="226"/>
      <c r="B233" s="227"/>
      <c r="C233" s="227"/>
      <c r="D233" s="227"/>
      <c r="E233" s="227"/>
      <c r="F233" s="227"/>
      <c r="G233" s="227"/>
      <c r="H233" s="227"/>
      <c r="I233" s="227"/>
      <c r="J233" s="227"/>
      <c r="K233" s="227"/>
      <c r="L233" s="227"/>
      <c r="M233" s="227"/>
      <c r="N233" s="227"/>
      <c r="O233" s="227"/>
      <c r="P233" s="227"/>
      <c r="Q233" s="227"/>
      <c r="R233" s="227"/>
      <c r="S233" s="227"/>
      <c r="T233" s="227"/>
      <c r="U233" s="227"/>
      <c r="V233" s="228"/>
    </row>
    <row r="234" spans="1:22" ht="18" hidden="1" customHeight="1">
      <c r="A234" s="184"/>
      <c r="E234" s="244" t="s">
        <v>111</v>
      </c>
      <c r="F234" s="27" t="s">
        <v>127</v>
      </c>
      <c r="G234" s="689" t="s">
        <v>544</v>
      </c>
      <c r="H234" s="689"/>
      <c r="I234" s="191" t="s">
        <v>342</v>
      </c>
      <c r="J234" s="684" t="s">
        <v>423</v>
      </c>
      <c r="K234" s="684"/>
      <c r="V234" s="185"/>
    </row>
    <row r="235" spans="1:22" ht="18" hidden="1" customHeight="1">
      <c r="A235" s="184"/>
      <c r="F235" s="27" t="s">
        <v>127</v>
      </c>
      <c r="G235" s="684">
        <f>S214</f>
        <v>19200</v>
      </c>
      <c r="H235" s="684"/>
      <c r="I235" s="191" t="s">
        <v>342</v>
      </c>
      <c r="J235" s="684" t="str">
        <f>S215</f>
        <v>-</v>
      </c>
      <c r="K235" s="684"/>
      <c r="V235" s="185"/>
    </row>
    <row r="236" spans="1:22" ht="18" hidden="1" customHeight="1">
      <c r="A236" s="184"/>
      <c r="F236" s="27" t="s">
        <v>127</v>
      </c>
      <c r="G236" s="795" t="e">
        <f>G235/J235</f>
        <v>#VALUE!</v>
      </c>
      <c r="H236" s="795"/>
      <c r="I236" s="27"/>
      <c r="J236" s="27"/>
      <c r="K236" s="27"/>
      <c r="V236" s="185"/>
    </row>
    <row r="237" spans="1:22" ht="18" hidden="1" customHeight="1">
      <c r="A237" s="184"/>
      <c r="V237" s="185"/>
    </row>
    <row r="238" spans="1:22" ht="18" hidden="1" customHeight="1">
      <c r="A238" s="184"/>
      <c r="E238" s="244" t="s">
        <v>553</v>
      </c>
      <c r="F238" s="27" t="s">
        <v>127</v>
      </c>
      <c r="G238" s="27" t="s">
        <v>495</v>
      </c>
      <c r="H238" s="27" t="s">
        <v>554</v>
      </c>
      <c r="I238" s="120" t="s">
        <v>491</v>
      </c>
      <c r="J238" s="28" t="s">
        <v>347</v>
      </c>
      <c r="K238" s="120" t="s">
        <v>493</v>
      </c>
      <c r="L238" s="28" t="s">
        <v>539</v>
      </c>
      <c r="M238" s="120" t="s">
        <v>491</v>
      </c>
      <c r="N238" s="28" t="s">
        <v>347</v>
      </c>
      <c r="O238" s="120" t="s">
        <v>512</v>
      </c>
      <c r="P238" s="296" t="s">
        <v>350</v>
      </c>
      <c r="V238" s="185"/>
    </row>
    <row r="239" spans="1:22" ht="18" hidden="1" customHeight="1">
      <c r="A239" s="184"/>
      <c r="F239" s="27" t="s">
        <v>127</v>
      </c>
      <c r="G239" s="242">
        <f>S220</f>
        <v>20</v>
      </c>
      <c r="H239" s="245" t="s">
        <v>554</v>
      </c>
      <c r="I239" s="301">
        <f>S217</f>
        <v>8</v>
      </c>
      <c r="J239" s="245" t="s">
        <v>347</v>
      </c>
      <c r="K239" s="301">
        <f>E225</f>
        <v>44</v>
      </c>
      <c r="L239" s="245" t="s">
        <v>539</v>
      </c>
      <c r="M239" s="301">
        <f>S217</f>
        <v>8</v>
      </c>
      <c r="N239" s="245" t="s">
        <v>347</v>
      </c>
      <c r="O239" s="301">
        <f>S218</f>
        <v>1.0970224400000002</v>
      </c>
      <c r="P239" s="461" t="s">
        <v>350</v>
      </c>
      <c r="V239" s="185"/>
    </row>
    <row r="240" spans="1:22" ht="18" hidden="1" customHeight="1">
      <c r="A240" s="184"/>
      <c r="F240" s="27" t="s">
        <v>127</v>
      </c>
      <c r="G240" s="795">
        <f>G239*((I239+K239)/(M239+O239))</f>
        <v>114.3231213135273</v>
      </c>
      <c r="H240" s="795"/>
      <c r="V240" s="185"/>
    </row>
    <row r="241" spans="1:22" ht="18" hidden="1" customHeight="1">
      <c r="A241" s="184"/>
      <c r="V241" s="185"/>
    </row>
    <row r="242" spans="1:22" ht="18" hidden="1" customHeight="1">
      <c r="A242" s="184"/>
      <c r="E242" s="244" t="s">
        <v>555</v>
      </c>
      <c r="F242" s="27" t="e">
        <f>IF(D243&gt;G243,"&gt;","&lt;")</f>
        <v>#VALUE!</v>
      </c>
      <c r="G242" s="296" t="s">
        <v>111</v>
      </c>
      <c r="V242" s="185"/>
    </row>
    <row r="243" spans="1:22" ht="18" hidden="1" customHeight="1">
      <c r="A243" s="184"/>
      <c r="D243" s="795">
        <f>G240</f>
        <v>114.3231213135273</v>
      </c>
      <c r="E243" s="795"/>
      <c r="F243" s="27" t="e">
        <f>F242</f>
        <v>#VALUE!</v>
      </c>
      <c r="G243" s="795" t="e">
        <f>G236</f>
        <v>#VALUE!</v>
      </c>
      <c r="H243" s="795"/>
      <c r="V243" s="185"/>
    </row>
    <row r="244" spans="1:22" ht="18" hidden="1" customHeight="1">
      <c r="A244" s="184"/>
      <c r="E244" s="244" t="s">
        <v>478</v>
      </c>
      <c r="G244" s="18" t="e">
        <f>IF(F242="&gt;","Suitably Dimentioned","Under Dimentioned")</f>
        <v>#VALUE!</v>
      </c>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ht="18" hidden="1" customHeight="1">
      <c r="A266" s="184"/>
      <c r="V266" s="185"/>
    </row>
    <row r="267" spans="1:22" ht="18" hidden="1" customHeight="1">
      <c r="A267" s="184"/>
      <c r="V267" s="185"/>
    </row>
    <row r="268" spans="1:22" ht="18" hidden="1" customHeight="1">
      <c r="A268" s="184"/>
      <c r="V268" s="185"/>
    </row>
    <row r="269" spans="1:22" ht="18" hidden="1" customHeight="1">
      <c r="A269" s="184"/>
      <c r="V269" s="185"/>
    </row>
    <row r="270" spans="1:22" ht="18" hidden="1" customHeight="1">
      <c r="A270" s="184"/>
      <c r="V270" s="185"/>
    </row>
    <row r="271" spans="1:22" ht="18" hidden="1" customHeight="1">
      <c r="A271" s="184"/>
      <c r="V271" s="185"/>
    </row>
    <row r="272" spans="1:22" ht="18" hidden="1" customHeight="1">
      <c r="A272" s="184"/>
      <c r="V272" s="185"/>
    </row>
    <row r="273" spans="1:23" ht="18" hidden="1" customHeight="1">
      <c r="A273" s="184"/>
      <c r="V273" s="185"/>
    </row>
    <row r="274" spans="1:23" ht="18" hidden="1" customHeight="1">
      <c r="A274" s="184"/>
      <c r="V274" s="185"/>
    </row>
    <row r="275" spans="1:23" ht="18" hidden="1" customHeight="1">
      <c r="A275" s="184"/>
      <c r="V275" s="185"/>
    </row>
    <row r="276" spans="1:23" s="14" customFormat="1" ht="18" hidden="1" customHeight="1">
      <c r="A276" s="194"/>
      <c r="B276" s="195"/>
      <c r="C276" s="195"/>
      <c r="D276" s="195"/>
      <c r="E276" s="195"/>
      <c r="F276" s="195"/>
      <c r="G276" s="195"/>
      <c r="H276" s="195"/>
      <c r="I276" s="195"/>
      <c r="J276" s="195"/>
      <c r="K276" s="195"/>
      <c r="L276" s="195"/>
      <c r="M276" s="195"/>
      <c r="N276" s="195"/>
      <c r="O276" s="195"/>
      <c r="P276" s="195"/>
      <c r="Q276" s="224"/>
      <c r="R276" s="182"/>
      <c r="S276" s="225"/>
      <c r="T276" s="195"/>
      <c r="U276" s="195"/>
      <c r="V276" s="134"/>
    </row>
    <row r="277" spans="1:23" ht="18" hidden="1" customHeight="1">
      <c r="A277" s="226"/>
      <c r="B277" s="227"/>
      <c r="C277" s="227"/>
      <c r="D277" s="227"/>
      <c r="E277" s="227"/>
      <c r="F277" s="227"/>
      <c r="G277" s="227"/>
      <c r="H277" s="227"/>
      <c r="I277" s="227"/>
      <c r="J277" s="227"/>
      <c r="K277" s="227"/>
      <c r="L277" s="227"/>
      <c r="M277" s="227"/>
      <c r="N277" s="227"/>
      <c r="O277" s="227"/>
      <c r="P277" s="227"/>
      <c r="Q277" s="227"/>
      <c r="R277" s="227"/>
      <c r="S277" s="227"/>
      <c r="T277" s="227"/>
      <c r="U277" s="227"/>
      <c r="V277" s="228"/>
    </row>
    <row r="278" spans="1:23" ht="18" hidden="1" customHeight="1">
      <c r="A278" s="184"/>
      <c r="B278" s="1075" t="s">
        <v>108</v>
      </c>
      <c r="C278" s="1076"/>
      <c r="D278" s="1092" t="s">
        <v>109</v>
      </c>
      <c r="E278" s="1093"/>
      <c r="F278" s="455"/>
      <c r="H278" s="684" t="s">
        <v>507</v>
      </c>
      <c r="I278" s="684"/>
      <c r="J278" s="684"/>
      <c r="K278" s="684"/>
      <c r="L278" s="684"/>
      <c r="M278" s="684"/>
      <c r="P278" s="186"/>
      <c r="S278" s="187" t="s">
        <v>387</v>
      </c>
      <c r="T278" s="1075" t="s">
        <v>509</v>
      </c>
      <c r="U278" s="1076"/>
      <c r="V278" s="185"/>
    </row>
    <row r="279" spans="1:23" ht="18" hidden="1" customHeight="1">
      <c r="A279" s="456"/>
      <c r="F279" s="455"/>
      <c r="T279" s="1075"/>
      <c r="U279" s="1076"/>
      <c r="V279" s="185"/>
    </row>
    <row r="280" spans="1:23" ht="18" hidden="1" customHeight="1">
      <c r="A280" s="184"/>
      <c r="H280" s="790" t="s">
        <v>390</v>
      </c>
      <c r="I280" s="790"/>
      <c r="J280" s="789" t="s">
        <v>391</v>
      </c>
      <c r="K280" s="789"/>
      <c r="L280" s="790" t="s">
        <v>392</v>
      </c>
      <c r="M280" s="790"/>
      <c r="T280" s="1075"/>
      <c r="U280" s="1076"/>
      <c r="V280" s="185"/>
    </row>
    <row r="281" spans="1:23" ht="18" hidden="1" customHeight="1">
      <c r="A281" s="184"/>
      <c r="B281" s="47" t="s">
        <v>393</v>
      </c>
      <c r="H281" s="1075">
        <v>2800</v>
      </c>
      <c r="I281" s="1076"/>
      <c r="J281" s="1090">
        <v>3200</v>
      </c>
      <c r="K281" s="1091"/>
      <c r="L281" s="1075" t="s">
        <v>6</v>
      </c>
      <c r="M281" s="1076"/>
      <c r="N281" s="191" t="s">
        <v>342</v>
      </c>
      <c r="O281" s="501">
        <v>1</v>
      </c>
      <c r="P281" s="27" t="s">
        <v>8</v>
      </c>
      <c r="R281" s="255"/>
      <c r="S281" s="255"/>
      <c r="V281" s="185"/>
    </row>
    <row r="282" spans="1:23" ht="18" hidden="1" customHeight="1">
      <c r="A282" s="184"/>
      <c r="B282" s="47" t="s">
        <v>394</v>
      </c>
      <c r="H282" s="1075" t="s">
        <v>395</v>
      </c>
      <c r="I282" s="1076"/>
      <c r="V282" s="185"/>
    </row>
    <row r="283" spans="1:23" ht="18" hidden="1" customHeight="1">
      <c r="A283" s="184"/>
      <c r="B283" s="47" t="s">
        <v>396</v>
      </c>
      <c r="G283" s="120" t="s">
        <v>497</v>
      </c>
      <c r="H283" s="1075">
        <v>5</v>
      </c>
      <c r="I283" s="1076"/>
      <c r="J283" s="192" t="s">
        <v>333</v>
      </c>
      <c r="V283" s="185"/>
    </row>
    <row r="284" spans="1:23" ht="18" hidden="1" customHeight="1">
      <c r="A284" s="184"/>
      <c r="B284" s="47" t="s">
        <v>398</v>
      </c>
      <c r="G284" s="120" t="s">
        <v>498</v>
      </c>
      <c r="H284" s="1075">
        <v>600</v>
      </c>
      <c r="I284" s="1076"/>
      <c r="J284" s="14" t="s">
        <v>305</v>
      </c>
      <c r="T284" s="295"/>
      <c r="U284" s="18"/>
      <c r="V284" s="185"/>
      <c r="W284" s="30" t="e">
        <f>#REF!</f>
        <v>#REF!</v>
      </c>
    </row>
    <row r="285" spans="1:23" ht="18" hidden="1" customHeight="1">
      <c r="A285" s="184"/>
      <c r="B285" s="14" t="s">
        <v>401</v>
      </c>
      <c r="G285" s="120" t="s">
        <v>402</v>
      </c>
      <c r="H285" s="1075">
        <v>10</v>
      </c>
      <c r="I285" s="1076"/>
      <c r="J285" s="14" t="s">
        <v>403</v>
      </c>
      <c r="V285" s="185"/>
    </row>
    <row r="286" spans="1:23" ht="18" hidden="1" customHeight="1">
      <c r="A286" s="184"/>
      <c r="V286" s="185"/>
    </row>
    <row r="287" spans="1:23" ht="18" hidden="1" customHeight="1">
      <c r="A287" s="193" t="s">
        <v>404</v>
      </c>
      <c r="V287" s="185"/>
    </row>
    <row r="288" spans="1:23" ht="18" hidden="1" customHeight="1">
      <c r="A288" s="184"/>
      <c r="V288" s="185"/>
    </row>
    <row r="289" spans="1:25" ht="18" hidden="1" customHeight="1">
      <c r="A289" s="184"/>
      <c r="B289" s="135" t="s">
        <v>405</v>
      </c>
      <c r="C289" s="273"/>
      <c r="D289" s="139" t="str">
        <f>T278</f>
        <v>REF615</v>
      </c>
      <c r="E289" s="227"/>
      <c r="F289" s="227"/>
      <c r="G289" s="227"/>
      <c r="H289" s="138"/>
      <c r="I289" s="260" t="s">
        <v>127</v>
      </c>
      <c r="J289" s="1077">
        <f>'[7]CT-VT Burdens'!Q57</f>
        <v>0.02</v>
      </c>
      <c r="K289" s="1078"/>
      <c r="L289" s="3" t="s">
        <v>157</v>
      </c>
      <c r="N289" s="197" t="s">
        <v>510</v>
      </c>
      <c r="V289" s="185"/>
    </row>
    <row r="290" spans="1:25" ht="18" hidden="1" customHeight="1">
      <c r="A290" s="184"/>
      <c r="B290" s="96" t="s">
        <v>405</v>
      </c>
      <c r="C290" s="14"/>
      <c r="D290" s="47">
        <f>T279</f>
        <v>0</v>
      </c>
      <c r="H290" s="28"/>
      <c r="I290" s="101" t="s">
        <v>127</v>
      </c>
      <c r="J290" s="1077">
        <f>J19</f>
        <v>0</v>
      </c>
      <c r="K290" s="1078"/>
      <c r="L290" s="3" t="s">
        <v>157</v>
      </c>
      <c r="N290" s="120" t="s">
        <v>491</v>
      </c>
      <c r="O290" s="27" t="s">
        <v>127</v>
      </c>
      <c r="P290" s="27" t="s">
        <v>511</v>
      </c>
      <c r="Q290" s="27" t="s">
        <v>315</v>
      </c>
      <c r="R290" s="27" t="s">
        <v>511</v>
      </c>
      <c r="S290" s="27" t="s">
        <v>315</v>
      </c>
      <c r="T290" s="27" t="s">
        <v>420</v>
      </c>
      <c r="V290" s="185"/>
    </row>
    <row r="291" spans="1:25" ht="18" hidden="1" customHeight="1">
      <c r="A291" s="184"/>
      <c r="B291" s="96" t="s">
        <v>405</v>
      </c>
      <c r="C291" s="14"/>
      <c r="D291" s="47">
        <f>T280</f>
        <v>0</v>
      </c>
      <c r="H291" s="28"/>
      <c r="I291" s="101" t="s">
        <v>127</v>
      </c>
      <c r="J291" s="1077">
        <f>J20</f>
        <v>0</v>
      </c>
      <c r="K291" s="1078"/>
      <c r="L291" s="3" t="s">
        <v>157</v>
      </c>
      <c r="N291" s="27"/>
      <c r="O291" s="27" t="s">
        <v>127</v>
      </c>
      <c r="P291" s="27">
        <f>O281</f>
        <v>1</v>
      </c>
      <c r="Q291" s="27" t="s">
        <v>315</v>
      </c>
      <c r="R291" s="27">
        <f>O281</f>
        <v>1</v>
      </c>
      <c r="S291" s="27" t="s">
        <v>315</v>
      </c>
      <c r="T291" s="27">
        <f>H283</f>
        <v>5</v>
      </c>
      <c r="V291" s="185"/>
    </row>
    <row r="292" spans="1:25" ht="18" hidden="1" customHeight="1">
      <c r="A292" s="184"/>
      <c r="B292" s="452" t="s">
        <v>412</v>
      </c>
      <c r="C292" s="259"/>
      <c r="D292" s="259"/>
      <c r="E292" s="259"/>
      <c r="F292" s="207"/>
      <c r="G292" s="207"/>
      <c r="H292" s="190"/>
      <c r="I292" s="208" t="s">
        <v>127</v>
      </c>
      <c r="J292" s="1081">
        <f>J21</f>
        <v>1.0770224400000001</v>
      </c>
      <c r="K292" s="1082"/>
      <c r="L292" s="297" t="s">
        <v>157</v>
      </c>
      <c r="O292" s="27" t="s">
        <v>127</v>
      </c>
      <c r="P292" s="795">
        <f>P291*R291*T291</f>
        <v>5</v>
      </c>
      <c r="Q292" s="684"/>
      <c r="R292" s="27" t="s">
        <v>157</v>
      </c>
      <c r="V292" s="185"/>
    </row>
    <row r="293" spans="1:25" ht="18" hidden="1" customHeight="1">
      <c r="A293" s="184"/>
      <c r="B293" s="1" t="s">
        <v>413</v>
      </c>
      <c r="C293" s="2"/>
      <c r="D293" s="2"/>
      <c r="E293" s="2"/>
      <c r="F293" s="196"/>
      <c r="G293" s="196"/>
      <c r="H293" s="224" t="s">
        <v>512</v>
      </c>
      <c r="I293" s="183" t="s">
        <v>127</v>
      </c>
      <c r="J293" s="722">
        <f>SUM(J289:J292)</f>
        <v>1.0970224400000002</v>
      </c>
      <c r="K293" s="958"/>
      <c r="L293" s="3" t="s">
        <v>157</v>
      </c>
      <c r="V293" s="185"/>
    </row>
    <row r="294" spans="1:25" ht="18" hidden="1" customHeight="1">
      <c r="A294" s="184"/>
      <c r="B294" s="47"/>
      <c r="C294" s="47"/>
      <c r="D294" s="47"/>
      <c r="E294" s="47"/>
      <c r="H294" s="27"/>
      <c r="I294" s="28"/>
      <c r="J294" s="199"/>
      <c r="L294" s="47"/>
      <c r="S294" s="27"/>
      <c r="V294" s="185"/>
    </row>
    <row r="295" spans="1:25" ht="18" hidden="1" customHeight="1">
      <c r="A295" s="184"/>
      <c r="B295" s="117" t="s">
        <v>513</v>
      </c>
      <c r="Q295" s="211"/>
      <c r="R295" s="192"/>
      <c r="V295" s="185"/>
    </row>
    <row r="296" spans="1:25" ht="18" hidden="1" customHeight="1">
      <c r="A296" s="184"/>
      <c r="B296" s="1074" t="s">
        <v>417</v>
      </c>
      <c r="C296" s="800"/>
      <c r="D296" s="800"/>
      <c r="E296" s="689">
        <v>1.5</v>
      </c>
      <c r="F296" s="689" t="s">
        <v>315</v>
      </c>
      <c r="G296" s="790" t="s">
        <v>481</v>
      </c>
      <c r="H296" s="790" t="s">
        <v>482</v>
      </c>
      <c r="I296" s="803"/>
      <c r="J296" s="689" t="s">
        <v>315</v>
      </c>
      <c r="K296" s="689" t="s">
        <v>419</v>
      </c>
      <c r="L296" s="689" t="s">
        <v>440</v>
      </c>
      <c r="M296" s="729" t="s">
        <v>347</v>
      </c>
      <c r="N296" s="689" t="s">
        <v>447</v>
      </c>
      <c r="O296" s="689" t="s">
        <v>347</v>
      </c>
      <c r="P296" s="759" t="s">
        <v>448</v>
      </c>
      <c r="Q296" s="759"/>
      <c r="R296" s="759"/>
      <c r="S296" s="798" t="s">
        <v>350</v>
      </c>
      <c r="T296" s="1073" t="s">
        <v>422</v>
      </c>
      <c r="V296" s="185"/>
    </row>
    <row r="297" spans="1:25" ht="18" hidden="1" customHeight="1">
      <c r="A297" s="184"/>
      <c r="B297" s="800"/>
      <c r="C297" s="800"/>
      <c r="D297" s="800"/>
      <c r="E297" s="689"/>
      <c r="F297" s="689"/>
      <c r="G297" s="689"/>
      <c r="H297" s="684" t="s">
        <v>483</v>
      </c>
      <c r="I297" s="804"/>
      <c r="J297" s="689"/>
      <c r="K297" s="689"/>
      <c r="L297" s="689"/>
      <c r="M297" s="729"/>
      <c r="N297" s="689"/>
      <c r="O297" s="689"/>
      <c r="P297" s="28" t="s">
        <v>438</v>
      </c>
      <c r="Q297" s="28" t="s">
        <v>315</v>
      </c>
      <c r="R297" s="28" t="s">
        <v>438</v>
      </c>
      <c r="S297" s="798"/>
      <c r="T297" s="1073"/>
      <c r="V297" s="112"/>
    </row>
    <row r="298" spans="1:25" ht="18" hidden="1" customHeight="1">
      <c r="A298" s="184"/>
      <c r="C298" s="28"/>
      <c r="D298" s="28"/>
      <c r="E298" s="28"/>
      <c r="F298" s="28"/>
      <c r="G298" s="28"/>
      <c r="H298" s="689"/>
      <c r="I298" s="716"/>
      <c r="J298" s="28"/>
      <c r="K298" s="28"/>
      <c r="L298" s="28"/>
      <c r="M298" s="28"/>
      <c r="N298" s="47"/>
      <c r="O298" s="28"/>
      <c r="V298" s="185"/>
    </row>
    <row r="299" spans="1:25" ht="18" hidden="1" customHeight="1">
      <c r="A299" s="184"/>
      <c r="C299" s="30" t="s">
        <v>514</v>
      </c>
      <c r="R299" s="27" t="s">
        <v>127</v>
      </c>
      <c r="S299" s="684">
        <v>6</v>
      </c>
      <c r="T299" s="684"/>
      <c r="V299" s="185"/>
    </row>
    <row r="300" spans="1:25" ht="18" hidden="1" customHeight="1">
      <c r="A300" s="168"/>
      <c r="B300" s="5"/>
      <c r="C300" s="296" t="s">
        <v>515</v>
      </c>
      <c r="D300" s="14"/>
      <c r="E300" s="14"/>
      <c r="F300" s="14"/>
      <c r="G300" s="14"/>
      <c r="H300" s="279"/>
      <c r="I300" s="120"/>
      <c r="J300" s="279"/>
      <c r="K300" s="279"/>
      <c r="L300" s="14"/>
      <c r="M300" s="14"/>
      <c r="N300" s="14"/>
      <c r="O300" s="14"/>
      <c r="P300" s="14"/>
      <c r="Q300" s="244" t="s">
        <v>481</v>
      </c>
      <c r="R300" s="102" t="s">
        <v>127</v>
      </c>
      <c r="S300" s="689">
        <f>S299*S301</f>
        <v>16800</v>
      </c>
      <c r="T300" s="689"/>
      <c r="U300" s="47" t="s">
        <v>8</v>
      </c>
      <c r="V300" s="185"/>
    </row>
    <row r="301" spans="1:25" ht="18" hidden="1" customHeight="1">
      <c r="A301" s="168"/>
      <c r="B301" s="5"/>
      <c r="C301" s="47" t="s">
        <v>516</v>
      </c>
      <c r="D301" s="14"/>
      <c r="E301" s="14"/>
      <c r="F301" s="18"/>
      <c r="G301" s="18"/>
      <c r="H301" s="279"/>
      <c r="I301" s="120"/>
      <c r="J301" s="279"/>
      <c r="K301" s="279"/>
      <c r="L301" s="14"/>
      <c r="M301" s="14"/>
      <c r="N301" s="14"/>
      <c r="O301" s="14"/>
      <c r="P301" s="14"/>
      <c r="Q301" s="244" t="s">
        <v>483</v>
      </c>
      <c r="R301" s="102" t="s">
        <v>127</v>
      </c>
      <c r="S301" s="689">
        <f>H281</f>
        <v>2800</v>
      </c>
      <c r="T301" s="689"/>
      <c r="U301" s="14" t="s">
        <v>8</v>
      </c>
      <c r="V301" s="185"/>
    </row>
    <row r="302" spans="1:25" ht="18" hidden="1" customHeight="1">
      <c r="A302" s="168"/>
      <c r="B302" s="5"/>
      <c r="C302" s="47" t="s">
        <v>517</v>
      </c>
      <c r="D302" s="14"/>
      <c r="E302" s="14"/>
      <c r="F302" s="18"/>
      <c r="G302" s="18"/>
      <c r="H302" s="279"/>
      <c r="I302" s="120"/>
      <c r="J302" s="279"/>
      <c r="K302" s="279"/>
      <c r="L302" s="14"/>
      <c r="M302" s="14"/>
      <c r="N302" s="14"/>
      <c r="O302" s="14"/>
      <c r="P302" s="14"/>
      <c r="Q302" s="244" t="s">
        <v>482</v>
      </c>
      <c r="R302" s="102" t="s">
        <v>127</v>
      </c>
      <c r="S302" s="689">
        <f>O281</f>
        <v>1</v>
      </c>
      <c r="T302" s="689"/>
      <c r="U302" s="30" t="s">
        <v>8</v>
      </c>
      <c r="V302" s="185"/>
    </row>
    <row r="303" spans="1:25" ht="18" hidden="1" customHeight="1">
      <c r="A303" s="168"/>
      <c r="B303" s="5"/>
      <c r="C303" s="47" t="s">
        <v>518</v>
      </c>
      <c r="D303" s="14"/>
      <c r="E303" s="14"/>
      <c r="F303" s="18"/>
      <c r="G303" s="18"/>
      <c r="H303" s="279"/>
      <c r="I303" s="120"/>
      <c r="J303" s="279"/>
      <c r="K303" s="279"/>
      <c r="L303" s="14"/>
      <c r="M303" s="14"/>
      <c r="N303" s="14"/>
      <c r="O303" s="14"/>
      <c r="P303" s="14"/>
      <c r="Q303" s="244" t="s">
        <v>146</v>
      </c>
      <c r="R303" s="102" t="s">
        <v>127</v>
      </c>
      <c r="S303" s="834">
        <f>O281</f>
        <v>1</v>
      </c>
      <c r="T303" s="834"/>
      <c r="U303" s="30" t="s">
        <v>8</v>
      </c>
      <c r="V303" s="185"/>
      <c r="W303" s="279"/>
      <c r="X303" s="279"/>
      <c r="Y303" s="279"/>
    </row>
    <row r="304" spans="1:25" ht="18" hidden="1" customHeight="1">
      <c r="A304" s="168"/>
      <c r="B304" s="5"/>
      <c r="C304" s="296" t="s">
        <v>519</v>
      </c>
      <c r="D304" s="14"/>
      <c r="E304" s="14"/>
      <c r="F304" s="18"/>
      <c r="G304" s="18"/>
      <c r="H304" s="279"/>
      <c r="I304" s="120"/>
      <c r="J304" s="279"/>
      <c r="K304" s="279"/>
      <c r="L304" s="14"/>
      <c r="M304" s="14"/>
      <c r="N304" s="14"/>
      <c r="O304" s="14"/>
      <c r="P304" s="14"/>
      <c r="Q304" s="244" t="s">
        <v>420</v>
      </c>
      <c r="R304" s="102" t="s">
        <v>127</v>
      </c>
      <c r="S304" s="692">
        <f>H283</f>
        <v>5</v>
      </c>
      <c r="T304" s="689"/>
      <c r="U304" s="30" t="s">
        <v>520</v>
      </c>
      <c r="V304" s="185"/>
      <c r="X304" s="279"/>
      <c r="Y304" s="279"/>
    </row>
    <row r="305" spans="1:25" ht="18" hidden="1" customHeight="1">
      <c r="A305" s="168"/>
      <c r="B305" s="5"/>
      <c r="C305" s="296" t="s">
        <v>521</v>
      </c>
      <c r="D305" s="14"/>
      <c r="E305" s="14"/>
      <c r="F305" s="14"/>
      <c r="G305" s="14"/>
      <c r="H305" s="279"/>
      <c r="I305" s="120"/>
      <c r="J305" s="279"/>
      <c r="K305" s="279"/>
      <c r="L305" s="14"/>
      <c r="M305" s="14"/>
      <c r="N305" s="14"/>
      <c r="O305" s="14"/>
      <c r="P305" s="14"/>
      <c r="Q305" s="244" t="s">
        <v>522</v>
      </c>
      <c r="R305" s="102" t="s">
        <v>127</v>
      </c>
      <c r="S305" s="692">
        <f>J293</f>
        <v>1.0970224400000002</v>
      </c>
      <c r="T305" s="689"/>
      <c r="U305" s="30" t="s">
        <v>520</v>
      </c>
      <c r="V305" s="185"/>
      <c r="X305" s="279"/>
      <c r="Y305" s="279"/>
    </row>
    <row r="306" spans="1:25" ht="18" hidden="1" customHeight="1">
      <c r="A306" s="168"/>
      <c r="B306" s="5"/>
      <c r="C306" s="296" t="s">
        <v>523</v>
      </c>
      <c r="D306" s="14"/>
      <c r="E306" s="14"/>
      <c r="F306" s="14"/>
      <c r="G306" s="14"/>
      <c r="H306" s="279"/>
      <c r="I306" s="120"/>
      <c r="J306" s="279"/>
      <c r="K306" s="279"/>
      <c r="L306" s="14"/>
      <c r="M306" s="14"/>
      <c r="N306" s="14"/>
      <c r="O306" s="14"/>
      <c r="P306" s="14"/>
      <c r="Q306" s="244" t="s">
        <v>524</v>
      </c>
      <c r="R306" s="102" t="s">
        <v>127</v>
      </c>
      <c r="S306" s="692">
        <f>J289</f>
        <v>0.02</v>
      </c>
      <c r="T306" s="689"/>
      <c r="U306" s="296" t="s">
        <v>157</v>
      </c>
      <c r="V306" s="185"/>
    </row>
    <row r="307" spans="1:25" ht="18" hidden="1" customHeight="1">
      <c r="A307" s="299"/>
      <c r="B307" s="279"/>
      <c r="C307" s="47"/>
      <c r="D307" s="14"/>
      <c r="E307" s="14"/>
      <c r="F307" s="14"/>
      <c r="G307" s="14"/>
      <c r="H307" s="279"/>
      <c r="I307" s="120"/>
      <c r="J307" s="279"/>
      <c r="K307" s="279"/>
      <c r="L307" s="14"/>
      <c r="M307" s="14"/>
      <c r="N307" s="279"/>
      <c r="O307" s="279"/>
      <c r="P307" s="14"/>
      <c r="Q307" s="120"/>
      <c r="R307" s="14"/>
      <c r="S307" s="279"/>
      <c r="T307" s="279"/>
      <c r="U307" s="279"/>
      <c r="V307" s="300"/>
      <c r="W307" s="279"/>
      <c r="X307" s="279"/>
      <c r="Y307" s="279"/>
    </row>
    <row r="308" spans="1:25" ht="18" hidden="1" customHeight="1">
      <c r="A308" s="184"/>
      <c r="B308" s="684" t="s">
        <v>417</v>
      </c>
      <c r="C308" s="684"/>
      <c r="D308" s="689">
        <v>1.5</v>
      </c>
      <c r="E308" s="684" t="s">
        <v>315</v>
      </c>
      <c r="F308" s="689">
        <f>S300</f>
        <v>16800</v>
      </c>
      <c r="G308" s="689"/>
      <c r="H308" s="684" t="s">
        <v>315</v>
      </c>
      <c r="I308" s="790">
        <f>S302</f>
        <v>1</v>
      </c>
      <c r="J308" s="790"/>
      <c r="K308" s="684" t="s">
        <v>315</v>
      </c>
      <c r="L308" s="684" t="s">
        <v>419</v>
      </c>
      <c r="M308" s="1317">
        <f>S304</f>
        <v>5</v>
      </c>
      <c r="N308" s="684" t="s">
        <v>347</v>
      </c>
      <c r="O308" s="795">
        <f>S305</f>
        <v>1.0970224400000002</v>
      </c>
      <c r="P308" s="684" t="s">
        <v>347</v>
      </c>
      <c r="Q308" s="1071">
        <f>S306</f>
        <v>0.02</v>
      </c>
      <c r="R308" s="790"/>
      <c r="S308" s="790"/>
      <c r="T308" s="684" t="s">
        <v>350</v>
      </c>
      <c r="V308" s="185"/>
    </row>
    <row r="309" spans="1:25" ht="18" hidden="1" customHeight="1">
      <c r="A309" s="184"/>
      <c r="B309" s="684"/>
      <c r="C309" s="684"/>
      <c r="D309" s="689"/>
      <c r="E309" s="684"/>
      <c r="F309" s="689"/>
      <c r="G309" s="689"/>
      <c r="H309" s="684"/>
      <c r="I309" s="684">
        <f>S301</f>
        <v>2800</v>
      </c>
      <c r="J309" s="684"/>
      <c r="K309" s="684"/>
      <c r="L309" s="684"/>
      <c r="M309" s="1317"/>
      <c r="N309" s="684"/>
      <c r="O309" s="684"/>
      <c r="P309" s="684"/>
      <c r="Q309" s="503">
        <f>S303</f>
        <v>1</v>
      </c>
      <c r="R309" s="27" t="s">
        <v>315</v>
      </c>
      <c r="S309" s="503">
        <f>S303</f>
        <v>1</v>
      </c>
      <c r="T309" s="684"/>
      <c r="V309" s="185"/>
    </row>
    <row r="310" spans="1:25" ht="18" hidden="1" customHeight="1">
      <c r="A310" s="184"/>
      <c r="C310" s="120"/>
      <c r="D310" s="28"/>
      <c r="E310" s="28"/>
      <c r="F310" s="28"/>
      <c r="G310" s="28"/>
      <c r="H310" s="14"/>
      <c r="I310" s="14"/>
      <c r="J310" s="28"/>
      <c r="K310" s="28"/>
      <c r="L310" s="28"/>
      <c r="M310" s="28"/>
      <c r="N310" s="47"/>
      <c r="O310" s="502"/>
      <c r="V310" s="185"/>
    </row>
    <row r="311" spans="1:25" ht="18" hidden="1" customHeight="1">
      <c r="A311" s="184"/>
      <c r="C311" s="27" t="s">
        <v>127</v>
      </c>
      <c r="D311" s="1072">
        <f>ROUNDUP(D308*F308*(I308/I309)*(M308+O308+(Q308/(Q309*S309))),2)</f>
        <v>55.059999999999995</v>
      </c>
      <c r="E311" s="1072"/>
      <c r="F311" s="286" t="s">
        <v>305</v>
      </c>
      <c r="G311" s="27"/>
      <c r="V311" s="185"/>
    </row>
    <row r="312" spans="1:25" ht="18" hidden="1" customHeight="1">
      <c r="A312" s="184"/>
      <c r="C312" s="27"/>
      <c r="D312" s="476"/>
      <c r="E312" s="476"/>
      <c r="F312" s="286"/>
      <c r="G312" s="27"/>
      <c r="V312" s="185"/>
    </row>
    <row r="313" spans="1:25" ht="18" hidden="1" customHeight="1">
      <c r="A313" s="184"/>
      <c r="C313" s="27"/>
      <c r="D313" s="476"/>
      <c r="E313" s="476"/>
      <c r="F313" s="286"/>
      <c r="G313" s="27"/>
      <c r="V313" s="185"/>
    </row>
    <row r="314" spans="1:25" ht="18" hidden="1" customHeight="1">
      <c r="A314" s="184"/>
      <c r="V314" s="185"/>
    </row>
    <row r="315" spans="1:25" ht="18" hidden="1" customHeight="1">
      <c r="A315" s="452"/>
      <c r="B315" s="207"/>
      <c r="C315" s="207"/>
      <c r="D315" s="207"/>
      <c r="E315" s="207"/>
      <c r="F315" s="207"/>
      <c r="G315" s="207"/>
      <c r="H315" s="207"/>
      <c r="I315" s="207"/>
      <c r="J315" s="207"/>
      <c r="K315" s="207"/>
      <c r="L315" s="207"/>
      <c r="M315" s="207"/>
      <c r="N315" s="207"/>
      <c r="O315" s="207"/>
      <c r="P315" s="207"/>
      <c r="Q315" s="207"/>
      <c r="R315" s="207"/>
      <c r="S315" s="207"/>
      <c r="T315" s="207"/>
      <c r="U315" s="207"/>
      <c r="V315" s="453"/>
    </row>
    <row r="316" spans="1:25" ht="18" hidden="1" customHeight="1">
      <c r="A316" s="290"/>
      <c r="B316" s="196"/>
      <c r="C316" s="196"/>
      <c r="D316" s="196"/>
      <c r="E316" s="196"/>
      <c r="F316" s="196"/>
      <c r="G316" s="196"/>
      <c r="H316" s="196"/>
      <c r="I316" s="196"/>
      <c r="J316" s="196"/>
      <c r="K316" s="196"/>
      <c r="L316" s="196"/>
      <c r="M316" s="196"/>
      <c r="N316" s="196"/>
      <c r="O316" s="196"/>
      <c r="P316" s="196"/>
      <c r="Q316" s="196"/>
      <c r="R316" s="196"/>
      <c r="S316" s="196"/>
      <c r="T316" s="196"/>
      <c r="U316" s="196"/>
      <c r="V316" s="291"/>
    </row>
    <row r="317" spans="1:25" ht="18" hidden="1" customHeight="1">
      <c r="A317" s="226"/>
      <c r="B317" s="227"/>
      <c r="C317" s="227"/>
      <c r="D317" s="227"/>
      <c r="E317" s="227"/>
      <c r="F317" s="227"/>
      <c r="G317" s="227"/>
      <c r="H317" s="227"/>
      <c r="I317" s="227"/>
      <c r="J317" s="227"/>
      <c r="K317" s="227"/>
      <c r="L317" s="227"/>
      <c r="M317" s="227"/>
      <c r="N317" s="227"/>
      <c r="O317" s="227"/>
      <c r="P317" s="227"/>
      <c r="Q317" s="227"/>
      <c r="R317" s="227"/>
      <c r="S317" s="227"/>
      <c r="T317" s="227"/>
      <c r="U317" s="227"/>
      <c r="V317" s="228"/>
    </row>
    <row r="318" spans="1:25" ht="18" hidden="1" customHeight="1">
      <c r="A318" s="184"/>
      <c r="B318" s="117" t="s">
        <v>525</v>
      </c>
      <c r="V318" s="185"/>
    </row>
    <row r="319" spans="1:25" ht="18" hidden="1" customHeight="1">
      <c r="A319" s="184"/>
      <c r="V319" s="185"/>
    </row>
    <row r="320" spans="1:25" ht="18" hidden="1" customHeight="1">
      <c r="A320" s="184"/>
      <c r="B320" s="1074" t="s">
        <v>417</v>
      </c>
      <c r="C320" s="800"/>
      <c r="D320" s="800"/>
      <c r="E320" s="689">
        <v>20</v>
      </c>
      <c r="F320" s="689" t="s">
        <v>315</v>
      </c>
      <c r="G320" s="790" t="s">
        <v>481</v>
      </c>
      <c r="H320" s="790" t="s">
        <v>482</v>
      </c>
      <c r="I320" s="803"/>
      <c r="J320" s="689" t="s">
        <v>315</v>
      </c>
      <c r="K320" s="689" t="s">
        <v>419</v>
      </c>
      <c r="L320" s="689" t="s">
        <v>440</v>
      </c>
      <c r="M320" s="729" t="s">
        <v>347</v>
      </c>
      <c r="N320" s="689" t="s">
        <v>447</v>
      </c>
      <c r="O320" s="689" t="s">
        <v>347</v>
      </c>
      <c r="P320" s="759" t="s">
        <v>448</v>
      </c>
      <c r="Q320" s="759"/>
      <c r="R320" s="759"/>
      <c r="S320" s="798" t="s">
        <v>350</v>
      </c>
      <c r="T320" s="1073" t="s">
        <v>422</v>
      </c>
      <c r="V320" s="185"/>
    </row>
    <row r="321" spans="1:25" ht="18" hidden="1" customHeight="1">
      <c r="A321" s="184"/>
      <c r="B321" s="800"/>
      <c r="C321" s="800"/>
      <c r="D321" s="800"/>
      <c r="E321" s="689"/>
      <c r="F321" s="689"/>
      <c r="G321" s="689"/>
      <c r="H321" s="684" t="s">
        <v>483</v>
      </c>
      <c r="I321" s="804"/>
      <c r="J321" s="689"/>
      <c r="K321" s="689"/>
      <c r="L321" s="689"/>
      <c r="M321" s="729"/>
      <c r="N321" s="689"/>
      <c r="O321" s="689"/>
      <c r="P321" s="28" t="s">
        <v>438</v>
      </c>
      <c r="Q321" s="28" t="s">
        <v>315</v>
      </c>
      <c r="R321" s="28" t="s">
        <v>438</v>
      </c>
      <c r="S321" s="798"/>
      <c r="T321" s="1073"/>
      <c r="V321" s="112"/>
    </row>
    <row r="322" spans="1:25" ht="18" hidden="1" customHeight="1">
      <c r="A322" s="184"/>
      <c r="C322" s="28"/>
      <c r="D322" s="28"/>
      <c r="E322" s="28"/>
      <c r="F322" s="28"/>
      <c r="G322" s="28"/>
      <c r="H322" s="689"/>
      <c r="I322" s="716"/>
      <c r="J322" s="28"/>
      <c r="K322" s="28"/>
      <c r="L322" s="28"/>
      <c r="M322" s="28"/>
      <c r="N322" s="47"/>
      <c r="O322" s="28"/>
      <c r="V322" s="185"/>
    </row>
    <row r="323" spans="1:25" ht="18" hidden="1" customHeight="1">
      <c r="A323" s="184"/>
      <c r="C323" s="30" t="s">
        <v>526</v>
      </c>
      <c r="R323" s="27" t="s">
        <v>127</v>
      </c>
      <c r="S323" s="684">
        <v>1.2</v>
      </c>
      <c r="T323" s="684"/>
      <c r="V323" s="185"/>
    </row>
    <row r="324" spans="1:25" ht="18" hidden="1" customHeight="1">
      <c r="A324" s="168"/>
      <c r="B324" s="5"/>
      <c r="C324" s="296" t="s">
        <v>515</v>
      </c>
      <c r="D324" s="14"/>
      <c r="E324" s="14"/>
      <c r="F324" s="14"/>
      <c r="G324" s="14"/>
      <c r="H324" s="279"/>
      <c r="I324" s="120"/>
      <c r="J324" s="279"/>
      <c r="K324" s="279"/>
      <c r="L324" s="14"/>
      <c r="M324" s="14"/>
      <c r="N324" s="14"/>
      <c r="O324" s="14"/>
      <c r="P324" s="14"/>
      <c r="Q324" s="244" t="s">
        <v>481</v>
      </c>
      <c r="R324" s="102" t="s">
        <v>127</v>
      </c>
      <c r="S324" s="689">
        <f>S323*S325</f>
        <v>3360</v>
      </c>
      <c r="T324" s="689"/>
      <c r="U324" s="47" t="s">
        <v>8</v>
      </c>
      <c r="V324" s="185"/>
    </row>
    <row r="325" spans="1:25" ht="18" hidden="1" customHeight="1">
      <c r="A325" s="168"/>
      <c r="B325" s="5"/>
      <c r="C325" s="47" t="s">
        <v>516</v>
      </c>
      <c r="D325" s="14"/>
      <c r="E325" s="14"/>
      <c r="F325" s="18"/>
      <c r="G325" s="18"/>
      <c r="H325" s="279"/>
      <c r="I325" s="120"/>
      <c r="J325" s="279"/>
      <c r="K325" s="279"/>
      <c r="L325" s="14"/>
      <c r="M325" s="14"/>
      <c r="N325" s="14"/>
      <c r="O325" s="14"/>
      <c r="P325" s="14"/>
      <c r="Q325" s="244" t="s">
        <v>483</v>
      </c>
      <c r="R325" s="102" t="s">
        <v>127</v>
      </c>
      <c r="S325" s="689">
        <f>H281</f>
        <v>2800</v>
      </c>
      <c r="T325" s="689"/>
      <c r="U325" s="14" t="s">
        <v>8</v>
      </c>
      <c r="V325" s="185"/>
    </row>
    <row r="326" spans="1:25" ht="18" hidden="1" customHeight="1">
      <c r="A326" s="168"/>
      <c r="B326" s="5"/>
      <c r="C326" s="47" t="s">
        <v>517</v>
      </c>
      <c r="D326" s="14"/>
      <c r="E326" s="14"/>
      <c r="F326" s="18"/>
      <c r="G326" s="18"/>
      <c r="H326" s="279"/>
      <c r="I326" s="120"/>
      <c r="J326" s="279"/>
      <c r="K326" s="279"/>
      <c r="L326" s="14"/>
      <c r="M326" s="14"/>
      <c r="N326" s="14"/>
      <c r="O326" s="14"/>
      <c r="P326" s="14"/>
      <c r="Q326" s="244" t="s">
        <v>482</v>
      </c>
      <c r="R326" s="102" t="s">
        <v>127</v>
      </c>
      <c r="S326" s="689">
        <f>O281</f>
        <v>1</v>
      </c>
      <c r="T326" s="689"/>
      <c r="U326" s="30" t="s">
        <v>8</v>
      </c>
      <c r="V326" s="185"/>
    </row>
    <row r="327" spans="1:25" ht="18" hidden="1" customHeight="1">
      <c r="A327" s="168"/>
      <c r="B327" s="5"/>
      <c r="C327" s="47" t="s">
        <v>518</v>
      </c>
      <c r="D327" s="14"/>
      <c r="E327" s="14"/>
      <c r="F327" s="18"/>
      <c r="G327" s="18"/>
      <c r="H327" s="279"/>
      <c r="I327" s="120"/>
      <c r="J327" s="279"/>
      <c r="K327" s="279"/>
      <c r="L327" s="14"/>
      <c r="M327" s="14"/>
      <c r="N327" s="14"/>
      <c r="O327" s="14"/>
      <c r="P327" s="14"/>
      <c r="Q327" s="244" t="s">
        <v>146</v>
      </c>
      <c r="R327" s="102" t="s">
        <v>127</v>
      </c>
      <c r="S327" s="834">
        <f>S303</f>
        <v>1</v>
      </c>
      <c r="T327" s="834"/>
      <c r="U327" s="30" t="s">
        <v>8</v>
      </c>
      <c r="V327" s="185"/>
      <c r="W327" s="279"/>
      <c r="X327" s="279"/>
      <c r="Y327" s="279"/>
    </row>
    <row r="328" spans="1:25" ht="18" hidden="1" customHeight="1">
      <c r="A328" s="168"/>
      <c r="B328" s="5"/>
      <c r="C328" s="296" t="s">
        <v>519</v>
      </c>
      <c r="D328" s="14"/>
      <c r="E328" s="14"/>
      <c r="F328" s="18"/>
      <c r="G328" s="18"/>
      <c r="H328" s="279"/>
      <c r="I328" s="120"/>
      <c r="J328" s="279"/>
      <c r="K328" s="279"/>
      <c r="L328" s="14"/>
      <c r="M328" s="14"/>
      <c r="N328" s="14"/>
      <c r="O328" s="14"/>
      <c r="P328" s="14"/>
      <c r="Q328" s="244" t="s">
        <v>420</v>
      </c>
      <c r="R328" s="102" t="s">
        <v>127</v>
      </c>
      <c r="S328" s="692">
        <f>H283</f>
        <v>5</v>
      </c>
      <c r="T328" s="689"/>
      <c r="U328" s="30" t="s">
        <v>520</v>
      </c>
      <c r="V328" s="185"/>
      <c r="X328" s="279"/>
      <c r="Y328" s="279"/>
    </row>
    <row r="329" spans="1:25" ht="18" hidden="1" customHeight="1">
      <c r="A329" s="168"/>
      <c r="B329" s="5"/>
      <c r="C329" s="296" t="s">
        <v>521</v>
      </c>
      <c r="D329" s="14"/>
      <c r="E329" s="14"/>
      <c r="F329" s="14"/>
      <c r="G329" s="14"/>
      <c r="H329" s="279"/>
      <c r="I329" s="120"/>
      <c r="J329" s="279"/>
      <c r="K329" s="279"/>
      <c r="L329" s="14"/>
      <c r="M329" s="14"/>
      <c r="N329" s="14"/>
      <c r="O329" s="14"/>
      <c r="P329" s="14"/>
      <c r="Q329" s="244" t="s">
        <v>522</v>
      </c>
      <c r="R329" s="102" t="s">
        <v>127</v>
      </c>
      <c r="S329" s="692">
        <f>J293</f>
        <v>1.0970224400000002</v>
      </c>
      <c r="T329" s="689"/>
      <c r="U329" s="30" t="s">
        <v>520</v>
      </c>
      <c r="V329" s="185"/>
      <c r="X329" s="279"/>
      <c r="Y329" s="279"/>
    </row>
    <row r="330" spans="1:25" ht="18" hidden="1" customHeight="1">
      <c r="A330" s="168"/>
      <c r="B330" s="5"/>
      <c r="C330" s="296" t="s">
        <v>523</v>
      </c>
      <c r="D330" s="14"/>
      <c r="E330" s="14"/>
      <c r="F330" s="14"/>
      <c r="G330" s="14"/>
      <c r="H330" s="279"/>
      <c r="I330" s="120"/>
      <c r="J330" s="279"/>
      <c r="K330" s="279"/>
      <c r="L330" s="14"/>
      <c r="M330" s="14"/>
      <c r="N330" s="14"/>
      <c r="O330" s="14"/>
      <c r="P330" s="14"/>
      <c r="Q330" s="244" t="s">
        <v>524</v>
      </c>
      <c r="R330" s="102" t="s">
        <v>127</v>
      </c>
      <c r="S330" s="795">
        <f>J289</f>
        <v>0.02</v>
      </c>
      <c r="T330" s="689"/>
      <c r="U330" s="296" t="s">
        <v>157</v>
      </c>
      <c r="V330" s="185"/>
    </row>
    <row r="331" spans="1:25" ht="18" hidden="1" customHeight="1">
      <c r="A331" s="299"/>
      <c r="B331" s="279"/>
      <c r="C331" s="47"/>
      <c r="D331" s="14"/>
      <c r="E331" s="14"/>
      <c r="F331" s="14"/>
      <c r="G331" s="14"/>
      <c r="H331" s="279"/>
      <c r="I331" s="120"/>
      <c r="J331" s="279"/>
      <c r="K331" s="279"/>
      <c r="L331" s="14"/>
      <c r="M331" s="14"/>
      <c r="N331" s="279"/>
      <c r="O331" s="279"/>
      <c r="P331" s="14"/>
      <c r="Q331" s="120"/>
      <c r="R331" s="14"/>
      <c r="S331" s="279"/>
      <c r="T331" s="279"/>
      <c r="U331" s="279"/>
      <c r="V331" s="300"/>
      <c r="W331" s="279"/>
      <c r="X331" s="279"/>
      <c r="Y331" s="279"/>
    </row>
    <row r="332" spans="1:25" ht="18" hidden="1" customHeight="1">
      <c r="A332" s="184"/>
      <c r="B332" s="684" t="s">
        <v>417</v>
      </c>
      <c r="C332" s="684"/>
      <c r="D332" s="689">
        <f>E320</f>
        <v>20</v>
      </c>
      <c r="E332" s="684" t="s">
        <v>315</v>
      </c>
      <c r="F332" s="689">
        <f>S324</f>
        <v>3360</v>
      </c>
      <c r="G332" s="689"/>
      <c r="H332" s="684" t="s">
        <v>315</v>
      </c>
      <c r="I332" s="790">
        <f>S326</f>
        <v>1</v>
      </c>
      <c r="J332" s="790"/>
      <c r="K332" s="684" t="s">
        <v>315</v>
      </c>
      <c r="L332" s="684" t="s">
        <v>419</v>
      </c>
      <c r="M332" s="1316">
        <f>S328</f>
        <v>5</v>
      </c>
      <c r="N332" s="684" t="s">
        <v>347</v>
      </c>
      <c r="O332" s="795">
        <f>S329</f>
        <v>1.0970224400000002</v>
      </c>
      <c r="P332" s="684" t="s">
        <v>347</v>
      </c>
      <c r="Q332" s="1071">
        <f>S330</f>
        <v>0.02</v>
      </c>
      <c r="R332" s="790"/>
      <c r="S332" s="790"/>
      <c r="T332" s="684" t="s">
        <v>350</v>
      </c>
      <c r="V332" s="185"/>
    </row>
    <row r="333" spans="1:25" ht="18" hidden="1" customHeight="1">
      <c r="A333" s="184"/>
      <c r="B333" s="684"/>
      <c r="C333" s="684"/>
      <c r="D333" s="689"/>
      <c r="E333" s="684"/>
      <c r="F333" s="689"/>
      <c r="G333" s="689"/>
      <c r="H333" s="684"/>
      <c r="I333" s="684">
        <f>S325</f>
        <v>2800</v>
      </c>
      <c r="J333" s="684"/>
      <c r="K333" s="684"/>
      <c r="L333" s="684"/>
      <c r="M333" s="1316"/>
      <c r="N333" s="684"/>
      <c r="O333" s="684"/>
      <c r="P333" s="684"/>
      <c r="Q333" s="503">
        <f>S327</f>
        <v>1</v>
      </c>
      <c r="R333" s="27" t="s">
        <v>315</v>
      </c>
      <c r="S333" s="503">
        <f>S327</f>
        <v>1</v>
      </c>
      <c r="T333" s="684"/>
      <c r="V333" s="185"/>
    </row>
    <row r="334" spans="1:25" ht="18" hidden="1" customHeight="1">
      <c r="A334" s="184"/>
      <c r="C334" s="120"/>
      <c r="D334" s="28"/>
      <c r="E334" s="28"/>
      <c r="F334" s="28"/>
      <c r="G334" s="28"/>
      <c r="H334" s="14"/>
      <c r="I334" s="14"/>
      <c r="J334" s="28"/>
      <c r="K334" s="28"/>
      <c r="L334" s="28"/>
      <c r="M334" s="28"/>
      <c r="N334" s="47"/>
      <c r="O334" s="502"/>
      <c r="V334" s="185"/>
    </row>
    <row r="335" spans="1:25" ht="18" hidden="1" customHeight="1">
      <c r="A335" s="184"/>
      <c r="C335" s="27" t="s">
        <v>127</v>
      </c>
      <c r="D335" s="1072">
        <f>ROUNDUP(D332*F332*(I332/I333)*(M332+O332+(Q332/(Q333*S333))),2)</f>
        <v>146.81</v>
      </c>
      <c r="E335" s="1072"/>
      <c r="F335" s="286" t="s">
        <v>305</v>
      </c>
      <c r="G335" s="27"/>
      <c r="V335" s="185"/>
    </row>
    <row r="336" spans="1:25" ht="18" hidden="1" customHeight="1">
      <c r="A336" s="184"/>
      <c r="V336" s="185"/>
    </row>
    <row r="337" spans="1:27" ht="18" hidden="1" customHeight="1">
      <c r="A337" s="184"/>
      <c r="D337" s="30" t="s">
        <v>527</v>
      </c>
      <c r="L337" s="30" t="s">
        <v>528</v>
      </c>
      <c r="M337" s="505" t="s">
        <v>529</v>
      </c>
      <c r="N337" s="30" t="str">
        <f>CONCATENATE(Y337,X337,D311,Z337,D335,AA337)</f>
        <v>max(55.06,146.81)</v>
      </c>
      <c r="V337" s="185"/>
      <c r="X337" s="30" t="s">
        <v>419</v>
      </c>
      <c r="Y337" s="30" t="s">
        <v>530</v>
      </c>
      <c r="Z337" s="30" t="s">
        <v>531</v>
      </c>
      <c r="AA337" s="30" t="s">
        <v>350</v>
      </c>
    </row>
    <row r="338" spans="1:27" ht="18" hidden="1" customHeight="1">
      <c r="A338" s="184"/>
      <c r="D338" s="14"/>
      <c r="E338"/>
      <c r="F338"/>
      <c r="G338" s="27"/>
      <c r="H338" s="14"/>
      <c r="I338"/>
      <c r="J338"/>
      <c r="K338"/>
      <c r="L338" s="30" t="s">
        <v>528</v>
      </c>
      <c r="M338" s="505" t="s">
        <v>529</v>
      </c>
      <c r="N338" s="795">
        <f>MAX(D335,D311)</f>
        <v>146.81</v>
      </c>
      <c r="O338" s="795"/>
      <c r="V338" s="185"/>
    </row>
    <row r="339" spans="1:27" ht="18" hidden="1" customHeight="1">
      <c r="A339" s="184"/>
      <c r="D339"/>
      <c r="E339" s="1089"/>
      <c r="F339" s="684"/>
      <c r="G339" s="27"/>
      <c r="H339" s="795"/>
      <c r="I339" s="684"/>
      <c r="J339"/>
      <c r="K339"/>
      <c r="L339" s="296">
        <f>H284</f>
        <v>600</v>
      </c>
      <c r="M339" s="505" t="s">
        <v>529</v>
      </c>
      <c r="N339" s="795">
        <f>N338</f>
        <v>146.81</v>
      </c>
      <c r="O339" s="795"/>
      <c r="V339" s="185"/>
    </row>
    <row r="340" spans="1:27" ht="18" hidden="1" customHeight="1">
      <c r="A340" s="184"/>
      <c r="D340"/>
      <c r="E340" s="504"/>
      <c r="F340" s="27"/>
      <c r="G340" s="27"/>
      <c r="H340" s="211"/>
      <c r="I340" s="27"/>
      <c r="J340"/>
      <c r="K340"/>
      <c r="L340" s="296"/>
      <c r="M340" s="505"/>
      <c r="N340" s="476"/>
      <c r="V340" s="185"/>
    </row>
    <row r="341" spans="1:27" ht="18" hidden="1" customHeight="1">
      <c r="A341" s="184"/>
      <c r="D341"/>
      <c r="E341"/>
      <c r="F341" s="244" t="s">
        <v>478</v>
      </c>
      <c r="G341"/>
      <c r="H341" s="18" t="str">
        <f>IF(L339&gt;N339,"Suitably Dimensioned","Under Dimensioned")</f>
        <v>Suitably Dimensioned</v>
      </c>
      <c r="I341"/>
      <c r="J341"/>
      <c r="K341"/>
      <c r="L341"/>
      <c r="V341" s="185"/>
    </row>
    <row r="342" spans="1:27" ht="18" hidden="1" customHeight="1">
      <c r="A342" s="184"/>
      <c r="V342" s="185"/>
    </row>
    <row r="343" spans="1:27" ht="18" hidden="1" customHeight="1">
      <c r="A343" s="184"/>
      <c r="V343" s="185"/>
    </row>
    <row r="344" spans="1:27" ht="18" hidden="1" customHeight="1">
      <c r="A344" s="184"/>
      <c r="V344" s="185"/>
    </row>
    <row r="345" spans="1:27" ht="18" hidden="1" customHeight="1">
      <c r="A345" s="184"/>
      <c r="V345" s="185"/>
    </row>
    <row r="346" spans="1:27" ht="18" hidden="1" customHeight="1">
      <c r="A346" s="184"/>
      <c r="V346" s="185"/>
    </row>
    <row r="347" spans="1:27" ht="18" hidden="1" customHeight="1">
      <c r="A347" s="184"/>
      <c r="V347" s="185"/>
    </row>
    <row r="348" spans="1:27" ht="18" hidden="1" customHeight="1">
      <c r="A348" s="184"/>
      <c r="V348" s="185"/>
    </row>
    <row r="349" spans="1:27" ht="18" hidden="1" customHeight="1">
      <c r="A349" s="184"/>
      <c r="V349" s="185"/>
    </row>
    <row r="350" spans="1:27" ht="18" hidden="1" customHeight="1">
      <c r="A350" s="184"/>
      <c r="V350" s="185"/>
    </row>
    <row r="351" spans="1:27" ht="18" hidden="1" customHeight="1">
      <c r="A351" s="184"/>
      <c r="V351" s="185"/>
    </row>
    <row r="352" spans="1:27" ht="18" hidden="1" customHeight="1">
      <c r="A352" s="184"/>
      <c r="V352" s="185"/>
    </row>
    <row r="353" spans="1:22" ht="18" hidden="1" customHeight="1">
      <c r="A353" s="184"/>
      <c r="V353" s="185"/>
    </row>
    <row r="354" spans="1:22" ht="18" hidden="1" customHeight="1">
      <c r="A354" s="184"/>
      <c r="V354" s="185"/>
    </row>
    <row r="355" spans="1:22" ht="18" hidden="1" customHeight="1">
      <c r="A355" s="452"/>
      <c r="B355" s="207"/>
      <c r="C355" s="207"/>
      <c r="D355" s="207"/>
      <c r="E355" s="207"/>
      <c r="F355" s="207"/>
      <c r="G355" s="207"/>
      <c r="H355" s="207"/>
      <c r="I355" s="207"/>
      <c r="J355" s="207"/>
      <c r="K355" s="207"/>
      <c r="L355" s="207"/>
      <c r="M355" s="207"/>
      <c r="N355" s="207"/>
      <c r="O355" s="207"/>
      <c r="P355" s="207"/>
      <c r="Q355" s="207"/>
      <c r="R355" s="207"/>
      <c r="S355" s="207"/>
      <c r="T355" s="207"/>
      <c r="U355" s="207"/>
      <c r="V355" s="453"/>
    </row>
    <row r="356" spans="1:22" ht="18" hidden="1" customHeight="1">
      <c r="A356" s="184"/>
      <c r="V356" s="185"/>
    </row>
    <row r="357" spans="1:22" ht="18" hidden="1" customHeight="1">
      <c r="A357" s="184"/>
      <c r="V357" s="185"/>
    </row>
    <row r="358" spans="1:22" ht="18" hidden="1" customHeight="1">
      <c r="A358" s="184"/>
      <c r="V358" s="185"/>
    </row>
    <row r="359" spans="1:22" ht="18" hidden="1" customHeight="1">
      <c r="A359" s="184"/>
      <c r="V359" s="185"/>
    </row>
    <row r="360" spans="1:22" ht="18" hidden="1" customHeight="1">
      <c r="A360" s="184"/>
      <c r="V360" s="185"/>
    </row>
    <row r="361" spans="1:22" ht="18" hidden="1" customHeight="1">
      <c r="A361" s="184"/>
      <c r="V361" s="185"/>
    </row>
    <row r="362" spans="1:22" ht="18" hidden="1" customHeight="1">
      <c r="A362" s="184"/>
      <c r="V362" s="185"/>
    </row>
    <row r="363" spans="1:22" ht="18" hidden="1" customHeight="1">
      <c r="A363" s="184"/>
      <c r="V363" s="185"/>
    </row>
    <row r="364" spans="1:22" ht="18" hidden="1" customHeight="1">
      <c r="A364" s="184"/>
      <c r="V364" s="185"/>
    </row>
    <row r="365" spans="1:22" ht="18" hidden="1" customHeight="1">
      <c r="A365" s="184"/>
      <c r="V365" s="185"/>
    </row>
    <row r="366" spans="1:22" ht="18" hidden="1" customHeight="1">
      <c r="A366" s="184"/>
      <c r="V366" s="185"/>
    </row>
    <row r="367" spans="1:22" ht="18" hidden="1" customHeight="1">
      <c r="A367" s="184"/>
      <c r="V367" s="185"/>
    </row>
    <row r="368" spans="1:22" s="14" customFormat="1" ht="18" hidden="1" customHeight="1">
      <c r="A368" s="194"/>
      <c r="B368" s="195"/>
      <c r="C368" s="195"/>
      <c r="D368" s="195"/>
      <c r="E368" s="195"/>
      <c r="F368" s="195"/>
      <c r="G368" s="195"/>
      <c r="H368" s="195"/>
      <c r="I368" s="195"/>
      <c r="J368" s="195"/>
      <c r="K368" s="195"/>
      <c r="L368" s="195"/>
      <c r="M368" s="195"/>
      <c r="N368" s="195"/>
      <c r="O368" s="195"/>
      <c r="P368" s="195"/>
      <c r="Q368" s="224"/>
      <c r="R368" s="182"/>
      <c r="S368" s="225"/>
      <c r="T368" s="195"/>
      <c r="U368" s="195"/>
      <c r="V368" s="134" t="s">
        <v>552</v>
      </c>
    </row>
    <row r="369" spans="1:23" ht="18" hidden="1" customHeight="1">
      <c r="A369" s="226"/>
      <c r="B369" s="227"/>
      <c r="C369" s="227"/>
      <c r="D369" s="227"/>
      <c r="E369" s="227"/>
      <c r="F369" s="227"/>
      <c r="G369" s="227"/>
      <c r="H369" s="227"/>
      <c r="I369" s="227"/>
      <c r="J369" s="227"/>
      <c r="K369" s="227"/>
      <c r="L369" s="227"/>
      <c r="M369" s="227"/>
      <c r="N369" s="227"/>
      <c r="O369" s="227"/>
      <c r="P369" s="227"/>
      <c r="Q369" s="227"/>
      <c r="R369" s="227"/>
      <c r="S369" s="227"/>
      <c r="T369" s="227"/>
      <c r="U369" s="227"/>
      <c r="V369" s="228"/>
    </row>
    <row r="370" spans="1:23" ht="18" hidden="1" customHeight="1">
      <c r="A370" s="184"/>
      <c r="B370" s="854" t="str">
        <f>B278</f>
        <v>T1</v>
      </c>
      <c r="C370" s="831"/>
      <c r="D370" s="853" t="str">
        <f>D278</f>
        <v>Core3</v>
      </c>
      <c r="E370" s="765"/>
      <c r="F370" s="455"/>
      <c r="H370" s="684" t="str">
        <f>H278</f>
        <v>(OC+BCPU+FMS)</v>
      </c>
      <c r="I370" s="684"/>
      <c r="J370" s="684"/>
      <c r="K370" s="684"/>
      <c r="L370" s="684"/>
      <c r="M370" s="684"/>
      <c r="P370" s="186"/>
      <c r="S370" s="187" t="s">
        <v>387</v>
      </c>
      <c r="T370" s="1123" t="str">
        <f>T278</f>
        <v>REF615</v>
      </c>
      <c r="U370" s="1124"/>
      <c r="V370" s="185"/>
    </row>
    <row r="371" spans="1:23" ht="18" hidden="1" customHeight="1">
      <c r="A371" s="456"/>
      <c r="F371" s="455"/>
      <c r="T371" s="1123">
        <f>T279</f>
        <v>0</v>
      </c>
      <c r="U371" s="1124"/>
      <c r="V371" s="185"/>
    </row>
    <row r="372" spans="1:23" ht="18" hidden="1" customHeight="1">
      <c r="A372" s="184"/>
      <c r="H372" s="708" t="s">
        <v>390</v>
      </c>
      <c r="I372" s="708"/>
      <c r="J372" s="789" t="s">
        <v>391</v>
      </c>
      <c r="K372" s="789"/>
      <c r="L372" s="790" t="s">
        <v>392</v>
      </c>
      <c r="M372" s="790"/>
      <c r="T372" s="1123">
        <f>T280</f>
        <v>0</v>
      </c>
      <c r="U372" s="1124"/>
      <c r="V372" s="185"/>
    </row>
    <row r="373" spans="1:23" ht="18" hidden="1" customHeight="1">
      <c r="A373" s="184"/>
      <c r="B373" s="47" t="s">
        <v>393</v>
      </c>
      <c r="H373" s="854">
        <f>H281</f>
        <v>2800</v>
      </c>
      <c r="I373" s="831"/>
      <c r="J373" s="863">
        <f>J281</f>
        <v>3200</v>
      </c>
      <c r="K373" s="864"/>
      <c r="L373" s="854" t="str">
        <f>L281</f>
        <v>-</v>
      </c>
      <c r="M373" s="831"/>
      <c r="N373" s="191" t="s">
        <v>342</v>
      </c>
      <c r="O373" s="256">
        <f>O281</f>
        <v>1</v>
      </c>
      <c r="P373" s="27" t="s">
        <v>8</v>
      </c>
      <c r="R373" s="255"/>
      <c r="S373" s="255"/>
      <c r="V373" s="185"/>
    </row>
    <row r="374" spans="1:23" ht="18" hidden="1" customHeight="1">
      <c r="A374" s="184"/>
      <c r="B374" s="47" t="s">
        <v>394</v>
      </c>
      <c r="J374" s="854" t="str">
        <f>H282</f>
        <v>PX</v>
      </c>
      <c r="K374" s="831"/>
      <c r="V374" s="185"/>
    </row>
    <row r="375" spans="1:23" ht="18" hidden="1" customHeight="1">
      <c r="A375" s="184"/>
      <c r="B375" s="47" t="s">
        <v>396</v>
      </c>
      <c r="I375" s="120" t="s">
        <v>497</v>
      </c>
      <c r="J375" s="1075">
        <v>12</v>
      </c>
      <c r="K375" s="1076"/>
      <c r="L375" s="192" t="s">
        <v>333</v>
      </c>
      <c r="V375" s="185"/>
    </row>
    <row r="376" spans="1:23" ht="18" hidden="1" customHeight="1">
      <c r="A376" s="184"/>
      <c r="B376" s="47" t="s">
        <v>398</v>
      </c>
      <c r="I376" s="120" t="s">
        <v>498</v>
      </c>
      <c r="J376" s="1075">
        <v>1200</v>
      </c>
      <c r="K376" s="1076"/>
      <c r="L376" s="14" t="s">
        <v>305</v>
      </c>
      <c r="T376" s="295"/>
      <c r="U376" s="18"/>
      <c r="V376" s="185"/>
      <c r="W376" s="30" t="str">
        <f>G424</f>
        <v>Suitably Dimentioned</v>
      </c>
    </row>
    <row r="377" spans="1:23" ht="18" hidden="1" customHeight="1">
      <c r="A377" s="184"/>
      <c r="B377" s="14" t="s">
        <v>401</v>
      </c>
      <c r="I377" s="120" t="s">
        <v>402</v>
      </c>
      <c r="J377" s="1075">
        <v>50</v>
      </c>
      <c r="K377" s="1076"/>
      <c r="L377" s="14" t="s">
        <v>403</v>
      </c>
      <c r="V377" s="185"/>
    </row>
    <row r="378" spans="1:23" ht="18" hidden="1" customHeight="1">
      <c r="A378" s="184"/>
      <c r="V378" s="185"/>
    </row>
    <row r="379" spans="1:23" ht="18" hidden="1" customHeight="1">
      <c r="A379" s="193" t="s">
        <v>404</v>
      </c>
      <c r="V379" s="185"/>
    </row>
    <row r="380" spans="1:23" ht="18" hidden="1" customHeight="1">
      <c r="A380" s="184"/>
      <c r="V380" s="185"/>
    </row>
    <row r="381" spans="1:23" ht="18" hidden="1" customHeight="1">
      <c r="A381" s="184"/>
      <c r="B381" s="135" t="s">
        <v>405</v>
      </c>
      <c r="C381" s="273"/>
      <c r="D381" s="139" t="str">
        <f>T370</f>
        <v>REF615</v>
      </c>
      <c r="E381" s="227"/>
      <c r="F381" s="227"/>
      <c r="G381" s="227"/>
      <c r="H381" s="138"/>
      <c r="I381" s="260" t="s">
        <v>127</v>
      </c>
      <c r="J381" s="722">
        <f>J289</f>
        <v>0.02</v>
      </c>
      <c r="K381" s="958"/>
      <c r="L381" s="3" t="s">
        <v>157</v>
      </c>
      <c r="N381" s="197" t="s">
        <v>510</v>
      </c>
      <c r="V381" s="185"/>
    </row>
    <row r="382" spans="1:23" ht="18" hidden="1" customHeight="1">
      <c r="A382" s="184"/>
      <c r="B382" s="96" t="s">
        <v>405</v>
      </c>
      <c r="C382" s="14"/>
      <c r="D382" s="47">
        <f>T371</f>
        <v>0</v>
      </c>
      <c r="H382" s="28"/>
      <c r="I382" s="101" t="s">
        <v>127</v>
      </c>
      <c r="J382" s="722">
        <f>J290</f>
        <v>0</v>
      </c>
      <c r="K382" s="958"/>
      <c r="L382" s="3" t="s">
        <v>157</v>
      </c>
      <c r="N382" s="120" t="s">
        <v>491</v>
      </c>
      <c r="O382" s="27" t="s">
        <v>127</v>
      </c>
      <c r="P382" s="27" t="s">
        <v>511</v>
      </c>
      <c r="Q382" s="27" t="s">
        <v>315</v>
      </c>
      <c r="R382" s="27" t="s">
        <v>511</v>
      </c>
      <c r="S382" s="27" t="s">
        <v>315</v>
      </c>
      <c r="T382" s="27" t="s">
        <v>420</v>
      </c>
      <c r="V382" s="185"/>
    </row>
    <row r="383" spans="1:23" ht="18" hidden="1" customHeight="1">
      <c r="A383" s="184"/>
      <c r="B383" s="96" t="s">
        <v>405</v>
      </c>
      <c r="C383" s="14"/>
      <c r="D383" s="47">
        <f>T372</f>
        <v>0</v>
      </c>
      <c r="H383" s="28"/>
      <c r="I383" s="101" t="s">
        <v>127</v>
      </c>
      <c r="J383" s="722">
        <f>J291</f>
        <v>0</v>
      </c>
      <c r="K383" s="958"/>
      <c r="L383" s="3" t="s">
        <v>157</v>
      </c>
      <c r="N383" s="27"/>
      <c r="O383" s="27" t="s">
        <v>127</v>
      </c>
      <c r="P383" s="27">
        <f>O373</f>
        <v>1</v>
      </c>
      <c r="Q383" s="27" t="s">
        <v>315</v>
      </c>
      <c r="R383" s="27">
        <f>O373</f>
        <v>1</v>
      </c>
      <c r="S383" s="27" t="s">
        <v>315</v>
      </c>
      <c r="T383" s="27">
        <f>J375</f>
        <v>12</v>
      </c>
      <c r="V383" s="185"/>
    </row>
    <row r="384" spans="1:23" ht="18" hidden="1" customHeight="1">
      <c r="A384" s="184"/>
      <c r="B384" s="452" t="s">
        <v>412</v>
      </c>
      <c r="C384" s="259"/>
      <c r="D384" s="259"/>
      <c r="E384" s="259"/>
      <c r="F384" s="207"/>
      <c r="G384" s="207"/>
      <c r="H384" s="190"/>
      <c r="I384" s="208" t="s">
        <v>127</v>
      </c>
      <c r="J384" s="1120">
        <f>J292</f>
        <v>1.0770224400000001</v>
      </c>
      <c r="K384" s="987"/>
      <c r="L384" s="297" t="s">
        <v>157</v>
      </c>
      <c r="O384" s="27" t="s">
        <v>127</v>
      </c>
      <c r="P384" s="795">
        <f>P383*R383*T383</f>
        <v>12</v>
      </c>
      <c r="Q384" s="684"/>
      <c r="R384" s="27" t="s">
        <v>157</v>
      </c>
      <c r="V384" s="185"/>
    </row>
    <row r="385" spans="1:25" ht="18" hidden="1" customHeight="1">
      <c r="A385" s="184"/>
      <c r="B385" s="1" t="s">
        <v>413</v>
      </c>
      <c r="C385" s="2"/>
      <c r="D385" s="2"/>
      <c r="E385" s="2"/>
      <c r="F385" s="196"/>
      <c r="G385" s="196"/>
      <c r="H385" s="224" t="s">
        <v>512</v>
      </c>
      <c r="I385" s="183" t="s">
        <v>127</v>
      </c>
      <c r="J385" s="722">
        <f>SUM(J381:J384)</f>
        <v>1.0970224400000002</v>
      </c>
      <c r="K385" s="958"/>
      <c r="L385" s="3" t="s">
        <v>157</v>
      </c>
      <c r="V385" s="185"/>
    </row>
    <row r="386" spans="1:25" ht="18" hidden="1" customHeight="1">
      <c r="A386" s="184"/>
      <c r="B386" s="47"/>
      <c r="C386" s="47"/>
      <c r="D386" s="47"/>
      <c r="E386" s="47"/>
      <c r="H386" s="27"/>
      <c r="I386" s="28"/>
      <c r="J386" s="199"/>
      <c r="L386" s="47"/>
      <c r="S386" s="27"/>
      <c r="V386" s="185"/>
    </row>
    <row r="387" spans="1:25" ht="18" hidden="1" customHeight="1">
      <c r="A387" s="1206" t="s">
        <v>536</v>
      </c>
      <c r="B387" s="1207"/>
      <c r="C387" s="1207"/>
      <c r="D387" s="1207"/>
      <c r="E387" s="1207"/>
      <c r="F387" s="1207"/>
      <c r="G387" s="1207"/>
      <c r="H387" s="1207"/>
      <c r="I387" s="1207"/>
      <c r="J387" s="1207"/>
      <c r="K387" s="1207"/>
      <c r="L387" s="1207"/>
      <c r="M387" s="1207"/>
      <c r="N387" s="1207"/>
      <c r="O387" s="1207"/>
      <c r="P387" s="1207"/>
      <c r="Q387" s="1207"/>
      <c r="R387" s="1207"/>
      <c r="S387" s="1207"/>
      <c r="T387" s="1207"/>
      <c r="U387" s="1207"/>
      <c r="V387" s="1208"/>
    </row>
    <row r="388" spans="1:25" ht="18" hidden="1" customHeight="1">
      <c r="A388" s="1209"/>
      <c r="B388" s="1207"/>
      <c r="C388" s="1207"/>
      <c r="D388" s="1207"/>
      <c r="E388" s="1207"/>
      <c r="F388" s="1207"/>
      <c r="G388" s="1207"/>
      <c r="H388" s="1207"/>
      <c r="I388" s="1207"/>
      <c r="J388" s="1207"/>
      <c r="K388" s="1207"/>
      <c r="L388" s="1207"/>
      <c r="M388" s="1207"/>
      <c r="N388" s="1207"/>
      <c r="O388" s="1207"/>
      <c r="P388" s="1207"/>
      <c r="Q388" s="1207"/>
      <c r="R388" s="1207"/>
      <c r="S388" s="1207"/>
      <c r="T388" s="1207"/>
      <c r="U388" s="1207"/>
      <c r="V388" s="1208"/>
    </row>
    <row r="389" spans="1:25" ht="18" hidden="1" customHeight="1">
      <c r="A389" s="184"/>
      <c r="Q389" s="211"/>
      <c r="R389" s="192"/>
      <c r="V389" s="185"/>
    </row>
    <row r="390" spans="1:25" ht="18" hidden="1" customHeight="1">
      <c r="A390" s="184"/>
      <c r="C390" s="14" t="s">
        <v>473</v>
      </c>
      <c r="D390" s="28" t="s">
        <v>127</v>
      </c>
      <c r="E390" s="28" t="s">
        <v>537</v>
      </c>
      <c r="F390" s="120" t="s">
        <v>493</v>
      </c>
      <c r="G390" s="28" t="s">
        <v>347</v>
      </c>
      <c r="H390" s="120" t="s">
        <v>491</v>
      </c>
      <c r="I390" s="28" t="s">
        <v>538</v>
      </c>
      <c r="J390" s="28" t="s">
        <v>495</v>
      </c>
      <c r="K390" s="28" t="s">
        <v>539</v>
      </c>
      <c r="L390" s="28" t="s">
        <v>511</v>
      </c>
      <c r="M390" s="28" t="s">
        <v>315</v>
      </c>
      <c r="N390" s="28">
        <v>1.3</v>
      </c>
      <c r="O390" s="47" t="s">
        <v>350</v>
      </c>
      <c r="V390" s="185"/>
    </row>
    <row r="391" spans="1:25" ht="18" hidden="1" customHeight="1">
      <c r="A391" s="184" t="s">
        <v>540</v>
      </c>
      <c r="C391" s="14"/>
      <c r="D391" s="28"/>
      <c r="E391" s="14"/>
      <c r="F391" s="14"/>
      <c r="G391" s="14"/>
      <c r="H391" s="14"/>
      <c r="I391" s="14"/>
      <c r="J391" s="14"/>
      <c r="K391" s="14"/>
      <c r="L391" s="14"/>
      <c r="M391" s="14"/>
      <c r="N391" s="14"/>
      <c r="O391" s="14"/>
      <c r="V391" s="185"/>
    </row>
    <row r="392" spans="1:25" ht="18" hidden="1" customHeight="1">
      <c r="A392" s="184"/>
      <c r="C392" s="120" t="s">
        <v>493</v>
      </c>
      <c r="D392" s="28" t="s">
        <v>127</v>
      </c>
      <c r="E392" s="28" t="s">
        <v>537</v>
      </c>
      <c r="F392" s="28">
        <v>1.3</v>
      </c>
      <c r="G392" s="28" t="s">
        <v>315</v>
      </c>
      <c r="H392" s="689" t="s">
        <v>473</v>
      </c>
      <c r="I392" s="716"/>
      <c r="J392" s="28" t="s">
        <v>315</v>
      </c>
      <c r="K392" s="28" t="s">
        <v>511</v>
      </c>
      <c r="L392" s="28" t="s">
        <v>541</v>
      </c>
      <c r="M392" s="28" t="s">
        <v>495</v>
      </c>
      <c r="N392" s="47" t="s">
        <v>542</v>
      </c>
      <c r="O392" s="120" t="s">
        <v>491</v>
      </c>
      <c r="V392" s="185"/>
    </row>
    <row r="393" spans="1:25" ht="18" hidden="1" customHeight="1">
      <c r="A393" s="184"/>
      <c r="V393" s="185"/>
    </row>
    <row r="394" spans="1:25" ht="18" hidden="1" customHeight="1">
      <c r="A394" s="168"/>
      <c r="B394" s="5"/>
      <c r="C394" s="47" t="s">
        <v>543</v>
      </c>
      <c r="D394" s="14"/>
      <c r="E394" s="14"/>
      <c r="F394" s="14"/>
      <c r="G394" s="14"/>
      <c r="H394" s="279"/>
      <c r="I394" s="120"/>
      <c r="J394" s="279"/>
      <c r="K394" s="279"/>
      <c r="L394" s="14"/>
      <c r="M394" s="14"/>
      <c r="N394" s="14"/>
      <c r="O394" s="14"/>
      <c r="P394" s="14"/>
      <c r="Q394" s="120" t="s">
        <v>544</v>
      </c>
      <c r="R394" s="102" t="s">
        <v>127</v>
      </c>
      <c r="S394" s="689">
        <f>S300</f>
        <v>16800</v>
      </c>
      <c r="T394" s="689"/>
      <c r="U394" s="47" t="s">
        <v>8</v>
      </c>
      <c r="V394" s="185"/>
    </row>
    <row r="395" spans="1:25" ht="18" hidden="1" customHeight="1">
      <c r="A395" s="168"/>
      <c r="B395" s="5"/>
      <c r="C395" s="47" t="s">
        <v>545</v>
      </c>
      <c r="D395" s="14"/>
      <c r="E395" s="14"/>
      <c r="F395" s="18"/>
      <c r="G395" s="18"/>
      <c r="H395" s="279"/>
      <c r="I395" s="120"/>
      <c r="J395" s="279"/>
      <c r="K395" s="279"/>
      <c r="L395" s="14"/>
      <c r="M395" s="14"/>
      <c r="N395" s="14"/>
      <c r="O395" s="14"/>
      <c r="P395" s="14"/>
      <c r="Q395" s="120" t="s">
        <v>423</v>
      </c>
      <c r="R395" s="102" t="s">
        <v>127</v>
      </c>
      <c r="S395" s="689">
        <f>J373</f>
        <v>3200</v>
      </c>
      <c r="T395" s="689"/>
      <c r="U395" s="14" t="s">
        <v>8</v>
      </c>
      <c r="V395" s="185"/>
    </row>
    <row r="396" spans="1:25" ht="18" hidden="1" customHeight="1">
      <c r="A396" s="168"/>
      <c r="B396" s="5"/>
      <c r="C396" s="47" t="s">
        <v>546</v>
      </c>
      <c r="D396" s="14"/>
      <c r="E396" s="14"/>
      <c r="F396" s="18"/>
      <c r="G396" s="18"/>
      <c r="H396" s="279"/>
      <c r="I396" s="120"/>
      <c r="J396" s="279"/>
      <c r="K396" s="279"/>
      <c r="L396" s="14"/>
      <c r="M396" s="14"/>
      <c r="N396" s="14"/>
      <c r="O396" s="14"/>
      <c r="P396" s="14"/>
      <c r="Q396" s="120" t="s">
        <v>473</v>
      </c>
      <c r="R396" s="102" t="s">
        <v>127</v>
      </c>
      <c r="S396" s="689">
        <f>J376</f>
        <v>1200</v>
      </c>
      <c r="T396" s="689"/>
      <c r="U396" s="14" t="s">
        <v>305</v>
      </c>
      <c r="V396" s="185"/>
    </row>
    <row r="397" spans="1:25" ht="18" hidden="1" customHeight="1">
      <c r="A397" s="168"/>
      <c r="B397" s="5"/>
      <c r="C397" s="47" t="s">
        <v>547</v>
      </c>
      <c r="D397" s="14"/>
      <c r="E397" s="14"/>
      <c r="F397" s="18"/>
      <c r="G397" s="18"/>
      <c r="H397" s="279"/>
      <c r="I397" s="120"/>
      <c r="J397" s="279"/>
      <c r="K397" s="279"/>
      <c r="L397" s="14"/>
      <c r="M397" s="14"/>
      <c r="N397" s="14"/>
      <c r="O397" s="14"/>
      <c r="P397" s="14"/>
      <c r="Q397" s="120" t="s">
        <v>491</v>
      </c>
      <c r="R397" s="102" t="s">
        <v>127</v>
      </c>
      <c r="S397" s="692">
        <f>P384</f>
        <v>12</v>
      </c>
      <c r="T397" s="689"/>
      <c r="U397" s="14" t="s">
        <v>157</v>
      </c>
      <c r="V397" s="185"/>
      <c r="W397" s="279"/>
      <c r="X397" s="279"/>
      <c r="Y397" s="279"/>
    </row>
    <row r="398" spans="1:25" ht="18" hidden="1" customHeight="1">
      <c r="A398" s="168"/>
      <c r="B398" s="5"/>
      <c r="C398" s="47" t="s">
        <v>548</v>
      </c>
      <c r="D398" s="14"/>
      <c r="E398" s="14"/>
      <c r="F398" s="18"/>
      <c r="G398" s="18"/>
      <c r="H398" s="279"/>
      <c r="I398" s="120"/>
      <c r="J398" s="279"/>
      <c r="K398" s="279"/>
      <c r="L398" s="14"/>
      <c r="M398" s="14"/>
      <c r="N398" s="14"/>
      <c r="O398" s="14"/>
      <c r="P398" s="14"/>
      <c r="Q398" s="120" t="s">
        <v>512</v>
      </c>
      <c r="R398" s="102" t="s">
        <v>127</v>
      </c>
      <c r="S398" s="692">
        <f>J385</f>
        <v>1.0970224400000002</v>
      </c>
      <c r="T398" s="689"/>
      <c r="U398" s="14" t="s">
        <v>157</v>
      </c>
      <c r="V398" s="185"/>
      <c r="X398" s="279"/>
      <c r="Y398" s="279"/>
    </row>
    <row r="399" spans="1:25" ht="18" hidden="1" customHeight="1">
      <c r="A399" s="168"/>
      <c r="B399" s="5"/>
      <c r="C399" s="47" t="s">
        <v>549</v>
      </c>
      <c r="D399" s="14"/>
      <c r="E399" s="14"/>
      <c r="F399" s="14"/>
      <c r="G399" s="14"/>
      <c r="H399" s="279"/>
      <c r="I399" s="120"/>
      <c r="J399" s="279"/>
      <c r="K399" s="279"/>
      <c r="L399" s="14"/>
      <c r="M399" s="14"/>
      <c r="N399" s="14"/>
      <c r="O399" s="14"/>
      <c r="P399" s="14"/>
      <c r="Q399" s="120" t="s">
        <v>511</v>
      </c>
      <c r="R399" s="102" t="s">
        <v>127</v>
      </c>
      <c r="S399" s="689">
        <f>O373</f>
        <v>1</v>
      </c>
      <c r="T399" s="689"/>
      <c r="U399" s="14" t="s">
        <v>8</v>
      </c>
      <c r="V399" s="185"/>
      <c r="X399" s="279"/>
      <c r="Y399" s="279"/>
    </row>
    <row r="400" spans="1:25" ht="18" hidden="1" customHeight="1">
      <c r="A400" s="168"/>
      <c r="B400" s="5"/>
      <c r="C400" s="47" t="s">
        <v>550</v>
      </c>
      <c r="D400" s="14"/>
      <c r="E400" s="14"/>
      <c r="F400" s="14"/>
      <c r="G400" s="14"/>
      <c r="H400" s="279"/>
      <c r="I400" s="120"/>
      <c r="J400" s="279"/>
      <c r="K400" s="279"/>
      <c r="L400" s="14"/>
      <c r="M400" s="14"/>
      <c r="N400" s="14"/>
      <c r="O400" s="14"/>
      <c r="P400" s="14"/>
      <c r="Q400" s="120" t="s">
        <v>495</v>
      </c>
      <c r="R400" s="102" t="s">
        <v>127</v>
      </c>
      <c r="S400" s="689">
        <v>20</v>
      </c>
      <c r="T400" s="689"/>
      <c r="U400" s="47"/>
      <c r="V400" s="185"/>
    </row>
    <row r="401" spans="1:25" ht="18" hidden="1" customHeight="1">
      <c r="A401" s="299"/>
      <c r="B401" s="279"/>
      <c r="C401" s="47" t="s">
        <v>551</v>
      </c>
      <c r="D401" s="14"/>
      <c r="E401" s="14"/>
      <c r="F401" s="14"/>
      <c r="G401" s="14"/>
      <c r="H401" s="279"/>
      <c r="I401" s="120"/>
      <c r="J401" s="279"/>
      <c r="K401" s="279"/>
      <c r="L401" s="14"/>
      <c r="M401" s="14"/>
      <c r="N401" s="279"/>
      <c r="O401" s="279"/>
      <c r="P401" s="14"/>
      <c r="Q401" s="120" t="s">
        <v>493</v>
      </c>
      <c r="R401" s="14"/>
      <c r="S401" s="279"/>
      <c r="T401" s="279"/>
      <c r="U401" s="279"/>
      <c r="V401" s="300"/>
      <c r="W401" s="279"/>
      <c r="X401" s="279"/>
      <c r="Y401" s="279"/>
    </row>
    <row r="402" spans="1:25" ht="18" hidden="1" customHeight="1">
      <c r="A402" s="184"/>
      <c r="V402" s="185"/>
    </row>
    <row r="403" spans="1:25" ht="18" hidden="1" customHeight="1">
      <c r="A403" s="184"/>
      <c r="C403" s="120" t="s">
        <v>493</v>
      </c>
      <c r="D403" s="28" t="s">
        <v>127</v>
      </c>
      <c r="E403" s="28" t="s">
        <v>537</v>
      </c>
      <c r="F403" s="28">
        <v>1.3</v>
      </c>
      <c r="G403" s="28" t="s">
        <v>315</v>
      </c>
      <c r="H403" s="689" t="s">
        <v>473</v>
      </c>
      <c r="I403" s="716"/>
      <c r="J403" s="28" t="s">
        <v>315</v>
      </c>
      <c r="K403" s="28" t="s">
        <v>511</v>
      </c>
      <c r="L403" s="28" t="s">
        <v>541</v>
      </c>
      <c r="M403" s="28" t="s">
        <v>495</v>
      </c>
      <c r="N403" s="47" t="s">
        <v>542</v>
      </c>
      <c r="O403" s="120" t="s">
        <v>491</v>
      </c>
      <c r="V403" s="185"/>
    </row>
    <row r="404" spans="1:25" ht="18" hidden="1" customHeight="1">
      <c r="A404" s="184"/>
      <c r="C404" s="120" t="s">
        <v>493</v>
      </c>
      <c r="D404" s="28" t="s">
        <v>127</v>
      </c>
      <c r="E404" s="28" t="s">
        <v>537</v>
      </c>
      <c r="F404" s="28">
        <v>1.3</v>
      </c>
      <c r="G404" s="28" t="s">
        <v>315</v>
      </c>
      <c r="H404" s="689">
        <f>S396</f>
        <v>1200</v>
      </c>
      <c r="I404" s="716"/>
      <c r="J404" s="28" t="s">
        <v>315</v>
      </c>
      <c r="K404" s="28">
        <f>S399</f>
        <v>1</v>
      </c>
      <c r="L404" s="28" t="s">
        <v>541</v>
      </c>
      <c r="M404" s="28">
        <f>S400</f>
        <v>20</v>
      </c>
      <c r="N404" s="47" t="s">
        <v>542</v>
      </c>
      <c r="O404" s="502">
        <f>S397</f>
        <v>12</v>
      </c>
      <c r="V404" s="185"/>
    </row>
    <row r="405" spans="1:25" ht="18" hidden="1" customHeight="1">
      <c r="A405" s="184"/>
      <c r="D405" s="27" t="s">
        <v>127</v>
      </c>
      <c r="E405" s="684">
        <f>((F404*H404*K404)/M404)-O404</f>
        <v>66</v>
      </c>
      <c r="F405" s="684"/>
      <c r="G405" s="27" t="s">
        <v>157</v>
      </c>
      <c r="V405" s="185"/>
    </row>
    <row r="406" spans="1:25" ht="18" hidden="1" customHeight="1">
      <c r="A406" s="184"/>
      <c r="D406" s="27"/>
      <c r="E406" s="27"/>
      <c r="F406" s="27"/>
      <c r="G406" s="27"/>
      <c r="V406" s="185"/>
    </row>
    <row r="407" spans="1:25" ht="18" hidden="1" customHeight="1">
      <c r="A407" s="184"/>
      <c r="D407" s="27"/>
      <c r="E407" s="27"/>
      <c r="F407" s="27"/>
      <c r="G407" s="27"/>
      <c r="V407" s="185"/>
    </row>
    <row r="408" spans="1:25" ht="18" hidden="1" customHeight="1">
      <c r="A408" s="184"/>
      <c r="D408" s="27"/>
      <c r="E408" s="27"/>
      <c r="F408" s="27"/>
      <c r="G408" s="27"/>
      <c r="V408" s="185"/>
    </row>
    <row r="409" spans="1:25" ht="18" hidden="1" customHeight="1">
      <c r="A409" s="184"/>
      <c r="D409" s="27"/>
      <c r="E409" s="27"/>
      <c r="F409" s="27"/>
      <c r="G409" s="27"/>
      <c r="V409" s="185"/>
    </row>
    <row r="410" spans="1:25" ht="18" hidden="1" customHeight="1">
      <c r="A410" s="184"/>
      <c r="D410" s="27"/>
      <c r="E410" s="27"/>
      <c r="F410" s="27"/>
      <c r="G410" s="27"/>
      <c r="V410" s="185"/>
    </row>
    <row r="411" spans="1:25" ht="18" hidden="1" customHeight="1">
      <c r="A411" s="184"/>
      <c r="V411" s="185"/>
    </row>
    <row r="412" spans="1:25" s="14" customFormat="1" ht="18" hidden="1" customHeight="1">
      <c r="A412" s="194"/>
      <c r="B412" s="195"/>
      <c r="C412" s="195"/>
      <c r="D412" s="195"/>
      <c r="E412" s="195"/>
      <c r="F412" s="195"/>
      <c r="G412" s="195"/>
      <c r="H412" s="195"/>
      <c r="I412" s="195"/>
      <c r="J412" s="195"/>
      <c r="K412" s="195"/>
      <c r="L412" s="195"/>
      <c r="M412" s="195"/>
      <c r="N412" s="195"/>
      <c r="O412" s="195"/>
      <c r="P412" s="195"/>
      <c r="Q412" s="224"/>
      <c r="R412" s="182"/>
      <c r="S412" s="225"/>
      <c r="T412" s="195"/>
      <c r="U412" s="195"/>
      <c r="V412" s="134" t="s">
        <v>552</v>
      </c>
    </row>
    <row r="413" spans="1:25" ht="18" hidden="1" customHeight="1">
      <c r="A413" s="226"/>
      <c r="B413" s="227"/>
      <c r="C413" s="227"/>
      <c r="D413" s="227"/>
      <c r="E413" s="227"/>
      <c r="F413" s="227"/>
      <c r="G413" s="227"/>
      <c r="H413" s="227"/>
      <c r="I413" s="227"/>
      <c r="J413" s="227"/>
      <c r="K413" s="227"/>
      <c r="L413" s="227"/>
      <c r="M413" s="227"/>
      <c r="N413" s="227"/>
      <c r="O413" s="227"/>
      <c r="P413" s="227"/>
      <c r="Q413" s="227"/>
      <c r="R413" s="227"/>
      <c r="S413" s="227"/>
      <c r="T413" s="227"/>
      <c r="U413" s="227"/>
      <c r="V413" s="228"/>
    </row>
    <row r="414" spans="1:25" ht="18" hidden="1" customHeight="1">
      <c r="A414" s="184"/>
      <c r="E414" s="244" t="s">
        <v>111</v>
      </c>
      <c r="F414" s="27" t="s">
        <v>127</v>
      </c>
      <c r="G414" s="689" t="s">
        <v>544</v>
      </c>
      <c r="H414" s="689"/>
      <c r="I414" s="191" t="s">
        <v>342</v>
      </c>
      <c r="J414" s="684" t="s">
        <v>423</v>
      </c>
      <c r="K414" s="684"/>
      <c r="V414" s="185"/>
    </row>
    <row r="415" spans="1:25" ht="18" hidden="1" customHeight="1">
      <c r="A415" s="184"/>
      <c r="F415" s="27" t="s">
        <v>127</v>
      </c>
      <c r="G415" s="684">
        <f>S394</f>
        <v>16800</v>
      </c>
      <c r="H415" s="684"/>
      <c r="I415" s="191" t="s">
        <v>342</v>
      </c>
      <c r="J415" s="684">
        <f>S395</f>
        <v>3200</v>
      </c>
      <c r="K415" s="684"/>
      <c r="V415" s="185"/>
    </row>
    <row r="416" spans="1:25" ht="18" hidden="1" customHeight="1">
      <c r="A416" s="184"/>
      <c r="F416" s="27" t="s">
        <v>127</v>
      </c>
      <c r="G416" s="795">
        <f>G415/J415</f>
        <v>5.25</v>
      </c>
      <c r="H416" s="795"/>
      <c r="I416" s="27"/>
      <c r="J416" s="27"/>
      <c r="K416" s="27"/>
      <c r="V416" s="185"/>
    </row>
    <row r="417" spans="1:22" ht="18" hidden="1" customHeight="1">
      <c r="A417" s="184"/>
      <c r="V417" s="185"/>
    </row>
    <row r="418" spans="1:22" ht="18" hidden="1" customHeight="1">
      <c r="A418" s="184"/>
      <c r="E418" s="244" t="s">
        <v>553</v>
      </c>
      <c r="F418" s="27" t="s">
        <v>127</v>
      </c>
      <c r="G418" s="27" t="s">
        <v>495</v>
      </c>
      <c r="H418" s="27" t="s">
        <v>554</v>
      </c>
      <c r="I418" s="120" t="s">
        <v>491</v>
      </c>
      <c r="J418" s="28" t="s">
        <v>347</v>
      </c>
      <c r="K418" s="120" t="s">
        <v>493</v>
      </c>
      <c r="L418" s="28" t="s">
        <v>539</v>
      </c>
      <c r="M418" s="120" t="s">
        <v>491</v>
      </c>
      <c r="N418" s="28" t="s">
        <v>347</v>
      </c>
      <c r="O418" s="120" t="s">
        <v>512</v>
      </c>
      <c r="P418" s="296" t="s">
        <v>350</v>
      </c>
      <c r="V418" s="185"/>
    </row>
    <row r="419" spans="1:22" ht="18" hidden="1" customHeight="1">
      <c r="A419" s="184"/>
      <c r="F419" s="27" t="s">
        <v>127</v>
      </c>
      <c r="G419" s="242">
        <f>S400</f>
        <v>20</v>
      </c>
      <c r="H419" s="245" t="s">
        <v>554</v>
      </c>
      <c r="I419" s="301">
        <f>S397</f>
        <v>12</v>
      </c>
      <c r="J419" s="245" t="s">
        <v>347</v>
      </c>
      <c r="K419" s="301">
        <f>E405</f>
        <v>66</v>
      </c>
      <c r="L419" s="245" t="s">
        <v>539</v>
      </c>
      <c r="M419" s="301">
        <f>S397</f>
        <v>12</v>
      </c>
      <c r="N419" s="245" t="s">
        <v>347</v>
      </c>
      <c r="O419" s="301">
        <f>S398</f>
        <v>1.0970224400000002</v>
      </c>
      <c r="P419" s="461" t="s">
        <v>350</v>
      </c>
      <c r="V419" s="185"/>
    </row>
    <row r="420" spans="1:22" ht="18" hidden="1" customHeight="1">
      <c r="A420" s="184"/>
      <c r="F420" s="27" t="s">
        <v>127</v>
      </c>
      <c r="G420" s="795">
        <f>G419*((I419+K419)/(M419+O419))</f>
        <v>119.11104276919907</v>
      </c>
      <c r="H420" s="795"/>
      <c r="V420" s="185"/>
    </row>
    <row r="421" spans="1:22" ht="18" hidden="1" customHeight="1">
      <c r="A421" s="184"/>
      <c r="V421" s="185"/>
    </row>
    <row r="422" spans="1:22" ht="18" hidden="1" customHeight="1">
      <c r="A422" s="184"/>
      <c r="E422" s="244" t="s">
        <v>555</v>
      </c>
      <c r="F422" s="27" t="str">
        <f>IF(D423&gt;G423,"&gt;","&lt;")</f>
        <v>&gt;</v>
      </c>
      <c r="G422" s="296" t="s">
        <v>111</v>
      </c>
      <c r="V422" s="185"/>
    </row>
    <row r="423" spans="1:22" ht="18" hidden="1" customHeight="1">
      <c r="A423" s="184"/>
      <c r="D423" s="795">
        <f>G420</f>
        <v>119.11104276919907</v>
      </c>
      <c r="E423" s="795"/>
      <c r="F423" s="27" t="str">
        <f>F422</f>
        <v>&gt;</v>
      </c>
      <c r="G423" s="795">
        <f>G416</f>
        <v>5.25</v>
      </c>
      <c r="H423" s="795"/>
      <c r="V423" s="185"/>
    </row>
    <row r="424" spans="1:22" ht="18" hidden="1" customHeight="1">
      <c r="A424" s="184"/>
      <c r="E424" s="244" t="s">
        <v>478</v>
      </c>
      <c r="G424" s="18" t="str">
        <f>IF(F422="&gt;","Suitably Dimentioned","Under Dimentioned")</f>
        <v>Suitably Dimentioned</v>
      </c>
      <c r="V424" s="185"/>
    </row>
    <row r="425" spans="1:22" ht="18" hidden="1" customHeight="1">
      <c r="A425" s="184"/>
      <c r="V425" s="185"/>
    </row>
    <row r="426" spans="1:22" ht="18" hidden="1" customHeight="1">
      <c r="A426" s="184"/>
      <c r="V426" s="185"/>
    </row>
    <row r="427" spans="1:22" ht="18" hidden="1" customHeight="1">
      <c r="A427" s="184"/>
      <c r="V427" s="185"/>
    </row>
    <row r="428" spans="1:22" ht="18" hidden="1" customHeight="1">
      <c r="A428" s="184"/>
      <c r="V428" s="185"/>
    </row>
    <row r="429" spans="1:22" ht="18" hidden="1" customHeight="1">
      <c r="A429" s="184"/>
      <c r="V429" s="185"/>
    </row>
    <row r="430" spans="1:22" ht="18" hidden="1" customHeight="1">
      <c r="A430" s="184"/>
      <c r="V430" s="185"/>
    </row>
    <row r="431" spans="1:22" ht="18" hidden="1" customHeight="1">
      <c r="A431" s="184"/>
      <c r="V431" s="185"/>
    </row>
    <row r="432" spans="1:22" ht="18" hidden="1" customHeight="1">
      <c r="A432" s="184"/>
      <c r="V432" s="185"/>
    </row>
    <row r="433" spans="1:22" ht="18" hidden="1" customHeight="1">
      <c r="A433" s="184"/>
      <c r="V433" s="185"/>
    </row>
    <row r="434" spans="1:22" ht="18" hidden="1" customHeight="1">
      <c r="A434" s="184"/>
      <c r="V434" s="185"/>
    </row>
    <row r="435" spans="1:22" ht="18" hidden="1" customHeight="1">
      <c r="A435" s="184"/>
      <c r="V435" s="185"/>
    </row>
    <row r="436" spans="1:22" ht="18" hidden="1" customHeight="1">
      <c r="A436" s="184"/>
      <c r="V436" s="185"/>
    </row>
    <row r="437" spans="1:22" ht="18" hidden="1" customHeight="1">
      <c r="A437" s="184"/>
      <c r="V437" s="185"/>
    </row>
    <row r="438" spans="1:22" ht="18" hidden="1" customHeight="1">
      <c r="A438" s="184"/>
      <c r="V438" s="185"/>
    </row>
    <row r="439" spans="1:22" ht="18" hidden="1" customHeight="1">
      <c r="A439" s="184"/>
      <c r="V439" s="185"/>
    </row>
    <row r="440" spans="1:22" ht="18" hidden="1" customHeight="1">
      <c r="A440" s="184"/>
      <c r="V440" s="185"/>
    </row>
    <row r="441" spans="1:22" ht="18" hidden="1" customHeight="1">
      <c r="A441" s="184"/>
      <c r="V441" s="185"/>
    </row>
    <row r="442" spans="1:22" ht="18" hidden="1" customHeight="1">
      <c r="A442" s="184"/>
      <c r="V442" s="185"/>
    </row>
    <row r="443" spans="1:22" ht="18" hidden="1" customHeight="1">
      <c r="A443" s="184"/>
      <c r="V443" s="185"/>
    </row>
    <row r="444" spans="1:22" ht="18" hidden="1" customHeight="1">
      <c r="A444" s="184"/>
      <c r="V444" s="185"/>
    </row>
    <row r="445" spans="1:22" ht="18" hidden="1" customHeight="1">
      <c r="A445" s="184"/>
      <c r="V445" s="185"/>
    </row>
    <row r="446" spans="1:22" ht="18" hidden="1" customHeight="1">
      <c r="A446" s="184"/>
      <c r="V446" s="185"/>
    </row>
    <row r="447" spans="1:22" ht="18" hidden="1" customHeight="1">
      <c r="A447" s="184"/>
      <c r="V447" s="185"/>
    </row>
    <row r="448" spans="1:22" ht="18" hidden="1" customHeight="1">
      <c r="A448" s="184"/>
      <c r="V448" s="185"/>
    </row>
    <row r="449" spans="1:23" ht="18" hidden="1" customHeight="1">
      <c r="A449" s="184"/>
      <c r="V449" s="185"/>
    </row>
    <row r="450" spans="1:23" ht="18" hidden="1" customHeight="1">
      <c r="A450" s="184"/>
      <c r="V450" s="185"/>
    </row>
    <row r="451" spans="1:23" ht="18" hidden="1" customHeight="1">
      <c r="A451" s="184"/>
      <c r="V451" s="185"/>
    </row>
    <row r="452" spans="1:23" ht="18" hidden="1" customHeight="1">
      <c r="A452" s="184"/>
      <c r="V452" s="185"/>
    </row>
    <row r="453" spans="1:23" ht="18" hidden="1" customHeight="1">
      <c r="A453" s="184"/>
      <c r="V453" s="185"/>
    </row>
    <row r="454" spans="1:23" ht="18" hidden="1" customHeight="1">
      <c r="A454" s="184"/>
      <c r="V454" s="185"/>
    </row>
    <row r="455" spans="1:23" ht="18" hidden="1" customHeight="1">
      <c r="A455" s="184"/>
      <c r="V455" s="185"/>
    </row>
    <row r="456" spans="1:23" s="14" customFormat="1" ht="18" hidden="1" customHeight="1">
      <c r="A456" s="194"/>
      <c r="B456" s="195"/>
      <c r="C456" s="195"/>
      <c r="D456" s="195"/>
      <c r="E456" s="195"/>
      <c r="F456" s="195"/>
      <c r="G456" s="195"/>
      <c r="H456" s="195"/>
      <c r="I456" s="195"/>
      <c r="J456" s="195"/>
      <c r="K456" s="195"/>
      <c r="L456" s="195"/>
      <c r="M456" s="195"/>
      <c r="N456" s="195"/>
      <c r="O456" s="195"/>
      <c r="P456" s="195"/>
      <c r="Q456" s="224"/>
      <c r="R456" s="182"/>
      <c r="S456" s="225"/>
      <c r="T456" s="195"/>
      <c r="U456" s="195"/>
      <c r="V456" s="134" t="s">
        <v>552</v>
      </c>
    </row>
    <row r="457" spans="1:23" ht="18" hidden="1" customHeight="1">
      <c r="A457" s="226"/>
      <c r="B457" s="227"/>
      <c r="C457" s="227"/>
      <c r="D457" s="227"/>
      <c r="E457" s="227"/>
      <c r="F457" s="227"/>
      <c r="G457" s="227"/>
      <c r="H457" s="227"/>
      <c r="I457" s="227"/>
      <c r="J457" s="227"/>
      <c r="K457" s="227"/>
      <c r="L457" s="227"/>
      <c r="M457" s="227"/>
      <c r="N457" s="227"/>
      <c r="O457" s="227"/>
      <c r="P457" s="227"/>
      <c r="Q457" s="227"/>
      <c r="R457" s="227"/>
      <c r="S457" s="227"/>
      <c r="T457" s="227"/>
      <c r="U457" s="227"/>
      <c r="V457" s="228"/>
    </row>
    <row r="458" spans="1:23" ht="18" hidden="1" customHeight="1">
      <c r="A458" s="184"/>
      <c r="B458" s="854" t="str">
        <f>B370</f>
        <v>T1</v>
      </c>
      <c r="C458" s="831"/>
      <c r="D458" s="853" t="str">
        <f>D370</f>
        <v>Core3</v>
      </c>
      <c r="E458" s="765"/>
      <c r="F458" s="455"/>
      <c r="H458" s="684" t="str">
        <f>H370</f>
        <v>(OC+BCPU+FMS)</v>
      </c>
      <c r="I458" s="684"/>
      <c r="J458" s="684"/>
      <c r="K458" s="684"/>
      <c r="L458" s="684"/>
      <c r="M458" s="684"/>
      <c r="P458" s="186"/>
      <c r="S458" s="187" t="s">
        <v>387</v>
      </c>
      <c r="T458" s="1123" t="str">
        <f>T370</f>
        <v>REF615</v>
      </c>
      <c r="U458" s="1124"/>
      <c r="V458" s="185"/>
    </row>
    <row r="459" spans="1:23" ht="18" hidden="1" customHeight="1">
      <c r="A459" s="456"/>
      <c r="F459" s="455"/>
      <c r="T459" s="1123">
        <f>T371</f>
        <v>0</v>
      </c>
      <c r="U459" s="1124"/>
      <c r="V459" s="185"/>
    </row>
    <row r="460" spans="1:23" ht="18" hidden="1" customHeight="1">
      <c r="A460" s="184"/>
      <c r="H460" s="708" t="s">
        <v>390</v>
      </c>
      <c r="I460" s="708"/>
      <c r="J460" s="708" t="s">
        <v>391</v>
      </c>
      <c r="K460" s="708"/>
      <c r="L460" s="789" t="s">
        <v>392</v>
      </c>
      <c r="M460" s="789"/>
      <c r="T460" s="1123">
        <f>T372</f>
        <v>0</v>
      </c>
      <c r="U460" s="1124"/>
      <c r="V460" s="185"/>
    </row>
    <row r="461" spans="1:23" ht="18" hidden="1" customHeight="1">
      <c r="A461" s="184"/>
      <c r="B461" s="47" t="s">
        <v>393</v>
      </c>
      <c r="H461" s="854">
        <f>H373</f>
        <v>2800</v>
      </c>
      <c r="I461" s="831"/>
      <c r="J461" s="854">
        <f>J373</f>
        <v>3200</v>
      </c>
      <c r="K461" s="831"/>
      <c r="L461" s="863" t="str">
        <f>L373</f>
        <v>-</v>
      </c>
      <c r="M461" s="864"/>
      <c r="N461" s="191" t="s">
        <v>342</v>
      </c>
      <c r="O461" s="256">
        <f>O373</f>
        <v>1</v>
      </c>
      <c r="P461" s="27" t="s">
        <v>8</v>
      </c>
      <c r="R461" s="255"/>
      <c r="S461" s="255"/>
      <c r="V461" s="185"/>
    </row>
    <row r="462" spans="1:23" ht="18" hidden="1" customHeight="1">
      <c r="A462" s="184"/>
      <c r="B462" s="47" t="s">
        <v>394</v>
      </c>
      <c r="L462" s="854" t="str">
        <f>J374</f>
        <v>PX</v>
      </c>
      <c r="M462" s="831"/>
      <c r="V462" s="185"/>
    </row>
    <row r="463" spans="1:23" ht="18" hidden="1" customHeight="1">
      <c r="A463" s="184"/>
      <c r="B463" s="47" t="s">
        <v>396</v>
      </c>
      <c r="K463" s="120" t="s">
        <v>497</v>
      </c>
      <c r="L463" s="1075">
        <v>8</v>
      </c>
      <c r="M463" s="1076"/>
      <c r="N463" s="192" t="s">
        <v>333</v>
      </c>
      <c r="V463" s="185"/>
    </row>
    <row r="464" spans="1:23" ht="18" hidden="1" customHeight="1">
      <c r="A464" s="184"/>
      <c r="B464" s="47" t="s">
        <v>398</v>
      </c>
      <c r="K464" s="120" t="s">
        <v>498</v>
      </c>
      <c r="L464" s="1075">
        <v>800</v>
      </c>
      <c r="M464" s="1076"/>
      <c r="N464" s="14" t="s">
        <v>305</v>
      </c>
      <c r="V464" s="185"/>
      <c r="W464" s="30" t="e">
        <f>G512</f>
        <v>#VALUE!</v>
      </c>
    </row>
    <row r="465" spans="1:22" ht="18" hidden="1" customHeight="1">
      <c r="A465" s="184"/>
      <c r="B465" s="14" t="s">
        <v>401</v>
      </c>
      <c r="K465" s="120" t="s">
        <v>402</v>
      </c>
      <c r="L465" s="1075">
        <v>75</v>
      </c>
      <c r="M465" s="1076"/>
      <c r="N465" s="14" t="s">
        <v>403</v>
      </c>
      <c r="V465" s="185"/>
    </row>
    <row r="466" spans="1:22" ht="18" hidden="1" customHeight="1">
      <c r="A466" s="184"/>
      <c r="V466" s="185"/>
    </row>
    <row r="467" spans="1:22" ht="18" hidden="1" customHeight="1">
      <c r="A467" s="193" t="s">
        <v>404</v>
      </c>
      <c r="V467" s="185"/>
    </row>
    <row r="468" spans="1:22" ht="18" hidden="1" customHeight="1">
      <c r="A468" s="184"/>
      <c r="V468" s="185"/>
    </row>
    <row r="469" spans="1:22" ht="18" hidden="1" customHeight="1">
      <c r="A469" s="184"/>
      <c r="B469" s="135" t="s">
        <v>405</v>
      </c>
      <c r="C469" s="273"/>
      <c r="D469" s="139" t="str">
        <f>T458</f>
        <v>REF615</v>
      </c>
      <c r="E469" s="227"/>
      <c r="F469" s="227"/>
      <c r="G469" s="227"/>
      <c r="H469" s="138"/>
      <c r="I469" s="260" t="s">
        <v>127</v>
      </c>
      <c r="J469" s="722">
        <f>J381</f>
        <v>0.02</v>
      </c>
      <c r="K469" s="958"/>
      <c r="L469" s="3" t="s">
        <v>157</v>
      </c>
      <c r="N469" s="197" t="s">
        <v>510</v>
      </c>
      <c r="V469" s="185"/>
    </row>
    <row r="470" spans="1:22" ht="18" hidden="1" customHeight="1">
      <c r="A470" s="184"/>
      <c r="B470" s="96" t="s">
        <v>405</v>
      </c>
      <c r="C470" s="14"/>
      <c r="D470" s="47">
        <f>T459</f>
        <v>0</v>
      </c>
      <c r="H470" s="28"/>
      <c r="I470" s="101" t="s">
        <v>127</v>
      </c>
      <c r="J470" s="722">
        <f>J382</f>
        <v>0</v>
      </c>
      <c r="K470" s="958"/>
      <c r="L470" s="3" t="s">
        <v>157</v>
      </c>
      <c r="N470" s="120" t="s">
        <v>491</v>
      </c>
      <c r="O470" s="27" t="s">
        <v>127</v>
      </c>
      <c r="P470" s="27" t="s">
        <v>511</v>
      </c>
      <c r="Q470" s="27" t="s">
        <v>315</v>
      </c>
      <c r="R470" s="27" t="s">
        <v>511</v>
      </c>
      <c r="S470" s="27" t="s">
        <v>315</v>
      </c>
      <c r="T470" s="27" t="s">
        <v>420</v>
      </c>
      <c r="V470" s="185"/>
    </row>
    <row r="471" spans="1:22" ht="18" hidden="1" customHeight="1">
      <c r="A471" s="184"/>
      <c r="B471" s="96" t="s">
        <v>405</v>
      </c>
      <c r="C471" s="14"/>
      <c r="D471" s="47">
        <f>T460</f>
        <v>0</v>
      </c>
      <c r="H471" s="28"/>
      <c r="I471" s="101" t="s">
        <v>127</v>
      </c>
      <c r="J471" s="722">
        <f>J383</f>
        <v>0</v>
      </c>
      <c r="K471" s="958"/>
      <c r="L471" s="3" t="s">
        <v>157</v>
      </c>
      <c r="N471" s="27"/>
      <c r="O471" s="27" t="s">
        <v>127</v>
      </c>
      <c r="P471" s="27">
        <f>O461</f>
        <v>1</v>
      </c>
      <c r="Q471" s="27" t="s">
        <v>315</v>
      </c>
      <c r="R471" s="27">
        <f>O461</f>
        <v>1</v>
      </c>
      <c r="S471" s="27" t="s">
        <v>315</v>
      </c>
      <c r="T471" s="27">
        <f>L463</f>
        <v>8</v>
      </c>
      <c r="V471" s="185"/>
    </row>
    <row r="472" spans="1:22" ht="18" hidden="1" customHeight="1">
      <c r="A472" s="184"/>
      <c r="B472" s="452" t="s">
        <v>412</v>
      </c>
      <c r="C472" s="259"/>
      <c r="D472" s="259"/>
      <c r="E472" s="259"/>
      <c r="F472" s="207"/>
      <c r="G472" s="207"/>
      <c r="H472" s="190"/>
      <c r="I472" s="208" t="s">
        <v>127</v>
      </c>
      <c r="J472" s="1120">
        <f>J384</f>
        <v>1.0770224400000001</v>
      </c>
      <c r="K472" s="987"/>
      <c r="L472" s="297" t="s">
        <v>157</v>
      </c>
      <c r="O472" s="27" t="s">
        <v>127</v>
      </c>
      <c r="P472" s="795">
        <f>P471*R471*T471</f>
        <v>8</v>
      </c>
      <c r="Q472" s="684"/>
      <c r="R472" s="27" t="s">
        <v>157</v>
      </c>
      <c r="V472" s="185"/>
    </row>
    <row r="473" spans="1:22" ht="18" hidden="1" customHeight="1">
      <c r="A473" s="184"/>
      <c r="B473" s="1" t="s">
        <v>413</v>
      </c>
      <c r="C473" s="2"/>
      <c r="D473" s="2"/>
      <c r="E473" s="2"/>
      <c r="F473" s="196"/>
      <c r="G473" s="196"/>
      <c r="H473" s="224" t="s">
        <v>512</v>
      </c>
      <c r="I473" s="183" t="s">
        <v>127</v>
      </c>
      <c r="J473" s="722">
        <f>SUM(J469:J472)</f>
        <v>1.0970224400000002</v>
      </c>
      <c r="K473" s="958"/>
      <c r="L473" s="3" t="s">
        <v>157</v>
      </c>
      <c r="V473" s="185"/>
    </row>
    <row r="474" spans="1:22" ht="18" hidden="1" customHeight="1">
      <c r="A474" s="184"/>
      <c r="B474" s="47"/>
      <c r="C474" s="47"/>
      <c r="D474" s="47"/>
      <c r="E474" s="47"/>
      <c r="H474" s="27"/>
      <c r="I474" s="28"/>
      <c r="J474" s="199"/>
      <c r="L474" s="47"/>
      <c r="S474" s="27"/>
      <c r="V474" s="185"/>
    </row>
    <row r="475" spans="1:22" ht="18" hidden="1" customHeight="1">
      <c r="A475" s="1206" t="s">
        <v>536</v>
      </c>
      <c r="B475" s="1207"/>
      <c r="C475" s="1207"/>
      <c r="D475" s="1207"/>
      <c r="E475" s="1207"/>
      <c r="F475" s="1207"/>
      <c r="G475" s="1207"/>
      <c r="H475" s="1207"/>
      <c r="I475" s="1207"/>
      <c r="J475" s="1207"/>
      <c r="K475" s="1207"/>
      <c r="L475" s="1207"/>
      <c r="M475" s="1207"/>
      <c r="N475" s="1207"/>
      <c r="O475" s="1207"/>
      <c r="P475" s="1207"/>
      <c r="Q475" s="1207"/>
      <c r="R475" s="1207"/>
      <c r="S475" s="1207"/>
      <c r="T475" s="1207"/>
      <c r="U475" s="1207"/>
      <c r="V475" s="1208"/>
    </row>
    <row r="476" spans="1:22" ht="18" hidden="1" customHeight="1">
      <c r="A476" s="1209"/>
      <c r="B476" s="1207"/>
      <c r="C476" s="1207"/>
      <c r="D476" s="1207"/>
      <c r="E476" s="1207"/>
      <c r="F476" s="1207"/>
      <c r="G476" s="1207"/>
      <c r="H476" s="1207"/>
      <c r="I476" s="1207"/>
      <c r="J476" s="1207"/>
      <c r="K476" s="1207"/>
      <c r="L476" s="1207"/>
      <c r="M476" s="1207"/>
      <c r="N476" s="1207"/>
      <c r="O476" s="1207"/>
      <c r="P476" s="1207"/>
      <c r="Q476" s="1207"/>
      <c r="R476" s="1207"/>
      <c r="S476" s="1207"/>
      <c r="T476" s="1207"/>
      <c r="U476" s="1207"/>
      <c r="V476" s="1208"/>
    </row>
    <row r="477" spans="1:22" ht="18" hidden="1" customHeight="1">
      <c r="A477" s="184"/>
      <c r="Q477" s="211"/>
      <c r="R477" s="192"/>
      <c r="V477" s="185"/>
    </row>
    <row r="478" spans="1:22" ht="18" hidden="1" customHeight="1">
      <c r="A478" s="184"/>
      <c r="C478" s="14" t="s">
        <v>473</v>
      </c>
      <c r="D478" s="28" t="s">
        <v>127</v>
      </c>
      <c r="E478" s="28" t="s">
        <v>537</v>
      </c>
      <c r="F478" s="120" t="s">
        <v>493</v>
      </c>
      <c r="G478" s="28" t="s">
        <v>347</v>
      </c>
      <c r="H478" s="120" t="s">
        <v>491</v>
      </c>
      <c r="I478" s="28" t="s">
        <v>538</v>
      </c>
      <c r="J478" s="28" t="s">
        <v>495</v>
      </c>
      <c r="K478" s="28" t="s">
        <v>539</v>
      </c>
      <c r="L478" s="28" t="s">
        <v>511</v>
      </c>
      <c r="M478" s="28" t="s">
        <v>315</v>
      </c>
      <c r="N478" s="28">
        <v>1.3</v>
      </c>
      <c r="O478" s="47" t="s">
        <v>350</v>
      </c>
      <c r="V478" s="185"/>
    </row>
    <row r="479" spans="1:22" ht="18" hidden="1" customHeight="1">
      <c r="A479" s="184" t="s">
        <v>540</v>
      </c>
      <c r="C479" s="14"/>
      <c r="D479" s="28"/>
      <c r="E479" s="14"/>
      <c r="F479" s="14"/>
      <c r="G479" s="14"/>
      <c r="H479" s="14"/>
      <c r="I479" s="14"/>
      <c r="J479" s="14"/>
      <c r="K479" s="14"/>
      <c r="L479" s="14"/>
      <c r="M479" s="14"/>
      <c r="N479" s="14"/>
      <c r="O479" s="14"/>
      <c r="V479" s="185"/>
    </row>
    <row r="480" spans="1:22" ht="18" hidden="1" customHeight="1">
      <c r="A480" s="184"/>
      <c r="C480" s="120" t="s">
        <v>493</v>
      </c>
      <c r="D480" s="28" t="s">
        <v>127</v>
      </c>
      <c r="E480" s="28" t="s">
        <v>537</v>
      </c>
      <c r="F480" s="28">
        <v>1.3</v>
      </c>
      <c r="G480" s="28" t="s">
        <v>315</v>
      </c>
      <c r="H480" s="689" t="s">
        <v>473</v>
      </c>
      <c r="I480" s="716"/>
      <c r="J480" s="28" t="s">
        <v>315</v>
      </c>
      <c r="K480" s="28" t="s">
        <v>511</v>
      </c>
      <c r="L480" s="28" t="s">
        <v>541</v>
      </c>
      <c r="M480" s="28" t="s">
        <v>495</v>
      </c>
      <c r="N480" s="47" t="s">
        <v>542</v>
      </c>
      <c r="O480" s="120" t="s">
        <v>491</v>
      </c>
      <c r="V480" s="185"/>
    </row>
    <row r="481" spans="1:25" ht="18" hidden="1" customHeight="1">
      <c r="A481" s="184"/>
      <c r="V481" s="185"/>
    </row>
    <row r="482" spans="1:25" ht="18" hidden="1" customHeight="1">
      <c r="A482" s="168"/>
      <c r="B482" s="5"/>
      <c r="C482" s="47" t="s">
        <v>543</v>
      </c>
      <c r="D482" s="14"/>
      <c r="E482" s="14"/>
      <c r="F482" s="14"/>
      <c r="G482" s="14"/>
      <c r="H482" s="279"/>
      <c r="I482" s="120"/>
      <c r="J482" s="279"/>
      <c r="K482" s="279"/>
      <c r="L482" s="14"/>
      <c r="M482" s="14"/>
      <c r="N482" s="14"/>
      <c r="O482" s="14"/>
      <c r="P482" s="14"/>
      <c r="Q482" s="120" t="s">
        <v>544</v>
      </c>
      <c r="R482" s="102" t="s">
        <v>127</v>
      </c>
      <c r="S482" s="689">
        <f>S394</f>
        <v>16800</v>
      </c>
      <c r="T482" s="689"/>
      <c r="U482" s="47" t="s">
        <v>8</v>
      </c>
      <c r="V482" s="185"/>
    </row>
    <row r="483" spans="1:25" ht="18" hidden="1" customHeight="1">
      <c r="A483" s="168"/>
      <c r="B483" s="5"/>
      <c r="C483" s="47" t="s">
        <v>545</v>
      </c>
      <c r="D483" s="14"/>
      <c r="E483" s="14"/>
      <c r="F483" s="18"/>
      <c r="G483" s="18"/>
      <c r="H483" s="279"/>
      <c r="I483" s="120"/>
      <c r="J483" s="279"/>
      <c r="K483" s="279"/>
      <c r="L483" s="14"/>
      <c r="M483" s="14"/>
      <c r="N483" s="14"/>
      <c r="O483" s="14"/>
      <c r="P483" s="14"/>
      <c r="Q483" s="120" t="s">
        <v>423</v>
      </c>
      <c r="R483" s="102" t="s">
        <v>127</v>
      </c>
      <c r="S483" s="689" t="str">
        <f>L461</f>
        <v>-</v>
      </c>
      <c r="T483" s="689"/>
      <c r="U483" s="14" t="s">
        <v>8</v>
      </c>
      <c r="V483" s="185"/>
    </row>
    <row r="484" spans="1:25" ht="18" hidden="1" customHeight="1">
      <c r="A484" s="168"/>
      <c r="B484" s="5"/>
      <c r="C484" s="47" t="s">
        <v>546</v>
      </c>
      <c r="D484" s="14"/>
      <c r="E484" s="14"/>
      <c r="F484" s="18"/>
      <c r="G484" s="18"/>
      <c r="H484" s="279"/>
      <c r="I484" s="120"/>
      <c r="J484" s="279"/>
      <c r="K484" s="279"/>
      <c r="L484" s="14"/>
      <c r="M484" s="14"/>
      <c r="N484" s="14"/>
      <c r="O484" s="14"/>
      <c r="P484" s="14"/>
      <c r="Q484" s="120" t="s">
        <v>473</v>
      </c>
      <c r="R484" s="102" t="s">
        <v>127</v>
      </c>
      <c r="S484" s="689">
        <f>L464</f>
        <v>800</v>
      </c>
      <c r="T484" s="689"/>
      <c r="U484" s="14" t="s">
        <v>305</v>
      </c>
      <c r="V484" s="185"/>
    </row>
    <row r="485" spans="1:25" ht="18" hidden="1" customHeight="1">
      <c r="A485" s="168"/>
      <c r="B485" s="5"/>
      <c r="C485" s="47" t="s">
        <v>547</v>
      </c>
      <c r="D485" s="14"/>
      <c r="E485" s="14"/>
      <c r="F485" s="18"/>
      <c r="G485" s="18"/>
      <c r="H485" s="279"/>
      <c r="I485" s="120"/>
      <c r="J485" s="279"/>
      <c r="K485" s="279"/>
      <c r="L485" s="14"/>
      <c r="M485" s="14"/>
      <c r="N485" s="14"/>
      <c r="O485" s="14"/>
      <c r="P485" s="14"/>
      <c r="Q485" s="120" t="s">
        <v>491</v>
      </c>
      <c r="R485" s="102" t="s">
        <v>127</v>
      </c>
      <c r="S485" s="692">
        <f>P472</f>
        <v>8</v>
      </c>
      <c r="T485" s="689"/>
      <c r="U485" s="14" t="s">
        <v>157</v>
      </c>
      <c r="V485" s="185"/>
      <c r="W485" s="279"/>
      <c r="X485" s="279"/>
      <c r="Y485" s="279"/>
    </row>
    <row r="486" spans="1:25" ht="18" hidden="1" customHeight="1">
      <c r="A486" s="168"/>
      <c r="B486" s="5"/>
      <c r="C486" s="47" t="s">
        <v>548</v>
      </c>
      <c r="D486" s="14"/>
      <c r="E486" s="14"/>
      <c r="F486" s="18"/>
      <c r="G486" s="18"/>
      <c r="H486" s="279"/>
      <c r="I486" s="120"/>
      <c r="J486" s="279"/>
      <c r="K486" s="279"/>
      <c r="L486" s="14"/>
      <c r="M486" s="14"/>
      <c r="N486" s="14"/>
      <c r="O486" s="14"/>
      <c r="P486" s="14"/>
      <c r="Q486" s="120" t="s">
        <v>512</v>
      </c>
      <c r="R486" s="102" t="s">
        <v>127</v>
      </c>
      <c r="S486" s="692">
        <f>J473</f>
        <v>1.0970224400000002</v>
      </c>
      <c r="T486" s="689"/>
      <c r="U486" s="14" t="s">
        <v>157</v>
      </c>
      <c r="V486" s="185"/>
      <c r="X486" s="279"/>
      <c r="Y486" s="279"/>
    </row>
    <row r="487" spans="1:25" ht="18" hidden="1" customHeight="1">
      <c r="A487" s="168"/>
      <c r="B487" s="5"/>
      <c r="C487" s="47" t="s">
        <v>549</v>
      </c>
      <c r="D487" s="14"/>
      <c r="E487" s="14"/>
      <c r="F487" s="14"/>
      <c r="G487" s="14"/>
      <c r="H487" s="279"/>
      <c r="I487" s="120"/>
      <c r="J487" s="279"/>
      <c r="K487" s="279"/>
      <c r="L487" s="14"/>
      <c r="M487" s="14"/>
      <c r="N487" s="14"/>
      <c r="O487" s="14"/>
      <c r="P487" s="14"/>
      <c r="Q487" s="120" t="s">
        <v>511</v>
      </c>
      <c r="R487" s="102" t="s">
        <v>127</v>
      </c>
      <c r="S487" s="689">
        <f>O461</f>
        <v>1</v>
      </c>
      <c r="T487" s="689"/>
      <c r="U487" s="14" t="s">
        <v>8</v>
      </c>
      <c r="V487" s="185"/>
      <c r="X487" s="279"/>
      <c r="Y487" s="279"/>
    </row>
    <row r="488" spans="1:25" ht="18" hidden="1" customHeight="1">
      <c r="A488" s="168"/>
      <c r="B488" s="5"/>
      <c r="C488" s="47" t="s">
        <v>550</v>
      </c>
      <c r="D488" s="14"/>
      <c r="E488" s="14"/>
      <c r="F488" s="14"/>
      <c r="G488" s="14"/>
      <c r="H488" s="279"/>
      <c r="I488" s="120"/>
      <c r="J488" s="279"/>
      <c r="K488" s="279"/>
      <c r="L488" s="14"/>
      <c r="M488" s="14"/>
      <c r="N488" s="14"/>
      <c r="O488" s="14"/>
      <c r="P488" s="14"/>
      <c r="Q488" s="120" t="s">
        <v>495</v>
      </c>
      <c r="R488" s="102" t="s">
        <v>127</v>
      </c>
      <c r="S488" s="689">
        <v>20</v>
      </c>
      <c r="T488" s="689"/>
      <c r="U488" s="47"/>
      <c r="V488" s="185"/>
    </row>
    <row r="489" spans="1:25" ht="18" hidden="1" customHeight="1">
      <c r="A489" s="299"/>
      <c r="B489" s="279"/>
      <c r="C489" s="47" t="s">
        <v>551</v>
      </c>
      <c r="D489" s="14"/>
      <c r="E489" s="14"/>
      <c r="F489" s="14"/>
      <c r="G489" s="14"/>
      <c r="H489" s="279"/>
      <c r="I489" s="120"/>
      <c r="J489" s="279"/>
      <c r="K489" s="279"/>
      <c r="L489" s="14"/>
      <c r="M489" s="14"/>
      <c r="N489" s="279"/>
      <c r="O489" s="279"/>
      <c r="P489" s="14"/>
      <c r="Q489" s="120" t="s">
        <v>493</v>
      </c>
      <c r="R489" s="14"/>
      <c r="S489" s="279"/>
      <c r="T489" s="279"/>
      <c r="U489" s="279"/>
      <c r="V489" s="300"/>
      <c r="W489" s="279"/>
      <c r="X489" s="279"/>
      <c r="Y489" s="279"/>
    </row>
    <row r="490" spans="1:25" ht="18" hidden="1" customHeight="1">
      <c r="A490" s="184"/>
      <c r="V490" s="185"/>
    </row>
    <row r="491" spans="1:25" ht="18" hidden="1" customHeight="1">
      <c r="A491" s="184"/>
      <c r="C491" s="120" t="s">
        <v>493</v>
      </c>
      <c r="D491" s="28" t="s">
        <v>127</v>
      </c>
      <c r="E491" s="28" t="s">
        <v>537</v>
      </c>
      <c r="F491" s="28">
        <v>1.3</v>
      </c>
      <c r="G491" s="28" t="s">
        <v>315</v>
      </c>
      <c r="H491" s="689" t="s">
        <v>473</v>
      </c>
      <c r="I491" s="716"/>
      <c r="J491" s="28" t="s">
        <v>315</v>
      </c>
      <c r="K491" s="28" t="s">
        <v>511</v>
      </c>
      <c r="L491" s="28" t="s">
        <v>541</v>
      </c>
      <c r="M491" s="28" t="s">
        <v>495</v>
      </c>
      <c r="N491" s="47" t="s">
        <v>542</v>
      </c>
      <c r="O491" s="120" t="s">
        <v>491</v>
      </c>
      <c r="V491" s="185"/>
    </row>
    <row r="492" spans="1:25" ht="18" hidden="1" customHeight="1">
      <c r="A492" s="184"/>
      <c r="C492" s="120" t="s">
        <v>493</v>
      </c>
      <c r="D492" s="28" t="s">
        <v>127</v>
      </c>
      <c r="E492" s="28" t="s">
        <v>537</v>
      </c>
      <c r="F492" s="28">
        <v>1.3</v>
      </c>
      <c r="G492" s="28" t="s">
        <v>315</v>
      </c>
      <c r="H492" s="689">
        <f>S484</f>
        <v>800</v>
      </c>
      <c r="I492" s="716"/>
      <c r="J492" s="28" t="s">
        <v>315</v>
      </c>
      <c r="K492" s="28">
        <f>S487</f>
        <v>1</v>
      </c>
      <c r="L492" s="28" t="s">
        <v>541</v>
      </c>
      <c r="M492" s="28">
        <f>S488</f>
        <v>20</v>
      </c>
      <c r="N492" s="47" t="s">
        <v>542</v>
      </c>
      <c r="O492" s="502">
        <f>S485</f>
        <v>8</v>
      </c>
      <c r="V492" s="185"/>
    </row>
    <row r="493" spans="1:25" ht="18" hidden="1" customHeight="1">
      <c r="A493" s="184"/>
      <c r="D493" s="27" t="s">
        <v>127</v>
      </c>
      <c r="E493" s="684">
        <f>((F492*H492*K492)/M492)-O492</f>
        <v>44</v>
      </c>
      <c r="F493" s="684"/>
      <c r="G493" s="27" t="s">
        <v>157</v>
      </c>
      <c r="V493" s="185"/>
    </row>
    <row r="494" spans="1:25" ht="18" hidden="1" customHeight="1">
      <c r="A494" s="184"/>
      <c r="D494" s="27"/>
      <c r="E494" s="27"/>
      <c r="F494" s="27"/>
      <c r="G494" s="27"/>
      <c r="V494" s="185"/>
    </row>
    <row r="495" spans="1:25" ht="18" hidden="1" customHeight="1">
      <c r="A495" s="184"/>
      <c r="D495" s="27"/>
      <c r="E495" s="27"/>
      <c r="F495" s="27"/>
      <c r="G495" s="27"/>
      <c r="V495" s="185"/>
    </row>
    <row r="496" spans="1:25" ht="18" hidden="1" customHeight="1">
      <c r="A496" s="184"/>
      <c r="D496" s="27"/>
      <c r="E496" s="27"/>
      <c r="F496" s="27"/>
      <c r="G496" s="27"/>
      <c r="V496" s="185"/>
    </row>
    <row r="497" spans="1:22" ht="18" hidden="1" customHeight="1">
      <c r="A497" s="184"/>
      <c r="D497" s="27"/>
      <c r="E497" s="27"/>
      <c r="F497" s="27"/>
      <c r="G497" s="27"/>
      <c r="V497" s="185"/>
    </row>
    <row r="498" spans="1:22" ht="18" hidden="1" customHeight="1">
      <c r="A498" s="184"/>
      <c r="D498" s="27"/>
      <c r="E498" s="27"/>
      <c r="F498" s="27"/>
      <c r="G498" s="27"/>
      <c r="V498" s="185"/>
    </row>
    <row r="499" spans="1:22" ht="18" hidden="1" customHeight="1">
      <c r="A499" s="184"/>
      <c r="V499" s="185"/>
    </row>
    <row r="500" spans="1:22" s="14" customFormat="1" ht="18" hidden="1" customHeight="1">
      <c r="A500" s="194"/>
      <c r="B500" s="195"/>
      <c r="C500" s="195"/>
      <c r="D500" s="195"/>
      <c r="E500" s="195"/>
      <c r="F500" s="195"/>
      <c r="G500" s="195"/>
      <c r="H500" s="195"/>
      <c r="I500" s="195"/>
      <c r="J500" s="195"/>
      <c r="K500" s="195"/>
      <c r="L500" s="195"/>
      <c r="M500" s="195"/>
      <c r="N500" s="195"/>
      <c r="O500" s="195"/>
      <c r="P500" s="195"/>
      <c r="Q500" s="224"/>
      <c r="R500" s="182"/>
      <c r="S500" s="225"/>
      <c r="T500" s="195"/>
      <c r="U500" s="195"/>
      <c r="V500" s="134" t="s">
        <v>552</v>
      </c>
    </row>
    <row r="501" spans="1:22" ht="18" hidden="1" customHeight="1">
      <c r="A501" s="226"/>
      <c r="B501" s="227"/>
      <c r="C501" s="227"/>
      <c r="D501" s="227"/>
      <c r="E501" s="227"/>
      <c r="F501" s="227"/>
      <c r="G501" s="227"/>
      <c r="H501" s="227"/>
      <c r="I501" s="227"/>
      <c r="J501" s="227"/>
      <c r="K501" s="227"/>
      <c r="L501" s="227"/>
      <c r="M501" s="227"/>
      <c r="N501" s="227"/>
      <c r="O501" s="227"/>
      <c r="P501" s="227"/>
      <c r="Q501" s="227"/>
      <c r="R501" s="227"/>
      <c r="S501" s="227"/>
      <c r="T501" s="227"/>
      <c r="U501" s="227"/>
      <c r="V501" s="228"/>
    </row>
    <row r="502" spans="1:22" ht="18" hidden="1" customHeight="1">
      <c r="A502" s="184"/>
      <c r="E502" s="244" t="s">
        <v>111</v>
      </c>
      <c r="F502" s="27" t="s">
        <v>127</v>
      </c>
      <c r="G502" s="689" t="s">
        <v>544</v>
      </c>
      <c r="H502" s="689"/>
      <c r="I502" s="191" t="s">
        <v>342</v>
      </c>
      <c r="J502" s="684" t="s">
        <v>423</v>
      </c>
      <c r="K502" s="684"/>
      <c r="V502" s="185"/>
    </row>
    <row r="503" spans="1:22" ht="18" hidden="1" customHeight="1">
      <c r="A503" s="184"/>
      <c r="F503" s="27" t="s">
        <v>127</v>
      </c>
      <c r="G503" s="684">
        <f>S482</f>
        <v>16800</v>
      </c>
      <c r="H503" s="684"/>
      <c r="I503" s="191" t="s">
        <v>342</v>
      </c>
      <c r="J503" s="684" t="str">
        <f>S483</f>
        <v>-</v>
      </c>
      <c r="K503" s="684"/>
      <c r="V503" s="185"/>
    </row>
    <row r="504" spans="1:22" ht="18" hidden="1" customHeight="1">
      <c r="A504" s="184"/>
      <c r="F504" s="27" t="s">
        <v>127</v>
      </c>
      <c r="G504" s="795" t="e">
        <f>G503/J503</f>
        <v>#VALUE!</v>
      </c>
      <c r="H504" s="795"/>
      <c r="I504" s="27"/>
      <c r="J504" s="27"/>
      <c r="K504" s="27"/>
      <c r="V504" s="185"/>
    </row>
    <row r="505" spans="1:22" ht="18" hidden="1" customHeight="1">
      <c r="A505" s="184"/>
      <c r="V505" s="185"/>
    </row>
    <row r="506" spans="1:22" ht="18" hidden="1" customHeight="1">
      <c r="A506" s="184"/>
      <c r="E506" s="244" t="s">
        <v>553</v>
      </c>
      <c r="F506" s="27" t="s">
        <v>127</v>
      </c>
      <c r="G506" s="27" t="s">
        <v>495</v>
      </c>
      <c r="H506" s="27" t="s">
        <v>554</v>
      </c>
      <c r="I506" s="120" t="s">
        <v>491</v>
      </c>
      <c r="J506" s="28" t="s">
        <v>347</v>
      </c>
      <c r="K506" s="120" t="s">
        <v>493</v>
      </c>
      <c r="L506" s="28" t="s">
        <v>539</v>
      </c>
      <c r="M506" s="120" t="s">
        <v>491</v>
      </c>
      <c r="N506" s="28" t="s">
        <v>347</v>
      </c>
      <c r="O506" s="120" t="s">
        <v>512</v>
      </c>
      <c r="P506" s="296" t="s">
        <v>350</v>
      </c>
      <c r="V506" s="185"/>
    </row>
    <row r="507" spans="1:22" ht="18" hidden="1" customHeight="1">
      <c r="A507" s="184"/>
      <c r="F507" s="27" t="s">
        <v>127</v>
      </c>
      <c r="G507" s="242">
        <f>S488</f>
        <v>20</v>
      </c>
      <c r="H507" s="245" t="s">
        <v>554</v>
      </c>
      <c r="I507" s="301">
        <f>S485</f>
        <v>8</v>
      </c>
      <c r="J507" s="245" t="s">
        <v>347</v>
      </c>
      <c r="K507" s="301">
        <f>E493</f>
        <v>44</v>
      </c>
      <c r="L507" s="245" t="s">
        <v>539</v>
      </c>
      <c r="M507" s="301">
        <f>S485</f>
        <v>8</v>
      </c>
      <c r="N507" s="245" t="s">
        <v>347</v>
      </c>
      <c r="O507" s="301">
        <f>S486</f>
        <v>1.0970224400000002</v>
      </c>
      <c r="P507" s="461" t="s">
        <v>350</v>
      </c>
      <c r="V507" s="185"/>
    </row>
    <row r="508" spans="1:22" ht="18" hidden="1" customHeight="1">
      <c r="A508" s="184"/>
      <c r="F508" s="27" t="s">
        <v>127</v>
      </c>
      <c r="G508" s="795">
        <f>G507*((I507+K507)/(M507+O507))</f>
        <v>114.3231213135273</v>
      </c>
      <c r="H508" s="795"/>
      <c r="V508" s="185"/>
    </row>
    <row r="509" spans="1:22" ht="18" hidden="1" customHeight="1">
      <c r="A509" s="184"/>
      <c r="V509" s="185"/>
    </row>
    <row r="510" spans="1:22" ht="18" hidden="1" customHeight="1">
      <c r="A510" s="184"/>
      <c r="E510" s="244" t="s">
        <v>555</v>
      </c>
      <c r="F510" s="27" t="e">
        <f>IF(D511&gt;G511,"&gt;","&lt;")</f>
        <v>#VALUE!</v>
      </c>
      <c r="G510" s="296" t="s">
        <v>111</v>
      </c>
      <c r="V510" s="185"/>
    </row>
    <row r="511" spans="1:22" ht="18" hidden="1" customHeight="1">
      <c r="A511" s="184"/>
      <c r="D511" s="795">
        <f>G508</f>
        <v>114.3231213135273</v>
      </c>
      <c r="E511" s="795"/>
      <c r="F511" s="27" t="e">
        <f>F510</f>
        <v>#VALUE!</v>
      </c>
      <c r="G511" s="795" t="e">
        <f>G504</f>
        <v>#VALUE!</v>
      </c>
      <c r="H511" s="795"/>
      <c r="V511" s="185"/>
    </row>
    <row r="512" spans="1:22" ht="18" hidden="1" customHeight="1">
      <c r="A512" s="184"/>
      <c r="E512" s="244" t="s">
        <v>478</v>
      </c>
      <c r="G512" s="18" t="e">
        <f>IF(F510="&gt;","Suitably Dimentioned","Under Dimentioned")</f>
        <v>#VALUE!</v>
      </c>
      <c r="V512" s="185"/>
    </row>
    <row r="513" spans="1:22" ht="18" hidden="1" customHeight="1">
      <c r="A513" s="184"/>
      <c r="V513" s="185"/>
    </row>
    <row r="514" spans="1:22" ht="18" hidden="1" customHeight="1">
      <c r="A514" s="184"/>
      <c r="V514" s="185"/>
    </row>
    <row r="515" spans="1:22" ht="18" hidden="1" customHeight="1">
      <c r="A515" s="184"/>
      <c r="V515" s="185"/>
    </row>
    <row r="516" spans="1:22" ht="18" hidden="1" customHeight="1">
      <c r="A516" s="184"/>
      <c r="V516" s="185"/>
    </row>
    <row r="517" spans="1:22" ht="18" hidden="1" customHeight="1">
      <c r="A517" s="184"/>
      <c r="V517" s="185"/>
    </row>
    <row r="518" spans="1:22" ht="18" hidden="1" customHeight="1">
      <c r="A518" s="184"/>
      <c r="V518" s="185"/>
    </row>
    <row r="519" spans="1:22" ht="18" hidden="1" customHeight="1">
      <c r="A519" s="184"/>
      <c r="V519" s="185"/>
    </row>
    <row r="520" spans="1:22" ht="18" hidden="1" customHeight="1">
      <c r="A520" s="184"/>
      <c r="V520" s="185"/>
    </row>
    <row r="521" spans="1:22" ht="18" hidden="1" customHeight="1">
      <c r="A521" s="184"/>
      <c r="V521" s="185"/>
    </row>
    <row r="522" spans="1:22" ht="18" hidden="1" customHeight="1">
      <c r="A522" s="184"/>
      <c r="V522" s="185"/>
    </row>
    <row r="523" spans="1:22" ht="18" hidden="1" customHeight="1">
      <c r="A523" s="184"/>
      <c r="V523" s="185"/>
    </row>
    <row r="524" spans="1:22" ht="18" hidden="1" customHeight="1">
      <c r="A524" s="184"/>
      <c r="V524" s="185"/>
    </row>
    <row r="525" spans="1:22" ht="18" hidden="1" customHeight="1">
      <c r="A525" s="184"/>
      <c r="V525" s="185"/>
    </row>
    <row r="526" spans="1:22" ht="18" hidden="1" customHeight="1">
      <c r="A526" s="184"/>
      <c r="V526" s="185"/>
    </row>
    <row r="527" spans="1:22" ht="18" hidden="1" customHeight="1">
      <c r="A527" s="184"/>
      <c r="V527" s="185"/>
    </row>
    <row r="528" spans="1:22" ht="18" hidden="1" customHeight="1">
      <c r="A528" s="184"/>
      <c r="V528" s="185"/>
    </row>
    <row r="529" spans="1:22" ht="18" hidden="1" customHeight="1">
      <c r="A529" s="184"/>
      <c r="V529" s="185"/>
    </row>
    <row r="530" spans="1:22" ht="18" hidden="1" customHeight="1">
      <c r="A530" s="184"/>
      <c r="V530" s="185"/>
    </row>
    <row r="531" spans="1:22" ht="18" hidden="1" customHeight="1">
      <c r="A531" s="184"/>
      <c r="V531" s="185"/>
    </row>
    <row r="532" spans="1:22" ht="18" hidden="1" customHeight="1">
      <c r="A532" s="184"/>
      <c r="V532" s="185"/>
    </row>
    <row r="533" spans="1:22" ht="18" hidden="1" customHeight="1">
      <c r="A533" s="184"/>
      <c r="V533" s="185"/>
    </row>
    <row r="534" spans="1:22" ht="18" hidden="1" customHeight="1">
      <c r="A534" s="184"/>
      <c r="V534" s="185"/>
    </row>
    <row r="535" spans="1:22" ht="18" hidden="1" customHeight="1">
      <c r="A535" s="184"/>
      <c r="V535" s="185"/>
    </row>
    <row r="536" spans="1:22" ht="18" hidden="1" customHeight="1">
      <c r="A536" s="184"/>
      <c r="V536" s="185"/>
    </row>
    <row r="537" spans="1:22" ht="18" hidden="1" customHeight="1">
      <c r="A537" s="184"/>
      <c r="V537" s="185"/>
    </row>
    <row r="538" spans="1:22" ht="18" hidden="1" customHeight="1">
      <c r="A538" s="184"/>
      <c r="V538" s="185"/>
    </row>
    <row r="539" spans="1:22" ht="18" hidden="1" customHeight="1">
      <c r="A539" s="184"/>
      <c r="V539" s="185"/>
    </row>
    <row r="540" spans="1:22" ht="18" hidden="1" customHeight="1">
      <c r="A540" s="184"/>
      <c r="V540" s="185"/>
    </row>
    <row r="541" spans="1:22" ht="18" hidden="1" customHeight="1">
      <c r="A541" s="184"/>
      <c r="V541" s="185"/>
    </row>
    <row r="542" spans="1:22" ht="18" hidden="1" customHeight="1">
      <c r="A542" s="184"/>
      <c r="V542" s="185"/>
    </row>
    <row r="543" spans="1:22" ht="18" hidden="1" customHeight="1">
      <c r="A543" s="184"/>
      <c r="V543" s="185"/>
    </row>
    <row r="544" spans="1:22" ht="18" hidden="1" customHeight="1">
      <c r="A544" s="184"/>
      <c r="V544" s="185"/>
    </row>
    <row r="545" spans="1:22" s="14" customFormat="1" ht="18" hidden="1" customHeight="1">
      <c r="A545" s="194"/>
      <c r="B545" s="195"/>
      <c r="C545" s="195"/>
      <c r="D545" s="195"/>
      <c r="E545" s="195"/>
      <c r="F545" s="195"/>
      <c r="G545" s="195"/>
      <c r="H545" s="195"/>
      <c r="I545" s="195"/>
      <c r="J545" s="195"/>
      <c r="K545" s="195"/>
      <c r="L545" s="195"/>
      <c r="M545" s="195"/>
      <c r="N545" s="195"/>
      <c r="O545" s="195"/>
      <c r="P545" s="195"/>
      <c r="Q545" s="224"/>
      <c r="R545" s="182"/>
      <c r="S545" s="225"/>
      <c r="T545" s="195"/>
      <c r="U545" s="195"/>
      <c r="V545" s="134"/>
    </row>
    <row r="546" spans="1:22" ht="18" customHeight="1">
      <c r="A546" s="226"/>
      <c r="B546" s="227"/>
      <c r="C546" s="227"/>
      <c r="D546" s="227"/>
      <c r="E546" s="227"/>
      <c r="F546" s="227"/>
      <c r="G546" s="227"/>
      <c r="H546" s="227"/>
      <c r="I546" s="227"/>
      <c r="J546" s="227"/>
      <c r="K546" s="227"/>
      <c r="L546" s="227"/>
      <c r="M546" s="227"/>
      <c r="N546" s="227"/>
      <c r="O546" s="227"/>
      <c r="P546" s="227"/>
      <c r="Q546" s="227"/>
      <c r="R546" s="227"/>
      <c r="S546" s="227"/>
      <c r="T546" s="227"/>
      <c r="U546" s="227"/>
      <c r="V546" s="228"/>
    </row>
    <row r="547" spans="1:22" ht="18" customHeight="1">
      <c r="A547" s="262" t="s">
        <v>532</v>
      </c>
      <c r="B547" s="14"/>
      <c r="C547" s="14"/>
      <c r="D547" s="120"/>
      <c r="E547" s="120"/>
      <c r="F547" s="18"/>
      <c r="G547" s="18"/>
      <c r="H547" s="14"/>
      <c r="I547" s="14"/>
      <c r="J547" s="14"/>
      <c r="K547" s="14"/>
      <c r="L547" s="14"/>
      <c r="M547" s="14"/>
      <c r="N547" s="14"/>
      <c r="O547" s="14"/>
      <c r="P547" s="28"/>
      <c r="Q547" s="120"/>
      <c r="R547" s="47"/>
      <c r="S547" s="206"/>
      <c r="T547" s="259"/>
      <c r="U547" s="14"/>
      <c r="V547" s="97"/>
    </row>
    <row r="548" spans="1:22" customFormat="1" ht="18" customHeight="1">
      <c r="A548" s="868" t="s">
        <v>85</v>
      </c>
      <c r="B548" s="868"/>
      <c r="C548" s="869"/>
      <c r="D548" s="868" t="s">
        <v>86</v>
      </c>
      <c r="E548" s="868"/>
      <c r="F548" s="868"/>
      <c r="G548" s="868" t="s">
        <v>87</v>
      </c>
      <c r="H548" s="868"/>
      <c r="I548" s="868" t="s">
        <v>88</v>
      </c>
      <c r="J548" s="868"/>
      <c r="K548" s="868" t="s">
        <v>502</v>
      </c>
      <c r="L548" s="868"/>
      <c r="M548" s="868" t="s">
        <v>503</v>
      </c>
      <c r="N548" s="868"/>
      <c r="O548" s="868" t="s">
        <v>504</v>
      </c>
      <c r="P548" s="868"/>
      <c r="Q548" s="868" t="s">
        <v>505</v>
      </c>
      <c r="R548" s="868"/>
      <c r="S548" s="868" t="s">
        <v>93</v>
      </c>
      <c r="T548" s="868"/>
      <c r="U548" s="868"/>
      <c r="V548" s="868"/>
    </row>
    <row r="549" spans="1:22" customFormat="1" ht="18" customHeight="1">
      <c r="A549" s="868"/>
      <c r="B549" s="868"/>
      <c r="C549" s="869"/>
      <c r="D549" s="868"/>
      <c r="E549" s="868"/>
      <c r="F549" s="868"/>
      <c r="G549" s="868"/>
      <c r="H549" s="868"/>
      <c r="I549" s="868"/>
      <c r="J549" s="868"/>
      <c r="K549" s="868"/>
      <c r="L549" s="868"/>
      <c r="M549" s="868"/>
      <c r="N549" s="868"/>
      <c r="O549" s="868"/>
      <c r="P549" s="868"/>
      <c r="Q549" s="868"/>
      <c r="R549" s="868"/>
      <c r="S549" s="868"/>
      <c r="T549" s="868"/>
      <c r="U549" s="868"/>
      <c r="V549" s="868"/>
    </row>
    <row r="550" spans="1:22" customFormat="1" ht="18" customHeight="1">
      <c r="A550" s="868"/>
      <c r="B550" s="868"/>
      <c r="C550" s="869"/>
      <c r="D550" s="868"/>
      <c r="E550" s="868"/>
      <c r="F550" s="868"/>
      <c r="G550" s="868"/>
      <c r="H550" s="868"/>
      <c r="I550" s="868"/>
      <c r="J550" s="868"/>
      <c r="K550" s="868"/>
      <c r="L550" s="868"/>
      <c r="M550" s="868"/>
      <c r="N550" s="868"/>
      <c r="O550" s="868"/>
      <c r="P550" s="868"/>
      <c r="Q550" s="868"/>
      <c r="R550" s="868"/>
      <c r="S550" s="868"/>
      <c r="T550" s="868"/>
      <c r="U550" s="868"/>
      <c r="V550" s="868"/>
    </row>
    <row r="551" spans="1:22" customFormat="1" ht="18" customHeight="1">
      <c r="A551" s="868"/>
      <c r="B551" s="868"/>
      <c r="C551" s="869"/>
      <c r="D551" s="868"/>
      <c r="E551" s="868"/>
      <c r="F551" s="868"/>
      <c r="G551" s="868"/>
      <c r="H551" s="868"/>
      <c r="I551" s="868"/>
      <c r="J551" s="868"/>
      <c r="K551" s="868"/>
      <c r="L551" s="868"/>
      <c r="M551" s="868"/>
      <c r="N551" s="868"/>
      <c r="O551" s="868"/>
      <c r="P551" s="868"/>
      <c r="Q551" s="868"/>
      <c r="R551" s="868"/>
      <c r="S551" s="868"/>
      <c r="T551" s="868"/>
      <c r="U551" s="868"/>
      <c r="V551" s="868"/>
    </row>
    <row r="552" spans="1:22" customFormat="1" ht="18" customHeight="1">
      <c r="A552" s="765" t="str">
        <f>B7</f>
        <v>T1</v>
      </c>
      <c r="B552" s="765" t="str">
        <f>D7</f>
        <v>Core1</v>
      </c>
      <c r="C552" s="765"/>
      <c r="D552" s="870">
        <f>H10</f>
        <v>3200</v>
      </c>
      <c r="E552" s="870"/>
      <c r="F552" s="871">
        <f>O10</f>
        <v>1</v>
      </c>
      <c r="G552" s="1345">
        <f>'CT-VT Burdens'!S21</f>
        <v>120</v>
      </c>
      <c r="H552" s="874">
        <f>'CT-VT Burdens'!S10</f>
        <v>6</v>
      </c>
      <c r="I552" s="874" t="str">
        <f>H11</f>
        <v>PX</v>
      </c>
      <c r="J552" s="874"/>
      <c r="K552" s="869">
        <f>H12</f>
        <v>9.1999999999999993</v>
      </c>
      <c r="L552" s="869"/>
      <c r="M552" s="869">
        <f>H13</f>
        <v>600</v>
      </c>
      <c r="N552" s="869"/>
      <c r="O552" s="870">
        <f>H14</f>
        <v>10</v>
      </c>
      <c r="P552" s="870"/>
      <c r="Q552" s="879" t="str">
        <f>CONCATENATE(T7," ",T8,"",T9)</f>
        <v xml:space="preserve">REF615 </v>
      </c>
      <c r="R552" s="879"/>
      <c r="S552" s="876" t="s">
        <v>533</v>
      </c>
      <c r="T552" s="870"/>
      <c r="U552" s="870"/>
      <c r="V552" s="870"/>
    </row>
    <row r="553" spans="1:22" customFormat="1" ht="18" customHeight="1">
      <c r="A553" s="765"/>
      <c r="B553" s="765"/>
      <c r="C553" s="765"/>
      <c r="D553" s="876">
        <f>J104</f>
        <v>2800</v>
      </c>
      <c r="E553" s="870"/>
      <c r="F553" s="872"/>
      <c r="G553" s="1345"/>
      <c r="H553" s="870"/>
      <c r="I553" s="874"/>
      <c r="J553" s="874"/>
      <c r="K553" s="875">
        <f>J106</f>
        <v>8</v>
      </c>
      <c r="L553" s="869"/>
      <c r="M553" s="875">
        <f>J107</f>
        <v>500</v>
      </c>
      <c r="N553" s="869"/>
      <c r="O553" s="876">
        <f>J108</f>
        <v>20</v>
      </c>
      <c r="P553" s="870"/>
      <c r="Q553" s="879"/>
      <c r="R553" s="879"/>
      <c r="S553" s="876" t="str">
        <f>H341</f>
        <v>Suitably Dimensioned</v>
      </c>
      <c r="T553" s="870"/>
      <c r="U553" s="870"/>
      <c r="V553" s="870"/>
    </row>
    <row r="554" spans="1:22" customFormat="1" ht="18" customHeight="1">
      <c r="A554" s="765"/>
      <c r="B554" s="765"/>
      <c r="C554" s="765"/>
      <c r="D554" s="876" t="s">
        <v>6</v>
      </c>
      <c r="E554" s="870"/>
      <c r="F554" s="873"/>
      <c r="G554" s="1345"/>
      <c r="H554" s="870"/>
      <c r="I554" s="874"/>
      <c r="J554" s="874"/>
      <c r="K554" s="875" t="s">
        <v>6</v>
      </c>
      <c r="L554" s="869"/>
      <c r="M554" s="875" t="s">
        <v>6</v>
      </c>
      <c r="N554" s="869"/>
      <c r="O554" s="876" t="s">
        <v>6</v>
      </c>
      <c r="P554" s="870"/>
      <c r="Q554" s="879"/>
      <c r="R554" s="879"/>
      <c r="S554" s="870" t="s">
        <v>6</v>
      </c>
      <c r="T554" s="870"/>
      <c r="U554" s="870"/>
      <c r="V554" s="870"/>
    </row>
    <row r="555" spans="1:22" ht="18" customHeight="1">
      <c r="A555" s="184"/>
      <c r="V555" s="185"/>
    </row>
    <row r="556" spans="1:22" ht="18" customHeight="1">
      <c r="A556" s="184"/>
      <c r="V556" s="185"/>
    </row>
    <row r="557" spans="1:22" ht="18" customHeight="1">
      <c r="A557" s="184"/>
      <c r="V557" s="185"/>
    </row>
    <row r="558" spans="1:22" ht="18" customHeight="1">
      <c r="A558" s="184"/>
      <c r="V558" s="185"/>
    </row>
    <row r="559" spans="1:22" ht="18" customHeight="1">
      <c r="A559" s="184"/>
      <c r="V559" s="185"/>
    </row>
    <row r="560" spans="1:22" ht="18" customHeight="1">
      <c r="A560" s="184"/>
      <c r="V560" s="185"/>
    </row>
    <row r="561" spans="1:22" ht="18" customHeight="1">
      <c r="A561" s="184"/>
      <c r="V561" s="185"/>
    </row>
    <row r="562" spans="1:22" ht="18" customHeight="1">
      <c r="A562" s="184"/>
      <c r="V562" s="185"/>
    </row>
    <row r="563" spans="1:22" ht="18" customHeight="1">
      <c r="A563" s="184"/>
      <c r="V563" s="185"/>
    </row>
    <row r="564" spans="1:22" ht="18" customHeight="1">
      <c r="A564" s="184"/>
      <c r="V564" s="185"/>
    </row>
    <row r="565" spans="1:22" ht="18" customHeight="1">
      <c r="A565" s="184"/>
      <c r="V565" s="185"/>
    </row>
    <row r="566" spans="1:22" ht="18" customHeight="1">
      <c r="A566" s="184"/>
      <c r="V566" s="185"/>
    </row>
    <row r="567" spans="1:22" ht="18" customHeight="1">
      <c r="A567" s="184"/>
      <c r="V567" s="185"/>
    </row>
    <row r="568" spans="1:22" ht="18" customHeight="1">
      <c r="A568" s="184"/>
      <c r="V568" s="185"/>
    </row>
    <row r="569" spans="1:22" ht="18" customHeight="1">
      <c r="A569" s="184"/>
      <c r="V569" s="185"/>
    </row>
    <row r="570" spans="1:22" ht="18" customHeight="1">
      <c r="A570" s="184"/>
      <c r="V570" s="185"/>
    </row>
    <row r="571" spans="1:22" ht="18" customHeight="1">
      <c r="A571" s="184"/>
      <c r="V571" s="185"/>
    </row>
    <row r="572" spans="1:22" ht="18" customHeight="1">
      <c r="A572" s="184"/>
      <c r="V572" s="185"/>
    </row>
    <row r="573" spans="1:22" ht="18" customHeight="1">
      <c r="A573" s="184"/>
      <c r="V573" s="185"/>
    </row>
    <row r="574" spans="1:22" ht="18" customHeight="1">
      <c r="A574" s="184"/>
      <c r="V574" s="185"/>
    </row>
    <row r="575" spans="1:22" ht="18" customHeight="1">
      <c r="A575" s="184"/>
      <c r="V575" s="185"/>
    </row>
    <row r="576" spans="1:22" ht="18" customHeight="1">
      <c r="A576" s="184"/>
      <c r="V576" s="185"/>
    </row>
    <row r="577" spans="1:22" ht="18" customHeight="1">
      <c r="A577" s="184"/>
      <c r="V577" s="185"/>
    </row>
    <row r="578" spans="1:22" ht="18" customHeight="1">
      <c r="A578" s="184"/>
      <c r="V578" s="185"/>
    </row>
    <row r="579" spans="1:22" ht="18" customHeight="1">
      <c r="A579" s="184"/>
      <c r="V579" s="185"/>
    </row>
    <row r="580" spans="1:22" ht="18" customHeight="1">
      <c r="A580" s="184"/>
      <c r="V580" s="185"/>
    </row>
    <row r="581" spans="1:22" ht="18" hidden="1" customHeight="1">
      <c r="A581" s="184"/>
      <c r="V581" s="185"/>
    </row>
    <row r="582" spans="1:22" ht="18" customHeight="1">
      <c r="A582" s="184"/>
      <c r="V582" s="185"/>
    </row>
    <row r="583" spans="1:22" ht="18" customHeight="1">
      <c r="A583" s="184"/>
      <c r="V583" s="185"/>
    </row>
    <row r="584" spans="1:22" ht="18" customHeight="1">
      <c r="A584" s="184"/>
      <c r="V584" s="185"/>
    </row>
    <row r="585" spans="1:22" ht="18" customHeight="1">
      <c r="A585" s="184"/>
      <c r="V585" s="185"/>
    </row>
    <row r="586" spans="1:22" ht="18" customHeight="1">
      <c r="A586" s="184"/>
      <c r="V586" s="185"/>
    </row>
    <row r="587" spans="1:22" ht="18" hidden="1" customHeight="1">
      <c r="A587" s="184"/>
      <c r="V587" s="185"/>
    </row>
    <row r="588" spans="1:22" ht="18" hidden="1" customHeight="1">
      <c r="A588" s="184"/>
      <c r="V588" s="185"/>
    </row>
    <row r="589" spans="1:22" ht="18" hidden="1" customHeight="1">
      <c r="A589" s="184"/>
      <c r="V589" s="185"/>
    </row>
    <row r="590" spans="1:22" ht="18" hidden="1" customHeight="1">
      <c r="A590" s="184"/>
      <c r="V590" s="185"/>
    </row>
    <row r="591" spans="1:22" s="14" customFormat="1" ht="18" customHeight="1">
      <c r="A591" s="194"/>
      <c r="B591" s="195"/>
      <c r="C591" s="195"/>
      <c r="D591" s="195"/>
      <c r="E591" s="195"/>
      <c r="F591" s="195"/>
      <c r="G591" s="195"/>
      <c r="H591" s="195"/>
      <c r="I591" s="195"/>
      <c r="J591" s="195"/>
      <c r="K591" s="195"/>
      <c r="L591" s="195"/>
      <c r="M591" s="195"/>
      <c r="N591" s="195"/>
      <c r="O591" s="195"/>
      <c r="P591" s="195"/>
      <c r="Q591" s="224"/>
      <c r="R591" s="182"/>
      <c r="S591" s="225"/>
      <c r="T591" s="195"/>
      <c r="U591" s="195"/>
      <c r="V591" s="134"/>
    </row>
  </sheetData>
  <mergeCells count="428">
    <mergeCell ref="D554:E554"/>
    <mergeCell ref="O548:P551"/>
    <mergeCell ref="K553:L553"/>
    <mergeCell ref="M553:N553"/>
    <mergeCell ref="O553:P553"/>
    <mergeCell ref="Q548:R551"/>
    <mergeCell ref="S548:V551"/>
    <mergeCell ref="S553:V553"/>
    <mergeCell ref="A552:A554"/>
    <mergeCell ref="B552:C554"/>
    <mergeCell ref="D552:E552"/>
    <mergeCell ref="F552:F554"/>
    <mergeCell ref="G552:G554"/>
    <mergeCell ref="H552:H554"/>
    <mergeCell ref="K554:L554"/>
    <mergeCell ref="M554:N554"/>
    <mergeCell ref="O554:P554"/>
    <mergeCell ref="S554:V554"/>
    <mergeCell ref="I552:J554"/>
    <mergeCell ref="K552:L552"/>
    <mergeCell ref="M552:N552"/>
    <mergeCell ref="O552:P552"/>
    <mergeCell ref="Q552:R554"/>
    <mergeCell ref="S552:V552"/>
    <mergeCell ref="D553:E553"/>
    <mergeCell ref="A548:C551"/>
    <mergeCell ref="D548:F551"/>
    <mergeCell ref="G548:H551"/>
    <mergeCell ref="B278:C278"/>
    <mergeCell ref="D278:E278"/>
    <mergeCell ref="S220:T220"/>
    <mergeCell ref="H223:I223"/>
    <mergeCell ref="H224:I224"/>
    <mergeCell ref="H281:I281"/>
    <mergeCell ref="J281:K281"/>
    <mergeCell ref="L281:M281"/>
    <mergeCell ref="H282:I282"/>
    <mergeCell ref="E225:F225"/>
    <mergeCell ref="G234:H234"/>
    <mergeCell ref="J234:K234"/>
    <mergeCell ref="G235:H235"/>
    <mergeCell ref="J235:K235"/>
    <mergeCell ref="G236:H236"/>
    <mergeCell ref="H278:M278"/>
    <mergeCell ref="T278:U278"/>
    <mergeCell ref="T279:U279"/>
    <mergeCell ref="I548:J551"/>
    <mergeCell ref="K548:L551"/>
    <mergeCell ref="M548:N551"/>
    <mergeCell ref="H280:I280"/>
    <mergeCell ref="J280:K280"/>
    <mergeCell ref="L280:M280"/>
    <mergeCell ref="T280:U280"/>
    <mergeCell ref="J205:K205"/>
    <mergeCell ref="A207:V208"/>
    <mergeCell ref="H212:I212"/>
    <mergeCell ref="S214:T214"/>
    <mergeCell ref="S215:T215"/>
    <mergeCell ref="S216:T216"/>
    <mergeCell ref="S217:T217"/>
    <mergeCell ref="S218:T218"/>
    <mergeCell ref="S219:T219"/>
    <mergeCell ref="G240:H240"/>
    <mergeCell ref="D243:E243"/>
    <mergeCell ref="G243:H243"/>
    <mergeCell ref="H283:I283"/>
    <mergeCell ref="H284:I284"/>
    <mergeCell ref="H285:I285"/>
    <mergeCell ref="J289:K289"/>
    <mergeCell ref="J290:K290"/>
    <mergeCell ref="J291:K291"/>
    <mergeCell ref="J292:K292"/>
    <mergeCell ref="L194:M194"/>
    <mergeCell ref="L195:M195"/>
    <mergeCell ref="L196:M196"/>
    <mergeCell ref="L197:M197"/>
    <mergeCell ref="J201:K201"/>
    <mergeCell ref="J202:K202"/>
    <mergeCell ref="J203:K203"/>
    <mergeCell ref="J204:K204"/>
    <mergeCell ref="P204:Q204"/>
    <mergeCell ref="T190:U190"/>
    <mergeCell ref="T191:U191"/>
    <mergeCell ref="H192:I192"/>
    <mergeCell ref="J192:K192"/>
    <mergeCell ref="L192:M192"/>
    <mergeCell ref="T192:U192"/>
    <mergeCell ref="H193:I193"/>
    <mergeCell ref="J193:K193"/>
    <mergeCell ref="L193:M193"/>
    <mergeCell ref="G146:H146"/>
    <mergeCell ref="J146:K146"/>
    <mergeCell ref="G147:H147"/>
    <mergeCell ref="G151:H151"/>
    <mergeCell ref="D154:E154"/>
    <mergeCell ref="G154:H154"/>
    <mergeCell ref="B190:C190"/>
    <mergeCell ref="D190:E190"/>
    <mergeCell ref="H190:M190"/>
    <mergeCell ref="S128:T128"/>
    <mergeCell ref="S129:T129"/>
    <mergeCell ref="S130:T130"/>
    <mergeCell ref="S131:T131"/>
    <mergeCell ref="H134:I134"/>
    <mergeCell ref="H135:I135"/>
    <mergeCell ref="E136:F136"/>
    <mergeCell ref="G145:H145"/>
    <mergeCell ref="J145:K145"/>
    <mergeCell ref="J114:K114"/>
    <mergeCell ref="J115:K115"/>
    <mergeCell ref="P115:Q115"/>
    <mergeCell ref="J116:K116"/>
    <mergeCell ref="A118:V119"/>
    <mergeCell ref="H123:I123"/>
    <mergeCell ref="S125:T125"/>
    <mergeCell ref="S126:T126"/>
    <mergeCell ref="S127:T127"/>
    <mergeCell ref="H104:I104"/>
    <mergeCell ref="J104:K104"/>
    <mergeCell ref="L104:M104"/>
    <mergeCell ref="J105:K105"/>
    <mergeCell ref="J106:K106"/>
    <mergeCell ref="J107:K107"/>
    <mergeCell ref="J108:K108"/>
    <mergeCell ref="J112:K112"/>
    <mergeCell ref="J113:K113"/>
    <mergeCell ref="B101:C101"/>
    <mergeCell ref="D101:E101"/>
    <mergeCell ref="H101:M101"/>
    <mergeCell ref="T101:U101"/>
    <mergeCell ref="T102:U102"/>
    <mergeCell ref="H103:I103"/>
    <mergeCell ref="J103:K103"/>
    <mergeCell ref="L103:M103"/>
    <mergeCell ref="T103:U103"/>
    <mergeCell ref="N68:O68"/>
    <mergeCell ref="N69:O69"/>
    <mergeCell ref="S56:T56"/>
    <mergeCell ref="S57:T57"/>
    <mergeCell ref="S58:T58"/>
    <mergeCell ref="S59:T59"/>
    <mergeCell ref="S60:T60"/>
    <mergeCell ref="D65:E65"/>
    <mergeCell ref="E69:F69"/>
    <mergeCell ref="H69:I69"/>
    <mergeCell ref="I62:J62"/>
    <mergeCell ref="K62:K63"/>
    <mergeCell ref="L62:L63"/>
    <mergeCell ref="B62:C63"/>
    <mergeCell ref="D62:D63"/>
    <mergeCell ref="E62:E63"/>
    <mergeCell ref="F62:G63"/>
    <mergeCell ref="H62:H63"/>
    <mergeCell ref="P62:P63"/>
    <mergeCell ref="M62:M63"/>
    <mergeCell ref="N62:N63"/>
    <mergeCell ref="O62:O63"/>
    <mergeCell ref="L50:L51"/>
    <mergeCell ref="M50:M51"/>
    <mergeCell ref="N50:N51"/>
    <mergeCell ref="O50:O51"/>
    <mergeCell ref="P50:R50"/>
    <mergeCell ref="S53:T53"/>
    <mergeCell ref="Q62:S62"/>
    <mergeCell ref="T62:T63"/>
    <mergeCell ref="I63:J63"/>
    <mergeCell ref="S50:S51"/>
    <mergeCell ref="T50:T51"/>
    <mergeCell ref="H51:I51"/>
    <mergeCell ref="H52:I52"/>
    <mergeCell ref="S54:T54"/>
    <mergeCell ref="S55:T55"/>
    <mergeCell ref="K50:K51"/>
    <mergeCell ref="B37:C38"/>
    <mergeCell ref="D37:D38"/>
    <mergeCell ref="E37:E38"/>
    <mergeCell ref="F37:G38"/>
    <mergeCell ref="H37:H38"/>
    <mergeCell ref="I37:J37"/>
    <mergeCell ref="I38:J38"/>
    <mergeCell ref="J50:J51"/>
    <mergeCell ref="K37:K38"/>
    <mergeCell ref="D40:E40"/>
    <mergeCell ref="B50:D51"/>
    <mergeCell ref="E50:E51"/>
    <mergeCell ref="F50:F51"/>
    <mergeCell ref="G50:G51"/>
    <mergeCell ref="H50:I50"/>
    <mergeCell ref="O25:O26"/>
    <mergeCell ref="P25:R25"/>
    <mergeCell ref="S25:S26"/>
    <mergeCell ref="S28:T28"/>
    <mergeCell ref="N37:N38"/>
    <mergeCell ref="O37:O38"/>
    <mergeCell ref="P37:P38"/>
    <mergeCell ref="T25:T26"/>
    <mergeCell ref="H26:I26"/>
    <mergeCell ref="H27:I27"/>
    <mergeCell ref="S29:T29"/>
    <mergeCell ref="S30:T30"/>
    <mergeCell ref="S31:T31"/>
    <mergeCell ref="L25:L26"/>
    <mergeCell ref="L37:L38"/>
    <mergeCell ref="S32:T32"/>
    <mergeCell ref="S33:T33"/>
    <mergeCell ref="S34:T34"/>
    <mergeCell ref="S35:T35"/>
    <mergeCell ref="Q37:S37"/>
    <mergeCell ref="T37:T38"/>
    <mergeCell ref="M37:M38"/>
    <mergeCell ref="B25:D26"/>
    <mergeCell ref="E25:E26"/>
    <mergeCell ref="F25:F26"/>
    <mergeCell ref="G25:G26"/>
    <mergeCell ref="H25:I25"/>
    <mergeCell ref="J25:J26"/>
    <mergeCell ref="K25:K26"/>
    <mergeCell ref="M25:M26"/>
    <mergeCell ref="N25:N26"/>
    <mergeCell ref="H12:I12"/>
    <mergeCell ref="H13:I13"/>
    <mergeCell ref="H14:I14"/>
    <mergeCell ref="J18:K18"/>
    <mergeCell ref="J19:K19"/>
    <mergeCell ref="J20:K20"/>
    <mergeCell ref="J21:K21"/>
    <mergeCell ref="P21:Q21"/>
    <mergeCell ref="J22:K22"/>
    <mergeCell ref="A5:B5"/>
    <mergeCell ref="D5:F5"/>
    <mergeCell ref="H5:N5"/>
    <mergeCell ref="O5:Q5"/>
    <mergeCell ref="R5:V5"/>
    <mergeCell ref="A1:G4"/>
    <mergeCell ref="H1:N1"/>
    <mergeCell ref="O1:Q1"/>
    <mergeCell ref="B7:C7"/>
    <mergeCell ref="D7:E7"/>
    <mergeCell ref="H7:M7"/>
    <mergeCell ref="T7:U7"/>
    <mergeCell ref="R1:V1"/>
    <mergeCell ref="H2:N2"/>
    <mergeCell ref="O2:Q2"/>
    <mergeCell ref="R2:V2"/>
    <mergeCell ref="H3:N4"/>
    <mergeCell ref="O3:Q3"/>
    <mergeCell ref="R3:V3"/>
    <mergeCell ref="O4:Q4"/>
    <mergeCell ref="R4:V4"/>
    <mergeCell ref="T8:U8"/>
    <mergeCell ref="H9:I9"/>
    <mergeCell ref="J9:K9"/>
    <mergeCell ref="L9:M9"/>
    <mergeCell ref="T9:U9"/>
    <mergeCell ref="H10:I10"/>
    <mergeCell ref="J10:K10"/>
    <mergeCell ref="L10:M10"/>
    <mergeCell ref="H11:I11"/>
    <mergeCell ref="P292:Q292"/>
    <mergeCell ref="J293:K293"/>
    <mergeCell ref="B296:D297"/>
    <mergeCell ref="E296:E297"/>
    <mergeCell ref="F296:F297"/>
    <mergeCell ref="G296:G297"/>
    <mergeCell ref="H296:I296"/>
    <mergeCell ref="J296:J297"/>
    <mergeCell ref="K296:K297"/>
    <mergeCell ref="T296:T297"/>
    <mergeCell ref="H297:I297"/>
    <mergeCell ref="H298:I298"/>
    <mergeCell ref="S299:T299"/>
    <mergeCell ref="S300:T300"/>
    <mergeCell ref="S301:T301"/>
    <mergeCell ref="L296:L297"/>
    <mergeCell ref="M296:M297"/>
    <mergeCell ref="N296:N297"/>
    <mergeCell ref="O296:O297"/>
    <mergeCell ref="P296:R296"/>
    <mergeCell ref="S296:S297"/>
    <mergeCell ref="S302:T302"/>
    <mergeCell ref="S303:T303"/>
    <mergeCell ref="S304:T304"/>
    <mergeCell ref="S305:T305"/>
    <mergeCell ref="S306:T306"/>
    <mergeCell ref="B308:C309"/>
    <mergeCell ref="D308:D309"/>
    <mergeCell ref="E308:E309"/>
    <mergeCell ref="F308:G309"/>
    <mergeCell ref="H308:H309"/>
    <mergeCell ref="P308:P309"/>
    <mergeCell ref="Q308:S308"/>
    <mergeCell ref="T308:T309"/>
    <mergeCell ref="I309:J309"/>
    <mergeCell ref="M308:M309"/>
    <mergeCell ref="N308:N309"/>
    <mergeCell ref="O308:O309"/>
    <mergeCell ref="D311:E311"/>
    <mergeCell ref="B320:D321"/>
    <mergeCell ref="E320:E321"/>
    <mergeCell ref="F320:F321"/>
    <mergeCell ref="G320:G321"/>
    <mergeCell ref="H320:I320"/>
    <mergeCell ref="I308:J308"/>
    <mergeCell ref="K308:K309"/>
    <mergeCell ref="L308:L309"/>
    <mergeCell ref="H321:I321"/>
    <mergeCell ref="H322:I322"/>
    <mergeCell ref="S323:T323"/>
    <mergeCell ref="J320:J321"/>
    <mergeCell ref="K320:K321"/>
    <mergeCell ref="L320:L321"/>
    <mergeCell ref="M320:M321"/>
    <mergeCell ref="N320:N321"/>
    <mergeCell ref="O320:O321"/>
    <mergeCell ref="S324:T324"/>
    <mergeCell ref="S325:T325"/>
    <mergeCell ref="S326:T326"/>
    <mergeCell ref="S327:T327"/>
    <mergeCell ref="S328:T328"/>
    <mergeCell ref="S329:T329"/>
    <mergeCell ref="P320:R320"/>
    <mergeCell ref="S320:S321"/>
    <mergeCell ref="T320:T321"/>
    <mergeCell ref="S330:T330"/>
    <mergeCell ref="B370:C370"/>
    <mergeCell ref="D370:E370"/>
    <mergeCell ref="H370:M370"/>
    <mergeCell ref="N332:N333"/>
    <mergeCell ref="O332:O333"/>
    <mergeCell ref="P332:P333"/>
    <mergeCell ref="Q332:S332"/>
    <mergeCell ref="T332:T333"/>
    <mergeCell ref="I333:J333"/>
    <mergeCell ref="T370:U370"/>
    <mergeCell ref="B332:C333"/>
    <mergeCell ref="D332:D333"/>
    <mergeCell ref="E332:E333"/>
    <mergeCell ref="F332:G333"/>
    <mergeCell ref="H332:H333"/>
    <mergeCell ref="I332:J332"/>
    <mergeCell ref="K332:K333"/>
    <mergeCell ref="L332:L333"/>
    <mergeCell ref="M332:M333"/>
    <mergeCell ref="T371:U371"/>
    <mergeCell ref="H372:I372"/>
    <mergeCell ref="J372:K372"/>
    <mergeCell ref="L372:M372"/>
    <mergeCell ref="T372:U372"/>
    <mergeCell ref="D335:E335"/>
    <mergeCell ref="N338:O338"/>
    <mergeCell ref="E339:F339"/>
    <mergeCell ref="H339:I339"/>
    <mergeCell ref="N339:O339"/>
    <mergeCell ref="J377:K377"/>
    <mergeCell ref="J381:K381"/>
    <mergeCell ref="J382:K382"/>
    <mergeCell ref="J383:K383"/>
    <mergeCell ref="J384:K384"/>
    <mergeCell ref="P384:Q384"/>
    <mergeCell ref="H373:I373"/>
    <mergeCell ref="J373:K373"/>
    <mergeCell ref="L373:M373"/>
    <mergeCell ref="J374:K374"/>
    <mergeCell ref="J375:K375"/>
    <mergeCell ref="J376:K376"/>
    <mergeCell ref="S397:T397"/>
    <mergeCell ref="S398:T398"/>
    <mergeCell ref="S399:T399"/>
    <mergeCell ref="S400:T400"/>
    <mergeCell ref="H403:I403"/>
    <mergeCell ref="H404:I404"/>
    <mergeCell ref="J385:K385"/>
    <mergeCell ref="A387:V388"/>
    <mergeCell ref="H392:I392"/>
    <mergeCell ref="S394:T394"/>
    <mergeCell ref="S395:T395"/>
    <mergeCell ref="S396:T396"/>
    <mergeCell ref="B458:C458"/>
    <mergeCell ref="D458:E458"/>
    <mergeCell ref="H458:M458"/>
    <mergeCell ref="E405:F405"/>
    <mergeCell ref="G414:H414"/>
    <mergeCell ref="J414:K414"/>
    <mergeCell ref="G415:H415"/>
    <mergeCell ref="J415:K415"/>
    <mergeCell ref="G416:H416"/>
    <mergeCell ref="T458:U458"/>
    <mergeCell ref="T459:U459"/>
    <mergeCell ref="H460:I460"/>
    <mergeCell ref="J460:K460"/>
    <mergeCell ref="L460:M460"/>
    <mergeCell ref="T460:U460"/>
    <mergeCell ref="G420:H420"/>
    <mergeCell ref="D423:E423"/>
    <mergeCell ref="G423:H423"/>
    <mergeCell ref="L465:M465"/>
    <mergeCell ref="J469:K469"/>
    <mergeCell ref="J470:K470"/>
    <mergeCell ref="J471:K471"/>
    <mergeCell ref="J472:K472"/>
    <mergeCell ref="P472:Q472"/>
    <mergeCell ref="H461:I461"/>
    <mergeCell ref="J461:K461"/>
    <mergeCell ref="L461:M461"/>
    <mergeCell ref="L462:M462"/>
    <mergeCell ref="L463:M463"/>
    <mergeCell ref="L464:M464"/>
    <mergeCell ref="G503:H503"/>
    <mergeCell ref="J503:K503"/>
    <mergeCell ref="G504:H504"/>
    <mergeCell ref="G508:H508"/>
    <mergeCell ref="D511:E511"/>
    <mergeCell ref="G511:H511"/>
    <mergeCell ref="J473:K473"/>
    <mergeCell ref="A475:V476"/>
    <mergeCell ref="H480:I480"/>
    <mergeCell ref="S482:T482"/>
    <mergeCell ref="S483:T483"/>
    <mergeCell ref="S484:T484"/>
    <mergeCell ref="E493:F493"/>
    <mergeCell ref="G502:H502"/>
    <mergeCell ref="J502:K502"/>
    <mergeCell ref="S485:T485"/>
    <mergeCell ref="S486:T486"/>
    <mergeCell ref="S487:T487"/>
    <mergeCell ref="S488:T488"/>
    <mergeCell ref="H491:I491"/>
    <mergeCell ref="H492:I492"/>
  </mergeCells>
  <conditionalFormatting sqref="G155 G244">
    <cfRule type="cellIs" dxfId="62" priority="4" stopIfTrue="1" operator="equal">
      <formula>"Under Dimentioned"</formula>
    </cfRule>
  </conditionalFormatting>
  <conditionalFormatting sqref="G424 G512">
    <cfRule type="cellIs" dxfId="61" priority="2" stopIfTrue="1" operator="equal">
      <formula>"Under Dimentioned"</formula>
    </cfRule>
  </conditionalFormatting>
  <conditionalFormatting sqref="H71">
    <cfRule type="cellIs" dxfId="60" priority="3" stopIfTrue="1" operator="equal">
      <formula>"Under Dimentioned"</formula>
    </cfRule>
  </conditionalFormatting>
  <conditionalFormatting sqref="H341">
    <cfRule type="cellIs" dxfId="59" priority="1" stopIfTrue="1" operator="equal">
      <formula>"Under Dimentioned"</formula>
    </cfRule>
  </conditionalFormatting>
  <dataValidations count="1">
    <dataValidation type="list" allowBlank="1" showInputMessage="1" showErrorMessage="1" sqref="D190 IZ190 SV190 ACR190 AMN190 AWJ190 BGF190 BQB190 BZX190 CJT190 CTP190 DDL190 DNH190 DXD190 EGZ190 EQV190 FAR190 FKN190 FUJ190 GEF190 GOB190 GXX190 HHT190 HRP190 IBL190 ILH190 IVD190 JEZ190 JOV190 JYR190 KIN190 KSJ190 LCF190 LMB190 LVX190 MFT190 MPP190 MZL190 NJH190 NTD190 OCZ190 OMV190 OWR190 PGN190 PQJ190 QAF190 QKB190 QTX190 RDT190 RNP190 RXL190 SHH190 SRD190 TAZ190 TKV190 TUR190 UEN190 UOJ190 UYF190 VIB190 VRX190 WBT190 WLP190 WVL190 D65997 IZ65997 SV65997 ACR65997 AMN65997 AWJ65997 BGF65997 BQB65997 BZX65997 CJT65997 CTP65997 DDL65997 DNH65997 DXD65997 EGZ65997 EQV65997 FAR65997 FKN65997 FUJ65997 GEF65997 GOB65997 GXX65997 HHT65997 HRP65997 IBL65997 ILH65997 IVD65997 JEZ65997 JOV65997 JYR65997 KIN65997 KSJ65997 LCF65997 LMB65997 LVX65997 MFT65997 MPP65997 MZL65997 NJH65997 NTD65997 OCZ65997 OMV65997 OWR65997 PGN65997 PQJ65997 QAF65997 QKB65997 QTX65997 RDT65997 RNP65997 RXL65997 SHH65997 SRD65997 TAZ65997 TKV65997 TUR65997 UEN65997 UOJ65997 UYF65997 VIB65997 VRX65997 WBT65997 WLP65997 WVL65997 D131533 IZ131533 SV131533 ACR131533 AMN131533 AWJ131533 BGF131533 BQB131533 BZX131533 CJT131533 CTP131533 DDL131533 DNH131533 DXD131533 EGZ131533 EQV131533 FAR131533 FKN131533 FUJ131533 GEF131533 GOB131533 GXX131533 HHT131533 HRP131533 IBL131533 ILH131533 IVD131533 JEZ131533 JOV131533 JYR131533 KIN131533 KSJ131533 LCF131533 LMB131533 LVX131533 MFT131533 MPP131533 MZL131533 NJH131533 NTD131533 OCZ131533 OMV131533 OWR131533 PGN131533 PQJ131533 QAF131533 QKB131533 QTX131533 RDT131533 RNP131533 RXL131533 SHH131533 SRD131533 TAZ131533 TKV131533 TUR131533 UEN131533 UOJ131533 UYF131533 VIB131533 VRX131533 WBT131533 WLP131533 WVL131533 D197069 IZ197069 SV197069 ACR197069 AMN197069 AWJ197069 BGF197069 BQB197069 BZX197069 CJT197069 CTP197069 DDL197069 DNH197069 DXD197069 EGZ197069 EQV197069 FAR197069 FKN197069 FUJ197069 GEF197069 GOB197069 GXX197069 HHT197069 HRP197069 IBL197069 ILH197069 IVD197069 JEZ197069 JOV197069 JYR197069 KIN197069 KSJ197069 LCF197069 LMB197069 LVX197069 MFT197069 MPP197069 MZL197069 NJH197069 NTD197069 OCZ197069 OMV197069 OWR197069 PGN197069 PQJ197069 QAF197069 QKB197069 QTX197069 RDT197069 RNP197069 RXL197069 SHH197069 SRD197069 TAZ197069 TKV197069 TUR197069 UEN197069 UOJ197069 UYF197069 VIB197069 VRX197069 WBT197069 WLP197069 WVL197069 D262605 IZ262605 SV262605 ACR262605 AMN262605 AWJ262605 BGF262605 BQB262605 BZX262605 CJT262605 CTP262605 DDL262605 DNH262605 DXD262605 EGZ262605 EQV262605 FAR262605 FKN262605 FUJ262605 GEF262605 GOB262605 GXX262605 HHT262605 HRP262605 IBL262605 ILH262605 IVD262605 JEZ262605 JOV262605 JYR262605 KIN262605 KSJ262605 LCF262605 LMB262605 LVX262605 MFT262605 MPP262605 MZL262605 NJH262605 NTD262605 OCZ262605 OMV262605 OWR262605 PGN262605 PQJ262605 QAF262605 QKB262605 QTX262605 RDT262605 RNP262605 RXL262605 SHH262605 SRD262605 TAZ262605 TKV262605 TUR262605 UEN262605 UOJ262605 UYF262605 VIB262605 VRX262605 WBT262605 WLP262605 WVL262605 D328141 IZ328141 SV328141 ACR328141 AMN328141 AWJ328141 BGF328141 BQB328141 BZX328141 CJT328141 CTP328141 DDL328141 DNH328141 DXD328141 EGZ328141 EQV328141 FAR328141 FKN328141 FUJ328141 GEF328141 GOB328141 GXX328141 HHT328141 HRP328141 IBL328141 ILH328141 IVD328141 JEZ328141 JOV328141 JYR328141 KIN328141 KSJ328141 LCF328141 LMB328141 LVX328141 MFT328141 MPP328141 MZL328141 NJH328141 NTD328141 OCZ328141 OMV328141 OWR328141 PGN328141 PQJ328141 QAF328141 QKB328141 QTX328141 RDT328141 RNP328141 RXL328141 SHH328141 SRD328141 TAZ328141 TKV328141 TUR328141 UEN328141 UOJ328141 UYF328141 VIB328141 VRX328141 WBT328141 WLP328141 WVL328141 D393677 IZ393677 SV393677 ACR393677 AMN393677 AWJ393677 BGF393677 BQB393677 BZX393677 CJT393677 CTP393677 DDL393677 DNH393677 DXD393677 EGZ393677 EQV393677 FAR393677 FKN393677 FUJ393677 GEF393677 GOB393677 GXX393677 HHT393677 HRP393677 IBL393677 ILH393677 IVD393677 JEZ393677 JOV393677 JYR393677 KIN393677 KSJ393677 LCF393677 LMB393677 LVX393677 MFT393677 MPP393677 MZL393677 NJH393677 NTD393677 OCZ393677 OMV393677 OWR393677 PGN393677 PQJ393677 QAF393677 QKB393677 QTX393677 RDT393677 RNP393677 RXL393677 SHH393677 SRD393677 TAZ393677 TKV393677 TUR393677 UEN393677 UOJ393677 UYF393677 VIB393677 VRX393677 WBT393677 WLP393677 WVL393677 D459213 IZ459213 SV459213 ACR459213 AMN459213 AWJ459213 BGF459213 BQB459213 BZX459213 CJT459213 CTP459213 DDL459213 DNH459213 DXD459213 EGZ459213 EQV459213 FAR459213 FKN459213 FUJ459213 GEF459213 GOB459213 GXX459213 HHT459213 HRP459213 IBL459213 ILH459213 IVD459213 JEZ459213 JOV459213 JYR459213 KIN459213 KSJ459213 LCF459213 LMB459213 LVX459213 MFT459213 MPP459213 MZL459213 NJH459213 NTD459213 OCZ459213 OMV459213 OWR459213 PGN459213 PQJ459213 QAF459213 QKB459213 QTX459213 RDT459213 RNP459213 RXL459213 SHH459213 SRD459213 TAZ459213 TKV459213 TUR459213 UEN459213 UOJ459213 UYF459213 VIB459213 VRX459213 WBT459213 WLP459213 WVL459213 D524749 IZ524749 SV524749 ACR524749 AMN524749 AWJ524749 BGF524749 BQB524749 BZX524749 CJT524749 CTP524749 DDL524749 DNH524749 DXD524749 EGZ524749 EQV524749 FAR524749 FKN524749 FUJ524749 GEF524749 GOB524749 GXX524749 HHT524749 HRP524749 IBL524749 ILH524749 IVD524749 JEZ524749 JOV524749 JYR524749 KIN524749 KSJ524749 LCF524749 LMB524749 LVX524749 MFT524749 MPP524749 MZL524749 NJH524749 NTD524749 OCZ524749 OMV524749 OWR524749 PGN524749 PQJ524749 QAF524749 QKB524749 QTX524749 RDT524749 RNP524749 RXL524749 SHH524749 SRD524749 TAZ524749 TKV524749 TUR524749 UEN524749 UOJ524749 UYF524749 VIB524749 VRX524749 WBT524749 WLP524749 WVL524749 D590285 IZ590285 SV590285 ACR590285 AMN590285 AWJ590285 BGF590285 BQB590285 BZX590285 CJT590285 CTP590285 DDL590285 DNH590285 DXD590285 EGZ590285 EQV590285 FAR590285 FKN590285 FUJ590285 GEF590285 GOB590285 GXX590285 HHT590285 HRP590285 IBL590285 ILH590285 IVD590285 JEZ590285 JOV590285 JYR590285 KIN590285 KSJ590285 LCF590285 LMB590285 LVX590285 MFT590285 MPP590285 MZL590285 NJH590285 NTD590285 OCZ590285 OMV590285 OWR590285 PGN590285 PQJ590285 QAF590285 QKB590285 QTX590285 RDT590285 RNP590285 RXL590285 SHH590285 SRD590285 TAZ590285 TKV590285 TUR590285 UEN590285 UOJ590285 UYF590285 VIB590285 VRX590285 WBT590285 WLP590285 WVL590285 D655821 IZ655821 SV655821 ACR655821 AMN655821 AWJ655821 BGF655821 BQB655821 BZX655821 CJT655821 CTP655821 DDL655821 DNH655821 DXD655821 EGZ655821 EQV655821 FAR655821 FKN655821 FUJ655821 GEF655821 GOB655821 GXX655821 HHT655821 HRP655821 IBL655821 ILH655821 IVD655821 JEZ655821 JOV655821 JYR655821 KIN655821 KSJ655821 LCF655821 LMB655821 LVX655821 MFT655821 MPP655821 MZL655821 NJH655821 NTD655821 OCZ655821 OMV655821 OWR655821 PGN655821 PQJ655821 QAF655821 QKB655821 QTX655821 RDT655821 RNP655821 RXL655821 SHH655821 SRD655821 TAZ655821 TKV655821 TUR655821 UEN655821 UOJ655821 UYF655821 VIB655821 VRX655821 WBT655821 WLP655821 WVL655821 D721357 IZ721357 SV721357 ACR721357 AMN721357 AWJ721357 BGF721357 BQB721357 BZX721357 CJT721357 CTP721357 DDL721357 DNH721357 DXD721357 EGZ721357 EQV721357 FAR721357 FKN721357 FUJ721357 GEF721357 GOB721357 GXX721357 HHT721357 HRP721357 IBL721357 ILH721357 IVD721357 JEZ721357 JOV721357 JYR721357 KIN721357 KSJ721357 LCF721357 LMB721357 LVX721357 MFT721357 MPP721357 MZL721357 NJH721357 NTD721357 OCZ721357 OMV721357 OWR721357 PGN721357 PQJ721357 QAF721357 QKB721357 QTX721357 RDT721357 RNP721357 RXL721357 SHH721357 SRD721357 TAZ721357 TKV721357 TUR721357 UEN721357 UOJ721357 UYF721357 VIB721357 VRX721357 WBT721357 WLP721357 WVL721357 D786893 IZ786893 SV786893 ACR786893 AMN786893 AWJ786893 BGF786893 BQB786893 BZX786893 CJT786893 CTP786893 DDL786893 DNH786893 DXD786893 EGZ786893 EQV786893 FAR786893 FKN786893 FUJ786893 GEF786893 GOB786893 GXX786893 HHT786893 HRP786893 IBL786893 ILH786893 IVD786893 JEZ786893 JOV786893 JYR786893 KIN786893 KSJ786893 LCF786893 LMB786893 LVX786893 MFT786893 MPP786893 MZL786893 NJH786893 NTD786893 OCZ786893 OMV786893 OWR786893 PGN786893 PQJ786893 QAF786893 QKB786893 QTX786893 RDT786893 RNP786893 RXL786893 SHH786893 SRD786893 TAZ786893 TKV786893 TUR786893 UEN786893 UOJ786893 UYF786893 VIB786893 VRX786893 WBT786893 WLP786893 WVL786893 D852429 IZ852429 SV852429 ACR852429 AMN852429 AWJ852429 BGF852429 BQB852429 BZX852429 CJT852429 CTP852429 DDL852429 DNH852429 DXD852429 EGZ852429 EQV852429 FAR852429 FKN852429 FUJ852429 GEF852429 GOB852429 GXX852429 HHT852429 HRP852429 IBL852429 ILH852429 IVD852429 JEZ852429 JOV852429 JYR852429 KIN852429 KSJ852429 LCF852429 LMB852429 LVX852429 MFT852429 MPP852429 MZL852429 NJH852429 NTD852429 OCZ852429 OMV852429 OWR852429 PGN852429 PQJ852429 QAF852429 QKB852429 QTX852429 RDT852429 RNP852429 RXL852429 SHH852429 SRD852429 TAZ852429 TKV852429 TUR852429 UEN852429 UOJ852429 UYF852429 VIB852429 VRX852429 WBT852429 WLP852429 WVL852429 D917965 IZ917965 SV917965 ACR917965 AMN917965 AWJ917965 BGF917965 BQB917965 BZX917965 CJT917965 CTP917965 DDL917965 DNH917965 DXD917965 EGZ917965 EQV917965 FAR917965 FKN917965 FUJ917965 GEF917965 GOB917965 GXX917965 HHT917965 HRP917965 IBL917965 ILH917965 IVD917965 JEZ917965 JOV917965 JYR917965 KIN917965 KSJ917965 LCF917965 LMB917965 LVX917965 MFT917965 MPP917965 MZL917965 NJH917965 NTD917965 OCZ917965 OMV917965 OWR917965 PGN917965 PQJ917965 QAF917965 QKB917965 QTX917965 RDT917965 RNP917965 RXL917965 SHH917965 SRD917965 TAZ917965 TKV917965 TUR917965 UEN917965 UOJ917965 UYF917965 VIB917965 VRX917965 WBT917965 WLP917965 WVL917965 D983501 IZ983501 SV983501 ACR983501 AMN983501 AWJ983501 BGF983501 BQB983501 BZX983501 CJT983501 CTP983501 DDL983501 DNH983501 DXD983501 EGZ983501 EQV983501 FAR983501 FKN983501 FUJ983501 GEF983501 GOB983501 GXX983501 HHT983501 HRP983501 IBL983501 ILH983501 IVD983501 JEZ983501 JOV983501 JYR983501 KIN983501 KSJ983501 LCF983501 LMB983501 LVX983501 MFT983501 MPP983501 MZL983501 NJH983501 NTD983501 OCZ983501 OMV983501 OWR983501 PGN983501 PQJ983501 QAF983501 QKB983501 QTX983501 RDT983501 RNP983501 RXL983501 SHH983501 SRD983501 TAZ983501 TKV983501 TUR983501 UEN983501 UOJ983501 UYF983501 VIB983501 VRX983501 WBT983501 WLP983501 WVL983501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826 IZ65826 SV65826 ACR65826 AMN65826 AWJ65826 BGF65826 BQB65826 BZX65826 CJT65826 CTP65826 DDL65826 DNH65826 DXD65826 EGZ65826 EQV65826 FAR65826 FKN65826 FUJ65826 GEF65826 GOB65826 GXX65826 HHT65826 HRP65826 IBL65826 ILH65826 IVD65826 JEZ65826 JOV65826 JYR65826 KIN65826 KSJ65826 LCF65826 LMB65826 LVX65826 MFT65826 MPP65826 MZL65826 NJH65826 NTD65826 OCZ65826 OMV65826 OWR65826 PGN65826 PQJ65826 QAF65826 QKB65826 QTX65826 RDT65826 RNP65826 RXL65826 SHH65826 SRD65826 TAZ65826 TKV65826 TUR65826 UEN65826 UOJ65826 UYF65826 VIB65826 VRX65826 WBT65826 WLP65826 WVL65826 D131362 IZ131362 SV131362 ACR131362 AMN131362 AWJ131362 BGF131362 BQB131362 BZX131362 CJT131362 CTP131362 DDL131362 DNH131362 DXD131362 EGZ131362 EQV131362 FAR131362 FKN131362 FUJ131362 GEF131362 GOB131362 GXX131362 HHT131362 HRP131362 IBL131362 ILH131362 IVD131362 JEZ131362 JOV131362 JYR131362 KIN131362 KSJ131362 LCF131362 LMB131362 LVX131362 MFT131362 MPP131362 MZL131362 NJH131362 NTD131362 OCZ131362 OMV131362 OWR131362 PGN131362 PQJ131362 QAF131362 QKB131362 QTX131362 RDT131362 RNP131362 RXL131362 SHH131362 SRD131362 TAZ131362 TKV131362 TUR131362 UEN131362 UOJ131362 UYF131362 VIB131362 VRX131362 WBT131362 WLP131362 WVL131362 D196898 IZ196898 SV196898 ACR196898 AMN196898 AWJ196898 BGF196898 BQB196898 BZX196898 CJT196898 CTP196898 DDL196898 DNH196898 DXD196898 EGZ196898 EQV196898 FAR196898 FKN196898 FUJ196898 GEF196898 GOB196898 GXX196898 HHT196898 HRP196898 IBL196898 ILH196898 IVD196898 JEZ196898 JOV196898 JYR196898 KIN196898 KSJ196898 LCF196898 LMB196898 LVX196898 MFT196898 MPP196898 MZL196898 NJH196898 NTD196898 OCZ196898 OMV196898 OWR196898 PGN196898 PQJ196898 QAF196898 QKB196898 QTX196898 RDT196898 RNP196898 RXL196898 SHH196898 SRD196898 TAZ196898 TKV196898 TUR196898 UEN196898 UOJ196898 UYF196898 VIB196898 VRX196898 WBT196898 WLP196898 WVL196898 D262434 IZ262434 SV262434 ACR262434 AMN262434 AWJ262434 BGF262434 BQB262434 BZX262434 CJT262434 CTP262434 DDL262434 DNH262434 DXD262434 EGZ262434 EQV262434 FAR262434 FKN262434 FUJ262434 GEF262434 GOB262434 GXX262434 HHT262434 HRP262434 IBL262434 ILH262434 IVD262434 JEZ262434 JOV262434 JYR262434 KIN262434 KSJ262434 LCF262434 LMB262434 LVX262434 MFT262434 MPP262434 MZL262434 NJH262434 NTD262434 OCZ262434 OMV262434 OWR262434 PGN262434 PQJ262434 QAF262434 QKB262434 QTX262434 RDT262434 RNP262434 RXL262434 SHH262434 SRD262434 TAZ262434 TKV262434 TUR262434 UEN262434 UOJ262434 UYF262434 VIB262434 VRX262434 WBT262434 WLP262434 WVL262434 D327970 IZ327970 SV327970 ACR327970 AMN327970 AWJ327970 BGF327970 BQB327970 BZX327970 CJT327970 CTP327970 DDL327970 DNH327970 DXD327970 EGZ327970 EQV327970 FAR327970 FKN327970 FUJ327970 GEF327970 GOB327970 GXX327970 HHT327970 HRP327970 IBL327970 ILH327970 IVD327970 JEZ327970 JOV327970 JYR327970 KIN327970 KSJ327970 LCF327970 LMB327970 LVX327970 MFT327970 MPP327970 MZL327970 NJH327970 NTD327970 OCZ327970 OMV327970 OWR327970 PGN327970 PQJ327970 QAF327970 QKB327970 QTX327970 RDT327970 RNP327970 RXL327970 SHH327970 SRD327970 TAZ327970 TKV327970 TUR327970 UEN327970 UOJ327970 UYF327970 VIB327970 VRX327970 WBT327970 WLP327970 WVL327970 D393506 IZ393506 SV393506 ACR393506 AMN393506 AWJ393506 BGF393506 BQB393506 BZX393506 CJT393506 CTP393506 DDL393506 DNH393506 DXD393506 EGZ393506 EQV393506 FAR393506 FKN393506 FUJ393506 GEF393506 GOB393506 GXX393506 HHT393506 HRP393506 IBL393506 ILH393506 IVD393506 JEZ393506 JOV393506 JYR393506 KIN393506 KSJ393506 LCF393506 LMB393506 LVX393506 MFT393506 MPP393506 MZL393506 NJH393506 NTD393506 OCZ393506 OMV393506 OWR393506 PGN393506 PQJ393506 QAF393506 QKB393506 QTX393506 RDT393506 RNP393506 RXL393506 SHH393506 SRD393506 TAZ393506 TKV393506 TUR393506 UEN393506 UOJ393506 UYF393506 VIB393506 VRX393506 WBT393506 WLP393506 WVL393506 D459042 IZ459042 SV459042 ACR459042 AMN459042 AWJ459042 BGF459042 BQB459042 BZX459042 CJT459042 CTP459042 DDL459042 DNH459042 DXD459042 EGZ459042 EQV459042 FAR459042 FKN459042 FUJ459042 GEF459042 GOB459042 GXX459042 HHT459042 HRP459042 IBL459042 ILH459042 IVD459042 JEZ459042 JOV459042 JYR459042 KIN459042 KSJ459042 LCF459042 LMB459042 LVX459042 MFT459042 MPP459042 MZL459042 NJH459042 NTD459042 OCZ459042 OMV459042 OWR459042 PGN459042 PQJ459042 QAF459042 QKB459042 QTX459042 RDT459042 RNP459042 RXL459042 SHH459042 SRD459042 TAZ459042 TKV459042 TUR459042 UEN459042 UOJ459042 UYF459042 VIB459042 VRX459042 WBT459042 WLP459042 WVL459042 D524578 IZ524578 SV524578 ACR524578 AMN524578 AWJ524578 BGF524578 BQB524578 BZX524578 CJT524578 CTP524578 DDL524578 DNH524578 DXD524578 EGZ524578 EQV524578 FAR524578 FKN524578 FUJ524578 GEF524578 GOB524578 GXX524578 HHT524578 HRP524578 IBL524578 ILH524578 IVD524578 JEZ524578 JOV524578 JYR524578 KIN524578 KSJ524578 LCF524578 LMB524578 LVX524578 MFT524578 MPP524578 MZL524578 NJH524578 NTD524578 OCZ524578 OMV524578 OWR524578 PGN524578 PQJ524578 QAF524578 QKB524578 QTX524578 RDT524578 RNP524578 RXL524578 SHH524578 SRD524578 TAZ524578 TKV524578 TUR524578 UEN524578 UOJ524578 UYF524578 VIB524578 VRX524578 WBT524578 WLP524578 WVL524578 D590114 IZ590114 SV590114 ACR590114 AMN590114 AWJ590114 BGF590114 BQB590114 BZX590114 CJT590114 CTP590114 DDL590114 DNH590114 DXD590114 EGZ590114 EQV590114 FAR590114 FKN590114 FUJ590114 GEF590114 GOB590114 GXX590114 HHT590114 HRP590114 IBL590114 ILH590114 IVD590114 JEZ590114 JOV590114 JYR590114 KIN590114 KSJ590114 LCF590114 LMB590114 LVX590114 MFT590114 MPP590114 MZL590114 NJH590114 NTD590114 OCZ590114 OMV590114 OWR590114 PGN590114 PQJ590114 QAF590114 QKB590114 QTX590114 RDT590114 RNP590114 RXL590114 SHH590114 SRD590114 TAZ590114 TKV590114 TUR590114 UEN590114 UOJ590114 UYF590114 VIB590114 VRX590114 WBT590114 WLP590114 WVL590114 D655650 IZ655650 SV655650 ACR655650 AMN655650 AWJ655650 BGF655650 BQB655650 BZX655650 CJT655650 CTP655650 DDL655650 DNH655650 DXD655650 EGZ655650 EQV655650 FAR655650 FKN655650 FUJ655650 GEF655650 GOB655650 GXX655650 HHT655650 HRP655650 IBL655650 ILH655650 IVD655650 JEZ655650 JOV655650 JYR655650 KIN655650 KSJ655650 LCF655650 LMB655650 LVX655650 MFT655650 MPP655650 MZL655650 NJH655650 NTD655650 OCZ655650 OMV655650 OWR655650 PGN655650 PQJ655650 QAF655650 QKB655650 QTX655650 RDT655650 RNP655650 RXL655650 SHH655650 SRD655650 TAZ655650 TKV655650 TUR655650 UEN655650 UOJ655650 UYF655650 VIB655650 VRX655650 WBT655650 WLP655650 WVL655650 D721186 IZ721186 SV721186 ACR721186 AMN721186 AWJ721186 BGF721186 BQB721186 BZX721186 CJT721186 CTP721186 DDL721186 DNH721186 DXD721186 EGZ721186 EQV721186 FAR721186 FKN721186 FUJ721186 GEF721186 GOB721186 GXX721186 HHT721186 HRP721186 IBL721186 ILH721186 IVD721186 JEZ721186 JOV721186 JYR721186 KIN721186 KSJ721186 LCF721186 LMB721186 LVX721186 MFT721186 MPP721186 MZL721186 NJH721186 NTD721186 OCZ721186 OMV721186 OWR721186 PGN721186 PQJ721186 QAF721186 QKB721186 QTX721186 RDT721186 RNP721186 RXL721186 SHH721186 SRD721186 TAZ721186 TKV721186 TUR721186 UEN721186 UOJ721186 UYF721186 VIB721186 VRX721186 WBT721186 WLP721186 WVL721186 D786722 IZ786722 SV786722 ACR786722 AMN786722 AWJ786722 BGF786722 BQB786722 BZX786722 CJT786722 CTP786722 DDL786722 DNH786722 DXD786722 EGZ786722 EQV786722 FAR786722 FKN786722 FUJ786722 GEF786722 GOB786722 GXX786722 HHT786722 HRP786722 IBL786722 ILH786722 IVD786722 JEZ786722 JOV786722 JYR786722 KIN786722 KSJ786722 LCF786722 LMB786722 LVX786722 MFT786722 MPP786722 MZL786722 NJH786722 NTD786722 OCZ786722 OMV786722 OWR786722 PGN786722 PQJ786722 QAF786722 QKB786722 QTX786722 RDT786722 RNP786722 RXL786722 SHH786722 SRD786722 TAZ786722 TKV786722 TUR786722 UEN786722 UOJ786722 UYF786722 VIB786722 VRX786722 WBT786722 WLP786722 WVL786722 D852258 IZ852258 SV852258 ACR852258 AMN852258 AWJ852258 BGF852258 BQB852258 BZX852258 CJT852258 CTP852258 DDL852258 DNH852258 DXD852258 EGZ852258 EQV852258 FAR852258 FKN852258 FUJ852258 GEF852258 GOB852258 GXX852258 HHT852258 HRP852258 IBL852258 ILH852258 IVD852258 JEZ852258 JOV852258 JYR852258 KIN852258 KSJ852258 LCF852258 LMB852258 LVX852258 MFT852258 MPP852258 MZL852258 NJH852258 NTD852258 OCZ852258 OMV852258 OWR852258 PGN852258 PQJ852258 QAF852258 QKB852258 QTX852258 RDT852258 RNP852258 RXL852258 SHH852258 SRD852258 TAZ852258 TKV852258 TUR852258 UEN852258 UOJ852258 UYF852258 VIB852258 VRX852258 WBT852258 WLP852258 WVL852258 D917794 IZ917794 SV917794 ACR917794 AMN917794 AWJ917794 BGF917794 BQB917794 BZX917794 CJT917794 CTP917794 DDL917794 DNH917794 DXD917794 EGZ917794 EQV917794 FAR917794 FKN917794 FUJ917794 GEF917794 GOB917794 GXX917794 HHT917794 HRP917794 IBL917794 ILH917794 IVD917794 JEZ917794 JOV917794 JYR917794 KIN917794 KSJ917794 LCF917794 LMB917794 LVX917794 MFT917794 MPP917794 MZL917794 NJH917794 NTD917794 OCZ917794 OMV917794 OWR917794 PGN917794 PQJ917794 QAF917794 QKB917794 QTX917794 RDT917794 RNP917794 RXL917794 SHH917794 SRD917794 TAZ917794 TKV917794 TUR917794 UEN917794 UOJ917794 UYF917794 VIB917794 VRX917794 WBT917794 WLP917794 WVL917794 D983330 IZ983330 SV983330 ACR983330 AMN983330 AWJ983330 BGF983330 BQB983330 BZX983330 CJT983330 CTP983330 DDL983330 DNH983330 DXD983330 EGZ983330 EQV983330 FAR983330 FKN983330 FUJ983330 GEF983330 GOB983330 GXX983330 HHT983330 HRP983330 IBL983330 ILH983330 IVD983330 JEZ983330 JOV983330 JYR983330 KIN983330 KSJ983330 LCF983330 LMB983330 LVX983330 MFT983330 MPP983330 MZL983330 NJH983330 NTD983330 OCZ983330 OMV983330 OWR983330 PGN983330 PQJ983330 QAF983330 QKB983330 QTX983330 RDT983330 RNP983330 RXL983330 SHH983330 SRD983330 TAZ983330 TKV983330 TUR983330 UEN983330 UOJ983330 UYF983330 VIB983330 VRX983330 WBT983330 WLP983330 WVL983330 D101 IZ101 SV101 ACR101 AMN101 AWJ101 BGF101 BQB101 BZX101 CJT101 CTP101 DDL101 DNH101 DXD101 EGZ101 EQV101 FAR101 FKN101 FUJ101 GEF101 GOB101 GXX101 HHT101 HRP101 IBL101 ILH101 IVD101 JEZ101 JOV101 JYR101 KIN101 KSJ101 LCF101 LMB101 LVX101 MFT101 MPP101 MZL101 NJH101 NTD101 OCZ101 OMV101 OWR101 PGN101 PQJ101 QAF101 QKB101 QTX101 RDT101 RNP101 RXL101 SHH101 SRD101 TAZ101 TKV101 TUR101 UEN101 UOJ101 UYF101 VIB101 VRX101 WBT101 WLP101 WVL101 D65909 IZ65909 SV65909 ACR65909 AMN65909 AWJ65909 BGF65909 BQB65909 BZX65909 CJT65909 CTP65909 DDL65909 DNH65909 DXD65909 EGZ65909 EQV65909 FAR65909 FKN65909 FUJ65909 GEF65909 GOB65909 GXX65909 HHT65909 HRP65909 IBL65909 ILH65909 IVD65909 JEZ65909 JOV65909 JYR65909 KIN65909 KSJ65909 LCF65909 LMB65909 LVX65909 MFT65909 MPP65909 MZL65909 NJH65909 NTD65909 OCZ65909 OMV65909 OWR65909 PGN65909 PQJ65909 QAF65909 QKB65909 QTX65909 RDT65909 RNP65909 RXL65909 SHH65909 SRD65909 TAZ65909 TKV65909 TUR65909 UEN65909 UOJ65909 UYF65909 VIB65909 VRX65909 WBT65909 WLP65909 WVL65909 D131445 IZ131445 SV131445 ACR131445 AMN131445 AWJ131445 BGF131445 BQB131445 BZX131445 CJT131445 CTP131445 DDL131445 DNH131445 DXD131445 EGZ131445 EQV131445 FAR131445 FKN131445 FUJ131445 GEF131445 GOB131445 GXX131445 HHT131445 HRP131445 IBL131445 ILH131445 IVD131445 JEZ131445 JOV131445 JYR131445 KIN131445 KSJ131445 LCF131445 LMB131445 LVX131445 MFT131445 MPP131445 MZL131445 NJH131445 NTD131445 OCZ131445 OMV131445 OWR131445 PGN131445 PQJ131445 QAF131445 QKB131445 QTX131445 RDT131445 RNP131445 RXL131445 SHH131445 SRD131445 TAZ131445 TKV131445 TUR131445 UEN131445 UOJ131445 UYF131445 VIB131445 VRX131445 WBT131445 WLP131445 WVL131445 D196981 IZ196981 SV196981 ACR196981 AMN196981 AWJ196981 BGF196981 BQB196981 BZX196981 CJT196981 CTP196981 DDL196981 DNH196981 DXD196981 EGZ196981 EQV196981 FAR196981 FKN196981 FUJ196981 GEF196981 GOB196981 GXX196981 HHT196981 HRP196981 IBL196981 ILH196981 IVD196981 JEZ196981 JOV196981 JYR196981 KIN196981 KSJ196981 LCF196981 LMB196981 LVX196981 MFT196981 MPP196981 MZL196981 NJH196981 NTD196981 OCZ196981 OMV196981 OWR196981 PGN196981 PQJ196981 QAF196981 QKB196981 QTX196981 RDT196981 RNP196981 RXL196981 SHH196981 SRD196981 TAZ196981 TKV196981 TUR196981 UEN196981 UOJ196981 UYF196981 VIB196981 VRX196981 WBT196981 WLP196981 WVL196981 D262517 IZ262517 SV262517 ACR262517 AMN262517 AWJ262517 BGF262517 BQB262517 BZX262517 CJT262517 CTP262517 DDL262517 DNH262517 DXD262517 EGZ262517 EQV262517 FAR262517 FKN262517 FUJ262517 GEF262517 GOB262517 GXX262517 HHT262517 HRP262517 IBL262517 ILH262517 IVD262517 JEZ262517 JOV262517 JYR262517 KIN262517 KSJ262517 LCF262517 LMB262517 LVX262517 MFT262517 MPP262517 MZL262517 NJH262517 NTD262517 OCZ262517 OMV262517 OWR262517 PGN262517 PQJ262517 QAF262517 QKB262517 QTX262517 RDT262517 RNP262517 RXL262517 SHH262517 SRD262517 TAZ262517 TKV262517 TUR262517 UEN262517 UOJ262517 UYF262517 VIB262517 VRX262517 WBT262517 WLP262517 WVL262517 D328053 IZ328053 SV328053 ACR328053 AMN328053 AWJ328053 BGF328053 BQB328053 BZX328053 CJT328053 CTP328053 DDL328053 DNH328053 DXD328053 EGZ328053 EQV328053 FAR328053 FKN328053 FUJ328053 GEF328053 GOB328053 GXX328053 HHT328053 HRP328053 IBL328053 ILH328053 IVD328053 JEZ328053 JOV328053 JYR328053 KIN328053 KSJ328053 LCF328053 LMB328053 LVX328053 MFT328053 MPP328053 MZL328053 NJH328053 NTD328053 OCZ328053 OMV328053 OWR328053 PGN328053 PQJ328053 QAF328053 QKB328053 QTX328053 RDT328053 RNP328053 RXL328053 SHH328053 SRD328053 TAZ328053 TKV328053 TUR328053 UEN328053 UOJ328053 UYF328053 VIB328053 VRX328053 WBT328053 WLP328053 WVL328053 D393589 IZ393589 SV393589 ACR393589 AMN393589 AWJ393589 BGF393589 BQB393589 BZX393589 CJT393589 CTP393589 DDL393589 DNH393589 DXD393589 EGZ393589 EQV393589 FAR393589 FKN393589 FUJ393589 GEF393589 GOB393589 GXX393589 HHT393589 HRP393589 IBL393589 ILH393589 IVD393589 JEZ393589 JOV393589 JYR393589 KIN393589 KSJ393589 LCF393589 LMB393589 LVX393589 MFT393589 MPP393589 MZL393589 NJH393589 NTD393589 OCZ393589 OMV393589 OWR393589 PGN393589 PQJ393589 QAF393589 QKB393589 QTX393589 RDT393589 RNP393589 RXL393589 SHH393589 SRD393589 TAZ393589 TKV393589 TUR393589 UEN393589 UOJ393589 UYF393589 VIB393589 VRX393589 WBT393589 WLP393589 WVL393589 D459125 IZ459125 SV459125 ACR459125 AMN459125 AWJ459125 BGF459125 BQB459125 BZX459125 CJT459125 CTP459125 DDL459125 DNH459125 DXD459125 EGZ459125 EQV459125 FAR459125 FKN459125 FUJ459125 GEF459125 GOB459125 GXX459125 HHT459125 HRP459125 IBL459125 ILH459125 IVD459125 JEZ459125 JOV459125 JYR459125 KIN459125 KSJ459125 LCF459125 LMB459125 LVX459125 MFT459125 MPP459125 MZL459125 NJH459125 NTD459125 OCZ459125 OMV459125 OWR459125 PGN459125 PQJ459125 QAF459125 QKB459125 QTX459125 RDT459125 RNP459125 RXL459125 SHH459125 SRD459125 TAZ459125 TKV459125 TUR459125 UEN459125 UOJ459125 UYF459125 VIB459125 VRX459125 WBT459125 WLP459125 WVL459125 D524661 IZ524661 SV524661 ACR524661 AMN524661 AWJ524661 BGF524661 BQB524661 BZX524661 CJT524661 CTP524661 DDL524661 DNH524661 DXD524661 EGZ524661 EQV524661 FAR524661 FKN524661 FUJ524661 GEF524661 GOB524661 GXX524661 HHT524661 HRP524661 IBL524661 ILH524661 IVD524661 JEZ524661 JOV524661 JYR524661 KIN524661 KSJ524661 LCF524661 LMB524661 LVX524661 MFT524661 MPP524661 MZL524661 NJH524661 NTD524661 OCZ524661 OMV524661 OWR524661 PGN524661 PQJ524661 QAF524661 QKB524661 QTX524661 RDT524661 RNP524661 RXL524661 SHH524661 SRD524661 TAZ524661 TKV524661 TUR524661 UEN524661 UOJ524661 UYF524661 VIB524661 VRX524661 WBT524661 WLP524661 WVL524661 D590197 IZ590197 SV590197 ACR590197 AMN590197 AWJ590197 BGF590197 BQB590197 BZX590197 CJT590197 CTP590197 DDL590197 DNH590197 DXD590197 EGZ590197 EQV590197 FAR590197 FKN590197 FUJ590197 GEF590197 GOB590197 GXX590197 HHT590197 HRP590197 IBL590197 ILH590197 IVD590197 JEZ590197 JOV590197 JYR590197 KIN590197 KSJ590197 LCF590197 LMB590197 LVX590197 MFT590197 MPP590197 MZL590197 NJH590197 NTD590197 OCZ590197 OMV590197 OWR590197 PGN590197 PQJ590197 QAF590197 QKB590197 QTX590197 RDT590197 RNP590197 RXL590197 SHH590197 SRD590197 TAZ590197 TKV590197 TUR590197 UEN590197 UOJ590197 UYF590197 VIB590197 VRX590197 WBT590197 WLP590197 WVL590197 D655733 IZ655733 SV655733 ACR655733 AMN655733 AWJ655733 BGF655733 BQB655733 BZX655733 CJT655733 CTP655733 DDL655733 DNH655733 DXD655733 EGZ655733 EQV655733 FAR655733 FKN655733 FUJ655733 GEF655733 GOB655733 GXX655733 HHT655733 HRP655733 IBL655733 ILH655733 IVD655733 JEZ655733 JOV655733 JYR655733 KIN655733 KSJ655733 LCF655733 LMB655733 LVX655733 MFT655733 MPP655733 MZL655733 NJH655733 NTD655733 OCZ655733 OMV655733 OWR655733 PGN655733 PQJ655733 QAF655733 QKB655733 QTX655733 RDT655733 RNP655733 RXL655733 SHH655733 SRD655733 TAZ655733 TKV655733 TUR655733 UEN655733 UOJ655733 UYF655733 VIB655733 VRX655733 WBT655733 WLP655733 WVL655733 D721269 IZ721269 SV721269 ACR721269 AMN721269 AWJ721269 BGF721269 BQB721269 BZX721269 CJT721269 CTP721269 DDL721269 DNH721269 DXD721269 EGZ721269 EQV721269 FAR721269 FKN721269 FUJ721269 GEF721269 GOB721269 GXX721269 HHT721269 HRP721269 IBL721269 ILH721269 IVD721269 JEZ721269 JOV721269 JYR721269 KIN721269 KSJ721269 LCF721269 LMB721269 LVX721269 MFT721269 MPP721269 MZL721269 NJH721269 NTD721269 OCZ721269 OMV721269 OWR721269 PGN721269 PQJ721269 QAF721269 QKB721269 QTX721269 RDT721269 RNP721269 RXL721269 SHH721269 SRD721269 TAZ721269 TKV721269 TUR721269 UEN721269 UOJ721269 UYF721269 VIB721269 VRX721269 WBT721269 WLP721269 WVL721269 D786805 IZ786805 SV786805 ACR786805 AMN786805 AWJ786805 BGF786805 BQB786805 BZX786805 CJT786805 CTP786805 DDL786805 DNH786805 DXD786805 EGZ786805 EQV786805 FAR786805 FKN786805 FUJ786805 GEF786805 GOB786805 GXX786805 HHT786805 HRP786805 IBL786805 ILH786805 IVD786805 JEZ786805 JOV786805 JYR786805 KIN786805 KSJ786805 LCF786805 LMB786805 LVX786805 MFT786805 MPP786805 MZL786805 NJH786805 NTD786805 OCZ786805 OMV786805 OWR786805 PGN786805 PQJ786805 QAF786805 QKB786805 QTX786805 RDT786805 RNP786805 RXL786805 SHH786805 SRD786805 TAZ786805 TKV786805 TUR786805 UEN786805 UOJ786805 UYF786805 VIB786805 VRX786805 WBT786805 WLP786805 WVL786805 D852341 IZ852341 SV852341 ACR852341 AMN852341 AWJ852341 BGF852341 BQB852341 BZX852341 CJT852341 CTP852341 DDL852341 DNH852341 DXD852341 EGZ852341 EQV852341 FAR852341 FKN852341 FUJ852341 GEF852341 GOB852341 GXX852341 HHT852341 HRP852341 IBL852341 ILH852341 IVD852341 JEZ852341 JOV852341 JYR852341 KIN852341 KSJ852341 LCF852341 LMB852341 LVX852341 MFT852341 MPP852341 MZL852341 NJH852341 NTD852341 OCZ852341 OMV852341 OWR852341 PGN852341 PQJ852341 QAF852341 QKB852341 QTX852341 RDT852341 RNP852341 RXL852341 SHH852341 SRD852341 TAZ852341 TKV852341 TUR852341 UEN852341 UOJ852341 UYF852341 VIB852341 VRX852341 WBT852341 WLP852341 WVL852341 D917877 IZ917877 SV917877 ACR917877 AMN917877 AWJ917877 BGF917877 BQB917877 BZX917877 CJT917877 CTP917877 DDL917877 DNH917877 DXD917877 EGZ917877 EQV917877 FAR917877 FKN917877 FUJ917877 GEF917877 GOB917877 GXX917877 HHT917877 HRP917877 IBL917877 ILH917877 IVD917877 JEZ917877 JOV917877 JYR917877 KIN917877 KSJ917877 LCF917877 LMB917877 LVX917877 MFT917877 MPP917877 MZL917877 NJH917877 NTD917877 OCZ917877 OMV917877 OWR917877 PGN917877 PQJ917877 QAF917877 QKB917877 QTX917877 RDT917877 RNP917877 RXL917877 SHH917877 SRD917877 TAZ917877 TKV917877 TUR917877 UEN917877 UOJ917877 UYF917877 VIB917877 VRX917877 WBT917877 WLP917877 WVL917877 D983413 IZ983413 SV983413 ACR983413 AMN983413 AWJ983413 BGF983413 BQB983413 BZX983413 CJT983413 CTP983413 DDL983413 DNH983413 DXD983413 EGZ983413 EQV983413 FAR983413 FKN983413 FUJ983413 GEF983413 GOB983413 GXX983413 HHT983413 HRP983413 IBL983413 ILH983413 IVD983413 JEZ983413 JOV983413 JYR983413 KIN983413 KSJ983413 LCF983413 LMB983413 LVX983413 MFT983413 MPP983413 MZL983413 NJH983413 NTD983413 OCZ983413 OMV983413 OWR983413 PGN983413 PQJ983413 QAF983413 QKB983413 QTX983413 RDT983413 RNP983413 RXL983413 SHH983413 SRD983413 TAZ983413 TKV983413 TUR983413 UEN983413 UOJ983413 UYF983413 VIB983413 VRX983413 WBT983413 WLP983413 WVL983413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278 IZ278 SV278 ACR278 AMN278 AWJ278 BGF278 BQB278 BZX278 CJT278 CTP278 DDL278 DNH278 DXD278 EGZ278 EQV278 FAR278 FKN278 FUJ278 GEF278 GOB278 GXX278 HHT278 HRP278 IBL278 ILH278 IVD278 JEZ278 JOV278 JYR278 KIN278 KSJ278 LCF278 LMB278 LVX278 MFT278 MPP278 MZL278 NJH278 NTD278 OCZ278 OMV278 OWR278 PGN278 PQJ278 QAF278 QKB278 QTX278 RDT278 RNP278 RXL278 SHH278 SRD278 TAZ278 TKV278 TUR278 UEN278 UOJ278 UYF278 VIB278 VRX278 WBT278 WLP278 WVL278 D370 IZ370 SV370 ACR370 AMN370 AWJ370 BGF370 BQB370 BZX370 CJT370 CTP370 DDL370 DNH370 DXD370 EGZ370 EQV370 FAR370 FKN370 FUJ370 GEF370 GOB370 GXX370 HHT370 HRP370 IBL370 ILH370 IVD370 JEZ370 JOV370 JYR370 KIN370 KSJ370 LCF370 LMB370 LVX370 MFT370 MPP370 MZL370 NJH370 NTD370 OCZ370 OMV370 OWR370 PGN370 PQJ370 QAF370 QKB370 QTX370 RDT370 RNP370 RXL370 SHH370 SRD370 TAZ370 TKV370 TUR370 UEN370 UOJ370 UYF370 VIB370 VRX370 WBT370 WLP370 WVL370" xr:uid="{C2232358-4915-4DE0-83D8-353AD90B3125}">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7" max="21" man="1"/>
    <brk id="143" max="21" man="1"/>
    <brk id="545" max="21"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745CA-BE7A-4F2D-A1B2-CE09277363C3}">
  <sheetPr>
    <tabColor indexed="62"/>
  </sheetPr>
  <dimension ref="A1:Y293"/>
  <sheetViews>
    <sheetView showZeros="0" view="pageBreakPreview" topLeftCell="A10" zoomScale="145" zoomScaleNormal="100" zoomScaleSheetLayoutView="145" workbookViewId="0">
      <selection activeCell="J21" sqref="J21:K21"/>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955</v>
      </c>
      <c r="C7" s="1076"/>
      <c r="D7" s="1092" t="s">
        <v>385</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2000</v>
      </c>
      <c r="I10" s="1091"/>
      <c r="J10" s="1075">
        <v>3200</v>
      </c>
      <c r="K10" s="1076"/>
      <c r="L10" s="1075"/>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224">
        <v>3.5</v>
      </c>
      <c r="I12" s="1225"/>
      <c r="J12" s="192" t="s">
        <v>333</v>
      </c>
      <c r="V12" s="185"/>
    </row>
    <row r="13" spans="1:24" ht="18" customHeight="1">
      <c r="A13" s="184"/>
      <c r="B13" s="47" t="s">
        <v>398</v>
      </c>
      <c r="G13" s="120" t="s">
        <v>498</v>
      </c>
      <c r="H13" s="1075">
        <v>500</v>
      </c>
      <c r="I13" s="1076"/>
      <c r="J13" s="14" t="s">
        <v>305</v>
      </c>
      <c r="U13" s="18"/>
      <c r="V13" s="185"/>
      <c r="W13" s="30" t="str">
        <f>H74</f>
        <v>Suitably Dimentioned</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Burdens'!S42</f>
        <v>1.4360299200000002</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1.6360299200000001</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1.6360299200000001</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1.6360299200000001</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3.5</v>
      </c>
      <c r="M39" s="689"/>
      <c r="N39" s="689" t="s">
        <v>347</v>
      </c>
      <c r="O39" s="692">
        <f>S29</f>
        <v>1.6360299200000001</v>
      </c>
      <c r="P39" s="689"/>
      <c r="Q39" s="689" t="s">
        <v>674</v>
      </c>
      <c r="R39" s="689">
        <f>S27</f>
        <v>1</v>
      </c>
      <c r="S39" s="14"/>
      <c r="T39" s="14"/>
      <c r="U39" s="14"/>
      <c r="V39" s="185"/>
    </row>
    <row r="40" spans="1:22" ht="18" customHeight="1">
      <c r="A40" s="184"/>
      <c r="B40" s="14"/>
      <c r="C40" s="14"/>
      <c r="D40" s="689"/>
      <c r="E40" s="689"/>
      <c r="F40" s="689"/>
      <c r="G40" s="211">
        <v>1.3</v>
      </c>
      <c r="H40" s="218" t="s">
        <v>315</v>
      </c>
      <c r="I40" s="689">
        <f>S26</f>
        <v>2000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49.384903076923081</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3.5</v>
      </c>
      <c r="I51" s="689"/>
      <c r="J51" s="689" t="s">
        <v>347</v>
      </c>
      <c r="K51" s="692">
        <f>S29</f>
        <v>1.6360299200000001</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395.07922461538465</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500</v>
      </c>
      <c r="F67" s="692"/>
      <c r="G67" s="28" t="str">
        <f>G66</f>
        <v>&gt;</v>
      </c>
      <c r="H67" s="692">
        <f>E42</f>
        <v>49.384903076923081</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500</v>
      </c>
      <c r="F71" s="692"/>
      <c r="G71" s="28" t="str">
        <f>G70</f>
        <v>&gt;</v>
      </c>
      <c r="H71" s="692">
        <f>E54</f>
        <v>395.07922461538465</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Dimentioned",IF(AND(G66="&gt;",G70="&gt;"),"Over Dimentioned",IF(G66="&lt;","Under Dimentioned","")))</f>
        <v>Suitably Dimentioned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T2</v>
      </c>
      <c r="C87" s="831"/>
      <c r="D87" s="854" t="str">
        <f>D7</f>
        <v>Core1</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2000</v>
      </c>
      <c r="I90" s="831"/>
      <c r="J90" s="863">
        <f>J10</f>
        <v>3200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Dimentioned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1.4360299200000002</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1.6360299200000001</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3200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1.6360299200000001</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1.6360299200000001</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1.6360299200000001</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3200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39.879987500000006</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1.6360299200000001</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510.46384</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39.879987500000006</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510.46384</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Dimentioned",IF(AND(G146="&gt;",G150="&gt;"),"Over Dimentioned",IF(G146="&lt;","Under Dimentioned","")))</f>
        <v>Suitably Dimentioned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T2</v>
      </c>
      <c r="C167" s="831"/>
      <c r="D167" s="854" t="str">
        <f>D87</f>
        <v>Core1</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2000</v>
      </c>
      <c r="I170" s="831"/>
      <c r="J170" s="854">
        <f>J90</f>
        <v>3200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1.4360299200000002</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1.6360299200000001</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1.6360299200000001</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1.6360299200000001</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1.6360299200000001</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1.6360299200000001</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125.84845538461539</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125.84845538461539</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T2</v>
      </c>
      <c r="B261" s="765" t="str">
        <f>D7</f>
        <v>Core1</v>
      </c>
      <c r="C261" s="765"/>
      <c r="D261" s="870">
        <f>H10</f>
        <v>2000</v>
      </c>
      <c r="E261" s="870"/>
      <c r="F261" s="871">
        <f>O10</f>
        <v>1</v>
      </c>
      <c r="G261" s="961">
        <f>'CT-VT Burdens'!S21</f>
        <v>120</v>
      </c>
      <c r="H261" s="959">
        <f>'CT-VT Burdens'!S10</f>
        <v>6</v>
      </c>
      <c r="I261" s="874" t="str">
        <f>H11</f>
        <v>PX</v>
      </c>
      <c r="J261" s="874"/>
      <c r="K261" s="869">
        <f>H12</f>
        <v>3.5</v>
      </c>
      <c r="L261" s="869"/>
      <c r="M261" s="869">
        <f>H13</f>
        <v>500</v>
      </c>
      <c r="N261" s="869"/>
      <c r="O261" s="870">
        <f>H14</f>
        <v>20</v>
      </c>
      <c r="P261" s="870"/>
      <c r="Q261" s="879" t="str">
        <f>CONCATENATE(T7," ",T8," ",T9," ",T10)</f>
        <v xml:space="preserve">7SS522 6MU85  </v>
      </c>
      <c r="R261" s="879"/>
      <c r="S261" s="878" t="str">
        <f>H74</f>
        <v>Suitably Dimentioned</v>
      </c>
      <c r="T261" s="878"/>
      <c r="U261" s="878"/>
      <c r="V261" s="878"/>
    </row>
    <row r="262" spans="1:22" ht="18" customHeight="1">
      <c r="A262" s="765"/>
      <c r="B262" s="765"/>
      <c r="C262" s="765"/>
      <c r="D262" s="870">
        <f>J10</f>
        <v>3200</v>
      </c>
      <c r="E262" s="870"/>
      <c r="F262" s="872"/>
      <c r="G262" s="961"/>
      <c r="H262" s="959"/>
      <c r="I262" s="874"/>
      <c r="J262" s="874"/>
      <c r="K262" s="875">
        <f>J92</f>
        <v>5</v>
      </c>
      <c r="L262" s="869"/>
      <c r="M262" s="875">
        <f>J93</f>
        <v>900</v>
      </c>
      <c r="N262" s="869"/>
      <c r="O262" s="870">
        <f>J94</f>
        <v>10</v>
      </c>
      <c r="P262" s="870"/>
      <c r="Q262" s="879"/>
      <c r="R262" s="879"/>
      <c r="S262" s="877" t="str">
        <f>H154</f>
        <v>Suitably Dimentioned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O257:P260"/>
    <mergeCell ref="Q257:R260"/>
    <mergeCell ref="S257:V260"/>
    <mergeCell ref="A261:A263"/>
    <mergeCell ref="B261:C263"/>
    <mergeCell ref="D261:E261"/>
    <mergeCell ref="F261:F263"/>
    <mergeCell ref="G261:G263"/>
    <mergeCell ref="D263:E263"/>
    <mergeCell ref="K263:L263"/>
    <mergeCell ref="M263:N263"/>
    <mergeCell ref="O263:P263"/>
    <mergeCell ref="S263:V263"/>
    <mergeCell ref="S261:V261"/>
    <mergeCell ref="D262:E262"/>
    <mergeCell ref="K262:L262"/>
    <mergeCell ref="M262:N262"/>
    <mergeCell ref="O262:P262"/>
    <mergeCell ref="S262:V262"/>
    <mergeCell ref="H261:H263"/>
    <mergeCell ref="I261:J263"/>
    <mergeCell ref="K261:L261"/>
    <mergeCell ref="M261:N261"/>
    <mergeCell ref="O261:P261"/>
    <mergeCell ref="K215:L216"/>
    <mergeCell ref="M215:M216"/>
    <mergeCell ref="N215:N216"/>
    <mergeCell ref="E216:F216"/>
    <mergeCell ref="E218:F218"/>
    <mergeCell ref="E231:F231"/>
    <mergeCell ref="H231:I231"/>
    <mergeCell ref="K257:L260"/>
    <mergeCell ref="M257:N260"/>
    <mergeCell ref="D215:D216"/>
    <mergeCell ref="E215:F215"/>
    <mergeCell ref="G215:G216"/>
    <mergeCell ref="H215:I216"/>
    <mergeCell ref="J215:J216"/>
    <mergeCell ref="E235:F235"/>
    <mergeCell ref="H235:I235"/>
    <mergeCell ref="A257:C260"/>
    <mergeCell ref="D257:F260"/>
    <mergeCell ref="G257:H260"/>
    <mergeCell ref="I257:J260"/>
    <mergeCell ref="E202:F202"/>
    <mergeCell ref="B212:C213"/>
    <mergeCell ref="D212:D213"/>
    <mergeCell ref="E212:F212"/>
    <mergeCell ref="G212:G213"/>
    <mergeCell ref="H212:I213"/>
    <mergeCell ref="L199:M200"/>
    <mergeCell ref="N199:N200"/>
    <mergeCell ref="O199:P200"/>
    <mergeCell ref="J212:J213"/>
    <mergeCell ref="K212:L213"/>
    <mergeCell ref="M212:M213"/>
    <mergeCell ref="N212:N213"/>
    <mergeCell ref="E213:F213"/>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9:T109"/>
    <mergeCell ref="S110:T110"/>
    <mergeCell ref="B116:C117"/>
    <mergeCell ref="D116:D117"/>
    <mergeCell ref="E116:E117"/>
    <mergeCell ref="F116:F117"/>
    <mergeCell ref="G116:J116"/>
    <mergeCell ref="K116:K117"/>
    <mergeCell ref="L116:M117"/>
    <mergeCell ref="S106:T106"/>
    <mergeCell ref="S107:T107"/>
    <mergeCell ref="J91:K91"/>
    <mergeCell ref="J92:K92"/>
    <mergeCell ref="J93:K93"/>
    <mergeCell ref="J94:K94"/>
    <mergeCell ref="J98:K98"/>
    <mergeCell ref="J99:K99"/>
    <mergeCell ref="S108:T108"/>
    <mergeCell ref="H90:I90"/>
    <mergeCell ref="J90:K90"/>
    <mergeCell ref="L90:M90"/>
    <mergeCell ref="E71:F71"/>
    <mergeCell ref="H71:I71"/>
    <mergeCell ref="J100:K100"/>
    <mergeCell ref="J101:K101"/>
    <mergeCell ref="J102:K102"/>
    <mergeCell ref="S105:T105"/>
    <mergeCell ref="T87:U87"/>
    <mergeCell ref="N51:N52"/>
    <mergeCell ref="E52:F52"/>
    <mergeCell ref="E54:F54"/>
    <mergeCell ref="E67:F67"/>
    <mergeCell ref="H67:I67"/>
    <mergeCell ref="T88:U88"/>
    <mergeCell ref="H89:I89"/>
    <mergeCell ref="J89:K89"/>
    <mergeCell ref="L89:M89"/>
    <mergeCell ref="T89:U89"/>
    <mergeCell ref="D51:D52"/>
    <mergeCell ref="E51:F51"/>
    <mergeCell ref="G51:G52"/>
    <mergeCell ref="H51:I52"/>
    <mergeCell ref="J51:J52"/>
    <mergeCell ref="K51:L52"/>
    <mergeCell ref="B87:C87"/>
    <mergeCell ref="D87:E87"/>
    <mergeCell ref="H87:M87"/>
    <mergeCell ref="M51:M52"/>
    <mergeCell ref="B48:C49"/>
    <mergeCell ref="D48:D49"/>
    <mergeCell ref="E48:F48"/>
    <mergeCell ref="G48:G49"/>
    <mergeCell ref="H48:I49"/>
    <mergeCell ref="J48:J49"/>
    <mergeCell ref="N39:N40"/>
    <mergeCell ref="O39:P40"/>
    <mergeCell ref="Q39:Q40"/>
    <mergeCell ref="K48:L49"/>
    <mergeCell ref="M48:M49"/>
    <mergeCell ref="N48:N49"/>
    <mergeCell ref="E49:F49"/>
    <mergeCell ref="R39:R40"/>
    <mergeCell ref="I40:J40"/>
    <mergeCell ref="E42:F42"/>
    <mergeCell ref="D39:D40"/>
    <mergeCell ref="E39:E40"/>
    <mergeCell ref="F39:F40"/>
    <mergeCell ref="G39:J39"/>
    <mergeCell ref="K39:K40"/>
    <mergeCell ref="L39:M40"/>
    <mergeCell ref="L36:M37"/>
    <mergeCell ref="N36:N37"/>
    <mergeCell ref="O36:P37"/>
    <mergeCell ref="Q36:Q37"/>
    <mergeCell ref="R36:R37"/>
    <mergeCell ref="I37:J37"/>
    <mergeCell ref="B36:C37"/>
    <mergeCell ref="D36:D37"/>
    <mergeCell ref="E36:E37"/>
    <mergeCell ref="F36:F37"/>
    <mergeCell ref="G36:J36"/>
    <mergeCell ref="K36:K37"/>
    <mergeCell ref="S25:T25"/>
    <mergeCell ref="S26:T26"/>
    <mergeCell ref="S27:T27"/>
    <mergeCell ref="S28:T28"/>
    <mergeCell ref="S29:T29"/>
    <mergeCell ref="S30:T30"/>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1 G207 G225">
    <cfRule type="cellIs" dxfId="58" priority="8" stopIfTrue="1" operator="equal">
      <formula>"Under Dimentioned"</formula>
    </cfRule>
  </conditionalFormatting>
  <conditionalFormatting sqref="H74">
    <cfRule type="cellIs" dxfId="57" priority="5" stopIfTrue="1" operator="equal">
      <formula>"Under Dimentioned"</formula>
    </cfRule>
    <cfRule type="cellIs" dxfId="56" priority="6" stopIfTrue="1" operator="equal">
      <formula>"Over Dimentioned"</formula>
    </cfRule>
  </conditionalFormatting>
  <conditionalFormatting sqref="H154 H238">
    <cfRule type="containsText" dxfId="55" priority="7" operator="containsText" text="Under Dimentioned">
      <formula>NOT(ISERROR(SEARCH("Under Dimentioned",H154)))</formula>
    </cfRule>
  </conditionalFormatting>
  <conditionalFormatting sqref="H154">
    <cfRule type="cellIs" dxfId="54" priority="3" stopIfTrue="1" operator="equal">
      <formula>"Under Dimentioned"</formula>
    </cfRule>
    <cfRule type="cellIs" dxfId="53" priority="4" stopIfTrue="1" operator="equal">
      <formula>"Over Dimentioned"</formula>
    </cfRule>
  </conditionalFormatting>
  <conditionalFormatting sqref="H238">
    <cfRule type="cellIs" dxfId="52" priority="1" stopIfTrue="1" operator="equal">
      <formula>"Under Dimentioned"</formula>
    </cfRule>
    <cfRule type="cellIs" dxfId="51" priority="2" stopIfTrue="1" operator="equal">
      <formula>"Over Dimentioned"</formula>
    </cfRule>
  </conditionalFormatting>
  <dataValidations count="2">
    <dataValidation type="list" allowBlank="1" showInputMessage="1" showErrorMessage="1" sqref="D87 D167" xr:uid="{4AA5045A-971E-47A0-A816-E46AC237D392}">
      <formula1>"Core1,Core2,Core3"</formula1>
    </dataValidation>
    <dataValidation type="list" allowBlank="1" showInputMessage="1" showErrorMessage="1" sqref="D7:E7" xr:uid="{E008A515-F8CD-464F-AEFE-1BB06D12A927}">
      <formula1>"Core1,Core2,Core3,Core4"</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FE6-FAFB-46CF-8A48-138633B5ECF3}">
  <sheetPr>
    <tabColor rgb="FF00B050"/>
  </sheetPr>
  <dimension ref="A1:AE175"/>
  <sheetViews>
    <sheetView showZeros="0" view="pageBreakPreview" topLeftCell="A202" zoomScale="115" zoomScaleNormal="100" zoomScaleSheetLayoutView="115" workbookViewId="0">
      <selection activeCell="AH223" sqref="AH22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1024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955</v>
      </c>
      <c r="C7" s="782"/>
      <c r="D7" s="781" t="s">
        <v>109</v>
      </c>
      <c r="E7" s="782"/>
      <c r="F7" s="255"/>
      <c r="H7" s="684" t="s">
        <v>565</v>
      </c>
      <c r="I7" s="684"/>
      <c r="J7" s="684"/>
      <c r="K7" s="684"/>
      <c r="L7" s="684"/>
      <c r="M7" s="684"/>
      <c r="P7" s="186"/>
      <c r="R7" s="255"/>
      <c r="S7" s="187" t="s">
        <v>387</v>
      </c>
      <c r="T7" s="1216" t="s">
        <v>508</v>
      </c>
      <c r="U7" s="1247"/>
      <c r="V7" s="185"/>
    </row>
    <row r="8" spans="1:24" ht="18" customHeight="1">
      <c r="A8" s="184"/>
      <c r="B8" s="538"/>
      <c r="C8" s="538"/>
      <c r="D8" s="547"/>
      <c r="E8" s="547"/>
      <c r="F8" s="255"/>
      <c r="T8" s="1216" t="s">
        <v>956</v>
      </c>
      <c r="U8" s="1247"/>
      <c r="V8" s="185"/>
    </row>
    <row r="9" spans="1:24" ht="18" customHeight="1">
      <c r="A9" s="184"/>
      <c r="H9" s="789" t="s">
        <v>390</v>
      </c>
      <c r="I9" s="789"/>
      <c r="J9" s="790" t="s">
        <v>391</v>
      </c>
      <c r="K9" s="790"/>
      <c r="L9" s="790" t="s">
        <v>392</v>
      </c>
      <c r="M9" s="790"/>
      <c r="T9" s="1216" t="s">
        <v>896</v>
      </c>
      <c r="U9" s="1247"/>
      <c r="V9" s="185"/>
    </row>
    <row r="10" spans="1:24" ht="18" customHeight="1">
      <c r="A10" s="184"/>
      <c r="B10" s="47" t="s">
        <v>393</v>
      </c>
      <c r="H10" s="791">
        <v>2800</v>
      </c>
      <c r="I10" s="792"/>
      <c r="J10" s="781">
        <v>3200</v>
      </c>
      <c r="K10" s="782"/>
      <c r="L10" s="781" t="s">
        <v>6</v>
      </c>
      <c r="M10" s="782"/>
      <c r="N10" s="191" t="s">
        <v>342</v>
      </c>
      <c r="O10" s="125">
        <v>1</v>
      </c>
      <c r="P10" s="27" t="s">
        <v>8</v>
      </c>
      <c r="T10" s="1216"/>
      <c r="U10" s="1247"/>
      <c r="V10" s="185"/>
    </row>
    <row r="11" spans="1:24" ht="18" customHeight="1">
      <c r="A11" s="184"/>
      <c r="B11" s="47" t="s">
        <v>394</v>
      </c>
      <c r="H11" s="781" t="s">
        <v>708</v>
      </c>
      <c r="I11" s="782"/>
      <c r="T11" s="1248"/>
      <c r="U11" s="1248"/>
      <c r="V11" s="185"/>
    </row>
    <row r="12" spans="1:24" ht="18" customHeight="1">
      <c r="A12" s="184"/>
      <c r="B12" s="47" t="s">
        <v>396</v>
      </c>
      <c r="G12" s="120" t="s">
        <v>497</v>
      </c>
      <c r="H12" s="781">
        <v>4</v>
      </c>
      <c r="I12" s="782"/>
      <c r="J12" s="192" t="s">
        <v>333</v>
      </c>
      <c r="T12" s="295"/>
      <c r="U12" s="18"/>
      <c r="V12" s="185"/>
    </row>
    <row r="13" spans="1:24" ht="18" customHeight="1">
      <c r="A13" s="184"/>
      <c r="B13" s="30" t="s">
        <v>568</v>
      </c>
      <c r="G13" s="120" t="s">
        <v>569</v>
      </c>
      <c r="H13" s="781">
        <v>5</v>
      </c>
      <c r="I13" s="782"/>
      <c r="T13" s="295"/>
      <c r="U13" s="18"/>
      <c r="V13" s="185"/>
      <c r="W13" s="30" t="str">
        <f>J46</f>
        <v>Suitably Dimensioned</v>
      </c>
    </row>
    <row r="14" spans="1:24" ht="18" customHeight="1">
      <c r="A14" s="184"/>
      <c r="B14" s="47" t="s">
        <v>562</v>
      </c>
      <c r="G14" s="120" t="s">
        <v>493</v>
      </c>
      <c r="H14" s="781">
        <v>25</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REC670</v>
      </c>
      <c r="E18" s="227"/>
      <c r="F18" s="227"/>
      <c r="G18" s="227"/>
      <c r="H18" s="138"/>
      <c r="I18" s="260" t="s">
        <v>127</v>
      </c>
      <c r="J18" s="1250">
        <f>'CT-VT Burdens'!Q104</f>
        <v>0.02</v>
      </c>
      <c r="K18" s="1285"/>
      <c r="L18" s="3" t="s">
        <v>157</v>
      </c>
      <c r="N18" s="197" t="s">
        <v>510</v>
      </c>
      <c r="V18" s="185"/>
      <c r="AC18" s="14" t="s">
        <v>570</v>
      </c>
      <c r="AE18" s="14" t="s">
        <v>571</v>
      </c>
    </row>
    <row r="19" spans="1:31" ht="18" customHeight="1">
      <c r="A19" s="184"/>
      <c r="B19" s="96" t="s">
        <v>405</v>
      </c>
      <c r="D19" s="296" t="str">
        <f>T8</f>
        <v>CP-L96A</v>
      </c>
      <c r="I19" s="177" t="s">
        <v>127</v>
      </c>
      <c r="J19" s="1106">
        <f>'CT-VT Burdens'!Q152</f>
        <v>1</v>
      </c>
      <c r="K19" s="1107"/>
      <c r="L19" s="198" t="s">
        <v>157</v>
      </c>
      <c r="P19" s="244"/>
      <c r="V19" s="185"/>
    </row>
    <row r="20" spans="1:31" ht="18" customHeight="1">
      <c r="A20" s="184"/>
      <c r="B20" s="96" t="s">
        <v>405</v>
      </c>
      <c r="C20" s="14"/>
      <c r="D20" s="47" t="str">
        <f>T9</f>
        <v>IDM+</v>
      </c>
      <c r="E20" s="14"/>
      <c r="G20" s="199"/>
      <c r="H20" s="27"/>
      <c r="I20" s="101" t="s">
        <v>127</v>
      </c>
      <c r="J20" s="1108">
        <f>'CT-VT Burdens'!Q149</f>
        <v>5.8000000000000003E-2</v>
      </c>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4</v>
      </c>
      <c r="V21" s="185"/>
    </row>
    <row r="22" spans="1:31" ht="18" customHeight="1">
      <c r="A22" s="184"/>
      <c r="B22" s="184" t="s">
        <v>412</v>
      </c>
      <c r="C22" s="14"/>
      <c r="D22" s="47"/>
      <c r="E22" s="14"/>
      <c r="H22" s="27"/>
      <c r="I22" s="101" t="s">
        <v>127</v>
      </c>
      <c r="J22" s="1109">
        <f>'CT-VT Burdens'!S42</f>
        <v>1.4360299200000002</v>
      </c>
      <c r="K22" s="1110"/>
      <c r="L22" s="297" t="s">
        <v>157</v>
      </c>
      <c r="O22" s="27" t="s">
        <v>127</v>
      </c>
      <c r="P22" s="795">
        <f>P21*R21*T21</f>
        <v>4</v>
      </c>
      <c r="Q22" s="684"/>
      <c r="R22" s="27" t="s">
        <v>157</v>
      </c>
      <c r="S22" s="27"/>
      <c r="T22" s="27"/>
      <c r="V22" s="185"/>
    </row>
    <row r="23" spans="1:31" ht="18" customHeight="1">
      <c r="A23" s="184"/>
      <c r="B23" s="1" t="s">
        <v>413</v>
      </c>
      <c r="C23" s="2"/>
      <c r="D23" s="2"/>
      <c r="E23" s="2"/>
      <c r="F23" s="196"/>
      <c r="G23" s="196"/>
      <c r="H23" s="224" t="s">
        <v>512</v>
      </c>
      <c r="I23" s="183" t="s">
        <v>127</v>
      </c>
      <c r="J23" s="722">
        <f>SUM(J18:K22)</f>
        <v>2.5140299200000005</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2800</v>
      </c>
      <c r="Q25" s="1251"/>
      <c r="R25" s="192" t="s">
        <v>8</v>
      </c>
      <c r="V25" s="185"/>
    </row>
    <row r="26" spans="1:31" ht="18" customHeight="1">
      <c r="A26" s="184"/>
      <c r="B26" s="47" t="s">
        <v>547</v>
      </c>
      <c r="C26" s="47"/>
      <c r="D26" s="47"/>
      <c r="E26" s="47"/>
      <c r="H26" s="27"/>
      <c r="I26" s="28"/>
      <c r="J26" s="199"/>
      <c r="L26" s="47"/>
      <c r="N26" s="120" t="s">
        <v>572</v>
      </c>
      <c r="O26" s="28" t="s">
        <v>127</v>
      </c>
      <c r="P26" s="1251">
        <f>H12</f>
        <v>4</v>
      </c>
      <c r="Q26" s="1251"/>
      <c r="R26" s="304" t="s">
        <v>157</v>
      </c>
      <c r="V26" s="185"/>
    </row>
    <row r="27" spans="1:31" ht="18" customHeight="1">
      <c r="A27" s="184"/>
      <c r="B27" s="47" t="s">
        <v>548</v>
      </c>
      <c r="C27" s="47"/>
      <c r="D27" s="47"/>
      <c r="E27" s="47"/>
      <c r="H27" s="27"/>
      <c r="I27" s="28"/>
      <c r="J27" s="199"/>
      <c r="L27" s="47"/>
      <c r="N27" s="120" t="s">
        <v>573</v>
      </c>
      <c r="O27" s="28" t="s">
        <v>127</v>
      </c>
      <c r="P27" s="1072">
        <f>J23</f>
        <v>2.5140299200000005</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296" t="s">
        <v>576</v>
      </c>
      <c r="C30" s="47"/>
      <c r="D30" s="47"/>
      <c r="E30" s="47"/>
      <c r="H30" s="27"/>
      <c r="I30" s="28"/>
      <c r="J30" s="199"/>
      <c r="L30" s="47"/>
      <c r="O30" s="28" t="s">
        <v>127</v>
      </c>
      <c r="P30" s="1072">
        <v>25</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2.5140299200000005</v>
      </c>
      <c r="K35" s="684"/>
      <c r="L35" s="28"/>
      <c r="M35" s="795"/>
      <c r="N35" s="684"/>
      <c r="V35" s="185"/>
    </row>
    <row r="36" spans="1:22" ht="18" customHeight="1">
      <c r="A36" s="184"/>
      <c r="F36" s="244"/>
      <c r="H36" s="120" t="s">
        <v>105</v>
      </c>
      <c r="I36" s="27" t="s">
        <v>127</v>
      </c>
      <c r="J36" s="27" t="s">
        <v>569</v>
      </c>
      <c r="K36" s="27" t="s">
        <v>554</v>
      </c>
      <c r="L36" s="120" t="s">
        <v>491</v>
      </c>
      <c r="M36" s="28" t="s">
        <v>347</v>
      </c>
      <c r="N36" s="120" t="s">
        <v>493</v>
      </c>
      <c r="O36" s="28" t="s">
        <v>539</v>
      </c>
      <c r="P36" s="120" t="s">
        <v>491</v>
      </c>
      <c r="Q36" s="28" t="s">
        <v>347</v>
      </c>
      <c r="R36" s="120" t="s">
        <v>512</v>
      </c>
      <c r="S36" s="296" t="s">
        <v>350</v>
      </c>
      <c r="V36" s="185"/>
    </row>
    <row r="37" spans="1:22" ht="18" customHeight="1">
      <c r="A37" s="184"/>
      <c r="I37" s="27" t="s">
        <v>127</v>
      </c>
      <c r="J37" s="245">
        <f>H13</f>
        <v>5</v>
      </c>
      <c r="K37" s="245" t="s">
        <v>554</v>
      </c>
      <c r="L37" s="301">
        <f>P22</f>
        <v>4</v>
      </c>
      <c r="M37" s="245" t="s">
        <v>347</v>
      </c>
      <c r="N37" s="242">
        <f>H14</f>
        <v>25</v>
      </c>
      <c r="O37" s="245" t="s">
        <v>539</v>
      </c>
      <c r="P37" s="301">
        <f>P22</f>
        <v>4</v>
      </c>
      <c r="Q37" s="245" t="s">
        <v>347</v>
      </c>
      <c r="R37" s="301">
        <f>J23</f>
        <v>2.5140299200000005</v>
      </c>
      <c r="S37" s="296" t="s">
        <v>350</v>
      </c>
      <c r="V37" s="185"/>
    </row>
    <row r="38" spans="1:22" ht="18" customHeight="1">
      <c r="A38" s="184"/>
      <c r="I38" s="27" t="s">
        <v>127</v>
      </c>
      <c r="J38" s="1111">
        <f>J37*((L37+N37)/(P37+R37))</f>
        <v>22.259645991923843</v>
      </c>
      <c r="K38" s="1111"/>
      <c r="L38" s="242"/>
      <c r="M38" s="242"/>
      <c r="N38" s="242"/>
      <c r="O38" s="242"/>
      <c r="P38" s="242"/>
      <c r="Q38" s="242"/>
      <c r="R38" s="242"/>
      <c r="V38" s="185"/>
    </row>
    <row r="39" spans="1:22" ht="18" customHeight="1">
      <c r="A39" s="184"/>
      <c r="I39" s="28"/>
      <c r="J39" s="211"/>
      <c r="K39" s="27"/>
      <c r="V39" s="185"/>
    </row>
    <row r="40" spans="1:22" ht="18" customHeight="1">
      <c r="A40" s="96" t="s">
        <v>584</v>
      </c>
      <c r="I40" s="28"/>
      <c r="J40" s="211"/>
      <c r="K40" s="27"/>
      <c r="V40" s="185"/>
    </row>
    <row r="41" spans="1:22" ht="18" customHeight="1">
      <c r="A41" s="184"/>
      <c r="B41" s="28">
        <v>1</v>
      </c>
      <c r="D41" s="14"/>
      <c r="H41" s="120" t="s">
        <v>492</v>
      </c>
      <c r="I41" s="28" t="s">
        <v>476</v>
      </c>
      <c r="J41" s="47" t="s">
        <v>104</v>
      </c>
      <c r="S41" s="14" t="s">
        <v>585</v>
      </c>
      <c r="V41" s="185"/>
    </row>
    <row r="42" spans="1:22" ht="18" customHeight="1">
      <c r="A42" s="184"/>
      <c r="G42" s="684">
        <f>H14</f>
        <v>25</v>
      </c>
      <c r="H42" s="684"/>
      <c r="I42" s="27" t="str">
        <f>IF(G42&gt;J42,"&gt;","&lt;")</f>
        <v>&gt;</v>
      </c>
      <c r="J42" s="795">
        <f>J35</f>
        <v>2.5140299200000005</v>
      </c>
      <c r="K42" s="684"/>
      <c r="S42" s="186" t="str">
        <f>IF(G42&gt;J42,"Satisfied","Not satisfied")</f>
        <v>Satisfied</v>
      </c>
      <c r="V42" s="185"/>
    </row>
    <row r="43" spans="1:22" ht="18" customHeight="1">
      <c r="A43" s="184"/>
      <c r="D43" s="14"/>
      <c r="H43" s="120"/>
      <c r="I43" s="27"/>
      <c r="R43" s="14"/>
      <c r="V43" s="185"/>
    </row>
    <row r="44" spans="1:22" ht="18" customHeight="1">
      <c r="A44" s="184"/>
      <c r="B44" s="28">
        <v>2</v>
      </c>
      <c r="D44" s="14"/>
      <c r="H44" s="244" t="s">
        <v>586</v>
      </c>
      <c r="I44" s="28" t="s">
        <v>476</v>
      </c>
      <c r="J44" s="14" t="s">
        <v>105</v>
      </c>
      <c r="K44" s="14"/>
      <c r="S44" s="14" t="s">
        <v>587</v>
      </c>
      <c r="V44" s="185"/>
    </row>
    <row r="45" spans="1:22" ht="18" customHeight="1">
      <c r="A45" s="184"/>
      <c r="D45" s="14"/>
      <c r="G45" s="795">
        <f>P30</f>
        <v>25</v>
      </c>
      <c r="H45" s="795"/>
      <c r="I45" s="27" t="str">
        <f>IF(G45&gt;J45,"&gt;","&lt;")</f>
        <v>&gt;</v>
      </c>
      <c r="J45" s="795">
        <f>J38</f>
        <v>22.259645991923843</v>
      </c>
      <c r="K45" s="795"/>
      <c r="R45" s="14"/>
      <c r="S45" s="186" t="str">
        <f>IF(G45&gt;J45,"Satisfied","Not satisfied")</f>
        <v>Satisfied</v>
      </c>
      <c r="V45" s="185"/>
    </row>
    <row r="46" spans="1:22" ht="18" customHeight="1">
      <c r="A46" s="184"/>
      <c r="D46" s="47"/>
      <c r="H46" s="244" t="s">
        <v>478</v>
      </c>
      <c r="J46" s="18" t="str">
        <f>IF(AND(I42="&gt;",I45="&gt;")=TRUE,"Suitably Dimensioned","Not suitable")</f>
        <v>Suitably Dimensioned</v>
      </c>
      <c r="O46" s="27"/>
      <c r="P46" s="211"/>
      <c r="Q46" s="211"/>
      <c r="R46" s="192"/>
      <c r="V46" s="185"/>
    </row>
    <row r="47" spans="1:22" ht="18" customHeight="1">
      <c r="A47" s="194"/>
      <c r="B47" s="195"/>
      <c r="C47" s="195"/>
      <c r="D47" s="195"/>
      <c r="E47" s="195"/>
      <c r="F47" s="195"/>
      <c r="G47" s="195"/>
      <c r="H47" s="195"/>
      <c r="I47" s="195"/>
      <c r="J47" s="195"/>
      <c r="K47" s="195"/>
      <c r="L47" s="195"/>
      <c r="M47" s="195"/>
      <c r="N47" s="195"/>
      <c r="O47" s="195"/>
      <c r="P47" s="195"/>
      <c r="Q47" s="224"/>
      <c r="R47" s="182"/>
      <c r="S47" s="225"/>
      <c r="T47" s="195"/>
      <c r="U47" s="195"/>
      <c r="V47" s="134"/>
    </row>
    <row r="48" spans="1:22" ht="18" customHeight="1">
      <c r="A48" s="226"/>
      <c r="B48" s="227"/>
      <c r="C48" s="227"/>
      <c r="D48" s="227"/>
      <c r="E48" s="227"/>
      <c r="F48" s="227"/>
      <c r="G48" s="227"/>
      <c r="H48" s="227"/>
      <c r="I48" s="227"/>
      <c r="J48" s="227"/>
      <c r="K48" s="227"/>
      <c r="L48" s="227"/>
      <c r="M48" s="227"/>
      <c r="N48" s="227"/>
      <c r="O48" s="227"/>
      <c r="P48" s="227"/>
      <c r="Q48" s="227"/>
      <c r="R48" s="227"/>
      <c r="S48" s="227"/>
      <c r="T48" s="227"/>
      <c r="U48" s="227"/>
      <c r="V48" s="228"/>
    </row>
    <row r="49" spans="1:23" ht="18" customHeight="1">
      <c r="A49" s="184"/>
      <c r="B49" s="835" t="str">
        <f>B7</f>
        <v>T2</v>
      </c>
      <c r="C49" s="836"/>
      <c r="D49" s="835" t="str">
        <f>D7</f>
        <v>Core3</v>
      </c>
      <c r="E49" s="836"/>
      <c r="F49" s="255"/>
      <c r="H49" s="684" t="str">
        <f>H7</f>
        <v>(Metering + Ammeter)</v>
      </c>
      <c r="I49" s="684"/>
      <c r="J49" s="684"/>
      <c r="K49" s="684"/>
      <c r="L49" s="684"/>
      <c r="M49" s="684"/>
      <c r="P49" s="186"/>
      <c r="R49" s="255"/>
      <c r="S49" s="187" t="s">
        <v>387</v>
      </c>
      <c r="T49" s="1216" t="str">
        <f>T7</f>
        <v>REC670</v>
      </c>
      <c r="U49" s="1247"/>
      <c r="V49" s="185"/>
    </row>
    <row r="50" spans="1:23" ht="18" customHeight="1">
      <c r="A50" s="184"/>
      <c r="B50" s="838">
        <f>B8</f>
        <v>0</v>
      </c>
      <c r="C50" s="838"/>
      <c r="D50" s="585"/>
      <c r="E50" s="585"/>
      <c r="F50" s="255"/>
      <c r="T50" s="1216" t="str">
        <f>T8</f>
        <v>CP-L96A</v>
      </c>
      <c r="U50" s="1247"/>
      <c r="V50" s="185"/>
    </row>
    <row r="51" spans="1:23" ht="18" customHeight="1">
      <c r="A51" s="184"/>
      <c r="H51" s="708" t="s">
        <v>390</v>
      </c>
      <c r="I51" s="708"/>
      <c r="J51" s="789" t="s">
        <v>391</v>
      </c>
      <c r="K51" s="789"/>
      <c r="L51" s="790" t="s">
        <v>392</v>
      </c>
      <c r="M51" s="790"/>
      <c r="T51" s="1216" t="str">
        <f>T9</f>
        <v>IDM+</v>
      </c>
      <c r="U51" s="1247"/>
      <c r="V51" s="185"/>
    </row>
    <row r="52" spans="1:23" ht="18" customHeight="1">
      <c r="A52" s="184"/>
      <c r="B52" s="47" t="s">
        <v>393</v>
      </c>
      <c r="H52" s="835">
        <f>H10</f>
        <v>2800</v>
      </c>
      <c r="I52" s="836"/>
      <c r="J52" s="843">
        <f>J10</f>
        <v>3200</v>
      </c>
      <c r="K52" s="844"/>
      <c r="L52" s="835" t="str">
        <f>L10</f>
        <v>-</v>
      </c>
      <c r="M52" s="836"/>
      <c r="N52" s="191" t="s">
        <v>342</v>
      </c>
      <c r="O52" s="488">
        <f>O10</f>
        <v>1</v>
      </c>
      <c r="P52" s="27" t="s">
        <v>8</v>
      </c>
      <c r="T52" s="1216"/>
      <c r="U52" s="1247"/>
      <c r="V52" s="185"/>
    </row>
    <row r="53" spans="1:23" ht="18" customHeight="1">
      <c r="A53" s="184"/>
      <c r="B53" s="47" t="s">
        <v>394</v>
      </c>
      <c r="H53" s="14"/>
      <c r="I53" s="14"/>
      <c r="J53" s="835" t="str">
        <f>H11</f>
        <v>0.5FS5</v>
      </c>
      <c r="K53" s="836"/>
      <c r="L53" s="14"/>
      <c r="M53" s="14"/>
      <c r="V53" s="185"/>
    </row>
    <row r="54" spans="1:23" ht="18" customHeight="1">
      <c r="A54" s="184"/>
      <c r="B54" s="47" t="s">
        <v>396</v>
      </c>
      <c r="I54" s="120" t="s">
        <v>497</v>
      </c>
      <c r="J54" s="781">
        <v>5</v>
      </c>
      <c r="K54" s="782"/>
      <c r="L54" s="192" t="s">
        <v>333</v>
      </c>
      <c r="T54" s="295"/>
      <c r="U54" s="18"/>
      <c r="V54" s="185"/>
    </row>
    <row r="55" spans="1:23" ht="18" customHeight="1">
      <c r="A55" s="184"/>
      <c r="B55" s="30" t="s">
        <v>568</v>
      </c>
      <c r="I55" s="120" t="s">
        <v>569</v>
      </c>
      <c r="J55" s="781">
        <v>5</v>
      </c>
      <c r="K55" s="782"/>
      <c r="T55" s="295"/>
      <c r="U55" s="18"/>
      <c r="V55" s="185"/>
      <c r="W55" s="30" t="str">
        <f>J87</f>
        <v>Suitably Dimensioned</v>
      </c>
    </row>
    <row r="56" spans="1:23" ht="18" customHeight="1">
      <c r="A56" s="184"/>
      <c r="B56" s="47" t="s">
        <v>562</v>
      </c>
      <c r="I56" s="120" t="s">
        <v>493</v>
      </c>
      <c r="J56" s="781">
        <v>30</v>
      </c>
      <c r="K56" s="782"/>
      <c r="L56" s="14" t="s">
        <v>157</v>
      </c>
      <c r="T56" s="295"/>
      <c r="U56" s="18"/>
      <c r="V56" s="185"/>
    </row>
    <row r="57" spans="1:23" ht="18" customHeight="1">
      <c r="A57" s="184"/>
      <c r="V57" s="185"/>
    </row>
    <row r="58" spans="1:23" ht="18" customHeight="1">
      <c r="A58" s="193" t="s">
        <v>404</v>
      </c>
      <c r="V58" s="185"/>
    </row>
    <row r="59" spans="1:23" ht="18" customHeight="1">
      <c r="A59" s="184"/>
      <c r="V59" s="185"/>
    </row>
    <row r="60" spans="1:23" ht="18" customHeight="1">
      <c r="A60" s="184"/>
      <c r="B60" s="135" t="s">
        <v>405</v>
      </c>
      <c r="C60" s="273"/>
      <c r="D60" s="139" t="str">
        <f>D18</f>
        <v>REC670</v>
      </c>
      <c r="E60" s="227"/>
      <c r="F60" s="227"/>
      <c r="G60" s="227"/>
      <c r="H60" s="138"/>
      <c r="I60" s="260" t="s">
        <v>127</v>
      </c>
      <c r="J60" s="1213">
        <f t="shared" ref="J60:J65" si="0">J18</f>
        <v>0.02</v>
      </c>
      <c r="K60" s="1252"/>
      <c r="L60" s="3" t="s">
        <v>157</v>
      </c>
      <c r="N60" s="197" t="s">
        <v>510</v>
      </c>
      <c r="V60" s="185"/>
    </row>
    <row r="61" spans="1:23" ht="18" customHeight="1">
      <c r="A61" s="184"/>
      <c r="B61" s="96" t="s">
        <v>405</v>
      </c>
      <c r="D61" s="296" t="str">
        <f>D19</f>
        <v>CP-L96A</v>
      </c>
      <c r="I61" s="177" t="s">
        <v>127</v>
      </c>
      <c r="J61" s="1119">
        <f t="shared" si="0"/>
        <v>1</v>
      </c>
      <c r="K61" s="989"/>
      <c r="L61" s="198" t="s">
        <v>157</v>
      </c>
      <c r="P61" s="244"/>
      <c r="V61" s="185"/>
    </row>
    <row r="62" spans="1:23" ht="18" customHeight="1">
      <c r="A62" s="184"/>
      <c r="B62" s="96" t="s">
        <v>405</v>
      </c>
      <c r="C62" s="14"/>
      <c r="D62" s="47" t="str">
        <f>D20</f>
        <v>IDM+</v>
      </c>
      <c r="E62" s="14"/>
      <c r="G62" s="199"/>
      <c r="H62" s="27"/>
      <c r="I62" s="101" t="s">
        <v>127</v>
      </c>
      <c r="J62" s="696">
        <f t="shared" si="0"/>
        <v>5.8000000000000003E-2</v>
      </c>
      <c r="K62" s="820"/>
      <c r="L62" s="202" t="s">
        <v>157</v>
      </c>
      <c r="N62" s="120" t="s">
        <v>491</v>
      </c>
      <c r="O62" s="27" t="s">
        <v>127</v>
      </c>
      <c r="P62" s="27" t="s">
        <v>511</v>
      </c>
      <c r="Q62" s="27" t="s">
        <v>315</v>
      </c>
      <c r="R62" s="27" t="s">
        <v>511</v>
      </c>
      <c r="S62" s="27" t="s">
        <v>315</v>
      </c>
      <c r="T62" s="27" t="s">
        <v>420</v>
      </c>
      <c r="V62" s="185"/>
    </row>
    <row r="63" spans="1:23" ht="18" customHeight="1">
      <c r="A63" s="184"/>
      <c r="B63" s="96" t="s">
        <v>405</v>
      </c>
      <c r="C63" s="14"/>
      <c r="D63" s="47">
        <f>T10</f>
        <v>0</v>
      </c>
      <c r="E63" s="14"/>
      <c r="G63" s="199"/>
      <c r="H63" s="27"/>
      <c r="I63" s="101" t="s">
        <v>127</v>
      </c>
      <c r="J63" s="696">
        <f t="shared" si="0"/>
        <v>0</v>
      </c>
      <c r="K63" s="820"/>
      <c r="L63" s="202" t="s">
        <v>157</v>
      </c>
      <c r="O63" s="27" t="s">
        <v>127</v>
      </c>
      <c r="P63" s="27">
        <f>O52</f>
        <v>1</v>
      </c>
      <c r="Q63" s="27" t="s">
        <v>315</v>
      </c>
      <c r="R63" s="27">
        <f>O52</f>
        <v>1</v>
      </c>
      <c r="S63" s="27" t="s">
        <v>315</v>
      </c>
      <c r="T63" s="27">
        <f>J54</f>
        <v>5</v>
      </c>
      <c r="V63" s="185"/>
    </row>
    <row r="64" spans="1:23" ht="18" customHeight="1">
      <c r="A64" s="184"/>
      <c r="B64" s="184" t="s">
        <v>412</v>
      </c>
      <c r="C64" s="14"/>
      <c r="D64" s="47"/>
      <c r="E64" s="14"/>
      <c r="H64" s="27"/>
      <c r="I64" s="101" t="s">
        <v>127</v>
      </c>
      <c r="J64" s="1120">
        <f t="shared" si="0"/>
        <v>1.4360299200000002</v>
      </c>
      <c r="K64" s="987"/>
      <c r="L64" s="297" t="s">
        <v>157</v>
      </c>
      <c r="O64" s="27" t="s">
        <v>127</v>
      </c>
      <c r="P64" s="795">
        <f>P63*R63*T63</f>
        <v>5</v>
      </c>
      <c r="Q64" s="684"/>
      <c r="R64" s="27" t="s">
        <v>157</v>
      </c>
      <c r="S64" s="27"/>
      <c r="T64" s="27"/>
      <c r="V64" s="185"/>
    </row>
    <row r="65" spans="1:22" ht="18" customHeight="1">
      <c r="A65" s="184"/>
      <c r="B65" s="1" t="s">
        <v>413</v>
      </c>
      <c r="C65" s="2"/>
      <c r="D65" s="2"/>
      <c r="E65" s="2"/>
      <c r="F65" s="196"/>
      <c r="G65" s="196"/>
      <c r="H65" s="224" t="s">
        <v>512</v>
      </c>
      <c r="I65" s="183" t="s">
        <v>127</v>
      </c>
      <c r="J65" s="722">
        <f t="shared" si="0"/>
        <v>2.5140299200000005</v>
      </c>
      <c r="K65" s="958"/>
      <c r="L65" s="3" t="s">
        <v>157</v>
      </c>
      <c r="O65" s="27"/>
      <c r="P65" s="211"/>
      <c r="Q65" s="211"/>
      <c r="R65" s="192"/>
      <c r="V65" s="185"/>
    </row>
    <row r="66" spans="1:22" ht="18" customHeight="1">
      <c r="A66" s="184"/>
      <c r="B66" s="47"/>
      <c r="C66" s="47"/>
      <c r="D66" s="47"/>
      <c r="E66" s="47"/>
      <c r="H66" s="27"/>
      <c r="I66" s="28"/>
      <c r="J66" s="218"/>
      <c r="K66" s="27"/>
      <c r="L66" s="47"/>
      <c r="O66" s="27"/>
      <c r="P66" s="211"/>
      <c r="Q66" s="211"/>
      <c r="R66" s="192"/>
      <c r="V66" s="185"/>
    </row>
    <row r="67" spans="1:22" ht="18" customHeight="1">
      <c r="A67" s="184"/>
      <c r="B67" s="47" t="s">
        <v>545</v>
      </c>
      <c r="C67" s="47"/>
      <c r="D67" s="47"/>
      <c r="E67" s="47"/>
      <c r="H67" s="27"/>
      <c r="I67" s="28"/>
      <c r="J67" s="199"/>
      <c r="L67" s="47"/>
      <c r="N67" s="120" t="s">
        <v>423</v>
      </c>
      <c r="O67" s="28" t="s">
        <v>127</v>
      </c>
      <c r="P67" s="1251">
        <f>J52</f>
        <v>3200</v>
      </c>
      <c r="Q67" s="1251"/>
      <c r="R67" s="192" t="s">
        <v>8</v>
      </c>
      <c r="V67" s="185"/>
    </row>
    <row r="68" spans="1:22" ht="18" customHeight="1">
      <c r="A68" s="184"/>
      <c r="B68" s="47" t="s">
        <v>547</v>
      </c>
      <c r="C68" s="47"/>
      <c r="D68" s="47"/>
      <c r="E68" s="47"/>
      <c r="H68" s="27"/>
      <c r="I68" s="28"/>
      <c r="J68" s="199"/>
      <c r="L68" s="47"/>
      <c r="N68" s="120" t="s">
        <v>572</v>
      </c>
      <c r="O68" s="28" t="s">
        <v>127</v>
      </c>
      <c r="P68" s="1251">
        <f>J54</f>
        <v>5</v>
      </c>
      <c r="Q68" s="1251"/>
      <c r="R68" s="304" t="s">
        <v>157</v>
      </c>
      <c r="V68" s="185"/>
    </row>
    <row r="69" spans="1:22" ht="18" customHeight="1">
      <c r="A69" s="184"/>
      <c r="B69" s="47" t="s">
        <v>548</v>
      </c>
      <c r="C69" s="47"/>
      <c r="D69" s="47"/>
      <c r="E69" s="47"/>
      <c r="H69" s="27"/>
      <c r="I69" s="28"/>
      <c r="J69" s="199"/>
      <c r="L69" s="47"/>
      <c r="N69" s="120" t="s">
        <v>573</v>
      </c>
      <c r="O69" s="28" t="s">
        <v>127</v>
      </c>
      <c r="P69" s="1072">
        <f>J65</f>
        <v>2.5140299200000005</v>
      </c>
      <c r="Q69" s="1251"/>
      <c r="R69" s="304" t="s">
        <v>157</v>
      </c>
      <c r="V69" s="185"/>
    </row>
    <row r="70" spans="1:22" ht="18" customHeight="1">
      <c r="A70" s="184"/>
      <c r="B70" s="47" t="s">
        <v>549</v>
      </c>
      <c r="C70" s="47"/>
      <c r="D70" s="47"/>
      <c r="E70" s="47"/>
      <c r="H70" s="27"/>
      <c r="I70" s="28"/>
      <c r="J70" s="199"/>
      <c r="L70" s="47"/>
      <c r="N70" s="120" t="s">
        <v>511</v>
      </c>
      <c r="O70" s="28" t="s">
        <v>127</v>
      </c>
      <c r="P70" s="1251">
        <f>O52</f>
        <v>1</v>
      </c>
      <c r="Q70" s="1251"/>
      <c r="R70" s="192" t="s">
        <v>8</v>
      </c>
      <c r="V70" s="185"/>
    </row>
    <row r="71" spans="1:22" ht="18" customHeight="1">
      <c r="A71" s="184"/>
      <c r="B71" s="47" t="s">
        <v>574</v>
      </c>
      <c r="C71" s="47"/>
      <c r="D71" s="47"/>
      <c r="E71" s="47"/>
      <c r="H71" s="27"/>
      <c r="I71" s="28"/>
      <c r="J71" s="199"/>
      <c r="L71" s="47"/>
      <c r="N71" s="120" t="s">
        <v>495</v>
      </c>
      <c r="O71" s="28" t="s">
        <v>127</v>
      </c>
      <c r="P71" s="1251">
        <v>10</v>
      </c>
      <c r="Q71" s="1251"/>
      <c r="R71" s="192"/>
      <c r="V71" s="185"/>
    </row>
    <row r="72" spans="1:22" ht="18" customHeight="1">
      <c r="A72" s="184"/>
      <c r="B72" s="47" t="s">
        <v>577</v>
      </c>
      <c r="C72" s="47"/>
      <c r="D72" s="47"/>
      <c r="E72" s="47"/>
      <c r="H72" s="27"/>
      <c r="I72" s="28"/>
      <c r="J72" s="199"/>
      <c r="L72" s="47"/>
      <c r="O72" s="28" t="s">
        <v>127</v>
      </c>
      <c r="P72" s="1072">
        <v>25</v>
      </c>
      <c r="Q72" s="1072"/>
      <c r="R72" s="192" t="s">
        <v>129</v>
      </c>
      <c r="S72" s="14" t="s">
        <v>170</v>
      </c>
      <c r="V72" s="185"/>
    </row>
    <row r="73" spans="1:22" ht="18" hidden="1" customHeight="1">
      <c r="A73" s="184"/>
      <c r="B73" s="47"/>
      <c r="C73" s="47"/>
      <c r="D73" s="47"/>
      <c r="E73" s="47"/>
      <c r="H73" s="27"/>
      <c r="I73" s="28"/>
      <c r="J73" s="218"/>
      <c r="K73" s="27"/>
      <c r="L73" s="47"/>
      <c r="O73" s="27"/>
      <c r="P73" s="211"/>
      <c r="Q73" s="211"/>
      <c r="R73" s="192"/>
      <c r="V73" s="185"/>
    </row>
    <row r="74" spans="1:22" ht="18" customHeight="1">
      <c r="A74" s="184"/>
      <c r="B74" s="47"/>
      <c r="C74" s="47" t="s">
        <v>579</v>
      </c>
      <c r="D74" s="47"/>
      <c r="E74" s="47"/>
      <c r="H74" s="27"/>
      <c r="I74" s="28"/>
      <c r="J74" s="199"/>
      <c r="L74" s="47"/>
      <c r="O74" s="27"/>
      <c r="P74" s="211"/>
      <c r="Q74" s="305" t="s">
        <v>580</v>
      </c>
      <c r="R74" s="102" t="s">
        <v>127</v>
      </c>
      <c r="S74" s="775">
        <v>25</v>
      </c>
      <c r="T74" s="776"/>
      <c r="V74" s="185" t="s">
        <v>129</v>
      </c>
    </row>
    <row r="75" spans="1:22" ht="18" customHeight="1">
      <c r="A75" s="184"/>
      <c r="B75" s="47"/>
      <c r="C75" s="47" t="s">
        <v>581</v>
      </c>
      <c r="D75" s="47"/>
      <c r="E75" s="47"/>
      <c r="H75" s="27"/>
      <c r="I75" s="28" t="s">
        <v>127</v>
      </c>
      <c r="J75" s="281" t="s">
        <v>582</v>
      </c>
      <c r="L75" s="47"/>
      <c r="O75" s="27"/>
      <c r="P75" s="28" t="s">
        <v>347</v>
      </c>
      <c r="Q75" s="14" t="s">
        <v>583</v>
      </c>
      <c r="R75" s="192"/>
      <c r="V75" s="185"/>
    </row>
    <row r="76" spans="1:22" ht="18" customHeight="1">
      <c r="A76" s="184"/>
      <c r="I76" s="28" t="s">
        <v>127</v>
      </c>
      <c r="J76" s="795">
        <f>J65</f>
        <v>2.5140299200000005</v>
      </c>
      <c r="K76" s="684"/>
      <c r="L76" s="28"/>
      <c r="M76" s="795"/>
      <c r="N76" s="684"/>
      <c r="V76" s="185"/>
    </row>
    <row r="77" spans="1:22" ht="18" customHeight="1">
      <c r="A77" s="184"/>
      <c r="I77" s="28"/>
      <c r="J77" s="204"/>
      <c r="V77" s="185"/>
    </row>
    <row r="78" spans="1:22" ht="18" customHeight="1">
      <c r="A78" s="184"/>
      <c r="F78" s="244"/>
      <c r="H78" s="120" t="s">
        <v>105</v>
      </c>
      <c r="I78" s="27" t="s">
        <v>127</v>
      </c>
      <c r="J78" s="27" t="s">
        <v>569</v>
      </c>
      <c r="K78" s="27" t="s">
        <v>554</v>
      </c>
      <c r="L78" s="120" t="s">
        <v>491</v>
      </c>
      <c r="M78" s="28" t="s">
        <v>347</v>
      </c>
      <c r="N78" s="120" t="s">
        <v>493</v>
      </c>
      <c r="O78" s="28" t="s">
        <v>539</v>
      </c>
      <c r="P78" s="120" t="s">
        <v>491</v>
      </c>
      <c r="Q78" s="28" t="s">
        <v>347</v>
      </c>
      <c r="R78" s="120" t="s">
        <v>512</v>
      </c>
      <c r="S78" s="296" t="s">
        <v>350</v>
      </c>
      <c r="V78" s="185"/>
    </row>
    <row r="79" spans="1:22" ht="18" customHeight="1">
      <c r="A79" s="184"/>
      <c r="I79" s="27" t="s">
        <v>127</v>
      </c>
      <c r="J79" s="245">
        <f>J55</f>
        <v>5</v>
      </c>
      <c r="K79" s="245" t="s">
        <v>554</v>
      </c>
      <c r="L79" s="301">
        <f>P64</f>
        <v>5</v>
      </c>
      <c r="M79" s="245" t="s">
        <v>347</v>
      </c>
      <c r="N79" s="242">
        <f>J56</f>
        <v>30</v>
      </c>
      <c r="O79" s="245" t="s">
        <v>539</v>
      </c>
      <c r="P79" s="301">
        <f>P64</f>
        <v>5</v>
      </c>
      <c r="Q79" s="245" t="s">
        <v>347</v>
      </c>
      <c r="R79" s="301">
        <f>J65</f>
        <v>2.5140299200000005</v>
      </c>
      <c r="S79" s="296" t="s">
        <v>350</v>
      </c>
      <c r="V79" s="185"/>
    </row>
    <row r="80" spans="1:22" ht="18" customHeight="1">
      <c r="A80" s="184"/>
      <c r="I80" s="27" t="s">
        <v>127</v>
      </c>
      <c r="J80" s="1111">
        <f>J79*((L79+N79)/(P79+R79))</f>
        <v>23.289766192466796</v>
      </c>
      <c r="K80" s="1111"/>
      <c r="L80" s="242"/>
      <c r="M80" s="242"/>
      <c r="N80" s="242"/>
      <c r="O80" s="242"/>
      <c r="P80" s="242"/>
      <c r="Q80" s="242"/>
      <c r="R80" s="242"/>
      <c r="V80" s="185"/>
    </row>
    <row r="81" spans="1:22" ht="18" customHeight="1">
      <c r="A81" s="96" t="s">
        <v>584</v>
      </c>
      <c r="I81" s="28"/>
      <c r="J81" s="211"/>
      <c r="K81" s="27"/>
      <c r="V81" s="185"/>
    </row>
    <row r="82" spans="1:22" ht="18" customHeight="1">
      <c r="A82" s="184"/>
      <c r="B82" s="28">
        <v>1</v>
      </c>
      <c r="D82" s="14"/>
      <c r="H82" s="120" t="s">
        <v>492</v>
      </c>
      <c r="I82" s="28" t="s">
        <v>476</v>
      </c>
      <c r="J82" s="47" t="s">
        <v>104</v>
      </c>
      <c r="S82" s="14" t="s">
        <v>585</v>
      </c>
      <c r="V82" s="185"/>
    </row>
    <row r="83" spans="1:22" ht="18" customHeight="1">
      <c r="A83" s="184"/>
      <c r="G83" s="684">
        <f>J56</f>
        <v>30</v>
      </c>
      <c r="H83" s="684"/>
      <c r="I83" s="27" t="str">
        <f>IF(G83&gt;J83,"&gt;","&lt;")</f>
        <v>&gt;</v>
      </c>
      <c r="J83" s="795">
        <f>J76</f>
        <v>2.5140299200000005</v>
      </c>
      <c r="K83" s="684"/>
      <c r="S83" s="186" t="str">
        <f>IF(G83&gt;J83,"Satisfied","Not satisfied")</f>
        <v>Satisfied</v>
      </c>
      <c r="V83" s="185"/>
    </row>
    <row r="84" spans="1:22" ht="18" customHeight="1">
      <c r="A84" s="184"/>
      <c r="D84" s="14"/>
      <c r="H84" s="120"/>
      <c r="I84" s="27"/>
      <c r="R84" s="14"/>
      <c r="V84" s="185"/>
    </row>
    <row r="85" spans="1:22" ht="18" customHeight="1">
      <c r="A85" s="184"/>
      <c r="B85" s="28">
        <v>2</v>
      </c>
      <c r="D85" s="14"/>
      <c r="H85" s="244" t="s">
        <v>586</v>
      </c>
      <c r="I85" s="28" t="s">
        <v>476</v>
      </c>
      <c r="J85" s="14" t="s">
        <v>105</v>
      </c>
      <c r="K85" s="14"/>
      <c r="S85" s="14" t="s">
        <v>587</v>
      </c>
      <c r="V85" s="185"/>
    </row>
    <row r="86" spans="1:22" ht="18" customHeight="1">
      <c r="A86" s="184"/>
      <c r="D86" s="14"/>
      <c r="G86" s="795">
        <f>P72</f>
        <v>25</v>
      </c>
      <c r="H86" s="795"/>
      <c r="I86" s="27" t="str">
        <f>IF(G86&gt;J86,"&gt;","&lt;")</f>
        <v>&gt;</v>
      </c>
      <c r="J86" s="795">
        <f>J80</f>
        <v>23.289766192466796</v>
      </c>
      <c r="K86" s="795"/>
      <c r="R86" s="14"/>
      <c r="S86" s="186" t="str">
        <f>IF(G86&gt;J86,"Satisfied","Not satisfied")</f>
        <v>Satisfied</v>
      </c>
      <c r="V86" s="185"/>
    </row>
    <row r="87" spans="1:22" ht="18" customHeight="1">
      <c r="A87" s="184"/>
      <c r="D87" s="47"/>
      <c r="H87" s="244" t="s">
        <v>478</v>
      </c>
      <c r="J87" s="18" t="str">
        <f>IF(AND(I83="&gt;",I86="&gt;")=TRUE,"Suitably Dimensioned","Not suitable")</f>
        <v>Suitably Dimensioned</v>
      </c>
      <c r="O87" s="27"/>
      <c r="P87" s="211"/>
      <c r="Q87" s="211"/>
      <c r="R87" s="192"/>
      <c r="V87" s="185"/>
    </row>
    <row r="88" spans="1:22" ht="18" customHeight="1">
      <c r="A88" s="290"/>
      <c r="B88" s="196"/>
      <c r="C88" s="196"/>
      <c r="D88" s="2"/>
      <c r="E88" s="196"/>
      <c r="F88" s="196"/>
      <c r="G88" s="196"/>
      <c r="H88" s="306"/>
      <c r="I88" s="196"/>
      <c r="J88" s="195"/>
      <c r="K88" s="196"/>
      <c r="L88" s="196"/>
      <c r="M88" s="196"/>
      <c r="N88" s="196"/>
      <c r="O88" s="307"/>
      <c r="P88" s="308"/>
      <c r="Q88" s="308"/>
      <c r="R88" s="309"/>
      <c r="S88" s="196"/>
      <c r="T88" s="196"/>
      <c r="U88" s="196"/>
      <c r="V88" s="291"/>
    </row>
    <row r="89" spans="1:22" ht="18" hidden="1" customHeight="1">
      <c r="A89" s="184"/>
      <c r="D89" s="47"/>
      <c r="H89" s="244"/>
      <c r="J89" s="14"/>
      <c r="O89" s="27"/>
      <c r="P89" s="211"/>
      <c r="Q89" s="211"/>
      <c r="R89" s="192"/>
      <c r="V89" s="185"/>
    </row>
    <row r="90" spans="1:22" s="14" customFormat="1" ht="18" hidden="1" customHeight="1">
      <c r="A90" s="194"/>
      <c r="B90" s="195"/>
      <c r="C90" s="195"/>
      <c r="D90" s="195"/>
      <c r="E90" s="195"/>
      <c r="F90" s="195"/>
      <c r="G90" s="195"/>
      <c r="H90" s="195"/>
      <c r="I90" s="195"/>
      <c r="J90" s="195"/>
      <c r="K90" s="195"/>
      <c r="L90" s="195"/>
      <c r="M90" s="195"/>
      <c r="N90" s="195"/>
      <c r="O90" s="195"/>
      <c r="P90" s="195"/>
      <c r="Q90" s="224"/>
      <c r="R90" s="182"/>
      <c r="S90" s="225"/>
      <c r="T90" s="195"/>
      <c r="U90" s="195"/>
      <c r="V90" s="134"/>
    </row>
    <row r="91" spans="1:22" ht="18" hidden="1" customHeight="1">
      <c r="A91" s="226"/>
      <c r="B91" s="227"/>
      <c r="C91" s="227"/>
      <c r="D91" s="227"/>
      <c r="E91" s="227"/>
      <c r="F91" s="227"/>
      <c r="G91" s="227"/>
      <c r="H91" s="227"/>
      <c r="I91" s="227"/>
      <c r="J91" s="227"/>
      <c r="K91" s="227"/>
      <c r="L91" s="227"/>
      <c r="M91" s="227"/>
      <c r="N91" s="227"/>
      <c r="O91" s="227"/>
      <c r="P91" s="227"/>
      <c r="Q91" s="227"/>
      <c r="R91" s="227"/>
      <c r="S91" s="227"/>
      <c r="T91" s="227"/>
      <c r="U91" s="227"/>
      <c r="V91" s="228"/>
    </row>
    <row r="92" spans="1:22" ht="18" hidden="1" customHeight="1">
      <c r="A92" s="184"/>
      <c r="B92" s="854" t="str">
        <f>B49</f>
        <v>T2</v>
      </c>
      <c r="C92" s="831"/>
      <c r="D92" s="855" t="str">
        <f>D49</f>
        <v>Core3</v>
      </c>
      <c r="E92" s="856"/>
      <c r="F92" s="255"/>
      <c r="H92" s="684" t="str">
        <f>H49</f>
        <v>(Metering + Ammeter)</v>
      </c>
      <c r="I92" s="684"/>
      <c r="J92" s="684"/>
      <c r="K92" s="684"/>
      <c r="L92" s="684"/>
      <c r="M92" s="684"/>
      <c r="P92" s="186"/>
      <c r="V92" s="185"/>
    </row>
    <row r="93" spans="1:22" ht="18" hidden="1" customHeight="1">
      <c r="A93" s="184"/>
      <c r="B93" s="853">
        <f>B50</f>
        <v>0</v>
      </c>
      <c r="C93" s="853"/>
      <c r="D93" s="857"/>
      <c r="E93" s="858"/>
      <c r="F93" s="255"/>
      <c r="V93" s="185"/>
    </row>
    <row r="94" spans="1:22" ht="18" hidden="1" customHeight="1">
      <c r="A94" s="184"/>
      <c r="H94" s="708" t="s">
        <v>390</v>
      </c>
      <c r="I94" s="708"/>
      <c r="J94" s="708" t="s">
        <v>391</v>
      </c>
      <c r="K94" s="708"/>
      <c r="L94" s="789" t="s">
        <v>392</v>
      </c>
      <c r="M94" s="789"/>
      <c r="V94" s="185"/>
    </row>
    <row r="95" spans="1:22" ht="18" hidden="1" customHeight="1">
      <c r="A95" s="184"/>
      <c r="B95" s="47" t="s">
        <v>393</v>
      </c>
      <c r="H95" s="854">
        <f>H52</f>
        <v>2800</v>
      </c>
      <c r="I95" s="831"/>
      <c r="J95" s="854">
        <f>J52</f>
        <v>3200</v>
      </c>
      <c r="K95" s="831"/>
      <c r="L95" s="863" t="str">
        <f>L52</f>
        <v>-</v>
      </c>
      <c r="M95" s="864"/>
      <c r="N95" s="191" t="s">
        <v>342</v>
      </c>
      <c r="O95" s="256">
        <f>O52</f>
        <v>1</v>
      </c>
      <c r="P95" s="27" t="s">
        <v>8</v>
      </c>
      <c r="V95" s="185"/>
    </row>
    <row r="96" spans="1:22" ht="18" hidden="1" customHeight="1">
      <c r="A96" s="184"/>
      <c r="B96" s="47" t="s">
        <v>394</v>
      </c>
      <c r="H96" s="14"/>
      <c r="I96" s="14"/>
      <c r="K96" s="14"/>
      <c r="L96" s="854" t="str">
        <f>J53</f>
        <v>0.5FS5</v>
      </c>
      <c r="M96" s="831"/>
      <c r="N96" s="14"/>
      <c r="V96" s="185"/>
    </row>
    <row r="97" spans="1:23" ht="18" hidden="1" customHeight="1">
      <c r="A97" s="184"/>
      <c r="B97" s="47" t="s">
        <v>396</v>
      </c>
      <c r="I97" s="120"/>
      <c r="K97" s="120" t="s">
        <v>497</v>
      </c>
      <c r="L97" s="781" t="s">
        <v>6</v>
      </c>
      <c r="M97" s="782"/>
      <c r="N97" s="192" t="s">
        <v>333</v>
      </c>
      <c r="T97" s="295"/>
      <c r="U97" s="18"/>
      <c r="V97" s="185"/>
    </row>
    <row r="98" spans="1:23" ht="18" hidden="1" customHeight="1">
      <c r="A98" s="184"/>
      <c r="B98" s="30" t="s">
        <v>568</v>
      </c>
      <c r="I98" s="120"/>
      <c r="K98" s="120" t="s">
        <v>569</v>
      </c>
      <c r="L98" s="781" t="s">
        <v>6</v>
      </c>
      <c r="M98" s="782"/>
      <c r="T98" s="295"/>
      <c r="U98" s="18"/>
      <c r="V98" s="185"/>
      <c r="W98" s="30" t="e">
        <f>J127</f>
        <v>#VALUE!</v>
      </c>
    </row>
    <row r="99" spans="1:23" ht="18" hidden="1" customHeight="1">
      <c r="A99" s="184"/>
      <c r="B99" s="47" t="s">
        <v>562</v>
      </c>
      <c r="I99" s="120"/>
      <c r="K99" s="120" t="s">
        <v>493</v>
      </c>
      <c r="L99" s="781" t="s">
        <v>6</v>
      </c>
      <c r="M99" s="782"/>
      <c r="N99" s="14" t="s">
        <v>157</v>
      </c>
      <c r="T99" s="295"/>
      <c r="U99" s="18"/>
      <c r="V99" s="185"/>
    </row>
    <row r="100" spans="1:23" ht="18" hidden="1" customHeight="1">
      <c r="A100" s="184"/>
      <c r="V100" s="185"/>
    </row>
    <row r="101" spans="1:23" ht="18" hidden="1" customHeight="1">
      <c r="A101" s="193" t="s">
        <v>404</v>
      </c>
      <c r="V101" s="185"/>
    </row>
    <row r="102" spans="1:23" ht="18" hidden="1" customHeight="1">
      <c r="A102" s="184"/>
      <c r="V102" s="185"/>
    </row>
    <row r="103" spans="1:23" ht="18" hidden="1" customHeight="1">
      <c r="A103" s="184"/>
      <c r="B103" s="135" t="s">
        <v>405</v>
      </c>
      <c r="C103" s="273"/>
      <c r="D103" s="139" t="str">
        <f>D60</f>
        <v>REC670</v>
      </c>
      <c r="E103" s="227"/>
      <c r="F103" s="227"/>
      <c r="G103" s="227"/>
      <c r="H103" s="138"/>
      <c r="I103" s="260" t="s">
        <v>127</v>
      </c>
      <c r="J103" s="722">
        <f t="shared" ref="J103:J108" si="1">J60</f>
        <v>0.02</v>
      </c>
      <c r="K103" s="958"/>
      <c r="L103" s="3" t="s">
        <v>157</v>
      </c>
      <c r="N103" s="197" t="s">
        <v>510</v>
      </c>
      <c r="V103" s="185"/>
    </row>
    <row r="104" spans="1:23" ht="18" hidden="1" customHeight="1">
      <c r="A104" s="184"/>
      <c r="B104" s="96" t="s">
        <v>405</v>
      </c>
      <c r="D104" s="296" t="str">
        <f>D61</f>
        <v>CP-L96A</v>
      </c>
      <c r="I104" s="177" t="s">
        <v>127</v>
      </c>
      <c r="J104" s="1119">
        <f t="shared" si="1"/>
        <v>1</v>
      </c>
      <c r="K104" s="989"/>
      <c r="L104" s="198" t="s">
        <v>157</v>
      </c>
      <c r="P104" s="244"/>
      <c r="V104" s="185"/>
    </row>
    <row r="105" spans="1:23" ht="18" hidden="1" customHeight="1">
      <c r="A105" s="184"/>
      <c r="B105" s="96" t="s">
        <v>405</v>
      </c>
      <c r="C105" s="14"/>
      <c r="D105" s="47" t="str">
        <f>D62</f>
        <v>IDM+</v>
      </c>
      <c r="E105" s="14"/>
      <c r="G105" s="199"/>
      <c r="H105" s="27"/>
      <c r="I105" s="101" t="s">
        <v>127</v>
      </c>
      <c r="J105" s="696">
        <f t="shared" si="1"/>
        <v>5.8000000000000003E-2</v>
      </c>
      <c r="K105" s="820"/>
      <c r="L105" s="202" t="s">
        <v>157</v>
      </c>
      <c r="N105" s="120" t="s">
        <v>491</v>
      </c>
      <c r="O105" s="27" t="s">
        <v>127</v>
      </c>
      <c r="P105" s="27" t="s">
        <v>511</v>
      </c>
      <c r="Q105" s="27" t="s">
        <v>315</v>
      </c>
      <c r="R105" s="27" t="s">
        <v>511</v>
      </c>
      <c r="S105" s="27" t="s">
        <v>315</v>
      </c>
      <c r="T105" s="27" t="s">
        <v>420</v>
      </c>
      <c r="V105" s="185"/>
    </row>
    <row r="106" spans="1:23" ht="18" hidden="1" customHeight="1">
      <c r="A106" s="184"/>
      <c r="B106" s="96" t="s">
        <v>405</v>
      </c>
      <c r="C106" s="14"/>
      <c r="D106" s="47">
        <f>T10</f>
        <v>0</v>
      </c>
      <c r="E106" s="14"/>
      <c r="G106" s="199"/>
      <c r="H106" s="27"/>
      <c r="I106" s="101" t="s">
        <v>127</v>
      </c>
      <c r="J106" s="696">
        <f t="shared" si="1"/>
        <v>0</v>
      </c>
      <c r="K106" s="820"/>
      <c r="L106" s="202" t="s">
        <v>157</v>
      </c>
      <c r="O106" s="27" t="s">
        <v>127</v>
      </c>
      <c r="P106" s="27">
        <f>O95</f>
        <v>1</v>
      </c>
      <c r="Q106" s="27" t="s">
        <v>315</v>
      </c>
      <c r="R106" s="27">
        <f>O95</f>
        <v>1</v>
      </c>
      <c r="S106" s="27" t="s">
        <v>315</v>
      </c>
      <c r="T106" s="27" t="str">
        <f>L97</f>
        <v>-</v>
      </c>
      <c r="V106" s="185"/>
    </row>
    <row r="107" spans="1:23" ht="18" hidden="1" customHeight="1">
      <c r="A107" s="184"/>
      <c r="B107" s="184" t="s">
        <v>412</v>
      </c>
      <c r="C107" s="14"/>
      <c r="D107" s="47"/>
      <c r="E107" s="14"/>
      <c r="H107" s="27"/>
      <c r="I107" s="101" t="s">
        <v>127</v>
      </c>
      <c r="J107" s="1120">
        <f t="shared" si="1"/>
        <v>1.4360299200000002</v>
      </c>
      <c r="K107" s="987"/>
      <c r="L107" s="297" t="s">
        <v>157</v>
      </c>
      <c r="O107" s="27" t="s">
        <v>127</v>
      </c>
      <c r="P107" s="795" t="e">
        <f>P106*R106*T106</f>
        <v>#VALUE!</v>
      </c>
      <c r="Q107" s="684"/>
      <c r="R107" s="27" t="s">
        <v>157</v>
      </c>
      <c r="S107" s="27"/>
      <c r="T107" s="27"/>
      <c r="V107" s="185"/>
    </row>
    <row r="108" spans="1:23" ht="18" hidden="1" customHeight="1">
      <c r="A108" s="184"/>
      <c r="B108" s="1" t="s">
        <v>413</v>
      </c>
      <c r="C108" s="2"/>
      <c r="D108" s="2"/>
      <c r="E108" s="2"/>
      <c r="F108" s="196"/>
      <c r="G108" s="196"/>
      <c r="H108" s="224" t="s">
        <v>512</v>
      </c>
      <c r="I108" s="183" t="s">
        <v>127</v>
      </c>
      <c r="J108" s="766">
        <f t="shared" si="1"/>
        <v>2.5140299200000005</v>
      </c>
      <c r="K108" s="958"/>
      <c r="L108" s="3" t="s">
        <v>157</v>
      </c>
      <c r="O108" s="27"/>
      <c r="P108" s="211"/>
      <c r="Q108" s="211"/>
      <c r="R108" s="192"/>
      <c r="V108" s="185"/>
    </row>
    <row r="109" spans="1:23" ht="18" hidden="1" customHeight="1">
      <c r="A109" s="184"/>
      <c r="V109" s="185"/>
    </row>
    <row r="110" spans="1:23" ht="18" hidden="1" customHeight="1">
      <c r="A110" s="184"/>
      <c r="B110" s="47"/>
      <c r="C110" s="47" t="s">
        <v>579</v>
      </c>
      <c r="D110" s="47"/>
      <c r="E110" s="47"/>
      <c r="H110" s="27"/>
      <c r="I110" s="28"/>
      <c r="J110" s="199"/>
      <c r="L110" s="47"/>
      <c r="O110" s="27"/>
      <c r="P110" s="211"/>
      <c r="Q110" s="305" t="s">
        <v>580</v>
      </c>
      <c r="R110" s="102" t="s">
        <v>127</v>
      </c>
      <c r="S110" s="775">
        <f>S74</f>
        <v>25</v>
      </c>
      <c r="T110" s="776"/>
      <c r="V110" s="185"/>
    </row>
    <row r="111" spans="1:23" ht="18" hidden="1" customHeight="1">
      <c r="A111" s="184"/>
      <c r="B111" s="47"/>
      <c r="C111" s="47"/>
      <c r="D111" s="47"/>
      <c r="E111" s="47"/>
      <c r="H111" s="27"/>
      <c r="I111" s="28"/>
      <c r="J111" s="199"/>
      <c r="L111" s="47"/>
      <c r="O111" s="27"/>
      <c r="P111" s="211"/>
      <c r="Q111" s="211"/>
      <c r="R111" s="192"/>
      <c r="V111" s="185"/>
    </row>
    <row r="112" spans="1:23" ht="18" hidden="1" customHeight="1">
      <c r="A112" s="184"/>
      <c r="B112" s="47"/>
      <c r="C112" s="47" t="s">
        <v>581</v>
      </c>
      <c r="D112" s="47"/>
      <c r="E112" s="47"/>
      <c r="H112" s="27"/>
      <c r="I112" s="28" t="s">
        <v>127</v>
      </c>
      <c r="J112" s="281" t="s">
        <v>588</v>
      </c>
      <c r="L112" s="47"/>
      <c r="M112" s="28" t="s">
        <v>347</v>
      </c>
      <c r="N112" s="14" t="s">
        <v>589</v>
      </c>
      <c r="O112" s="27"/>
      <c r="P112" s="211"/>
      <c r="Q112" s="211"/>
      <c r="R112" s="192"/>
      <c r="V112" s="185"/>
    </row>
    <row r="113" spans="1:22" ht="18" hidden="1" customHeight="1">
      <c r="A113" s="184"/>
      <c r="I113" s="28" t="s">
        <v>127</v>
      </c>
      <c r="J113" s="795" t="e">
        <f>P107</f>
        <v>#VALUE!</v>
      </c>
      <c r="K113" s="684"/>
      <c r="L113" s="28" t="s">
        <v>347</v>
      </c>
      <c r="M113" s="795">
        <f>J108</f>
        <v>2.5140299200000005</v>
      </c>
      <c r="N113" s="684"/>
      <c r="V113" s="185"/>
    </row>
    <row r="114" spans="1:22" ht="18" hidden="1" customHeight="1">
      <c r="A114" s="184"/>
      <c r="I114" s="28" t="s">
        <v>127</v>
      </c>
      <c r="J114" s="795" t="e">
        <f>J113+M113</f>
        <v>#VALUE!</v>
      </c>
      <c r="K114" s="684"/>
      <c r="V114" s="185"/>
    </row>
    <row r="115" spans="1:22" ht="18" hidden="1" customHeight="1">
      <c r="A115" s="184"/>
      <c r="V115" s="185"/>
    </row>
    <row r="116" spans="1:22" ht="18" hidden="1" customHeight="1">
      <c r="A116" s="184"/>
      <c r="F116" s="244"/>
      <c r="H116" s="120" t="s">
        <v>105</v>
      </c>
      <c r="I116" s="27" t="s">
        <v>127</v>
      </c>
      <c r="J116" s="27" t="s">
        <v>569</v>
      </c>
      <c r="K116" s="27" t="s">
        <v>554</v>
      </c>
      <c r="L116" s="120" t="s">
        <v>491</v>
      </c>
      <c r="M116" s="28" t="s">
        <v>347</v>
      </c>
      <c r="N116" s="120" t="s">
        <v>493</v>
      </c>
      <c r="O116" s="28" t="s">
        <v>539</v>
      </c>
      <c r="P116" s="120" t="s">
        <v>491</v>
      </c>
      <c r="Q116" s="28" t="s">
        <v>347</v>
      </c>
      <c r="R116" s="120" t="s">
        <v>512</v>
      </c>
      <c r="S116" s="296" t="s">
        <v>350</v>
      </c>
      <c r="V116" s="185"/>
    </row>
    <row r="117" spans="1:22" ht="18" hidden="1" customHeight="1">
      <c r="A117" s="184"/>
      <c r="I117" s="27" t="s">
        <v>127</v>
      </c>
      <c r="J117" s="245" t="str">
        <f>L98</f>
        <v>-</v>
      </c>
      <c r="K117" s="245" t="s">
        <v>554</v>
      </c>
      <c r="L117" s="301" t="e">
        <f>P107</f>
        <v>#VALUE!</v>
      </c>
      <c r="M117" s="245" t="s">
        <v>347</v>
      </c>
      <c r="N117" s="242" t="str">
        <f>L99</f>
        <v>-</v>
      </c>
      <c r="O117" s="245" t="s">
        <v>539</v>
      </c>
      <c r="P117" s="301" t="e">
        <f>P107</f>
        <v>#VALUE!</v>
      </c>
      <c r="Q117" s="245" t="s">
        <v>347</v>
      </c>
      <c r="R117" s="301">
        <f>J108</f>
        <v>2.5140299200000005</v>
      </c>
      <c r="S117" s="296" t="s">
        <v>350</v>
      </c>
      <c r="V117" s="185"/>
    </row>
    <row r="118" spans="1:22" ht="18" hidden="1" customHeight="1">
      <c r="A118" s="184"/>
      <c r="I118" s="27" t="s">
        <v>127</v>
      </c>
      <c r="J118" s="1111" t="e">
        <f>J117*((L117+N117)/(P117+R117))</f>
        <v>#VALUE!</v>
      </c>
      <c r="K118" s="1111"/>
      <c r="L118" s="242"/>
      <c r="M118" s="242"/>
      <c r="N118" s="242"/>
      <c r="O118" s="242"/>
      <c r="P118" s="242"/>
      <c r="Q118" s="242"/>
      <c r="R118" s="242"/>
      <c r="V118" s="185"/>
    </row>
    <row r="119" spans="1:22" ht="18" hidden="1" customHeight="1">
      <c r="A119" s="184"/>
      <c r="I119" s="28"/>
      <c r="J119" s="211"/>
      <c r="K119" s="27"/>
      <c r="V119" s="185"/>
    </row>
    <row r="120" spans="1:22" ht="18" hidden="1" customHeight="1">
      <c r="A120" s="96" t="s">
        <v>584</v>
      </c>
      <c r="I120" s="28"/>
      <c r="J120" s="211"/>
      <c r="K120" s="27"/>
      <c r="V120" s="185"/>
    </row>
    <row r="121" spans="1:22" ht="18" hidden="1" customHeight="1">
      <c r="A121" s="184"/>
      <c r="B121" s="28">
        <v>1</v>
      </c>
      <c r="D121" s="14"/>
      <c r="H121" s="120" t="s">
        <v>492</v>
      </c>
      <c r="I121" s="28" t="s">
        <v>476</v>
      </c>
      <c r="J121" s="47" t="s">
        <v>104</v>
      </c>
      <c r="S121" s="14" t="s">
        <v>585</v>
      </c>
      <c r="V121" s="185"/>
    </row>
    <row r="122" spans="1:22" ht="18" hidden="1" customHeight="1">
      <c r="A122" s="184"/>
      <c r="G122" s="684" t="str">
        <f>L99</f>
        <v>-</v>
      </c>
      <c r="H122" s="684"/>
      <c r="I122" s="27" t="e">
        <f>IF(G122&gt;J122,"&gt;","&lt;")</f>
        <v>#VALUE!</v>
      </c>
      <c r="J122" s="795" t="e">
        <f>J114</f>
        <v>#VALUE!</v>
      </c>
      <c r="K122" s="684"/>
      <c r="S122" s="186" t="e">
        <f>IF(G122&gt;J122,"Satisfied","Not satisfied")</f>
        <v>#VALUE!</v>
      </c>
      <c r="V122" s="185"/>
    </row>
    <row r="123" spans="1:22" ht="18" hidden="1" customHeight="1">
      <c r="A123" s="184"/>
      <c r="D123" s="14"/>
      <c r="H123" s="120"/>
      <c r="I123" s="27"/>
      <c r="R123" s="14"/>
      <c r="V123" s="185"/>
    </row>
    <row r="124" spans="1:22" ht="18" hidden="1" customHeight="1">
      <c r="A124" s="184"/>
      <c r="B124" s="28">
        <v>2</v>
      </c>
      <c r="D124" s="14"/>
      <c r="H124" s="244" t="s">
        <v>586</v>
      </c>
      <c r="I124" s="28" t="s">
        <v>476</v>
      </c>
      <c r="J124" s="14" t="s">
        <v>105</v>
      </c>
      <c r="K124" s="14"/>
      <c r="S124" s="14" t="s">
        <v>587</v>
      </c>
      <c r="V124" s="185"/>
    </row>
    <row r="125" spans="1:22" ht="18" hidden="1" customHeight="1">
      <c r="A125" s="184"/>
      <c r="D125" s="14"/>
      <c r="G125" s="795">
        <f>S110</f>
        <v>25</v>
      </c>
      <c r="H125" s="795"/>
      <c r="I125" s="27" t="e">
        <f>IF(G125&gt;J125,"&gt;","&lt;")</f>
        <v>#VALUE!</v>
      </c>
      <c r="J125" s="795" t="e">
        <f>J118</f>
        <v>#VALUE!</v>
      </c>
      <c r="K125" s="795"/>
      <c r="R125" s="14"/>
      <c r="S125" s="186" t="e">
        <f>IF(G125&gt;J125,"Satisfied","Not satisfied")</f>
        <v>#VALUE!</v>
      </c>
      <c r="V125" s="185"/>
    </row>
    <row r="126" spans="1:22" ht="18" hidden="1" customHeight="1">
      <c r="A126" s="184"/>
      <c r="D126" s="47"/>
      <c r="I126" s="27"/>
      <c r="O126" s="27"/>
      <c r="P126" s="211"/>
      <c r="Q126" s="211"/>
      <c r="R126" s="192"/>
      <c r="V126" s="185"/>
    </row>
    <row r="127" spans="1:22" ht="18" hidden="1" customHeight="1">
      <c r="A127" s="184"/>
      <c r="D127" s="47"/>
      <c r="H127" s="244" t="s">
        <v>478</v>
      </c>
      <c r="J127" s="18" t="e">
        <f>IF(AND(I122="&gt;",I125="&gt;")=TRUE,"Suitably Dimentioned","Not suitable")</f>
        <v>#VALUE!</v>
      </c>
      <c r="O127" s="27"/>
      <c r="P127" s="211"/>
      <c r="Q127" s="211"/>
      <c r="R127" s="192"/>
      <c r="V127" s="185"/>
    </row>
    <row r="128" spans="1:22" ht="18" hidden="1" customHeight="1">
      <c r="A128" s="184"/>
      <c r="D128" s="47"/>
      <c r="H128" s="244"/>
      <c r="J128" s="18"/>
      <c r="O128" s="27"/>
      <c r="P128" s="211"/>
      <c r="Q128" s="211"/>
      <c r="R128" s="192"/>
      <c r="V128" s="185"/>
    </row>
    <row r="129" spans="1:22" ht="18" hidden="1" customHeight="1">
      <c r="A129" s="184"/>
      <c r="D129" s="47"/>
      <c r="H129" s="244"/>
      <c r="J129" s="18"/>
      <c r="O129" s="27"/>
      <c r="P129" s="211"/>
      <c r="Q129" s="211"/>
      <c r="R129" s="192"/>
      <c r="V129" s="185"/>
    </row>
    <row r="130" spans="1:22" ht="18" hidden="1" customHeight="1">
      <c r="A130" s="184"/>
      <c r="D130" s="47"/>
      <c r="H130" s="244"/>
      <c r="J130" s="18"/>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B133" s="47"/>
      <c r="C133" s="47"/>
      <c r="D133" s="47"/>
      <c r="E133" s="47"/>
      <c r="H133" s="27"/>
      <c r="I133" s="28"/>
      <c r="J133" s="199"/>
      <c r="L133" s="47"/>
      <c r="O133" s="27"/>
      <c r="P133" s="211"/>
      <c r="Q133" s="211"/>
      <c r="R133" s="192"/>
      <c r="V133" s="185"/>
    </row>
    <row r="134" spans="1:22" s="14" customFormat="1" ht="18" hidden="1" customHeight="1">
      <c r="A134" s="194"/>
      <c r="B134" s="195"/>
      <c r="C134" s="195"/>
      <c r="D134" s="195"/>
      <c r="E134" s="195"/>
      <c r="F134" s="195"/>
      <c r="G134" s="195"/>
      <c r="H134" s="195"/>
      <c r="I134" s="195"/>
      <c r="J134" s="195"/>
      <c r="K134" s="195"/>
      <c r="L134" s="195"/>
      <c r="M134" s="195"/>
      <c r="N134" s="195"/>
      <c r="O134" s="195"/>
      <c r="P134" s="195"/>
      <c r="Q134" s="224"/>
      <c r="R134" s="182"/>
      <c r="S134" s="225"/>
      <c r="T134" s="195"/>
      <c r="U134" s="195"/>
      <c r="V134" s="134" t="s">
        <v>552</v>
      </c>
    </row>
    <row r="135" spans="1:22" ht="18" hidden="1" customHeight="1">
      <c r="A135" s="226"/>
      <c r="B135" s="227"/>
      <c r="C135" s="227"/>
      <c r="D135" s="227"/>
      <c r="E135" s="227"/>
      <c r="F135" s="227"/>
      <c r="G135" s="227"/>
      <c r="H135" s="227"/>
      <c r="I135" s="227"/>
      <c r="J135" s="227"/>
      <c r="K135" s="227"/>
      <c r="L135" s="227"/>
      <c r="M135" s="227"/>
      <c r="N135" s="227"/>
      <c r="O135" s="227"/>
      <c r="P135" s="227"/>
      <c r="Q135" s="227"/>
      <c r="R135" s="227"/>
      <c r="S135" s="227"/>
      <c r="T135" s="227"/>
      <c r="U135" s="227"/>
      <c r="V135" s="228"/>
    </row>
    <row r="136" spans="1:22" ht="18" customHeight="1">
      <c r="A136" s="262" t="s">
        <v>532</v>
      </c>
      <c r="B136" s="14"/>
      <c r="C136" s="14"/>
      <c r="D136" s="120"/>
      <c r="E136" s="120"/>
      <c r="F136" s="18"/>
      <c r="G136" s="18"/>
      <c r="H136" s="14"/>
      <c r="I136" s="14"/>
      <c r="J136" s="14"/>
      <c r="K136" s="14"/>
      <c r="L136" s="14"/>
      <c r="M136" s="14"/>
      <c r="N136" s="14"/>
      <c r="O136" s="14"/>
      <c r="P136" s="28"/>
      <c r="Q136" s="120"/>
      <c r="R136" s="47"/>
      <c r="S136" s="206"/>
      <c r="T136" s="259"/>
      <c r="U136" s="14"/>
      <c r="V136" s="97"/>
    </row>
    <row r="137" spans="1:22" ht="18" customHeight="1">
      <c r="A137" s="955" t="s">
        <v>85</v>
      </c>
      <c r="B137" s="956"/>
      <c r="C137" s="957"/>
      <c r="D137" s="955" t="s">
        <v>86</v>
      </c>
      <c r="E137" s="956"/>
      <c r="F137" s="957"/>
      <c r="G137" s="955" t="s">
        <v>87</v>
      </c>
      <c r="H137" s="957"/>
      <c r="I137" s="955" t="s">
        <v>88</v>
      </c>
      <c r="J137" s="957"/>
      <c r="K137" s="955" t="s">
        <v>502</v>
      </c>
      <c r="L137" s="957"/>
      <c r="M137" s="955" t="s">
        <v>102</v>
      </c>
      <c r="N137" s="957"/>
      <c r="O137" s="955"/>
      <c r="P137" s="957"/>
      <c r="Q137" s="955" t="s">
        <v>505</v>
      </c>
      <c r="R137" s="957"/>
      <c r="S137" s="955" t="s">
        <v>93</v>
      </c>
      <c r="T137" s="956"/>
      <c r="U137" s="956"/>
      <c r="V137" s="957"/>
    </row>
    <row r="138" spans="1:22" ht="18" customHeight="1">
      <c r="A138" s="1125"/>
      <c r="B138" s="983"/>
      <c r="C138" s="1126"/>
      <c r="D138" s="1125"/>
      <c r="E138" s="983"/>
      <c r="F138" s="1126"/>
      <c r="G138" s="1125"/>
      <c r="H138" s="1126"/>
      <c r="I138" s="1125"/>
      <c r="J138" s="1126"/>
      <c r="K138" s="1125"/>
      <c r="L138" s="1126"/>
      <c r="M138" s="1125"/>
      <c r="N138" s="1126"/>
      <c r="O138" s="1125"/>
      <c r="P138" s="1126"/>
      <c r="Q138" s="1125"/>
      <c r="R138" s="1126"/>
      <c r="S138" s="1125"/>
      <c r="T138" s="983"/>
      <c r="U138" s="983"/>
      <c r="V138" s="1126"/>
    </row>
    <row r="139" spans="1:22" ht="18" customHeight="1">
      <c r="A139" s="1125"/>
      <c r="B139" s="983"/>
      <c r="C139" s="1126"/>
      <c r="D139" s="1125"/>
      <c r="E139" s="983"/>
      <c r="F139" s="1126"/>
      <c r="G139" s="1125"/>
      <c r="H139" s="1126"/>
      <c r="I139" s="1125"/>
      <c r="J139" s="1126"/>
      <c r="K139" s="1125"/>
      <c r="L139" s="1126"/>
      <c r="M139" s="1125"/>
      <c r="N139" s="1126"/>
      <c r="O139" s="1125"/>
      <c r="P139" s="1126"/>
      <c r="Q139" s="1125"/>
      <c r="R139" s="1126"/>
      <c r="S139" s="1125"/>
      <c r="T139" s="983"/>
      <c r="U139" s="983"/>
      <c r="V139" s="1126"/>
    </row>
    <row r="140" spans="1:22" ht="18" customHeight="1">
      <c r="A140" s="1047"/>
      <c r="B140" s="1048"/>
      <c r="C140" s="1049"/>
      <c r="D140" s="1047"/>
      <c r="E140" s="1048"/>
      <c r="F140" s="1049"/>
      <c r="G140" s="1047"/>
      <c r="H140" s="1049"/>
      <c r="I140" s="1047"/>
      <c r="J140" s="1049"/>
      <c r="K140" s="1047"/>
      <c r="L140" s="1049"/>
      <c r="M140" s="1047"/>
      <c r="N140" s="1049"/>
      <c r="O140" s="1047"/>
      <c r="P140" s="1049"/>
      <c r="Q140" s="1047"/>
      <c r="R140" s="1049"/>
      <c r="S140" s="1047"/>
      <c r="T140" s="1048"/>
      <c r="U140" s="1048"/>
      <c r="V140" s="1049"/>
    </row>
    <row r="141" spans="1:22" ht="18" customHeight="1">
      <c r="A141" s="765" t="str">
        <f>B92</f>
        <v>T2</v>
      </c>
      <c r="B141" s="765" t="str">
        <f>D92</f>
        <v>Core3</v>
      </c>
      <c r="C141" s="765"/>
      <c r="D141" s="870">
        <f>H95</f>
        <v>2800</v>
      </c>
      <c r="E141" s="870"/>
      <c r="F141" s="871">
        <f>O95</f>
        <v>1</v>
      </c>
      <c r="G141" s="961">
        <f>'CT-VT Burdens'!S21</f>
        <v>120</v>
      </c>
      <c r="H141" s="959">
        <f>'CT-VT Burdens'!S10</f>
        <v>6</v>
      </c>
      <c r="I141" s="874" t="str">
        <f>L96</f>
        <v>0.5FS5</v>
      </c>
      <c r="J141" s="874"/>
      <c r="K141" s="869">
        <f>H12</f>
        <v>4</v>
      </c>
      <c r="L141" s="869"/>
      <c r="M141" s="869">
        <f>H14</f>
        <v>25</v>
      </c>
      <c r="N141" s="869"/>
      <c r="O141" s="870" t="s">
        <v>6</v>
      </c>
      <c r="P141" s="870"/>
      <c r="Q141" s="879" t="str">
        <f>CONCATENATE(T7," ",T8," ",T9," ",T10)</f>
        <v xml:space="preserve">REC670 CP-L96A IDM+ </v>
      </c>
      <c r="R141" s="879"/>
      <c r="S141" s="878" t="str">
        <f>J46</f>
        <v>Suitably Dimensioned</v>
      </c>
      <c r="T141" s="878"/>
      <c r="U141" s="878"/>
      <c r="V141" s="878"/>
    </row>
    <row r="142" spans="1:22" ht="18" customHeight="1">
      <c r="A142" s="765"/>
      <c r="B142" s="765"/>
      <c r="C142" s="765"/>
      <c r="D142" s="870">
        <f>J95</f>
        <v>3200</v>
      </c>
      <c r="E142" s="870"/>
      <c r="F142" s="872"/>
      <c r="G142" s="961"/>
      <c r="H142" s="959"/>
      <c r="I142" s="874"/>
      <c r="J142" s="874"/>
      <c r="K142" s="875">
        <f>J54</f>
        <v>5</v>
      </c>
      <c r="L142" s="869"/>
      <c r="M142" s="875">
        <f>J56</f>
        <v>30</v>
      </c>
      <c r="N142" s="869"/>
      <c r="O142" s="870" t="s">
        <v>6</v>
      </c>
      <c r="P142" s="870"/>
      <c r="Q142" s="879"/>
      <c r="R142" s="879"/>
      <c r="S142" s="877" t="str">
        <f>J87</f>
        <v>Suitably Dimensioned</v>
      </c>
      <c r="T142" s="878"/>
      <c r="U142" s="878"/>
      <c r="V142" s="878"/>
    </row>
    <row r="143" spans="1:22" ht="18" customHeight="1">
      <c r="A143" s="765"/>
      <c r="B143" s="765"/>
      <c r="C143" s="765"/>
      <c r="D143" s="870" t="s">
        <v>6</v>
      </c>
      <c r="E143" s="870"/>
      <c r="F143" s="873"/>
      <c r="G143" s="961"/>
      <c r="H143" s="959"/>
      <c r="I143" s="874"/>
      <c r="J143" s="874"/>
      <c r="K143" s="869" t="s">
        <v>6</v>
      </c>
      <c r="L143" s="869"/>
      <c r="M143" s="869" t="s">
        <v>6</v>
      </c>
      <c r="N143" s="869"/>
      <c r="O143" s="870" t="s">
        <v>6</v>
      </c>
      <c r="P143" s="870"/>
      <c r="Q143" s="879"/>
      <c r="R143" s="879"/>
      <c r="S143" s="878" t="s">
        <v>6</v>
      </c>
      <c r="T143" s="878"/>
      <c r="U143" s="878"/>
      <c r="V143" s="878"/>
    </row>
    <row r="144" spans="1:22" ht="18" customHeight="1">
      <c r="A144" s="265"/>
      <c r="B144" s="239"/>
      <c r="C144" s="239"/>
      <c r="D144" s="239"/>
      <c r="E144" s="239"/>
      <c r="F144" s="239"/>
      <c r="G144" s="239"/>
      <c r="H144" s="239"/>
      <c r="I144" s="239"/>
      <c r="J144" s="93"/>
      <c r="K144" s="93"/>
      <c r="L144" s="239"/>
      <c r="M144" s="239"/>
      <c r="N144" s="239"/>
      <c r="O144" s="239"/>
      <c r="P144" s="239"/>
      <c r="Q144" s="239"/>
      <c r="R144" s="239"/>
      <c r="S144" s="239"/>
      <c r="T144" s="239"/>
      <c r="U144" s="103"/>
      <c r="V144" s="310"/>
    </row>
    <row r="145" spans="1:22" ht="18" customHeight="1">
      <c r="A145" s="265"/>
      <c r="B145" s="239"/>
      <c r="C145" s="239"/>
      <c r="D145" s="239"/>
      <c r="E145" s="239"/>
      <c r="F145" s="239"/>
      <c r="G145" s="239"/>
      <c r="H145" s="239"/>
      <c r="I145" s="239"/>
      <c r="J145" s="93"/>
      <c r="K145" s="93"/>
      <c r="L145" s="239"/>
      <c r="M145" s="239"/>
      <c r="N145" s="239"/>
      <c r="O145" s="239"/>
      <c r="P145" s="239"/>
      <c r="Q145" s="239"/>
      <c r="R145" s="239"/>
      <c r="S145" s="239"/>
      <c r="T145" s="239"/>
      <c r="U145" s="103"/>
      <c r="V145" s="310"/>
    </row>
    <row r="146" spans="1:22" ht="18" customHeight="1">
      <c r="A146" s="265"/>
      <c r="B146" s="239"/>
      <c r="C146" s="239"/>
      <c r="D146" s="239"/>
      <c r="E146" s="239"/>
      <c r="F146" s="239"/>
      <c r="G146" s="239"/>
      <c r="H146" s="239"/>
      <c r="I146" s="239"/>
      <c r="J146" s="93"/>
      <c r="K146" s="93"/>
      <c r="L146" s="239"/>
      <c r="M146" s="239"/>
      <c r="N146" s="239"/>
      <c r="O146" s="239"/>
      <c r="P146" s="239"/>
      <c r="Q146" s="239"/>
      <c r="R146" s="239"/>
      <c r="S146" s="239"/>
      <c r="T146" s="239"/>
      <c r="U146" s="103"/>
      <c r="V146" s="310"/>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184"/>
      <c r="V174" s="185"/>
    </row>
    <row r="175" spans="1:22" s="14" customFormat="1" ht="18" customHeight="1">
      <c r="A175" s="194"/>
      <c r="B175" s="195"/>
      <c r="C175" s="195"/>
      <c r="D175" s="195"/>
      <c r="E175" s="195"/>
      <c r="F175" s="195"/>
      <c r="G175" s="195"/>
      <c r="H175" s="195"/>
      <c r="I175" s="195"/>
      <c r="J175" s="195"/>
      <c r="K175" s="195"/>
      <c r="L175" s="195"/>
      <c r="M175" s="195"/>
      <c r="N175" s="195"/>
      <c r="O175" s="195"/>
      <c r="P175" s="195"/>
      <c r="Q175" s="224"/>
      <c r="R175" s="182"/>
      <c r="S175" s="225"/>
      <c r="T175" s="195"/>
      <c r="U175" s="195"/>
      <c r="V175" s="134"/>
    </row>
  </sheetData>
  <mergeCells count="156">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7"/>
    <mergeCell ref="D7:E7"/>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8:K38"/>
    <mergeCell ref="G42:H42"/>
    <mergeCell ref="J42:K42"/>
    <mergeCell ref="G45:H45"/>
    <mergeCell ref="J45:K45"/>
    <mergeCell ref="B49:C49"/>
    <mergeCell ref="H49:M49"/>
    <mergeCell ref="P27:Q27"/>
    <mergeCell ref="P28:Q28"/>
    <mergeCell ref="P29:Q29"/>
    <mergeCell ref="P30:Q30"/>
    <mergeCell ref="H52:I52"/>
    <mergeCell ref="J52:K52"/>
    <mergeCell ref="L52:M52"/>
    <mergeCell ref="T52:U52"/>
    <mergeCell ref="J53:K53"/>
    <mergeCell ref="J54:K54"/>
    <mergeCell ref="T49:U49"/>
    <mergeCell ref="B50:C50"/>
    <mergeCell ref="T50:U50"/>
    <mergeCell ref="H51:I51"/>
    <mergeCell ref="J51:K51"/>
    <mergeCell ref="L51:M51"/>
    <mergeCell ref="T51:U51"/>
    <mergeCell ref="D49:E49"/>
    <mergeCell ref="J64:K64"/>
    <mergeCell ref="P64:Q64"/>
    <mergeCell ref="J65:K65"/>
    <mergeCell ref="P67:Q67"/>
    <mergeCell ref="P68:Q68"/>
    <mergeCell ref="P69:Q69"/>
    <mergeCell ref="J55:K55"/>
    <mergeCell ref="J56:K56"/>
    <mergeCell ref="J60:K60"/>
    <mergeCell ref="J61:K61"/>
    <mergeCell ref="J62:K62"/>
    <mergeCell ref="J63:K63"/>
    <mergeCell ref="B92:C92"/>
    <mergeCell ref="D92:E93"/>
    <mergeCell ref="H92:M92"/>
    <mergeCell ref="B93:C93"/>
    <mergeCell ref="P70:Q70"/>
    <mergeCell ref="P71:Q71"/>
    <mergeCell ref="P72:Q72"/>
    <mergeCell ref="S74:T74"/>
    <mergeCell ref="J76:K76"/>
    <mergeCell ref="M76:N76"/>
    <mergeCell ref="H94:I94"/>
    <mergeCell ref="J94:K94"/>
    <mergeCell ref="L94:M94"/>
    <mergeCell ref="H95:I95"/>
    <mergeCell ref="J95:K95"/>
    <mergeCell ref="L95:M95"/>
    <mergeCell ref="J80:K80"/>
    <mergeCell ref="G83:H83"/>
    <mergeCell ref="J83:K83"/>
    <mergeCell ref="G86:H86"/>
    <mergeCell ref="J86:K86"/>
    <mergeCell ref="J105:K105"/>
    <mergeCell ref="J106:K106"/>
    <mergeCell ref="J107:K107"/>
    <mergeCell ref="P107:Q107"/>
    <mergeCell ref="J108:K108"/>
    <mergeCell ref="S110:T110"/>
    <mergeCell ref="L96:M96"/>
    <mergeCell ref="L97:M97"/>
    <mergeCell ref="L98:M98"/>
    <mergeCell ref="L99:M99"/>
    <mergeCell ref="J103:K103"/>
    <mergeCell ref="J104:K104"/>
    <mergeCell ref="Q141:R143"/>
    <mergeCell ref="G125:H125"/>
    <mergeCell ref="J125:K125"/>
    <mergeCell ref="A137:C140"/>
    <mergeCell ref="D137:F140"/>
    <mergeCell ref="G137:H140"/>
    <mergeCell ref="I137:J140"/>
    <mergeCell ref="K137:L140"/>
    <mergeCell ref="J113:K113"/>
    <mergeCell ref="M113:N113"/>
    <mergeCell ref="J114:K114"/>
    <mergeCell ref="J118:K118"/>
    <mergeCell ref="G122:H122"/>
    <mergeCell ref="J122:K122"/>
    <mergeCell ref="M137:N140"/>
    <mergeCell ref="S141:V141"/>
    <mergeCell ref="O137:P140"/>
    <mergeCell ref="Q137:R140"/>
    <mergeCell ref="S137:V140"/>
    <mergeCell ref="A141:A143"/>
    <mergeCell ref="B141:C143"/>
    <mergeCell ref="D141:E141"/>
    <mergeCell ref="F141:F143"/>
    <mergeCell ref="G141:G143"/>
    <mergeCell ref="H141:H143"/>
    <mergeCell ref="D142:E142"/>
    <mergeCell ref="K142:L142"/>
    <mergeCell ref="M142:N142"/>
    <mergeCell ref="O142:P142"/>
    <mergeCell ref="S142:V142"/>
    <mergeCell ref="D143:E143"/>
    <mergeCell ref="K143:L143"/>
    <mergeCell ref="M143:N143"/>
    <mergeCell ref="O143:P143"/>
    <mergeCell ref="S143:V143"/>
    <mergeCell ref="I141:J143"/>
    <mergeCell ref="K141:L141"/>
    <mergeCell ref="M141:N141"/>
    <mergeCell ref="O141:P141"/>
  </mergeCells>
  <conditionalFormatting sqref="I46:J46 I87:J89 I126:J132">
    <cfRule type="cellIs" dxfId="50" priority="2" stopIfTrue="1" operator="equal">
      <formula>"Not suitable"</formula>
    </cfRule>
  </conditionalFormatting>
  <conditionalFormatting sqref="S42 S45 S83 S86 S122 S125">
    <cfRule type="cellIs" dxfId="49" priority="1" stopIfTrue="1" operator="equal">
      <formula>"Not satisfied"</formula>
    </cfRule>
  </conditionalFormatting>
  <dataValidations count="2">
    <dataValidation type="list" allowBlank="1" showInputMessage="1" showErrorMessage="1" sqref="WVL983040:WVM983041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6:E65537 IZ65536:JA65537 SV65536:SW65537 ACR65536:ACS65537 AMN65536:AMO65537 AWJ65536:AWK65537 BGF65536:BGG65537 BQB65536:BQC65537 BZX65536:BZY65537 CJT65536:CJU65537 CTP65536:CTQ65537 DDL65536:DDM65537 DNH65536:DNI65537 DXD65536:DXE65537 EGZ65536:EHA65537 EQV65536:EQW65537 FAR65536:FAS65537 FKN65536:FKO65537 FUJ65536:FUK65537 GEF65536:GEG65537 GOB65536:GOC65537 GXX65536:GXY65537 HHT65536:HHU65537 HRP65536:HRQ65537 IBL65536:IBM65537 ILH65536:ILI65537 IVD65536:IVE65537 JEZ65536:JFA65537 JOV65536:JOW65537 JYR65536:JYS65537 KIN65536:KIO65537 KSJ65536:KSK65537 LCF65536:LCG65537 LMB65536:LMC65537 LVX65536:LVY65537 MFT65536:MFU65537 MPP65536:MPQ65537 MZL65536:MZM65537 NJH65536:NJI65537 NTD65536:NTE65537 OCZ65536:ODA65537 OMV65536:OMW65537 OWR65536:OWS65537 PGN65536:PGO65537 PQJ65536:PQK65537 QAF65536:QAG65537 QKB65536:QKC65537 QTX65536:QTY65537 RDT65536:RDU65537 RNP65536:RNQ65537 RXL65536:RXM65537 SHH65536:SHI65537 SRD65536:SRE65537 TAZ65536:TBA65537 TKV65536:TKW65537 TUR65536:TUS65537 UEN65536:UEO65537 UOJ65536:UOK65537 UYF65536:UYG65537 VIB65536:VIC65537 VRX65536:VRY65537 WBT65536:WBU65537 WLP65536:WLQ65537 WVL65536:WVM65537 D131072:E131073 IZ131072:JA131073 SV131072:SW131073 ACR131072:ACS131073 AMN131072:AMO131073 AWJ131072:AWK131073 BGF131072:BGG131073 BQB131072:BQC131073 BZX131072:BZY131073 CJT131072:CJU131073 CTP131072:CTQ131073 DDL131072:DDM131073 DNH131072:DNI131073 DXD131072:DXE131073 EGZ131072:EHA131073 EQV131072:EQW131073 FAR131072:FAS131073 FKN131072:FKO131073 FUJ131072:FUK131073 GEF131072:GEG131073 GOB131072:GOC131073 GXX131072:GXY131073 HHT131072:HHU131073 HRP131072:HRQ131073 IBL131072:IBM131073 ILH131072:ILI131073 IVD131072:IVE131073 JEZ131072:JFA131073 JOV131072:JOW131073 JYR131072:JYS131073 KIN131072:KIO131073 KSJ131072:KSK131073 LCF131072:LCG131073 LMB131072:LMC131073 LVX131072:LVY131073 MFT131072:MFU131073 MPP131072:MPQ131073 MZL131072:MZM131073 NJH131072:NJI131073 NTD131072:NTE131073 OCZ131072:ODA131073 OMV131072:OMW131073 OWR131072:OWS131073 PGN131072:PGO131073 PQJ131072:PQK131073 QAF131072:QAG131073 QKB131072:QKC131073 QTX131072:QTY131073 RDT131072:RDU131073 RNP131072:RNQ131073 RXL131072:RXM131073 SHH131072:SHI131073 SRD131072:SRE131073 TAZ131072:TBA131073 TKV131072:TKW131073 TUR131072:TUS131073 UEN131072:UEO131073 UOJ131072:UOK131073 UYF131072:UYG131073 VIB131072:VIC131073 VRX131072:VRY131073 WBT131072:WBU131073 WLP131072:WLQ131073 WVL131072:WVM131073 D196608:E196609 IZ196608:JA196609 SV196608:SW196609 ACR196608:ACS196609 AMN196608:AMO196609 AWJ196608:AWK196609 BGF196608:BGG196609 BQB196608:BQC196609 BZX196608:BZY196609 CJT196608:CJU196609 CTP196608:CTQ196609 DDL196608:DDM196609 DNH196608:DNI196609 DXD196608:DXE196609 EGZ196608:EHA196609 EQV196608:EQW196609 FAR196608:FAS196609 FKN196608:FKO196609 FUJ196608:FUK196609 GEF196608:GEG196609 GOB196608:GOC196609 GXX196608:GXY196609 HHT196608:HHU196609 HRP196608:HRQ196609 IBL196608:IBM196609 ILH196608:ILI196609 IVD196608:IVE196609 JEZ196608:JFA196609 JOV196608:JOW196609 JYR196608:JYS196609 KIN196608:KIO196609 KSJ196608:KSK196609 LCF196608:LCG196609 LMB196608:LMC196609 LVX196608:LVY196609 MFT196608:MFU196609 MPP196608:MPQ196609 MZL196608:MZM196609 NJH196608:NJI196609 NTD196608:NTE196609 OCZ196608:ODA196609 OMV196608:OMW196609 OWR196608:OWS196609 PGN196608:PGO196609 PQJ196608:PQK196609 QAF196608:QAG196609 QKB196608:QKC196609 QTX196608:QTY196609 RDT196608:RDU196609 RNP196608:RNQ196609 RXL196608:RXM196609 SHH196608:SHI196609 SRD196608:SRE196609 TAZ196608:TBA196609 TKV196608:TKW196609 TUR196608:TUS196609 UEN196608:UEO196609 UOJ196608:UOK196609 UYF196608:UYG196609 VIB196608:VIC196609 VRX196608:VRY196609 WBT196608:WBU196609 WLP196608:WLQ196609 WVL196608:WVM196609 D262144:E262145 IZ262144:JA262145 SV262144:SW262145 ACR262144:ACS262145 AMN262144:AMO262145 AWJ262144:AWK262145 BGF262144:BGG262145 BQB262144:BQC262145 BZX262144:BZY262145 CJT262144:CJU262145 CTP262144:CTQ262145 DDL262144:DDM262145 DNH262144:DNI262145 DXD262144:DXE262145 EGZ262144:EHA262145 EQV262144:EQW262145 FAR262144:FAS262145 FKN262144:FKO262145 FUJ262144:FUK262145 GEF262144:GEG262145 GOB262144:GOC262145 GXX262144:GXY262145 HHT262144:HHU262145 HRP262144:HRQ262145 IBL262144:IBM262145 ILH262144:ILI262145 IVD262144:IVE262145 JEZ262144:JFA262145 JOV262144:JOW262145 JYR262144:JYS262145 KIN262144:KIO262145 KSJ262144:KSK262145 LCF262144:LCG262145 LMB262144:LMC262145 LVX262144:LVY262145 MFT262144:MFU262145 MPP262144:MPQ262145 MZL262144:MZM262145 NJH262144:NJI262145 NTD262144:NTE262145 OCZ262144:ODA262145 OMV262144:OMW262145 OWR262144:OWS262145 PGN262144:PGO262145 PQJ262144:PQK262145 QAF262144:QAG262145 QKB262144:QKC262145 QTX262144:QTY262145 RDT262144:RDU262145 RNP262144:RNQ262145 RXL262144:RXM262145 SHH262144:SHI262145 SRD262144:SRE262145 TAZ262144:TBA262145 TKV262144:TKW262145 TUR262144:TUS262145 UEN262144:UEO262145 UOJ262144:UOK262145 UYF262144:UYG262145 VIB262144:VIC262145 VRX262144:VRY262145 WBT262144:WBU262145 WLP262144:WLQ262145 WVL262144:WVM262145 D327680:E327681 IZ327680:JA327681 SV327680:SW327681 ACR327680:ACS327681 AMN327680:AMO327681 AWJ327680:AWK327681 BGF327680:BGG327681 BQB327680:BQC327681 BZX327680:BZY327681 CJT327680:CJU327681 CTP327680:CTQ327681 DDL327680:DDM327681 DNH327680:DNI327681 DXD327680:DXE327681 EGZ327680:EHA327681 EQV327680:EQW327681 FAR327680:FAS327681 FKN327680:FKO327681 FUJ327680:FUK327681 GEF327680:GEG327681 GOB327680:GOC327681 GXX327680:GXY327681 HHT327680:HHU327681 HRP327680:HRQ327681 IBL327680:IBM327681 ILH327680:ILI327681 IVD327680:IVE327681 JEZ327680:JFA327681 JOV327680:JOW327681 JYR327680:JYS327681 KIN327680:KIO327681 KSJ327680:KSK327681 LCF327680:LCG327681 LMB327680:LMC327681 LVX327680:LVY327681 MFT327680:MFU327681 MPP327680:MPQ327681 MZL327680:MZM327681 NJH327680:NJI327681 NTD327680:NTE327681 OCZ327680:ODA327681 OMV327680:OMW327681 OWR327680:OWS327681 PGN327680:PGO327681 PQJ327680:PQK327681 QAF327680:QAG327681 QKB327680:QKC327681 QTX327680:QTY327681 RDT327680:RDU327681 RNP327680:RNQ327681 RXL327680:RXM327681 SHH327680:SHI327681 SRD327680:SRE327681 TAZ327680:TBA327681 TKV327680:TKW327681 TUR327680:TUS327681 UEN327680:UEO327681 UOJ327680:UOK327681 UYF327680:UYG327681 VIB327680:VIC327681 VRX327680:VRY327681 WBT327680:WBU327681 WLP327680:WLQ327681 WVL327680:WVM327681 D393216:E393217 IZ393216:JA393217 SV393216:SW393217 ACR393216:ACS393217 AMN393216:AMO393217 AWJ393216:AWK393217 BGF393216:BGG393217 BQB393216:BQC393217 BZX393216:BZY393217 CJT393216:CJU393217 CTP393216:CTQ393217 DDL393216:DDM393217 DNH393216:DNI393217 DXD393216:DXE393217 EGZ393216:EHA393217 EQV393216:EQW393217 FAR393216:FAS393217 FKN393216:FKO393217 FUJ393216:FUK393217 GEF393216:GEG393217 GOB393216:GOC393217 GXX393216:GXY393217 HHT393216:HHU393217 HRP393216:HRQ393217 IBL393216:IBM393217 ILH393216:ILI393217 IVD393216:IVE393217 JEZ393216:JFA393217 JOV393216:JOW393217 JYR393216:JYS393217 KIN393216:KIO393217 KSJ393216:KSK393217 LCF393216:LCG393217 LMB393216:LMC393217 LVX393216:LVY393217 MFT393216:MFU393217 MPP393216:MPQ393217 MZL393216:MZM393217 NJH393216:NJI393217 NTD393216:NTE393217 OCZ393216:ODA393217 OMV393216:OMW393217 OWR393216:OWS393217 PGN393216:PGO393217 PQJ393216:PQK393217 QAF393216:QAG393217 QKB393216:QKC393217 QTX393216:QTY393217 RDT393216:RDU393217 RNP393216:RNQ393217 RXL393216:RXM393217 SHH393216:SHI393217 SRD393216:SRE393217 TAZ393216:TBA393217 TKV393216:TKW393217 TUR393216:TUS393217 UEN393216:UEO393217 UOJ393216:UOK393217 UYF393216:UYG393217 VIB393216:VIC393217 VRX393216:VRY393217 WBT393216:WBU393217 WLP393216:WLQ393217 WVL393216:WVM393217 D458752:E458753 IZ458752:JA458753 SV458752:SW458753 ACR458752:ACS458753 AMN458752:AMO458753 AWJ458752:AWK458753 BGF458752:BGG458753 BQB458752:BQC458753 BZX458752:BZY458753 CJT458752:CJU458753 CTP458752:CTQ458753 DDL458752:DDM458753 DNH458752:DNI458753 DXD458752:DXE458753 EGZ458752:EHA458753 EQV458752:EQW458753 FAR458752:FAS458753 FKN458752:FKO458753 FUJ458752:FUK458753 GEF458752:GEG458753 GOB458752:GOC458753 GXX458752:GXY458753 HHT458752:HHU458753 HRP458752:HRQ458753 IBL458752:IBM458753 ILH458752:ILI458753 IVD458752:IVE458753 JEZ458752:JFA458753 JOV458752:JOW458753 JYR458752:JYS458753 KIN458752:KIO458753 KSJ458752:KSK458753 LCF458752:LCG458753 LMB458752:LMC458753 LVX458752:LVY458753 MFT458752:MFU458753 MPP458752:MPQ458753 MZL458752:MZM458753 NJH458752:NJI458753 NTD458752:NTE458753 OCZ458752:ODA458753 OMV458752:OMW458753 OWR458752:OWS458753 PGN458752:PGO458753 PQJ458752:PQK458753 QAF458752:QAG458753 QKB458752:QKC458753 QTX458752:QTY458753 RDT458752:RDU458753 RNP458752:RNQ458753 RXL458752:RXM458753 SHH458752:SHI458753 SRD458752:SRE458753 TAZ458752:TBA458753 TKV458752:TKW458753 TUR458752:TUS458753 UEN458752:UEO458753 UOJ458752:UOK458753 UYF458752:UYG458753 VIB458752:VIC458753 VRX458752:VRY458753 WBT458752:WBU458753 WLP458752:WLQ458753 WVL458752:WVM458753 D524288:E524289 IZ524288:JA524289 SV524288:SW524289 ACR524288:ACS524289 AMN524288:AMO524289 AWJ524288:AWK524289 BGF524288:BGG524289 BQB524288:BQC524289 BZX524288:BZY524289 CJT524288:CJU524289 CTP524288:CTQ524289 DDL524288:DDM524289 DNH524288:DNI524289 DXD524288:DXE524289 EGZ524288:EHA524289 EQV524288:EQW524289 FAR524288:FAS524289 FKN524288:FKO524289 FUJ524288:FUK524289 GEF524288:GEG524289 GOB524288:GOC524289 GXX524288:GXY524289 HHT524288:HHU524289 HRP524288:HRQ524289 IBL524288:IBM524289 ILH524288:ILI524289 IVD524288:IVE524289 JEZ524288:JFA524289 JOV524288:JOW524289 JYR524288:JYS524289 KIN524288:KIO524289 KSJ524288:KSK524289 LCF524288:LCG524289 LMB524288:LMC524289 LVX524288:LVY524289 MFT524288:MFU524289 MPP524288:MPQ524289 MZL524288:MZM524289 NJH524288:NJI524289 NTD524288:NTE524289 OCZ524288:ODA524289 OMV524288:OMW524289 OWR524288:OWS524289 PGN524288:PGO524289 PQJ524288:PQK524289 QAF524288:QAG524289 QKB524288:QKC524289 QTX524288:QTY524289 RDT524288:RDU524289 RNP524288:RNQ524289 RXL524288:RXM524289 SHH524288:SHI524289 SRD524288:SRE524289 TAZ524288:TBA524289 TKV524288:TKW524289 TUR524288:TUS524289 UEN524288:UEO524289 UOJ524288:UOK524289 UYF524288:UYG524289 VIB524288:VIC524289 VRX524288:VRY524289 WBT524288:WBU524289 WLP524288:WLQ524289 WVL524288:WVM524289 D589824:E589825 IZ589824:JA589825 SV589824:SW589825 ACR589824:ACS589825 AMN589824:AMO589825 AWJ589824:AWK589825 BGF589824:BGG589825 BQB589824:BQC589825 BZX589824:BZY589825 CJT589824:CJU589825 CTP589824:CTQ589825 DDL589824:DDM589825 DNH589824:DNI589825 DXD589824:DXE589825 EGZ589824:EHA589825 EQV589824:EQW589825 FAR589824:FAS589825 FKN589824:FKO589825 FUJ589824:FUK589825 GEF589824:GEG589825 GOB589824:GOC589825 GXX589824:GXY589825 HHT589824:HHU589825 HRP589824:HRQ589825 IBL589824:IBM589825 ILH589824:ILI589825 IVD589824:IVE589825 JEZ589824:JFA589825 JOV589824:JOW589825 JYR589824:JYS589825 KIN589824:KIO589825 KSJ589824:KSK589825 LCF589824:LCG589825 LMB589824:LMC589825 LVX589824:LVY589825 MFT589824:MFU589825 MPP589824:MPQ589825 MZL589824:MZM589825 NJH589824:NJI589825 NTD589824:NTE589825 OCZ589824:ODA589825 OMV589824:OMW589825 OWR589824:OWS589825 PGN589824:PGO589825 PQJ589824:PQK589825 QAF589824:QAG589825 QKB589824:QKC589825 QTX589824:QTY589825 RDT589824:RDU589825 RNP589824:RNQ589825 RXL589824:RXM589825 SHH589824:SHI589825 SRD589824:SRE589825 TAZ589824:TBA589825 TKV589824:TKW589825 TUR589824:TUS589825 UEN589824:UEO589825 UOJ589824:UOK589825 UYF589824:UYG589825 VIB589824:VIC589825 VRX589824:VRY589825 WBT589824:WBU589825 WLP589824:WLQ589825 WVL589824:WVM589825 D655360:E655361 IZ655360:JA655361 SV655360:SW655361 ACR655360:ACS655361 AMN655360:AMO655361 AWJ655360:AWK655361 BGF655360:BGG655361 BQB655360:BQC655361 BZX655360:BZY655361 CJT655360:CJU655361 CTP655360:CTQ655361 DDL655360:DDM655361 DNH655360:DNI655361 DXD655360:DXE655361 EGZ655360:EHA655361 EQV655360:EQW655361 FAR655360:FAS655361 FKN655360:FKO655361 FUJ655360:FUK655361 GEF655360:GEG655361 GOB655360:GOC655361 GXX655360:GXY655361 HHT655360:HHU655361 HRP655360:HRQ655361 IBL655360:IBM655361 ILH655360:ILI655361 IVD655360:IVE655361 JEZ655360:JFA655361 JOV655360:JOW655361 JYR655360:JYS655361 KIN655360:KIO655361 KSJ655360:KSK655361 LCF655360:LCG655361 LMB655360:LMC655361 LVX655360:LVY655361 MFT655360:MFU655361 MPP655360:MPQ655361 MZL655360:MZM655361 NJH655360:NJI655361 NTD655360:NTE655361 OCZ655360:ODA655361 OMV655360:OMW655361 OWR655360:OWS655361 PGN655360:PGO655361 PQJ655360:PQK655361 QAF655360:QAG655361 QKB655360:QKC655361 QTX655360:QTY655361 RDT655360:RDU655361 RNP655360:RNQ655361 RXL655360:RXM655361 SHH655360:SHI655361 SRD655360:SRE655361 TAZ655360:TBA655361 TKV655360:TKW655361 TUR655360:TUS655361 UEN655360:UEO655361 UOJ655360:UOK655361 UYF655360:UYG655361 VIB655360:VIC655361 VRX655360:VRY655361 WBT655360:WBU655361 WLP655360:WLQ655361 WVL655360:WVM655361 D720896:E720897 IZ720896:JA720897 SV720896:SW720897 ACR720896:ACS720897 AMN720896:AMO720897 AWJ720896:AWK720897 BGF720896:BGG720897 BQB720896:BQC720897 BZX720896:BZY720897 CJT720896:CJU720897 CTP720896:CTQ720897 DDL720896:DDM720897 DNH720896:DNI720897 DXD720896:DXE720897 EGZ720896:EHA720897 EQV720896:EQW720897 FAR720896:FAS720897 FKN720896:FKO720897 FUJ720896:FUK720897 GEF720896:GEG720897 GOB720896:GOC720897 GXX720896:GXY720897 HHT720896:HHU720897 HRP720896:HRQ720897 IBL720896:IBM720897 ILH720896:ILI720897 IVD720896:IVE720897 JEZ720896:JFA720897 JOV720896:JOW720897 JYR720896:JYS720897 KIN720896:KIO720897 KSJ720896:KSK720897 LCF720896:LCG720897 LMB720896:LMC720897 LVX720896:LVY720897 MFT720896:MFU720897 MPP720896:MPQ720897 MZL720896:MZM720897 NJH720896:NJI720897 NTD720896:NTE720897 OCZ720896:ODA720897 OMV720896:OMW720897 OWR720896:OWS720897 PGN720896:PGO720897 PQJ720896:PQK720897 QAF720896:QAG720897 QKB720896:QKC720897 QTX720896:QTY720897 RDT720896:RDU720897 RNP720896:RNQ720897 RXL720896:RXM720897 SHH720896:SHI720897 SRD720896:SRE720897 TAZ720896:TBA720897 TKV720896:TKW720897 TUR720896:TUS720897 UEN720896:UEO720897 UOJ720896:UOK720897 UYF720896:UYG720897 VIB720896:VIC720897 VRX720896:VRY720897 WBT720896:WBU720897 WLP720896:WLQ720897 WVL720896:WVM720897 D786432:E786433 IZ786432:JA786433 SV786432:SW786433 ACR786432:ACS786433 AMN786432:AMO786433 AWJ786432:AWK786433 BGF786432:BGG786433 BQB786432:BQC786433 BZX786432:BZY786433 CJT786432:CJU786433 CTP786432:CTQ786433 DDL786432:DDM786433 DNH786432:DNI786433 DXD786432:DXE786433 EGZ786432:EHA786433 EQV786432:EQW786433 FAR786432:FAS786433 FKN786432:FKO786433 FUJ786432:FUK786433 GEF786432:GEG786433 GOB786432:GOC786433 GXX786432:GXY786433 HHT786432:HHU786433 HRP786432:HRQ786433 IBL786432:IBM786433 ILH786432:ILI786433 IVD786432:IVE786433 JEZ786432:JFA786433 JOV786432:JOW786433 JYR786432:JYS786433 KIN786432:KIO786433 KSJ786432:KSK786433 LCF786432:LCG786433 LMB786432:LMC786433 LVX786432:LVY786433 MFT786432:MFU786433 MPP786432:MPQ786433 MZL786432:MZM786433 NJH786432:NJI786433 NTD786432:NTE786433 OCZ786432:ODA786433 OMV786432:OMW786433 OWR786432:OWS786433 PGN786432:PGO786433 PQJ786432:PQK786433 QAF786432:QAG786433 QKB786432:QKC786433 QTX786432:QTY786433 RDT786432:RDU786433 RNP786432:RNQ786433 RXL786432:RXM786433 SHH786432:SHI786433 SRD786432:SRE786433 TAZ786432:TBA786433 TKV786432:TKW786433 TUR786432:TUS786433 UEN786432:UEO786433 UOJ786432:UOK786433 UYF786432:UYG786433 VIB786432:VIC786433 VRX786432:VRY786433 WBT786432:WBU786433 WLP786432:WLQ786433 WVL786432:WVM786433 D851968:E851969 IZ851968:JA851969 SV851968:SW851969 ACR851968:ACS851969 AMN851968:AMO851969 AWJ851968:AWK851969 BGF851968:BGG851969 BQB851968:BQC851969 BZX851968:BZY851969 CJT851968:CJU851969 CTP851968:CTQ851969 DDL851968:DDM851969 DNH851968:DNI851969 DXD851968:DXE851969 EGZ851968:EHA851969 EQV851968:EQW851969 FAR851968:FAS851969 FKN851968:FKO851969 FUJ851968:FUK851969 GEF851968:GEG851969 GOB851968:GOC851969 GXX851968:GXY851969 HHT851968:HHU851969 HRP851968:HRQ851969 IBL851968:IBM851969 ILH851968:ILI851969 IVD851968:IVE851969 JEZ851968:JFA851969 JOV851968:JOW851969 JYR851968:JYS851969 KIN851968:KIO851969 KSJ851968:KSK851969 LCF851968:LCG851969 LMB851968:LMC851969 LVX851968:LVY851969 MFT851968:MFU851969 MPP851968:MPQ851969 MZL851968:MZM851969 NJH851968:NJI851969 NTD851968:NTE851969 OCZ851968:ODA851969 OMV851968:OMW851969 OWR851968:OWS851969 PGN851968:PGO851969 PQJ851968:PQK851969 QAF851968:QAG851969 QKB851968:QKC851969 QTX851968:QTY851969 RDT851968:RDU851969 RNP851968:RNQ851969 RXL851968:RXM851969 SHH851968:SHI851969 SRD851968:SRE851969 TAZ851968:TBA851969 TKV851968:TKW851969 TUR851968:TUS851969 UEN851968:UEO851969 UOJ851968:UOK851969 UYF851968:UYG851969 VIB851968:VIC851969 VRX851968:VRY851969 WBT851968:WBU851969 WLP851968:WLQ851969 WVL851968:WVM851969 D917504:E917505 IZ917504:JA917505 SV917504:SW917505 ACR917504:ACS917505 AMN917504:AMO917505 AWJ917504:AWK917505 BGF917504:BGG917505 BQB917504:BQC917505 BZX917504:BZY917505 CJT917504:CJU917505 CTP917504:CTQ917505 DDL917504:DDM917505 DNH917504:DNI917505 DXD917504:DXE917505 EGZ917504:EHA917505 EQV917504:EQW917505 FAR917504:FAS917505 FKN917504:FKO917505 FUJ917504:FUK917505 GEF917504:GEG917505 GOB917504:GOC917505 GXX917504:GXY917505 HHT917504:HHU917505 HRP917504:HRQ917505 IBL917504:IBM917505 ILH917504:ILI917505 IVD917504:IVE917505 JEZ917504:JFA917505 JOV917504:JOW917505 JYR917504:JYS917505 KIN917504:KIO917505 KSJ917504:KSK917505 LCF917504:LCG917505 LMB917504:LMC917505 LVX917504:LVY917505 MFT917504:MFU917505 MPP917504:MPQ917505 MZL917504:MZM917505 NJH917504:NJI917505 NTD917504:NTE917505 OCZ917504:ODA917505 OMV917504:OMW917505 OWR917504:OWS917505 PGN917504:PGO917505 PQJ917504:PQK917505 QAF917504:QAG917505 QKB917504:QKC917505 QTX917504:QTY917505 RDT917504:RDU917505 RNP917504:RNQ917505 RXL917504:RXM917505 SHH917504:SHI917505 SRD917504:SRE917505 TAZ917504:TBA917505 TKV917504:TKW917505 TUR917504:TUS917505 UEN917504:UEO917505 UOJ917504:UOK917505 UYF917504:UYG917505 VIB917504:VIC917505 VRX917504:VRY917505 WBT917504:WBU917505 WLP917504:WLQ917505 WVL917504:WVM917505 D983040:E983041 IZ983040:JA983041 SV983040:SW983041 ACR983040:ACS983041 AMN983040:AMO983041 AWJ983040:AWK983041 BGF983040:BGG983041 BQB983040:BQC983041 BZX983040:BZY983041 CJT983040:CJU983041 CTP983040:CTQ983041 DDL983040:DDM983041 DNH983040:DNI983041 DXD983040:DXE983041 EGZ983040:EHA983041 EQV983040:EQW983041 FAR983040:FAS983041 FKN983040:FKO983041 FUJ983040:FUK983041 GEF983040:GEG983041 GOB983040:GOC983041 GXX983040:GXY983041 HHT983040:HHU983041 HRP983040:HRQ983041 IBL983040:IBM983041 ILH983040:ILI983041 IVD983040:IVE983041 JEZ983040:JFA983041 JOV983040:JOW983041 JYR983040:JYS983041 KIN983040:KIO983041 KSJ983040:KSK983041 LCF983040:LCG983041 LMB983040:LMC983041 LVX983040:LVY983041 MFT983040:MFU983041 MPP983040:MPQ983041 MZL983040:MZM983041 NJH983040:NJI983041 NTD983040:NTE983041 OCZ983040:ODA983041 OMV983040:OMW983041 OWR983040:OWS983041 PGN983040:PGO983041 PQJ983040:PQK983041 QAF983040:QAG983041 QKB983040:QKC983041 QTX983040:QTY983041 RDT983040:RDU983041 RNP983040:RNQ983041 RXL983040:RXM983041 SHH983040:SHI983041 SRD983040:SRE983041 TAZ983040:TBA983041 TKV983040:TKW983041 TUR983040:TUS983041 UEN983040:UEO983041 UOJ983040:UOK983041 UYF983040:UYG983041 VIB983040:VIC983041 VRX983040:VRY983041 WBT983040:WBU983041 WLP983040:WLQ983041 D7:D8 E8" xr:uid="{1282DA27-1489-48B6-906C-B2333915540C}">
      <formula1>"Core1,Core2,Core3,Core4,Core5"</formula1>
    </dataValidation>
    <dataValidation type="list" allowBlank="1" showInputMessage="1" showErrorMessage="1" sqref="D92 IZ92 SV92 ACR92 AMN92 AWJ92 BGF92 BQB92 BZX92 CJT92 CTP92 DDL92 DNH92 DXD92 EGZ92 EQV92 FAR92 FKN92 FUJ92 GEF92 GOB92 GXX92 HHT92 HRP92 IBL92 ILH92 IVD92 JEZ92 JOV92 JYR92 KIN92 KSJ92 LCF92 LMB92 LVX92 MFT92 MPP92 MZL92 NJH92 NTD92 OCZ92 OMV92 OWR92 PGN92 PQJ92 QAF92 QKB92 QTX92 RDT92 RNP92 RXL92 SHH92 SRD92 TAZ92 TKV92 TUR92 UEN92 UOJ92 UYF92 VIB92 VRX92 WBT92 WLP92 WVL92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D49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7598FAD8-5D6D-434B-AC7C-BE7C901A05E5}">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7" max="21" man="1"/>
    <brk id="88" max="21" man="1"/>
  </rowBreaks>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4E06-B5FC-4E02-AFC6-115C6EDF5BCF}">
  <sheetPr codeName="Sheet50">
    <tabColor rgb="FF99CCFF"/>
  </sheetPr>
  <dimension ref="A1:Y45"/>
  <sheetViews>
    <sheetView view="pageBreakPreview" topLeftCell="A10"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1039</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180"/>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81"/>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662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ACEC1-164E-4C8D-AFB9-07DA2296255F}">
  <sheetPr codeName="Sheet51">
    <tabColor rgb="FF00B050"/>
  </sheetPr>
  <dimension ref="A1:AC299"/>
  <sheetViews>
    <sheetView showZeros="0" view="pageBreakPreview" topLeftCell="A24" zoomScaleNormal="100" zoomScaleSheetLayoutView="100" workbookViewId="0">
      <selection activeCell="M84" sqref="M84"/>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881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108</v>
      </c>
      <c r="C7" s="782"/>
      <c r="D7" s="743" t="s">
        <v>506</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2000</v>
      </c>
      <c r="I10" s="792"/>
      <c r="J10" s="781">
        <v>3200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3.5</v>
      </c>
      <c r="I12" s="782"/>
      <c r="J12" s="192" t="s">
        <v>333</v>
      </c>
      <c r="M12" s="14"/>
      <c r="N12" s="14"/>
      <c r="V12" s="185"/>
    </row>
    <row r="13" spans="1:24" ht="18" customHeight="1">
      <c r="A13" s="184"/>
      <c r="B13" s="47" t="s">
        <v>398</v>
      </c>
      <c r="G13" s="120" t="s">
        <v>498</v>
      </c>
      <c r="H13" s="781">
        <v>500</v>
      </c>
      <c r="I13" s="782"/>
      <c r="J13" s="14" t="s">
        <v>305</v>
      </c>
      <c r="M13" s="14"/>
      <c r="T13" s="295"/>
      <c r="U13" s="18"/>
      <c r="V13" s="185"/>
      <c r="W13" s="30" t="e">
        <f>#REF!</f>
        <v>#REF!</v>
      </c>
    </row>
    <row r="14" spans="1:24" ht="18" customHeight="1">
      <c r="A14" s="184"/>
      <c r="B14" s="14" t="s">
        <v>401</v>
      </c>
      <c r="G14" s="120" t="s">
        <v>402</v>
      </c>
      <c r="H14" s="781">
        <v>20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3.5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3.5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500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3.5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2000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5</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3.5</v>
      </c>
      <c r="G75" s="692"/>
      <c r="H75" s="102" t="s">
        <v>347</v>
      </c>
      <c r="I75" s="218">
        <f>S30</f>
        <v>1.0870224400000001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45.970224399999999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36.776179519999999</v>
      </c>
      <c r="O79" s="1251"/>
      <c r="V79" s="185"/>
    </row>
    <row r="80" spans="1:22" ht="17.399999999999999" customHeight="1">
      <c r="A80" s="184"/>
      <c r="B80" s="7"/>
      <c r="E80" s="14"/>
      <c r="F80" s="14" t="s">
        <v>752</v>
      </c>
      <c r="G80" s="7"/>
      <c r="L80" s="28" t="s">
        <v>127</v>
      </c>
      <c r="N80" s="1072">
        <f>N79*1.2</f>
        <v>44.131415423999997</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500</v>
      </c>
      <c r="J82" s="795"/>
      <c r="K82" s="27"/>
      <c r="L82" s="27" t="str">
        <f>IF(I82&gt;=M82,"&gt;","&lt;")</f>
        <v>&gt;</v>
      </c>
      <c r="M82" s="795">
        <f>N80</f>
        <v>44.131415423999997</v>
      </c>
      <c r="N82" s="795"/>
      <c r="P82" s="268"/>
      <c r="V82" s="185"/>
    </row>
    <row r="83" spans="1:23" ht="17.399999999999999" customHeight="1">
      <c r="A83" s="184"/>
      <c r="K83" s="244" t="s">
        <v>478</v>
      </c>
      <c r="M83" s="18" t="str">
        <f>IF(I82&gt;M82,"Suitably Dimensioned","Under Dimensioned")</f>
        <v>Suitably Dimensioned</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K86" s="244"/>
      <c r="M86" s="18"/>
      <c r="V86" s="185"/>
    </row>
    <row r="87" spans="1:23" ht="17.399999999999999" customHeight="1">
      <c r="A87" s="184"/>
      <c r="B87" s="7"/>
      <c r="E87" s="14"/>
      <c r="F87" s="7"/>
      <c r="G87" s="7"/>
      <c r="V87" s="185"/>
    </row>
    <row r="88" spans="1:23" s="14" customFormat="1" ht="15.6" customHeight="1">
      <c r="A88" s="194"/>
      <c r="B88" s="195"/>
      <c r="C88" s="195"/>
      <c r="D88" s="195"/>
      <c r="E88" s="195"/>
      <c r="F88" s="195"/>
      <c r="G88" s="195"/>
      <c r="H88" s="195"/>
      <c r="I88" s="195"/>
      <c r="J88" s="195"/>
      <c r="K88" s="195"/>
      <c r="L88" s="195"/>
      <c r="M88" s="195"/>
      <c r="N88" s="195"/>
      <c r="O88" s="195"/>
      <c r="P88" s="195"/>
      <c r="Q88" s="224"/>
      <c r="R88" s="182"/>
      <c r="S88" s="225"/>
      <c r="T88" s="195"/>
      <c r="U88" s="195"/>
      <c r="V88" s="134"/>
    </row>
    <row r="89" spans="1:23"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customHeight="1">
      <c r="A90" s="184"/>
      <c r="B90" s="835" t="str">
        <f>B7</f>
        <v>T1</v>
      </c>
      <c r="C90" s="836"/>
      <c r="D90" s="1118" t="str">
        <f>D7</f>
        <v>Core2</v>
      </c>
      <c r="E90" s="1290"/>
      <c r="F90" s="455"/>
      <c r="H90" s="684" t="str">
        <f>H7</f>
        <v>(Low Imp. Busbar)</v>
      </c>
      <c r="I90" s="684"/>
      <c r="J90" s="684"/>
      <c r="K90" s="684"/>
      <c r="L90" s="684"/>
      <c r="M90" s="684"/>
      <c r="P90" s="186"/>
      <c r="S90" s="187" t="s">
        <v>387</v>
      </c>
      <c r="T90" s="835" t="str">
        <f>T7</f>
        <v>REB500</v>
      </c>
      <c r="U90" s="836"/>
      <c r="V90" s="185"/>
    </row>
    <row r="91" spans="1:23" ht="18" customHeight="1">
      <c r="A91" s="456"/>
      <c r="F91" s="455"/>
      <c r="T91" s="839">
        <f>T8</f>
        <v>0</v>
      </c>
      <c r="U91" s="840"/>
      <c r="V91" s="185"/>
    </row>
    <row r="92" spans="1:23" ht="18" customHeight="1">
      <c r="A92" s="184"/>
      <c r="H92" s="708" t="s">
        <v>390</v>
      </c>
      <c r="I92" s="708"/>
      <c r="J92" s="789" t="s">
        <v>391</v>
      </c>
      <c r="K92" s="789"/>
      <c r="L92" s="790" t="s">
        <v>392</v>
      </c>
      <c r="M92" s="790"/>
      <c r="T92" s="839">
        <f>T9</f>
        <v>0</v>
      </c>
      <c r="U92" s="840"/>
      <c r="V92" s="185"/>
    </row>
    <row r="93" spans="1:23" ht="18" customHeight="1">
      <c r="A93" s="184"/>
      <c r="B93" s="47" t="s">
        <v>393</v>
      </c>
      <c r="H93" s="835">
        <f>H10</f>
        <v>2000</v>
      </c>
      <c r="I93" s="836"/>
      <c r="J93" s="835">
        <f>J10</f>
        <v>3200</v>
      </c>
      <c r="K93" s="836"/>
      <c r="L93" s="835" t="str">
        <f>L10</f>
        <v>-</v>
      </c>
      <c r="M93" s="836"/>
      <c r="N93" s="191" t="s">
        <v>342</v>
      </c>
      <c r="O93" s="488">
        <f>O10</f>
        <v>1</v>
      </c>
      <c r="P93" s="27" t="s">
        <v>8</v>
      </c>
      <c r="R93" s="255"/>
      <c r="S93" s="255"/>
      <c r="V93" s="185"/>
    </row>
    <row r="94" spans="1:23" ht="18" customHeight="1">
      <c r="A94" s="184"/>
      <c r="B94" s="47" t="s">
        <v>394</v>
      </c>
      <c r="H94" s="14"/>
      <c r="I94" s="14"/>
      <c r="J94" s="835" t="str">
        <f>H11</f>
        <v>PX</v>
      </c>
      <c r="K94" s="836"/>
      <c r="L94" s="14"/>
      <c r="M94" s="14"/>
      <c r="V94" s="185"/>
    </row>
    <row r="95" spans="1:23" ht="18" customHeight="1">
      <c r="A95" s="184"/>
      <c r="B95" s="47" t="s">
        <v>396</v>
      </c>
      <c r="I95" s="120" t="s">
        <v>497</v>
      </c>
      <c r="J95" s="781">
        <v>5</v>
      </c>
      <c r="K95" s="782"/>
      <c r="L95" s="192" t="s">
        <v>333</v>
      </c>
      <c r="V95" s="185"/>
    </row>
    <row r="96" spans="1:23" ht="18" customHeight="1">
      <c r="A96" s="184"/>
      <c r="B96" s="47" t="s">
        <v>398</v>
      </c>
      <c r="I96" s="120" t="s">
        <v>498</v>
      </c>
      <c r="J96" s="781">
        <v>900</v>
      </c>
      <c r="K96" s="782"/>
      <c r="L96" s="14" t="s">
        <v>305</v>
      </c>
      <c r="T96" s="295"/>
      <c r="U96" s="18"/>
      <c r="V96" s="185"/>
      <c r="W96" s="30" t="str">
        <f>M163</f>
        <v>Required Vk</v>
      </c>
    </row>
    <row r="97" spans="1:22" ht="18" customHeight="1">
      <c r="A97" s="184"/>
      <c r="B97" s="14" t="s">
        <v>401</v>
      </c>
      <c r="I97" s="120" t="s">
        <v>402</v>
      </c>
      <c r="J97" s="781">
        <v>10</v>
      </c>
      <c r="K97" s="782"/>
      <c r="L97" s="14" t="s">
        <v>403</v>
      </c>
      <c r="V97" s="185"/>
    </row>
    <row r="98" spans="1:22" ht="18" customHeight="1">
      <c r="A98" s="184"/>
      <c r="V98" s="185"/>
    </row>
    <row r="99" spans="1:22" ht="18" customHeight="1">
      <c r="A99" s="193" t="s">
        <v>404</v>
      </c>
      <c r="V99" s="185"/>
    </row>
    <row r="100" spans="1:22" ht="18" customHeight="1">
      <c r="A100" s="184"/>
      <c r="V100" s="185"/>
    </row>
    <row r="101" spans="1:22" ht="18" customHeight="1">
      <c r="A101" s="184"/>
      <c r="B101" s="135" t="s">
        <v>405</v>
      </c>
      <c r="C101" s="273"/>
      <c r="D101" s="139" t="str">
        <f>T90</f>
        <v>REB500</v>
      </c>
      <c r="E101" s="227"/>
      <c r="F101" s="227"/>
      <c r="G101" s="227"/>
      <c r="H101" s="138"/>
      <c r="I101" s="260" t="s">
        <v>127</v>
      </c>
      <c r="J101" s="722">
        <f>J18</f>
        <v>0.01</v>
      </c>
      <c r="K101" s="958"/>
      <c r="L101" s="3" t="s">
        <v>157</v>
      </c>
      <c r="N101" s="197" t="s">
        <v>510</v>
      </c>
      <c r="V101" s="185"/>
    </row>
    <row r="102" spans="1:22" ht="18" customHeight="1">
      <c r="A102" s="184"/>
      <c r="B102" s="96" t="s">
        <v>405</v>
      </c>
      <c r="C102" s="14"/>
      <c r="D102" s="47">
        <f>T91</f>
        <v>0</v>
      </c>
      <c r="H102" s="28"/>
      <c r="I102" s="101" t="s">
        <v>127</v>
      </c>
      <c r="J102" s="722">
        <f>J19</f>
        <v>0</v>
      </c>
      <c r="K102" s="958"/>
      <c r="L102" s="3" t="s">
        <v>157</v>
      </c>
      <c r="N102" s="120" t="s">
        <v>491</v>
      </c>
      <c r="O102" s="27" t="s">
        <v>127</v>
      </c>
      <c r="P102" s="27" t="s">
        <v>511</v>
      </c>
      <c r="Q102" s="27" t="s">
        <v>315</v>
      </c>
      <c r="R102" s="27" t="s">
        <v>511</v>
      </c>
      <c r="S102" s="27" t="s">
        <v>315</v>
      </c>
      <c r="T102" s="27" t="s">
        <v>420</v>
      </c>
      <c r="V102" s="185"/>
    </row>
    <row r="103" spans="1:22" ht="18" customHeight="1">
      <c r="A103" s="184"/>
      <c r="B103" s="96" t="s">
        <v>405</v>
      </c>
      <c r="C103" s="14"/>
      <c r="D103" s="47">
        <f>T92</f>
        <v>0</v>
      </c>
      <c r="H103" s="28"/>
      <c r="I103" s="101" t="s">
        <v>127</v>
      </c>
      <c r="J103" s="722">
        <f>J20</f>
        <v>0</v>
      </c>
      <c r="K103" s="958"/>
      <c r="L103" s="3" t="s">
        <v>157</v>
      </c>
      <c r="N103" s="27"/>
      <c r="O103" s="27" t="s">
        <v>127</v>
      </c>
      <c r="P103" s="27">
        <f>O93</f>
        <v>1</v>
      </c>
      <c r="Q103" s="27" t="s">
        <v>315</v>
      </c>
      <c r="R103" s="27">
        <f>O93</f>
        <v>1</v>
      </c>
      <c r="S103" s="27" t="s">
        <v>315</v>
      </c>
      <c r="T103" s="27">
        <f>J95</f>
        <v>5</v>
      </c>
      <c r="V103" s="185"/>
    </row>
    <row r="104" spans="1:22" ht="18" customHeight="1">
      <c r="A104" s="184"/>
      <c r="B104" s="452" t="s">
        <v>412</v>
      </c>
      <c r="C104" s="259"/>
      <c r="D104" s="259"/>
      <c r="E104" s="259"/>
      <c r="F104" s="207"/>
      <c r="G104" s="207"/>
      <c r="H104" s="190"/>
      <c r="I104" s="208" t="s">
        <v>127</v>
      </c>
      <c r="J104" s="1120">
        <f>J21</f>
        <v>1.0770224400000001</v>
      </c>
      <c r="K104" s="987"/>
      <c r="L104" s="297" t="s">
        <v>157</v>
      </c>
      <c r="O104" s="27" t="s">
        <v>127</v>
      </c>
      <c r="P104" s="795">
        <f>P103*R103*T103</f>
        <v>5</v>
      </c>
      <c r="Q104" s="684"/>
      <c r="R104" s="27" t="s">
        <v>157</v>
      </c>
      <c r="V104" s="185"/>
    </row>
    <row r="105" spans="1:22" ht="18" customHeight="1">
      <c r="A105" s="184"/>
      <c r="B105" s="1" t="s">
        <v>413</v>
      </c>
      <c r="C105" s="2"/>
      <c r="D105" s="2"/>
      <c r="E105" s="2"/>
      <c r="F105" s="196"/>
      <c r="G105" s="196"/>
      <c r="H105" s="224" t="s">
        <v>512</v>
      </c>
      <c r="I105" s="183" t="s">
        <v>127</v>
      </c>
      <c r="J105" s="722">
        <f>SUM(J101:J104)</f>
        <v>1.0870224400000001</v>
      </c>
      <c r="K105" s="958"/>
      <c r="L105" s="3" t="s">
        <v>157</v>
      </c>
      <c r="V105" s="185"/>
    </row>
    <row r="106" spans="1:22" ht="18" customHeight="1">
      <c r="A106" s="184"/>
      <c r="B106" s="47"/>
      <c r="C106" s="47"/>
      <c r="D106" s="47"/>
      <c r="E106" s="47"/>
      <c r="H106" s="27"/>
      <c r="I106" s="28"/>
      <c r="J106" s="199"/>
      <c r="L106" s="47"/>
      <c r="S106" s="27"/>
      <c r="V106" s="185"/>
    </row>
    <row r="107" spans="1:22" ht="18" customHeight="1">
      <c r="A107" s="258"/>
      <c r="B107" s="117" t="s">
        <v>712</v>
      </c>
      <c r="V107" s="185"/>
    </row>
    <row r="108" spans="1:22" ht="18" customHeight="1">
      <c r="A108" s="231"/>
      <c r="B108" s="5"/>
      <c r="C108" s="47" t="s">
        <v>713</v>
      </c>
      <c r="D108" s="14"/>
      <c r="E108" s="14"/>
      <c r="F108" s="14"/>
      <c r="G108" s="14"/>
      <c r="H108" s="279"/>
      <c r="I108" s="120"/>
      <c r="J108" s="279"/>
      <c r="K108" s="279"/>
      <c r="L108" s="14"/>
      <c r="M108" s="14"/>
      <c r="N108" s="14"/>
      <c r="O108" s="14"/>
      <c r="P108" s="14"/>
      <c r="Q108" s="120" t="s">
        <v>714</v>
      </c>
      <c r="R108" s="102" t="s">
        <v>127</v>
      </c>
      <c r="S108" s="689">
        <v>31500</v>
      </c>
      <c r="T108" s="689"/>
      <c r="U108" s="47" t="s">
        <v>8</v>
      </c>
      <c r="V108" s="97" t="s">
        <v>129</v>
      </c>
    </row>
    <row r="109" spans="1:22" ht="18" customHeight="1">
      <c r="A109" s="184"/>
      <c r="B109" s="5"/>
      <c r="C109" s="47" t="s">
        <v>545</v>
      </c>
      <c r="D109" s="14"/>
      <c r="E109" s="14"/>
      <c r="F109" s="18"/>
      <c r="G109" s="18"/>
      <c r="H109" s="279"/>
      <c r="I109" s="120"/>
      <c r="J109" s="279"/>
      <c r="K109" s="279"/>
      <c r="L109" s="14"/>
      <c r="M109" s="14"/>
      <c r="N109" s="14"/>
      <c r="O109" s="14"/>
      <c r="P109" s="14"/>
      <c r="Q109" s="120" t="s">
        <v>423</v>
      </c>
      <c r="R109" s="102" t="s">
        <v>127</v>
      </c>
      <c r="S109" s="689">
        <f>J93</f>
        <v>3200</v>
      </c>
      <c r="T109" s="689"/>
      <c r="U109" s="14" t="s">
        <v>8</v>
      </c>
      <c r="V109" s="185"/>
    </row>
    <row r="110" spans="1:22" ht="18" customHeight="1">
      <c r="A110" s="184"/>
      <c r="B110" s="5"/>
      <c r="C110" s="47" t="s">
        <v>715</v>
      </c>
      <c r="D110" s="14"/>
      <c r="E110" s="14"/>
      <c r="F110" s="18"/>
      <c r="G110" s="18"/>
      <c r="H110" s="279"/>
      <c r="I110" s="120"/>
      <c r="J110" s="279"/>
      <c r="K110" s="279"/>
      <c r="L110" s="14"/>
      <c r="M110" s="14"/>
      <c r="N110" s="14"/>
      <c r="O110" s="14"/>
      <c r="P110" s="14"/>
      <c r="Q110" s="120" t="s">
        <v>716</v>
      </c>
      <c r="R110" s="102" t="s">
        <v>127</v>
      </c>
      <c r="S110" s="689">
        <v>33</v>
      </c>
      <c r="T110" s="689"/>
      <c r="U110" s="14" t="s">
        <v>163</v>
      </c>
      <c r="V110" s="185"/>
    </row>
    <row r="111" spans="1:22" ht="18" customHeight="1">
      <c r="A111" s="184"/>
      <c r="B111" s="5"/>
      <c r="C111" s="47" t="s">
        <v>546</v>
      </c>
      <c r="D111" s="14"/>
      <c r="E111" s="14"/>
      <c r="F111" s="18"/>
      <c r="G111" s="18"/>
      <c r="H111" s="279"/>
      <c r="I111" s="120"/>
      <c r="J111" s="279"/>
      <c r="K111" s="279"/>
      <c r="L111" s="14"/>
      <c r="M111" s="14"/>
      <c r="N111" s="14"/>
      <c r="O111" s="14"/>
      <c r="P111" s="14"/>
      <c r="Q111" s="120" t="s">
        <v>473</v>
      </c>
      <c r="R111" s="102" t="s">
        <v>127</v>
      </c>
      <c r="S111" s="689">
        <f>J96</f>
        <v>900</v>
      </c>
      <c r="T111" s="689"/>
      <c r="U111" s="14" t="s">
        <v>305</v>
      </c>
      <c r="V111" s="185"/>
    </row>
    <row r="112" spans="1:22" ht="18" customHeight="1">
      <c r="A112" s="184"/>
      <c r="B112" s="5"/>
      <c r="C112" s="47" t="s">
        <v>717</v>
      </c>
      <c r="D112" s="14"/>
      <c r="E112" s="14"/>
      <c r="F112" s="18"/>
      <c r="G112" s="18"/>
      <c r="H112" s="279"/>
      <c r="I112" s="120"/>
      <c r="J112" s="279"/>
      <c r="K112" s="279"/>
      <c r="L112" s="14"/>
      <c r="M112" s="14"/>
      <c r="N112" s="14"/>
      <c r="O112" s="14"/>
      <c r="P112" s="14"/>
      <c r="Q112" s="120" t="s">
        <v>420</v>
      </c>
      <c r="R112" s="102" t="s">
        <v>127</v>
      </c>
      <c r="S112" s="692">
        <f>P104</f>
        <v>5</v>
      </c>
      <c r="T112" s="689"/>
      <c r="U112" s="14" t="s">
        <v>157</v>
      </c>
      <c r="V112" s="185"/>
    </row>
    <row r="113" spans="1:25" ht="18" customHeight="1">
      <c r="A113" s="184"/>
      <c r="B113" s="5"/>
      <c r="C113" s="47" t="s">
        <v>718</v>
      </c>
      <c r="D113" s="14"/>
      <c r="E113" s="14"/>
      <c r="F113" s="18"/>
      <c r="G113" s="18"/>
      <c r="H113" s="279"/>
      <c r="I113" s="120"/>
      <c r="J113" s="279"/>
      <c r="K113" s="279"/>
      <c r="L113" s="14"/>
      <c r="M113" s="14"/>
      <c r="N113" s="14"/>
      <c r="O113" s="14"/>
      <c r="P113" s="14"/>
      <c r="Q113" s="120" t="s">
        <v>522</v>
      </c>
      <c r="R113" s="102" t="s">
        <v>127</v>
      </c>
      <c r="S113" s="692">
        <f>J105</f>
        <v>1.0870224400000001</v>
      </c>
      <c r="T113" s="689"/>
      <c r="U113" s="14" t="s">
        <v>157</v>
      </c>
      <c r="V113" s="185"/>
    </row>
    <row r="114" spans="1:25" ht="18" customHeight="1">
      <c r="A114" s="168"/>
      <c r="B114" s="5"/>
      <c r="C114" s="47" t="s">
        <v>549</v>
      </c>
      <c r="D114" s="14"/>
      <c r="E114" s="14"/>
      <c r="F114" s="14"/>
      <c r="G114" s="14"/>
      <c r="H114" s="279"/>
      <c r="I114" s="120"/>
      <c r="J114" s="279"/>
      <c r="K114" s="279"/>
      <c r="L114" s="14"/>
      <c r="M114" s="14"/>
      <c r="N114" s="14"/>
      <c r="O114" s="14"/>
      <c r="P114" s="14"/>
      <c r="Q114" s="120" t="s">
        <v>714</v>
      </c>
      <c r="R114" s="102" t="s">
        <v>127</v>
      </c>
      <c r="S114" s="689">
        <f>O93</f>
        <v>1</v>
      </c>
      <c r="T114" s="689"/>
      <c r="U114" s="14" t="s">
        <v>8</v>
      </c>
      <c r="V114" s="185"/>
    </row>
    <row r="115" spans="1:25" ht="18" customHeight="1">
      <c r="A115" s="168"/>
      <c r="B115" s="5"/>
      <c r="C115" s="47" t="s">
        <v>719</v>
      </c>
      <c r="D115" s="14"/>
      <c r="E115" s="14"/>
      <c r="F115" s="14"/>
      <c r="G115" s="14"/>
      <c r="H115" s="279"/>
      <c r="I115" s="120"/>
      <c r="J115" s="279"/>
      <c r="K115" s="279"/>
      <c r="L115" s="14"/>
      <c r="M115" s="14"/>
      <c r="N115" s="14"/>
      <c r="O115" s="14"/>
      <c r="P115" s="14"/>
      <c r="Q115" s="120" t="s">
        <v>720</v>
      </c>
      <c r="R115" s="102" t="s">
        <v>127</v>
      </c>
      <c r="S115" s="689">
        <v>50</v>
      </c>
      <c r="T115" s="689"/>
      <c r="U115" s="47"/>
      <c r="V115" s="185"/>
    </row>
    <row r="116" spans="1:25" ht="18" customHeight="1">
      <c r="A116" s="168"/>
      <c r="B116" s="279"/>
      <c r="C116" s="47"/>
      <c r="D116" s="14"/>
      <c r="E116" s="14"/>
      <c r="F116" s="14"/>
      <c r="G116" s="14"/>
      <c r="H116" s="279"/>
      <c r="I116" s="120"/>
      <c r="J116" s="279"/>
      <c r="K116" s="279"/>
      <c r="L116" s="14"/>
      <c r="M116" s="14"/>
      <c r="N116" s="279"/>
      <c r="O116" s="279"/>
      <c r="P116" s="14"/>
      <c r="Q116" s="120"/>
      <c r="R116" s="14"/>
      <c r="S116" s="279"/>
      <c r="T116" s="279"/>
      <c r="U116" s="279"/>
      <c r="V116" s="300"/>
    </row>
    <row r="117" spans="1:25" ht="18" customHeight="1">
      <c r="A117" s="168"/>
      <c r="C117" s="18" t="s">
        <v>721</v>
      </c>
      <c r="D117" s="14"/>
      <c r="E117" s="14"/>
      <c r="F117" s="14"/>
      <c r="G117" s="14"/>
      <c r="H117" s="14"/>
      <c r="I117" s="14"/>
      <c r="J117" s="14"/>
      <c r="K117" s="14"/>
      <c r="L117" s="14"/>
      <c r="M117" s="14"/>
      <c r="N117" s="14"/>
      <c r="O117" s="14"/>
      <c r="P117" s="14"/>
      <c r="Q117" s="14"/>
      <c r="R117" s="14"/>
      <c r="S117" s="14"/>
      <c r="T117" s="14"/>
      <c r="U117" s="14"/>
      <c r="V117" s="185"/>
      <c r="W117" s="279"/>
      <c r="X117" s="279"/>
      <c r="Y117" s="279"/>
    </row>
    <row r="118" spans="1:25" ht="18" customHeight="1">
      <c r="A118" s="168"/>
      <c r="C118" s="28"/>
      <c r="D118" s="47" t="s">
        <v>722</v>
      </c>
      <c r="E118" s="28"/>
      <c r="F118" s="28"/>
      <c r="G118" s="28"/>
      <c r="H118" s="14"/>
      <c r="I118" s="14"/>
      <c r="J118" s="28"/>
      <c r="K118" s="28"/>
      <c r="L118" s="28"/>
      <c r="M118" s="28"/>
      <c r="N118" s="47"/>
      <c r="O118" s="28"/>
      <c r="V118" s="185"/>
      <c r="X118" s="279"/>
      <c r="Y118" s="279"/>
    </row>
    <row r="119" spans="1:25" ht="18" customHeight="1">
      <c r="A119" s="168"/>
      <c r="D119" s="27"/>
      <c r="E119" s="27"/>
      <c r="F119" s="27"/>
      <c r="G119" s="27"/>
      <c r="I119" s="689" t="s">
        <v>723</v>
      </c>
      <c r="J119" s="689" t="s">
        <v>127</v>
      </c>
      <c r="K119" s="695" t="s">
        <v>714</v>
      </c>
      <c r="L119" s="695"/>
      <c r="M119" s="27"/>
      <c r="N119" s="296"/>
      <c r="O119" s="222"/>
      <c r="V119" s="185"/>
      <c r="X119" s="279"/>
      <c r="Y119" s="279"/>
    </row>
    <row r="120" spans="1:25" ht="18" customHeight="1">
      <c r="A120" s="168"/>
      <c r="D120" s="27"/>
      <c r="G120" s="27"/>
      <c r="I120" s="689"/>
      <c r="J120" s="689"/>
      <c r="K120" s="1289" t="s">
        <v>724</v>
      </c>
      <c r="L120" s="1289"/>
      <c r="V120" s="185"/>
    </row>
    <row r="121" spans="1:25" ht="18" customHeight="1">
      <c r="A121" s="184"/>
      <c r="B121" s="18" t="s">
        <v>725</v>
      </c>
      <c r="C121" s="14"/>
      <c r="V121" s="185"/>
    </row>
    <row r="122" spans="1:25" ht="18" customHeight="1">
      <c r="A122" s="184"/>
      <c r="B122" s="28"/>
      <c r="C122" s="372" t="s">
        <v>726</v>
      </c>
      <c r="D122" s="14"/>
      <c r="E122" s="14"/>
      <c r="F122" s="14"/>
      <c r="G122" s="14"/>
      <c r="H122" s="14"/>
      <c r="I122" s="14"/>
      <c r="J122" s="14"/>
      <c r="K122" s="14"/>
      <c r="L122" s="14"/>
      <c r="M122" s="14"/>
      <c r="N122" s="14"/>
      <c r="O122" s="14"/>
      <c r="P122" s="28"/>
      <c r="Q122" s="120"/>
      <c r="R122" s="14"/>
      <c r="S122" s="14"/>
      <c r="T122" s="14"/>
      <c r="U122" s="14"/>
      <c r="V122" s="185"/>
    </row>
    <row r="123" spans="1:25" ht="18" customHeight="1">
      <c r="A123" s="184"/>
      <c r="B123" s="28"/>
      <c r="C123" s="7" t="s">
        <v>727</v>
      </c>
      <c r="D123" s="14"/>
      <c r="E123" s="14"/>
      <c r="F123" s="14"/>
      <c r="G123" s="14"/>
      <c r="H123" s="14"/>
      <c r="K123" s="14"/>
      <c r="L123" s="28"/>
      <c r="M123" s="47"/>
      <c r="N123" s="14"/>
      <c r="O123" s="14"/>
      <c r="P123" s="14"/>
      <c r="Q123" s="14"/>
      <c r="R123" s="14"/>
      <c r="S123" s="14"/>
      <c r="T123" s="14"/>
      <c r="U123" s="14"/>
      <c r="V123" s="185"/>
    </row>
    <row r="124" spans="1:25" ht="18" customHeight="1">
      <c r="A124" s="184"/>
      <c r="B124" s="14" t="s">
        <v>728</v>
      </c>
      <c r="C124" s="7"/>
      <c r="D124" s="14"/>
      <c r="E124" s="14"/>
      <c r="F124" s="268"/>
      <c r="K124" s="28"/>
      <c r="L124" s="28"/>
      <c r="M124" s="281"/>
      <c r="N124" s="28"/>
      <c r="O124" s="47"/>
      <c r="P124" s="14"/>
      <c r="Q124" s="14"/>
      <c r="R124" s="14"/>
      <c r="S124" s="14"/>
      <c r="T124" s="14"/>
      <c r="U124" s="14"/>
      <c r="V124" s="185"/>
    </row>
    <row r="125" spans="1:25" ht="18" customHeight="1">
      <c r="A125" s="184"/>
      <c r="B125" s="14"/>
      <c r="C125" s="14" t="s">
        <v>729</v>
      </c>
      <c r="D125" s="47"/>
      <c r="E125" s="14"/>
      <c r="F125" s="268"/>
      <c r="K125" s="28"/>
      <c r="L125" s="28"/>
      <c r="M125" s="14"/>
      <c r="N125" s="14"/>
      <c r="O125" s="14"/>
      <c r="P125" s="14"/>
      <c r="Q125" s="14"/>
      <c r="R125" s="14"/>
      <c r="S125" s="14"/>
      <c r="T125" s="14"/>
      <c r="U125" s="14"/>
      <c r="V125" s="185"/>
    </row>
    <row r="126" spans="1:25" ht="18" customHeight="1">
      <c r="A126" s="184"/>
      <c r="B126" s="14"/>
      <c r="C126" s="7" t="s">
        <v>730</v>
      </c>
      <c r="D126" s="14"/>
      <c r="E126" s="14"/>
      <c r="F126" s="14"/>
      <c r="G126" s="14"/>
      <c r="H126" s="14"/>
      <c r="K126" s="28"/>
      <c r="L126" s="28"/>
      <c r="M126" s="47"/>
      <c r="N126" s="14"/>
      <c r="O126" s="14"/>
      <c r="P126" s="14"/>
      <c r="Q126" s="14"/>
      <c r="R126" s="14"/>
      <c r="S126" s="14"/>
      <c r="T126" s="14"/>
      <c r="U126" s="14"/>
      <c r="V126" s="185"/>
    </row>
    <row r="127" spans="1:25" ht="18" customHeight="1">
      <c r="A127" s="184"/>
      <c r="B127" s="14"/>
      <c r="C127" s="7" t="s">
        <v>731</v>
      </c>
      <c r="K127" s="28"/>
      <c r="L127" s="28"/>
      <c r="M127" s="28"/>
      <c r="O127" s="14"/>
      <c r="P127" s="28"/>
      <c r="Q127" s="278"/>
      <c r="R127" s="28"/>
      <c r="S127" s="14"/>
      <c r="T127" s="14"/>
      <c r="U127" s="14"/>
      <c r="V127" s="185"/>
    </row>
    <row r="128" spans="1:25" ht="18" customHeight="1">
      <c r="A128" s="452"/>
      <c r="B128" s="207"/>
      <c r="C128" s="207"/>
      <c r="D128" s="207"/>
      <c r="E128" s="207"/>
      <c r="F128" s="207"/>
      <c r="G128" s="207"/>
      <c r="H128" s="207"/>
      <c r="I128" s="207"/>
      <c r="J128" s="207"/>
      <c r="K128" s="259" t="s">
        <v>129</v>
      </c>
      <c r="L128" s="259" t="s">
        <v>732</v>
      </c>
      <c r="M128" s="190"/>
      <c r="N128" s="259"/>
      <c r="O128" s="259"/>
      <c r="P128" s="229"/>
      <c r="Q128" s="473"/>
      <c r="R128" s="229"/>
      <c r="S128" s="259"/>
      <c r="T128" s="259"/>
      <c r="U128" s="259"/>
      <c r="V128" s="453"/>
    </row>
    <row r="129" spans="1:22"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customHeight="1">
      <c r="A130" s="226"/>
      <c r="B130" s="273"/>
      <c r="C130" s="273"/>
      <c r="D130" s="227"/>
      <c r="E130" s="227"/>
      <c r="F130" s="227"/>
      <c r="G130" s="227"/>
      <c r="H130" s="227"/>
      <c r="I130" s="227"/>
      <c r="J130" s="227"/>
      <c r="K130" s="311"/>
      <c r="L130" s="311"/>
      <c r="M130" s="227"/>
      <c r="N130" s="227"/>
      <c r="O130" s="311"/>
      <c r="P130" s="311"/>
      <c r="Q130" s="138"/>
      <c r="R130" s="227"/>
      <c r="S130" s="227"/>
      <c r="T130" s="273"/>
      <c r="U130" s="273"/>
      <c r="V130" s="228"/>
    </row>
    <row r="131" spans="1:22" ht="18" customHeight="1">
      <c r="A131" s="96"/>
      <c r="B131" s="7" t="s">
        <v>733</v>
      </c>
      <c r="C131" s="7"/>
      <c r="D131" s="14"/>
      <c r="E131" s="7"/>
      <c r="F131" s="7"/>
      <c r="L131" s="27"/>
      <c r="O131" s="27"/>
      <c r="P131" s="27"/>
      <c r="Q131" s="28"/>
      <c r="T131" s="14"/>
      <c r="U131" s="14"/>
      <c r="V131" s="185"/>
    </row>
    <row r="132" spans="1:22" ht="18" customHeight="1">
      <c r="A132" s="96"/>
      <c r="B132" s="14"/>
      <c r="C132" s="7"/>
      <c r="D132" s="7"/>
      <c r="E132" s="14"/>
      <c r="F132" s="7"/>
      <c r="L132" s="27"/>
      <c r="M132" s="14"/>
      <c r="O132" s="14"/>
      <c r="P132" s="14"/>
      <c r="Q132" s="14"/>
      <c r="R132" s="14"/>
      <c r="S132" s="14"/>
      <c r="T132" s="14"/>
      <c r="U132" s="14"/>
      <c r="V132" s="185"/>
    </row>
    <row r="133" spans="1:22" ht="18" customHeight="1">
      <c r="A133" s="96"/>
      <c r="B133" s="14"/>
      <c r="C133" s="120" t="s">
        <v>734</v>
      </c>
      <c r="D133" s="28" t="s">
        <v>127</v>
      </c>
      <c r="E133" s="805">
        <f>S108</f>
        <v>31500</v>
      </c>
      <c r="F133" s="805"/>
      <c r="G133" s="14"/>
      <c r="H133" s="14"/>
      <c r="I133" s="102"/>
      <c r="J133" s="47"/>
      <c r="K133" s="47"/>
      <c r="L133" s="14"/>
      <c r="M133" s="14"/>
      <c r="N133" s="14"/>
      <c r="O133" s="14"/>
      <c r="P133" s="14"/>
      <c r="Q133" s="14"/>
      <c r="R133" s="14"/>
      <c r="S133" s="14"/>
      <c r="T133" s="14"/>
      <c r="U133" s="14"/>
      <c r="V133" s="185"/>
    </row>
    <row r="134" spans="1:22" ht="18" customHeight="1">
      <c r="A134" s="96"/>
      <c r="B134" s="14"/>
      <c r="C134" s="120"/>
      <c r="D134" s="28"/>
      <c r="E134" s="978" t="str">
        <f>"5 x "&amp;S109&amp;""</f>
        <v>5 x 3200</v>
      </c>
      <c r="F134" s="978"/>
      <c r="G134" s="28"/>
      <c r="H134" s="257"/>
      <c r="K134" s="28"/>
      <c r="L134" s="218"/>
      <c r="M134" s="257"/>
      <c r="O134" s="14"/>
      <c r="P134" s="14"/>
      <c r="Q134" s="14"/>
      <c r="R134" s="14"/>
      <c r="S134" s="14"/>
      <c r="T134" s="14"/>
      <c r="U134" s="14"/>
      <c r="V134" s="185"/>
    </row>
    <row r="135" spans="1:22" ht="18" customHeight="1">
      <c r="A135" s="96"/>
      <c r="J135" s="14"/>
      <c r="K135" s="257"/>
      <c r="M135" s="14"/>
      <c r="N135" s="14"/>
      <c r="O135" s="14"/>
      <c r="P135" s="14"/>
      <c r="Q135" s="14"/>
      <c r="R135" s="14"/>
      <c r="S135" s="14"/>
      <c r="T135" s="14"/>
      <c r="U135" s="14"/>
      <c r="V135" s="185"/>
    </row>
    <row r="136" spans="1:22" ht="18" customHeight="1">
      <c r="A136" s="96"/>
      <c r="C136" s="458" t="s">
        <v>734</v>
      </c>
      <c r="D136" s="182" t="s">
        <v>127</v>
      </c>
      <c r="E136" s="1288">
        <f>S108/5/S109</f>
        <v>1.96875</v>
      </c>
      <c r="F136" s="722"/>
      <c r="G136" s="27"/>
      <c r="H136" s="27"/>
      <c r="I136" s="27"/>
      <c r="J136" s="120"/>
      <c r="K136" s="28"/>
      <c r="L136" s="120"/>
      <c r="M136" s="28"/>
      <c r="N136" s="120"/>
      <c r="O136" s="28"/>
      <c r="P136" s="120"/>
      <c r="Q136" s="296"/>
      <c r="V136" s="185"/>
    </row>
    <row r="137" spans="1:22" ht="18" customHeight="1">
      <c r="A137" s="96"/>
      <c r="C137" s="120"/>
      <c r="D137" s="28"/>
      <c r="E137" s="218"/>
      <c r="F137" s="218"/>
      <c r="G137" s="27"/>
      <c r="H137" s="27"/>
      <c r="I137" s="27"/>
      <c r="J137" s="120"/>
      <c r="K137" s="28"/>
      <c r="L137" s="120"/>
      <c r="M137" s="28"/>
      <c r="N137" s="120"/>
      <c r="O137" s="28"/>
      <c r="P137" s="120"/>
      <c r="Q137" s="296"/>
      <c r="V137" s="185"/>
    </row>
    <row r="138" spans="1:22" ht="18" customHeight="1">
      <c r="A138" s="96"/>
      <c r="B138" s="14" t="s">
        <v>735</v>
      </c>
      <c r="C138" s="14"/>
      <c r="D138" s="14"/>
      <c r="E138" s="7"/>
      <c r="F138" s="102"/>
      <c r="G138" s="7"/>
      <c r="H138" s="7"/>
      <c r="I138" s="239"/>
      <c r="J138" s="120"/>
      <c r="K138" s="28"/>
      <c r="L138" s="120"/>
      <c r="M138" s="28"/>
      <c r="N138" s="120"/>
      <c r="O138" s="28"/>
      <c r="P138" s="120"/>
      <c r="Q138" s="296"/>
      <c r="V138" s="185"/>
    </row>
    <row r="139" spans="1:22" ht="18" customHeight="1">
      <c r="A139" s="96"/>
      <c r="C139" s="14"/>
      <c r="D139" s="14"/>
      <c r="E139" s="689" t="s">
        <v>736</v>
      </c>
      <c r="F139" s="689">
        <v>1</v>
      </c>
      <c r="G139" s="689"/>
      <c r="H139" s="689" t="s">
        <v>312</v>
      </c>
      <c r="I139" s="459" t="s">
        <v>312</v>
      </c>
      <c r="J139" s="120"/>
      <c r="K139" s="28"/>
      <c r="L139" s="120"/>
      <c r="M139" s="28"/>
      <c r="N139" s="120"/>
      <c r="O139" s="28"/>
      <c r="P139" s="120"/>
      <c r="Q139" s="296"/>
      <c r="V139" s="185"/>
    </row>
    <row r="140" spans="1:22" ht="18" customHeight="1">
      <c r="A140" s="96"/>
      <c r="C140" s="14"/>
      <c r="D140" s="14"/>
      <c r="E140" s="723"/>
      <c r="F140" s="273"/>
      <c r="G140" s="274" t="s">
        <v>737</v>
      </c>
      <c r="H140" s="689"/>
      <c r="I140" s="14" t="s">
        <v>141</v>
      </c>
      <c r="J140" s="120"/>
      <c r="K140" s="28"/>
      <c r="L140" s="120"/>
      <c r="M140" s="28"/>
      <c r="N140" s="120"/>
      <c r="O140" s="28"/>
      <c r="P140" s="120"/>
      <c r="Q140" s="296"/>
      <c r="V140" s="185"/>
    </row>
    <row r="141" spans="1:22" ht="18" customHeight="1">
      <c r="A141" s="96"/>
      <c r="C141" s="120"/>
      <c r="D141" s="28"/>
      <c r="E141" s="218"/>
      <c r="F141" s="218"/>
      <c r="G141" s="27"/>
      <c r="H141" s="27"/>
      <c r="I141" s="27"/>
      <c r="J141" s="120"/>
      <c r="K141" s="28"/>
      <c r="L141" s="120"/>
      <c r="M141" s="28"/>
      <c r="N141" s="120"/>
      <c r="O141" s="28"/>
      <c r="P141" s="120"/>
      <c r="Q141" s="296"/>
      <c r="V141" s="185"/>
    </row>
    <row r="142" spans="1:22" ht="18" customHeight="1">
      <c r="A142" s="96"/>
      <c r="B142" s="30" t="s">
        <v>959</v>
      </c>
      <c r="J142" s="120"/>
      <c r="K142" s="28"/>
      <c r="L142" s="120"/>
      <c r="M142" s="28"/>
      <c r="N142" s="121" t="s">
        <v>127</v>
      </c>
      <c r="O142" s="47">
        <f>15</f>
        <v>15</v>
      </c>
      <c r="P142" s="120"/>
      <c r="Q142" s="296"/>
      <c r="V142" s="185"/>
    </row>
    <row r="143" spans="1:22" ht="18" customHeight="1">
      <c r="A143" s="184"/>
      <c r="C143" s="120"/>
      <c r="D143" s="28"/>
      <c r="E143" s="218"/>
      <c r="F143" s="218"/>
      <c r="G143" s="27"/>
      <c r="H143" s="27"/>
      <c r="I143" s="27"/>
      <c r="J143" s="120"/>
      <c r="K143" s="28"/>
      <c r="L143" s="120"/>
      <c r="M143" s="28"/>
      <c r="N143" s="120"/>
      <c r="O143" s="28"/>
      <c r="P143" s="120"/>
      <c r="Q143" s="296"/>
      <c r="V143" s="185"/>
    </row>
    <row r="144" spans="1:22" ht="18" customHeight="1">
      <c r="A144" s="96"/>
      <c r="C144" s="120"/>
      <c r="F144" s="708">
        <v>1</v>
      </c>
      <c r="G144" s="708"/>
      <c r="H144" s="708"/>
      <c r="I144" s="27"/>
      <c r="J144" s="689" t="s">
        <v>315</v>
      </c>
      <c r="K144" s="1286">
        <f>O142</f>
        <v>15</v>
      </c>
      <c r="L144" s="120"/>
      <c r="M144" s="28"/>
      <c r="N144" s="120"/>
      <c r="O144" s="28"/>
      <c r="P144" s="120"/>
      <c r="Q144" s="296"/>
      <c r="V144" s="185"/>
    </row>
    <row r="145" spans="1:22" ht="18" customHeight="1">
      <c r="A145" s="184"/>
      <c r="C145" s="120"/>
      <c r="D145" s="120" t="s">
        <v>738</v>
      </c>
      <c r="E145" s="102" t="s">
        <v>127</v>
      </c>
      <c r="F145" s="14" t="s">
        <v>739</v>
      </c>
      <c r="I145" s="27"/>
      <c r="J145" s="684"/>
      <c r="K145" s="1251"/>
      <c r="L145" s="120"/>
      <c r="M145" s="28"/>
      <c r="N145" s="120"/>
      <c r="O145" s="28"/>
      <c r="P145" s="120"/>
      <c r="Q145" s="296"/>
      <c r="V145" s="185"/>
    </row>
    <row r="146" spans="1:22" ht="18" customHeight="1">
      <c r="A146" s="184"/>
      <c r="C146" s="120"/>
      <c r="D146" s="28"/>
      <c r="E146" s="218" t="s">
        <v>127</v>
      </c>
      <c r="F146" s="1287">
        <f>1*O142/(2*3.14*50)</f>
        <v>4.7770700636942678E-2</v>
      </c>
      <c r="G146" s="1287"/>
      <c r="H146" s="28" t="s">
        <v>740</v>
      </c>
      <c r="I146" s="27"/>
      <c r="J146" s="120"/>
      <c r="K146" s="28"/>
      <c r="L146" s="120"/>
      <c r="M146" s="28"/>
      <c r="N146" s="120"/>
      <c r="O146" s="28"/>
      <c r="P146" s="120"/>
      <c r="Q146" s="296"/>
      <c r="V146" s="185"/>
    </row>
    <row r="147" spans="1:22" ht="18" customHeight="1">
      <c r="A147" s="184"/>
      <c r="C147" s="120"/>
      <c r="D147" s="120" t="s">
        <v>738</v>
      </c>
      <c r="E147" s="218" t="s">
        <v>127</v>
      </c>
      <c r="F147" s="1188">
        <f>F146*1000</f>
        <v>47.770700636942678</v>
      </c>
      <c r="G147" s="1188"/>
      <c r="H147" s="28" t="s">
        <v>343</v>
      </c>
      <c r="I147" s="27"/>
      <c r="J147" s="120"/>
      <c r="K147" s="28"/>
      <c r="L147" s="120"/>
      <c r="M147" s="28"/>
      <c r="N147" s="120"/>
      <c r="O147" s="28"/>
      <c r="P147" s="120"/>
      <c r="Q147" s="296"/>
      <c r="V147" s="185"/>
    </row>
    <row r="148" spans="1:22" ht="18" customHeight="1">
      <c r="A148" s="184"/>
      <c r="B148" s="14" t="s">
        <v>741</v>
      </c>
      <c r="E148" s="28" t="s">
        <v>127</v>
      </c>
      <c r="F148" s="27">
        <v>10</v>
      </c>
      <c r="G148" s="27"/>
      <c r="H148" s="245"/>
      <c r="I148" s="245"/>
      <c r="J148" s="460"/>
      <c r="K148" s="245"/>
      <c r="L148" s="460"/>
      <c r="M148" s="245"/>
      <c r="N148" s="460"/>
      <c r="O148" s="245"/>
      <c r="P148" s="460"/>
      <c r="Q148" s="461"/>
      <c r="V148" s="185"/>
    </row>
    <row r="149" spans="1:22" ht="18" customHeight="1">
      <c r="A149" s="184"/>
      <c r="G149" s="27"/>
      <c r="H149" s="245"/>
      <c r="I149" s="245"/>
      <c r="J149" s="460"/>
      <c r="K149" s="245"/>
      <c r="L149" s="460"/>
      <c r="M149" s="245"/>
      <c r="N149" s="460"/>
      <c r="O149" s="245"/>
      <c r="P149" s="460"/>
      <c r="Q149" s="461"/>
      <c r="V149" s="185"/>
    </row>
    <row r="150" spans="1:22" ht="18" customHeight="1">
      <c r="A150" s="184"/>
      <c r="B150" s="7" t="s">
        <v>742</v>
      </c>
      <c r="F150" s="7"/>
      <c r="G150" s="7"/>
      <c r="H150" s="204"/>
      <c r="I150" s="204"/>
      <c r="V150" s="185"/>
    </row>
    <row r="151" spans="1:22" ht="18" customHeight="1">
      <c r="A151" s="184"/>
      <c r="B151" s="7"/>
      <c r="E151" s="14" t="s">
        <v>754</v>
      </c>
      <c r="F151" s="7"/>
      <c r="G151" s="7"/>
      <c r="V151" s="185"/>
    </row>
    <row r="152" spans="1:22" ht="18" customHeight="1">
      <c r="A152" s="184"/>
      <c r="B152" s="14" t="s">
        <v>744</v>
      </c>
      <c r="C152" s="14"/>
      <c r="D152" s="14"/>
      <c r="E152" s="14"/>
      <c r="F152" s="14"/>
      <c r="G152" s="120"/>
      <c r="H152" s="120"/>
      <c r="V152" s="185"/>
    </row>
    <row r="153" spans="1:22" ht="18" customHeight="1">
      <c r="A153" s="184"/>
      <c r="B153" s="14"/>
      <c r="C153" s="120" t="s">
        <v>745</v>
      </c>
      <c r="D153" s="28" t="s">
        <v>127</v>
      </c>
      <c r="E153" s="1188">
        <f>MAX(E136,F148)</f>
        <v>10</v>
      </c>
      <c r="F153" s="1188"/>
      <c r="G153" s="47" t="s">
        <v>746</v>
      </c>
      <c r="H153" s="120"/>
      <c r="V153" s="185"/>
    </row>
    <row r="154" spans="1:22" ht="18" customHeight="1">
      <c r="A154" s="184"/>
      <c r="B154" s="7"/>
      <c r="E154" s="14"/>
      <c r="F154" s="7"/>
      <c r="G154" s="7"/>
      <c r="V154" s="185"/>
    </row>
    <row r="155" spans="1:22" ht="18" customHeight="1">
      <c r="A155" s="184"/>
      <c r="B155" s="47" t="s">
        <v>747</v>
      </c>
      <c r="E155" s="14"/>
      <c r="F155" s="7"/>
      <c r="G155" s="7"/>
      <c r="V155" s="185"/>
    </row>
    <row r="156" spans="1:22" ht="18" customHeight="1">
      <c r="A156" s="184"/>
      <c r="B156" s="47" t="s">
        <v>748</v>
      </c>
      <c r="E156" s="14"/>
      <c r="F156" s="7"/>
      <c r="G156" s="7"/>
      <c r="V156" s="185"/>
    </row>
    <row r="157" spans="1:22" ht="18" customHeight="1" thickBot="1">
      <c r="A157" s="184"/>
      <c r="B157" s="102" t="s">
        <v>127</v>
      </c>
      <c r="C157" s="120">
        <f>E153</f>
        <v>10</v>
      </c>
      <c r="D157" s="28" t="s">
        <v>315</v>
      </c>
      <c r="E157" s="28" t="s">
        <v>419</v>
      </c>
      <c r="F157" s="692">
        <f>S112</f>
        <v>5</v>
      </c>
      <c r="G157" s="692"/>
      <c r="H157" s="102" t="s">
        <v>347</v>
      </c>
      <c r="I157" s="218">
        <f>S113</f>
        <v>1.0870224400000001</v>
      </c>
      <c r="J157" s="240" t="s">
        <v>347</v>
      </c>
      <c r="K157" s="281">
        <f>J101</f>
        <v>0.01</v>
      </c>
      <c r="L157" s="14" t="s">
        <v>350</v>
      </c>
      <c r="M157" s="14" t="s">
        <v>315</v>
      </c>
      <c r="N157" s="28">
        <v>1</v>
      </c>
      <c r="V157" s="185"/>
    </row>
    <row r="158" spans="1:22" ht="18" customHeight="1" thickBot="1">
      <c r="A158" s="184"/>
      <c r="B158" s="462" t="s">
        <v>528</v>
      </c>
      <c r="C158" s="463" t="s">
        <v>127</v>
      </c>
      <c r="D158" s="464">
        <f>C157*(F157+I157+K157)*N157</f>
        <v>60.970224399999999</v>
      </c>
      <c r="E158" s="14" t="s">
        <v>305</v>
      </c>
      <c r="F158" s="7"/>
      <c r="G158" s="7"/>
      <c r="V158" s="185"/>
    </row>
    <row r="159" spans="1:22" ht="18" customHeight="1">
      <c r="A159" s="184"/>
      <c r="B159" s="7"/>
      <c r="E159" s="14"/>
      <c r="F159" s="7"/>
      <c r="G159" s="7"/>
      <c r="V159" s="185"/>
    </row>
    <row r="160" spans="1:22" ht="18" customHeight="1">
      <c r="A160" s="184"/>
      <c r="B160" s="47" t="s">
        <v>749</v>
      </c>
      <c r="E160" s="14"/>
      <c r="F160" s="7"/>
      <c r="G160" s="7"/>
      <c r="J160" s="14" t="s">
        <v>750</v>
      </c>
      <c r="L160" s="28" t="s">
        <v>476</v>
      </c>
      <c r="N160" s="14" t="s">
        <v>751</v>
      </c>
      <c r="V160" s="185"/>
    </row>
    <row r="161" spans="1:22" ht="18" customHeight="1">
      <c r="A161" s="184"/>
      <c r="B161" s="7"/>
      <c r="E161" s="14"/>
      <c r="F161" s="7"/>
      <c r="G161" s="7"/>
      <c r="L161" s="28" t="s">
        <v>127</v>
      </c>
      <c r="N161" s="1251">
        <f>0.8*D158</f>
        <v>48.776179519999999</v>
      </c>
      <c r="O161" s="1251"/>
      <c r="V161" s="185"/>
    </row>
    <row r="162" spans="1:22" ht="18" customHeight="1">
      <c r="A162" s="184"/>
      <c r="B162" s="7"/>
      <c r="E162" s="14"/>
      <c r="F162" s="14" t="s">
        <v>752</v>
      </c>
      <c r="G162" s="7"/>
      <c r="L162" s="28" t="s">
        <v>127</v>
      </c>
      <c r="N162" s="1072">
        <f>N161*1.2</f>
        <v>58.531415423999995</v>
      </c>
      <c r="O162" s="1072"/>
      <c r="V162" s="185"/>
    </row>
    <row r="163" spans="1:22" ht="18" customHeight="1">
      <c r="A163" s="184"/>
      <c r="B163" s="7"/>
      <c r="E163" s="14"/>
      <c r="F163" s="7"/>
      <c r="G163" s="7"/>
      <c r="K163" s="199" t="s">
        <v>475</v>
      </c>
      <c r="L163" s="28" t="str">
        <f>IF(J164&gt;M164,"&gt;","&lt;")</f>
        <v>&gt;</v>
      </c>
      <c r="M163" s="257" t="s">
        <v>477</v>
      </c>
      <c r="O163" s="18"/>
      <c r="P163" s="268"/>
      <c r="V163" s="185"/>
    </row>
    <row r="164" spans="1:22" ht="18" customHeight="1">
      <c r="A164" s="184"/>
      <c r="D164" s="211"/>
      <c r="E164" s="211"/>
      <c r="F164" s="27"/>
      <c r="G164" s="211"/>
      <c r="J164" s="795">
        <f>S111</f>
        <v>900</v>
      </c>
      <c r="K164" s="795"/>
      <c r="L164" s="27" t="str">
        <f>IF(J164&gt;=M164,"&gt;","&lt;")</f>
        <v>&gt;</v>
      </c>
      <c r="M164" s="795">
        <f>N162</f>
        <v>58.531415423999995</v>
      </c>
      <c r="N164" s="795"/>
      <c r="P164" s="268"/>
      <c r="V164" s="185"/>
    </row>
    <row r="165" spans="1:22" ht="18" customHeight="1">
      <c r="A165" s="184"/>
      <c r="K165" s="244" t="s">
        <v>478</v>
      </c>
      <c r="M165" s="18" t="str">
        <f>IF(J164&gt;M164,"Suitably Dimensioned","Under Dimensioned")</f>
        <v>Suitably Dimensioned</v>
      </c>
      <c r="V165" s="185"/>
    </row>
    <row r="166" spans="1:22" ht="18" customHeight="1">
      <c r="A166" s="184"/>
      <c r="V166" s="185"/>
    </row>
    <row r="167" spans="1:22" ht="18" hidden="1" customHeight="1">
      <c r="A167" s="184"/>
      <c r="V167" s="185"/>
    </row>
    <row r="168" spans="1:22" ht="18" hidden="1" customHeight="1">
      <c r="A168" s="184"/>
      <c r="V168" s="185"/>
    </row>
    <row r="169" spans="1:22" ht="18" hidden="1" customHeight="1">
      <c r="A169" s="452"/>
      <c r="B169" s="207"/>
      <c r="C169" s="207"/>
      <c r="D169" s="207"/>
      <c r="E169" s="207"/>
      <c r="F169" s="207"/>
      <c r="G169" s="207"/>
      <c r="H169" s="207"/>
      <c r="I169" s="207"/>
      <c r="J169" s="207"/>
      <c r="K169" s="207"/>
      <c r="L169" s="207"/>
      <c r="M169" s="207"/>
      <c r="N169" s="207"/>
      <c r="O169" s="207"/>
      <c r="P169" s="207"/>
      <c r="Q169" s="207"/>
      <c r="R169" s="207"/>
      <c r="S169" s="207"/>
      <c r="T169" s="207"/>
      <c r="U169" s="207"/>
      <c r="V169" s="453"/>
    </row>
    <row r="170" spans="1:22" s="14" customFormat="1" ht="18" hidden="1"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hidden="1" customHeight="1">
      <c r="A171" s="226"/>
      <c r="B171" s="227"/>
      <c r="C171" s="227"/>
      <c r="D171" s="227"/>
      <c r="E171" s="227"/>
      <c r="F171" s="227"/>
      <c r="G171" s="227"/>
      <c r="H171" s="227"/>
      <c r="I171" s="227"/>
      <c r="J171" s="227"/>
      <c r="K171" s="227"/>
      <c r="L171" s="227"/>
      <c r="M171" s="227"/>
      <c r="N171" s="227"/>
      <c r="O171" s="227"/>
      <c r="P171" s="227"/>
      <c r="Q171" s="227"/>
      <c r="R171" s="227"/>
      <c r="S171" s="227"/>
      <c r="T171" s="227"/>
      <c r="U171" s="227"/>
      <c r="V171" s="228"/>
    </row>
    <row r="172" spans="1:22" ht="18" hidden="1" customHeight="1">
      <c r="A172" s="184"/>
      <c r="B172" s="854" t="str">
        <f>B90</f>
        <v>T1</v>
      </c>
      <c r="C172" s="831"/>
      <c r="D172" s="854" t="str">
        <f>D90</f>
        <v>Core2</v>
      </c>
      <c r="E172" s="831"/>
      <c r="F172" s="455"/>
      <c r="H172" s="684" t="str">
        <f>H90</f>
        <v>(Low Imp. Busbar)</v>
      </c>
      <c r="I172" s="684"/>
      <c r="J172" s="684"/>
      <c r="K172" s="684"/>
      <c r="L172" s="684"/>
      <c r="M172" s="684"/>
      <c r="P172" s="186"/>
      <c r="S172" s="187" t="s">
        <v>387</v>
      </c>
      <c r="T172" s="854" t="str">
        <f>T90</f>
        <v>REB500</v>
      </c>
      <c r="U172" s="831"/>
      <c r="V172" s="185"/>
    </row>
    <row r="173" spans="1:22" ht="18" hidden="1" customHeight="1">
      <c r="A173" s="456"/>
      <c r="F173" s="455"/>
      <c r="T173" s="854">
        <f>T91</f>
        <v>0</v>
      </c>
      <c r="U173" s="831"/>
      <c r="V173" s="185"/>
    </row>
    <row r="174" spans="1:22" ht="18" hidden="1" customHeight="1">
      <c r="A174" s="184"/>
      <c r="H174" s="708" t="s">
        <v>390</v>
      </c>
      <c r="I174" s="708"/>
      <c r="J174" s="708" t="s">
        <v>391</v>
      </c>
      <c r="K174" s="708"/>
      <c r="L174" s="789" t="s">
        <v>392</v>
      </c>
      <c r="M174" s="789"/>
      <c r="T174" s="854">
        <f>T92</f>
        <v>0</v>
      </c>
      <c r="U174" s="831"/>
      <c r="V174" s="185"/>
    </row>
    <row r="175" spans="1:22" ht="18" hidden="1" customHeight="1">
      <c r="A175" s="184"/>
      <c r="B175" s="47" t="s">
        <v>393</v>
      </c>
      <c r="H175" s="854">
        <f>H93</f>
        <v>2000</v>
      </c>
      <c r="I175" s="831"/>
      <c r="J175" s="854">
        <f>J93</f>
        <v>3200</v>
      </c>
      <c r="K175" s="831"/>
      <c r="L175" s="863" t="str">
        <f>L93</f>
        <v>-</v>
      </c>
      <c r="M175" s="864"/>
      <c r="N175" s="191" t="s">
        <v>342</v>
      </c>
      <c r="O175" s="256">
        <f>O93</f>
        <v>1</v>
      </c>
      <c r="P175" s="27" t="s">
        <v>8</v>
      </c>
      <c r="R175" s="255"/>
      <c r="S175" s="255"/>
      <c r="V175" s="185"/>
    </row>
    <row r="176" spans="1:22" ht="18" hidden="1" customHeight="1">
      <c r="A176" s="184"/>
      <c r="B176" s="47" t="s">
        <v>394</v>
      </c>
      <c r="H176" s="14"/>
      <c r="K176" s="14"/>
      <c r="L176" s="854" t="str">
        <f>J94</f>
        <v>PX</v>
      </c>
      <c r="M176" s="831"/>
      <c r="N176" s="14"/>
      <c r="V176" s="185"/>
    </row>
    <row r="177" spans="1:23" ht="18" hidden="1" customHeight="1">
      <c r="A177" s="184"/>
      <c r="B177" s="47" t="s">
        <v>396</v>
      </c>
      <c r="K177" s="120" t="s">
        <v>497</v>
      </c>
      <c r="L177" s="781" t="s">
        <v>6</v>
      </c>
      <c r="M177" s="782"/>
      <c r="N177" s="192" t="s">
        <v>333</v>
      </c>
      <c r="V177" s="185"/>
    </row>
    <row r="178" spans="1:23" ht="18" hidden="1" customHeight="1">
      <c r="A178" s="184"/>
      <c r="B178" s="47" t="s">
        <v>398</v>
      </c>
      <c r="K178" s="120" t="s">
        <v>498</v>
      </c>
      <c r="L178" s="781" t="s">
        <v>6</v>
      </c>
      <c r="M178" s="782"/>
      <c r="N178" s="14" t="s">
        <v>305</v>
      </c>
      <c r="V178" s="185"/>
      <c r="W178" s="30" t="e">
        <f>G238</f>
        <v>#VALUE!</v>
      </c>
    </row>
    <row r="179" spans="1:23" ht="18" hidden="1" customHeight="1">
      <c r="A179" s="184"/>
      <c r="B179" s="14" t="s">
        <v>401</v>
      </c>
      <c r="K179" s="120" t="s">
        <v>402</v>
      </c>
      <c r="L179" s="781" t="s">
        <v>6</v>
      </c>
      <c r="M179" s="782"/>
      <c r="N179" s="14" t="s">
        <v>403</v>
      </c>
      <c r="V179" s="185"/>
    </row>
    <row r="180" spans="1:23" ht="18" hidden="1" customHeight="1">
      <c r="A180" s="184"/>
      <c r="V180" s="185"/>
    </row>
    <row r="181" spans="1:23" ht="18" hidden="1" customHeight="1">
      <c r="A181" s="193" t="s">
        <v>404</v>
      </c>
      <c r="V181" s="185"/>
    </row>
    <row r="182" spans="1:23" ht="18" hidden="1" customHeight="1">
      <c r="A182" s="184"/>
      <c r="V182" s="185"/>
    </row>
    <row r="183" spans="1:23" ht="18" hidden="1" customHeight="1">
      <c r="A183" s="184"/>
      <c r="B183" s="135" t="s">
        <v>405</v>
      </c>
      <c r="C183" s="273"/>
      <c r="D183" s="139" t="str">
        <f>T172</f>
        <v>REB500</v>
      </c>
      <c r="E183" s="227"/>
      <c r="F183" s="227"/>
      <c r="G183" s="227"/>
      <c r="H183" s="138"/>
      <c r="I183" s="260" t="s">
        <v>127</v>
      </c>
      <c r="J183" s="722">
        <f>J101</f>
        <v>0.01</v>
      </c>
      <c r="K183" s="958"/>
      <c r="L183" s="3" t="s">
        <v>157</v>
      </c>
      <c r="N183" s="197" t="s">
        <v>510</v>
      </c>
      <c r="V183" s="185"/>
    </row>
    <row r="184" spans="1:23" ht="18" hidden="1" customHeight="1">
      <c r="A184" s="184"/>
      <c r="B184" s="96" t="s">
        <v>405</v>
      </c>
      <c r="C184" s="14"/>
      <c r="D184" s="47">
        <f>T173</f>
        <v>0</v>
      </c>
      <c r="H184" s="28"/>
      <c r="I184" s="101" t="s">
        <v>127</v>
      </c>
      <c r="J184" s="722">
        <f>J102</f>
        <v>0</v>
      </c>
      <c r="K184" s="958"/>
      <c r="L184" s="3" t="s">
        <v>157</v>
      </c>
      <c r="N184" s="120" t="s">
        <v>491</v>
      </c>
      <c r="O184" s="27" t="s">
        <v>127</v>
      </c>
      <c r="P184" s="27" t="s">
        <v>511</v>
      </c>
      <c r="Q184" s="27" t="s">
        <v>315</v>
      </c>
      <c r="R184" s="27" t="s">
        <v>511</v>
      </c>
      <c r="S184" s="27" t="s">
        <v>315</v>
      </c>
      <c r="T184" s="27" t="s">
        <v>420</v>
      </c>
      <c r="V184" s="185"/>
    </row>
    <row r="185" spans="1:23" ht="18" hidden="1" customHeight="1">
      <c r="A185" s="184"/>
      <c r="B185" s="96" t="s">
        <v>405</v>
      </c>
      <c r="C185" s="14"/>
      <c r="D185" s="47">
        <f>T174</f>
        <v>0</v>
      </c>
      <c r="H185" s="28"/>
      <c r="I185" s="101" t="s">
        <v>127</v>
      </c>
      <c r="J185" s="722">
        <f>J103</f>
        <v>0</v>
      </c>
      <c r="K185" s="958"/>
      <c r="L185" s="3" t="s">
        <v>157</v>
      </c>
      <c r="N185" s="27"/>
      <c r="O185" s="27" t="s">
        <v>127</v>
      </c>
      <c r="P185" s="27">
        <f>O175</f>
        <v>1</v>
      </c>
      <c r="Q185" s="27" t="s">
        <v>315</v>
      </c>
      <c r="R185" s="27">
        <f>O175</f>
        <v>1</v>
      </c>
      <c r="S185" s="27" t="s">
        <v>315</v>
      </c>
      <c r="T185" s="27" t="str">
        <f>L177</f>
        <v>-</v>
      </c>
      <c r="V185" s="185"/>
    </row>
    <row r="186" spans="1:23" ht="18" hidden="1" customHeight="1">
      <c r="A186" s="184"/>
      <c r="B186" s="452" t="s">
        <v>412</v>
      </c>
      <c r="C186" s="259"/>
      <c r="D186" s="259"/>
      <c r="E186" s="259"/>
      <c r="F186" s="207"/>
      <c r="G186" s="207"/>
      <c r="H186" s="190"/>
      <c r="I186" s="208" t="s">
        <v>127</v>
      </c>
      <c r="J186" s="1120">
        <f>J104</f>
        <v>1.0770224400000001</v>
      </c>
      <c r="K186" s="987"/>
      <c r="L186" s="297" t="s">
        <v>157</v>
      </c>
      <c r="O186" s="27" t="s">
        <v>127</v>
      </c>
      <c r="P186" s="795" t="e">
        <f>P185*R185*T185</f>
        <v>#VALUE!</v>
      </c>
      <c r="Q186" s="684"/>
      <c r="R186" s="27" t="s">
        <v>157</v>
      </c>
      <c r="V186" s="185"/>
    </row>
    <row r="187" spans="1:23" ht="18" hidden="1" customHeight="1">
      <c r="A187" s="184"/>
      <c r="B187" s="1" t="s">
        <v>413</v>
      </c>
      <c r="C187" s="2"/>
      <c r="D187" s="2"/>
      <c r="E187" s="2"/>
      <c r="F187" s="196"/>
      <c r="G187" s="196"/>
      <c r="H187" s="224" t="s">
        <v>512</v>
      </c>
      <c r="I187" s="183" t="s">
        <v>127</v>
      </c>
      <c r="J187" s="722">
        <f>SUM(J183:J186)</f>
        <v>1.0870224400000001</v>
      </c>
      <c r="K187" s="958"/>
      <c r="L187" s="3" t="s">
        <v>157</v>
      </c>
      <c r="V187" s="185"/>
    </row>
    <row r="188" spans="1:23" ht="18" hidden="1" customHeight="1">
      <c r="A188" s="184"/>
      <c r="B188" s="47"/>
      <c r="C188" s="47"/>
      <c r="D188" s="47"/>
      <c r="E188" s="47"/>
      <c r="H188" s="27"/>
      <c r="I188" s="28"/>
      <c r="J188" s="199"/>
      <c r="L188" s="47"/>
      <c r="S188" s="27"/>
      <c r="V188" s="185"/>
    </row>
    <row r="189" spans="1:23" ht="18" hidden="1" customHeight="1">
      <c r="A189" s="1206" t="s">
        <v>536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3" ht="18" hidden="1" customHeight="1">
      <c r="A191" s="184"/>
      <c r="Q191" s="211"/>
      <c r="R191" s="192"/>
      <c r="V191" s="185"/>
    </row>
    <row r="192" spans="1:23" ht="18" hidden="1" customHeight="1">
      <c r="A192" s="184"/>
      <c r="C192" s="28" t="s">
        <v>473</v>
      </c>
      <c r="D192" s="28" t="s">
        <v>127</v>
      </c>
      <c r="E192" s="28" t="s">
        <v>537</v>
      </c>
      <c r="F192" s="28" t="s">
        <v>493</v>
      </c>
      <c r="G192" s="28" t="s">
        <v>347</v>
      </c>
      <c r="H192" s="28" t="s">
        <v>491</v>
      </c>
      <c r="I192" s="28" t="s">
        <v>538</v>
      </c>
      <c r="J192" s="28" t="s">
        <v>495</v>
      </c>
      <c r="K192" s="28" t="s">
        <v>539</v>
      </c>
      <c r="L192" s="28" t="s">
        <v>511</v>
      </c>
      <c r="M192" s="28" t="s">
        <v>315</v>
      </c>
      <c r="N192" s="28">
        <v>1.3</v>
      </c>
      <c r="O192" s="47" t="s">
        <v>350</v>
      </c>
      <c r="V192" s="185"/>
    </row>
    <row r="193" spans="1:25" ht="18" hidden="1" customHeight="1">
      <c r="A193" s="184" t="s">
        <v>540</v>
      </c>
      <c r="C193" s="14"/>
      <c r="D193" s="28"/>
      <c r="E193" s="14"/>
      <c r="F193" s="14"/>
      <c r="G193" s="14"/>
      <c r="H193" s="14"/>
      <c r="I193" s="14"/>
      <c r="J193" s="14"/>
      <c r="K193" s="14"/>
      <c r="L193" s="14"/>
      <c r="M193" s="14"/>
      <c r="N193" s="14"/>
      <c r="O193" s="14"/>
      <c r="V193" s="185"/>
    </row>
    <row r="194" spans="1:25" ht="18" hidden="1" customHeight="1">
      <c r="A194" s="184"/>
      <c r="C194" s="28" t="s">
        <v>493</v>
      </c>
      <c r="D194" s="28" t="s">
        <v>127</v>
      </c>
      <c r="E194" s="28" t="s">
        <v>537</v>
      </c>
      <c r="F194" s="28">
        <v>1.3</v>
      </c>
      <c r="G194" s="28" t="s">
        <v>315</v>
      </c>
      <c r="H194" s="689" t="s">
        <v>473</v>
      </c>
      <c r="I194" s="716"/>
      <c r="J194" s="28" t="s">
        <v>315</v>
      </c>
      <c r="K194" s="28" t="s">
        <v>511</v>
      </c>
      <c r="L194" s="28" t="s">
        <v>541</v>
      </c>
      <c r="M194" s="28" t="s">
        <v>495</v>
      </c>
      <c r="N194" s="47" t="s">
        <v>542</v>
      </c>
      <c r="O194" s="28" t="s">
        <v>491</v>
      </c>
      <c r="V194" s="185"/>
    </row>
    <row r="195" spans="1:25" ht="18" hidden="1" customHeight="1">
      <c r="A195" s="184"/>
      <c r="V195" s="185"/>
    </row>
    <row r="196" spans="1:25" ht="18" hidden="1" customHeight="1">
      <c r="A196" s="168"/>
      <c r="B196" s="5"/>
      <c r="C196" s="47" t="s">
        <v>543</v>
      </c>
      <c r="D196" s="14"/>
      <c r="E196" s="14"/>
      <c r="F196" s="14"/>
      <c r="G196" s="14"/>
      <c r="H196" s="279"/>
      <c r="I196" s="120"/>
      <c r="J196" s="279"/>
      <c r="K196" s="279"/>
      <c r="L196" s="14"/>
      <c r="M196" s="14"/>
      <c r="N196" s="14"/>
      <c r="O196" s="14"/>
      <c r="P196" s="14"/>
      <c r="Q196" s="120" t="s">
        <v>544</v>
      </c>
      <c r="R196" s="102" t="s">
        <v>127</v>
      </c>
      <c r="S196" s="689">
        <f>S114</f>
        <v>1</v>
      </c>
      <c r="T196" s="689"/>
      <c r="U196" s="47" t="s">
        <v>8</v>
      </c>
      <c r="V196" s="185"/>
    </row>
    <row r="197" spans="1:25" ht="18" hidden="1" customHeight="1">
      <c r="A197" s="168"/>
      <c r="B197" s="5"/>
      <c r="C197" s="47" t="s">
        <v>545</v>
      </c>
      <c r="D197" s="14"/>
      <c r="E197" s="14"/>
      <c r="F197" s="18"/>
      <c r="G197" s="18"/>
      <c r="H197" s="279"/>
      <c r="I197" s="120"/>
      <c r="J197" s="279"/>
      <c r="K197" s="279"/>
      <c r="L197" s="14"/>
      <c r="M197" s="14"/>
      <c r="N197" s="14"/>
      <c r="O197" s="14"/>
      <c r="P197" s="14"/>
      <c r="Q197" s="120" t="s">
        <v>423</v>
      </c>
      <c r="R197" s="102" t="s">
        <v>127</v>
      </c>
      <c r="S197" s="689" t="str">
        <f>L175</f>
        <v>-</v>
      </c>
      <c r="T197" s="689"/>
      <c r="U197" s="14" t="s">
        <v>8</v>
      </c>
      <c r="V197" s="185"/>
    </row>
    <row r="198" spans="1:25" ht="18" hidden="1" customHeight="1">
      <c r="A198" s="168"/>
      <c r="B198" s="5"/>
      <c r="C198" s="47" t="s">
        <v>546</v>
      </c>
      <c r="D198" s="14"/>
      <c r="E198" s="14"/>
      <c r="F198" s="18"/>
      <c r="G198" s="18"/>
      <c r="H198" s="279"/>
      <c r="I198" s="120"/>
      <c r="J198" s="279"/>
      <c r="K198" s="279"/>
      <c r="L198" s="14"/>
      <c r="M198" s="14"/>
      <c r="N198" s="14"/>
      <c r="O198" s="14"/>
      <c r="P198" s="14"/>
      <c r="Q198" s="120" t="s">
        <v>473</v>
      </c>
      <c r="R198" s="102" t="s">
        <v>127</v>
      </c>
      <c r="S198" s="689" t="str">
        <f>L178</f>
        <v>-</v>
      </c>
      <c r="T198" s="689"/>
      <c r="U198" s="14" t="s">
        <v>305</v>
      </c>
      <c r="V198" s="185"/>
    </row>
    <row r="199" spans="1:25" ht="18" hidden="1" customHeight="1">
      <c r="A199" s="168"/>
      <c r="B199" s="5"/>
      <c r="C199" s="47" t="s">
        <v>547</v>
      </c>
      <c r="D199" s="14"/>
      <c r="E199" s="14"/>
      <c r="F199" s="18"/>
      <c r="G199" s="18"/>
      <c r="H199" s="279"/>
      <c r="I199" s="120"/>
      <c r="J199" s="279"/>
      <c r="K199" s="279"/>
      <c r="L199" s="14"/>
      <c r="M199" s="14"/>
      <c r="N199" s="14"/>
      <c r="O199" s="14"/>
      <c r="P199" s="14"/>
      <c r="Q199" s="120" t="s">
        <v>491</v>
      </c>
      <c r="R199" s="102" t="s">
        <v>127</v>
      </c>
      <c r="S199" s="692" t="e">
        <f>P186</f>
        <v>#VALUE!</v>
      </c>
      <c r="T199" s="689"/>
      <c r="U199" s="14" t="s">
        <v>157</v>
      </c>
      <c r="V199" s="185"/>
      <c r="W199" s="279"/>
      <c r="X199" s="279"/>
      <c r="Y199" s="279"/>
    </row>
    <row r="200" spans="1:25" ht="18" hidden="1" customHeight="1">
      <c r="A200" s="168"/>
      <c r="B200" s="5"/>
      <c r="C200" s="47" t="s">
        <v>548</v>
      </c>
      <c r="D200" s="14"/>
      <c r="E200" s="14"/>
      <c r="F200" s="18"/>
      <c r="G200" s="18"/>
      <c r="H200" s="279"/>
      <c r="I200" s="120"/>
      <c r="J200" s="279"/>
      <c r="K200" s="279"/>
      <c r="L200" s="14"/>
      <c r="M200" s="14"/>
      <c r="N200" s="14"/>
      <c r="O200" s="14"/>
      <c r="P200" s="14"/>
      <c r="Q200" s="120" t="s">
        <v>512</v>
      </c>
      <c r="R200" s="102" t="s">
        <v>127</v>
      </c>
      <c r="S200" s="692">
        <f>J187</f>
        <v>1.0870224400000001</v>
      </c>
      <c r="T200" s="689"/>
      <c r="U200" s="14" t="s">
        <v>157</v>
      </c>
      <c r="V200" s="185"/>
      <c r="X200" s="279"/>
      <c r="Y200" s="279"/>
    </row>
    <row r="201" spans="1:25" ht="18" hidden="1" customHeight="1">
      <c r="A201" s="168"/>
      <c r="B201" s="5"/>
      <c r="C201" s="47" t="s">
        <v>549</v>
      </c>
      <c r="D201" s="14"/>
      <c r="E201" s="14"/>
      <c r="F201" s="14"/>
      <c r="G201" s="14"/>
      <c r="H201" s="279"/>
      <c r="I201" s="120"/>
      <c r="J201" s="279"/>
      <c r="K201" s="279"/>
      <c r="L201" s="14"/>
      <c r="M201" s="14"/>
      <c r="N201" s="14"/>
      <c r="O201" s="14"/>
      <c r="P201" s="14"/>
      <c r="Q201" s="120" t="s">
        <v>511</v>
      </c>
      <c r="R201" s="102" t="s">
        <v>127</v>
      </c>
      <c r="S201" s="689">
        <f>O175</f>
        <v>1</v>
      </c>
      <c r="T201" s="689"/>
      <c r="U201" s="14" t="s">
        <v>8</v>
      </c>
      <c r="V201" s="185"/>
      <c r="X201" s="279"/>
      <c r="Y201" s="279"/>
    </row>
    <row r="202" spans="1:25" ht="18" hidden="1" customHeight="1">
      <c r="A202" s="168"/>
      <c r="B202" s="5"/>
      <c r="C202" s="47" t="s">
        <v>550</v>
      </c>
      <c r="D202" s="14"/>
      <c r="E202" s="14"/>
      <c r="F202" s="14"/>
      <c r="G202" s="14"/>
      <c r="H202" s="279"/>
      <c r="I202" s="120"/>
      <c r="J202" s="279"/>
      <c r="K202" s="279"/>
      <c r="L202" s="14"/>
      <c r="M202" s="14"/>
      <c r="N202" s="14"/>
      <c r="O202" s="14"/>
      <c r="P202" s="14"/>
      <c r="Q202" s="120" t="s">
        <v>495</v>
      </c>
      <c r="R202" s="102" t="s">
        <v>127</v>
      </c>
      <c r="S202" s="689">
        <v>20</v>
      </c>
      <c r="T202" s="689"/>
      <c r="U202" s="47"/>
      <c r="V202" s="185"/>
    </row>
    <row r="203" spans="1:25" ht="18" hidden="1" customHeight="1">
      <c r="A203" s="299"/>
      <c r="B203" s="279"/>
      <c r="C203" s="47" t="s">
        <v>551</v>
      </c>
      <c r="D203" s="14"/>
      <c r="E203" s="14"/>
      <c r="F203" s="14"/>
      <c r="G203" s="14"/>
      <c r="H203" s="279"/>
      <c r="I203" s="120"/>
      <c r="J203" s="279"/>
      <c r="K203" s="279"/>
      <c r="L203" s="14"/>
      <c r="M203" s="14"/>
      <c r="N203" s="279"/>
      <c r="O203" s="279"/>
      <c r="P203" s="14"/>
      <c r="Q203" s="120" t="s">
        <v>493</v>
      </c>
      <c r="R203" s="14"/>
      <c r="S203" s="279"/>
      <c r="T203" s="279"/>
      <c r="U203" s="279"/>
      <c r="V203" s="300"/>
      <c r="W203" s="279"/>
      <c r="X203" s="279"/>
      <c r="Y203" s="279"/>
    </row>
    <row r="204" spans="1:25" ht="18" hidden="1" customHeight="1">
      <c r="A204" s="184"/>
      <c r="C204" s="14"/>
      <c r="D204" s="14"/>
      <c r="E204" s="14"/>
      <c r="F204" s="14"/>
      <c r="G204" s="14"/>
      <c r="H204" s="14"/>
      <c r="I204" s="14"/>
      <c r="J204" s="14"/>
      <c r="K204" s="14"/>
      <c r="L204" s="14"/>
      <c r="M204" s="14"/>
      <c r="N204" s="14"/>
      <c r="O204" s="14"/>
      <c r="P204" s="14"/>
      <c r="Q204" s="14"/>
      <c r="R204" s="14"/>
      <c r="S204" s="14"/>
      <c r="T204" s="14"/>
      <c r="U204" s="14"/>
      <c r="V204" s="185"/>
    </row>
    <row r="205" spans="1:25" ht="18" hidden="1" customHeight="1">
      <c r="A205" s="184"/>
      <c r="C205" s="28" t="s">
        <v>493</v>
      </c>
      <c r="D205" s="28" t="s">
        <v>127</v>
      </c>
      <c r="E205" s="28" t="s">
        <v>537</v>
      </c>
      <c r="F205" s="28">
        <v>1.3</v>
      </c>
      <c r="G205" s="28" t="s">
        <v>315</v>
      </c>
      <c r="H205" s="689" t="s">
        <v>473</v>
      </c>
      <c r="I205" s="716"/>
      <c r="J205" s="28" t="s">
        <v>315</v>
      </c>
      <c r="K205" s="28" t="s">
        <v>511</v>
      </c>
      <c r="L205" s="28" t="s">
        <v>541</v>
      </c>
      <c r="M205" s="28" t="s">
        <v>495</v>
      </c>
      <c r="N205" s="47" t="s">
        <v>542</v>
      </c>
      <c r="O205" s="28" t="s">
        <v>491</v>
      </c>
      <c r="V205" s="185"/>
    </row>
    <row r="206" spans="1:25" ht="18" hidden="1" customHeight="1">
      <c r="A206" s="184"/>
      <c r="D206" s="27" t="s">
        <v>127</v>
      </c>
      <c r="E206" s="27" t="s">
        <v>537</v>
      </c>
      <c r="F206" s="27">
        <v>1.3</v>
      </c>
      <c r="G206" s="27" t="s">
        <v>315</v>
      </c>
      <c r="H206" s="684" t="str">
        <f>S198</f>
        <v>-</v>
      </c>
      <c r="I206" s="723"/>
      <c r="J206" s="27" t="s">
        <v>315</v>
      </c>
      <c r="K206" s="27">
        <f>S201</f>
        <v>1</v>
      </c>
      <c r="L206" s="27" t="s">
        <v>541</v>
      </c>
      <c r="M206" s="27">
        <f>S202</f>
        <v>20</v>
      </c>
      <c r="N206" s="296" t="s">
        <v>542</v>
      </c>
      <c r="O206" s="222" t="e">
        <f>S199</f>
        <v>#VALUE!</v>
      </c>
      <c r="V206" s="185"/>
    </row>
    <row r="207" spans="1:25" ht="18" hidden="1" customHeight="1">
      <c r="A207" s="184"/>
      <c r="D207" s="27" t="s">
        <v>127</v>
      </c>
      <c r="E207" s="684" t="e">
        <f>((F206*H206*K206)/M206)-O206</f>
        <v>#VALUE!</v>
      </c>
      <c r="F207" s="684"/>
      <c r="G207" s="27" t="s">
        <v>157</v>
      </c>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V213" s="185"/>
    </row>
    <row r="214" spans="1:22" s="14" customFormat="1" ht="18" hidden="1" customHeight="1">
      <c r="A214" s="194"/>
      <c r="B214" s="195"/>
      <c r="C214" s="195"/>
      <c r="D214" s="195"/>
      <c r="E214" s="195"/>
      <c r="F214" s="195"/>
      <c r="G214" s="195"/>
      <c r="H214" s="195"/>
      <c r="I214" s="195"/>
      <c r="J214" s="195"/>
      <c r="K214" s="195"/>
      <c r="L214" s="195"/>
      <c r="M214" s="195"/>
      <c r="N214" s="195"/>
      <c r="O214" s="195"/>
      <c r="P214" s="195"/>
      <c r="Q214" s="224"/>
      <c r="R214" s="182"/>
      <c r="S214" s="225"/>
      <c r="T214" s="195"/>
      <c r="U214" s="195"/>
      <c r="V214" s="134"/>
    </row>
    <row r="215" spans="1:22" ht="18" hidden="1" customHeight="1">
      <c r="A215" s="226"/>
      <c r="B215" s="227"/>
      <c r="C215" s="227"/>
      <c r="D215" s="227"/>
      <c r="E215" s="227"/>
      <c r="F215" s="227"/>
      <c r="G215" s="227"/>
      <c r="H215" s="227"/>
      <c r="I215" s="227"/>
      <c r="J215" s="227"/>
      <c r="K215" s="227"/>
      <c r="L215" s="227"/>
      <c r="M215" s="227"/>
      <c r="N215" s="227"/>
      <c r="O215" s="227"/>
      <c r="P215" s="227"/>
      <c r="Q215" s="227"/>
      <c r="R215" s="227"/>
      <c r="S215" s="227"/>
      <c r="T215" s="227"/>
      <c r="U215" s="227"/>
      <c r="V215" s="228"/>
    </row>
    <row r="216" spans="1:22" ht="18" hidden="1" customHeight="1">
      <c r="A216" s="96" t="s">
        <v>755</v>
      </c>
      <c r="B216" s="14"/>
      <c r="C216" s="14"/>
      <c r="D216" s="14"/>
      <c r="E216" s="14"/>
      <c r="F216" s="14"/>
      <c r="G216" s="14"/>
      <c r="H216" s="14"/>
      <c r="I216" s="14"/>
      <c r="J216" s="14"/>
      <c r="K216" s="14"/>
      <c r="L216" s="14"/>
      <c r="M216" s="14"/>
      <c r="N216" s="14"/>
      <c r="O216" s="14"/>
      <c r="P216" s="28"/>
      <c r="Q216" s="120"/>
      <c r="R216" s="14"/>
      <c r="S216" s="14"/>
      <c r="T216" s="14"/>
      <c r="U216" s="14"/>
      <c r="V216" s="185"/>
    </row>
    <row r="217" spans="1:22" ht="18" hidden="1" customHeight="1">
      <c r="A217" s="96"/>
      <c r="B217" s="14"/>
      <c r="C217" s="14"/>
      <c r="D217" s="14"/>
      <c r="E217" s="14"/>
      <c r="F217" s="14"/>
      <c r="G217" s="14"/>
      <c r="H217" s="14"/>
      <c r="K217" s="14" t="s">
        <v>756</v>
      </c>
      <c r="L217" s="28"/>
      <c r="M217" s="47"/>
      <c r="N217" s="14"/>
      <c r="O217" s="14"/>
      <c r="P217" s="14"/>
      <c r="Q217" s="14"/>
      <c r="R217" s="14"/>
      <c r="S217" s="14"/>
      <c r="T217" s="14"/>
      <c r="U217" s="14"/>
      <c r="V217" s="185"/>
    </row>
    <row r="218" spans="1:22" ht="18" hidden="1" customHeight="1">
      <c r="A218" s="96"/>
      <c r="B218" s="28" t="s">
        <v>745</v>
      </c>
      <c r="C218" s="278" t="s">
        <v>652</v>
      </c>
      <c r="D218" s="14" t="s">
        <v>757</v>
      </c>
      <c r="E218" s="14"/>
      <c r="F218" s="268" t="s">
        <v>758</v>
      </c>
      <c r="K218" s="28" t="s">
        <v>745</v>
      </c>
      <c r="L218" s="28" t="s">
        <v>127</v>
      </c>
      <c r="M218" s="281" t="s">
        <v>759</v>
      </c>
      <c r="N218" s="28"/>
      <c r="O218" s="47"/>
      <c r="P218" s="14"/>
      <c r="Q218" s="14"/>
      <c r="R218" s="14"/>
      <c r="S218" s="14"/>
      <c r="T218" s="14"/>
      <c r="U218" s="14"/>
      <c r="V218" s="185"/>
    </row>
    <row r="219" spans="1:22" ht="18" hidden="1" customHeight="1">
      <c r="A219" s="96"/>
      <c r="B219" s="28" t="s">
        <v>745</v>
      </c>
      <c r="C219" s="278" t="s">
        <v>652</v>
      </c>
      <c r="D219" s="47" t="s">
        <v>760</v>
      </c>
      <c r="E219" s="14"/>
      <c r="F219" s="268" t="s">
        <v>761</v>
      </c>
      <c r="K219" s="28"/>
      <c r="L219" s="28" t="s">
        <v>127</v>
      </c>
      <c r="M219" s="14" t="s">
        <v>762</v>
      </c>
      <c r="N219" s="14"/>
      <c r="O219" s="14"/>
      <c r="P219" s="14"/>
      <c r="Q219" s="14"/>
      <c r="R219" s="14"/>
      <c r="S219" s="14"/>
      <c r="T219" s="14"/>
      <c r="U219" s="14"/>
      <c r="V219" s="185"/>
    </row>
    <row r="220" spans="1:22" ht="18" hidden="1" customHeight="1">
      <c r="A220" s="96"/>
      <c r="B220" s="14"/>
      <c r="C220" s="14"/>
      <c r="D220" s="14"/>
      <c r="E220" s="14"/>
      <c r="F220" s="14"/>
      <c r="G220" s="14"/>
      <c r="H220" s="14"/>
      <c r="K220" s="28" t="s">
        <v>757</v>
      </c>
      <c r="L220" s="28" t="s">
        <v>127</v>
      </c>
      <c r="M220" s="47" t="s">
        <v>763</v>
      </c>
      <c r="N220" s="14"/>
      <c r="O220" s="14"/>
      <c r="P220" s="14"/>
      <c r="Q220" s="14"/>
      <c r="R220" s="14"/>
      <c r="S220" s="14"/>
      <c r="T220" s="14"/>
      <c r="U220" s="14"/>
      <c r="V220" s="185"/>
    </row>
    <row r="221" spans="1:22" ht="18" hidden="1" customHeight="1">
      <c r="A221" s="96"/>
      <c r="B221" s="14"/>
      <c r="C221" s="14"/>
      <c r="K221" s="28" t="s">
        <v>760</v>
      </c>
      <c r="L221" s="28" t="s">
        <v>127</v>
      </c>
      <c r="M221" s="28">
        <v>10</v>
      </c>
      <c r="O221" s="14" t="s">
        <v>764</v>
      </c>
      <c r="P221" s="28" t="s">
        <v>765</v>
      </c>
      <c r="Q221" s="278" t="s">
        <v>766</v>
      </c>
      <c r="R221" s="28">
        <v>120</v>
      </c>
      <c r="S221" s="14" t="s">
        <v>767</v>
      </c>
      <c r="T221" s="14"/>
      <c r="U221" s="14"/>
      <c r="V221" s="185"/>
    </row>
    <row r="222" spans="1:22" ht="18" hidden="1" customHeight="1">
      <c r="A222" s="96"/>
      <c r="B222" s="14"/>
      <c r="C222" s="14"/>
      <c r="L222" s="28" t="s">
        <v>127</v>
      </c>
      <c r="M222" s="27">
        <v>20</v>
      </c>
      <c r="N222" s="14"/>
      <c r="O222" s="14" t="s">
        <v>764</v>
      </c>
      <c r="P222" s="28" t="s">
        <v>765</v>
      </c>
      <c r="Q222" s="278" t="s">
        <v>766</v>
      </c>
      <c r="R222" s="28">
        <v>300</v>
      </c>
      <c r="S222" s="14" t="s">
        <v>767</v>
      </c>
      <c r="T222" s="14"/>
      <c r="U222" s="14"/>
      <c r="V222" s="185"/>
    </row>
    <row r="223" spans="1:22" ht="18" hidden="1" customHeight="1">
      <c r="A223" s="96"/>
      <c r="B223" s="14"/>
      <c r="C223" s="14"/>
      <c r="N223" s="14"/>
      <c r="O223" s="14"/>
      <c r="P223" s="28"/>
      <c r="Q223" s="120"/>
      <c r="R223" s="14"/>
      <c r="S223" s="14"/>
      <c r="T223" s="14"/>
      <c r="U223" s="14"/>
      <c r="V223" s="185"/>
    </row>
    <row r="224" spans="1:22" ht="18" hidden="1" customHeight="1">
      <c r="A224" s="96" t="s">
        <v>768</v>
      </c>
      <c r="B224" s="14"/>
      <c r="C224" s="14"/>
      <c r="K224" s="27" t="s">
        <v>757</v>
      </c>
      <c r="L224" s="27" t="s">
        <v>127</v>
      </c>
      <c r="M224" s="684" t="s">
        <v>425</v>
      </c>
      <c r="N224" s="684"/>
      <c r="O224" s="27" t="s">
        <v>769</v>
      </c>
      <c r="P224" s="27">
        <v>5</v>
      </c>
      <c r="Q224" s="28" t="s">
        <v>315</v>
      </c>
      <c r="R224" s="684" t="s">
        <v>423</v>
      </c>
      <c r="S224" s="684"/>
      <c r="T224" s="14" t="s">
        <v>350</v>
      </c>
      <c r="U224" s="14"/>
      <c r="V224" s="185"/>
    </row>
    <row r="225" spans="1:22" ht="18" hidden="1" customHeight="1">
      <c r="A225" s="96"/>
      <c r="B225" s="14"/>
      <c r="C225" s="14"/>
      <c r="L225" s="27" t="s">
        <v>127</v>
      </c>
      <c r="M225" s="684">
        <f>S196</f>
        <v>1</v>
      </c>
      <c r="N225" s="684"/>
      <c r="O225" s="27" t="s">
        <v>769</v>
      </c>
      <c r="P225" s="27">
        <v>5</v>
      </c>
      <c r="Q225" s="28" t="s">
        <v>315</v>
      </c>
      <c r="R225" s="684" t="str">
        <f>S197</f>
        <v>-</v>
      </c>
      <c r="S225" s="684"/>
      <c r="T225" s="14" t="s">
        <v>350</v>
      </c>
      <c r="U225" s="14"/>
      <c r="V225" s="185"/>
    </row>
    <row r="226" spans="1:22" ht="18" hidden="1" customHeight="1">
      <c r="A226" s="96"/>
      <c r="B226" s="14"/>
      <c r="C226" s="14"/>
      <c r="D226" s="14"/>
      <c r="E226" s="120"/>
      <c r="F226" s="28"/>
      <c r="L226" s="27" t="s">
        <v>127</v>
      </c>
      <c r="M226" s="689" t="e">
        <f>M225/(P225*R225)</f>
        <v>#VALUE!</v>
      </c>
      <c r="N226" s="684"/>
      <c r="O226" s="14"/>
      <c r="P226" s="14"/>
      <c r="Q226" s="14"/>
      <c r="R226" s="14"/>
      <c r="S226" s="14"/>
      <c r="T226" s="14"/>
      <c r="U226" s="14"/>
      <c r="V226" s="185"/>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85"/>
    </row>
    <row r="228" spans="1:22" ht="18" hidden="1" customHeight="1">
      <c r="A228" s="96" t="s">
        <v>770</v>
      </c>
      <c r="B228" s="14"/>
      <c r="C228" s="14"/>
      <c r="D228" s="14"/>
      <c r="E228" s="257" t="s">
        <v>771</v>
      </c>
      <c r="F228" s="14"/>
      <c r="G228" s="28" t="s">
        <v>127</v>
      </c>
      <c r="H228" s="692">
        <f>'[2]Parameters &amp; Fault Cal.'!Q184</f>
        <v>0</v>
      </c>
      <c r="I228" s="684"/>
      <c r="J228" s="30" t="s">
        <v>531</v>
      </c>
      <c r="K228" s="28" t="s">
        <v>760</v>
      </c>
      <c r="L228" s="218" t="s">
        <v>127</v>
      </c>
      <c r="M228" s="692">
        <f>IF(H228&lt;=120,M221,M222)</f>
        <v>10</v>
      </c>
      <c r="N228" s="684"/>
      <c r="O228" s="14"/>
      <c r="P228" s="14"/>
      <c r="Q228" s="14"/>
      <c r="R228" s="14"/>
      <c r="S228" s="14"/>
      <c r="T228" s="14"/>
      <c r="U228" s="14"/>
      <c r="V228" s="185"/>
    </row>
    <row r="229" spans="1:22" ht="18" hidden="1" customHeight="1">
      <c r="A229" s="184"/>
      <c r="J229" s="14"/>
      <c r="K229" s="257"/>
      <c r="M229" s="14"/>
      <c r="N229" s="14"/>
      <c r="O229" s="14"/>
      <c r="P229" s="14"/>
      <c r="Q229" s="14"/>
      <c r="R229" s="14"/>
      <c r="S229" s="14"/>
      <c r="T229" s="14"/>
      <c r="U229" s="14"/>
      <c r="V229" s="185"/>
    </row>
    <row r="230" spans="1:22" ht="18" hidden="1" customHeight="1">
      <c r="A230" s="96" t="s">
        <v>772</v>
      </c>
      <c r="E230" s="199"/>
      <c r="G230" s="27" t="s">
        <v>127</v>
      </c>
      <c r="H230" s="27" t="s">
        <v>495</v>
      </c>
      <c r="I230" s="27" t="s">
        <v>554</v>
      </c>
      <c r="J230" s="120" t="s">
        <v>491</v>
      </c>
      <c r="K230" s="28" t="s">
        <v>347</v>
      </c>
      <c r="L230" s="120" t="s">
        <v>493</v>
      </c>
      <c r="M230" s="28" t="s">
        <v>539</v>
      </c>
      <c r="N230" s="120" t="s">
        <v>491</v>
      </c>
      <c r="O230" s="28" t="s">
        <v>347</v>
      </c>
      <c r="P230" s="120" t="s">
        <v>512</v>
      </c>
      <c r="Q230" s="296" t="s">
        <v>350</v>
      </c>
      <c r="V230" s="185"/>
    </row>
    <row r="231" spans="1:22" ht="18" hidden="1" customHeight="1">
      <c r="A231" s="184"/>
      <c r="G231" s="27" t="s">
        <v>127</v>
      </c>
      <c r="H231" s="242">
        <f>S202</f>
        <v>20</v>
      </c>
      <c r="I231" s="245" t="s">
        <v>554</v>
      </c>
      <c r="J231" s="301" t="e">
        <f>S199</f>
        <v>#VALUE!</v>
      </c>
      <c r="K231" s="245" t="s">
        <v>347</v>
      </c>
      <c r="L231" s="301" t="e">
        <f>E207</f>
        <v>#VALUE!</v>
      </c>
      <c r="M231" s="245" t="s">
        <v>539</v>
      </c>
      <c r="N231" s="301" t="e">
        <f>S199</f>
        <v>#VALUE!</v>
      </c>
      <c r="O231" s="245" t="s">
        <v>347</v>
      </c>
      <c r="P231" s="301">
        <f>S200</f>
        <v>1.0870224400000001</v>
      </c>
      <c r="Q231" s="461" t="s">
        <v>350</v>
      </c>
      <c r="V231" s="185"/>
    </row>
    <row r="232" spans="1:22" ht="18" hidden="1" customHeight="1">
      <c r="A232" s="184"/>
      <c r="G232" s="27" t="s">
        <v>127</v>
      </c>
      <c r="H232" s="795" t="e">
        <f>H231*((J231+L231)/(N231+P231))</f>
        <v>#VALUE!</v>
      </c>
      <c r="I232" s="795"/>
      <c r="V232" s="185"/>
    </row>
    <row r="233" spans="1:22" ht="18" hidden="1" customHeight="1">
      <c r="A233" s="184"/>
      <c r="V233" s="185"/>
    </row>
    <row r="234" spans="1:22" ht="18" hidden="1" customHeight="1">
      <c r="A234" s="184" t="s">
        <v>773</v>
      </c>
      <c r="E234" s="244"/>
      <c r="F234" s="27"/>
      <c r="G234" s="296"/>
      <c r="V234" s="185"/>
    </row>
    <row r="235" spans="1:22" ht="18" hidden="1" customHeight="1">
      <c r="A235" s="184"/>
      <c r="D235" s="211"/>
      <c r="E235" s="211"/>
      <c r="F235" s="27"/>
      <c r="G235" s="211"/>
      <c r="H235" s="211"/>
      <c r="V235" s="185"/>
    </row>
    <row r="236" spans="1:22" ht="18" hidden="1" customHeight="1">
      <c r="A236" s="184"/>
      <c r="D236" s="795" t="e">
        <f>H232</f>
        <v>#VALUE!</v>
      </c>
      <c r="E236" s="684"/>
      <c r="F236" s="27" t="e">
        <f>IF(D236&gt;=G236,"&gt;","&lt;")</f>
        <v>#VALUE!</v>
      </c>
      <c r="G236" s="795" t="e">
        <f>M226</f>
        <v>#VALUE!</v>
      </c>
      <c r="H236" s="684"/>
      <c r="I236" s="18"/>
      <c r="J236" s="268" t="s">
        <v>758</v>
      </c>
      <c r="V236" s="185"/>
    </row>
    <row r="237" spans="1:22" ht="18" hidden="1" customHeight="1">
      <c r="A237" s="184"/>
      <c r="D237" s="795" t="e">
        <f>H232</f>
        <v>#VALUE!</v>
      </c>
      <c r="E237" s="684"/>
      <c r="F237" s="27" t="e">
        <f>IF(D237&gt;=G237,"&gt;","&lt;")</f>
        <v>#VALUE!</v>
      </c>
      <c r="G237" s="795">
        <f>M228</f>
        <v>10</v>
      </c>
      <c r="H237" s="684"/>
      <c r="J237" s="268" t="s">
        <v>761</v>
      </c>
      <c r="V237" s="185"/>
    </row>
    <row r="238" spans="1:22" ht="18" hidden="1" customHeight="1">
      <c r="A238" s="184"/>
      <c r="E238" s="244" t="s">
        <v>478</v>
      </c>
      <c r="G238" s="18" t="e">
        <f>IF(AND(F236="&gt;",F237="&gt;")=TRUE,"Suitably Dimensioned","Under Dimensioned")</f>
        <v>#VALUE!</v>
      </c>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s="14" customFormat="1" ht="18" customHeight="1">
      <c r="A258" s="194"/>
      <c r="B258" s="195"/>
      <c r="C258" s="195"/>
      <c r="D258" s="195"/>
      <c r="E258" s="195"/>
      <c r="F258" s="195"/>
      <c r="G258" s="195"/>
      <c r="H258" s="195"/>
      <c r="I258" s="195"/>
      <c r="J258" s="195"/>
      <c r="K258" s="195"/>
      <c r="L258" s="195"/>
      <c r="M258" s="195"/>
      <c r="N258" s="195"/>
      <c r="O258" s="195"/>
      <c r="P258" s="195"/>
      <c r="Q258" s="224"/>
      <c r="R258" s="182"/>
      <c r="S258" s="225"/>
      <c r="T258" s="195"/>
      <c r="U258" s="195"/>
      <c r="V258" s="134"/>
    </row>
    <row r="259" spans="1:22" ht="18" customHeight="1">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8"/>
    </row>
    <row r="260" spans="1:22" ht="18" customHeight="1">
      <c r="A260" s="452" t="s">
        <v>501</v>
      </c>
      <c r="B260" s="14"/>
      <c r="C260" s="14"/>
      <c r="D260" s="120"/>
      <c r="E260" s="120"/>
      <c r="F260" s="18"/>
      <c r="G260" s="18"/>
      <c r="H260" s="14"/>
      <c r="I260" s="14"/>
      <c r="J260" s="14"/>
      <c r="K260" s="14"/>
      <c r="L260" s="14"/>
      <c r="M260" s="14"/>
      <c r="N260" s="14"/>
      <c r="O260" s="14"/>
      <c r="P260" s="28"/>
      <c r="Q260" s="120"/>
      <c r="R260" s="47"/>
      <c r="S260" s="206"/>
      <c r="T260" s="259"/>
      <c r="U260" s="14"/>
      <c r="V260" s="97"/>
    </row>
    <row r="261" spans="1:22" ht="18" customHeight="1">
      <c r="A261" s="955" t="s">
        <v>85</v>
      </c>
      <c r="B261" s="956"/>
      <c r="C261" s="957"/>
      <c r="D261" s="955" t="s">
        <v>86</v>
      </c>
      <c r="E261" s="956"/>
      <c r="F261" s="957"/>
      <c r="G261" s="955" t="s">
        <v>87</v>
      </c>
      <c r="H261" s="957"/>
      <c r="I261" s="955" t="s">
        <v>88</v>
      </c>
      <c r="J261" s="957"/>
      <c r="K261" s="955" t="s">
        <v>502</v>
      </c>
      <c r="L261" s="957"/>
      <c r="M261" s="955" t="s">
        <v>503</v>
      </c>
      <c r="N261" s="957"/>
      <c r="O261" s="955" t="s">
        <v>504</v>
      </c>
      <c r="P261" s="957"/>
      <c r="Q261" s="955" t="s">
        <v>505</v>
      </c>
      <c r="R261" s="957"/>
      <c r="S261" s="955" t="s">
        <v>93</v>
      </c>
      <c r="T261" s="956"/>
      <c r="U261" s="956"/>
      <c r="V261" s="957"/>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125"/>
      <c r="B263" s="983"/>
      <c r="C263" s="1126"/>
      <c r="D263" s="1125"/>
      <c r="E263" s="983"/>
      <c r="F263" s="1126"/>
      <c r="G263" s="1125"/>
      <c r="H263" s="1126"/>
      <c r="I263" s="1125"/>
      <c r="J263" s="1126"/>
      <c r="K263" s="1125"/>
      <c r="L263" s="1126"/>
      <c r="M263" s="1125"/>
      <c r="N263" s="1126"/>
      <c r="O263" s="1125"/>
      <c r="P263" s="1126"/>
      <c r="Q263" s="1125"/>
      <c r="R263" s="1126"/>
      <c r="S263" s="1125"/>
      <c r="T263" s="983"/>
      <c r="U263" s="983"/>
      <c r="V263" s="1126"/>
    </row>
    <row r="264" spans="1:22" ht="18" customHeight="1">
      <c r="A264" s="1047"/>
      <c r="B264" s="1048"/>
      <c r="C264" s="1049"/>
      <c r="D264" s="1047"/>
      <c r="E264" s="1048"/>
      <c r="F264" s="1049"/>
      <c r="G264" s="1047"/>
      <c r="H264" s="1049"/>
      <c r="I264" s="1047"/>
      <c r="J264" s="1049"/>
      <c r="K264" s="1047"/>
      <c r="L264" s="1049"/>
      <c r="M264" s="1047"/>
      <c r="N264" s="1049"/>
      <c r="O264" s="1047"/>
      <c r="P264" s="1049"/>
      <c r="Q264" s="1047"/>
      <c r="R264" s="1049"/>
      <c r="S264" s="1047"/>
      <c r="T264" s="1048"/>
      <c r="U264" s="1048"/>
      <c r="V264" s="1049"/>
    </row>
    <row r="265" spans="1:22" ht="18" customHeight="1">
      <c r="A265" s="765" t="str">
        <f>B7</f>
        <v>T1</v>
      </c>
      <c r="B265" s="765" t="str">
        <f>D7</f>
        <v>Core2</v>
      </c>
      <c r="C265" s="765"/>
      <c r="D265" s="870">
        <f>H10</f>
        <v>2000</v>
      </c>
      <c r="E265" s="870"/>
      <c r="F265" s="871">
        <f>O10</f>
        <v>1</v>
      </c>
      <c r="G265" s="870">
        <f>'CT-VT Burdens'!S21</f>
        <v>120</v>
      </c>
      <c r="H265" s="874">
        <f>'CT-VT Burdens'!S10</f>
        <v>6</v>
      </c>
      <c r="I265" s="874" t="str">
        <f>H11</f>
        <v>PX</v>
      </c>
      <c r="J265" s="874" t="e">
        <f>#REF!</f>
        <v>#REF!</v>
      </c>
      <c r="K265" s="869">
        <f>H12</f>
        <v>3.5</v>
      </c>
      <c r="L265" s="869"/>
      <c r="M265" s="869">
        <f>H13</f>
        <v>500</v>
      </c>
      <c r="N265" s="869"/>
      <c r="O265" s="870">
        <f>H14</f>
        <v>20</v>
      </c>
      <c r="P265" s="870"/>
      <c r="Q265" s="879" t="str">
        <f>IF(T8="",T7,IF(T9="",T7&amp;"+"&amp;T8,T7&amp;"+"&amp;T8&amp;"+"&amp;T9))</f>
        <v>REB500</v>
      </c>
      <c r="R265" s="879"/>
      <c r="S265" s="878" t="str">
        <f>M83</f>
        <v>Suitably Dimensioned</v>
      </c>
      <c r="T265" s="878"/>
      <c r="U265" s="878"/>
      <c r="V265" s="878"/>
    </row>
    <row r="266" spans="1:22" ht="18" customHeight="1">
      <c r="A266" s="765"/>
      <c r="B266" s="765"/>
      <c r="C266" s="765"/>
      <c r="D266" s="870">
        <f>J10</f>
        <v>3200</v>
      </c>
      <c r="E266" s="870"/>
      <c r="F266" s="872"/>
      <c r="G266" s="870"/>
      <c r="H266" s="870"/>
      <c r="I266" s="874"/>
      <c r="J266" s="874"/>
      <c r="K266" s="875">
        <f>J95</f>
        <v>5</v>
      </c>
      <c r="L266" s="869"/>
      <c r="M266" s="875">
        <f>J96</f>
        <v>900</v>
      </c>
      <c r="N266" s="869"/>
      <c r="O266" s="876">
        <f>J97</f>
        <v>10</v>
      </c>
      <c r="P266" s="870"/>
      <c r="Q266" s="879"/>
      <c r="R266" s="879"/>
      <c r="S266" s="877" t="str">
        <f>M165</f>
        <v>Suitably Dimensioned</v>
      </c>
      <c r="T266" s="878"/>
      <c r="U266" s="878"/>
      <c r="V266" s="878"/>
    </row>
    <row r="267" spans="1:22" ht="18" customHeight="1">
      <c r="A267" s="765"/>
      <c r="B267" s="765"/>
      <c r="C267" s="765"/>
      <c r="D267" s="870" t="str">
        <f>L10</f>
        <v>-</v>
      </c>
      <c r="E267" s="870"/>
      <c r="F267" s="873"/>
      <c r="G267" s="870"/>
      <c r="H267" s="870"/>
      <c r="I267" s="874"/>
      <c r="J267" s="874"/>
      <c r="K267" s="869" t="str">
        <f>L177</f>
        <v>-</v>
      </c>
      <c r="L267" s="869"/>
      <c r="M267" s="869" t="str">
        <f>L178</f>
        <v>-</v>
      </c>
      <c r="N267" s="869"/>
      <c r="O267" s="870" t="str">
        <f>L179</f>
        <v>-</v>
      </c>
      <c r="P267" s="870"/>
      <c r="Q267" s="879"/>
      <c r="R267" s="879"/>
      <c r="S267" s="878" t="s">
        <v>6</v>
      </c>
      <c r="T267" s="878"/>
      <c r="U267" s="878"/>
      <c r="V267" s="878"/>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s="14" customFormat="1" ht="18" customHeight="1">
      <c r="A299" s="194"/>
      <c r="B299" s="195"/>
      <c r="C299" s="195"/>
      <c r="D299" s="195"/>
      <c r="E299" s="195"/>
      <c r="F299" s="195"/>
      <c r="G299" s="195"/>
      <c r="H299" s="195"/>
      <c r="I299" s="195"/>
      <c r="J299" s="195"/>
      <c r="K299" s="195"/>
      <c r="L299" s="195"/>
      <c r="M299" s="195"/>
      <c r="N299" s="195"/>
      <c r="O299" s="195"/>
      <c r="P299" s="195"/>
      <c r="Q299" s="224"/>
      <c r="R299" s="182"/>
      <c r="S299" s="225"/>
      <c r="T299" s="195"/>
      <c r="U299" s="195"/>
      <c r="V299"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48" priority="3" stopIfTrue="1" operator="equal">
      <formula>"Under Dimentioned"</formula>
    </cfRule>
  </conditionalFormatting>
  <conditionalFormatting sqref="O81 M83:M86">
    <cfRule type="cellIs" dxfId="47" priority="1" stopIfTrue="1" operator="equal">
      <formula>"Under Dimentioned"</formula>
    </cfRule>
  </conditionalFormatting>
  <conditionalFormatting sqref="O163 M165">
    <cfRule type="cellIs" dxfId="46"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4F41BC6C-CB20-4314-92CB-C9514EBA6580}">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48632C01-BED0-4B99-960D-C5317A5BB126}">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8" max="21" man="1"/>
    <brk id="129" max="21" man="1"/>
    <brk id="258" max="21"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32C8-6DA1-451A-9D59-590A046B5A57}">
  <sheetPr codeName="Sheet52">
    <tabColor rgb="FF00B050"/>
  </sheetPr>
  <dimension ref="A1:AC299"/>
  <sheetViews>
    <sheetView showZeros="0" view="pageBreakPreview" topLeftCell="A157" zoomScaleNormal="100" zoomScaleSheetLayoutView="100" workbookViewId="0">
      <selection activeCell="M166" sqref="M16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881</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B6" s="186"/>
      <c r="D6" s="454"/>
      <c r="V6" s="185"/>
    </row>
    <row r="7" spans="1:24" ht="18" customHeight="1">
      <c r="A7" s="184"/>
      <c r="B7" s="781" t="s">
        <v>955</v>
      </c>
      <c r="C7" s="782"/>
      <c r="D7" s="743" t="s">
        <v>506</v>
      </c>
      <c r="E7" s="1291"/>
      <c r="F7" s="455"/>
      <c r="H7" s="689" t="s">
        <v>711</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2000</v>
      </c>
      <c r="I10" s="792"/>
      <c r="J10" s="781">
        <v>3200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3.5</v>
      </c>
      <c r="I12" s="782"/>
      <c r="J12" s="192" t="s">
        <v>333</v>
      </c>
      <c r="M12" s="14"/>
      <c r="N12" s="14"/>
      <c r="V12" s="185"/>
    </row>
    <row r="13" spans="1:24" ht="18" customHeight="1">
      <c r="A13" s="184"/>
      <c r="B13" s="47" t="s">
        <v>398</v>
      </c>
      <c r="G13" s="120" t="s">
        <v>498</v>
      </c>
      <c r="H13" s="781">
        <v>500</v>
      </c>
      <c r="I13" s="782"/>
      <c r="J13" s="14" t="s">
        <v>305</v>
      </c>
      <c r="M13" s="14"/>
      <c r="T13" s="295"/>
      <c r="U13" s="18"/>
      <c r="V13" s="185"/>
      <c r="W13" s="30" t="e">
        <f>#REF!</f>
        <v>#REF!</v>
      </c>
    </row>
    <row r="14" spans="1:24" ht="18" customHeight="1">
      <c r="A14" s="184"/>
      <c r="B14" s="14" t="s">
        <v>401</v>
      </c>
      <c r="G14" s="120" t="s">
        <v>402</v>
      </c>
      <c r="H14" s="781">
        <v>20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3.5</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3.5</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500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3.5</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D44" s="27"/>
      <c r="G44" s="27"/>
      <c r="I44" s="28"/>
      <c r="J44" s="28"/>
      <c r="K44" s="102"/>
      <c r="L44" s="102"/>
      <c r="V44" s="185"/>
    </row>
    <row r="45" spans="1:29" ht="18" customHeight="1">
      <c r="A45" s="184"/>
      <c r="V45" s="185"/>
      <c r="AB45" s="14" t="s">
        <v>129</v>
      </c>
      <c r="AC45" s="14" t="s">
        <v>732</v>
      </c>
    </row>
    <row r="46" spans="1:29" s="14"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9"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9" ht="18" customHeight="1">
      <c r="A48" s="96"/>
      <c r="B48" s="7" t="s">
        <v>733</v>
      </c>
      <c r="C48" s="7"/>
      <c r="D48" s="14"/>
      <c r="E48" s="7"/>
      <c r="F48" s="7"/>
      <c r="L48" s="27"/>
      <c r="O48" s="27"/>
      <c r="P48" s="27"/>
      <c r="Q48" s="28"/>
      <c r="T48" s="14"/>
      <c r="U48" s="14"/>
      <c r="V48" s="185"/>
    </row>
    <row r="49" spans="1:22" ht="18" customHeight="1">
      <c r="A49" s="96"/>
      <c r="B49" s="14"/>
      <c r="C49" s="7"/>
      <c r="D49" s="7"/>
      <c r="E49" s="14"/>
      <c r="F49" s="7"/>
      <c r="L49" s="27"/>
      <c r="M49" s="14"/>
      <c r="O49" s="14"/>
      <c r="P49" s="14"/>
      <c r="Q49" s="14"/>
      <c r="R49" s="14"/>
      <c r="S49" s="14"/>
      <c r="T49" s="14"/>
      <c r="U49" s="14"/>
      <c r="V49" s="185"/>
    </row>
    <row r="50" spans="1:22" ht="18" customHeight="1">
      <c r="A50" s="96"/>
      <c r="B50" s="14"/>
      <c r="C50" s="120" t="s">
        <v>734</v>
      </c>
      <c r="D50" s="28" t="s">
        <v>127</v>
      </c>
      <c r="E50" s="805">
        <f>S25</f>
        <v>50000</v>
      </c>
      <c r="F50" s="805"/>
      <c r="G50" s="14"/>
      <c r="H50" s="14"/>
      <c r="I50" s="102"/>
      <c r="J50" s="47"/>
      <c r="K50" s="47"/>
      <c r="L50" s="14"/>
      <c r="M50" s="14"/>
      <c r="N50" s="14"/>
      <c r="O50" s="14"/>
      <c r="P50" s="14"/>
      <c r="Q50" s="14"/>
      <c r="R50" s="14"/>
      <c r="S50" s="14"/>
      <c r="T50" s="14"/>
      <c r="U50" s="14"/>
      <c r="V50" s="185"/>
    </row>
    <row r="51" spans="1:22" ht="18" customHeight="1">
      <c r="A51" s="96"/>
      <c r="B51" s="14"/>
      <c r="C51" s="120"/>
      <c r="D51" s="28"/>
      <c r="E51" s="978" t="str">
        <f>"5 x "&amp;S26&amp;""</f>
        <v>5 x 2000</v>
      </c>
      <c r="F51" s="978"/>
      <c r="G51" s="28"/>
      <c r="H51" s="257"/>
      <c r="K51" s="28"/>
      <c r="L51" s="218"/>
      <c r="M51" s="257"/>
      <c r="O51" s="14"/>
      <c r="P51" s="14"/>
      <c r="Q51" s="14"/>
      <c r="R51" s="14"/>
      <c r="S51" s="14"/>
      <c r="T51" s="14"/>
      <c r="U51" s="14"/>
      <c r="V51" s="185"/>
    </row>
    <row r="52" spans="1:22" ht="18" customHeight="1">
      <c r="A52" s="184"/>
      <c r="J52" s="14"/>
      <c r="K52" s="257"/>
      <c r="M52" s="14"/>
      <c r="N52" s="14"/>
      <c r="O52" s="14"/>
      <c r="P52" s="14"/>
      <c r="Q52" s="14"/>
      <c r="R52" s="14"/>
      <c r="S52" s="14"/>
      <c r="T52" s="14"/>
      <c r="U52" s="14"/>
      <c r="V52" s="185"/>
    </row>
    <row r="53" spans="1:22" ht="18" customHeight="1">
      <c r="A53" s="96"/>
      <c r="C53" s="458" t="s">
        <v>734</v>
      </c>
      <c r="D53" s="182" t="s">
        <v>127</v>
      </c>
      <c r="E53" s="1288">
        <f>S25/5/S26</f>
        <v>5</v>
      </c>
      <c r="F53" s="722"/>
      <c r="G53" s="27"/>
      <c r="H53" s="27"/>
      <c r="I53" s="27"/>
      <c r="J53" s="120"/>
      <c r="K53" s="28"/>
      <c r="L53" s="120"/>
      <c r="M53" s="28"/>
      <c r="N53" s="120"/>
      <c r="O53" s="28"/>
      <c r="P53" s="120"/>
      <c r="Q53" s="296"/>
      <c r="V53" s="185"/>
    </row>
    <row r="54" spans="1:22" ht="18" customHeight="1">
      <c r="A54" s="96"/>
      <c r="C54" s="120"/>
      <c r="D54" s="28"/>
      <c r="E54" s="218"/>
      <c r="F54" s="218"/>
      <c r="G54" s="27"/>
      <c r="H54" s="27"/>
      <c r="I54" s="27"/>
      <c r="J54" s="120"/>
      <c r="K54" s="28"/>
      <c r="L54" s="120"/>
      <c r="M54" s="28"/>
      <c r="N54" s="120"/>
      <c r="O54" s="28"/>
      <c r="P54" s="120"/>
      <c r="Q54" s="296"/>
      <c r="V54" s="185"/>
    </row>
    <row r="55" spans="1:22" ht="18" customHeight="1">
      <c r="A55" s="96"/>
      <c r="B55" s="14" t="s">
        <v>735</v>
      </c>
      <c r="C55" s="14"/>
      <c r="D55" s="14"/>
      <c r="E55" s="7"/>
      <c r="F55" s="102"/>
      <c r="G55" s="7"/>
      <c r="H55" s="7"/>
      <c r="I55" s="239"/>
      <c r="J55" s="120"/>
      <c r="K55" s="28"/>
      <c r="L55" s="120"/>
      <c r="M55" s="28"/>
      <c r="N55" s="120"/>
      <c r="O55" s="28"/>
      <c r="P55" s="120"/>
      <c r="Q55" s="296"/>
      <c r="V55" s="185"/>
    </row>
    <row r="56" spans="1:22" ht="18" customHeight="1">
      <c r="A56" s="96"/>
      <c r="C56" s="14"/>
      <c r="D56" s="14"/>
      <c r="E56" s="689" t="s">
        <v>736</v>
      </c>
      <c r="F56" s="689">
        <v>1</v>
      </c>
      <c r="G56" s="689"/>
      <c r="H56" s="689" t="s">
        <v>312</v>
      </c>
      <c r="I56" s="459" t="s">
        <v>312</v>
      </c>
      <c r="J56" s="120"/>
      <c r="K56" s="28"/>
      <c r="L56" s="120"/>
      <c r="M56" s="28"/>
      <c r="N56" s="120"/>
      <c r="O56" s="28"/>
      <c r="P56" s="120"/>
      <c r="Q56" s="296"/>
      <c r="V56" s="185"/>
    </row>
    <row r="57" spans="1:22" ht="18" customHeight="1">
      <c r="A57" s="96"/>
      <c r="C57" s="14"/>
      <c r="D57" s="14"/>
      <c r="E57" s="723"/>
      <c r="F57" s="273"/>
      <c r="G57" s="274" t="s">
        <v>737</v>
      </c>
      <c r="H57" s="689"/>
      <c r="I57" s="14" t="s">
        <v>141</v>
      </c>
      <c r="J57" s="120"/>
      <c r="K57" s="28"/>
      <c r="L57" s="120"/>
      <c r="M57" s="28"/>
      <c r="N57" s="120"/>
      <c r="O57" s="28"/>
      <c r="P57" s="120"/>
      <c r="Q57" s="296"/>
      <c r="V57" s="185"/>
    </row>
    <row r="58" spans="1:22" ht="18" customHeight="1">
      <c r="A58" s="96"/>
      <c r="C58" s="120"/>
      <c r="D58" s="28"/>
      <c r="E58" s="218"/>
      <c r="F58" s="218"/>
      <c r="G58" s="27"/>
      <c r="H58" s="27"/>
      <c r="I58" s="27"/>
      <c r="J58" s="120"/>
      <c r="K58" s="28"/>
      <c r="L58" s="120"/>
      <c r="M58" s="28"/>
      <c r="N58" s="120"/>
      <c r="O58" s="28"/>
      <c r="P58" s="120"/>
      <c r="Q58" s="296"/>
      <c r="V58" s="185"/>
    </row>
    <row r="59" spans="1:22" ht="18" customHeight="1">
      <c r="A59" s="96"/>
      <c r="C59" s="120"/>
      <c r="F59" s="708">
        <v>1</v>
      </c>
      <c r="G59" s="708"/>
      <c r="H59" s="708"/>
      <c r="I59" s="27"/>
      <c r="J59" s="689" t="s">
        <v>315</v>
      </c>
      <c r="K59" s="1286">
        <v>15</v>
      </c>
      <c r="L59" s="120"/>
      <c r="M59" s="28"/>
      <c r="N59" s="120"/>
      <c r="O59" s="28"/>
      <c r="P59" s="120"/>
      <c r="Q59" s="296"/>
      <c r="V59" s="185"/>
    </row>
    <row r="60" spans="1:22" ht="18" customHeight="1">
      <c r="A60" s="96"/>
      <c r="C60" s="120"/>
      <c r="D60" s="120" t="s">
        <v>738</v>
      </c>
      <c r="E60" s="102" t="s">
        <v>127</v>
      </c>
      <c r="F60" s="30" t="s">
        <v>739</v>
      </c>
      <c r="I60" s="27"/>
      <c r="J60" s="684"/>
      <c r="K60" s="1251"/>
      <c r="L60" s="120"/>
      <c r="M60" s="28"/>
      <c r="N60" s="120"/>
      <c r="O60" s="28"/>
      <c r="P60" s="120"/>
      <c r="Q60" s="296"/>
      <c r="V60" s="185"/>
    </row>
    <row r="61" spans="1:22" ht="18" customHeight="1">
      <c r="A61" s="96"/>
      <c r="C61" s="28"/>
      <c r="D61" s="218"/>
      <c r="E61" s="218"/>
      <c r="F61" s="218"/>
      <c r="G61" s="218"/>
      <c r="H61" s="218"/>
      <c r="I61" s="218"/>
      <c r="J61" s="218"/>
      <c r="K61" s="218"/>
      <c r="L61" s="218"/>
      <c r="M61" s="28"/>
      <c r="N61" s="120"/>
      <c r="O61" s="28"/>
      <c r="P61" s="120"/>
      <c r="Q61" s="296"/>
      <c r="V61" s="185"/>
    </row>
    <row r="62" spans="1:22" ht="18" customHeight="1">
      <c r="A62" s="96"/>
      <c r="C62" s="120"/>
      <c r="D62" s="28"/>
      <c r="E62" s="218" t="s">
        <v>127</v>
      </c>
      <c r="F62" s="1287">
        <f>1*K59/(2*3.14*50)</f>
        <v>4.7770700636942678E-2</v>
      </c>
      <c r="G62" s="1287"/>
      <c r="H62" s="28" t="s">
        <v>740</v>
      </c>
      <c r="I62" s="27"/>
      <c r="J62" s="120"/>
      <c r="K62" s="28"/>
      <c r="L62" s="120"/>
      <c r="M62" s="28"/>
      <c r="N62" s="120"/>
      <c r="O62" s="28"/>
      <c r="P62" s="120"/>
      <c r="Q62" s="296"/>
      <c r="V62" s="185"/>
    </row>
    <row r="63" spans="1:22" ht="18" customHeight="1">
      <c r="A63" s="96"/>
      <c r="C63" s="120"/>
      <c r="D63" s="120" t="s">
        <v>738</v>
      </c>
      <c r="E63" s="218" t="s">
        <v>127</v>
      </c>
      <c r="F63" s="1188">
        <f>F62*1000</f>
        <v>47.770700636942678</v>
      </c>
      <c r="G63" s="1188"/>
      <c r="H63" s="28" t="s">
        <v>343</v>
      </c>
      <c r="I63" s="27"/>
      <c r="J63" s="120"/>
      <c r="K63" s="28"/>
      <c r="L63" s="120"/>
      <c r="M63" s="28"/>
      <c r="N63" s="120"/>
      <c r="O63" s="28"/>
      <c r="P63" s="120"/>
      <c r="Q63" s="296"/>
      <c r="V63" s="185"/>
    </row>
    <row r="64" spans="1:22" ht="18" customHeight="1">
      <c r="A64" s="184"/>
      <c r="G64" s="27"/>
      <c r="H64" s="245"/>
      <c r="I64" s="245"/>
      <c r="J64" s="460"/>
      <c r="K64" s="245"/>
      <c r="L64" s="460"/>
      <c r="M64" s="245"/>
      <c r="N64" s="460"/>
      <c r="O64" s="245"/>
      <c r="P64" s="460"/>
      <c r="Q64" s="461"/>
      <c r="V64" s="185"/>
    </row>
    <row r="65" spans="1:22" ht="18" customHeight="1">
      <c r="A65" s="184"/>
      <c r="B65" s="14" t="s">
        <v>741</v>
      </c>
      <c r="E65" s="28" t="s">
        <v>127</v>
      </c>
      <c r="F65" s="27">
        <v>10</v>
      </c>
      <c r="G65" s="27"/>
      <c r="H65" s="245"/>
      <c r="I65" s="245"/>
      <c r="J65" s="460"/>
      <c r="K65" s="245"/>
      <c r="L65" s="460"/>
      <c r="M65" s="245"/>
      <c r="N65" s="460"/>
      <c r="O65" s="245"/>
      <c r="P65" s="460"/>
      <c r="Q65" s="461"/>
      <c r="V65" s="185"/>
    </row>
    <row r="66" spans="1:22" ht="18" customHeight="1">
      <c r="A66" s="184"/>
      <c r="G66" s="27"/>
      <c r="H66" s="245"/>
      <c r="I66" s="245"/>
      <c r="J66" s="460"/>
      <c r="K66" s="245"/>
      <c r="L66" s="460"/>
      <c r="M66" s="245"/>
      <c r="N66" s="460"/>
      <c r="O66" s="245"/>
      <c r="P66" s="460"/>
      <c r="Q66" s="461"/>
      <c r="V66" s="185"/>
    </row>
    <row r="67" spans="1:22" ht="18" customHeight="1">
      <c r="A67" s="184"/>
      <c r="B67" s="7" t="s">
        <v>742</v>
      </c>
      <c r="F67" s="7"/>
      <c r="G67" s="7"/>
      <c r="H67" s="204"/>
      <c r="I67" s="204"/>
      <c r="V67" s="185"/>
    </row>
    <row r="68" spans="1:22" ht="17.399999999999999" customHeight="1">
      <c r="A68" s="184"/>
      <c r="B68" s="7"/>
      <c r="E68" s="30" t="s">
        <v>743</v>
      </c>
      <c r="F68" s="7"/>
      <c r="G68" s="7"/>
      <c r="V68" s="185"/>
    </row>
    <row r="69" spans="1:22" ht="17.399999999999999" customHeight="1">
      <c r="A69" s="184"/>
      <c r="B69" s="7"/>
      <c r="E69" s="14"/>
      <c r="F69" s="7"/>
      <c r="G69" s="7"/>
      <c r="V69" s="185"/>
    </row>
    <row r="70" spans="1:22" ht="17.399999999999999" customHeight="1">
      <c r="A70" s="184"/>
      <c r="B70" s="14" t="s">
        <v>744</v>
      </c>
      <c r="C70" s="14"/>
      <c r="D70" s="14"/>
      <c r="E70" s="14"/>
      <c r="F70" s="14"/>
      <c r="G70" s="120"/>
      <c r="H70" s="120"/>
      <c r="V70" s="185"/>
    </row>
    <row r="71" spans="1:22" ht="17.399999999999999" customHeight="1">
      <c r="A71" s="184"/>
      <c r="B71" s="14"/>
      <c r="C71" s="120" t="s">
        <v>745</v>
      </c>
      <c r="D71" s="28" t="s">
        <v>127</v>
      </c>
      <c r="E71" s="28">
        <v>10</v>
      </c>
      <c r="F71" s="14"/>
      <c r="G71" s="47" t="s">
        <v>746</v>
      </c>
      <c r="H71" s="120"/>
      <c r="V71" s="185"/>
    </row>
    <row r="72" spans="1:22" ht="17.399999999999999" customHeight="1">
      <c r="A72" s="184"/>
      <c r="B72" s="7"/>
      <c r="E72" s="14"/>
      <c r="F72" s="7"/>
      <c r="G72" s="7"/>
      <c r="V72" s="185"/>
    </row>
    <row r="73" spans="1:22" ht="17.399999999999999" customHeight="1">
      <c r="A73" s="184"/>
      <c r="B73" s="47" t="s">
        <v>747</v>
      </c>
      <c r="E73" s="14"/>
      <c r="F73" s="7"/>
      <c r="G73" s="7"/>
      <c r="V73" s="185"/>
    </row>
    <row r="74" spans="1:22" ht="17.399999999999999" customHeight="1">
      <c r="A74" s="184"/>
      <c r="B74" s="47" t="s">
        <v>748</v>
      </c>
      <c r="E74" s="14"/>
      <c r="F74" s="7"/>
      <c r="G74" s="7"/>
      <c r="V74" s="185"/>
    </row>
    <row r="75" spans="1:22" ht="17.399999999999999" customHeight="1" thickBot="1">
      <c r="A75" s="184"/>
      <c r="B75" s="102" t="s">
        <v>127</v>
      </c>
      <c r="C75" s="120">
        <f>E71</f>
        <v>10</v>
      </c>
      <c r="D75" s="28" t="s">
        <v>315</v>
      </c>
      <c r="E75" s="28" t="s">
        <v>419</v>
      </c>
      <c r="F75" s="692">
        <f>S29</f>
        <v>3.5</v>
      </c>
      <c r="G75" s="692"/>
      <c r="H75" s="102" t="s">
        <v>347</v>
      </c>
      <c r="I75" s="218">
        <f>S30</f>
        <v>1.0870224400000001</v>
      </c>
      <c r="J75" s="240" t="s">
        <v>347</v>
      </c>
      <c r="K75" s="281">
        <f>J18</f>
        <v>0.01</v>
      </c>
      <c r="L75" s="14" t="s">
        <v>350</v>
      </c>
      <c r="M75" s="14" t="s">
        <v>315</v>
      </c>
      <c r="N75" s="28">
        <v>1</v>
      </c>
      <c r="V75" s="185"/>
    </row>
    <row r="76" spans="1:22" ht="17.399999999999999" customHeight="1" thickBot="1">
      <c r="A76" s="184"/>
      <c r="B76" s="462" t="s">
        <v>528</v>
      </c>
      <c r="C76" s="463" t="s">
        <v>127</v>
      </c>
      <c r="D76" s="464">
        <f>C75*(F75+I75+K75)*N75</f>
        <v>45.970224399999999</v>
      </c>
      <c r="E76" s="14" t="s">
        <v>305</v>
      </c>
      <c r="F76" s="7"/>
      <c r="G76" s="7"/>
      <c r="V76" s="185"/>
    </row>
    <row r="77" spans="1:22" ht="17.399999999999999" customHeight="1">
      <c r="A77" s="184"/>
      <c r="B77" s="7"/>
      <c r="E77" s="14"/>
      <c r="F77" s="7"/>
      <c r="G77" s="7"/>
      <c r="V77" s="185"/>
    </row>
    <row r="78" spans="1:22" ht="17.399999999999999" customHeight="1">
      <c r="A78" s="184"/>
      <c r="B78" s="47" t="s">
        <v>749</v>
      </c>
      <c r="E78" s="14"/>
      <c r="F78" s="7"/>
      <c r="G78" s="7"/>
      <c r="J78" s="14" t="s">
        <v>750</v>
      </c>
      <c r="L78" s="28" t="s">
        <v>476</v>
      </c>
      <c r="N78" s="14" t="s">
        <v>751</v>
      </c>
      <c r="V78" s="185"/>
    </row>
    <row r="79" spans="1:22" ht="17.399999999999999" customHeight="1">
      <c r="A79" s="184"/>
      <c r="B79" s="7"/>
      <c r="E79" s="14"/>
      <c r="F79" s="7"/>
      <c r="G79" s="7"/>
      <c r="L79" s="28" t="s">
        <v>127</v>
      </c>
      <c r="N79" s="1251">
        <f>0.8*D76</f>
        <v>36.776179519999999</v>
      </c>
      <c r="O79" s="1251"/>
      <c r="V79" s="185"/>
    </row>
    <row r="80" spans="1:22" ht="17.399999999999999" customHeight="1">
      <c r="A80" s="184"/>
      <c r="B80" s="7"/>
      <c r="E80" s="14"/>
      <c r="F80" s="14" t="s">
        <v>752</v>
      </c>
      <c r="G80" s="7"/>
      <c r="L80" s="28" t="s">
        <v>127</v>
      </c>
      <c r="N80" s="1072">
        <f>N79*1.2</f>
        <v>44.131415423999997</v>
      </c>
      <c r="O80" s="1072"/>
      <c r="V80" s="185"/>
    </row>
    <row r="81" spans="1:23" ht="17.399999999999999" customHeight="1">
      <c r="A81" s="184"/>
      <c r="K81" s="199" t="s">
        <v>475</v>
      </c>
      <c r="L81" s="28" t="str">
        <f>IF(I82&gt;M82,"&gt;","&lt;")</f>
        <v>&gt;</v>
      </c>
      <c r="M81" s="257" t="s">
        <v>477</v>
      </c>
      <c r="O81" s="18"/>
      <c r="P81" s="268"/>
      <c r="V81" s="185"/>
    </row>
    <row r="82" spans="1:23" ht="17.399999999999999" customHeight="1">
      <c r="A82" s="184"/>
      <c r="I82" s="795">
        <f>S28</f>
        <v>500</v>
      </c>
      <c r="J82" s="795"/>
      <c r="K82" s="27"/>
      <c r="L82" s="27" t="str">
        <f>IF(I82&gt;=M82,"&gt;","&lt;")</f>
        <v>&gt;</v>
      </c>
      <c r="M82" s="795">
        <f>N80</f>
        <v>44.131415423999997</v>
      </c>
      <c r="N82" s="795"/>
      <c r="P82" s="268"/>
      <c r="V82" s="185"/>
    </row>
    <row r="83" spans="1:23" ht="17.399999999999999" customHeight="1">
      <c r="A83" s="184"/>
      <c r="K83" s="244" t="s">
        <v>478</v>
      </c>
      <c r="M83" s="18" t="str">
        <f>IF(I82&gt;M82,"Suitably Dimensioned","Under Dimensioned")</f>
        <v>Suitably Dimensioned</v>
      </c>
      <c r="V83" s="185"/>
    </row>
    <row r="84" spans="1:23" ht="17.399999999999999" customHeight="1">
      <c r="A84" s="184"/>
      <c r="K84" s="244"/>
      <c r="M84" s="18"/>
      <c r="V84" s="185"/>
    </row>
    <row r="85" spans="1:23" ht="17.399999999999999" customHeight="1">
      <c r="A85" s="184"/>
      <c r="K85" s="244"/>
      <c r="M85" s="18"/>
      <c r="V85" s="185"/>
    </row>
    <row r="86" spans="1:23" ht="17.399999999999999" customHeight="1">
      <c r="A86" s="184"/>
      <c r="K86" s="244"/>
      <c r="M86" s="18"/>
      <c r="V86" s="185"/>
    </row>
    <row r="87" spans="1:23" ht="17.399999999999999" customHeight="1">
      <c r="A87" s="184"/>
      <c r="B87" s="7"/>
      <c r="E87" s="14"/>
      <c r="F87" s="7"/>
      <c r="G87" s="7"/>
      <c r="V87" s="185"/>
    </row>
    <row r="88" spans="1:23" s="14" customFormat="1" ht="15.6" customHeight="1">
      <c r="A88" s="194"/>
      <c r="B88" s="195"/>
      <c r="C88" s="195"/>
      <c r="D88" s="195"/>
      <c r="E88" s="195"/>
      <c r="F88" s="195"/>
      <c r="G88" s="195"/>
      <c r="H88" s="195"/>
      <c r="I88" s="195"/>
      <c r="J88" s="195"/>
      <c r="K88" s="195"/>
      <c r="L88" s="195"/>
      <c r="M88" s="195"/>
      <c r="N88" s="195"/>
      <c r="O88" s="195"/>
      <c r="P88" s="195"/>
      <c r="Q88" s="224"/>
      <c r="R88" s="182"/>
      <c r="S88" s="225"/>
      <c r="T88" s="195"/>
      <c r="U88" s="195"/>
      <c r="V88" s="134"/>
    </row>
    <row r="89" spans="1:23"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customHeight="1">
      <c r="A90" s="184"/>
      <c r="B90" s="835" t="str">
        <f>B7</f>
        <v>T2</v>
      </c>
      <c r="C90" s="836"/>
      <c r="D90" s="1118" t="str">
        <f>D7</f>
        <v>Core2</v>
      </c>
      <c r="E90" s="1290"/>
      <c r="F90" s="455"/>
      <c r="H90" s="684" t="str">
        <f>H7</f>
        <v>(Low Imp. Busbar)</v>
      </c>
      <c r="I90" s="684"/>
      <c r="J90" s="684"/>
      <c r="K90" s="684"/>
      <c r="L90" s="684"/>
      <c r="M90" s="684"/>
      <c r="P90" s="186"/>
      <c r="S90" s="187" t="s">
        <v>387</v>
      </c>
      <c r="T90" s="835" t="str">
        <f>T7</f>
        <v>REB500</v>
      </c>
      <c r="U90" s="836"/>
      <c r="V90" s="185"/>
    </row>
    <row r="91" spans="1:23" ht="18" customHeight="1">
      <c r="A91" s="456"/>
      <c r="F91" s="455"/>
      <c r="T91" s="839">
        <f>T8</f>
        <v>0</v>
      </c>
      <c r="U91" s="840"/>
      <c r="V91" s="185"/>
    </row>
    <row r="92" spans="1:23" ht="18" customHeight="1">
      <c r="A92" s="184"/>
      <c r="H92" s="708" t="s">
        <v>390</v>
      </c>
      <c r="I92" s="708"/>
      <c r="J92" s="789" t="s">
        <v>391</v>
      </c>
      <c r="K92" s="789"/>
      <c r="L92" s="790" t="s">
        <v>392</v>
      </c>
      <c r="M92" s="790"/>
      <c r="T92" s="839">
        <f>T9</f>
        <v>0</v>
      </c>
      <c r="U92" s="840"/>
      <c r="V92" s="185"/>
    </row>
    <row r="93" spans="1:23" ht="18" customHeight="1">
      <c r="A93" s="184"/>
      <c r="B93" s="47" t="s">
        <v>393</v>
      </c>
      <c r="H93" s="835">
        <f>H10</f>
        <v>2000</v>
      </c>
      <c r="I93" s="836"/>
      <c r="J93" s="835">
        <f>J10</f>
        <v>3200</v>
      </c>
      <c r="K93" s="836"/>
      <c r="L93" s="835" t="str">
        <f>L10</f>
        <v>-</v>
      </c>
      <c r="M93" s="836"/>
      <c r="N93" s="191" t="s">
        <v>342</v>
      </c>
      <c r="O93" s="488">
        <f>O10</f>
        <v>1</v>
      </c>
      <c r="P93" s="27" t="s">
        <v>8</v>
      </c>
      <c r="R93" s="255"/>
      <c r="S93" s="255"/>
      <c r="V93" s="185"/>
    </row>
    <row r="94" spans="1:23" ht="18" customHeight="1">
      <c r="A94" s="184"/>
      <c r="B94" s="47" t="s">
        <v>394</v>
      </c>
      <c r="H94" s="14"/>
      <c r="I94" s="14"/>
      <c r="J94" s="835" t="str">
        <f>H11</f>
        <v>PX</v>
      </c>
      <c r="K94" s="836"/>
      <c r="L94" s="14"/>
      <c r="M94" s="14"/>
      <c r="V94" s="185"/>
    </row>
    <row r="95" spans="1:23" ht="18" customHeight="1">
      <c r="A95" s="184"/>
      <c r="B95" s="47" t="s">
        <v>396</v>
      </c>
      <c r="I95" s="120" t="s">
        <v>497</v>
      </c>
      <c r="J95" s="781">
        <v>5</v>
      </c>
      <c r="K95" s="782"/>
      <c r="L95" s="192" t="s">
        <v>333</v>
      </c>
      <c r="V95" s="185"/>
    </row>
    <row r="96" spans="1:23" ht="18" customHeight="1">
      <c r="A96" s="184"/>
      <c r="B96" s="47" t="s">
        <v>398</v>
      </c>
      <c r="I96" s="120" t="s">
        <v>498</v>
      </c>
      <c r="J96" s="781">
        <v>900</v>
      </c>
      <c r="K96" s="782"/>
      <c r="L96" s="14" t="s">
        <v>305</v>
      </c>
      <c r="T96" s="295"/>
      <c r="U96" s="18"/>
      <c r="V96" s="185"/>
      <c r="W96" s="30" t="str">
        <f>M163</f>
        <v>Required Vk</v>
      </c>
    </row>
    <row r="97" spans="1:22" ht="18" customHeight="1">
      <c r="A97" s="184"/>
      <c r="B97" s="14" t="s">
        <v>401</v>
      </c>
      <c r="I97" s="120" t="s">
        <v>402</v>
      </c>
      <c r="J97" s="781">
        <v>10</v>
      </c>
      <c r="K97" s="782"/>
      <c r="L97" s="14" t="s">
        <v>403</v>
      </c>
      <c r="V97" s="185"/>
    </row>
    <row r="98" spans="1:22" ht="18" customHeight="1">
      <c r="A98" s="184"/>
      <c r="V98" s="185"/>
    </row>
    <row r="99" spans="1:22" ht="18" customHeight="1">
      <c r="A99" s="193" t="s">
        <v>404</v>
      </c>
      <c r="V99" s="185"/>
    </row>
    <row r="100" spans="1:22" ht="18" customHeight="1">
      <c r="A100" s="184"/>
      <c r="V100" s="185"/>
    </row>
    <row r="101" spans="1:22" ht="18" customHeight="1">
      <c r="A101" s="184"/>
      <c r="B101" s="135" t="s">
        <v>405</v>
      </c>
      <c r="C101" s="273"/>
      <c r="D101" s="139" t="str">
        <f>T90</f>
        <v>REB500</v>
      </c>
      <c r="E101" s="227"/>
      <c r="F101" s="227"/>
      <c r="G101" s="227"/>
      <c r="H101" s="138"/>
      <c r="I101" s="260" t="s">
        <v>127</v>
      </c>
      <c r="J101" s="722">
        <f>J18</f>
        <v>0.01</v>
      </c>
      <c r="K101" s="958"/>
      <c r="L101" s="3" t="s">
        <v>157</v>
      </c>
      <c r="N101" s="197" t="s">
        <v>510</v>
      </c>
      <c r="V101" s="185"/>
    </row>
    <row r="102" spans="1:22" ht="18" customHeight="1">
      <c r="A102" s="184"/>
      <c r="B102" s="96" t="s">
        <v>405</v>
      </c>
      <c r="C102" s="14"/>
      <c r="D102" s="47">
        <f>T91</f>
        <v>0</v>
      </c>
      <c r="H102" s="28"/>
      <c r="I102" s="101" t="s">
        <v>127</v>
      </c>
      <c r="J102" s="722">
        <f>J19</f>
        <v>0</v>
      </c>
      <c r="K102" s="958"/>
      <c r="L102" s="3" t="s">
        <v>157</v>
      </c>
      <c r="N102" s="120" t="s">
        <v>491</v>
      </c>
      <c r="O102" s="27" t="s">
        <v>127</v>
      </c>
      <c r="P102" s="27" t="s">
        <v>511</v>
      </c>
      <c r="Q102" s="27" t="s">
        <v>315</v>
      </c>
      <c r="R102" s="27" t="s">
        <v>511</v>
      </c>
      <c r="S102" s="27" t="s">
        <v>315</v>
      </c>
      <c r="T102" s="27" t="s">
        <v>420</v>
      </c>
      <c r="V102" s="185"/>
    </row>
    <row r="103" spans="1:22" ht="18" customHeight="1">
      <c r="A103" s="184"/>
      <c r="B103" s="96" t="s">
        <v>405</v>
      </c>
      <c r="C103" s="14"/>
      <c r="D103" s="47">
        <f>T92</f>
        <v>0</v>
      </c>
      <c r="H103" s="28"/>
      <c r="I103" s="101" t="s">
        <v>127</v>
      </c>
      <c r="J103" s="722">
        <f>J20</f>
        <v>0</v>
      </c>
      <c r="K103" s="958"/>
      <c r="L103" s="3" t="s">
        <v>157</v>
      </c>
      <c r="N103" s="27"/>
      <c r="O103" s="27" t="s">
        <v>127</v>
      </c>
      <c r="P103" s="27">
        <f>O93</f>
        <v>1</v>
      </c>
      <c r="Q103" s="27" t="s">
        <v>315</v>
      </c>
      <c r="R103" s="27">
        <f>O93</f>
        <v>1</v>
      </c>
      <c r="S103" s="27" t="s">
        <v>315</v>
      </c>
      <c r="T103" s="27">
        <f>J95</f>
        <v>5</v>
      </c>
      <c r="V103" s="185"/>
    </row>
    <row r="104" spans="1:22" ht="18" customHeight="1">
      <c r="A104" s="184"/>
      <c r="B104" s="452" t="s">
        <v>412</v>
      </c>
      <c r="C104" s="259"/>
      <c r="D104" s="259"/>
      <c r="E104" s="259"/>
      <c r="F104" s="207"/>
      <c r="G104" s="207"/>
      <c r="H104" s="190"/>
      <c r="I104" s="208" t="s">
        <v>127</v>
      </c>
      <c r="J104" s="1120">
        <f>J21</f>
        <v>1.0770224400000001</v>
      </c>
      <c r="K104" s="987"/>
      <c r="L104" s="297" t="s">
        <v>157</v>
      </c>
      <c r="O104" s="27" t="s">
        <v>127</v>
      </c>
      <c r="P104" s="795">
        <f>P103*R103*T103</f>
        <v>5</v>
      </c>
      <c r="Q104" s="684"/>
      <c r="R104" s="27" t="s">
        <v>157</v>
      </c>
      <c r="V104" s="185"/>
    </row>
    <row r="105" spans="1:22" ht="18" customHeight="1">
      <c r="A105" s="184"/>
      <c r="B105" s="1" t="s">
        <v>413</v>
      </c>
      <c r="C105" s="2"/>
      <c r="D105" s="2"/>
      <c r="E105" s="2"/>
      <c r="F105" s="196"/>
      <c r="G105" s="196"/>
      <c r="H105" s="224" t="s">
        <v>512</v>
      </c>
      <c r="I105" s="183" t="s">
        <v>127</v>
      </c>
      <c r="J105" s="722">
        <f>SUM(J101:J104)</f>
        <v>1.0870224400000001</v>
      </c>
      <c r="K105" s="958"/>
      <c r="L105" s="3" t="s">
        <v>157</v>
      </c>
      <c r="V105" s="185"/>
    </row>
    <row r="106" spans="1:22" ht="18" customHeight="1">
      <c r="A106" s="184"/>
      <c r="B106" s="47"/>
      <c r="C106" s="47"/>
      <c r="D106" s="47"/>
      <c r="E106" s="47"/>
      <c r="H106" s="27"/>
      <c r="I106" s="28"/>
      <c r="J106" s="199"/>
      <c r="L106" s="47"/>
      <c r="S106" s="27"/>
      <c r="V106" s="185"/>
    </row>
    <row r="107" spans="1:22" ht="18" customHeight="1">
      <c r="A107" s="258"/>
      <c r="B107" s="117" t="s">
        <v>712</v>
      </c>
      <c r="V107" s="185"/>
    </row>
    <row r="108" spans="1:22" ht="18" customHeight="1">
      <c r="A108" s="231"/>
      <c r="B108" s="5"/>
      <c r="C108" s="47" t="s">
        <v>713</v>
      </c>
      <c r="D108" s="14"/>
      <c r="E108" s="14"/>
      <c r="F108" s="14"/>
      <c r="G108" s="14"/>
      <c r="H108" s="279"/>
      <c r="I108" s="120"/>
      <c r="J108" s="279"/>
      <c r="K108" s="279"/>
      <c r="L108" s="14"/>
      <c r="M108" s="14"/>
      <c r="N108" s="14"/>
      <c r="O108" s="14"/>
      <c r="P108" s="14"/>
      <c r="Q108" s="120" t="s">
        <v>714</v>
      </c>
      <c r="R108" s="102" t="s">
        <v>127</v>
      </c>
      <c r="S108" s="689">
        <v>31500</v>
      </c>
      <c r="T108" s="689"/>
      <c r="U108" s="47" t="s">
        <v>8</v>
      </c>
      <c r="V108" s="97" t="s">
        <v>129</v>
      </c>
    </row>
    <row r="109" spans="1:22" ht="18" customHeight="1">
      <c r="A109" s="184"/>
      <c r="B109" s="5"/>
      <c r="C109" s="47" t="s">
        <v>545</v>
      </c>
      <c r="D109" s="14"/>
      <c r="E109" s="14"/>
      <c r="F109" s="18"/>
      <c r="G109" s="18"/>
      <c r="H109" s="279"/>
      <c r="I109" s="120"/>
      <c r="J109" s="279"/>
      <c r="K109" s="279"/>
      <c r="L109" s="14"/>
      <c r="M109" s="14"/>
      <c r="N109" s="14"/>
      <c r="O109" s="14"/>
      <c r="P109" s="14"/>
      <c r="Q109" s="120" t="s">
        <v>423</v>
      </c>
      <c r="R109" s="102" t="s">
        <v>127</v>
      </c>
      <c r="S109" s="689">
        <f>J93</f>
        <v>3200</v>
      </c>
      <c r="T109" s="689"/>
      <c r="U109" s="14" t="s">
        <v>8</v>
      </c>
      <c r="V109" s="185"/>
    </row>
    <row r="110" spans="1:22" ht="18" customHeight="1">
      <c r="A110" s="184"/>
      <c r="B110" s="5"/>
      <c r="C110" s="47" t="s">
        <v>715</v>
      </c>
      <c r="D110" s="14"/>
      <c r="E110" s="14"/>
      <c r="F110" s="18"/>
      <c r="G110" s="18"/>
      <c r="H110" s="279"/>
      <c r="I110" s="120"/>
      <c r="J110" s="279"/>
      <c r="K110" s="279"/>
      <c r="L110" s="14"/>
      <c r="M110" s="14"/>
      <c r="N110" s="14"/>
      <c r="O110" s="14"/>
      <c r="P110" s="14"/>
      <c r="Q110" s="120" t="s">
        <v>716</v>
      </c>
      <c r="R110" s="102" t="s">
        <v>127</v>
      </c>
      <c r="S110" s="689">
        <v>33</v>
      </c>
      <c r="T110" s="689"/>
      <c r="U110" s="14" t="s">
        <v>163</v>
      </c>
      <c r="V110" s="185"/>
    </row>
    <row r="111" spans="1:22" ht="18" customHeight="1">
      <c r="A111" s="184"/>
      <c r="B111" s="5"/>
      <c r="C111" s="47" t="s">
        <v>546</v>
      </c>
      <c r="D111" s="14"/>
      <c r="E111" s="14"/>
      <c r="F111" s="18"/>
      <c r="G111" s="18"/>
      <c r="H111" s="279"/>
      <c r="I111" s="120"/>
      <c r="J111" s="279"/>
      <c r="K111" s="279"/>
      <c r="L111" s="14"/>
      <c r="M111" s="14"/>
      <c r="N111" s="14"/>
      <c r="O111" s="14"/>
      <c r="P111" s="14"/>
      <c r="Q111" s="120" t="s">
        <v>473</v>
      </c>
      <c r="R111" s="102" t="s">
        <v>127</v>
      </c>
      <c r="S111" s="689">
        <f>J96</f>
        <v>900</v>
      </c>
      <c r="T111" s="689"/>
      <c r="U111" s="14" t="s">
        <v>305</v>
      </c>
      <c r="V111" s="185"/>
    </row>
    <row r="112" spans="1:22" ht="18" customHeight="1">
      <c r="A112" s="184"/>
      <c r="B112" s="5"/>
      <c r="C112" s="47" t="s">
        <v>717</v>
      </c>
      <c r="D112" s="14"/>
      <c r="E112" s="14"/>
      <c r="F112" s="18"/>
      <c r="G112" s="18"/>
      <c r="H112" s="279"/>
      <c r="I112" s="120"/>
      <c r="J112" s="279"/>
      <c r="K112" s="279"/>
      <c r="L112" s="14"/>
      <c r="M112" s="14"/>
      <c r="N112" s="14"/>
      <c r="O112" s="14"/>
      <c r="P112" s="14"/>
      <c r="Q112" s="120" t="s">
        <v>420</v>
      </c>
      <c r="R112" s="102" t="s">
        <v>127</v>
      </c>
      <c r="S112" s="692">
        <f>P104</f>
        <v>5</v>
      </c>
      <c r="T112" s="689"/>
      <c r="U112" s="14" t="s">
        <v>157</v>
      </c>
      <c r="V112" s="185"/>
    </row>
    <row r="113" spans="1:25" ht="18" customHeight="1">
      <c r="A113" s="184"/>
      <c r="B113" s="5"/>
      <c r="C113" s="47" t="s">
        <v>718</v>
      </c>
      <c r="D113" s="14"/>
      <c r="E113" s="14"/>
      <c r="F113" s="18"/>
      <c r="G113" s="18"/>
      <c r="H113" s="279"/>
      <c r="I113" s="120"/>
      <c r="J113" s="279"/>
      <c r="K113" s="279"/>
      <c r="L113" s="14"/>
      <c r="M113" s="14"/>
      <c r="N113" s="14"/>
      <c r="O113" s="14"/>
      <c r="P113" s="14"/>
      <c r="Q113" s="120" t="s">
        <v>522</v>
      </c>
      <c r="R113" s="102" t="s">
        <v>127</v>
      </c>
      <c r="S113" s="692">
        <f>J105</f>
        <v>1.0870224400000001</v>
      </c>
      <c r="T113" s="689"/>
      <c r="U113" s="14" t="s">
        <v>157</v>
      </c>
      <c r="V113" s="185"/>
    </row>
    <row r="114" spans="1:25" ht="18" customHeight="1">
      <c r="A114" s="168"/>
      <c r="B114" s="5"/>
      <c r="C114" s="47" t="s">
        <v>549</v>
      </c>
      <c r="D114" s="14"/>
      <c r="E114" s="14"/>
      <c r="F114" s="14"/>
      <c r="G114" s="14"/>
      <c r="H114" s="279"/>
      <c r="I114" s="120"/>
      <c r="J114" s="279"/>
      <c r="K114" s="279"/>
      <c r="L114" s="14"/>
      <c r="M114" s="14"/>
      <c r="N114" s="14"/>
      <c r="O114" s="14"/>
      <c r="P114" s="14"/>
      <c r="Q114" s="120" t="s">
        <v>714</v>
      </c>
      <c r="R114" s="102" t="s">
        <v>127</v>
      </c>
      <c r="S114" s="689">
        <f>O93</f>
        <v>1</v>
      </c>
      <c r="T114" s="689"/>
      <c r="U114" s="14" t="s">
        <v>8</v>
      </c>
      <c r="V114" s="185"/>
    </row>
    <row r="115" spans="1:25" ht="18" customHeight="1">
      <c r="A115" s="168"/>
      <c r="B115" s="5"/>
      <c r="C115" s="47" t="s">
        <v>719</v>
      </c>
      <c r="D115" s="14"/>
      <c r="E115" s="14"/>
      <c r="F115" s="14"/>
      <c r="G115" s="14"/>
      <c r="H115" s="279"/>
      <c r="I115" s="120"/>
      <c r="J115" s="279"/>
      <c r="K115" s="279"/>
      <c r="L115" s="14"/>
      <c r="M115" s="14"/>
      <c r="N115" s="14"/>
      <c r="O115" s="14"/>
      <c r="P115" s="14"/>
      <c r="Q115" s="120" t="s">
        <v>720</v>
      </c>
      <c r="R115" s="102" t="s">
        <v>127</v>
      </c>
      <c r="S115" s="689">
        <v>50</v>
      </c>
      <c r="T115" s="689"/>
      <c r="U115" s="47"/>
      <c r="V115" s="185"/>
    </row>
    <row r="116" spans="1:25" ht="18" customHeight="1">
      <c r="A116" s="168"/>
      <c r="B116" s="279"/>
      <c r="C116" s="47"/>
      <c r="D116" s="14"/>
      <c r="E116" s="14"/>
      <c r="F116" s="14"/>
      <c r="G116" s="14"/>
      <c r="H116" s="279"/>
      <c r="I116" s="120"/>
      <c r="J116" s="279"/>
      <c r="K116" s="279"/>
      <c r="L116" s="14"/>
      <c r="M116" s="14"/>
      <c r="N116" s="279"/>
      <c r="O116" s="279"/>
      <c r="P116" s="14"/>
      <c r="Q116" s="120"/>
      <c r="R116" s="14"/>
      <c r="S116" s="279"/>
      <c r="T116" s="279"/>
      <c r="U116" s="279"/>
      <c r="V116" s="300"/>
    </row>
    <row r="117" spans="1:25" ht="18" customHeight="1">
      <c r="A117" s="168"/>
      <c r="C117" s="18" t="s">
        <v>721</v>
      </c>
      <c r="D117" s="14"/>
      <c r="E117" s="14"/>
      <c r="F117" s="14"/>
      <c r="G117" s="14"/>
      <c r="H117" s="14"/>
      <c r="I117" s="14"/>
      <c r="J117" s="14"/>
      <c r="K117" s="14"/>
      <c r="L117" s="14"/>
      <c r="M117" s="14"/>
      <c r="N117" s="14"/>
      <c r="O117" s="14"/>
      <c r="P117" s="14"/>
      <c r="Q117" s="14"/>
      <c r="R117" s="14"/>
      <c r="S117" s="14"/>
      <c r="T117" s="14"/>
      <c r="U117" s="14"/>
      <c r="V117" s="185"/>
      <c r="W117" s="279"/>
      <c r="X117" s="279"/>
      <c r="Y117" s="279"/>
    </row>
    <row r="118" spans="1:25" ht="18" customHeight="1">
      <c r="A118" s="168"/>
      <c r="C118" s="28"/>
      <c r="D118" s="47" t="s">
        <v>722</v>
      </c>
      <c r="E118" s="28"/>
      <c r="F118" s="28"/>
      <c r="G118" s="28"/>
      <c r="H118" s="14"/>
      <c r="I118" s="14"/>
      <c r="J118" s="28"/>
      <c r="K118" s="28"/>
      <c r="L118" s="28"/>
      <c r="M118" s="28"/>
      <c r="N118" s="47"/>
      <c r="O118" s="28"/>
      <c r="V118" s="185"/>
      <c r="X118" s="279"/>
      <c r="Y118" s="279"/>
    </row>
    <row r="119" spans="1:25" ht="18" customHeight="1">
      <c r="A119" s="168"/>
      <c r="D119" s="27"/>
      <c r="E119" s="27"/>
      <c r="F119" s="27"/>
      <c r="G119" s="27"/>
      <c r="I119" s="689" t="s">
        <v>723</v>
      </c>
      <c r="J119" s="689" t="s">
        <v>127</v>
      </c>
      <c r="K119" s="695" t="s">
        <v>714</v>
      </c>
      <c r="L119" s="695"/>
      <c r="M119" s="27"/>
      <c r="N119" s="296"/>
      <c r="O119" s="222"/>
      <c r="V119" s="185"/>
      <c r="X119" s="279"/>
      <c r="Y119" s="279"/>
    </row>
    <row r="120" spans="1:25" ht="18" customHeight="1">
      <c r="A120" s="168"/>
      <c r="D120" s="27"/>
      <c r="G120" s="27"/>
      <c r="I120" s="689"/>
      <c r="J120" s="689"/>
      <c r="K120" s="1289" t="s">
        <v>724</v>
      </c>
      <c r="L120" s="1289"/>
      <c r="V120" s="185"/>
    </row>
    <row r="121" spans="1:25" ht="18" customHeight="1">
      <c r="A121" s="184"/>
      <c r="B121" s="18" t="s">
        <v>725</v>
      </c>
      <c r="C121" s="14"/>
      <c r="V121" s="185"/>
    </row>
    <row r="122" spans="1:25" ht="18" customHeight="1">
      <c r="A122" s="184"/>
      <c r="B122" s="28"/>
      <c r="C122" s="372" t="s">
        <v>726</v>
      </c>
      <c r="D122" s="14"/>
      <c r="E122" s="14"/>
      <c r="F122" s="14"/>
      <c r="G122" s="14"/>
      <c r="H122" s="14"/>
      <c r="I122" s="14"/>
      <c r="J122" s="14"/>
      <c r="K122" s="14"/>
      <c r="L122" s="14"/>
      <c r="M122" s="14"/>
      <c r="N122" s="14"/>
      <c r="O122" s="14"/>
      <c r="P122" s="28"/>
      <c r="Q122" s="120"/>
      <c r="R122" s="14"/>
      <c r="S122" s="14"/>
      <c r="T122" s="14"/>
      <c r="U122" s="14"/>
      <c r="V122" s="185"/>
    </row>
    <row r="123" spans="1:25" ht="18" customHeight="1">
      <c r="A123" s="184"/>
      <c r="B123" s="28"/>
      <c r="C123" s="7" t="s">
        <v>727</v>
      </c>
      <c r="D123" s="14"/>
      <c r="E123" s="14"/>
      <c r="F123" s="14"/>
      <c r="G123" s="14"/>
      <c r="H123" s="14"/>
      <c r="K123" s="14"/>
      <c r="L123" s="28"/>
      <c r="M123" s="47"/>
      <c r="N123" s="14"/>
      <c r="O123" s="14"/>
      <c r="P123" s="14"/>
      <c r="Q123" s="14"/>
      <c r="R123" s="14"/>
      <c r="S123" s="14"/>
      <c r="T123" s="14"/>
      <c r="U123" s="14"/>
      <c r="V123" s="185"/>
    </row>
    <row r="124" spans="1:25" ht="18" customHeight="1">
      <c r="A124" s="184"/>
      <c r="B124" s="14" t="s">
        <v>728</v>
      </c>
      <c r="C124" s="7"/>
      <c r="D124" s="14"/>
      <c r="E124" s="14"/>
      <c r="F124" s="268"/>
      <c r="K124" s="28"/>
      <c r="L124" s="28"/>
      <c r="M124" s="281"/>
      <c r="N124" s="28"/>
      <c r="O124" s="47"/>
      <c r="P124" s="14"/>
      <c r="Q124" s="14"/>
      <c r="R124" s="14"/>
      <c r="S124" s="14"/>
      <c r="T124" s="14"/>
      <c r="U124" s="14"/>
      <c r="V124" s="185"/>
    </row>
    <row r="125" spans="1:25" ht="18" customHeight="1">
      <c r="A125" s="184"/>
      <c r="B125" s="14"/>
      <c r="C125" s="14" t="s">
        <v>729</v>
      </c>
      <c r="D125" s="47"/>
      <c r="E125" s="14"/>
      <c r="F125" s="268"/>
      <c r="K125" s="28"/>
      <c r="L125" s="28"/>
      <c r="M125" s="14"/>
      <c r="N125" s="14"/>
      <c r="O125" s="14"/>
      <c r="P125" s="14"/>
      <c r="Q125" s="14"/>
      <c r="R125" s="14"/>
      <c r="S125" s="14"/>
      <c r="T125" s="14"/>
      <c r="U125" s="14"/>
      <c r="V125" s="185"/>
    </row>
    <row r="126" spans="1:25" ht="18" customHeight="1">
      <c r="A126" s="184"/>
      <c r="B126" s="14"/>
      <c r="C126" s="7" t="s">
        <v>730</v>
      </c>
      <c r="D126" s="14"/>
      <c r="E126" s="14"/>
      <c r="F126" s="14"/>
      <c r="G126" s="14"/>
      <c r="H126" s="14"/>
      <c r="K126" s="28"/>
      <c r="L126" s="28"/>
      <c r="M126" s="47"/>
      <c r="N126" s="14"/>
      <c r="O126" s="14"/>
      <c r="P126" s="14"/>
      <c r="Q126" s="14"/>
      <c r="R126" s="14"/>
      <c r="S126" s="14"/>
      <c r="T126" s="14"/>
      <c r="U126" s="14"/>
      <c r="V126" s="185"/>
    </row>
    <row r="127" spans="1:25" ht="18" customHeight="1">
      <c r="A127" s="184"/>
      <c r="B127" s="14"/>
      <c r="C127" s="7" t="s">
        <v>731</v>
      </c>
      <c r="K127" s="28"/>
      <c r="L127" s="28"/>
      <c r="M127" s="28"/>
      <c r="O127" s="14"/>
      <c r="P127" s="28"/>
      <c r="Q127" s="278"/>
      <c r="R127" s="28"/>
      <c r="S127" s="14"/>
      <c r="T127" s="14"/>
      <c r="U127" s="14"/>
      <c r="V127" s="185"/>
    </row>
    <row r="128" spans="1:25" ht="18" customHeight="1">
      <c r="A128" s="452"/>
      <c r="B128" s="207"/>
      <c r="C128" s="207"/>
      <c r="D128" s="207"/>
      <c r="E128" s="207"/>
      <c r="F128" s="207"/>
      <c r="G128" s="207"/>
      <c r="H128" s="207"/>
      <c r="I128" s="207"/>
      <c r="J128" s="207"/>
      <c r="K128" s="259" t="s">
        <v>129</v>
      </c>
      <c r="L128" s="259" t="s">
        <v>732</v>
      </c>
      <c r="M128" s="190"/>
      <c r="N128" s="259"/>
      <c r="O128" s="259"/>
      <c r="P128" s="229"/>
      <c r="Q128" s="473"/>
      <c r="R128" s="229"/>
      <c r="S128" s="259"/>
      <c r="T128" s="259"/>
      <c r="U128" s="259"/>
      <c r="V128" s="453"/>
    </row>
    <row r="129" spans="1:22" s="14" customFormat="1" ht="18"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ht="18" customHeight="1">
      <c r="A130" s="226"/>
      <c r="B130" s="273"/>
      <c r="C130" s="273"/>
      <c r="D130" s="227"/>
      <c r="E130" s="227"/>
      <c r="F130" s="227"/>
      <c r="G130" s="227"/>
      <c r="H130" s="227"/>
      <c r="I130" s="227"/>
      <c r="J130" s="227"/>
      <c r="K130" s="311"/>
      <c r="L130" s="311"/>
      <c r="M130" s="227"/>
      <c r="N130" s="227"/>
      <c r="O130" s="311"/>
      <c r="P130" s="311"/>
      <c r="Q130" s="138"/>
      <c r="R130" s="227"/>
      <c r="S130" s="227"/>
      <c r="T130" s="273"/>
      <c r="U130" s="273"/>
      <c r="V130" s="228"/>
    </row>
    <row r="131" spans="1:22" ht="18" customHeight="1">
      <c r="A131" s="96"/>
      <c r="B131" s="7" t="s">
        <v>733</v>
      </c>
      <c r="C131" s="7"/>
      <c r="D131" s="14"/>
      <c r="E131" s="7"/>
      <c r="F131" s="7"/>
      <c r="L131" s="27"/>
      <c r="O131" s="27"/>
      <c r="P131" s="27"/>
      <c r="Q131" s="28"/>
      <c r="T131" s="14"/>
      <c r="U131" s="14"/>
      <c r="V131" s="185"/>
    </row>
    <row r="132" spans="1:22" ht="18" customHeight="1">
      <c r="A132" s="96"/>
      <c r="B132" s="14"/>
      <c r="C132" s="7"/>
      <c r="D132" s="7"/>
      <c r="E132" s="14"/>
      <c r="F132" s="7"/>
      <c r="L132" s="27"/>
      <c r="M132" s="14"/>
      <c r="O132" s="14"/>
      <c r="P132" s="14"/>
      <c r="Q132" s="14"/>
      <c r="R132" s="14"/>
      <c r="S132" s="14"/>
      <c r="T132" s="14"/>
      <c r="U132" s="14"/>
      <c r="V132" s="185"/>
    </row>
    <row r="133" spans="1:22" ht="18" customHeight="1">
      <c r="A133" s="96"/>
      <c r="B133" s="14"/>
      <c r="C133" s="120" t="s">
        <v>734</v>
      </c>
      <c r="D133" s="28" t="s">
        <v>127</v>
      </c>
      <c r="E133" s="805">
        <f>S108</f>
        <v>31500</v>
      </c>
      <c r="F133" s="805"/>
      <c r="G133" s="14"/>
      <c r="H133" s="14"/>
      <c r="I133" s="102"/>
      <c r="J133" s="47"/>
      <c r="K133" s="47"/>
      <c r="L133" s="14"/>
      <c r="M133" s="14"/>
      <c r="N133" s="14"/>
      <c r="O133" s="14"/>
      <c r="P133" s="14"/>
      <c r="Q133" s="14"/>
      <c r="R133" s="14"/>
      <c r="S133" s="14"/>
      <c r="T133" s="14"/>
      <c r="U133" s="14"/>
      <c r="V133" s="185"/>
    </row>
    <row r="134" spans="1:22" ht="18" customHeight="1">
      <c r="A134" s="96"/>
      <c r="B134" s="14"/>
      <c r="C134" s="120"/>
      <c r="D134" s="28"/>
      <c r="E134" s="978" t="str">
        <f>"5 x "&amp;S109&amp;""</f>
        <v>5 x 3200</v>
      </c>
      <c r="F134" s="978"/>
      <c r="G134" s="28"/>
      <c r="H134" s="257"/>
      <c r="K134" s="28"/>
      <c r="L134" s="218"/>
      <c r="M134" s="257"/>
      <c r="O134" s="14"/>
      <c r="P134" s="14"/>
      <c r="Q134" s="14"/>
      <c r="R134" s="14"/>
      <c r="S134" s="14"/>
      <c r="T134" s="14"/>
      <c r="U134" s="14"/>
      <c r="V134" s="185"/>
    </row>
    <row r="135" spans="1:22" ht="18" customHeight="1">
      <c r="A135" s="96"/>
      <c r="J135" s="14"/>
      <c r="K135" s="257"/>
      <c r="M135" s="14"/>
      <c r="N135" s="14"/>
      <c r="O135" s="14"/>
      <c r="P135" s="14"/>
      <c r="Q135" s="14"/>
      <c r="R135" s="14"/>
      <c r="S135" s="14"/>
      <c r="T135" s="14"/>
      <c r="U135" s="14"/>
      <c r="V135" s="185"/>
    </row>
    <row r="136" spans="1:22" ht="18" customHeight="1">
      <c r="A136" s="96"/>
      <c r="C136" s="458" t="s">
        <v>734</v>
      </c>
      <c r="D136" s="182" t="s">
        <v>127</v>
      </c>
      <c r="E136" s="1288">
        <f>S108/5/S109</f>
        <v>1.96875</v>
      </c>
      <c r="F136" s="722"/>
      <c r="G136" s="27"/>
      <c r="H136" s="27"/>
      <c r="I136" s="27"/>
      <c r="J136" s="120"/>
      <c r="K136" s="28"/>
      <c r="L136" s="120"/>
      <c r="M136" s="28"/>
      <c r="N136" s="120"/>
      <c r="O136" s="28"/>
      <c r="P136" s="120"/>
      <c r="Q136" s="296"/>
      <c r="V136" s="185"/>
    </row>
    <row r="137" spans="1:22" ht="18" customHeight="1">
      <c r="A137" s="96"/>
      <c r="C137" s="120"/>
      <c r="D137" s="28"/>
      <c r="E137" s="218"/>
      <c r="F137" s="218"/>
      <c r="G137" s="27"/>
      <c r="H137" s="27"/>
      <c r="I137" s="27"/>
      <c r="J137" s="120"/>
      <c r="K137" s="28"/>
      <c r="L137" s="120"/>
      <c r="M137" s="28"/>
      <c r="N137" s="120"/>
      <c r="O137" s="28"/>
      <c r="P137" s="120"/>
      <c r="Q137" s="296"/>
      <c r="V137" s="185"/>
    </row>
    <row r="138" spans="1:22" ht="18" customHeight="1">
      <c r="A138" s="96"/>
      <c r="B138" s="14" t="s">
        <v>735</v>
      </c>
      <c r="C138" s="14"/>
      <c r="D138" s="14"/>
      <c r="E138" s="7"/>
      <c r="F138" s="102"/>
      <c r="G138" s="7"/>
      <c r="H138" s="7"/>
      <c r="I138" s="239"/>
      <c r="J138" s="120"/>
      <c r="K138" s="28"/>
      <c r="L138" s="120"/>
      <c r="M138" s="28"/>
      <c r="N138" s="120"/>
      <c r="O138" s="28"/>
      <c r="P138" s="120"/>
      <c r="Q138" s="296"/>
      <c r="V138" s="185"/>
    </row>
    <row r="139" spans="1:22" ht="18" customHeight="1">
      <c r="A139" s="96"/>
      <c r="C139" s="14"/>
      <c r="D139" s="14"/>
      <c r="E139" s="689" t="s">
        <v>736</v>
      </c>
      <c r="F139" s="689">
        <v>1</v>
      </c>
      <c r="G139" s="689"/>
      <c r="H139" s="689" t="s">
        <v>312</v>
      </c>
      <c r="I139" s="459" t="s">
        <v>312</v>
      </c>
      <c r="J139" s="120"/>
      <c r="K139" s="28"/>
      <c r="L139" s="120"/>
      <c r="M139" s="28"/>
      <c r="N139" s="120"/>
      <c r="O139" s="28"/>
      <c r="P139" s="120"/>
      <c r="Q139" s="296"/>
      <c r="V139" s="185"/>
    </row>
    <row r="140" spans="1:22" ht="18" customHeight="1">
      <c r="A140" s="96"/>
      <c r="C140" s="14"/>
      <c r="D140" s="14"/>
      <c r="E140" s="723"/>
      <c r="F140" s="273"/>
      <c r="G140" s="274" t="s">
        <v>737</v>
      </c>
      <c r="H140" s="689"/>
      <c r="I140" s="14" t="s">
        <v>141</v>
      </c>
      <c r="J140" s="120"/>
      <c r="K140" s="28"/>
      <c r="L140" s="120"/>
      <c r="M140" s="28"/>
      <c r="N140" s="120"/>
      <c r="O140" s="28"/>
      <c r="P140" s="120"/>
      <c r="Q140" s="296"/>
      <c r="V140" s="185"/>
    </row>
    <row r="141" spans="1:22" ht="18" customHeight="1">
      <c r="A141" s="96"/>
      <c r="C141" s="120"/>
      <c r="D141" s="28"/>
      <c r="E141" s="218"/>
      <c r="F141" s="218"/>
      <c r="G141" s="27"/>
      <c r="H141" s="27"/>
      <c r="I141" s="27"/>
      <c r="J141" s="120"/>
      <c r="K141" s="28"/>
      <c r="L141" s="120"/>
      <c r="M141" s="28"/>
      <c r="N141" s="120"/>
      <c r="O141" s="28"/>
      <c r="P141" s="120"/>
      <c r="Q141" s="296"/>
      <c r="V141" s="185"/>
    </row>
    <row r="142" spans="1:22" ht="18" customHeight="1">
      <c r="A142" s="96"/>
      <c r="B142" s="30" t="s">
        <v>959</v>
      </c>
      <c r="J142" s="120"/>
      <c r="K142" s="28"/>
      <c r="L142" s="120"/>
      <c r="M142" s="28"/>
      <c r="N142" s="121" t="s">
        <v>127</v>
      </c>
      <c r="O142" s="47">
        <v>15</v>
      </c>
      <c r="P142" s="120"/>
      <c r="Q142" s="296"/>
      <c r="V142" s="185"/>
    </row>
    <row r="143" spans="1:22" ht="18" customHeight="1">
      <c r="A143" s="184"/>
      <c r="C143" s="120"/>
      <c r="D143" s="28"/>
      <c r="E143" s="218"/>
      <c r="F143" s="218"/>
      <c r="G143" s="27"/>
      <c r="H143" s="27"/>
      <c r="I143" s="27"/>
      <c r="J143" s="120"/>
      <c r="K143" s="28"/>
      <c r="L143" s="120"/>
      <c r="M143" s="28"/>
      <c r="N143" s="120"/>
      <c r="O143" s="28"/>
      <c r="P143" s="120"/>
      <c r="Q143" s="296"/>
      <c r="V143" s="185"/>
    </row>
    <row r="144" spans="1:22" ht="18" customHeight="1">
      <c r="A144" s="96"/>
      <c r="C144" s="120"/>
      <c r="F144" s="708">
        <v>1</v>
      </c>
      <c r="G144" s="708"/>
      <c r="H144" s="708"/>
      <c r="I144" s="27"/>
      <c r="J144" s="689" t="s">
        <v>315</v>
      </c>
      <c r="K144" s="1286">
        <f>O142</f>
        <v>15</v>
      </c>
      <c r="L144" s="120"/>
      <c r="M144" s="28"/>
      <c r="N144" s="120"/>
      <c r="O144" s="28"/>
      <c r="P144" s="120"/>
      <c r="Q144" s="296"/>
      <c r="V144" s="185"/>
    </row>
    <row r="145" spans="1:22" ht="18" customHeight="1">
      <c r="A145" s="184"/>
      <c r="C145" s="120"/>
      <c r="D145" s="120" t="s">
        <v>738</v>
      </c>
      <c r="E145" s="102" t="s">
        <v>127</v>
      </c>
      <c r="F145" s="14" t="s">
        <v>739</v>
      </c>
      <c r="I145" s="27"/>
      <c r="J145" s="684"/>
      <c r="K145" s="1251"/>
      <c r="L145" s="120"/>
      <c r="M145" s="28"/>
      <c r="N145" s="120"/>
      <c r="O145" s="28"/>
      <c r="P145" s="120"/>
      <c r="Q145" s="296"/>
      <c r="V145" s="185"/>
    </row>
    <row r="146" spans="1:22" ht="18" customHeight="1">
      <c r="A146" s="184"/>
      <c r="C146" s="120"/>
      <c r="D146" s="28"/>
      <c r="E146" s="218" t="s">
        <v>127</v>
      </c>
      <c r="F146" s="1287">
        <f>1*O142/(2*3.14*50)</f>
        <v>4.7770700636942678E-2</v>
      </c>
      <c r="G146" s="1287"/>
      <c r="H146" s="28" t="s">
        <v>740</v>
      </c>
      <c r="I146" s="27"/>
      <c r="J146" s="120"/>
      <c r="K146" s="28"/>
      <c r="L146" s="120"/>
      <c r="M146" s="28"/>
      <c r="N146" s="120"/>
      <c r="O146" s="28"/>
      <c r="P146" s="120"/>
      <c r="Q146" s="296"/>
      <c r="V146" s="185"/>
    </row>
    <row r="147" spans="1:22" ht="18" customHeight="1">
      <c r="A147" s="184"/>
      <c r="C147" s="120"/>
      <c r="D147" s="120" t="s">
        <v>738</v>
      </c>
      <c r="E147" s="218" t="s">
        <v>127</v>
      </c>
      <c r="F147" s="1188">
        <f>F146*1000</f>
        <v>47.770700636942678</v>
      </c>
      <c r="G147" s="1188"/>
      <c r="H147" s="28" t="s">
        <v>343</v>
      </c>
      <c r="I147" s="27"/>
      <c r="J147" s="120"/>
      <c r="K147" s="28"/>
      <c r="L147" s="120"/>
      <c r="M147" s="28"/>
      <c r="N147" s="120"/>
      <c r="O147" s="28"/>
      <c r="P147" s="120"/>
      <c r="Q147" s="296"/>
      <c r="V147" s="185"/>
    </row>
    <row r="148" spans="1:22" ht="18" customHeight="1">
      <c r="A148" s="184"/>
      <c r="B148" s="14" t="s">
        <v>741</v>
      </c>
      <c r="E148" s="28" t="s">
        <v>127</v>
      </c>
      <c r="F148" s="27">
        <v>10</v>
      </c>
      <c r="G148" s="27"/>
      <c r="H148" s="245"/>
      <c r="I148" s="245"/>
      <c r="J148" s="460"/>
      <c r="K148" s="245"/>
      <c r="L148" s="460"/>
      <c r="M148" s="245"/>
      <c r="N148" s="460"/>
      <c r="O148" s="245"/>
      <c r="P148" s="460"/>
      <c r="Q148" s="461"/>
      <c r="V148" s="185"/>
    </row>
    <row r="149" spans="1:22" ht="18" customHeight="1">
      <c r="A149" s="184"/>
      <c r="G149" s="27"/>
      <c r="H149" s="245"/>
      <c r="I149" s="245"/>
      <c r="J149" s="460"/>
      <c r="K149" s="245"/>
      <c r="L149" s="460"/>
      <c r="M149" s="245"/>
      <c r="N149" s="460"/>
      <c r="O149" s="245"/>
      <c r="P149" s="460"/>
      <c r="Q149" s="461"/>
      <c r="V149" s="185"/>
    </row>
    <row r="150" spans="1:22" ht="18" customHeight="1">
      <c r="A150" s="184"/>
      <c r="B150" s="7" t="s">
        <v>742</v>
      </c>
      <c r="F150" s="7"/>
      <c r="G150" s="7"/>
      <c r="H150" s="204"/>
      <c r="I150" s="204"/>
      <c r="V150" s="185"/>
    </row>
    <row r="151" spans="1:22" ht="18" customHeight="1">
      <c r="A151" s="184"/>
      <c r="B151" s="7"/>
      <c r="E151" s="14" t="s">
        <v>754</v>
      </c>
      <c r="F151" s="7"/>
      <c r="G151" s="7"/>
      <c r="V151" s="185"/>
    </row>
    <row r="152" spans="1:22" ht="18" customHeight="1">
      <c r="A152" s="184"/>
      <c r="B152" s="14" t="s">
        <v>744</v>
      </c>
      <c r="C152" s="14"/>
      <c r="D152" s="14"/>
      <c r="E152" s="14"/>
      <c r="F152" s="14"/>
      <c r="G152" s="120"/>
      <c r="H152" s="120"/>
      <c r="V152" s="185"/>
    </row>
    <row r="153" spans="1:22" ht="18" customHeight="1">
      <c r="A153" s="184"/>
      <c r="B153" s="14"/>
      <c r="C153" s="120" t="s">
        <v>745</v>
      </c>
      <c r="D153" s="28" t="s">
        <v>127</v>
      </c>
      <c r="E153" s="1188">
        <f>MAX(E136,F148)</f>
        <v>10</v>
      </c>
      <c r="F153" s="1188"/>
      <c r="G153" s="47" t="s">
        <v>746</v>
      </c>
      <c r="H153" s="120"/>
      <c r="V153" s="185"/>
    </row>
    <row r="154" spans="1:22" ht="18" customHeight="1">
      <c r="A154" s="184"/>
      <c r="B154" s="7"/>
      <c r="E154" s="14"/>
      <c r="F154" s="7"/>
      <c r="G154" s="7"/>
      <c r="V154" s="185"/>
    </row>
    <row r="155" spans="1:22" ht="18" customHeight="1">
      <c r="A155" s="184"/>
      <c r="B155" s="47" t="s">
        <v>747</v>
      </c>
      <c r="E155" s="14"/>
      <c r="F155" s="7"/>
      <c r="G155" s="7"/>
      <c r="V155" s="185"/>
    </row>
    <row r="156" spans="1:22" ht="18" customHeight="1">
      <c r="A156" s="184"/>
      <c r="B156" s="47" t="s">
        <v>748</v>
      </c>
      <c r="E156" s="14"/>
      <c r="F156" s="7"/>
      <c r="G156" s="7"/>
      <c r="V156" s="185"/>
    </row>
    <row r="157" spans="1:22" ht="18" customHeight="1" thickBot="1">
      <c r="A157" s="184"/>
      <c r="B157" s="102" t="s">
        <v>127</v>
      </c>
      <c r="C157" s="120">
        <f>E153</f>
        <v>10</v>
      </c>
      <c r="D157" s="28" t="s">
        <v>315</v>
      </c>
      <c r="E157" s="28" t="s">
        <v>419</v>
      </c>
      <c r="F157" s="692">
        <f>S112</f>
        <v>5</v>
      </c>
      <c r="G157" s="692"/>
      <c r="H157" s="102" t="s">
        <v>347</v>
      </c>
      <c r="I157" s="218">
        <f>S113</f>
        <v>1.0870224400000001</v>
      </c>
      <c r="J157" s="240" t="s">
        <v>347</v>
      </c>
      <c r="K157" s="281">
        <f>J101</f>
        <v>0.01</v>
      </c>
      <c r="L157" s="14" t="s">
        <v>350</v>
      </c>
      <c r="M157" s="14" t="s">
        <v>315</v>
      </c>
      <c r="N157" s="28">
        <v>1</v>
      </c>
      <c r="V157" s="185"/>
    </row>
    <row r="158" spans="1:22" ht="18" customHeight="1" thickBot="1">
      <c r="A158" s="184"/>
      <c r="B158" s="462" t="s">
        <v>528</v>
      </c>
      <c r="C158" s="463" t="s">
        <v>127</v>
      </c>
      <c r="D158" s="464">
        <f>C157*(F157+I157+K157)*N157</f>
        <v>60.970224399999999</v>
      </c>
      <c r="E158" s="14" t="s">
        <v>305</v>
      </c>
      <c r="F158" s="7"/>
      <c r="G158" s="7"/>
      <c r="V158" s="185"/>
    </row>
    <row r="159" spans="1:22" ht="18" customHeight="1">
      <c r="A159" s="184"/>
      <c r="B159" s="7"/>
      <c r="E159" s="14"/>
      <c r="F159" s="7"/>
      <c r="G159" s="7"/>
      <c r="V159" s="185"/>
    </row>
    <row r="160" spans="1:22" ht="18" customHeight="1">
      <c r="A160" s="184"/>
      <c r="B160" s="47" t="s">
        <v>749</v>
      </c>
      <c r="E160" s="14"/>
      <c r="F160" s="7"/>
      <c r="G160" s="7"/>
      <c r="J160" s="14" t="s">
        <v>750</v>
      </c>
      <c r="L160" s="28" t="s">
        <v>476</v>
      </c>
      <c r="N160" s="14" t="s">
        <v>751</v>
      </c>
      <c r="V160" s="185"/>
    </row>
    <row r="161" spans="1:22" ht="18" customHeight="1">
      <c r="A161" s="184"/>
      <c r="B161" s="7"/>
      <c r="E161" s="14"/>
      <c r="F161" s="7"/>
      <c r="G161" s="7"/>
      <c r="L161" s="28" t="s">
        <v>127</v>
      </c>
      <c r="N161" s="1251">
        <f>0.8*D158</f>
        <v>48.776179519999999</v>
      </c>
      <c r="O161" s="1251"/>
      <c r="V161" s="185"/>
    </row>
    <row r="162" spans="1:22" ht="18" customHeight="1">
      <c r="A162" s="184"/>
      <c r="B162" s="7"/>
      <c r="E162" s="14"/>
      <c r="F162" s="14" t="s">
        <v>752</v>
      </c>
      <c r="G162" s="7"/>
      <c r="L162" s="28" t="s">
        <v>127</v>
      </c>
      <c r="N162" s="1072">
        <f>N161*1.2</f>
        <v>58.531415423999995</v>
      </c>
      <c r="O162" s="1072"/>
      <c r="V162" s="185"/>
    </row>
    <row r="163" spans="1:22" ht="18" customHeight="1">
      <c r="A163" s="184"/>
      <c r="B163" s="7"/>
      <c r="E163" s="14"/>
      <c r="F163" s="7"/>
      <c r="G163" s="7"/>
      <c r="K163" s="199" t="s">
        <v>475</v>
      </c>
      <c r="L163" s="28" t="str">
        <f>IF(J164&gt;M164,"&gt;","&lt;")</f>
        <v>&gt;</v>
      </c>
      <c r="M163" s="257" t="s">
        <v>477</v>
      </c>
      <c r="O163" s="18"/>
      <c r="P163" s="268"/>
      <c r="V163" s="185"/>
    </row>
    <row r="164" spans="1:22" ht="18" customHeight="1">
      <c r="A164" s="184"/>
      <c r="D164" s="211"/>
      <c r="E164" s="211"/>
      <c r="F164" s="27"/>
      <c r="G164" s="211"/>
      <c r="J164" s="795">
        <f>S111</f>
        <v>900</v>
      </c>
      <c r="K164" s="795"/>
      <c r="L164" s="27" t="str">
        <f>IF(J164&gt;=M164,"&gt;","&lt;")</f>
        <v>&gt;</v>
      </c>
      <c r="M164" s="795">
        <f>N162</f>
        <v>58.531415423999995</v>
      </c>
      <c r="N164" s="795"/>
      <c r="P164" s="268"/>
      <c r="V164" s="185"/>
    </row>
    <row r="165" spans="1:22" ht="18" customHeight="1">
      <c r="A165" s="184"/>
      <c r="K165" s="244" t="s">
        <v>478</v>
      </c>
      <c r="M165" s="18" t="str">
        <f>IF(J164&gt;M164,"Suitably Dimensioned","Under Dimensioned")</f>
        <v>Suitably Dimensioned</v>
      </c>
      <c r="V165" s="185"/>
    </row>
    <row r="166" spans="1:22" ht="18" customHeight="1">
      <c r="A166" s="184"/>
      <c r="V166" s="185"/>
    </row>
    <row r="167" spans="1:22" ht="18" hidden="1" customHeight="1">
      <c r="A167" s="184"/>
      <c r="V167" s="185"/>
    </row>
    <row r="168" spans="1:22" ht="18" hidden="1" customHeight="1">
      <c r="A168" s="184"/>
      <c r="V168" s="185"/>
    </row>
    <row r="169" spans="1:22" ht="18" hidden="1" customHeight="1">
      <c r="A169" s="452"/>
      <c r="B169" s="207"/>
      <c r="C169" s="207"/>
      <c r="D169" s="207"/>
      <c r="E169" s="207"/>
      <c r="F169" s="207"/>
      <c r="G169" s="207"/>
      <c r="H169" s="207"/>
      <c r="I169" s="207"/>
      <c r="J169" s="207"/>
      <c r="K169" s="207"/>
      <c r="L169" s="207"/>
      <c r="M169" s="207"/>
      <c r="N169" s="207"/>
      <c r="O169" s="207"/>
      <c r="P169" s="207"/>
      <c r="Q169" s="207"/>
      <c r="R169" s="207"/>
      <c r="S169" s="207"/>
      <c r="T169" s="207"/>
      <c r="U169" s="207"/>
      <c r="V169" s="453"/>
    </row>
    <row r="170" spans="1:22" s="14" customFormat="1" ht="18" hidden="1" customHeight="1">
      <c r="A170" s="194"/>
      <c r="B170" s="195"/>
      <c r="C170" s="195"/>
      <c r="D170" s="195"/>
      <c r="E170" s="195"/>
      <c r="F170" s="195"/>
      <c r="G170" s="195"/>
      <c r="H170" s="195"/>
      <c r="I170" s="195"/>
      <c r="J170" s="195"/>
      <c r="K170" s="195"/>
      <c r="L170" s="195"/>
      <c r="M170" s="195"/>
      <c r="N170" s="195"/>
      <c r="O170" s="195"/>
      <c r="P170" s="195"/>
      <c r="Q170" s="224"/>
      <c r="R170" s="182"/>
      <c r="S170" s="225"/>
      <c r="T170" s="195"/>
      <c r="U170" s="195"/>
      <c r="V170" s="134"/>
    </row>
    <row r="171" spans="1:22" ht="18" hidden="1" customHeight="1">
      <c r="A171" s="226"/>
      <c r="B171" s="227"/>
      <c r="C171" s="227"/>
      <c r="D171" s="227"/>
      <c r="E171" s="227"/>
      <c r="F171" s="227"/>
      <c r="G171" s="227"/>
      <c r="H171" s="227"/>
      <c r="I171" s="227"/>
      <c r="J171" s="227"/>
      <c r="K171" s="227"/>
      <c r="L171" s="227"/>
      <c r="M171" s="227"/>
      <c r="N171" s="227"/>
      <c r="O171" s="227"/>
      <c r="P171" s="227"/>
      <c r="Q171" s="227"/>
      <c r="R171" s="227"/>
      <c r="S171" s="227"/>
      <c r="T171" s="227"/>
      <c r="U171" s="227"/>
      <c r="V171" s="228"/>
    </row>
    <row r="172" spans="1:22" ht="18" hidden="1" customHeight="1">
      <c r="A172" s="184"/>
      <c r="B172" s="854" t="str">
        <f>B90</f>
        <v>T2</v>
      </c>
      <c r="C172" s="831"/>
      <c r="D172" s="854" t="str">
        <f>D90</f>
        <v>Core2</v>
      </c>
      <c r="E172" s="831"/>
      <c r="F172" s="455"/>
      <c r="H172" s="684" t="str">
        <f>H90</f>
        <v>(Low Imp. Busbar)</v>
      </c>
      <c r="I172" s="684"/>
      <c r="J172" s="684"/>
      <c r="K172" s="684"/>
      <c r="L172" s="684"/>
      <c r="M172" s="684"/>
      <c r="P172" s="186"/>
      <c r="S172" s="187" t="s">
        <v>387</v>
      </c>
      <c r="T172" s="854" t="str">
        <f>T90</f>
        <v>REB500</v>
      </c>
      <c r="U172" s="831"/>
      <c r="V172" s="185"/>
    </row>
    <row r="173" spans="1:22" ht="18" hidden="1" customHeight="1">
      <c r="A173" s="456"/>
      <c r="F173" s="455"/>
      <c r="T173" s="854">
        <f>T91</f>
        <v>0</v>
      </c>
      <c r="U173" s="831"/>
      <c r="V173" s="185"/>
    </row>
    <row r="174" spans="1:22" ht="18" hidden="1" customHeight="1">
      <c r="A174" s="184"/>
      <c r="H174" s="708" t="s">
        <v>390</v>
      </c>
      <c r="I174" s="708"/>
      <c r="J174" s="708" t="s">
        <v>391</v>
      </c>
      <c r="K174" s="708"/>
      <c r="L174" s="789" t="s">
        <v>392</v>
      </c>
      <c r="M174" s="789"/>
      <c r="T174" s="854">
        <f>T92</f>
        <v>0</v>
      </c>
      <c r="U174" s="831"/>
      <c r="V174" s="185"/>
    </row>
    <row r="175" spans="1:22" ht="18" hidden="1" customHeight="1">
      <c r="A175" s="184"/>
      <c r="B175" s="47" t="s">
        <v>393</v>
      </c>
      <c r="H175" s="854">
        <f>H93</f>
        <v>2000</v>
      </c>
      <c r="I175" s="831"/>
      <c r="J175" s="854">
        <f>J93</f>
        <v>3200</v>
      </c>
      <c r="K175" s="831"/>
      <c r="L175" s="863" t="str">
        <f>L93</f>
        <v>-</v>
      </c>
      <c r="M175" s="864"/>
      <c r="N175" s="191" t="s">
        <v>342</v>
      </c>
      <c r="O175" s="256">
        <f>O93</f>
        <v>1</v>
      </c>
      <c r="P175" s="27" t="s">
        <v>8</v>
      </c>
      <c r="R175" s="255"/>
      <c r="S175" s="255"/>
      <c r="V175" s="185"/>
    </row>
    <row r="176" spans="1:22" ht="18" hidden="1" customHeight="1">
      <c r="A176" s="184"/>
      <c r="B176" s="47" t="s">
        <v>394</v>
      </c>
      <c r="H176" s="14"/>
      <c r="K176" s="14"/>
      <c r="L176" s="854" t="str">
        <f>J94</f>
        <v>PX</v>
      </c>
      <c r="M176" s="831"/>
      <c r="N176" s="14"/>
      <c r="V176" s="185"/>
    </row>
    <row r="177" spans="1:23" ht="18" hidden="1" customHeight="1">
      <c r="A177" s="184"/>
      <c r="B177" s="47" t="s">
        <v>396</v>
      </c>
      <c r="K177" s="120" t="s">
        <v>497</v>
      </c>
      <c r="L177" s="781" t="s">
        <v>6</v>
      </c>
      <c r="M177" s="782"/>
      <c r="N177" s="192" t="s">
        <v>333</v>
      </c>
      <c r="V177" s="185"/>
    </row>
    <row r="178" spans="1:23" ht="18" hidden="1" customHeight="1">
      <c r="A178" s="184"/>
      <c r="B178" s="47" t="s">
        <v>398</v>
      </c>
      <c r="K178" s="120" t="s">
        <v>498</v>
      </c>
      <c r="L178" s="781" t="s">
        <v>6</v>
      </c>
      <c r="M178" s="782"/>
      <c r="N178" s="14" t="s">
        <v>305</v>
      </c>
      <c r="V178" s="185"/>
      <c r="W178" s="30" t="e">
        <f>G238</f>
        <v>#VALUE!</v>
      </c>
    </row>
    <row r="179" spans="1:23" ht="18" hidden="1" customHeight="1">
      <c r="A179" s="184"/>
      <c r="B179" s="14" t="s">
        <v>401</v>
      </c>
      <c r="K179" s="120" t="s">
        <v>402</v>
      </c>
      <c r="L179" s="781" t="s">
        <v>6</v>
      </c>
      <c r="M179" s="782"/>
      <c r="N179" s="14" t="s">
        <v>403</v>
      </c>
      <c r="V179" s="185"/>
    </row>
    <row r="180" spans="1:23" ht="18" hidden="1" customHeight="1">
      <c r="A180" s="184"/>
      <c r="V180" s="185"/>
    </row>
    <row r="181" spans="1:23" ht="18" hidden="1" customHeight="1">
      <c r="A181" s="193" t="s">
        <v>404</v>
      </c>
      <c r="V181" s="185"/>
    </row>
    <row r="182" spans="1:23" ht="18" hidden="1" customHeight="1">
      <c r="A182" s="184"/>
      <c r="V182" s="185"/>
    </row>
    <row r="183" spans="1:23" ht="18" hidden="1" customHeight="1">
      <c r="A183" s="184"/>
      <c r="B183" s="135" t="s">
        <v>405</v>
      </c>
      <c r="C183" s="273"/>
      <c r="D183" s="139" t="str">
        <f>T172</f>
        <v>REB500</v>
      </c>
      <c r="E183" s="227"/>
      <c r="F183" s="227"/>
      <c r="G183" s="227"/>
      <c r="H183" s="138"/>
      <c r="I183" s="260" t="s">
        <v>127</v>
      </c>
      <c r="J183" s="722">
        <f>J101</f>
        <v>0.01</v>
      </c>
      <c r="K183" s="958"/>
      <c r="L183" s="3" t="s">
        <v>157</v>
      </c>
      <c r="N183" s="197" t="s">
        <v>510</v>
      </c>
      <c r="V183" s="185"/>
    </row>
    <row r="184" spans="1:23" ht="18" hidden="1" customHeight="1">
      <c r="A184" s="184"/>
      <c r="B184" s="96" t="s">
        <v>405</v>
      </c>
      <c r="C184" s="14"/>
      <c r="D184" s="47">
        <f>T173</f>
        <v>0</v>
      </c>
      <c r="H184" s="28"/>
      <c r="I184" s="101" t="s">
        <v>127</v>
      </c>
      <c r="J184" s="722">
        <f>J102</f>
        <v>0</v>
      </c>
      <c r="K184" s="958"/>
      <c r="L184" s="3" t="s">
        <v>157</v>
      </c>
      <c r="N184" s="120" t="s">
        <v>491</v>
      </c>
      <c r="O184" s="27" t="s">
        <v>127</v>
      </c>
      <c r="P184" s="27" t="s">
        <v>511</v>
      </c>
      <c r="Q184" s="27" t="s">
        <v>315</v>
      </c>
      <c r="R184" s="27" t="s">
        <v>511</v>
      </c>
      <c r="S184" s="27" t="s">
        <v>315</v>
      </c>
      <c r="T184" s="27" t="s">
        <v>420</v>
      </c>
      <c r="V184" s="185"/>
    </row>
    <row r="185" spans="1:23" ht="18" hidden="1" customHeight="1">
      <c r="A185" s="184"/>
      <c r="B185" s="96" t="s">
        <v>405</v>
      </c>
      <c r="C185" s="14"/>
      <c r="D185" s="47">
        <f>T174</f>
        <v>0</v>
      </c>
      <c r="H185" s="28"/>
      <c r="I185" s="101" t="s">
        <v>127</v>
      </c>
      <c r="J185" s="722">
        <f>J103</f>
        <v>0</v>
      </c>
      <c r="K185" s="958"/>
      <c r="L185" s="3" t="s">
        <v>157</v>
      </c>
      <c r="N185" s="27"/>
      <c r="O185" s="27" t="s">
        <v>127</v>
      </c>
      <c r="P185" s="27">
        <f>O175</f>
        <v>1</v>
      </c>
      <c r="Q185" s="27" t="s">
        <v>315</v>
      </c>
      <c r="R185" s="27">
        <f>O175</f>
        <v>1</v>
      </c>
      <c r="S185" s="27" t="s">
        <v>315</v>
      </c>
      <c r="T185" s="27" t="str">
        <f>L177</f>
        <v>-</v>
      </c>
      <c r="V185" s="185"/>
    </row>
    <row r="186" spans="1:23" ht="18" hidden="1" customHeight="1">
      <c r="A186" s="184"/>
      <c r="B186" s="452" t="s">
        <v>412</v>
      </c>
      <c r="C186" s="259"/>
      <c r="D186" s="259"/>
      <c r="E186" s="259"/>
      <c r="F186" s="207"/>
      <c r="G186" s="207"/>
      <c r="H186" s="190"/>
      <c r="I186" s="208" t="s">
        <v>127</v>
      </c>
      <c r="J186" s="1120">
        <f>J104</f>
        <v>1.0770224400000001</v>
      </c>
      <c r="K186" s="987"/>
      <c r="L186" s="297" t="s">
        <v>157</v>
      </c>
      <c r="O186" s="27" t="s">
        <v>127</v>
      </c>
      <c r="P186" s="795" t="e">
        <f>P185*R185*T185</f>
        <v>#VALUE!</v>
      </c>
      <c r="Q186" s="684"/>
      <c r="R186" s="27" t="s">
        <v>157</v>
      </c>
      <c r="V186" s="185"/>
    </row>
    <row r="187" spans="1:23" ht="18" hidden="1" customHeight="1">
      <c r="A187" s="184"/>
      <c r="B187" s="1" t="s">
        <v>413</v>
      </c>
      <c r="C187" s="2"/>
      <c r="D187" s="2"/>
      <c r="E187" s="2"/>
      <c r="F187" s="196"/>
      <c r="G187" s="196"/>
      <c r="H187" s="224" t="s">
        <v>512</v>
      </c>
      <c r="I187" s="183" t="s">
        <v>127</v>
      </c>
      <c r="J187" s="722">
        <f>SUM(J183:J186)</f>
        <v>1.0870224400000001</v>
      </c>
      <c r="K187" s="958"/>
      <c r="L187" s="3" t="s">
        <v>157</v>
      </c>
      <c r="V187" s="185"/>
    </row>
    <row r="188" spans="1:23" ht="18" hidden="1" customHeight="1">
      <c r="A188" s="184"/>
      <c r="B188" s="47"/>
      <c r="C188" s="47"/>
      <c r="D188" s="47"/>
      <c r="E188" s="47"/>
      <c r="H188" s="27"/>
      <c r="I188" s="28"/>
      <c r="J188" s="199"/>
      <c r="L188" s="47"/>
      <c r="S188" s="27"/>
      <c r="V188" s="185"/>
    </row>
    <row r="189" spans="1:23" ht="18" hidden="1" customHeight="1">
      <c r="A189" s="1206" t="s">
        <v>536</v>
      </c>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209"/>
      <c r="B190" s="1207"/>
      <c r="C190" s="1207"/>
      <c r="D190" s="1207"/>
      <c r="E190" s="1207"/>
      <c r="F190" s="1207"/>
      <c r="G190" s="1207"/>
      <c r="H190" s="1207"/>
      <c r="I190" s="1207"/>
      <c r="J190" s="1207"/>
      <c r="K190" s="1207"/>
      <c r="L190" s="1207"/>
      <c r="M190" s="1207"/>
      <c r="N190" s="1207"/>
      <c r="O190" s="1207"/>
      <c r="P190" s="1207"/>
      <c r="Q190" s="1207"/>
      <c r="R190" s="1207"/>
      <c r="S190" s="1207"/>
      <c r="T190" s="1207"/>
      <c r="U190" s="1207"/>
      <c r="V190" s="1208"/>
    </row>
    <row r="191" spans="1:23" ht="18" hidden="1" customHeight="1">
      <c r="A191" s="184"/>
      <c r="Q191" s="211"/>
      <c r="R191" s="192"/>
      <c r="V191" s="185"/>
    </row>
    <row r="192" spans="1:23" ht="18" hidden="1" customHeight="1">
      <c r="A192" s="184"/>
      <c r="C192" s="28" t="s">
        <v>473</v>
      </c>
      <c r="D192" s="28" t="s">
        <v>127</v>
      </c>
      <c r="E192" s="28" t="s">
        <v>537</v>
      </c>
      <c r="F192" s="28" t="s">
        <v>493</v>
      </c>
      <c r="G192" s="28" t="s">
        <v>347</v>
      </c>
      <c r="H192" s="28" t="s">
        <v>491</v>
      </c>
      <c r="I192" s="28" t="s">
        <v>538</v>
      </c>
      <c r="J192" s="28" t="s">
        <v>495</v>
      </c>
      <c r="K192" s="28" t="s">
        <v>539</v>
      </c>
      <c r="L192" s="28" t="s">
        <v>511</v>
      </c>
      <c r="M192" s="28" t="s">
        <v>315</v>
      </c>
      <c r="N192" s="28">
        <v>1.3</v>
      </c>
      <c r="O192" s="47" t="s">
        <v>350</v>
      </c>
      <c r="V192" s="185"/>
    </row>
    <row r="193" spans="1:25" ht="18" hidden="1" customHeight="1">
      <c r="A193" s="184" t="s">
        <v>540</v>
      </c>
      <c r="C193" s="14"/>
      <c r="D193" s="28"/>
      <c r="E193" s="14"/>
      <c r="F193" s="14"/>
      <c r="G193" s="14"/>
      <c r="H193" s="14"/>
      <c r="I193" s="14"/>
      <c r="J193" s="14"/>
      <c r="K193" s="14"/>
      <c r="L193" s="14"/>
      <c r="M193" s="14"/>
      <c r="N193" s="14"/>
      <c r="O193" s="14"/>
      <c r="V193" s="185"/>
    </row>
    <row r="194" spans="1:25" ht="18" hidden="1" customHeight="1">
      <c r="A194" s="184"/>
      <c r="C194" s="28" t="s">
        <v>493</v>
      </c>
      <c r="D194" s="28" t="s">
        <v>127</v>
      </c>
      <c r="E194" s="28" t="s">
        <v>537</v>
      </c>
      <c r="F194" s="28">
        <v>1.3</v>
      </c>
      <c r="G194" s="28" t="s">
        <v>315</v>
      </c>
      <c r="H194" s="689" t="s">
        <v>473</v>
      </c>
      <c r="I194" s="716"/>
      <c r="J194" s="28" t="s">
        <v>315</v>
      </c>
      <c r="K194" s="28" t="s">
        <v>511</v>
      </c>
      <c r="L194" s="28" t="s">
        <v>541</v>
      </c>
      <c r="M194" s="28" t="s">
        <v>495</v>
      </c>
      <c r="N194" s="47" t="s">
        <v>542</v>
      </c>
      <c r="O194" s="28" t="s">
        <v>491</v>
      </c>
      <c r="V194" s="185"/>
    </row>
    <row r="195" spans="1:25" ht="18" hidden="1" customHeight="1">
      <c r="A195" s="184"/>
      <c r="V195" s="185"/>
    </row>
    <row r="196" spans="1:25" ht="18" hidden="1" customHeight="1">
      <c r="A196" s="168"/>
      <c r="B196" s="5"/>
      <c r="C196" s="47" t="s">
        <v>543</v>
      </c>
      <c r="D196" s="14"/>
      <c r="E196" s="14"/>
      <c r="F196" s="14"/>
      <c r="G196" s="14"/>
      <c r="H196" s="279"/>
      <c r="I196" s="120"/>
      <c r="J196" s="279"/>
      <c r="K196" s="279"/>
      <c r="L196" s="14"/>
      <c r="M196" s="14"/>
      <c r="N196" s="14"/>
      <c r="O196" s="14"/>
      <c r="P196" s="14"/>
      <c r="Q196" s="120" t="s">
        <v>544</v>
      </c>
      <c r="R196" s="102" t="s">
        <v>127</v>
      </c>
      <c r="S196" s="689">
        <f>S114</f>
        <v>1</v>
      </c>
      <c r="T196" s="689"/>
      <c r="U196" s="47" t="s">
        <v>8</v>
      </c>
      <c r="V196" s="185"/>
    </row>
    <row r="197" spans="1:25" ht="18" hidden="1" customHeight="1">
      <c r="A197" s="168"/>
      <c r="B197" s="5"/>
      <c r="C197" s="47" t="s">
        <v>545</v>
      </c>
      <c r="D197" s="14"/>
      <c r="E197" s="14"/>
      <c r="F197" s="18"/>
      <c r="G197" s="18"/>
      <c r="H197" s="279"/>
      <c r="I197" s="120"/>
      <c r="J197" s="279"/>
      <c r="K197" s="279"/>
      <c r="L197" s="14"/>
      <c r="M197" s="14"/>
      <c r="N197" s="14"/>
      <c r="O197" s="14"/>
      <c r="P197" s="14"/>
      <c r="Q197" s="120" t="s">
        <v>423</v>
      </c>
      <c r="R197" s="102" t="s">
        <v>127</v>
      </c>
      <c r="S197" s="689" t="str">
        <f>L175</f>
        <v>-</v>
      </c>
      <c r="T197" s="689"/>
      <c r="U197" s="14" t="s">
        <v>8</v>
      </c>
      <c r="V197" s="185"/>
    </row>
    <row r="198" spans="1:25" ht="18" hidden="1" customHeight="1">
      <c r="A198" s="168"/>
      <c r="B198" s="5"/>
      <c r="C198" s="47" t="s">
        <v>546</v>
      </c>
      <c r="D198" s="14"/>
      <c r="E198" s="14"/>
      <c r="F198" s="18"/>
      <c r="G198" s="18"/>
      <c r="H198" s="279"/>
      <c r="I198" s="120"/>
      <c r="J198" s="279"/>
      <c r="K198" s="279"/>
      <c r="L198" s="14"/>
      <c r="M198" s="14"/>
      <c r="N198" s="14"/>
      <c r="O198" s="14"/>
      <c r="P198" s="14"/>
      <c r="Q198" s="120" t="s">
        <v>473</v>
      </c>
      <c r="R198" s="102" t="s">
        <v>127</v>
      </c>
      <c r="S198" s="689" t="str">
        <f>L178</f>
        <v>-</v>
      </c>
      <c r="T198" s="689"/>
      <c r="U198" s="14" t="s">
        <v>305</v>
      </c>
      <c r="V198" s="185"/>
    </row>
    <row r="199" spans="1:25" ht="18" hidden="1" customHeight="1">
      <c r="A199" s="168"/>
      <c r="B199" s="5"/>
      <c r="C199" s="47" t="s">
        <v>547</v>
      </c>
      <c r="D199" s="14"/>
      <c r="E199" s="14"/>
      <c r="F199" s="18"/>
      <c r="G199" s="18"/>
      <c r="H199" s="279"/>
      <c r="I199" s="120"/>
      <c r="J199" s="279"/>
      <c r="K199" s="279"/>
      <c r="L199" s="14"/>
      <c r="M199" s="14"/>
      <c r="N199" s="14"/>
      <c r="O199" s="14"/>
      <c r="P199" s="14"/>
      <c r="Q199" s="120" t="s">
        <v>491</v>
      </c>
      <c r="R199" s="102" t="s">
        <v>127</v>
      </c>
      <c r="S199" s="692" t="e">
        <f>P186</f>
        <v>#VALUE!</v>
      </c>
      <c r="T199" s="689"/>
      <c r="U199" s="14" t="s">
        <v>157</v>
      </c>
      <c r="V199" s="185"/>
      <c r="W199" s="279"/>
      <c r="X199" s="279"/>
      <c r="Y199" s="279"/>
    </row>
    <row r="200" spans="1:25" ht="18" hidden="1" customHeight="1">
      <c r="A200" s="168"/>
      <c r="B200" s="5"/>
      <c r="C200" s="47" t="s">
        <v>548</v>
      </c>
      <c r="D200" s="14"/>
      <c r="E200" s="14"/>
      <c r="F200" s="18"/>
      <c r="G200" s="18"/>
      <c r="H200" s="279"/>
      <c r="I200" s="120"/>
      <c r="J200" s="279"/>
      <c r="K200" s="279"/>
      <c r="L200" s="14"/>
      <c r="M200" s="14"/>
      <c r="N200" s="14"/>
      <c r="O200" s="14"/>
      <c r="P200" s="14"/>
      <c r="Q200" s="120" t="s">
        <v>512</v>
      </c>
      <c r="R200" s="102" t="s">
        <v>127</v>
      </c>
      <c r="S200" s="692">
        <f>J187</f>
        <v>1.0870224400000001</v>
      </c>
      <c r="T200" s="689"/>
      <c r="U200" s="14" t="s">
        <v>157</v>
      </c>
      <c r="V200" s="185"/>
      <c r="X200" s="279"/>
      <c r="Y200" s="279"/>
    </row>
    <row r="201" spans="1:25" ht="18" hidden="1" customHeight="1">
      <c r="A201" s="168"/>
      <c r="B201" s="5"/>
      <c r="C201" s="47" t="s">
        <v>549</v>
      </c>
      <c r="D201" s="14"/>
      <c r="E201" s="14"/>
      <c r="F201" s="14"/>
      <c r="G201" s="14"/>
      <c r="H201" s="279"/>
      <c r="I201" s="120"/>
      <c r="J201" s="279"/>
      <c r="K201" s="279"/>
      <c r="L201" s="14"/>
      <c r="M201" s="14"/>
      <c r="N201" s="14"/>
      <c r="O201" s="14"/>
      <c r="P201" s="14"/>
      <c r="Q201" s="120" t="s">
        <v>511</v>
      </c>
      <c r="R201" s="102" t="s">
        <v>127</v>
      </c>
      <c r="S201" s="689">
        <f>O175</f>
        <v>1</v>
      </c>
      <c r="T201" s="689"/>
      <c r="U201" s="14" t="s">
        <v>8</v>
      </c>
      <c r="V201" s="185"/>
      <c r="X201" s="279"/>
      <c r="Y201" s="279"/>
    </row>
    <row r="202" spans="1:25" ht="18" hidden="1" customHeight="1">
      <c r="A202" s="168"/>
      <c r="B202" s="5"/>
      <c r="C202" s="47" t="s">
        <v>550</v>
      </c>
      <c r="D202" s="14"/>
      <c r="E202" s="14"/>
      <c r="F202" s="14"/>
      <c r="G202" s="14"/>
      <c r="H202" s="279"/>
      <c r="I202" s="120"/>
      <c r="J202" s="279"/>
      <c r="K202" s="279"/>
      <c r="L202" s="14"/>
      <c r="M202" s="14"/>
      <c r="N202" s="14"/>
      <c r="O202" s="14"/>
      <c r="P202" s="14"/>
      <c r="Q202" s="120" t="s">
        <v>495</v>
      </c>
      <c r="R202" s="102" t="s">
        <v>127</v>
      </c>
      <c r="S202" s="689">
        <v>20</v>
      </c>
      <c r="T202" s="689"/>
      <c r="U202" s="47"/>
      <c r="V202" s="185"/>
    </row>
    <row r="203" spans="1:25" ht="18" hidden="1" customHeight="1">
      <c r="A203" s="299"/>
      <c r="B203" s="279"/>
      <c r="C203" s="47" t="s">
        <v>551</v>
      </c>
      <c r="D203" s="14"/>
      <c r="E203" s="14"/>
      <c r="F203" s="14"/>
      <c r="G203" s="14"/>
      <c r="H203" s="279"/>
      <c r="I203" s="120"/>
      <c r="J203" s="279"/>
      <c r="K203" s="279"/>
      <c r="L203" s="14"/>
      <c r="M203" s="14"/>
      <c r="N203" s="279"/>
      <c r="O203" s="279"/>
      <c r="P203" s="14"/>
      <c r="Q203" s="120" t="s">
        <v>493</v>
      </c>
      <c r="R203" s="14"/>
      <c r="S203" s="279"/>
      <c r="T203" s="279"/>
      <c r="U203" s="279"/>
      <c r="V203" s="300"/>
      <c r="W203" s="279"/>
      <c r="X203" s="279"/>
      <c r="Y203" s="279"/>
    </row>
    <row r="204" spans="1:25" ht="18" hidden="1" customHeight="1">
      <c r="A204" s="184"/>
      <c r="C204" s="14"/>
      <c r="D204" s="14"/>
      <c r="E204" s="14"/>
      <c r="F204" s="14"/>
      <c r="G204" s="14"/>
      <c r="H204" s="14"/>
      <c r="I204" s="14"/>
      <c r="J204" s="14"/>
      <c r="K204" s="14"/>
      <c r="L204" s="14"/>
      <c r="M204" s="14"/>
      <c r="N204" s="14"/>
      <c r="O204" s="14"/>
      <c r="P204" s="14"/>
      <c r="Q204" s="14"/>
      <c r="R204" s="14"/>
      <c r="S204" s="14"/>
      <c r="T204" s="14"/>
      <c r="U204" s="14"/>
      <c r="V204" s="185"/>
    </row>
    <row r="205" spans="1:25" ht="18" hidden="1" customHeight="1">
      <c r="A205" s="184"/>
      <c r="C205" s="28" t="s">
        <v>493</v>
      </c>
      <c r="D205" s="28" t="s">
        <v>127</v>
      </c>
      <c r="E205" s="28" t="s">
        <v>537</v>
      </c>
      <c r="F205" s="28">
        <v>1.3</v>
      </c>
      <c r="G205" s="28" t="s">
        <v>315</v>
      </c>
      <c r="H205" s="689" t="s">
        <v>473</v>
      </c>
      <c r="I205" s="716"/>
      <c r="J205" s="28" t="s">
        <v>315</v>
      </c>
      <c r="K205" s="28" t="s">
        <v>511</v>
      </c>
      <c r="L205" s="28" t="s">
        <v>541</v>
      </c>
      <c r="M205" s="28" t="s">
        <v>495</v>
      </c>
      <c r="N205" s="47" t="s">
        <v>542</v>
      </c>
      <c r="O205" s="28" t="s">
        <v>491</v>
      </c>
      <c r="V205" s="185"/>
    </row>
    <row r="206" spans="1:25" ht="18" hidden="1" customHeight="1">
      <c r="A206" s="184"/>
      <c r="D206" s="27" t="s">
        <v>127</v>
      </c>
      <c r="E206" s="27" t="s">
        <v>537</v>
      </c>
      <c r="F206" s="27">
        <v>1.3</v>
      </c>
      <c r="G206" s="27" t="s">
        <v>315</v>
      </c>
      <c r="H206" s="684" t="str">
        <f>S198</f>
        <v>-</v>
      </c>
      <c r="I206" s="723"/>
      <c r="J206" s="27" t="s">
        <v>315</v>
      </c>
      <c r="K206" s="27">
        <f>S201</f>
        <v>1</v>
      </c>
      <c r="L206" s="27" t="s">
        <v>541</v>
      </c>
      <c r="M206" s="27">
        <f>S202</f>
        <v>20</v>
      </c>
      <c r="N206" s="296" t="s">
        <v>542</v>
      </c>
      <c r="O206" s="222" t="e">
        <f>S199</f>
        <v>#VALUE!</v>
      </c>
      <c r="V206" s="185"/>
    </row>
    <row r="207" spans="1:25" ht="18" hidden="1" customHeight="1">
      <c r="A207" s="184"/>
      <c r="D207" s="27" t="s">
        <v>127</v>
      </c>
      <c r="E207" s="684" t="e">
        <f>((F206*H206*K206)/M206)-O206</f>
        <v>#VALUE!</v>
      </c>
      <c r="F207" s="684"/>
      <c r="G207" s="27" t="s">
        <v>157</v>
      </c>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D212" s="27"/>
      <c r="E212" s="27"/>
      <c r="F212" s="27"/>
      <c r="G212" s="27"/>
      <c r="V212" s="185"/>
    </row>
    <row r="213" spans="1:22" ht="18" hidden="1" customHeight="1">
      <c r="A213" s="184"/>
      <c r="V213" s="185"/>
    </row>
    <row r="214" spans="1:22" s="14" customFormat="1" ht="18" hidden="1" customHeight="1">
      <c r="A214" s="194"/>
      <c r="B214" s="195"/>
      <c r="C214" s="195"/>
      <c r="D214" s="195"/>
      <c r="E214" s="195"/>
      <c r="F214" s="195"/>
      <c r="G214" s="195"/>
      <c r="H214" s="195"/>
      <c r="I214" s="195"/>
      <c r="J214" s="195"/>
      <c r="K214" s="195"/>
      <c r="L214" s="195"/>
      <c r="M214" s="195"/>
      <c r="N214" s="195"/>
      <c r="O214" s="195"/>
      <c r="P214" s="195"/>
      <c r="Q214" s="224"/>
      <c r="R214" s="182"/>
      <c r="S214" s="225"/>
      <c r="T214" s="195"/>
      <c r="U214" s="195"/>
      <c r="V214" s="134"/>
    </row>
    <row r="215" spans="1:22" ht="18" hidden="1" customHeight="1">
      <c r="A215" s="226"/>
      <c r="B215" s="227"/>
      <c r="C215" s="227"/>
      <c r="D215" s="227"/>
      <c r="E215" s="227"/>
      <c r="F215" s="227"/>
      <c r="G215" s="227"/>
      <c r="H215" s="227"/>
      <c r="I215" s="227"/>
      <c r="J215" s="227"/>
      <c r="K215" s="227"/>
      <c r="L215" s="227"/>
      <c r="M215" s="227"/>
      <c r="N215" s="227"/>
      <c r="O215" s="227"/>
      <c r="P215" s="227"/>
      <c r="Q215" s="227"/>
      <c r="R215" s="227"/>
      <c r="S215" s="227"/>
      <c r="T215" s="227"/>
      <c r="U215" s="227"/>
      <c r="V215" s="228"/>
    </row>
    <row r="216" spans="1:22" ht="18" hidden="1" customHeight="1">
      <c r="A216" s="96" t="s">
        <v>755</v>
      </c>
      <c r="B216" s="14"/>
      <c r="C216" s="14"/>
      <c r="D216" s="14"/>
      <c r="E216" s="14"/>
      <c r="F216" s="14"/>
      <c r="G216" s="14"/>
      <c r="H216" s="14"/>
      <c r="I216" s="14"/>
      <c r="J216" s="14"/>
      <c r="K216" s="14"/>
      <c r="L216" s="14"/>
      <c r="M216" s="14"/>
      <c r="N216" s="14"/>
      <c r="O216" s="14"/>
      <c r="P216" s="28"/>
      <c r="Q216" s="120"/>
      <c r="R216" s="14"/>
      <c r="S216" s="14"/>
      <c r="T216" s="14"/>
      <c r="U216" s="14"/>
      <c r="V216" s="185"/>
    </row>
    <row r="217" spans="1:22" ht="18" hidden="1" customHeight="1">
      <c r="A217" s="96"/>
      <c r="B217" s="14"/>
      <c r="C217" s="14"/>
      <c r="D217" s="14"/>
      <c r="E217" s="14"/>
      <c r="F217" s="14"/>
      <c r="G217" s="14"/>
      <c r="H217" s="14"/>
      <c r="K217" s="14" t="s">
        <v>756</v>
      </c>
      <c r="L217" s="28"/>
      <c r="M217" s="47"/>
      <c r="N217" s="14"/>
      <c r="O217" s="14"/>
      <c r="P217" s="14"/>
      <c r="Q217" s="14"/>
      <c r="R217" s="14"/>
      <c r="S217" s="14"/>
      <c r="T217" s="14"/>
      <c r="U217" s="14"/>
      <c r="V217" s="185"/>
    </row>
    <row r="218" spans="1:22" ht="18" hidden="1" customHeight="1">
      <c r="A218" s="96"/>
      <c r="B218" s="28" t="s">
        <v>745</v>
      </c>
      <c r="C218" s="278" t="s">
        <v>652</v>
      </c>
      <c r="D218" s="14" t="s">
        <v>757</v>
      </c>
      <c r="E218" s="14"/>
      <c r="F218" s="268" t="s">
        <v>758</v>
      </c>
      <c r="K218" s="28" t="s">
        <v>745</v>
      </c>
      <c r="L218" s="28" t="s">
        <v>127</v>
      </c>
      <c r="M218" s="281" t="s">
        <v>759</v>
      </c>
      <c r="N218" s="28"/>
      <c r="O218" s="47"/>
      <c r="P218" s="14"/>
      <c r="Q218" s="14"/>
      <c r="R218" s="14"/>
      <c r="S218" s="14"/>
      <c r="T218" s="14"/>
      <c r="U218" s="14"/>
      <c r="V218" s="185"/>
    </row>
    <row r="219" spans="1:22" ht="18" hidden="1" customHeight="1">
      <c r="A219" s="96"/>
      <c r="B219" s="28" t="s">
        <v>745</v>
      </c>
      <c r="C219" s="278" t="s">
        <v>652</v>
      </c>
      <c r="D219" s="47" t="s">
        <v>760</v>
      </c>
      <c r="E219" s="14"/>
      <c r="F219" s="268" t="s">
        <v>761</v>
      </c>
      <c r="K219" s="28"/>
      <c r="L219" s="28" t="s">
        <v>127</v>
      </c>
      <c r="M219" s="14" t="s">
        <v>762</v>
      </c>
      <c r="N219" s="14"/>
      <c r="O219" s="14"/>
      <c r="P219" s="14"/>
      <c r="Q219" s="14"/>
      <c r="R219" s="14"/>
      <c r="S219" s="14"/>
      <c r="T219" s="14"/>
      <c r="U219" s="14"/>
      <c r="V219" s="185"/>
    </row>
    <row r="220" spans="1:22" ht="18" hidden="1" customHeight="1">
      <c r="A220" s="96"/>
      <c r="B220" s="14"/>
      <c r="C220" s="14"/>
      <c r="D220" s="14"/>
      <c r="E220" s="14"/>
      <c r="F220" s="14"/>
      <c r="G220" s="14"/>
      <c r="H220" s="14"/>
      <c r="K220" s="28" t="s">
        <v>757</v>
      </c>
      <c r="L220" s="28" t="s">
        <v>127</v>
      </c>
      <c r="M220" s="47" t="s">
        <v>763</v>
      </c>
      <c r="N220" s="14"/>
      <c r="O220" s="14"/>
      <c r="P220" s="14"/>
      <c r="Q220" s="14"/>
      <c r="R220" s="14"/>
      <c r="S220" s="14"/>
      <c r="T220" s="14"/>
      <c r="U220" s="14"/>
      <c r="V220" s="185"/>
    </row>
    <row r="221" spans="1:22" ht="18" hidden="1" customHeight="1">
      <c r="A221" s="96"/>
      <c r="B221" s="14"/>
      <c r="C221" s="14"/>
      <c r="K221" s="28" t="s">
        <v>760</v>
      </c>
      <c r="L221" s="28" t="s">
        <v>127</v>
      </c>
      <c r="M221" s="28">
        <v>10</v>
      </c>
      <c r="O221" s="14" t="s">
        <v>764</v>
      </c>
      <c r="P221" s="28" t="s">
        <v>765</v>
      </c>
      <c r="Q221" s="278" t="s">
        <v>766</v>
      </c>
      <c r="R221" s="28">
        <v>120</v>
      </c>
      <c r="S221" s="14" t="s">
        <v>767</v>
      </c>
      <c r="T221" s="14"/>
      <c r="U221" s="14"/>
      <c r="V221" s="185"/>
    </row>
    <row r="222" spans="1:22" ht="18" hidden="1" customHeight="1">
      <c r="A222" s="96"/>
      <c r="B222" s="14"/>
      <c r="C222" s="14"/>
      <c r="L222" s="28" t="s">
        <v>127</v>
      </c>
      <c r="M222" s="27">
        <v>20</v>
      </c>
      <c r="N222" s="14"/>
      <c r="O222" s="14" t="s">
        <v>764</v>
      </c>
      <c r="P222" s="28" t="s">
        <v>765</v>
      </c>
      <c r="Q222" s="278" t="s">
        <v>766</v>
      </c>
      <c r="R222" s="28">
        <v>300</v>
      </c>
      <c r="S222" s="14" t="s">
        <v>767</v>
      </c>
      <c r="T222" s="14"/>
      <c r="U222" s="14"/>
      <c r="V222" s="185"/>
    </row>
    <row r="223" spans="1:22" ht="18" hidden="1" customHeight="1">
      <c r="A223" s="96"/>
      <c r="B223" s="14"/>
      <c r="C223" s="14"/>
      <c r="N223" s="14"/>
      <c r="O223" s="14"/>
      <c r="P223" s="28"/>
      <c r="Q223" s="120"/>
      <c r="R223" s="14"/>
      <c r="S223" s="14"/>
      <c r="T223" s="14"/>
      <c r="U223" s="14"/>
      <c r="V223" s="185"/>
    </row>
    <row r="224" spans="1:22" ht="18" hidden="1" customHeight="1">
      <c r="A224" s="96" t="s">
        <v>768</v>
      </c>
      <c r="B224" s="14"/>
      <c r="C224" s="14"/>
      <c r="K224" s="27" t="s">
        <v>757</v>
      </c>
      <c r="L224" s="27" t="s">
        <v>127</v>
      </c>
      <c r="M224" s="684" t="s">
        <v>425</v>
      </c>
      <c r="N224" s="684"/>
      <c r="O224" s="27" t="s">
        <v>769</v>
      </c>
      <c r="P224" s="27">
        <v>5</v>
      </c>
      <c r="Q224" s="28" t="s">
        <v>315</v>
      </c>
      <c r="R224" s="684" t="s">
        <v>423</v>
      </c>
      <c r="S224" s="684"/>
      <c r="T224" s="14" t="s">
        <v>350</v>
      </c>
      <c r="U224" s="14"/>
      <c r="V224" s="185"/>
    </row>
    <row r="225" spans="1:22" ht="18" hidden="1" customHeight="1">
      <c r="A225" s="96"/>
      <c r="B225" s="14"/>
      <c r="C225" s="14"/>
      <c r="L225" s="27" t="s">
        <v>127</v>
      </c>
      <c r="M225" s="684">
        <f>S196</f>
        <v>1</v>
      </c>
      <c r="N225" s="684"/>
      <c r="O225" s="27" t="s">
        <v>769</v>
      </c>
      <c r="P225" s="27">
        <v>5</v>
      </c>
      <c r="Q225" s="28" t="s">
        <v>315</v>
      </c>
      <c r="R225" s="684" t="str">
        <f>S197</f>
        <v>-</v>
      </c>
      <c r="S225" s="684"/>
      <c r="T225" s="14" t="s">
        <v>350</v>
      </c>
      <c r="U225" s="14"/>
      <c r="V225" s="185"/>
    </row>
    <row r="226" spans="1:22" ht="18" hidden="1" customHeight="1">
      <c r="A226" s="96"/>
      <c r="B226" s="14"/>
      <c r="C226" s="14"/>
      <c r="D226" s="14"/>
      <c r="E226" s="120"/>
      <c r="F226" s="28"/>
      <c r="L226" s="27" t="s">
        <v>127</v>
      </c>
      <c r="M226" s="689" t="e">
        <f>M225/(P225*R225)</f>
        <v>#VALUE!</v>
      </c>
      <c r="N226" s="684"/>
      <c r="O226" s="14"/>
      <c r="P226" s="14"/>
      <c r="Q226" s="14"/>
      <c r="R226" s="14"/>
      <c r="S226" s="14"/>
      <c r="T226" s="14"/>
      <c r="U226" s="14"/>
      <c r="V226" s="185"/>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85"/>
    </row>
    <row r="228" spans="1:22" ht="18" hidden="1" customHeight="1">
      <c r="A228" s="96" t="s">
        <v>770</v>
      </c>
      <c r="B228" s="14"/>
      <c r="C228" s="14"/>
      <c r="D228" s="14"/>
      <c r="E228" s="257" t="s">
        <v>771</v>
      </c>
      <c r="F228" s="14"/>
      <c r="G228" s="28" t="s">
        <v>127</v>
      </c>
      <c r="H228" s="692">
        <f>'[2]Parameters &amp; Fault Cal.'!Q184</f>
        <v>0</v>
      </c>
      <c r="I228" s="684"/>
      <c r="J228" s="30" t="s">
        <v>531</v>
      </c>
      <c r="K228" s="28" t="s">
        <v>760</v>
      </c>
      <c r="L228" s="218" t="s">
        <v>127</v>
      </c>
      <c r="M228" s="692">
        <f>IF(H228&lt;=120,M221,M222)</f>
        <v>10</v>
      </c>
      <c r="N228" s="684"/>
      <c r="O228" s="14"/>
      <c r="P228" s="14"/>
      <c r="Q228" s="14"/>
      <c r="R228" s="14"/>
      <c r="S228" s="14"/>
      <c r="T228" s="14"/>
      <c r="U228" s="14"/>
      <c r="V228" s="185"/>
    </row>
    <row r="229" spans="1:22" ht="18" hidden="1" customHeight="1">
      <c r="A229" s="184"/>
      <c r="J229" s="14"/>
      <c r="K229" s="257"/>
      <c r="M229" s="14"/>
      <c r="N229" s="14"/>
      <c r="O229" s="14"/>
      <c r="P229" s="14"/>
      <c r="Q229" s="14"/>
      <c r="R229" s="14"/>
      <c r="S229" s="14"/>
      <c r="T229" s="14"/>
      <c r="U229" s="14"/>
      <c r="V229" s="185"/>
    </row>
    <row r="230" spans="1:22" ht="18" hidden="1" customHeight="1">
      <c r="A230" s="96" t="s">
        <v>772</v>
      </c>
      <c r="E230" s="199"/>
      <c r="G230" s="27" t="s">
        <v>127</v>
      </c>
      <c r="H230" s="27" t="s">
        <v>495</v>
      </c>
      <c r="I230" s="27" t="s">
        <v>554</v>
      </c>
      <c r="J230" s="120" t="s">
        <v>491</v>
      </c>
      <c r="K230" s="28" t="s">
        <v>347</v>
      </c>
      <c r="L230" s="120" t="s">
        <v>493</v>
      </c>
      <c r="M230" s="28" t="s">
        <v>539</v>
      </c>
      <c r="N230" s="120" t="s">
        <v>491</v>
      </c>
      <c r="O230" s="28" t="s">
        <v>347</v>
      </c>
      <c r="P230" s="120" t="s">
        <v>512</v>
      </c>
      <c r="Q230" s="296" t="s">
        <v>350</v>
      </c>
      <c r="V230" s="185"/>
    </row>
    <row r="231" spans="1:22" ht="18" hidden="1" customHeight="1">
      <c r="A231" s="184"/>
      <c r="G231" s="27" t="s">
        <v>127</v>
      </c>
      <c r="H231" s="242">
        <f>S202</f>
        <v>20</v>
      </c>
      <c r="I231" s="245" t="s">
        <v>554</v>
      </c>
      <c r="J231" s="301" t="e">
        <f>S199</f>
        <v>#VALUE!</v>
      </c>
      <c r="K231" s="245" t="s">
        <v>347</v>
      </c>
      <c r="L231" s="301" t="e">
        <f>E207</f>
        <v>#VALUE!</v>
      </c>
      <c r="M231" s="245" t="s">
        <v>539</v>
      </c>
      <c r="N231" s="301" t="e">
        <f>S199</f>
        <v>#VALUE!</v>
      </c>
      <c r="O231" s="245" t="s">
        <v>347</v>
      </c>
      <c r="P231" s="301">
        <f>S200</f>
        <v>1.0870224400000001</v>
      </c>
      <c r="Q231" s="461" t="s">
        <v>350</v>
      </c>
      <c r="V231" s="185"/>
    </row>
    <row r="232" spans="1:22" ht="18" hidden="1" customHeight="1">
      <c r="A232" s="184"/>
      <c r="G232" s="27" t="s">
        <v>127</v>
      </c>
      <c r="H232" s="795" t="e">
        <f>H231*((J231+L231)/(N231+P231))</f>
        <v>#VALUE!</v>
      </c>
      <c r="I232" s="795"/>
      <c r="V232" s="185"/>
    </row>
    <row r="233" spans="1:22" ht="18" hidden="1" customHeight="1">
      <c r="A233" s="184"/>
      <c r="V233" s="185"/>
    </row>
    <row r="234" spans="1:22" ht="18" hidden="1" customHeight="1">
      <c r="A234" s="184" t="s">
        <v>773</v>
      </c>
      <c r="E234" s="244"/>
      <c r="F234" s="27"/>
      <c r="G234" s="296"/>
      <c r="V234" s="185"/>
    </row>
    <row r="235" spans="1:22" ht="18" hidden="1" customHeight="1">
      <c r="A235" s="184"/>
      <c r="D235" s="211"/>
      <c r="E235" s="211"/>
      <c r="F235" s="27"/>
      <c r="G235" s="211"/>
      <c r="H235" s="211"/>
      <c r="V235" s="185"/>
    </row>
    <row r="236" spans="1:22" ht="18" hidden="1" customHeight="1">
      <c r="A236" s="184"/>
      <c r="D236" s="795" t="e">
        <f>H232</f>
        <v>#VALUE!</v>
      </c>
      <c r="E236" s="684"/>
      <c r="F236" s="27" t="e">
        <f>IF(D236&gt;=G236,"&gt;","&lt;")</f>
        <v>#VALUE!</v>
      </c>
      <c r="G236" s="795" t="e">
        <f>M226</f>
        <v>#VALUE!</v>
      </c>
      <c r="H236" s="684"/>
      <c r="I236" s="18"/>
      <c r="J236" s="268" t="s">
        <v>758</v>
      </c>
      <c r="V236" s="185"/>
    </row>
    <row r="237" spans="1:22" ht="18" hidden="1" customHeight="1">
      <c r="A237" s="184"/>
      <c r="D237" s="795" t="e">
        <f>H232</f>
        <v>#VALUE!</v>
      </c>
      <c r="E237" s="684"/>
      <c r="F237" s="27" t="e">
        <f>IF(D237&gt;=G237,"&gt;","&lt;")</f>
        <v>#VALUE!</v>
      </c>
      <c r="G237" s="795">
        <f>M228</f>
        <v>10</v>
      </c>
      <c r="H237" s="684"/>
      <c r="J237" s="268" t="s">
        <v>761</v>
      </c>
      <c r="V237" s="185"/>
    </row>
    <row r="238" spans="1:22" ht="18" hidden="1" customHeight="1">
      <c r="A238" s="184"/>
      <c r="E238" s="244" t="s">
        <v>478</v>
      </c>
      <c r="G238" s="18" t="e">
        <f>IF(AND(F236="&gt;",F237="&gt;")=TRUE,"Suitably Dimensioned","Under Dimensioned")</f>
        <v>#VALUE!</v>
      </c>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s="14" customFormat="1" ht="18" customHeight="1">
      <c r="A258" s="194"/>
      <c r="B258" s="195"/>
      <c r="C258" s="195"/>
      <c r="D258" s="195"/>
      <c r="E258" s="195"/>
      <c r="F258" s="195"/>
      <c r="G258" s="195"/>
      <c r="H258" s="195"/>
      <c r="I258" s="195"/>
      <c r="J258" s="195"/>
      <c r="K258" s="195"/>
      <c r="L258" s="195"/>
      <c r="M258" s="195"/>
      <c r="N258" s="195"/>
      <c r="O258" s="195"/>
      <c r="P258" s="195"/>
      <c r="Q258" s="224"/>
      <c r="R258" s="182"/>
      <c r="S258" s="225"/>
      <c r="T258" s="195"/>
      <c r="U258" s="195"/>
      <c r="V258" s="134"/>
    </row>
    <row r="259" spans="1:22" ht="18" customHeight="1">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8"/>
    </row>
    <row r="260" spans="1:22" ht="18" customHeight="1">
      <c r="A260" s="452" t="s">
        <v>501</v>
      </c>
      <c r="B260" s="14"/>
      <c r="C260" s="14"/>
      <c r="D260" s="120"/>
      <c r="E260" s="120"/>
      <c r="F260" s="18"/>
      <c r="G260" s="18"/>
      <c r="H260" s="14"/>
      <c r="I260" s="14"/>
      <c r="J260" s="14"/>
      <c r="K260" s="14"/>
      <c r="L260" s="14"/>
      <c r="M260" s="14"/>
      <c r="N260" s="14"/>
      <c r="O260" s="14"/>
      <c r="P260" s="28"/>
      <c r="Q260" s="120"/>
      <c r="R260" s="47"/>
      <c r="S260" s="206"/>
      <c r="T260" s="259"/>
      <c r="U260" s="14"/>
      <c r="V260" s="97"/>
    </row>
    <row r="261" spans="1:22" ht="18" customHeight="1">
      <c r="A261" s="955" t="s">
        <v>85</v>
      </c>
      <c r="B261" s="956"/>
      <c r="C261" s="957"/>
      <c r="D261" s="955" t="s">
        <v>86</v>
      </c>
      <c r="E261" s="956"/>
      <c r="F261" s="957"/>
      <c r="G261" s="955" t="s">
        <v>87</v>
      </c>
      <c r="H261" s="957"/>
      <c r="I261" s="955" t="s">
        <v>88</v>
      </c>
      <c r="J261" s="957"/>
      <c r="K261" s="955" t="s">
        <v>502</v>
      </c>
      <c r="L261" s="957"/>
      <c r="M261" s="955" t="s">
        <v>503</v>
      </c>
      <c r="N261" s="957"/>
      <c r="O261" s="955" t="s">
        <v>504</v>
      </c>
      <c r="P261" s="957"/>
      <c r="Q261" s="955" t="s">
        <v>505</v>
      </c>
      <c r="R261" s="957"/>
      <c r="S261" s="955" t="s">
        <v>93</v>
      </c>
      <c r="T261" s="956"/>
      <c r="U261" s="956"/>
      <c r="V261" s="957"/>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125"/>
      <c r="B263" s="983"/>
      <c r="C263" s="1126"/>
      <c r="D263" s="1125"/>
      <c r="E263" s="983"/>
      <c r="F263" s="1126"/>
      <c r="G263" s="1125"/>
      <c r="H263" s="1126"/>
      <c r="I263" s="1125"/>
      <c r="J263" s="1126"/>
      <c r="K263" s="1125"/>
      <c r="L263" s="1126"/>
      <c r="M263" s="1125"/>
      <c r="N263" s="1126"/>
      <c r="O263" s="1125"/>
      <c r="P263" s="1126"/>
      <c r="Q263" s="1125"/>
      <c r="R263" s="1126"/>
      <c r="S263" s="1125"/>
      <c r="T263" s="983"/>
      <c r="U263" s="983"/>
      <c r="V263" s="1126"/>
    </row>
    <row r="264" spans="1:22" ht="18" customHeight="1">
      <c r="A264" s="1047"/>
      <c r="B264" s="1048"/>
      <c r="C264" s="1049"/>
      <c r="D264" s="1047"/>
      <c r="E264" s="1048"/>
      <c r="F264" s="1049"/>
      <c r="G264" s="1047"/>
      <c r="H264" s="1049"/>
      <c r="I264" s="1047"/>
      <c r="J264" s="1049"/>
      <c r="K264" s="1047"/>
      <c r="L264" s="1049"/>
      <c r="M264" s="1047"/>
      <c r="N264" s="1049"/>
      <c r="O264" s="1047"/>
      <c r="P264" s="1049"/>
      <c r="Q264" s="1047"/>
      <c r="R264" s="1049"/>
      <c r="S264" s="1047"/>
      <c r="T264" s="1048"/>
      <c r="U264" s="1048"/>
      <c r="V264" s="1049"/>
    </row>
    <row r="265" spans="1:22" ht="18" customHeight="1">
      <c r="A265" s="765" t="str">
        <f>B7</f>
        <v>T2</v>
      </c>
      <c r="B265" s="765" t="str">
        <f>D7</f>
        <v>Core2</v>
      </c>
      <c r="C265" s="765"/>
      <c r="D265" s="870">
        <f>H10</f>
        <v>2000</v>
      </c>
      <c r="E265" s="870"/>
      <c r="F265" s="871">
        <f>O10</f>
        <v>1</v>
      </c>
      <c r="G265" s="870">
        <f>'CT-VT Burdens'!S21</f>
        <v>120</v>
      </c>
      <c r="H265" s="874">
        <f>'CT-VT Burdens'!S10</f>
        <v>6</v>
      </c>
      <c r="I265" s="874" t="str">
        <f>H11</f>
        <v>PX</v>
      </c>
      <c r="J265" s="874" t="e">
        <f>#REF!</f>
        <v>#REF!</v>
      </c>
      <c r="K265" s="869">
        <f>H12</f>
        <v>3.5</v>
      </c>
      <c r="L265" s="869"/>
      <c r="M265" s="869">
        <f>H13</f>
        <v>500</v>
      </c>
      <c r="N265" s="869"/>
      <c r="O265" s="870">
        <f>H14</f>
        <v>20</v>
      </c>
      <c r="P265" s="870"/>
      <c r="Q265" s="879" t="str">
        <f>IF(T8="",T7,IF(T9="",T7&amp;"+"&amp;T8,T7&amp;"+"&amp;T8&amp;"+"&amp;T9))</f>
        <v>REB500</v>
      </c>
      <c r="R265" s="879"/>
      <c r="S265" s="878" t="str">
        <f>M83</f>
        <v>Suitably Dimensioned</v>
      </c>
      <c r="T265" s="878"/>
      <c r="U265" s="878"/>
      <c r="V265" s="878"/>
    </row>
    <row r="266" spans="1:22" ht="18" customHeight="1">
      <c r="A266" s="765"/>
      <c r="B266" s="765"/>
      <c r="C266" s="765"/>
      <c r="D266" s="870">
        <f>J10</f>
        <v>3200</v>
      </c>
      <c r="E266" s="870"/>
      <c r="F266" s="872"/>
      <c r="G266" s="870"/>
      <c r="H266" s="870"/>
      <c r="I266" s="874"/>
      <c r="J266" s="874"/>
      <c r="K266" s="875">
        <f>J95</f>
        <v>5</v>
      </c>
      <c r="L266" s="869"/>
      <c r="M266" s="875">
        <f>J96</f>
        <v>900</v>
      </c>
      <c r="N266" s="869"/>
      <c r="O266" s="876">
        <f>J97</f>
        <v>10</v>
      </c>
      <c r="P266" s="870"/>
      <c r="Q266" s="879"/>
      <c r="R266" s="879"/>
      <c r="S266" s="877" t="str">
        <f>M165</f>
        <v>Suitably Dimensioned</v>
      </c>
      <c r="T266" s="878"/>
      <c r="U266" s="878"/>
      <c r="V266" s="878"/>
    </row>
    <row r="267" spans="1:22" ht="18" customHeight="1">
      <c r="A267" s="765"/>
      <c r="B267" s="765"/>
      <c r="C267" s="765"/>
      <c r="D267" s="870" t="str">
        <f>L10</f>
        <v>-</v>
      </c>
      <c r="E267" s="870"/>
      <c r="F267" s="873"/>
      <c r="G267" s="870"/>
      <c r="H267" s="870"/>
      <c r="I267" s="874"/>
      <c r="J267" s="874"/>
      <c r="K267" s="869" t="str">
        <f>L177</f>
        <v>-</v>
      </c>
      <c r="L267" s="869"/>
      <c r="M267" s="869" t="str">
        <f>L178</f>
        <v>-</v>
      </c>
      <c r="N267" s="869"/>
      <c r="O267" s="870" t="str">
        <f>L179</f>
        <v>-</v>
      </c>
      <c r="P267" s="870"/>
      <c r="Q267" s="879"/>
      <c r="R267" s="879"/>
      <c r="S267" s="878" t="s">
        <v>6</v>
      </c>
      <c r="T267" s="878"/>
      <c r="U267" s="878"/>
      <c r="V267" s="878"/>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s="14" customFormat="1" ht="18" customHeight="1">
      <c r="A299" s="194"/>
      <c r="B299" s="195"/>
      <c r="C299" s="195"/>
      <c r="D299" s="195"/>
      <c r="E299" s="195"/>
      <c r="F299" s="195"/>
      <c r="G299" s="195"/>
      <c r="H299" s="195"/>
      <c r="I299" s="195"/>
      <c r="J299" s="195"/>
      <c r="K299" s="195"/>
      <c r="L299" s="195"/>
      <c r="M299" s="195"/>
      <c r="N299" s="195"/>
      <c r="O299" s="195"/>
      <c r="P299" s="195"/>
      <c r="Q299" s="224"/>
      <c r="R299" s="182"/>
      <c r="S299" s="225"/>
      <c r="T299" s="195"/>
      <c r="U299" s="195"/>
      <c r="V299"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45" priority="3" stopIfTrue="1" operator="equal">
      <formula>"Under Dimentioned"</formula>
    </cfRule>
  </conditionalFormatting>
  <conditionalFormatting sqref="O81 M83:M86">
    <cfRule type="cellIs" dxfId="44" priority="1" stopIfTrue="1" operator="equal">
      <formula>"Under Dimentioned"</formula>
    </cfRule>
  </conditionalFormatting>
  <conditionalFormatting sqref="O163 M165">
    <cfRule type="cellIs" dxfId="43"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77DB161C-8307-4280-96DE-61E2011E81B8}">
      <formula1>"Core1,Core2,Core3,Core4,Core5,Core6,Core7"</formula1>
    </dataValidation>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E4212AF6-18AA-4837-A75E-213B91A90EFA}">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6" max="21" man="1"/>
    <brk id="88" max="21" man="1"/>
    <brk id="129" max="21" man="1"/>
    <brk id="258" max="21" man="1"/>
  </row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E501-E359-4653-8999-0FD902F11D18}">
  <sheetPr>
    <tabColor indexed="62"/>
  </sheetPr>
  <dimension ref="A1:Y293"/>
  <sheetViews>
    <sheetView showZeros="0" view="pageBreakPreview" topLeftCell="A9" zoomScale="145" zoomScaleNormal="100" zoomScaleSheetLayoutView="145" workbookViewId="0">
      <selection activeCell="J21" sqref="J21:K21"/>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108</v>
      </c>
      <c r="C7" s="1076"/>
      <c r="D7" s="1092" t="s">
        <v>385</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2000</v>
      </c>
      <c r="I10" s="1091"/>
      <c r="J10" s="1075">
        <v>3200</v>
      </c>
      <c r="K10" s="1076"/>
      <c r="L10" s="1075"/>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224">
        <v>3.5</v>
      </c>
      <c r="I12" s="1225"/>
      <c r="J12" s="192" t="s">
        <v>333</v>
      </c>
      <c r="V12" s="185"/>
    </row>
    <row r="13" spans="1:24" ht="18" customHeight="1">
      <c r="A13" s="184"/>
      <c r="B13" s="47" t="s">
        <v>398</v>
      </c>
      <c r="G13" s="120" t="s">
        <v>498</v>
      </c>
      <c r="H13" s="1075">
        <v>500</v>
      </c>
      <c r="I13" s="1076"/>
      <c r="J13" s="14" t="s">
        <v>305</v>
      </c>
      <c r="U13" s="18"/>
      <c r="V13" s="185"/>
      <c r="W13" s="30" t="str">
        <f>H74</f>
        <v>Suitably Dimentioned</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Burdens'!S52</f>
        <v>1.25652618</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1.45652618</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1.45652618</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1.45652618</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3.5</v>
      </c>
      <c r="M39" s="689"/>
      <c r="N39" s="689" t="s">
        <v>347</v>
      </c>
      <c r="O39" s="692">
        <f>S29</f>
        <v>1.45652618</v>
      </c>
      <c r="P39" s="689"/>
      <c r="Q39" s="689" t="s">
        <v>674</v>
      </c>
      <c r="R39" s="689">
        <f>S27</f>
        <v>1</v>
      </c>
      <c r="S39" s="14"/>
      <c r="T39" s="14"/>
      <c r="U39" s="14"/>
      <c r="V39" s="185"/>
    </row>
    <row r="40" spans="1:22" ht="18" customHeight="1">
      <c r="A40" s="184"/>
      <c r="B40" s="14"/>
      <c r="C40" s="14"/>
      <c r="D40" s="689"/>
      <c r="E40" s="689"/>
      <c r="F40" s="689"/>
      <c r="G40" s="211">
        <v>1.3</v>
      </c>
      <c r="H40" s="218" t="s">
        <v>315</v>
      </c>
      <c r="I40" s="689">
        <f>S26</f>
        <v>2000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47.658905576923075</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3.5</v>
      </c>
      <c r="I51" s="689"/>
      <c r="J51" s="689" t="s">
        <v>347</v>
      </c>
      <c r="K51" s="692">
        <f>S29</f>
        <v>1.45652618</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381.2712446153846</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500</v>
      </c>
      <c r="F67" s="692"/>
      <c r="G67" s="28" t="str">
        <f>G66</f>
        <v>&gt;</v>
      </c>
      <c r="H67" s="692">
        <f>E42</f>
        <v>47.658905576923075</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500</v>
      </c>
      <c r="F71" s="692"/>
      <c r="G71" s="28" t="str">
        <f>G70</f>
        <v>&gt;</v>
      </c>
      <c r="H71" s="692">
        <f>E54</f>
        <v>381.2712446153846</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Dimentioned",IF(AND(G66="&gt;",G70="&gt;"),"Over Dimentioned",IF(G66="&lt;","Under Dimentioned","")))</f>
        <v>Suitably Dimentioned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T1</v>
      </c>
      <c r="C87" s="831"/>
      <c r="D87" s="854" t="str">
        <f>D7</f>
        <v>Core1</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2000</v>
      </c>
      <c r="I90" s="831"/>
      <c r="J90" s="863">
        <f>J10</f>
        <v>3200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Dimentioned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1.25652618</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1.45652618</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3200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1.45652618</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1.45652618</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1.45652618</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3200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38.801239062500002</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1.45652618</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496.65585999999996</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38.801239062500002</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496.65585999999996</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Dimentioned",IF(AND(G146="&gt;",G150="&gt;"),"Over Dimentioned",IF(G146="&lt;","Under Dimentioned","")))</f>
        <v>Suitably Dimentioned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T1</v>
      </c>
      <c r="C167" s="831"/>
      <c r="D167" s="854" t="str">
        <f>D87</f>
        <v>Core1</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2000</v>
      </c>
      <c r="I170" s="831"/>
      <c r="J170" s="854">
        <f>J90</f>
        <v>3200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1.25652618</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1.45652618</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1.45652618</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1.45652618</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1.45652618</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1.45652618</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112.04047538461538</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112.04047538461538</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T1</v>
      </c>
      <c r="B261" s="765" t="str">
        <f>D7</f>
        <v>Core1</v>
      </c>
      <c r="C261" s="765"/>
      <c r="D261" s="870">
        <f>H10</f>
        <v>2000</v>
      </c>
      <c r="E261" s="870"/>
      <c r="F261" s="871">
        <f>O10</f>
        <v>1</v>
      </c>
      <c r="G261" s="961">
        <f>'CT-VT Burdens'!S21</f>
        <v>120</v>
      </c>
      <c r="H261" s="959">
        <f>'CT-VT Burdens'!S10</f>
        <v>6</v>
      </c>
      <c r="I261" s="874" t="str">
        <f>H11</f>
        <v>PX</v>
      </c>
      <c r="J261" s="874"/>
      <c r="K261" s="869">
        <f>H12</f>
        <v>3.5</v>
      </c>
      <c r="L261" s="869"/>
      <c r="M261" s="869">
        <f>H13</f>
        <v>500</v>
      </c>
      <c r="N261" s="869"/>
      <c r="O261" s="870">
        <f>H14</f>
        <v>20</v>
      </c>
      <c r="P261" s="870"/>
      <c r="Q261" s="879" t="str">
        <f>CONCATENATE(T7," ",T8," ",T9," ",T10)</f>
        <v xml:space="preserve">7SS522 6MU85  </v>
      </c>
      <c r="R261" s="879"/>
      <c r="S261" s="878" t="str">
        <f>H74</f>
        <v>Suitably Dimentioned</v>
      </c>
      <c r="T261" s="878"/>
      <c r="U261" s="878"/>
      <c r="V261" s="878"/>
    </row>
    <row r="262" spans="1:22" ht="18" customHeight="1">
      <c r="A262" s="765"/>
      <c r="B262" s="765"/>
      <c r="C262" s="765"/>
      <c r="D262" s="870">
        <f>J10</f>
        <v>3200</v>
      </c>
      <c r="E262" s="870"/>
      <c r="F262" s="872"/>
      <c r="G262" s="961"/>
      <c r="H262" s="959"/>
      <c r="I262" s="874"/>
      <c r="J262" s="874"/>
      <c r="K262" s="875">
        <f>J92</f>
        <v>5</v>
      </c>
      <c r="L262" s="869"/>
      <c r="M262" s="875">
        <f>J93</f>
        <v>900</v>
      </c>
      <c r="N262" s="869"/>
      <c r="O262" s="870">
        <f>J94</f>
        <v>10</v>
      </c>
      <c r="P262" s="870"/>
      <c r="Q262" s="879"/>
      <c r="R262" s="879"/>
      <c r="S262" s="877" t="str">
        <f>H154</f>
        <v>Suitably Dimentioned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O257:P260"/>
    <mergeCell ref="Q257:R260"/>
    <mergeCell ref="S257:V260"/>
    <mergeCell ref="A261:A263"/>
    <mergeCell ref="B261:C263"/>
    <mergeCell ref="D261:E261"/>
    <mergeCell ref="F261:F263"/>
    <mergeCell ref="G261:G263"/>
    <mergeCell ref="D263:E263"/>
    <mergeCell ref="K263:L263"/>
    <mergeCell ref="M263:N263"/>
    <mergeCell ref="O263:P263"/>
    <mergeCell ref="S263:V263"/>
    <mergeCell ref="S261:V261"/>
    <mergeCell ref="D262:E262"/>
    <mergeCell ref="K262:L262"/>
    <mergeCell ref="M262:N262"/>
    <mergeCell ref="O262:P262"/>
    <mergeCell ref="S262:V262"/>
    <mergeCell ref="H261:H263"/>
    <mergeCell ref="I261:J263"/>
    <mergeCell ref="K261:L261"/>
    <mergeCell ref="M261:N261"/>
    <mergeCell ref="O261:P261"/>
    <mergeCell ref="K215:L216"/>
    <mergeCell ref="M215:M216"/>
    <mergeCell ref="N215:N216"/>
    <mergeCell ref="E216:F216"/>
    <mergeCell ref="E218:F218"/>
    <mergeCell ref="E231:F231"/>
    <mergeCell ref="H231:I231"/>
    <mergeCell ref="K257:L260"/>
    <mergeCell ref="M257:N260"/>
    <mergeCell ref="D215:D216"/>
    <mergeCell ref="E215:F215"/>
    <mergeCell ref="G215:G216"/>
    <mergeCell ref="H215:I216"/>
    <mergeCell ref="J215:J216"/>
    <mergeCell ref="E235:F235"/>
    <mergeCell ref="H235:I235"/>
    <mergeCell ref="A257:C260"/>
    <mergeCell ref="D257:F260"/>
    <mergeCell ref="G257:H260"/>
    <mergeCell ref="I257:J260"/>
    <mergeCell ref="E202:F202"/>
    <mergeCell ref="B212:C213"/>
    <mergeCell ref="D212:D213"/>
    <mergeCell ref="E212:F212"/>
    <mergeCell ref="G212:G213"/>
    <mergeCell ref="H212:I213"/>
    <mergeCell ref="L199:M200"/>
    <mergeCell ref="N199:N200"/>
    <mergeCell ref="O199:P200"/>
    <mergeCell ref="J212:J213"/>
    <mergeCell ref="K212:L213"/>
    <mergeCell ref="M212:M213"/>
    <mergeCell ref="N212:N213"/>
    <mergeCell ref="E213:F213"/>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9:T109"/>
    <mergeCell ref="S110:T110"/>
    <mergeCell ref="B116:C117"/>
    <mergeCell ref="D116:D117"/>
    <mergeCell ref="E116:E117"/>
    <mergeCell ref="F116:F117"/>
    <mergeCell ref="G116:J116"/>
    <mergeCell ref="K116:K117"/>
    <mergeCell ref="L116:M117"/>
    <mergeCell ref="S106:T106"/>
    <mergeCell ref="S107:T107"/>
    <mergeCell ref="J91:K91"/>
    <mergeCell ref="J92:K92"/>
    <mergeCell ref="J93:K93"/>
    <mergeCell ref="J94:K94"/>
    <mergeCell ref="J98:K98"/>
    <mergeCell ref="J99:K99"/>
    <mergeCell ref="S108:T108"/>
    <mergeCell ref="H90:I90"/>
    <mergeCell ref="J90:K90"/>
    <mergeCell ref="L90:M90"/>
    <mergeCell ref="E71:F71"/>
    <mergeCell ref="H71:I71"/>
    <mergeCell ref="J100:K100"/>
    <mergeCell ref="J101:K101"/>
    <mergeCell ref="J102:K102"/>
    <mergeCell ref="S105:T105"/>
    <mergeCell ref="T87:U87"/>
    <mergeCell ref="N51:N52"/>
    <mergeCell ref="E52:F52"/>
    <mergeCell ref="E54:F54"/>
    <mergeCell ref="E67:F67"/>
    <mergeCell ref="H67:I67"/>
    <mergeCell ref="T88:U88"/>
    <mergeCell ref="H89:I89"/>
    <mergeCell ref="J89:K89"/>
    <mergeCell ref="L89:M89"/>
    <mergeCell ref="T89:U89"/>
    <mergeCell ref="D51:D52"/>
    <mergeCell ref="E51:F51"/>
    <mergeCell ref="G51:G52"/>
    <mergeCell ref="H51:I52"/>
    <mergeCell ref="J51:J52"/>
    <mergeCell ref="K51:L52"/>
    <mergeCell ref="B87:C87"/>
    <mergeCell ref="D87:E87"/>
    <mergeCell ref="H87:M87"/>
    <mergeCell ref="M51:M52"/>
    <mergeCell ref="B48:C49"/>
    <mergeCell ref="D48:D49"/>
    <mergeCell ref="E48:F48"/>
    <mergeCell ref="G48:G49"/>
    <mergeCell ref="H48:I49"/>
    <mergeCell ref="J48:J49"/>
    <mergeCell ref="N39:N40"/>
    <mergeCell ref="O39:P40"/>
    <mergeCell ref="Q39:Q40"/>
    <mergeCell ref="K48:L49"/>
    <mergeCell ref="M48:M49"/>
    <mergeCell ref="N48:N49"/>
    <mergeCell ref="E49:F49"/>
    <mergeCell ref="R39:R40"/>
    <mergeCell ref="I40:J40"/>
    <mergeCell ref="E42:F42"/>
    <mergeCell ref="D39:D40"/>
    <mergeCell ref="E39:E40"/>
    <mergeCell ref="F39:F40"/>
    <mergeCell ref="G39:J39"/>
    <mergeCell ref="K39:K40"/>
    <mergeCell ref="L39:M40"/>
    <mergeCell ref="L36:M37"/>
    <mergeCell ref="N36:N37"/>
    <mergeCell ref="O36:P37"/>
    <mergeCell ref="Q36:Q37"/>
    <mergeCell ref="R36:R37"/>
    <mergeCell ref="I37:J37"/>
    <mergeCell ref="B36:C37"/>
    <mergeCell ref="D36:D37"/>
    <mergeCell ref="E36:E37"/>
    <mergeCell ref="F36:F37"/>
    <mergeCell ref="G36:J36"/>
    <mergeCell ref="K36:K37"/>
    <mergeCell ref="S25:T25"/>
    <mergeCell ref="S26:T26"/>
    <mergeCell ref="S27:T27"/>
    <mergeCell ref="S28:T28"/>
    <mergeCell ref="S29:T29"/>
    <mergeCell ref="S30:T30"/>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1 G207 G225">
    <cfRule type="cellIs" dxfId="42" priority="8" stopIfTrue="1" operator="equal">
      <formula>"Under Dimentioned"</formula>
    </cfRule>
  </conditionalFormatting>
  <conditionalFormatting sqref="H74">
    <cfRule type="cellIs" dxfId="41" priority="5" stopIfTrue="1" operator="equal">
      <formula>"Under Dimentioned"</formula>
    </cfRule>
    <cfRule type="cellIs" dxfId="40" priority="6" stopIfTrue="1" operator="equal">
      <formula>"Over Dimentioned"</formula>
    </cfRule>
  </conditionalFormatting>
  <conditionalFormatting sqref="H154 H238">
    <cfRule type="containsText" dxfId="39" priority="7" operator="containsText" text="Under Dimentioned">
      <formula>NOT(ISERROR(SEARCH("Under Dimentioned",H154)))</formula>
    </cfRule>
  </conditionalFormatting>
  <conditionalFormatting sqref="H154">
    <cfRule type="cellIs" dxfId="38" priority="3" stopIfTrue="1" operator="equal">
      <formula>"Under Dimentioned"</formula>
    </cfRule>
    <cfRule type="cellIs" dxfId="37" priority="4" stopIfTrue="1" operator="equal">
      <formula>"Over Dimentioned"</formula>
    </cfRule>
  </conditionalFormatting>
  <conditionalFormatting sqref="H238">
    <cfRule type="cellIs" dxfId="36" priority="1" stopIfTrue="1" operator="equal">
      <formula>"Under Dimentioned"</formula>
    </cfRule>
    <cfRule type="cellIs" dxfId="35" priority="2" stopIfTrue="1" operator="equal">
      <formula>"Over Dimentioned"</formula>
    </cfRule>
  </conditionalFormatting>
  <dataValidations count="2">
    <dataValidation type="list" allowBlank="1" showInputMessage="1" showErrorMessage="1" sqref="D87 D167" xr:uid="{D481B286-7DDB-42F0-81D1-90F36146AB19}">
      <formula1>"Core1,Core2,Core3"</formula1>
    </dataValidation>
    <dataValidation type="list" allowBlank="1" showInputMessage="1" showErrorMessage="1" sqref="D7:E7" xr:uid="{B3B0828A-358F-45AD-98E8-72369F9BC25B}">
      <formula1>"Core1,Core2,Core3,Core4"</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4A99-F4A3-417F-8C3F-D68CF7A4BC03}">
  <sheetPr>
    <tabColor rgb="FF00B050"/>
  </sheetPr>
  <dimension ref="A1:AE175"/>
  <sheetViews>
    <sheetView showZeros="0" view="pageBreakPreview" topLeftCell="A79" zoomScale="115" zoomScaleNormal="100" zoomScaleSheetLayoutView="115" workbookViewId="0">
      <selection activeCell="X21" sqref="X2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1062</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108</v>
      </c>
      <c r="C7" s="782"/>
      <c r="D7" s="781" t="s">
        <v>385</v>
      </c>
      <c r="E7" s="782"/>
      <c r="F7" s="255"/>
      <c r="H7" s="684" t="s">
        <v>1054</v>
      </c>
      <c r="I7" s="684"/>
      <c r="J7" s="684"/>
      <c r="K7" s="684"/>
      <c r="L7" s="684"/>
      <c r="M7" s="684"/>
      <c r="P7" s="186"/>
      <c r="R7" s="255"/>
      <c r="S7" s="187" t="s">
        <v>387</v>
      </c>
      <c r="T7" s="1216" t="s">
        <v>508</v>
      </c>
      <c r="U7" s="1247"/>
      <c r="V7" s="185"/>
    </row>
    <row r="8" spans="1:24" ht="18" customHeight="1">
      <c r="A8" s="184"/>
      <c r="B8" s="538"/>
      <c r="C8" s="538"/>
      <c r="D8" s="547"/>
      <c r="E8" s="547"/>
      <c r="F8" s="255"/>
      <c r="T8" s="1216"/>
      <c r="U8" s="1247"/>
      <c r="V8" s="185"/>
    </row>
    <row r="9" spans="1:24" ht="18" customHeight="1">
      <c r="A9" s="184"/>
      <c r="H9" s="789" t="s">
        <v>390</v>
      </c>
      <c r="I9" s="789"/>
      <c r="J9" s="790" t="s">
        <v>391</v>
      </c>
      <c r="K9" s="790"/>
      <c r="L9" s="790" t="s">
        <v>392</v>
      </c>
      <c r="M9" s="790"/>
      <c r="T9" s="1216"/>
      <c r="U9" s="1247"/>
      <c r="V9" s="185"/>
    </row>
    <row r="10" spans="1:24" ht="18" customHeight="1">
      <c r="A10" s="184"/>
      <c r="B10" s="47" t="s">
        <v>393</v>
      </c>
      <c r="H10" s="791">
        <v>3200</v>
      </c>
      <c r="I10" s="792"/>
      <c r="J10" s="781">
        <v>2800</v>
      </c>
      <c r="K10" s="782"/>
      <c r="L10" s="781" t="s">
        <v>6</v>
      </c>
      <c r="M10" s="782"/>
      <c r="N10" s="191" t="s">
        <v>342</v>
      </c>
      <c r="O10" s="125">
        <v>1</v>
      </c>
      <c r="P10" s="27" t="s">
        <v>8</v>
      </c>
      <c r="T10" s="1216"/>
      <c r="U10" s="1247"/>
      <c r="V10" s="185"/>
    </row>
    <row r="11" spans="1:24" ht="18" customHeight="1">
      <c r="A11" s="184"/>
      <c r="B11" s="47" t="s">
        <v>394</v>
      </c>
      <c r="H11" s="781">
        <v>0.5</v>
      </c>
      <c r="I11" s="782"/>
      <c r="T11" s="1248"/>
      <c r="U11" s="1248"/>
      <c r="V11" s="185"/>
    </row>
    <row r="12" spans="1:24" ht="18" customHeight="1">
      <c r="A12" s="184"/>
      <c r="B12" s="47" t="s">
        <v>396</v>
      </c>
      <c r="G12" s="120" t="s">
        <v>497</v>
      </c>
      <c r="H12" s="781">
        <v>5</v>
      </c>
      <c r="I12" s="782"/>
      <c r="J12" s="192" t="s">
        <v>333</v>
      </c>
      <c r="T12" s="295"/>
      <c r="U12" s="18"/>
      <c r="V12" s="185"/>
    </row>
    <row r="13" spans="1:24" ht="18" customHeight="1">
      <c r="A13" s="184"/>
      <c r="B13" s="30" t="s">
        <v>568</v>
      </c>
      <c r="G13" s="120" t="s">
        <v>569</v>
      </c>
      <c r="H13" s="781">
        <v>5</v>
      </c>
      <c r="I13" s="782"/>
      <c r="T13" s="295"/>
      <c r="U13" s="18"/>
      <c r="V13" s="185"/>
      <c r="W13" s="30" t="str">
        <f>J46</f>
        <v>Not suitable</v>
      </c>
    </row>
    <row r="14" spans="1:24" ht="18" customHeight="1">
      <c r="A14" s="184"/>
      <c r="B14" s="47" t="s">
        <v>562</v>
      </c>
      <c r="G14" s="120" t="s">
        <v>493</v>
      </c>
      <c r="H14" s="781">
        <v>30</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REC670</v>
      </c>
      <c r="E18" s="227"/>
      <c r="F18" s="227"/>
      <c r="G18" s="227"/>
      <c r="H18" s="138"/>
      <c r="I18" s="260" t="s">
        <v>127</v>
      </c>
      <c r="J18" s="1250">
        <f>'CT-VT Burdens'!Q104</f>
        <v>0.02</v>
      </c>
      <c r="K18" s="1285"/>
      <c r="L18" s="3" t="s">
        <v>157</v>
      </c>
      <c r="N18" s="197" t="s">
        <v>510</v>
      </c>
      <c r="V18" s="185"/>
      <c r="AC18" s="14" t="s">
        <v>570</v>
      </c>
      <c r="AE18" s="14" t="s">
        <v>571</v>
      </c>
    </row>
    <row r="19" spans="1:31" ht="18" customHeight="1">
      <c r="A19" s="184"/>
      <c r="B19" s="96" t="s">
        <v>405</v>
      </c>
      <c r="D19" s="296">
        <f>T8</f>
        <v>0</v>
      </c>
      <c r="I19" s="177" t="s">
        <v>127</v>
      </c>
      <c r="J19" s="1106"/>
      <c r="K19" s="1107"/>
      <c r="L19" s="198" t="s">
        <v>157</v>
      </c>
      <c r="P19" s="244"/>
      <c r="V19" s="185"/>
    </row>
    <row r="20" spans="1:31" ht="18" customHeight="1">
      <c r="A20" s="184"/>
      <c r="B20" s="96" t="s">
        <v>405</v>
      </c>
      <c r="C20" s="14"/>
      <c r="D20" s="47">
        <f>T9</f>
        <v>0</v>
      </c>
      <c r="E20" s="14"/>
      <c r="G20" s="199"/>
      <c r="H20" s="27"/>
      <c r="I20" s="101" t="s">
        <v>127</v>
      </c>
      <c r="J20" s="1108"/>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5</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5</v>
      </c>
      <c r="Q22" s="684"/>
      <c r="R22" s="27" t="s">
        <v>157</v>
      </c>
      <c r="S22" s="27"/>
      <c r="T22" s="27"/>
      <c r="V22" s="185"/>
    </row>
    <row r="23" spans="1:31" ht="18" customHeight="1">
      <c r="A23" s="184"/>
      <c r="B23" s="1" t="s">
        <v>413</v>
      </c>
      <c r="C23" s="2"/>
      <c r="D23" s="2"/>
      <c r="E23" s="2"/>
      <c r="F23" s="196"/>
      <c r="G23" s="196"/>
      <c r="H23" s="224" t="s">
        <v>512</v>
      </c>
      <c r="I23" s="183" t="s">
        <v>127</v>
      </c>
      <c r="J23" s="722">
        <f>SUM(J18:K22)</f>
        <v>1.0970224400000002</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3200</v>
      </c>
      <c r="Q25" s="1251"/>
      <c r="R25" s="192" t="s">
        <v>8</v>
      </c>
      <c r="V25" s="185"/>
    </row>
    <row r="26" spans="1:31" ht="18" customHeight="1">
      <c r="A26" s="184"/>
      <c r="B26" s="47" t="s">
        <v>547</v>
      </c>
      <c r="C26" s="47"/>
      <c r="D26" s="47"/>
      <c r="E26" s="47"/>
      <c r="H26" s="27"/>
      <c r="I26" s="28"/>
      <c r="J26" s="199"/>
      <c r="L26" s="47"/>
      <c r="N26" s="120" t="s">
        <v>572</v>
      </c>
      <c r="O26" s="28" t="s">
        <v>127</v>
      </c>
      <c r="P26" s="1251">
        <f>H12</f>
        <v>5</v>
      </c>
      <c r="Q26" s="1251"/>
      <c r="R26" s="304" t="s">
        <v>157</v>
      </c>
      <c r="V26" s="185"/>
    </row>
    <row r="27" spans="1:31" ht="18" customHeight="1">
      <c r="A27" s="184"/>
      <c r="B27" s="47" t="s">
        <v>548</v>
      </c>
      <c r="C27" s="47"/>
      <c r="D27" s="47"/>
      <c r="E27" s="47"/>
      <c r="H27" s="27"/>
      <c r="I27" s="28"/>
      <c r="J27" s="199"/>
      <c r="L27" s="47"/>
      <c r="N27" s="120" t="s">
        <v>573</v>
      </c>
      <c r="O27" s="28" t="s">
        <v>127</v>
      </c>
      <c r="P27" s="1072">
        <f>J23</f>
        <v>1.0970224400000002</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296" t="s">
        <v>576</v>
      </c>
      <c r="C30" s="47"/>
      <c r="D30" s="47"/>
      <c r="E30" s="47"/>
      <c r="H30" s="27"/>
      <c r="I30" s="28"/>
      <c r="J30" s="199"/>
      <c r="L30" s="47"/>
      <c r="O30" s="28" t="s">
        <v>127</v>
      </c>
      <c r="P30" s="1072">
        <v>25</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1.0970224400000002</v>
      </c>
      <c r="K35" s="684"/>
      <c r="L35" s="28"/>
      <c r="M35" s="795"/>
      <c r="N35" s="684"/>
      <c r="V35" s="185"/>
    </row>
    <row r="36" spans="1:22" ht="18" customHeight="1">
      <c r="A36" s="184"/>
      <c r="F36" s="244"/>
      <c r="H36" s="120" t="s">
        <v>105</v>
      </c>
      <c r="I36" s="27" t="s">
        <v>127</v>
      </c>
      <c r="J36" s="27" t="s">
        <v>569</v>
      </c>
      <c r="K36" s="27" t="s">
        <v>554</v>
      </c>
      <c r="L36" s="120" t="s">
        <v>491</v>
      </c>
      <c r="M36" s="28" t="s">
        <v>347</v>
      </c>
      <c r="N36" s="120" t="s">
        <v>493</v>
      </c>
      <c r="O36" s="28" t="s">
        <v>539</v>
      </c>
      <c r="P36" s="120" t="s">
        <v>491</v>
      </c>
      <c r="Q36" s="28" t="s">
        <v>347</v>
      </c>
      <c r="R36" s="120" t="s">
        <v>512</v>
      </c>
      <c r="S36" s="296" t="s">
        <v>350</v>
      </c>
      <c r="V36" s="185"/>
    </row>
    <row r="37" spans="1:22" ht="18" customHeight="1">
      <c r="A37" s="184"/>
      <c r="I37" s="27" t="s">
        <v>127</v>
      </c>
      <c r="J37" s="245">
        <f>H13</f>
        <v>5</v>
      </c>
      <c r="K37" s="245" t="s">
        <v>554</v>
      </c>
      <c r="L37" s="301">
        <f>P22</f>
        <v>5</v>
      </c>
      <c r="M37" s="245" t="s">
        <v>347</v>
      </c>
      <c r="N37" s="242">
        <f>H14</f>
        <v>30</v>
      </c>
      <c r="O37" s="245" t="s">
        <v>539</v>
      </c>
      <c r="P37" s="301">
        <f>P22</f>
        <v>5</v>
      </c>
      <c r="Q37" s="245" t="s">
        <v>347</v>
      </c>
      <c r="R37" s="301">
        <f>J23</f>
        <v>1.0970224400000002</v>
      </c>
      <c r="S37" s="296" t="s">
        <v>350</v>
      </c>
      <c r="V37" s="185"/>
    </row>
    <row r="38" spans="1:22" ht="18" customHeight="1">
      <c r="A38" s="184"/>
      <c r="I38" s="27" t="s">
        <v>127</v>
      </c>
      <c r="J38" s="1111">
        <f>J37*((L37+N37)/(P37+R37))</f>
        <v>28.702535003299086</v>
      </c>
      <c r="K38" s="1111"/>
      <c r="L38" s="242"/>
      <c r="M38" s="242"/>
      <c r="N38" s="242"/>
      <c r="O38" s="242"/>
      <c r="P38" s="242"/>
      <c r="Q38" s="242"/>
      <c r="R38" s="242"/>
      <c r="V38" s="185"/>
    </row>
    <row r="39" spans="1:22" ht="18" customHeight="1">
      <c r="A39" s="184"/>
      <c r="I39" s="28"/>
      <c r="J39" s="211"/>
      <c r="K39" s="27"/>
      <c r="V39" s="185"/>
    </row>
    <row r="40" spans="1:22" ht="18" customHeight="1">
      <c r="A40" s="96" t="s">
        <v>584</v>
      </c>
      <c r="I40" s="28"/>
      <c r="J40" s="211"/>
      <c r="K40" s="27"/>
      <c r="V40" s="185"/>
    </row>
    <row r="41" spans="1:22" ht="18" customHeight="1">
      <c r="A41" s="184"/>
      <c r="B41" s="28">
        <v>1</v>
      </c>
      <c r="D41" s="14"/>
      <c r="H41" s="120" t="s">
        <v>492</v>
      </c>
      <c r="I41" s="28" t="s">
        <v>476</v>
      </c>
      <c r="J41" s="47" t="s">
        <v>104</v>
      </c>
      <c r="S41" s="14" t="s">
        <v>585</v>
      </c>
      <c r="V41" s="185"/>
    </row>
    <row r="42" spans="1:22" ht="18" customHeight="1">
      <c r="A42" s="184"/>
      <c r="G42" s="684">
        <f>H14</f>
        <v>30</v>
      </c>
      <c r="H42" s="684"/>
      <c r="I42" s="27" t="str">
        <f>IF(G42&gt;J42,"&gt;","&lt;")</f>
        <v>&gt;</v>
      </c>
      <c r="J42" s="795">
        <f>J35</f>
        <v>1.0970224400000002</v>
      </c>
      <c r="K42" s="684"/>
      <c r="S42" s="186" t="str">
        <f>IF(G42&gt;J42,"Satisfied","Not satisfied")</f>
        <v>Satisfied</v>
      </c>
      <c r="V42" s="185"/>
    </row>
    <row r="43" spans="1:22" ht="18" customHeight="1">
      <c r="A43" s="184"/>
      <c r="D43" s="14"/>
      <c r="H43" s="120"/>
      <c r="I43" s="27"/>
      <c r="R43" s="14"/>
      <c r="V43" s="185"/>
    </row>
    <row r="44" spans="1:22" ht="18" customHeight="1">
      <c r="A44" s="184"/>
      <c r="B44" s="28">
        <v>2</v>
      </c>
      <c r="D44" s="14"/>
      <c r="H44" s="244" t="s">
        <v>586</v>
      </c>
      <c r="I44" s="28" t="s">
        <v>476</v>
      </c>
      <c r="J44" s="14" t="s">
        <v>105</v>
      </c>
      <c r="K44" s="14"/>
      <c r="S44" s="14" t="s">
        <v>587</v>
      </c>
      <c r="V44" s="185"/>
    </row>
    <row r="45" spans="1:22" ht="18" customHeight="1">
      <c r="A45" s="184"/>
      <c r="D45" s="14"/>
      <c r="G45" s="795">
        <f>P30</f>
        <v>25</v>
      </c>
      <c r="H45" s="795"/>
      <c r="I45" s="27" t="str">
        <f>IF(G45&gt;J45,"&gt;","&lt;")</f>
        <v>&lt;</v>
      </c>
      <c r="J45" s="795">
        <f>J38</f>
        <v>28.702535003299086</v>
      </c>
      <c r="K45" s="795"/>
      <c r="R45" s="14"/>
      <c r="S45" s="186" t="str">
        <f>IF(G45&gt;J45,"Satisfied","Not satisfied")</f>
        <v>Not satisfied</v>
      </c>
      <c r="V45" s="185"/>
    </row>
    <row r="46" spans="1:22" ht="18" customHeight="1">
      <c r="A46" s="184"/>
      <c r="D46" s="47"/>
      <c r="H46" s="244" t="s">
        <v>478</v>
      </c>
      <c r="J46" s="18" t="str">
        <f>IF(AND(I42="&gt;",I45="&gt;")=TRUE,"Suitably Dimensioned","Not suitable")</f>
        <v>Not suitable</v>
      </c>
      <c r="O46" s="27"/>
      <c r="P46" s="211"/>
      <c r="Q46" s="211"/>
      <c r="R46" s="192"/>
      <c r="V46" s="185"/>
    </row>
    <row r="47" spans="1:22" ht="18" customHeight="1">
      <c r="A47" s="194"/>
      <c r="B47" s="195"/>
      <c r="C47" s="195"/>
      <c r="D47" s="195"/>
      <c r="E47" s="195"/>
      <c r="F47" s="195"/>
      <c r="G47" s="195"/>
      <c r="H47" s="195"/>
      <c r="I47" s="195"/>
      <c r="J47" s="195"/>
      <c r="K47" s="195"/>
      <c r="L47" s="195"/>
      <c r="M47" s="195"/>
      <c r="N47" s="195"/>
      <c r="O47" s="195"/>
      <c r="P47" s="195"/>
      <c r="Q47" s="224"/>
      <c r="R47" s="182"/>
      <c r="S47" s="225"/>
      <c r="T47" s="195"/>
      <c r="U47" s="195"/>
      <c r="V47" s="134"/>
    </row>
    <row r="48" spans="1:22" ht="18" customHeight="1">
      <c r="A48" s="226"/>
      <c r="B48" s="227"/>
      <c r="C48" s="227"/>
      <c r="D48" s="227"/>
      <c r="E48" s="227"/>
      <c r="F48" s="227"/>
      <c r="G48" s="227"/>
      <c r="H48" s="227"/>
      <c r="I48" s="227"/>
      <c r="J48" s="227"/>
      <c r="K48" s="227"/>
      <c r="L48" s="227"/>
      <c r="M48" s="227"/>
      <c r="N48" s="227"/>
      <c r="O48" s="227"/>
      <c r="P48" s="227"/>
      <c r="Q48" s="227"/>
      <c r="R48" s="227"/>
      <c r="S48" s="227"/>
      <c r="T48" s="227"/>
      <c r="U48" s="227"/>
      <c r="V48" s="228"/>
    </row>
    <row r="49" spans="1:23" ht="18" customHeight="1">
      <c r="A49" s="184"/>
      <c r="B49" s="835" t="str">
        <f>B7</f>
        <v>T1</v>
      </c>
      <c r="C49" s="836"/>
      <c r="D49" s="1112" t="str">
        <f>D7</f>
        <v>Core1</v>
      </c>
      <c r="E49" s="1113"/>
      <c r="F49" s="255"/>
      <c r="H49" s="684" t="str">
        <f>H7</f>
        <v>(BCU+PQM)</v>
      </c>
      <c r="I49" s="684"/>
      <c r="J49" s="684"/>
      <c r="K49" s="684"/>
      <c r="L49" s="684"/>
      <c r="M49" s="684"/>
      <c r="P49" s="186"/>
      <c r="R49" s="255"/>
      <c r="S49" s="187" t="s">
        <v>387</v>
      </c>
      <c r="T49" s="1216" t="str">
        <f>T7</f>
        <v>REC670</v>
      </c>
      <c r="U49" s="1247"/>
      <c r="V49" s="185"/>
    </row>
    <row r="50" spans="1:23" ht="18" customHeight="1">
      <c r="A50" s="184"/>
      <c r="B50" s="1118">
        <f>B8</f>
        <v>0</v>
      </c>
      <c r="C50" s="1118"/>
      <c r="D50" s="1114"/>
      <c r="E50" s="1115"/>
      <c r="F50" s="255"/>
      <c r="T50" s="1216">
        <f>T8</f>
        <v>0</v>
      </c>
      <c r="U50" s="1247"/>
      <c r="V50" s="185"/>
    </row>
    <row r="51" spans="1:23" ht="18" customHeight="1">
      <c r="A51" s="184"/>
      <c r="H51" s="708" t="s">
        <v>390</v>
      </c>
      <c r="I51" s="708"/>
      <c r="J51" s="789" t="s">
        <v>391</v>
      </c>
      <c r="K51" s="789"/>
      <c r="L51" s="790" t="s">
        <v>392</v>
      </c>
      <c r="M51" s="790"/>
      <c r="T51" s="1216">
        <f>T9</f>
        <v>0</v>
      </c>
      <c r="U51" s="1247"/>
      <c r="V51" s="185"/>
    </row>
    <row r="52" spans="1:23" ht="18" customHeight="1">
      <c r="A52" s="184"/>
      <c r="B52" s="47" t="s">
        <v>393</v>
      </c>
      <c r="H52" s="835">
        <f>H10</f>
        <v>3200</v>
      </c>
      <c r="I52" s="836"/>
      <c r="J52" s="843">
        <f>J10</f>
        <v>2800</v>
      </c>
      <c r="K52" s="844"/>
      <c r="L52" s="835" t="str">
        <f>L10</f>
        <v>-</v>
      </c>
      <c r="M52" s="836"/>
      <c r="N52" s="191" t="s">
        <v>342</v>
      </c>
      <c r="O52" s="488">
        <f>O10</f>
        <v>1</v>
      </c>
      <c r="P52" s="27" t="s">
        <v>8</v>
      </c>
      <c r="T52" s="1216"/>
      <c r="U52" s="1247"/>
      <c r="V52" s="185"/>
    </row>
    <row r="53" spans="1:23" ht="18" customHeight="1">
      <c r="A53" s="184"/>
      <c r="B53" s="47" t="s">
        <v>394</v>
      </c>
      <c r="H53" s="14"/>
      <c r="I53" s="14"/>
      <c r="J53" s="835">
        <f>H11</f>
        <v>0.5</v>
      </c>
      <c r="K53" s="836"/>
      <c r="L53" s="14"/>
      <c r="M53" s="14"/>
      <c r="V53" s="185"/>
    </row>
    <row r="54" spans="1:23" ht="18" customHeight="1">
      <c r="A54" s="184"/>
      <c r="B54" s="47" t="s">
        <v>396</v>
      </c>
      <c r="I54" s="120" t="s">
        <v>497</v>
      </c>
      <c r="J54" s="781">
        <v>4</v>
      </c>
      <c r="K54" s="782"/>
      <c r="L54" s="192" t="s">
        <v>333</v>
      </c>
      <c r="T54" s="295"/>
      <c r="U54" s="18"/>
      <c r="V54" s="185"/>
    </row>
    <row r="55" spans="1:23" ht="18" customHeight="1">
      <c r="A55" s="184"/>
      <c r="B55" s="30" t="s">
        <v>568</v>
      </c>
      <c r="I55" s="120" t="s">
        <v>569</v>
      </c>
      <c r="J55" s="781">
        <v>5</v>
      </c>
      <c r="K55" s="782"/>
      <c r="T55" s="295"/>
      <c r="U55" s="18"/>
      <c r="V55" s="185"/>
      <c r="W55" s="30" t="str">
        <f>J87</f>
        <v>Not suitable</v>
      </c>
    </row>
    <row r="56" spans="1:23" ht="18" customHeight="1">
      <c r="A56" s="184"/>
      <c r="B56" s="47" t="s">
        <v>562</v>
      </c>
      <c r="I56" s="120" t="s">
        <v>493</v>
      </c>
      <c r="J56" s="781">
        <v>25</v>
      </c>
      <c r="K56" s="782"/>
      <c r="L56" s="14" t="s">
        <v>157</v>
      </c>
      <c r="T56" s="295"/>
      <c r="U56" s="18"/>
      <c r="V56" s="185"/>
    </row>
    <row r="57" spans="1:23" ht="18" customHeight="1">
      <c r="A57" s="184"/>
      <c r="V57" s="185"/>
    </row>
    <row r="58" spans="1:23" ht="18" customHeight="1">
      <c r="A58" s="193" t="s">
        <v>404</v>
      </c>
      <c r="V58" s="185"/>
    </row>
    <row r="59" spans="1:23" ht="18" customHeight="1">
      <c r="A59" s="184"/>
      <c r="V59" s="185"/>
    </row>
    <row r="60" spans="1:23" ht="18" customHeight="1">
      <c r="A60" s="184"/>
      <c r="B60" s="135" t="s">
        <v>405</v>
      </c>
      <c r="C60" s="273"/>
      <c r="D60" s="139" t="str">
        <f>D18</f>
        <v>REC670</v>
      </c>
      <c r="E60" s="227"/>
      <c r="F60" s="227"/>
      <c r="G60" s="227"/>
      <c r="H60" s="138"/>
      <c r="I60" s="260" t="s">
        <v>127</v>
      </c>
      <c r="J60" s="1213">
        <f t="shared" ref="J60:J65" si="0">J18</f>
        <v>0.02</v>
      </c>
      <c r="K60" s="1252"/>
      <c r="L60" s="3" t="s">
        <v>157</v>
      </c>
      <c r="N60" s="197" t="s">
        <v>510</v>
      </c>
      <c r="V60" s="185"/>
    </row>
    <row r="61" spans="1:23" ht="18" customHeight="1">
      <c r="A61" s="184"/>
      <c r="B61" s="96" t="s">
        <v>405</v>
      </c>
      <c r="D61" s="296">
        <f>D19</f>
        <v>0</v>
      </c>
      <c r="I61" s="177" t="s">
        <v>127</v>
      </c>
      <c r="J61" s="1119">
        <f t="shared" si="0"/>
        <v>0</v>
      </c>
      <c r="K61" s="989"/>
      <c r="L61" s="198" t="s">
        <v>157</v>
      </c>
      <c r="P61" s="244"/>
      <c r="V61" s="185"/>
    </row>
    <row r="62" spans="1:23" ht="18" customHeight="1">
      <c r="A62" s="184"/>
      <c r="B62" s="96" t="s">
        <v>405</v>
      </c>
      <c r="C62" s="14"/>
      <c r="D62" s="47">
        <f>D20</f>
        <v>0</v>
      </c>
      <c r="E62" s="14"/>
      <c r="G62" s="199"/>
      <c r="H62" s="27"/>
      <c r="I62" s="101" t="s">
        <v>127</v>
      </c>
      <c r="J62" s="696">
        <f t="shared" si="0"/>
        <v>0</v>
      </c>
      <c r="K62" s="820"/>
      <c r="L62" s="202" t="s">
        <v>157</v>
      </c>
      <c r="N62" s="120" t="s">
        <v>491</v>
      </c>
      <c r="O62" s="27" t="s">
        <v>127</v>
      </c>
      <c r="P62" s="27" t="s">
        <v>511</v>
      </c>
      <c r="Q62" s="27" t="s">
        <v>315</v>
      </c>
      <c r="R62" s="27" t="s">
        <v>511</v>
      </c>
      <c r="S62" s="27" t="s">
        <v>315</v>
      </c>
      <c r="T62" s="27" t="s">
        <v>420</v>
      </c>
      <c r="V62" s="185"/>
    </row>
    <row r="63" spans="1:23" ht="18" customHeight="1">
      <c r="A63" s="184"/>
      <c r="B63" s="96" t="s">
        <v>405</v>
      </c>
      <c r="C63" s="14"/>
      <c r="D63" s="47">
        <f>T10</f>
        <v>0</v>
      </c>
      <c r="E63" s="14"/>
      <c r="G63" s="199"/>
      <c r="H63" s="27"/>
      <c r="I63" s="101" t="s">
        <v>127</v>
      </c>
      <c r="J63" s="696">
        <f t="shared" si="0"/>
        <v>0</v>
      </c>
      <c r="K63" s="820"/>
      <c r="L63" s="202" t="s">
        <v>157</v>
      </c>
      <c r="O63" s="27" t="s">
        <v>127</v>
      </c>
      <c r="P63" s="27">
        <f>O52</f>
        <v>1</v>
      </c>
      <c r="Q63" s="27" t="s">
        <v>315</v>
      </c>
      <c r="R63" s="27">
        <f>O52</f>
        <v>1</v>
      </c>
      <c r="S63" s="27" t="s">
        <v>315</v>
      </c>
      <c r="T63" s="27">
        <f>J54</f>
        <v>4</v>
      </c>
      <c r="V63" s="185"/>
    </row>
    <row r="64" spans="1:23" ht="18" customHeight="1">
      <c r="A64" s="184"/>
      <c r="B64" s="184" t="s">
        <v>412</v>
      </c>
      <c r="C64" s="14"/>
      <c r="D64" s="47"/>
      <c r="E64" s="14"/>
      <c r="H64" s="27"/>
      <c r="I64" s="101" t="s">
        <v>127</v>
      </c>
      <c r="J64" s="1120">
        <f t="shared" si="0"/>
        <v>1.0770224400000001</v>
      </c>
      <c r="K64" s="987"/>
      <c r="L64" s="297" t="s">
        <v>157</v>
      </c>
      <c r="O64" s="27" t="s">
        <v>127</v>
      </c>
      <c r="P64" s="795">
        <f>P63*R63*T63</f>
        <v>4</v>
      </c>
      <c r="Q64" s="684"/>
      <c r="R64" s="27" t="s">
        <v>157</v>
      </c>
      <c r="S64" s="27"/>
      <c r="T64" s="27"/>
      <c r="V64" s="185"/>
    </row>
    <row r="65" spans="1:22" ht="18" customHeight="1">
      <c r="A65" s="184"/>
      <c r="B65" s="1" t="s">
        <v>413</v>
      </c>
      <c r="C65" s="2"/>
      <c r="D65" s="2"/>
      <c r="E65" s="2"/>
      <c r="F65" s="196"/>
      <c r="G65" s="196"/>
      <c r="H65" s="224" t="s">
        <v>512</v>
      </c>
      <c r="I65" s="183" t="s">
        <v>127</v>
      </c>
      <c r="J65" s="722">
        <f t="shared" si="0"/>
        <v>1.0970224400000002</v>
      </c>
      <c r="K65" s="958"/>
      <c r="L65" s="3" t="s">
        <v>157</v>
      </c>
      <c r="O65" s="27"/>
      <c r="P65" s="211"/>
      <c r="Q65" s="211"/>
      <c r="R65" s="192"/>
      <c r="V65" s="185"/>
    </row>
    <row r="66" spans="1:22" ht="18" customHeight="1">
      <c r="A66" s="184"/>
      <c r="B66" s="47"/>
      <c r="C66" s="47"/>
      <c r="D66" s="47"/>
      <c r="E66" s="47"/>
      <c r="H66" s="27"/>
      <c r="I66" s="28"/>
      <c r="J66" s="218"/>
      <c r="K66" s="27"/>
      <c r="L66" s="47"/>
      <c r="O66" s="27"/>
      <c r="P66" s="211"/>
      <c r="Q66" s="211"/>
      <c r="R66" s="192"/>
      <c r="V66" s="185"/>
    </row>
    <row r="67" spans="1:22" ht="18" customHeight="1">
      <c r="A67" s="184"/>
      <c r="B67" s="47" t="s">
        <v>545</v>
      </c>
      <c r="C67" s="47"/>
      <c r="D67" s="47"/>
      <c r="E67" s="47"/>
      <c r="H67" s="27"/>
      <c r="I67" s="28"/>
      <c r="J67" s="199"/>
      <c r="L67" s="47"/>
      <c r="N67" s="120" t="s">
        <v>423</v>
      </c>
      <c r="O67" s="28" t="s">
        <v>127</v>
      </c>
      <c r="P67" s="1251">
        <f>J52</f>
        <v>2800</v>
      </c>
      <c r="Q67" s="1251"/>
      <c r="R67" s="192" t="s">
        <v>8</v>
      </c>
      <c r="V67" s="185"/>
    </row>
    <row r="68" spans="1:22" ht="18" customHeight="1">
      <c r="A68" s="184"/>
      <c r="B68" s="47" t="s">
        <v>547</v>
      </c>
      <c r="C68" s="47"/>
      <c r="D68" s="47"/>
      <c r="E68" s="47"/>
      <c r="H68" s="27"/>
      <c r="I68" s="28"/>
      <c r="J68" s="199"/>
      <c r="L68" s="47"/>
      <c r="N68" s="120" t="s">
        <v>572</v>
      </c>
      <c r="O68" s="28" t="s">
        <v>127</v>
      </c>
      <c r="P68" s="1251">
        <f>J54</f>
        <v>4</v>
      </c>
      <c r="Q68" s="1251"/>
      <c r="R68" s="304" t="s">
        <v>157</v>
      </c>
      <c r="V68" s="185"/>
    </row>
    <row r="69" spans="1:22" ht="18" customHeight="1">
      <c r="A69" s="184"/>
      <c r="B69" s="47" t="s">
        <v>548</v>
      </c>
      <c r="C69" s="47"/>
      <c r="D69" s="47"/>
      <c r="E69" s="47"/>
      <c r="H69" s="27"/>
      <c r="I69" s="28"/>
      <c r="J69" s="199"/>
      <c r="L69" s="47"/>
      <c r="N69" s="120" t="s">
        <v>573</v>
      </c>
      <c r="O69" s="28" t="s">
        <v>127</v>
      </c>
      <c r="P69" s="1072">
        <f>J65</f>
        <v>1.0970224400000002</v>
      </c>
      <c r="Q69" s="1251"/>
      <c r="R69" s="304" t="s">
        <v>157</v>
      </c>
      <c r="V69" s="185"/>
    </row>
    <row r="70" spans="1:22" ht="18" customHeight="1">
      <c r="A70" s="184"/>
      <c r="B70" s="47" t="s">
        <v>549</v>
      </c>
      <c r="C70" s="47"/>
      <c r="D70" s="47"/>
      <c r="E70" s="47"/>
      <c r="H70" s="27"/>
      <c r="I70" s="28"/>
      <c r="J70" s="199"/>
      <c r="L70" s="47"/>
      <c r="N70" s="120" t="s">
        <v>511</v>
      </c>
      <c r="O70" s="28" t="s">
        <v>127</v>
      </c>
      <c r="P70" s="1251">
        <f>O52</f>
        <v>1</v>
      </c>
      <c r="Q70" s="1251"/>
      <c r="R70" s="192" t="s">
        <v>8</v>
      </c>
      <c r="V70" s="185"/>
    </row>
    <row r="71" spans="1:22" ht="18" customHeight="1">
      <c r="A71" s="184"/>
      <c r="B71" s="47" t="s">
        <v>574</v>
      </c>
      <c r="C71" s="47"/>
      <c r="D71" s="47"/>
      <c r="E71" s="47"/>
      <c r="H71" s="27"/>
      <c r="I71" s="28"/>
      <c r="J71" s="199"/>
      <c r="L71" s="47"/>
      <c r="N71" s="120" t="s">
        <v>495</v>
      </c>
      <c r="O71" s="28" t="s">
        <v>127</v>
      </c>
      <c r="P71" s="1251">
        <v>10</v>
      </c>
      <c r="Q71" s="1251"/>
      <c r="R71" s="192"/>
      <c r="V71" s="185"/>
    </row>
    <row r="72" spans="1:22" ht="18" customHeight="1">
      <c r="A72" s="184"/>
      <c r="B72" s="47" t="s">
        <v>577</v>
      </c>
      <c r="C72" s="47"/>
      <c r="D72" s="47"/>
      <c r="E72" s="47"/>
      <c r="H72" s="27"/>
      <c r="I72" s="28"/>
      <c r="J72" s="199"/>
      <c r="L72" s="47"/>
      <c r="O72" s="28" t="s">
        <v>127</v>
      </c>
      <c r="P72" s="1072">
        <v>25</v>
      </c>
      <c r="Q72" s="1072"/>
      <c r="R72" s="192" t="s">
        <v>129</v>
      </c>
      <c r="S72" s="14" t="s">
        <v>170</v>
      </c>
      <c r="V72" s="185"/>
    </row>
    <row r="73" spans="1:22" ht="18" hidden="1" customHeight="1">
      <c r="A73" s="184"/>
      <c r="B73" s="47"/>
      <c r="C73" s="47"/>
      <c r="D73" s="47"/>
      <c r="E73" s="47"/>
      <c r="H73" s="27"/>
      <c r="I73" s="28"/>
      <c r="J73" s="218"/>
      <c r="K73" s="27"/>
      <c r="L73" s="47"/>
      <c r="O73" s="27"/>
      <c r="P73" s="211"/>
      <c r="Q73" s="211"/>
      <c r="R73" s="192"/>
      <c r="V73" s="185"/>
    </row>
    <row r="74" spans="1:22" ht="18" customHeight="1">
      <c r="A74" s="184"/>
      <c r="B74" s="47"/>
      <c r="C74" s="47" t="s">
        <v>579</v>
      </c>
      <c r="D74" s="47"/>
      <c r="E74" s="47"/>
      <c r="H74" s="27"/>
      <c r="I74" s="28"/>
      <c r="J74" s="199"/>
      <c r="L74" s="47"/>
      <c r="O74" s="27"/>
      <c r="P74" s="211"/>
      <c r="Q74" s="305" t="s">
        <v>580</v>
      </c>
      <c r="R74" s="102" t="s">
        <v>127</v>
      </c>
      <c r="S74" s="775">
        <v>25</v>
      </c>
      <c r="T74" s="776"/>
      <c r="V74" s="185" t="s">
        <v>129</v>
      </c>
    </row>
    <row r="75" spans="1:22" ht="18" customHeight="1">
      <c r="A75" s="184"/>
      <c r="B75" s="47"/>
      <c r="C75" s="47" t="s">
        <v>581</v>
      </c>
      <c r="D75" s="47"/>
      <c r="E75" s="47"/>
      <c r="H75" s="27"/>
      <c r="I75" s="28" t="s">
        <v>127</v>
      </c>
      <c r="J75" s="281" t="s">
        <v>582</v>
      </c>
      <c r="L75" s="47"/>
      <c r="O75" s="27"/>
      <c r="P75" s="28" t="s">
        <v>347</v>
      </c>
      <c r="Q75" s="14" t="s">
        <v>583</v>
      </c>
      <c r="R75" s="192"/>
      <c r="V75" s="185"/>
    </row>
    <row r="76" spans="1:22" ht="18" customHeight="1">
      <c r="A76" s="184"/>
      <c r="I76" s="28" t="s">
        <v>127</v>
      </c>
      <c r="J76" s="795">
        <f>J65</f>
        <v>1.0970224400000002</v>
      </c>
      <c r="K76" s="684"/>
      <c r="L76" s="28"/>
      <c r="M76" s="795"/>
      <c r="N76" s="684"/>
      <c r="V76" s="185"/>
    </row>
    <row r="77" spans="1:22" ht="18" customHeight="1">
      <c r="A77" s="184"/>
      <c r="I77" s="28"/>
      <c r="J77" s="204"/>
      <c r="V77" s="185"/>
    </row>
    <row r="78" spans="1:22" ht="18" customHeight="1">
      <c r="A78" s="184"/>
      <c r="F78" s="244"/>
      <c r="H78" s="120" t="s">
        <v>105</v>
      </c>
      <c r="I78" s="27" t="s">
        <v>127</v>
      </c>
      <c r="J78" s="27" t="s">
        <v>569</v>
      </c>
      <c r="K78" s="27" t="s">
        <v>554</v>
      </c>
      <c r="L78" s="120" t="s">
        <v>491</v>
      </c>
      <c r="M78" s="28" t="s">
        <v>347</v>
      </c>
      <c r="N78" s="120" t="s">
        <v>493</v>
      </c>
      <c r="O78" s="28" t="s">
        <v>539</v>
      </c>
      <c r="P78" s="120" t="s">
        <v>491</v>
      </c>
      <c r="Q78" s="28" t="s">
        <v>347</v>
      </c>
      <c r="R78" s="120" t="s">
        <v>512</v>
      </c>
      <c r="S78" s="296" t="s">
        <v>350</v>
      </c>
      <c r="V78" s="185"/>
    </row>
    <row r="79" spans="1:22" ht="18" customHeight="1">
      <c r="A79" s="184"/>
      <c r="I79" s="27" t="s">
        <v>127</v>
      </c>
      <c r="J79" s="245">
        <f>J55</f>
        <v>5</v>
      </c>
      <c r="K79" s="245" t="s">
        <v>554</v>
      </c>
      <c r="L79" s="301">
        <f>P64</f>
        <v>4</v>
      </c>
      <c r="M79" s="245" t="s">
        <v>347</v>
      </c>
      <c r="N79" s="242">
        <f>J56</f>
        <v>25</v>
      </c>
      <c r="O79" s="245" t="s">
        <v>539</v>
      </c>
      <c r="P79" s="301">
        <f>P64</f>
        <v>4</v>
      </c>
      <c r="Q79" s="245" t="s">
        <v>347</v>
      </c>
      <c r="R79" s="301">
        <f>J65</f>
        <v>1.0970224400000002</v>
      </c>
      <c r="S79" s="296" t="s">
        <v>350</v>
      </c>
      <c r="V79" s="185"/>
    </row>
    <row r="80" spans="1:22" ht="18" customHeight="1">
      <c r="A80" s="184"/>
      <c r="I80" s="27" t="s">
        <v>127</v>
      </c>
      <c r="J80" s="1111">
        <f>J79*((L79+N79)/(P79+R79))</f>
        <v>28.447981484656758</v>
      </c>
      <c r="K80" s="1111"/>
      <c r="L80" s="242"/>
      <c r="M80" s="242"/>
      <c r="N80" s="242"/>
      <c r="O80" s="242"/>
      <c r="P80" s="242"/>
      <c r="Q80" s="242"/>
      <c r="R80" s="242"/>
      <c r="V80" s="185"/>
    </row>
    <row r="81" spans="1:22" ht="18" customHeight="1">
      <c r="A81" s="96" t="s">
        <v>584</v>
      </c>
      <c r="I81" s="28"/>
      <c r="J81" s="211"/>
      <c r="K81" s="27"/>
      <c r="V81" s="185"/>
    </row>
    <row r="82" spans="1:22" ht="18" customHeight="1">
      <c r="A82" s="184"/>
      <c r="B82" s="28">
        <v>1</v>
      </c>
      <c r="D82" s="14"/>
      <c r="H82" s="120" t="s">
        <v>492</v>
      </c>
      <c r="I82" s="28" t="s">
        <v>476</v>
      </c>
      <c r="J82" s="47" t="s">
        <v>104</v>
      </c>
      <c r="S82" s="14" t="s">
        <v>585</v>
      </c>
      <c r="V82" s="185"/>
    </row>
    <row r="83" spans="1:22" ht="18" customHeight="1">
      <c r="A83" s="184"/>
      <c r="G83" s="684">
        <f>J56</f>
        <v>25</v>
      </c>
      <c r="H83" s="684"/>
      <c r="I83" s="27" t="str">
        <f>IF(G83&gt;J83,"&gt;","&lt;")</f>
        <v>&gt;</v>
      </c>
      <c r="J83" s="795">
        <f>J76</f>
        <v>1.0970224400000002</v>
      </c>
      <c r="K83" s="684"/>
      <c r="S83" s="186" t="str">
        <f>IF(G83&gt;J83,"Satisfied","Not satisfied")</f>
        <v>Satisfied</v>
      </c>
      <c r="V83" s="185"/>
    </row>
    <row r="84" spans="1:22" ht="18" customHeight="1">
      <c r="A84" s="184"/>
      <c r="D84" s="14"/>
      <c r="H84" s="120"/>
      <c r="I84" s="27"/>
      <c r="R84" s="14"/>
      <c r="V84" s="185"/>
    </row>
    <row r="85" spans="1:22" ht="18" customHeight="1">
      <c r="A85" s="184"/>
      <c r="B85" s="28">
        <v>2</v>
      </c>
      <c r="D85" s="14"/>
      <c r="H85" s="244" t="s">
        <v>586</v>
      </c>
      <c r="I85" s="28" t="s">
        <v>476</v>
      </c>
      <c r="J85" s="14" t="s">
        <v>105</v>
      </c>
      <c r="K85" s="14"/>
      <c r="S85" s="14" t="s">
        <v>587</v>
      </c>
      <c r="V85" s="185"/>
    </row>
    <row r="86" spans="1:22" ht="18" customHeight="1">
      <c r="A86" s="184"/>
      <c r="D86" s="14"/>
      <c r="G86" s="795">
        <f>P72</f>
        <v>25</v>
      </c>
      <c r="H86" s="795"/>
      <c r="I86" s="27" t="str">
        <f>IF(G86&gt;J86,"&gt;","&lt;")</f>
        <v>&lt;</v>
      </c>
      <c r="J86" s="795">
        <f>J80</f>
        <v>28.447981484656758</v>
      </c>
      <c r="K86" s="795"/>
      <c r="R86" s="14"/>
      <c r="S86" s="186" t="str">
        <f>IF(G86&gt;J86,"Satisfied","Not satisfied")</f>
        <v>Not satisfied</v>
      </c>
      <c r="V86" s="185"/>
    </row>
    <row r="87" spans="1:22" ht="18" customHeight="1">
      <c r="A87" s="184"/>
      <c r="D87" s="47"/>
      <c r="H87" s="244" t="s">
        <v>478</v>
      </c>
      <c r="J87" s="18" t="str">
        <f>IF(AND(I83="&gt;",I86="&gt;")=TRUE,"Suitably Dimensioned","Not suitable")</f>
        <v>Not suitable</v>
      </c>
      <c r="O87" s="27"/>
      <c r="P87" s="211"/>
      <c r="Q87" s="211"/>
      <c r="R87" s="192"/>
      <c r="V87" s="185"/>
    </row>
    <row r="88" spans="1:22" ht="18" customHeight="1">
      <c r="A88" s="290"/>
      <c r="B88" s="196"/>
      <c r="C88" s="196"/>
      <c r="D88" s="2"/>
      <c r="E88" s="196"/>
      <c r="F88" s="196"/>
      <c r="G88" s="196"/>
      <c r="H88" s="306"/>
      <c r="I88" s="196"/>
      <c r="J88" s="195"/>
      <c r="K88" s="196"/>
      <c r="L88" s="196"/>
      <c r="M88" s="196"/>
      <c r="N88" s="196"/>
      <c r="O88" s="307"/>
      <c r="P88" s="308"/>
      <c r="Q88" s="308"/>
      <c r="R88" s="309"/>
      <c r="S88" s="196"/>
      <c r="T88" s="196"/>
      <c r="U88" s="196"/>
      <c r="V88" s="291"/>
    </row>
    <row r="89" spans="1:22" ht="18" hidden="1" customHeight="1">
      <c r="A89" s="184"/>
      <c r="D89" s="47"/>
      <c r="H89" s="244"/>
      <c r="J89" s="14"/>
      <c r="O89" s="27"/>
      <c r="P89" s="211"/>
      <c r="Q89" s="211"/>
      <c r="R89" s="192"/>
      <c r="V89" s="185"/>
    </row>
    <row r="90" spans="1:22" s="14" customFormat="1" ht="18" hidden="1" customHeight="1">
      <c r="A90" s="194"/>
      <c r="B90" s="195"/>
      <c r="C90" s="195"/>
      <c r="D90" s="195"/>
      <c r="E90" s="195"/>
      <c r="F90" s="195"/>
      <c r="G90" s="195"/>
      <c r="H90" s="195"/>
      <c r="I90" s="195"/>
      <c r="J90" s="195"/>
      <c r="K90" s="195"/>
      <c r="L90" s="195"/>
      <c r="M90" s="195"/>
      <c r="N90" s="195"/>
      <c r="O90" s="195"/>
      <c r="P90" s="195"/>
      <c r="Q90" s="224"/>
      <c r="R90" s="182"/>
      <c r="S90" s="225"/>
      <c r="T90" s="195"/>
      <c r="U90" s="195"/>
      <c r="V90" s="134"/>
    </row>
    <row r="91" spans="1:22" ht="18" hidden="1" customHeight="1">
      <c r="A91" s="226"/>
      <c r="B91" s="227"/>
      <c r="C91" s="227"/>
      <c r="D91" s="227"/>
      <c r="E91" s="227"/>
      <c r="F91" s="227"/>
      <c r="G91" s="227"/>
      <c r="H91" s="227"/>
      <c r="I91" s="227"/>
      <c r="J91" s="227"/>
      <c r="K91" s="227"/>
      <c r="L91" s="227"/>
      <c r="M91" s="227"/>
      <c r="N91" s="227"/>
      <c r="O91" s="227"/>
      <c r="P91" s="227"/>
      <c r="Q91" s="227"/>
      <c r="R91" s="227"/>
      <c r="S91" s="227"/>
      <c r="T91" s="227"/>
      <c r="U91" s="227"/>
      <c r="V91" s="228"/>
    </row>
    <row r="92" spans="1:22" ht="18" hidden="1" customHeight="1">
      <c r="A92" s="184"/>
      <c r="B92" s="854" t="str">
        <f>B49</f>
        <v>T1</v>
      </c>
      <c r="C92" s="831"/>
      <c r="D92" s="855" t="str">
        <f>D49</f>
        <v>Core1</v>
      </c>
      <c r="E92" s="856"/>
      <c r="F92" s="255"/>
      <c r="H92" s="684" t="str">
        <f>H49</f>
        <v>(BCU+PQM)</v>
      </c>
      <c r="I92" s="684"/>
      <c r="J92" s="684"/>
      <c r="K92" s="684"/>
      <c r="L92" s="684"/>
      <c r="M92" s="684"/>
      <c r="P92" s="186"/>
      <c r="V92" s="185"/>
    </row>
    <row r="93" spans="1:22" ht="18" hidden="1" customHeight="1">
      <c r="A93" s="184"/>
      <c r="B93" s="853">
        <f>B50</f>
        <v>0</v>
      </c>
      <c r="C93" s="853"/>
      <c r="D93" s="857"/>
      <c r="E93" s="858"/>
      <c r="F93" s="255"/>
      <c r="V93" s="185"/>
    </row>
    <row r="94" spans="1:22" ht="18" hidden="1" customHeight="1">
      <c r="A94" s="184"/>
      <c r="H94" s="708" t="s">
        <v>390</v>
      </c>
      <c r="I94" s="708"/>
      <c r="J94" s="708" t="s">
        <v>391</v>
      </c>
      <c r="K94" s="708"/>
      <c r="L94" s="789" t="s">
        <v>392</v>
      </c>
      <c r="M94" s="789"/>
      <c r="V94" s="185"/>
    </row>
    <row r="95" spans="1:22" ht="18" hidden="1" customHeight="1">
      <c r="A95" s="184"/>
      <c r="B95" s="47" t="s">
        <v>393</v>
      </c>
      <c r="H95" s="854">
        <f>H52</f>
        <v>3200</v>
      </c>
      <c r="I95" s="831"/>
      <c r="J95" s="854">
        <f>J52</f>
        <v>2800</v>
      </c>
      <c r="K95" s="831"/>
      <c r="L95" s="863" t="str">
        <f>L52</f>
        <v>-</v>
      </c>
      <c r="M95" s="864"/>
      <c r="N95" s="191" t="s">
        <v>342</v>
      </c>
      <c r="O95" s="256">
        <f>O52</f>
        <v>1</v>
      </c>
      <c r="P95" s="27" t="s">
        <v>8</v>
      </c>
      <c r="V95" s="185"/>
    </row>
    <row r="96" spans="1:22" ht="18" hidden="1" customHeight="1">
      <c r="A96" s="184"/>
      <c r="B96" s="47" t="s">
        <v>394</v>
      </c>
      <c r="H96" s="14"/>
      <c r="I96" s="14"/>
      <c r="K96" s="14"/>
      <c r="L96" s="854">
        <f>J53</f>
        <v>0.5</v>
      </c>
      <c r="M96" s="831"/>
      <c r="N96" s="14"/>
      <c r="V96" s="185"/>
    </row>
    <row r="97" spans="1:23" ht="18" hidden="1" customHeight="1">
      <c r="A97" s="184"/>
      <c r="B97" s="47" t="s">
        <v>396</v>
      </c>
      <c r="I97" s="120"/>
      <c r="K97" s="120" t="s">
        <v>497</v>
      </c>
      <c r="L97" s="781" t="s">
        <v>6</v>
      </c>
      <c r="M97" s="782"/>
      <c r="N97" s="192" t="s">
        <v>333</v>
      </c>
      <c r="T97" s="295"/>
      <c r="U97" s="18"/>
      <c r="V97" s="185"/>
    </row>
    <row r="98" spans="1:23" ht="18" hidden="1" customHeight="1">
      <c r="A98" s="184"/>
      <c r="B98" s="30" t="s">
        <v>568</v>
      </c>
      <c r="I98" s="120"/>
      <c r="K98" s="120" t="s">
        <v>569</v>
      </c>
      <c r="L98" s="781" t="s">
        <v>6</v>
      </c>
      <c r="M98" s="782"/>
      <c r="T98" s="295"/>
      <c r="U98" s="18"/>
      <c r="V98" s="185"/>
      <c r="W98" s="30" t="e">
        <f>J127</f>
        <v>#VALUE!</v>
      </c>
    </row>
    <row r="99" spans="1:23" ht="18" hidden="1" customHeight="1">
      <c r="A99" s="184"/>
      <c r="B99" s="47" t="s">
        <v>562</v>
      </c>
      <c r="I99" s="120"/>
      <c r="K99" s="120" t="s">
        <v>493</v>
      </c>
      <c r="L99" s="781" t="s">
        <v>6</v>
      </c>
      <c r="M99" s="782"/>
      <c r="N99" s="14" t="s">
        <v>157</v>
      </c>
      <c r="T99" s="295"/>
      <c r="U99" s="18"/>
      <c r="V99" s="185"/>
    </row>
    <row r="100" spans="1:23" ht="18" hidden="1" customHeight="1">
      <c r="A100" s="184"/>
      <c r="V100" s="185"/>
    </row>
    <row r="101" spans="1:23" ht="18" hidden="1" customHeight="1">
      <c r="A101" s="193" t="s">
        <v>404</v>
      </c>
      <c r="V101" s="185"/>
    </row>
    <row r="102" spans="1:23" ht="18" hidden="1" customHeight="1">
      <c r="A102" s="184"/>
      <c r="V102" s="185"/>
    </row>
    <row r="103" spans="1:23" ht="18" hidden="1" customHeight="1">
      <c r="A103" s="184"/>
      <c r="B103" s="135" t="s">
        <v>405</v>
      </c>
      <c r="C103" s="273"/>
      <c r="D103" s="139" t="str">
        <f>D60</f>
        <v>REC670</v>
      </c>
      <c r="E103" s="227"/>
      <c r="F103" s="227"/>
      <c r="G103" s="227"/>
      <c r="H103" s="138"/>
      <c r="I103" s="260" t="s">
        <v>127</v>
      </c>
      <c r="J103" s="722">
        <f t="shared" ref="J103:J108" si="1">J60</f>
        <v>0.02</v>
      </c>
      <c r="K103" s="958"/>
      <c r="L103" s="3" t="s">
        <v>157</v>
      </c>
      <c r="N103" s="197" t="s">
        <v>510</v>
      </c>
      <c r="V103" s="185"/>
    </row>
    <row r="104" spans="1:23" ht="18" hidden="1" customHeight="1">
      <c r="A104" s="184"/>
      <c r="B104" s="96" t="s">
        <v>405</v>
      </c>
      <c r="D104" s="296">
        <f>D61</f>
        <v>0</v>
      </c>
      <c r="I104" s="177" t="s">
        <v>127</v>
      </c>
      <c r="J104" s="1119">
        <f t="shared" si="1"/>
        <v>0</v>
      </c>
      <c r="K104" s="989"/>
      <c r="L104" s="198" t="s">
        <v>157</v>
      </c>
      <c r="P104" s="244"/>
      <c r="V104" s="185"/>
    </row>
    <row r="105" spans="1:23" ht="18" hidden="1" customHeight="1">
      <c r="A105" s="184"/>
      <c r="B105" s="96" t="s">
        <v>405</v>
      </c>
      <c r="C105" s="14"/>
      <c r="D105" s="47">
        <f>D62</f>
        <v>0</v>
      </c>
      <c r="E105" s="14"/>
      <c r="G105" s="199"/>
      <c r="H105" s="27"/>
      <c r="I105" s="101" t="s">
        <v>127</v>
      </c>
      <c r="J105" s="696">
        <f t="shared" si="1"/>
        <v>0</v>
      </c>
      <c r="K105" s="820"/>
      <c r="L105" s="202" t="s">
        <v>157</v>
      </c>
      <c r="N105" s="120" t="s">
        <v>491</v>
      </c>
      <c r="O105" s="27" t="s">
        <v>127</v>
      </c>
      <c r="P105" s="27" t="s">
        <v>511</v>
      </c>
      <c r="Q105" s="27" t="s">
        <v>315</v>
      </c>
      <c r="R105" s="27" t="s">
        <v>511</v>
      </c>
      <c r="S105" s="27" t="s">
        <v>315</v>
      </c>
      <c r="T105" s="27" t="s">
        <v>420</v>
      </c>
      <c r="V105" s="185"/>
    </row>
    <row r="106" spans="1:23" ht="18" hidden="1" customHeight="1">
      <c r="A106" s="184"/>
      <c r="B106" s="96" t="s">
        <v>405</v>
      </c>
      <c r="C106" s="14"/>
      <c r="D106" s="47">
        <f>T10</f>
        <v>0</v>
      </c>
      <c r="E106" s="14"/>
      <c r="G106" s="199"/>
      <c r="H106" s="27"/>
      <c r="I106" s="101" t="s">
        <v>127</v>
      </c>
      <c r="J106" s="696">
        <f t="shared" si="1"/>
        <v>0</v>
      </c>
      <c r="K106" s="820"/>
      <c r="L106" s="202" t="s">
        <v>157</v>
      </c>
      <c r="O106" s="27" t="s">
        <v>127</v>
      </c>
      <c r="P106" s="27">
        <f>O95</f>
        <v>1</v>
      </c>
      <c r="Q106" s="27" t="s">
        <v>315</v>
      </c>
      <c r="R106" s="27">
        <f>O95</f>
        <v>1</v>
      </c>
      <c r="S106" s="27" t="s">
        <v>315</v>
      </c>
      <c r="T106" s="27" t="str">
        <f>L97</f>
        <v>-</v>
      </c>
      <c r="V106" s="185"/>
    </row>
    <row r="107" spans="1:23" ht="18" hidden="1" customHeight="1">
      <c r="A107" s="184"/>
      <c r="B107" s="184" t="s">
        <v>412</v>
      </c>
      <c r="C107" s="14"/>
      <c r="D107" s="47"/>
      <c r="E107" s="14"/>
      <c r="H107" s="27"/>
      <c r="I107" s="101" t="s">
        <v>127</v>
      </c>
      <c r="J107" s="1120">
        <f t="shared" si="1"/>
        <v>1.0770224400000001</v>
      </c>
      <c r="K107" s="987"/>
      <c r="L107" s="297" t="s">
        <v>157</v>
      </c>
      <c r="O107" s="27" t="s">
        <v>127</v>
      </c>
      <c r="P107" s="795" t="e">
        <f>P106*R106*T106</f>
        <v>#VALUE!</v>
      </c>
      <c r="Q107" s="684"/>
      <c r="R107" s="27" t="s">
        <v>157</v>
      </c>
      <c r="S107" s="27"/>
      <c r="T107" s="27"/>
      <c r="V107" s="185"/>
    </row>
    <row r="108" spans="1:23" ht="18" hidden="1" customHeight="1">
      <c r="A108" s="184"/>
      <c r="B108" s="1" t="s">
        <v>413</v>
      </c>
      <c r="C108" s="2"/>
      <c r="D108" s="2"/>
      <c r="E108" s="2"/>
      <c r="F108" s="196"/>
      <c r="G108" s="196"/>
      <c r="H108" s="224" t="s">
        <v>512</v>
      </c>
      <c r="I108" s="183" t="s">
        <v>127</v>
      </c>
      <c r="J108" s="766">
        <f t="shared" si="1"/>
        <v>1.0970224400000002</v>
      </c>
      <c r="K108" s="958"/>
      <c r="L108" s="3" t="s">
        <v>157</v>
      </c>
      <c r="O108" s="27"/>
      <c r="P108" s="211"/>
      <c r="Q108" s="211"/>
      <c r="R108" s="192"/>
      <c r="V108" s="185"/>
    </row>
    <row r="109" spans="1:23" ht="18" hidden="1" customHeight="1">
      <c r="A109" s="184"/>
      <c r="V109" s="185"/>
    </row>
    <row r="110" spans="1:23" ht="18" hidden="1" customHeight="1">
      <c r="A110" s="184"/>
      <c r="B110" s="47"/>
      <c r="C110" s="47" t="s">
        <v>579</v>
      </c>
      <c r="D110" s="47"/>
      <c r="E110" s="47"/>
      <c r="H110" s="27"/>
      <c r="I110" s="28"/>
      <c r="J110" s="199"/>
      <c r="L110" s="47"/>
      <c r="O110" s="27"/>
      <c r="P110" s="211"/>
      <c r="Q110" s="305" t="s">
        <v>580</v>
      </c>
      <c r="R110" s="102" t="s">
        <v>127</v>
      </c>
      <c r="S110" s="775">
        <f>S74</f>
        <v>25</v>
      </c>
      <c r="T110" s="776"/>
      <c r="V110" s="185"/>
    </row>
    <row r="111" spans="1:23" ht="18" hidden="1" customHeight="1">
      <c r="A111" s="184"/>
      <c r="B111" s="47"/>
      <c r="C111" s="47"/>
      <c r="D111" s="47"/>
      <c r="E111" s="47"/>
      <c r="H111" s="27"/>
      <c r="I111" s="28"/>
      <c r="J111" s="199"/>
      <c r="L111" s="47"/>
      <c r="O111" s="27"/>
      <c r="P111" s="211"/>
      <c r="Q111" s="211"/>
      <c r="R111" s="192"/>
      <c r="V111" s="185"/>
    </row>
    <row r="112" spans="1:23" ht="18" hidden="1" customHeight="1">
      <c r="A112" s="184"/>
      <c r="B112" s="47"/>
      <c r="C112" s="47" t="s">
        <v>581</v>
      </c>
      <c r="D112" s="47"/>
      <c r="E112" s="47"/>
      <c r="H112" s="27"/>
      <c r="I112" s="28" t="s">
        <v>127</v>
      </c>
      <c r="J112" s="281" t="s">
        <v>588</v>
      </c>
      <c r="L112" s="47"/>
      <c r="M112" s="28" t="s">
        <v>347</v>
      </c>
      <c r="N112" s="14" t="s">
        <v>589</v>
      </c>
      <c r="O112" s="27"/>
      <c r="P112" s="211"/>
      <c r="Q112" s="211"/>
      <c r="R112" s="192"/>
      <c r="V112" s="185"/>
    </row>
    <row r="113" spans="1:22" ht="18" hidden="1" customHeight="1">
      <c r="A113" s="184"/>
      <c r="I113" s="28" t="s">
        <v>127</v>
      </c>
      <c r="J113" s="795" t="e">
        <f>P107</f>
        <v>#VALUE!</v>
      </c>
      <c r="K113" s="684"/>
      <c r="L113" s="28" t="s">
        <v>347</v>
      </c>
      <c r="M113" s="795">
        <f>J108</f>
        <v>1.0970224400000002</v>
      </c>
      <c r="N113" s="684"/>
      <c r="V113" s="185"/>
    </row>
    <row r="114" spans="1:22" ht="18" hidden="1" customHeight="1">
      <c r="A114" s="184"/>
      <c r="I114" s="28" t="s">
        <v>127</v>
      </c>
      <c r="J114" s="795" t="e">
        <f>J113+M113</f>
        <v>#VALUE!</v>
      </c>
      <c r="K114" s="684"/>
      <c r="V114" s="185"/>
    </row>
    <row r="115" spans="1:22" ht="18" hidden="1" customHeight="1">
      <c r="A115" s="184"/>
      <c r="V115" s="185"/>
    </row>
    <row r="116" spans="1:22" ht="18" hidden="1" customHeight="1">
      <c r="A116" s="184"/>
      <c r="F116" s="244"/>
      <c r="H116" s="120" t="s">
        <v>105</v>
      </c>
      <c r="I116" s="27" t="s">
        <v>127</v>
      </c>
      <c r="J116" s="27" t="s">
        <v>569</v>
      </c>
      <c r="K116" s="27" t="s">
        <v>554</v>
      </c>
      <c r="L116" s="120" t="s">
        <v>491</v>
      </c>
      <c r="M116" s="28" t="s">
        <v>347</v>
      </c>
      <c r="N116" s="120" t="s">
        <v>493</v>
      </c>
      <c r="O116" s="28" t="s">
        <v>539</v>
      </c>
      <c r="P116" s="120" t="s">
        <v>491</v>
      </c>
      <c r="Q116" s="28" t="s">
        <v>347</v>
      </c>
      <c r="R116" s="120" t="s">
        <v>512</v>
      </c>
      <c r="S116" s="296" t="s">
        <v>350</v>
      </c>
      <c r="V116" s="185"/>
    </row>
    <row r="117" spans="1:22" ht="18" hidden="1" customHeight="1">
      <c r="A117" s="184"/>
      <c r="I117" s="27" t="s">
        <v>127</v>
      </c>
      <c r="J117" s="245" t="str">
        <f>L98</f>
        <v>-</v>
      </c>
      <c r="K117" s="245" t="s">
        <v>554</v>
      </c>
      <c r="L117" s="301" t="e">
        <f>P107</f>
        <v>#VALUE!</v>
      </c>
      <c r="M117" s="245" t="s">
        <v>347</v>
      </c>
      <c r="N117" s="242" t="str">
        <f>L99</f>
        <v>-</v>
      </c>
      <c r="O117" s="245" t="s">
        <v>539</v>
      </c>
      <c r="P117" s="301" t="e">
        <f>P107</f>
        <v>#VALUE!</v>
      </c>
      <c r="Q117" s="245" t="s">
        <v>347</v>
      </c>
      <c r="R117" s="301">
        <f>J108</f>
        <v>1.0970224400000002</v>
      </c>
      <c r="S117" s="296" t="s">
        <v>350</v>
      </c>
      <c r="V117" s="185"/>
    </row>
    <row r="118" spans="1:22" ht="18" hidden="1" customHeight="1">
      <c r="A118" s="184"/>
      <c r="I118" s="27" t="s">
        <v>127</v>
      </c>
      <c r="J118" s="1111" t="e">
        <f>J117*((L117+N117)/(P117+R117))</f>
        <v>#VALUE!</v>
      </c>
      <c r="K118" s="1111"/>
      <c r="L118" s="242"/>
      <c r="M118" s="242"/>
      <c r="N118" s="242"/>
      <c r="O118" s="242"/>
      <c r="P118" s="242"/>
      <c r="Q118" s="242"/>
      <c r="R118" s="242"/>
      <c r="V118" s="185"/>
    </row>
    <row r="119" spans="1:22" ht="18" hidden="1" customHeight="1">
      <c r="A119" s="184"/>
      <c r="I119" s="28"/>
      <c r="J119" s="211"/>
      <c r="K119" s="27"/>
      <c r="V119" s="185"/>
    </row>
    <row r="120" spans="1:22" ht="18" hidden="1" customHeight="1">
      <c r="A120" s="96" t="s">
        <v>584</v>
      </c>
      <c r="I120" s="28"/>
      <c r="J120" s="211"/>
      <c r="K120" s="27"/>
      <c r="V120" s="185"/>
    </row>
    <row r="121" spans="1:22" ht="18" hidden="1" customHeight="1">
      <c r="A121" s="184"/>
      <c r="B121" s="28">
        <v>1</v>
      </c>
      <c r="D121" s="14"/>
      <c r="H121" s="120" t="s">
        <v>492</v>
      </c>
      <c r="I121" s="28" t="s">
        <v>476</v>
      </c>
      <c r="J121" s="47" t="s">
        <v>104</v>
      </c>
      <c r="S121" s="14" t="s">
        <v>585</v>
      </c>
      <c r="V121" s="185"/>
    </row>
    <row r="122" spans="1:22" ht="18" hidden="1" customHeight="1">
      <c r="A122" s="184"/>
      <c r="G122" s="684" t="str">
        <f>L99</f>
        <v>-</v>
      </c>
      <c r="H122" s="684"/>
      <c r="I122" s="27" t="e">
        <f>IF(G122&gt;J122,"&gt;","&lt;")</f>
        <v>#VALUE!</v>
      </c>
      <c r="J122" s="795" t="e">
        <f>J114</f>
        <v>#VALUE!</v>
      </c>
      <c r="K122" s="684"/>
      <c r="S122" s="186" t="e">
        <f>IF(G122&gt;J122,"Satisfied","Not satisfied")</f>
        <v>#VALUE!</v>
      </c>
      <c r="V122" s="185"/>
    </row>
    <row r="123" spans="1:22" ht="18" hidden="1" customHeight="1">
      <c r="A123" s="184"/>
      <c r="D123" s="14"/>
      <c r="H123" s="120"/>
      <c r="I123" s="27"/>
      <c r="R123" s="14"/>
      <c r="V123" s="185"/>
    </row>
    <row r="124" spans="1:22" ht="18" hidden="1" customHeight="1">
      <c r="A124" s="184"/>
      <c r="B124" s="28">
        <v>2</v>
      </c>
      <c r="D124" s="14"/>
      <c r="H124" s="244" t="s">
        <v>586</v>
      </c>
      <c r="I124" s="28" t="s">
        <v>476</v>
      </c>
      <c r="J124" s="14" t="s">
        <v>105</v>
      </c>
      <c r="K124" s="14"/>
      <c r="S124" s="14" t="s">
        <v>587</v>
      </c>
      <c r="V124" s="185"/>
    </row>
    <row r="125" spans="1:22" ht="18" hidden="1" customHeight="1">
      <c r="A125" s="184"/>
      <c r="D125" s="14"/>
      <c r="G125" s="795">
        <f>S110</f>
        <v>25</v>
      </c>
      <c r="H125" s="795"/>
      <c r="I125" s="27" t="e">
        <f>IF(G125&gt;J125,"&gt;","&lt;")</f>
        <v>#VALUE!</v>
      </c>
      <c r="J125" s="795" t="e">
        <f>J118</f>
        <v>#VALUE!</v>
      </c>
      <c r="K125" s="795"/>
      <c r="R125" s="14"/>
      <c r="S125" s="186" t="e">
        <f>IF(G125&gt;J125,"Satisfied","Not satisfied")</f>
        <v>#VALUE!</v>
      </c>
      <c r="V125" s="185"/>
    </row>
    <row r="126" spans="1:22" ht="18" hidden="1" customHeight="1">
      <c r="A126" s="184"/>
      <c r="D126" s="47"/>
      <c r="I126" s="27"/>
      <c r="O126" s="27"/>
      <c r="P126" s="211"/>
      <c r="Q126" s="211"/>
      <c r="R126" s="192"/>
      <c r="V126" s="185"/>
    </row>
    <row r="127" spans="1:22" ht="18" hidden="1" customHeight="1">
      <c r="A127" s="184"/>
      <c r="D127" s="47"/>
      <c r="H127" s="244" t="s">
        <v>478</v>
      </c>
      <c r="J127" s="18" t="e">
        <f>IF(AND(I122="&gt;",I125="&gt;")=TRUE,"Suitably Dimentioned","Not suitable")</f>
        <v>#VALUE!</v>
      </c>
      <c r="O127" s="27"/>
      <c r="P127" s="211"/>
      <c r="Q127" s="211"/>
      <c r="R127" s="192"/>
      <c r="V127" s="185"/>
    </row>
    <row r="128" spans="1:22" ht="18" hidden="1" customHeight="1">
      <c r="A128" s="184"/>
      <c r="D128" s="47"/>
      <c r="H128" s="244"/>
      <c r="J128" s="18"/>
      <c r="O128" s="27"/>
      <c r="P128" s="211"/>
      <c r="Q128" s="211"/>
      <c r="R128" s="192"/>
      <c r="V128" s="185"/>
    </row>
    <row r="129" spans="1:22" ht="18" hidden="1" customHeight="1">
      <c r="A129" s="184"/>
      <c r="D129" s="47"/>
      <c r="H129" s="244"/>
      <c r="J129" s="18"/>
      <c r="O129" s="27"/>
      <c r="P129" s="211"/>
      <c r="Q129" s="211"/>
      <c r="R129" s="192"/>
      <c r="V129" s="185"/>
    </row>
    <row r="130" spans="1:22" ht="18" hidden="1" customHeight="1">
      <c r="A130" s="184"/>
      <c r="D130" s="47"/>
      <c r="H130" s="244"/>
      <c r="J130" s="18"/>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B133" s="47"/>
      <c r="C133" s="47"/>
      <c r="D133" s="47"/>
      <c r="E133" s="47"/>
      <c r="H133" s="27"/>
      <c r="I133" s="28"/>
      <c r="J133" s="199"/>
      <c r="L133" s="47"/>
      <c r="O133" s="27"/>
      <c r="P133" s="211"/>
      <c r="Q133" s="211"/>
      <c r="R133" s="192"/>
      <c r="V133" s="185"/>
    </row>
    <row r="134" spans="1:22" s="14" customFormat="1" ht="18" hidden="1" customHeight="1">
      <c r="A134" s="194"/>
      <c r="B134" s="195"/>
      <c r="C134" s="195"/>
      <c r="D134" s="195"/>
      <c r="E134" s="195"/>
      <c r="F134" s="195"/>
      <c r="G134" s="195"/>
      <c r="H134" s="195"/>
      <c r="I134" s="195"/>
      <c r="J134" s="195"/>
      <c r="K134" s="195"/>
      <c r="L134" s="195"/>
      <c r="M134" s="195"/>
      <c r="N134" s="195"/>
      <c r="O134" s="195"/>
      <c r="P134" s="195"/>
      <c r="Q134" s="224"/>
      <c r="R134" s="182"/>
      <c r="S134" s="225"/>
      <c r="T134" s="195"/>
      <c r="U134" s="195"/>
      <c r="V134" s="134" t="s">
        <v>552</v>
      </c>
    </row>
    <row r="135" spans="1:22" ht="18" hidden="1" customHeight="1">
      <c r="A135" s="226"/>
      <c r="B135" s="227"/>
      <c r="C135" s="227"/>
      <c r="D135" s="227"/>
      <c r="E135" s="227"/>
      <c r="F135" s="227"/>
      <c r="G135" s="227"/>
      <c r="H135" s="227"/>
      <c r="I135" s="227"/>
      <c r="J135" s="227"/>
      <c r="K135" s="227"/>
      <c r="L135" s="227"/>
      <c r="M135" s="227"/>
      <c r="N135" s="227"/>
      <c r="O135" s="227"/>
      <c r="P135" s="227"/>
      <c r="Q135" s="227"/>
      <c r="R135" s="227"/>
      <c r="S135" s="227"/>
      <c r="T135" s="227"/>
      <c r="U135" s="227"/>
      <c r="V135" s="228"/>
    </row>
    <row r="136" spans="1:22" ht="18" customHeight="1">
      <c r="A136" s="262" t="s">
        <v>532</v>
      </c>
      <c r="B136" s="14"/>
      <c r="C136" s="14"/>
      <c r="D136" s="120"/>
      <c r="E136" s="120"/>
      <c r="F136" s="18"/>
      <c r="G136" s="18"/>
      <c r="H136" s="14"/>
      <c r="I136" s="14"/>
      <c r="J136" s="14"/>
      <c r="K136" s="14"/>
      <c r="L136" s="14"/>
      <c r="M136" s="14"/>
      <c r="N136" s="14"/>
      <c r="O136" s="14"/>
      <c r="P136" s="28"/>
      <c r="Q136" s="120"/>
      <c r="R136" s="47"/>
      <c r="S136" s="206"/>
      <c r="T136" s="259"/>
      <c r="U136" s="14"/>
      <c r="V136" s="97"/>
    </row>
    <row r="137" spans="1:22" ht="18" customHeight="1">
      <c r="A137" s="955" t="s">
        <v>85</v>
      </c>
      <c r="B137" s="956"/>
      <c r="C137" s="957"/>
      <c r="D137" s="955" t="s">
        <v>86</v>
      </c>
      <c r="E137" s="956"/>
      <c r="F137" s="957"/>
      <c r="G137" s="955" t="s">
        <v>87</v>
      </c>
      <c r="H137" s="957"/>
      <c r="I137" s="955" t="s">
        <v>88</v>
      </c>
      <c r="J137" s="957"/>
      <c r="K137" s="955" t="s">
        <v>502</v>
      </c>
      <c r="L137" s="957"/>
      <c r="M137" s="955" t="s">
        <v>102</v>
      </c>
      <c r="N137" s="957"/>
      <c r="O137" s="955"/>
      <c r="P137" s="957"/>
      <c r="Q137" s="955" t="s">
        <v>505</v>
      </c>
      <c r="R137" s="957"/>
      <c r="S137" s="955" t="s">
        <v>93</v>
      </c>
      <c r="T137" s="956"/>
      <c r="U137" s="956"/>
      <c r="V137" s="957"/>
    </row>
    <row r="138" spans="1:22" ht="18" customHeight="1">
      <c r="A138" s="1125"/>
      <c r="B138" s="983"/>
      <c r="C138" s="1126"/>
      <c r="D138" s="1125"/>
      <c r="E138" s="983"/>
      <c r="F138" s="1126"/>
      <c r="G138" s="1125"/>
      <c r="H138" s="1126"/>
      <c r="I138" s="1125"/>
      <c r="J138" s="1126"/>
      <c r="K138" s="1125"/>
      <c r="L138" s="1126"/>
      <c r="M138" s="1125"/>
      <c r="N138" s="1126"/>
      <c r="O138" s="1125"/>
      <c r="P138" s="1126"/>
      <c r="Q138" s="1125"/>
      <c r="R138" s="1126"/>
      <c r="S138" s="1125"/>
      <c r="T138" s="983"/>
      <c r="U138" s="983"/>
      <c r="V138" s="1126"/>
    </row>
    <row r="139" spans="1:22" ht="18" customHeight="1">
      <c r="A139" s="1125"/>
      <c r="B139" s="983"/>
      <c r="C139" s="1126"/>
      <c r="D139" s="1125"/>
      <c r="E139" s="983"/>
      <c r="F139" s="1126"/>
      <c r="G139" s="1125"/>
      <c r="H139" s="1126"/>
      <c r="I139" s="1125"/>
      <c r="J139" s="1126"/>
      <c r="K139" s="1125"/>
      <c r="L139" s="1126"/>
      <c r="M139" s="1125"/>
      <c r="N139" s="1126"/>
      <c r="O139" s="1125"/>
      <c r="P139" s="1126"/>
      <c r="Q139" s="1125"/>
      <c r="R139" s="1126"/>
      <c r="S139" s="1125"/>
      <c r="T139" s="983"/>
      <c r="U139" s="983"/>
      <c r="V139" s="1126"/>
    </row>
    <row r="140" spans="1:22" ht="18" customHeight="1">
      <c r="A140" s="1047"/>
      <c r="B140" s="1048"/>
      <c r="C140" s="1049"/>
      <c r="D140" s="1047"/>
      <c r="E140" s="1048"/>
      <c r="F140" s="1049"/>
      <c r="G140" s="1047"/>
      <c r="H140" s="1049"/>
      <c r="I140" s="1047"/>
      <c r="J140" s="1049"/>
      <c r="K140" s="1047"/>
      <c r="L140" s="1049"/>
      <c r="M140" s="1047"/>
      <c r="N140" s="1049"/>
      <c r="O140" s="1047"/>
      <c r="P140" s="1049"/>
      <c r="Q140" s="1047"/>
      <c r="R140" s="1049"/>
      <c r="S140" s="1047"/>
      <c r="T140" s="1048"/>
      <c r="U140" s="1048"/>
      <c r="V140" s="1049"/>
    </row>
    <row r="141" spans="1:22" ht="18" customHeight="1">
      <c r="A141" s="765" t="str">
        <f>B92</f>
        <v>T1</v>
      </c>
      <c r="B141" s="765" t="str">
        <f>D92</f>
        <v>Core1</v>
      </c>
      <c r="C141" s="765"/>
      <c r="D141" s="870">
        <f>H95</f>
        <v>3200</v>
      </c>
      <c r="E141" s="870"/>
      <c r="F141" s="871">
        <f>O95</f>
        <v>1</v>
      </c>
      <c r="G141" s="961">
        <f>'CT-VT Burdens'!S21</f>
        <v>120</v>
      </c>
      <c r="H141" s="959">
        <f>'CT-VT Burdens'!S10</f>
        <v>6</v>
      </c>
      <c r="I141" s="874">
        <f>L96</f>
        <v>0.5</v>
      </c>
      <c r="J141" s="874"/>
      <c r="K141" s="869">
        <f>H12</f>
        <v>5</v>
      </c>
      <c r="L141" s="869"/>
      <c r="M141" s="869">
        <f>H14</f>
        <v>30</v>
      </c>
      <c r="N141" s="869"/>
      <c r="O141" s="870" t="s">
        <v>6</v>
      </c>
      <c r="P141" s="870"/>
      <c r="Q141" s="879" t="str">
        <f>CONCATENATE(T7," ",T8," ",T9," ",T10)</f>
        <v xml:space="preserve">REC670   </v>
      </c>
      <c r="R141" s="879"/>
      <c r="S141" s="878" t="str">
        <f>J46</f>
        <v>Not suitable</v>
      </c>
      <c r="T141" s="878"/>
      <c r="U141" s="878"/>
      <c r="V141" s="878"/>
    </row>
    <row r="142" spans="1:22" ht="18" customHeight="1">
      <c r="A142" s="765"/>
      <c r="B142" s="765"/>
      <c r="C142" s="765"/>
      <c r="D142" s="870">
        <f>J95</f>
        <v>2800</v>
      </c>
      <c r="E142" s="870"/>
      <c r="F142" s="872"/>
      <c r="G142" s="961"/>
      <c r="H142" s="959"/>
      <c r="I142" s="874"/>
      <c r="J142" s="874"/>
      <c r="K142" s="875">
        <f>J54</f>
        <v>4</v>
      </c>
      <c r="L142" s="869"/>
      <c r="M142" s="875">
        <f>J56</f>
        <v>25</v>
      </c>
      <c r="N142" s="869"/>
      <c r="O142" s="870" t="s">
        <v>6</v>
      </c>
      <c r="P142" s="870"/>
      <c r="Q142" s="879"/>
      <c r="R142" s="879"/>
      <c r="S142" s="877" t="str">
        <f>J87</f>
        <v>Not suitable</v>
      </c>
      <c r="T142" s="878"/>
      <c r="U142" s="878"/>
      <c r="V142" s="878"/>
    </row>
    <row r="143" spans="1:22" ht="18" customHeight="1">
      <c r="A143" s="765"/>
      <c r="B143" s="765"/>
      <c r="C143" s="765"/>
      <c r="D143" s="870" t="s">
        <v>6</v>
      </c>
      <c r="E143" s="870"/>
      <c r="F143" s="873"/>
      <c r="G143" s="961"/>
      <c r="H143" s="959"/>
      <c r="I143" s="874"/>
      <c r="J143" s="874"/>
      <c r="K143" s="869" t="s">
        <v>6</v>
      </c>
      <c r="L143" s="869"/>
      <c r="M143" s="869" t="s">
        <v>6</v>
      </c>
      <c r="N143" s="869"/>
      <c r="O143" s="870" t="s">
        <v>6</v>
      </c>
      <c r="P143" s="870"/>
      <c r="Q143" s="879"/>
      <c r="R143" s="879"/>
      <c r="S143" s="878" t="s">
        <v>6</v>
      </c>
      <c r="T143" s="878"/>
      <c r="U143" s="878"/>
      <c r="V143" s="878"/>
    </row>
    <row r="144" spans="1:22" ht="18" customHeight="1">
      <c r="A144" s="265"/>
      <c r="B144" s="239"/>
      <c r="C144" s="239"/>
      <c r="D144" s="239"/>
      <c r="E144" s="239"/>
      <c r="F144" s="239"/>
      <c r="G144" s="239"/>
      <c r="H144" s="239"/>
      <c r="I144" s="239"/>
      <c r="J144" s="93"/>
      <c r="K144" s="93"/>
      <c r="L144" s="239"/>
      <c r="M144" s="239"/>
      <c r="N144" s="239"/>
      <c r="O144" s="239"/>
      <c r="P144" s="239"/>
      <c r="Q144" s="239"/>
      <c r="R144" s="239"/>
      <c r="S144" s="239"/>
      <c r="T144" s="239"/>
      <c r="U144" s="103"/>
      <c r="V144" s="310"/>
    </row>
    <row r="145" spans="1:22" ht="18" customHeight="1">
      <c r="A145" s="265"/>
      <c r="B145" s="239"/>
      <c r="C145" s="239"/>
      <c r="D145" s="239"/>
      <c r="E145" s="239"/>
      <c r="F145" s="239"/>
      <c r="G145" s="239"/>
      <c r="H145" s="239"/>
      <c r="I145" s="239"/>
      <c r="J145" s="93"/>
      <c r="K145" s="93"/>
      <c r="L145" s="239"/>
      <c r="M145" s="239"/>
      <c r="N145" s="239"/>
      <c r="O145" s="239"/>
      <c r="P145" s="239"/>
      <c r="Q145" s="239"/>
      <c r="R145" s="239"/>
      <c r="S145" s="239"/>
      <c r="T145" s="239"/>
      <c r="U145" s="103"/>
      <c r="V145" s="310"/>
    </row>
    <row r="146" spans="1:22" ht="18" customHeight="1">
      <c r="A146" s="265"/>
      <c r="B146" s="239"/>
      <c r="C146" s="239"/>
      <c r="D146" s="239"/>
      <c r="E146" s="239"/>
      <c r="F146" s="239"/>
      <c r="G146" s="239"/>
      <c r="H146" s="239"/>
      <c r="I146" s="239"/>
      <c r="J146" s="93"/>
      <c r="K146" s="93"/>
      <c r="L146" s="239"/>
      <c r="M146" s="239"/>
      <c r="N146" s="239"/>
      <c r="O146" s="239"/>
      <c r="P146" s="239"/>
      <c r="Q146" s="239"/>
      <c r="R146" s="239"/>
      <c r="S146" s="239"/>
      <c r="T146" s="239"/>
      <c r="U146" s="103"/>
      <c r="V146" s="310"/>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184"/>
      <c r="V174" s="185"/>
    </row>
    <row r="175" spans="1:22" s="14" customFormat="1" ht="18" customHeight="1">
      <c r="A175" s="194"/>
      <c r="B175" s="195"/>
      <c r="C175" s="195"/>
      <c r="D175" s="195"/>
      <c r="E175" s="195"/>
      <c r="F175" s="195"/>
      <c r="G175" s="195"/>
      <c r="H175" s="195"/>
      <c r="I175" s="195"/>
      <c r="J175" s="195"/>
      <c r="K175" s="195"/>
      <c r="L175" s="195"/>
      <c r="M175" s="195"/>
      <c r="N175" s="195"/>
      <c r="O175" s="195"/>
      <c r="P175" s="195"/>
      <c r="Q175" s="224"/>
      <c r="R175" s="182"/>
      <c r="S175" s="225"/>
      <c r="T175" s="195"/>
      <c r="U175" s="195"/>
      <c r="V175" s="134"/>
    </row>
  </sheetData>
  <mergeCells count="156">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7"/>
    <mergeCell ref="D7:E7"/>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8:K38"/>
    <mergeCell ref="G42:H42"/>
    <mergeCell ref="J42:K42"/>
    <mergeCell ref="G45:H45"/>
    <mergeCell ref="J45:K45"/>
    <mergeCell ref="B49:C49"/>
    <mergeCell ref="D49:E50"/>
    <mergeCell ref="H49:M49"/>
    <mergeCell ref="P27:Q27"/>
    <mergeCell ref="P28:Q28"/>
    <mergeCell ref="P29:Q29"/>
    <mergeCell ref="P30:Q30"/>
    <mergeCell ref="H52:I52"/>
    <mergeCell ref="J52:K52"/>
    <mergeCell ref="L52:M52"/>
    <mergeCell ref="T52:U52"/>
    <mergeCell ref="J53:K53"/>
    <mergeCell ref="J54:K54"/>
    <mergeCell ref="T49:U49"/>
    <mergeCell ref="B50:C50"/>
    <mergeCell ref="T50:U50"/>
    <mergeCell ref="H51:I51"/>
    <mergeCell ref="J51:K51"/>
    <mergeCell ref="L51:M51"/>
    <mergeCell ref="T51:U51"/>
    <mergeCell ref="J64:K64"/>
    <mergeCell ref="P64:Q64"/>
    <mergeCell ref="J65:K65"/>
    <mergeCell ref="P67:Q67"/>
    <mergeCell ref="P68:Q68"/>
    <mergeCell ref="P69:Q69"/>
    <mergeCell ref="J55:K55"/>
    <mergeCell ref="J56:K56"/>
    <mergeCell ref="J60:K60"/>
    <mergeCell ref="J61:K61"/>
    <mergeCell ref="J62:K62"/>
    <mergeCell ref="J63:K63"/>
    <mergeCell ref="B92:C92"/>
    <mergeCell ref="D92:E93"/>
    <mergeCell ref="H92:M92"/>
    <mergeCell ref="B93:C93"/>
    <mergeCell ref="P70:Q70"/>
    <mergeCell ref="P71:Q71"/>
    <mergeCell ref="P72:Q72"/>
    <mergeCell ref="S74:T74"/>
    <mergeCell ref="J76:K76"/>
    <mergeCell ref="M76:N76"/>
    <mergeCell ref="H94:I94"/>
    <mergeCell ref="J94:K94"/>
    <mergeCell ref="L94:M94"/>
    <mergeCell ref="H95:I95"/>
    <mergeCell ref="J95:K95"/>
    <mergeCell ref="L95:M95"/>
    <mergeCell ref="J80:K80"/>
    <mergeCell ref="G83:H83"/>
    <mergeCell ref="J83:K83"/>
    <mergeCell ref="G86:H86"/>
    <mergeCell ref="J86:K86"/>
    <mergeCell ref="J105:K105"/>
    <mergeCell ref="J106:K106"/>
    <mergeCell ref="J107:K107"/>
    <mergeCell ref="P107:Q107"/>
    <mergeCell ref="J108:K108"/>
    <mergeCell ref="S110:T110"/>
    <mergeCell ref="L96:M96"/>
    <mergeCell ref="L97:M97"/>
    <mergeCell ref="L98:M98"/>
    <mergeCell ref="L99:M99"/>
    <mergeCell ref="J103:K103"/>
    <mergeCell ref="J104:K104"/>
    <mergeCell ref="Q141:R143"/>
    <mergeCell ref="G125:H125"/>
    <mergeCell ref="J125:K125"/>
    <mergeCell ref="A137:C140"/>
    <mergeCell ref="D137:F140"/>
    <mergeCell ref="G137:H140"/>
    <mergeCell ref="I137:J140"/>
    <mergeCell ref="K137:L140"/>
    <mergeCell ref="J113:K113"/>
    <mergeCell ref="M113:N113"/>
    <mergeCell ref="J114:K114"/>
    <mergeCell ref="J118:K118"/>
    <mergeCell ref="G122:H122"/>
    <mergeCell ref="J122:K122"/>
    <mergeCell ref="M137:N140"/>
    <mergeCell ref="S141:V141"/>
    <mergeCell ref="O137:P140"/>
    <mergeCell ref="Q137:R140"/>
    <mergeCell ref="S137:V140"/>
    <mergeCell ref="A141:A143"/>
    <mergeCell ref="B141:C143"/>
    <mergeCell ref="D141:E141"/>
    <mergeCell ref="F141:F143"/>
    <mergeCell ref="G141:G143"/>
    <mergeCell ref="H141:H143"/>
    <mergeCell ref="D142:E142"/>
    <mergeCell ref="K142:L142"/>
    <mergeCell ref="M142:N142"/>
    <mergeCell ref="O142:P142"/>
    <mergeCell ref="S142:V142"/>
    <mergeCell ref="D143:E143"/>
    <mergeCell ref="K143:L143"/>
    <mergeCell ref="M143:N143"/>
    <mergeCell ref="O143:P143"/>
    <mergeCell ref="S143:V143"/>
    <mergeCell ref="I141:J143"/>
    <mergeCell ref="K141:L141"/>
    <mergeCell ref="M141:N141"/>
    <mergeCell ref="O141:P141"/>
  </mergeCells>
  <conditionalFormatting sqref="I46:J46 I87:J89 I126:J132">
    <cfRule type="cellIs" dxfId="34" priority="2" stopIfTrue="1" operator="equal">
      <formula>"Not suitable"</formula>
    </cfRule>
  </conditionalFormatting>
  <conditionalFormatting sqref="S42 S45 S83 S86 S122 S125">
    <cfRule type="cellIs" dxfId="33" priority="1" stopIfTrue="1" operator="equal">
      <formula>"Not satisfied"</formula>
    </cfRule>
  </conditionalFormatting>
  <dataValidations count="2">
    <dataValidation type="list" allowBlank="1" showInputMessage="1" showErrorMessage="1" sqref="WVL983040:WVM983041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6:E65537 IZ65536:JA65537 SV65536:SW65537 ACR65536:ACS65537 AMN65536:AMO65537 AWJ65536:AWK65537 BGF65536:BGG65537 BQB65536:BQC65537 BZX65536:BZY65537 CJT65536:CJU65537 CTP65536:CTQ65537 DDL65536:DDM65537 DNH65536:DNI65537 DXD65536:DXE65537 EGZ65536:EHA65537 EQV65536:EQW65537 FAR65536:FAS65537 FKN65536:FKO65537 FUJ65536:FUK65537 GEF65536:GEG65537 GOB65536:GOC65537 GXX65536:GXY65537 HHT65536:HHU65537 HRP65536:HRQ65537 IBL65536:IBM65537 ILH65536:ILI65537 IVD65536:IVE65537 JEZ65536:JFA65537 JOV65536:JOW65537 JYR65536:JYS65537 KIN65536:KIO65537 KSJ65536:KSK65537 LCF65536:LCG65537 LMB65536:LMC65537 LVX65536:LVY65537 MFT65536:MFU65537 MPP65536:MPQ65537 MZL65536:MZM65537 NJH65536:NJI65537 NTD65536:NTE65537 OCZ65536:ODA65537 OMV65536:OMW65537 OWR65536:OWS65537 PGN65536:PGO65537 PQJ65536:PQK65537 QAF65536:QAG65537 QKB65536:QKC65537 QTX65536:QTY65537 RDT65536:RDU65537 RNP65536:RNQ65537 RXL65536:RXM65537 SHH65536:SHI65537 SRD65536:SRE65537 TAZ65536:TBA65537 TKV65536:TKW65537 TUR65536:TUS65537 UEN65536:UEO65537 UOJ65536:UOK65537 UYF65536:UYG65537 VIB65536:VIC65537 VRX65536:VRY65537 WBT65536:WBU65537 WLP65536:WLQ65537 WVL65536:WVM65537 D131072:E131073 IZ131072:JA131073 SV131072:SW131073 ACR131072:ACS131073 AMN131072:AMO131073 AWJ131072:AWK131073 BGF131072:BGG131073 BQB131072:BQC131073 BZX131072:BZY131073 CJT131072:CJU131073 CTP131072:CTQ131073 DDL131072:DDM131073 DNH131072:DNI131073 DXD131072:DXE131073 EGZ131072:EHA131073 EQV131072:EQW131073 FAR131072:FAS131073 FKN131072:FKO131073 FUJ131072:FUK131073 GEF131072:GEG131073 GOB131072:GOC131073 GXX131072:GXY131073 HHT131072:HHU131073 HRP131072:HRQ131073 IBL131072:IBM131073 ILH131072:ILI131073 IVD131072:IVE131073 JEZ131072:JFA131073 JOV131072:JOW131073 JYR131072:JYS131073 KIN131072:KIO131073 KSJ131072:KSK131073 LCF131072:LCG131073 LMB131072:LMC131073 LVX131072:LVY131073 MFT131072:MFU131073 MPP131072:MPQ131073 MZL131072:MZM131073 NJH131072:NJI131073 NTD131072:NTE131073 OCZ131072:ODA131073 OMV131072:OMW131073 OWR131072:OWS131073 PGN131072:PGO131073 PQJ131072:PQK131073 QAF131072:QAG131073 QKB131072:QKC131073 QTX131072:QTY131073 RDT131072:RDU131073 RNP131072:RNQ131073 RXL131072:RXM131073 SHH131072:SHI131073 SRD131072:SRE131073 TAZ131072:TBA131073 TKV131072:TKW131073 TUR131072:TUS131073 UEN131072:UEO131073 UOJ131072:UOK131073 UYF131072:UYG131073 VIB131072:VIC131073 VRX131072:VRY131073 WBT131072:WBU131073 WLP131072:WLQ131073 WVL131072:WVM131073 D196608:E196609 IZ196608:JA196609 SV196608:SW196609 ACR196608:ACS196609 AMN196608:AMO196609 AWJ196608:AWK196609 BGF196608:BGG196609 BQB196608:BQC196609 BZX196608:BZY196609 CJT196608:CJU196609 CTP196608:CTQ196609 DDL196608:DDM196609 DNH196608:DNI196609 DXD196608:DXE196609 EGZ196608:EHA196609 EQV196608:EQW196609 FAR196608:FAS196609 FKN196608:FKO196609 FUJ196608:FUK196609 GEF196608:GEG196609 GOB196608:GOC196609 GXX196608:GXY196609 HHT196608:HHU196609 HRP196608:HRQ196609 IBL196608:IBM196609 ILH196608:ILI196609 IVD196608:IVE196609 JEZ196608:JFA196609 JOV196608:JOW196609 JYR196608:JYS196609 KIN196608:KIO196609 KSJ196608:KSK196609 LCF196608:LCG196609 LMB196608:LMC196609 LVX196608:LVY196609 MFT196608:MFU196609 MPP196608:MPQ196609 MZL196608:MZM196609 NJH196608:NJI196609 NTD196608:NTE196609 OCZ196608:ODA196609 OMV196608:OMW196609 OWR196608:OWS196609 PGN196608:PGO196609 PQJ196608:PQK196609 QAF196608:QAG196609 QKB196608:QKC196609 QTX196608:QTY196609 RDT196608:RDU196609 RNP196608:RNQ196609 RXL196608:RXM196609 SHH196608:SHI196609 SRD196608:SRE196609 TAZ196608:TBA196609 TKV196608:TKW196609 TUR196608:TUS196609 UEN196608:UEO196609 UOJ196608:UOK196609 UYF196608:UYG196609 VIB196608:VIC196609 VRX196608:VRY196609 WBT196608:WBU196609 WLP196608:WLQ196609 WVL196608:WVM196609 D262144:E262145 IZ262144:JA262145 SV262144:SW262145 ACR262144:ACS262145 AMN262144:AMO262145 AWJ262144:AWK262145 BGF262144:BGG262145 BQB262144:BQC262145 BZX262144:BZY262145 CJT262144:CJU262145 CTP262144:CTQ262145 DDL262144:DDM262145 DNH262144:DNI262145 DXD262144:DXE262145 EGZ262144:EHA262145 EQV262144:EQW262145 FAR262144:FAS262145 FKN262144:FKO262145 FUJ262144:FUK262145 GEF262144:GEG262145 GOB262144:GOC262145 GXX262144:GXY262145 HHT262144:HHU262145 HRP262144:HRQ262145 IBL262144:IBM262145 ILH262144:ILI262145 IVD262144:IVE262145 JEZ262144:JFA262145 JOV262144:JOW262145 JYR262144:JYS262145 KIN262144:KIO262145 KSJ262144:KSK262145 LCF262144:LCG262145 LMB262144:LMC262145 LVX262144:LVY262145 MFT262144:MFU262145 MPP262144:MPQ262145 MZL262144:MZM262145 NJH262144:NJI262145 NTD262144:NTE262145 OCZ262144:ODA262145 OMV262144:OMW262145 OWR262144:OWS262145 PGN262144:PGO262145 PQJ262144:PQK262145 QAF262144:QAG262145 QKB262144:QKC262145 QTX262144:QTY262145 RDT262144:RDU262145 RNP262144:RNQ262145 RXL262144:RXM262145 SHH262144:SHI262145 SRD262144:SRE262145 TAZ262144:TBA262145 TKV262144:TKW262145 TUR262144:TUS262145 UEN262144:UEO262145 UOJ262144:UOK262145 UYF262144:UYG262145 VIB262144:VIC262145 VRX262144:VRY262145 WBT262144:WBU262145 WLP262144:WLQ262145 WVL262144:WVM262145 D327680:E327681 IZ327680:JA327681 SV327680:SW327681 ACR327680:ACS327681 AMN327680:AMO327681 AWJ327680:AWK327681 BGF327680:BGG327681 BQB327680:BQC327681 BZX327680:BZY327681 CJT327680:CJU327681 CTP327680:CTQ327681 DDL327680:DDM327681 DNH327680:DNI327681 DXD327680:DXE327681 EGZ327680:EHA327681 EQV327680:EQW327681 FAR327680:FAS327681 FKN327680:FKO327681 FUJ327680:FUK327681 GEF327680:GEG327681 GOB327680:GOC327681 GXX327680:GXY327681 HHT327680:HHU327681 HRP327680:HRQ327681 IBL327680:IBM327681 ILH327680:ILI327681 IVD327680:IVE327681 JEZ327680:JFA327681 JOV327680:JOW327681 JYR327680:JYS327681 KIN327680:KIO327681 KSJ327680:KSK327681 LCF327680:LCG327681 LMB327680:LMC327681 LVX327680:LVY327681 MFT327680:MFU327681 MPP327680:MPQ327681 MZL327680:MZM327681 NJH327680:NJI327681 NTD327680:NTE327681 OCZ327680:ODA327681 OMV327680:OMW327681 OWR327680:OWS327681 PGN327680:PGO327681 PQJ327680:PQK327681 QAF327680:QAG327681 QKB327680:QKC327681 QTX327680:QTY327681 RDT327680:RDU327681 RNP327680:RNQ327681 RXL327680:RXM327681 SHH327680:SHI327681 SRD327680:SRE327681 TAZ327680:TBA327681 TKV327680:TKW327681 TUR327680:TUS327681 UEN327680:UEO327681 UOJ327680:UOK327681 UYF327680:UYG327681 VIB327680:VIC327681 VRX327680:VRY327681 WBT327680:WBU327681 WLP327680:WLQ327681 WVL327680:WVM327681 D393216:E393217 IZ393216:JA393217 SV393216:SW393217 ACR393216:ACS393217 AMN393216:AMO393217 AWJ393216:AWK393217 BGF393216:BGG393217 BQB393216:BQC393217 BZX393216:BZY393217 CJT393216:CJU393217 CTP393216:CTQ393217 DDL393216:DDM393217 DNH393216:DNI393217 DXD393216:DXE393217 EGZ393216:EHA393217 EQV393216:EQW393217 FAR393216:FAS393217 FKN393216:FKO393217 FUJ393216:FUK393217 GEF393216:GEG393217 GOB393216:GOC393217 GXX393216:GXY393217 HHT393216:HHU393217 HRP393216:HRQ393217 IBL393216:IBM393217 ILH393216:ILI393217 IVD393216:IVE393217 JEZ393216:JFA393217 JOV393216:JOW393217 JYR393216:JYS393217 KIN393216:KIO393217 KSJ393216:KSK393217 LCF393216:LCG393217 LMB393216:LMC393217 LVX393216:LVY393217 MFT393216:MFU393217 MPP393216:MPQ393217 MZL393216:MZM393217 NJH393216:NJI393217 NTD393216:NTE393217 OCZ393216:ODA393217 OMV393216:OMW393217 OWR393216:OWS393217 PGN393216:PGO393217 PQJ393216:PQK393217 QAF393216:QAG393217 QKB393216:QKC393217 QTX393216:QTY393217 RDT393216:RDU393217 RNP393216:RNQ393217 RXL393216:RXM393217 SHH393216:SHI393217 SRD393216:SRE393217 TAZ393216:TBA393217 TKV393216:TKW393217 TUR393216:TUS393217 UEN393216:UEO393217 UOJ393216:UOK393217 UYF393216:UYG393217 VIB393216:VIC393217 VRX393216:VRY393217 WBT393216:WBU393217 WLP393216:WLQ393217 WVL393216:WVM393217 D458752:E458753 IZ458752:JA458753 SV458752:SW458753 ACR458752:ACS458753 AMN458752:AMO458753 AWJ458752:AWK458753 BGF458752:BGG458753 BQB458752:BQC458753 BZX458752:BZY458753 CJT458752:CJU458753 CTP458752:CTQ458753 DDL458752:DDM458753 DNH458752:DNI458753 DXD458752:DXE458753 EGZ458752:EHA458753 EQV458752:EQW458753 FAR458752:FAS458753 FKN458752:FKO458753 FUJ458752:FUK458753 GEF458752:GEG458753 GOB458752:GOC458753 GXX458752:GXY458753 HHT458752:HHU458753 HRP458752:HRQ458753 IBL458752:IBM458753 ILH458752:ILI458753 IVD458752:IVE458753 JEZ458752:JFA458753 JOV458752:JOW458753 JYR458752:JYS458753 KIN458752:KIO458753 KSJ458752:KSK458753 LCF458752:LCG458753 LMB458752:LMC458753 LVX458752:LVY458753 MFT458752:MFU458753 MPP458752:MPQ458753 MZL458752:MZM458753 NJH458752:NJI458753 NTD458752:NTE458753 OCZ458752:ODA458753 OMV458752:OMW458753 OWR458752:OWS458753 PGN458752:PGO458753 PQJ458752:PQK458753 QAF458752:QAG458753 QKB458752:QKC458753 QTX458752:QTY458753 RDT458752:RDU458753 RNP458752:RNQ458753 RXL458752:RXM458753 SHH458752:SHI458753 SRD458752:SRE458753 TAZ458752:TBA458753 TKV458752:TKW458753 TUR458752:TUS458753 UEN458752:UEO458753 UOJ458752:UOK458753 UYF458752:UYG458753 VIB458752:VIC458753 VRX458752:VRY458753 WBT458752:WBU458753 WLP458752:WLQ458753 WVL458752:WVM458753 D524288:E524289 IZ524288:JA524289 SV524288:SW524289 ACR524288:ACS524289 AMN524288:AMO524289 AWJ524288:AWK524289 BGF524288:BGG524289 BQB524288:BQC524289 BZX524288:BZY524289 CJT524288:CJU524289 CTP524288:CTQ524289 DDL524288:DDM524289 DNH524288:DNI524289 DXD524288:DXE524289 EGZ524288:EHA524289 EQV524288:EQW524289 FAR524288:FAS524289 FKN524288:FKO524289 FUJ524288:FUK524289 GEF524288:GEG524289 GOB524288:GOC524289 GXX524288:GXY524289 HHT524288:HHU524289 HRP524288:HRQ524289 IBL524288:IBM524289 ILH524288:ILI524289 IVD524288:IVE524289 JEZ524288:JFA524289 JOV524288:JOW524289 JYR524288:JYS524289 KIN524288:KIO524289 KSJ524288:KSK524289 LCF524288:LCG524289 LMB524288:LMC524289 LVX524288:LVY524289 MFT524288:MFU524289 MPP524288:MPQ524289 MZL524288:MZM524289 NJH524288:NJI524289 NTD524288:NTE524289 OCZ524288:ODA524289 OMV524288:OMW524289 OWR524288:OWS524289 PGN524288:PGO524289 PQJ524288:PQK524289 QAF524288:QAG524289 QKB524288:QKC524289 QTX524288:QTY524289 RDT524288:RDU524289 RNP524288:RNQ524289 RXL524288:RXM524289 SHH524288:SHI524289 SRD524288:SRE524289 TAZ524288:TBA524289 TKV524288:TKW524289 TUR524288:TUS524289 UEN524288:UEO524289 UOJ524288:UOK524289 UYF524288:UYG524289 VIB524288:VIC524289 VRX524288:VRY524289 WBT524288:WBU524289 WLP524288:WLQ524289 WVL524288:WVM524289 D589824:E589825 IZ589824:JA589825 SV589824:SW589825 ACR589824:ACS589825 AMN589824:AMO589825 AWJ589824:AWK589825 BGF589824:BGG589825 BQB589824:BQC589825 BZX589824:BZY589825 CJT589824:CJU589825 CTP589824:CTQ589825 DDL589824:DDM589825 DNH589824:DNI589825 DXD589824:DXE589825 EGZ589824:EHA589825 EQV589824:EQW589825 FAR589824:FAS589825 FKN589824:FKO589825 FUJ589824:FUK589825 GEF589824:GEG589825 GOB589824:GOC589825 GXX589824:GXY589825 HHT589824:HHU589825 HRP589824:HRQ589825 IBL589824:IBM589825 ILH589824:ILI589825 IVD589824:IVE589825 JEZ589824:JFA589825 JOV589824:JOW589825 JYR589824:JYS589825 KIN589824:KIO589825 KSJ589824:KSK589825 LCF589824:LCG589825 LMB589824:LMC589825 LVX589824:LVY589825 MFT589824:MFU589825 MPP589824:MPQ589825 MZL589824:MZM589825 NJH589824:NJI589825 NTD589824:NTE589825 OCZ589824:ODA589825 OMV589824:OMW589825 OWR589824:OWS589825 PGN589824:PGO589825 PQJ589824:PQK589825 QAF589824:QAG589825 QKB589824:QKC589825 QTX589824:QTY589825 RDT589824:RDU589825 RNP589824:RNQ589825 RXL589824:RXM589825 SHH589824:SHI589825 SRD589824:SRE589825 TAZ589824:TBA589825 TKV589824:TKW589825 TUR589824:TUS589825 UEN589824:UEO589825 UOJ589824:UOK589825 UYF589824:UYG589825 VIB589824:VIC589825 VRX589824:VRY589825 WBT589824:WBU589825 WLP589824:WLQ589825 WVL589824:WVM589825 D655360:E655361 IZ655360:JA655361 SV655360:SW655361 ACR655360:ACS655361 AMN655360:AMO655361 AWJ655360:AWK655361 BGF655360:BGG655361 BQB655360:BQC655361 BZX655360:BZY655361 CJT655360:CJU655361 CTP655360:CTQ655361 DDL655360:DDM655361 DNH655360:DNI655361 DXD655360:DXE655361 EGZ655360:EHA655361 EQV655360:EQW655361 FAR655360:FAS655361 FKN655360:FKO655361 FUJ655360:FUK655361 GEF655360:GEG655361 GOB655360:GOC655361 GXX655360:GXY655361 HHT655360:HHU655361 HRP655360:HRQ655361 IBL655360:IBM655361 ILH655360:ILI655361 IVD655360:IVE655361 JEZ655360:JFA655361 JOV655360:JOW655361 JYR655360:JYS655361 KIN655360:KIO655361 KSJ655360:KSK655361 LCF655360:LCG655361 LMB655360:LMC655361 LVX655360:LVY655361 MFT655360:MFU655361 MPP655360:MPQ655361 MZL655360:MZM655361 NJH655360:NJI655361 NTD655360:NTE655361 OCZ655360:ODA655361 OMV655360:OMW655361 OWR655360:OWS655361 PGN655360:PGO655361 PQJ655360:PQK655361 QAF655360:QAG655361 QKB655360:QKC655361 QTX655360:QTY655361 RDT655360:RDU655361 RNP655360:RNQ655361 RXL655360:RXM655361 SHH655360:SHI655361 SRD655360:SRE655361 TAZ655360:TBA655361 TKV655360:TKW655361 TUR655360:TUS655361 UEN655360:UEO655361 UOJ655360:UOK655361 UYF655360:UYG655361 VIB655360:VIC655361 VRX655360:VRY655361 WBT655360:WBU655361 WLP655360:WLQ655361 WVL655360:WVM655361 D720896:E720897 IZ720896:JA720897 SV720896:SW720897 ACR720896:ACS720897 AMN720896:AMO720897 AWJ720896:AWK720897 BGF720896:BGG720897 BQB720896:BQC720897 BZX720896:BZY720897 CJT720896:CJU720897 CTP720896:CTQ720897 DDL720896:DDM720897 DNH720896:DNI720897 DXD720896:DXE720897 EGZ720896:EHA720897 EQV720896:EQW720897 FAR720896:FAS720897 FKN720896:FKO720897 FUJ720896:FUK720897 GEF720896:GEG720897 GOB720896:GOC720897 GXX720896:GXY720897 HHT720896:HHU720897 HRP720896:HRQ720897 IBL720896:IBM720897 ILH720896:ILI720897 IVD720896:IVE720897 JEZ720896:JFA720897 JOV720896:JOW720897 JYR720896:JYS720897 KIN720896:KIO720897 KSJ720896:KSK720897 LCF720896:LCG720897 LMB720896:LMC720897 LVX720896:LVY720897 MFT720896:MFU720897 MPP720896:MPQ720897 MZL720896:MZM720897 NJH720896:NJI720897 NTD720896:NTE720897 OCZ720896:ODA720897 OMV720896:OMW720897 OWR720896:OWS720897 PGN720896:PGO720897 PQJ720896:PQK720897 QAF720896:QAG720897 QKB720896:QKC720897 QTX720896:QTY720897 RDT720896:RDU720897 RNP720896:RNQ720897 RXL720896:RXM720897 SHH720896:SHI720897 SRD720896:SRE720897 TAZ720896:TBA720897 TKV720896:TKW720897 TUR720896:TUS720897 UEN720896:UEO720897 UOJ720896:UOK720897 UYF720896:UYG720897 VIB720896:VIC720897 VRX720896:VRY720897 WBT720896:WBU720897 WLP720896:WLQ720897 WVL720896:WVM720897 D786432:E786433 IZ786432:JA786433 SV786432:SW786433 ACR786432:ACS786433 AMN786432:AMO786433 AWJ786432:AWK786433 BGF786432:BGG786433 BQB786432:BQC786433 BZX786432:BZY786433 CJT786432:CJU786433 CTP786432:CTQ786433 DDL786432:DDM786433 DNH786432:DNI786433 DXD786432:DXE786433 EGZ786432:EHA786433 EQV786432:EQW786433 FAR786432:FAS786433 FKN786432:FKO786433 FUJ786432:FUK786433 GEF786432:GEG786433 GOB786432:GOC786433 GXX786432:GXY786433 HHT786432:HHU786433 HRP786432:HRQ786433 IBL786432:IBM786433 ILH786432:ILI786433 IVD786432:IVE786433 JEZ786432:JFA786433 JOV786432:JOW786433 JYR786432:JYS786433 KIN786432:KIO786433 KSJ786432:KSK786433 LCF786432:LCG786433 LMB786432:LMC786433 LVX786432:LVY786433 MFT786432:MFU786433 MPP786432:MPQ786433 MZL786432:MZM786433 NJH786432:NJI786433 NTD786432:NTE786433 OCZ786432:ODA786433 OMV786432:OMW786433 OWR786432:OWS786433 PGN786432:PGO786433 PQJ786432:PQK786433 QAF786432:QAG786433 QKB786432:QKC786433 QTX786432:QTY786433 RDT786432:RDU786433 RNP786432:RNQ786433 RXL786432:RXM786433 SHH786432:SHI786433 SRD786432:SRE786433 TAZ786432:TBA786433 TKV786432:TKW786433 TUR786432:TUS786433 UEN786432:UEO786433 UOJ786432:UOK786433 UYF786432:UYG786433 VIB786432:VIC786433 VRX786432:VRY786433 WBT786432:WBU786433 WLP786432:WLQ786433 WVL786432:WVM786433 D851968:E851969 IZ851968:JA851969 SV851968:SW851969 ACR851968:ACS851969 AMN851968:AMO851969 AWJ851968:AWK851969 BGF851968:BGG851969 BQB851968:BQC851969 BZX851968:BZY851969 CJT851968:CJU851969 CTP851968:CTQ851969 DDL851968:DDM851969 DNH851968:DNI851969 DXD851968:DXE851969 EGZ851968:EHA851969 EQV851968:EQW851969 FAR851968:FAS851969 FKN851968:FKO851969 FUJ851968:FUK851969 GEF851968:GEG851969 GOB851968:GOC851969 GXX851968:GXY851969 HHT851968:HHU851969 HRP851968:HRQ851969 IBL851968:IBM851969 ILH851968:ILI851969 IVD851968:IVE851969 JEZ851968:JFA851969 JOV851968:JOW851969 JYR851968:JYS851969 KIN851968:KIO851969 KSJ851968:KSK851969 LCF851968:LCG851969 LMB851968:LMC851969 LVX851968:LVY851969 MFT851968:MFU851969 MPP851968:MPQ851969 MZL851968:MZM851969 NJH851968:NJI851969 NTD851968:NTE851969 OCZ851968:ODA851969 OMV851968:OMW851969 OWR851968:OWS851969 PGN851968:PGO851969 PQJ851968:PQK851969 QAF851968:QAG851969 QKB851968:QKC851969 QTX851968:QTY851969 RDT851968:RDU851969 RNP851968:RNQ851969 RXL851968:RXM851969 SHH851968:SHI851969 SRD851968:SRE851969 TAZ851968:TBA851969 TKV851968:TKW851969 TUR851968:TUS851969 UEN851968:UEO851969 UOJ851968:UOK851969 UYF851968:UYG851969 VIB851968:VIC851969 VRX851968:VRY851969 WBT851968:WBU851969 WLP851968:WLQ851969 WVL851968:WVM851969 D917504:E917505 IZ917504:JA917505 SV917504:SW917505 ACR917504:ACS917505 AMN917504:AMO917505 AWJ917504:AWK917505 BGF917504:BGG917505 BQB917504:BQC917505 BZX917504:BZY917505 CJT917504:CJU917505 CTP917504:CTQ917505 DDL917504:DDM917505 DNH917504:DNI917505 DXD917504:DXE917505 EGZ917504:EHA917505 EQV917504:EQW917505 FAR917504:FAS917505 FKN917504:FKO917505 FUJ917504:FUK917505 GEF917504:GEG917505 GOB917504:GOC917505 GXX917504:GXY917505 HHT917504:HHU917505 HRP917504:HRQ917505 IBL917504:IBM917505 ILH917504:ILI917505 IVD917504:IVE917505 JEZ917504:JFA917505 JOV917504:JOW917505 JYR917504:JYS917505 KIN917504:KIO917505 KSJ917504:KSK917505 LCF917504:LCG917505 LMB917504:LMC917505 LVX917504:LVY917505 MFT917504:MFU917505 MPP917504:MPQ917505 MZL917504:MZM917505 NJH917504:NJI917505 NTD917504:NTE917505 OCZ917504:ODA917505 OMV917504:OMW917505 OWR917504:OWS917505 PGN917504:PGO917505 PQJ917504:PQK917505 QAF917504:QAG917505 QKB917504:QKC917505 QTX917504:QTY917505 RDT917504:RDU917505 RNP917504:RNQ917505 RXL917504:RXM917505 SHH917504:SHI917505 SRD917504:SRE917505 TAZ917504:TBA917505 TKV917504:TKW917505 TUR917504:TUS917505 UEN917504:UEO917505 UOJ917504:UOK917505 UYF917504:UYG917505 VIB917504:VIC917505 VRX917504:VRY917505 WBT917504:WBU917505 WLP917504:WLQ917505 WVL917504:WVM917505 D983040:E983041 IZ983040:JA983041 SV983040:SW983041 ACR983040:ACS983041 AMN983040:AMO983041 AWJ983040:AWK983041 BGF983040:BGG983041 BQB983040:BQC983041 BZX983040:BZY983041 CJT983040:CJU983041 CTP983040:CTQ983041 DDL983040:DDM983041 DNH983040:DNI983041 DXD983040:DXE983041 EGZ983040:EHA983041 EQV983040:EQW983041 FAR983040:FAS983041 FKN983040:FKO983041 FUJ983040:FUK983041 GEF983040:GEG983041 GOB983040:GOC983041 GXX983040:GXY983041 HHT983040:HHU983041 HRP983040:HRQ983041 IBL983040:IBM983041 ILH983040:ILI983041 IVD983040:IVE983041 JEZ983040:JFA983041 JOV983040:JOW983041 JYR983040:JYS983041 KIN983040:KIO983041 KSJ983040:KSK983041 LCF983040:LCG983041 LMB983040:LMC983041 LVX983040:LVY983041 MFT983040:MFU983041 MPP983040:MPQ983041 MZL983040:MZM983041 NJH983040:NJI983041 NTD983040:NTE983041 OCZ983040:ODA983041 OMV983040:OMW983041 OWR983040:OWS983041 PGN983040:PGO983041 PQJ983040:PQK983041 QAF983040:QAG983041 QKB983040:QKC983041 QTX983040:QTY983041 RDT983040:RDU983041 RNP983040:RNQ983041 RXL983040:RXM983041 SHH983040:SHI983041 SRD983040:SRE983041 TAZ983040:TBA983041 TKV983040:TKW983041 TUR983040:TUS983041 UEN983040:UEO983041 UOJ983040:UOK983041 UYF983040:UYG983041 VIB983040:VIC983041 VRX983040:VRY983041 WBT983040:WBU983041 WLP983040:WLQ983041 D7:D8 E8" xr:uid="{A50ABF14-B7E5-4335-A9B3-11B5C283AD21}">
      <formula1>"Core1,Core2,Core3,Core4,Core5"</formula1>
    </dataValidation>
    <dataValidation type="list" allowBlank="1" showInputMessage="1" showErrorMessage="1" sqref="D92 IZ92 SV92 ACR92 AMN92 AWJ92 BGF92 BQB92 BZX92 CJT92 CTP92 DDL92 DNH92 DXD92 EGZ92 EQV92 FAR92 FKN92 FUJ92 GEF92 GOB92 GXX92 HHT92 HRP92 IBL92 ILH92 IVD92 JEZ92 JOV92 JYR92 KIN92 KSJ92 LCF92 LMB92 LVX92 MFT92 MPP92 MZL92 NJH92 NTD92 OCZ92 OMV92 OWR92 PGN92 PQJ92 QAF92 QKB92 QTX92 RDT92 RNP92 RXL92 SHH92 SRD92 TAZ92 TKV92 TUR92 UEN92 UOJ92 UYF92 VIB92 VRX92 WBT92 WLP92 WVL92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D49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9D79EDE9-3F34-4361-A58F-23C7BED6C374}">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7" max="21" man="1"/>
    <brk id="88" max="21"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00B050"/>
  </sheetPr>
  <dimension ref="A1:AC297"/>
  <sheetViews>
    <sheetView showZeros="0" view="pageBreakPreview" topLeftCell="A306" zoomScale="145" zoomScaleNormal="100" zoomScaleSheetLayoutView="145" workbookViewId="0">
      <selection activeCell="X21" sqref="X21"/>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226"/>
      <c r="B6" s="631"/>
      <c r="C6" s="227"/>
      <c r="D6" s="632"/>
      <c r="E6" s="227"/>
      <c r="F6" s="227"/>
      <c r="G6" s="227"/>
      <c r="H6" s="227"/>
      <c r="I6" s="227"/>
      <c r="J6" s="227"/>
      <c r="K6" s="227"/>
      <c r="L6" s="227"/>
      <c r="M6" s="227"/>
      <c r="N6" s="227"/>
      <c r="O6" s="227"/>
      <c r="P6" s="227"/>
      <c r="Q6" s="227"/>
      <c r="R6" s="227"/>
      <c r="S6" s="227"/>
      <c r="T6" s="227"/>
      <c r="U6" s="227"/>
      <c r="V6" s="228"/>
    </row>
    <row r="7" spans="1:24" ht="18" customHeight="1">
      <c r="A7" s="184"/>
      <c r="B7" s="781" t="s">
        <v>108</v>
      </c>
      <c r="C7" s="782"/>
      <c r="D7" s="743" t="s">
        <v>113</v>
      </c>
      <c r="E7" s="1291"/>
      <c r="F7" s="455"/>
      <c r="H7" s="684" t="s">
        <v>1047</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3200</v>
      </c>
      <c r="I10" s="792"/>
      <c r="J10" s="781">
        <v>2000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8</v>
      </c>
      <c r="I12" s="782"/>
      <c r="J12" s="192" t="s">
        <v>333</v>
      </c>
      <c r="M12" s="14"/>
      <c r="N12" s="14"/>
      <c r="V12" s="185"/>
    </row>
    <row r="13" spans="1:24" ht="18" customHeight="1">
      <c r="A13" s="184"/>
      <c r="B13" s="47" t="s">
        <v>398</v>
      </c>
      <c r="G13" s="120" t="s">
        <v>498</v>
      </c>
      <c r="H13" s="781">
        <v>900</v>
      </c>
      <c r="I13" s="782"/>
      <c r="J13" s="14" t="s">
        <v>305</v>
      </c>
      <c r="M13" s="14"/>
      <c r="T13" s="295"/>
      <c r="U13" s="18"/>
      <c r="V13" s="185"/>
      <c r="W13" s="30" t="e">
        <f>#REF!</f>
        <v>#REF!</v>
      </c>
    </row>
    <row r="14" spans="1:24" ht="18" customHeight="1">
      <c r="A14" s="184"/>
      <c r="B14" s="14" t="s">
        <v>401</v>
      </c>
      <c r="G14" s="120" t="s">
        <v>402</v>
      </c>
      <c r="H14" s="781">
        <v>10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8</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8</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3200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900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8</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V44" s="185"/>
      <c r="AB44" s="14" t="s">
        <v>129</v>
      </c>
      <c r="AC44" s="14" t="s">
        <v>732</v>
      </c>
    </row>
    <row r="45" spans="1:29"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9"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9" ht="18" customHeight="1">
      <c r="A47" s="96"/>
      <c r="B47" s="7" t="s">
        <v>733</v>
      </c>
      <c r="C47" s="7"/>
      <c r="D47" s="14"/>
      <c r="E47" s="7"/>
      <c r="F47" s="7"/>
      <c r="L47" s="27"/>
      <c r="O47" s="27"/>
      <c r="P47" s="27"/>
      <c r="Q47" s="28"/>
      <c r="T47" s="14"/>
      <c r="U47" s="14"/>
      <c r="V47" s="185"/>
    </row>
    <row r="48" spans="1:29" ht="18" customHeight="1">
      <c r="A48" s="96"/>
      <c r="B48" s="14"/>
      <c r="C48" s="7"/>
      <c r="D48" s="7"/>
      <c r="E48" s="14"/>
      <c r="F48" s="7"/>
      <c r="L48" s="27"/>
      <c r="M48" s="14"/>
      <c r="O48" s="14"/>
      <c r="P48" s="14"/>
      <c r="Q48" s="14"/>
      <c r="R48" s="14"/>
      <c r="S48" s="14"/>
      <c r="T48" s="14"/>
      <c r="U48" s="14"/>
      <c r="V48" s="185"/>
    </row>
    <row r="49" spans="1:22" ht="18" customHeight="1">
      <c r="A49" s="96"/>
      <c r="B49" s="14"/>
      <c r="C49" s="120" t="s">
        <v>734</v>
      </c>
      <c r="D49" s="28" t="s">
        <v>127</v>
      </c>
      <c r="E49" s="805">
        <f>S25</f>
        <v>50000</v>
      </c>
      <c r="F49" s="805"/>
      <c r="G49" s="14"/>
      <c r="H49" s="14"/>
      <c r="I49" s="102"/>
      <c r="J49" s="47"/>
      <c r="K49" s="47"/>
      <c r="L49" s="14"/>
      <c r="M49" s="14"/>
      <c r="N49" s="14"/>
      <c r="O49" s="14"/>
      <c r="P49" s="14"/>
      <c r="Q49" s="14"/>
      <c r="R49" s="14"/>
      <c r="S49" s="14"/>
      <c r="T49" s="14"/>
      <c r="U49" s="14"/>
      <c r="V49" s="185"/>
    </row>
    <row r="50" spans="1:22" ht="18" customHeight="1">
      <c r="A50" s="96"/>
      <c r="B50" s="14"/>
      <c r="C50" s="120"/>
      <c r="D50" s="28"/>
      <c r="E50" s="978" t="str">
        <f>"5 x "&amp;S26&amp;""</f>
        <v>5 x 3200</v>
      </c>
      <c r="F50" s="978"/>
      <c r="G50" s="28"/>
      <c r="H50" s="257"/>
      <c r="K50" s="28"/>
      <c r="L50" s="218"/>
      <c r="M50" s="257"/>
      <c r="O50" s="14"/>
      <c r="P50" s="14"/>
      <c r="Q50" s="14"/>
      <c r="R50" s="14"/>
      <c r="S50" s="14"/>
      <c r="T50" s="14"/>
      <c r="U50" s="14"/>
      <c r="V50" s="185"/>
    </row>
    <row r="51" spans="1:22" ht="18" customHeight="1">
      <c r="A51" s="184"/>
      <c r="J51" s="14"/>
      <c r="K51" s="257"/>
      <c r="M51" s="14"/>
      <c r="N51" s="14"/>
      <c r="O51" s="14"/>
      <c r="P51" s="14"/>
      <c r="Q51" s="14"/>
      <c r="R51" s="14"/>
      <c r="S51" s="14"/>
      <c r="T51" s="14"/>
      <c r="U51" s="14"/>
      <c r="V51" s="185"/>
    </row>
    <row r="52" spans="1:22" ht="18" customHeight="1">
      <c r="A52" s="96"/>
      <c r="C52" s="458" t="s">
        <v>734</v>
      </c>
      <c r="D52" s="182" t="s">
        <v>127</v>
      </c>
      <c r="E52" s="1288">
        <f>S25/5/S26</f>
        <v>3.125</v>
      </c>
      <c r="F52" s="722"/>
      <c r="G52" s="27"/>
      <c r="H52" s="27"/>
      <c r="I52" s="27"/>
      <c r="J52" s="120"/>
      <c r="K52" s="28"/>
      <c r="L52" s="120"/>
      <c r="M52" s="28"/>
      <c r="N52" s="120"/>
      <c r="O52" s="28"/>
      <c r="P52" s="120"/>
      <c r="Q52" s="296"/>
      <c r="V52" s="185"/>
    </row>
    <row r="53" spans="1:22" ht="18" customHeight="1">
      <c r="A53" s="96"/>
      <c r="C53" s="120"/>
      <c r="D53" s="28"/>
      <c r="E53" s="218"/>
      <c r="F53" s="218"/>
      <c r="G53" s="27"/>
      <c r="H53" s="27"/>
      <c r="I53" s="27"/>
      <c r="J53" s="120"/>
      <c r="K53" s="28"/>
      <c r="L53" s="120"/>
      <c r="M53" s="28"/>
      <c r="N53" s="120"/>
      <c r="O53" s="28"/>
      <c r="P53" s="120"/>
      <c r="Q53" s="296"/>
      <c r="V53" s="185"/>
    </row>
    <row r="54" spans="1:22" ht="18" customHeight="1">
      <c r="A54" s="96"/>
      <c r="B54" s="14" t="s">
        <v>735</v>
      </c>
      <c r="C54" s="14"/>
      <c r="D54" s="14"/>
      <c r="E54" s="7"/>
      <c r="F54" s="102"/>
      <c r="G54" s="7"/>
      <c r="H54" s="7"/>
      <c r="I54" s="239"/>
      <c r="J54" s="120"/>
      <c r="K54" s="28"/>
      <c r="L54" s="120"/>
      <c r="M54" s="28"/>
      <c r="N54" s="120"/>
      <c r="O54" s="28"/>
      <c r="P54" s="120"/>
      <c r="Q54" s="296"/>
      <c r="V54" s="185"/>
    </row>
    <row r="55" spans="1:22" ht="18" customHeight="1">
      <c r="A55" s="96"/>
      <c r="C55" s="14"/>
      <c r="D55" s="14"/>
      <c r="E55" s="689" t="s">
        <v>736</v>
      </c>
      <c r="F55" s="689">
        <v>1</v>
      </c>
      <c r="G55" s="689"/>
      <c r="H55" s="689" t="s">
        <v>312</v>
      </c>
      <c r="I55" s="459" t="s">
        <v>312</v>
      </c>
      <c r="J55" s="120"/>
      <c r="K55" s="28"/>
      <c r="L55" s="120"/>
      <c r="M55" s="28"/>
      <c r="N55" s="120"/>
      <c r="O55" s="28"/>
      <c r="P55" s="120"/>
      <c r="Q55" s="296"/>
      <c r="V55" s="185"/>
    </row>
    <row r="56" spans="1:22" ht="18" customHeight="1">
      <c r="A56" s="96"/>
      <c r="C56" s="14"/>
      <c r="D56" s="14"/>
      <c r="E56" s="723"/>
      <c r="F56" s="273"/>
      <c r="G56" s="274" t="s">
        <v>737</v>
      </c>
      <c r="H56" s="689"/>
      <c r="I56" s="14" t="s">
        <v>141</v>
      </c>
      <c r="J56" s="120"/>
      <c r="K56" s="28"/>
      <c r="L56" s="120"/>
      <c r="M56" s="28"/>
      <c r="N56" s="120"/>
      <c r="O56" s="28"/>
      <c r="P56" s="120"/>
      <c r="Q56" s="296"/>
      <c r="V56" s="185"/>
    </row>
    <row r="57" spans="1:22" ht="18" customHeight="1">
      <c r="A57" s="96"/>
      <c r="C57" s="120"/>
      <c r="D57" s="28"/>
      <c r="E57" s="218"/>
      <c r="F57" s="218"/>
      <c r="G57" s="27"/>
      <c r="H57" s="27"/>
      <c r="I57" s="27"/>
      <c r="J57" s="120"/>
      <c r="K57" s="28"/>
      <c r="L57" s="120"/>
      <c r="M57" s="28"/>
      <c r="N57" s="120"/>
      <c r="O57" s="28"/>
      <c r="P57" s="120"/>
      <c r="Q57" s="296"/>
      <c r="V57" s="185"/>
    </row>
    <row r="58" spans="1:22" ht="18" customHeight="1">
      <c r="A58" s="96"/>
      <c r="C58" s="120"/>
      <c r="F58" s="708">
        <v>1</v>
      </c>
      <c r="G58" s="708"/>
      <c r="H58" s="708"/>
      <c r="I58" s="27"/>
      <c r="J58" s="689" t="s">
        <v>315</v>
      </c>
      <c r="K58" s="1286">
        <v>15</v>
      </c>
      <c r="L58" s="120"/>
      <c r="M58" s="28"/>
      <c r="N58" s="120"/>
      <c r="O58" s="28"/>
      <c r="P58" s="120"/>
      <c r="Q58" s="296"/>
      <c r="V58" s="185"/>
    </row>
    <row r="59" spans="1:22" ht="18" customHeight="1">
      <c r="A59" s="96"/>
      <c r="C59" s="120"/>
      <c r="D59" s="120" t="s">
        <v>738</v>
      </c>
      <c r="E59" s="102" t="s">
        <v>127</v>
      </c>
      <c r="F59" s="30" t="s">
        <v>739</v>
      </c>
      <c r="I59" s="27"/>
      <c r="J59" s="684"/>
      <c r="K59" s="1251"/>
      <c r="L59" s="120"/>
      <c r="M59" s="28"/>
      <c r="N59" s="120"/>
      <c r="O59" s="28"/>
      <c r="P59" s="120"/>
      <c r="Q59" s="296"/>
      <c r="V59" s="185"/>
    </row>
    <row r="60" spans="1:22" ht="18" customHeight="1">
      <c r="A60" s="96"/>
      <c r="C60" s="28"/>
      <c r="D60" s="218"/>
      <c r="E60" s="218"/>
      <c r="F60" s="218"/>
      <c r="G60" s="218"/>
      <c r="H60" s="218"/>
      <c r="I60" s="218"/>
      <c r="J60" s="218"/>
      <c r="K60" s="218"/>
      <c r="L60" s="218"/>
      <c r="M60" s="28"/>
      <c r="N60" s="120"/>
      <c r="O60" s="28"/>
      <c r="P60" s="120"/>
      <c r="Q60" s="296"/>
      <c r="V60" s="185"/>
    </row>
    <row r="61" spans="1:22" ht="18" customHeight="1">
      <c r="A61" s="96"/>
      <c r="C61" s="120"/>
      <c r="D61" s="28"/>
      <c r="E61" s="218" t="s">
        <v>127</v>
      </c>
      <c r="F61" s="1287">
        <f>1*K58/(2*3.14*50)</f>
        <v>4.7770700636942678E-2</v>
      </c>
      <c r="G61" s="1287"/>
      <c r="H61" s="28" t="s">
        <v>740</v>
      </c>
      <c r="I61" s="27"/>
      <c r="J61" s="120"/>
      <c r="K61" s="28"/>
      <c r="L61" s="120"/>
      <c r="M61" s="28"/>
      <c r="N61" s="120"/>
      <c r="O61" s="28"/>
      <c r="P61" s="120"/>
      <c r="Q61" s="296"/>
      <c r="V61" s="185"/>
    </row>
    <row r="62" spans="1:22" ht="18" customHeight="1">
      <c r="A62" s="96"/>
      <c r="C62" s="120"/>
      <c r="D62" s="120" t="s">
        <v>738</v>
      </c>
      <c r="E62" s="218" t="s">
        <v>127</v>
      </c>
      <c r="F62" s="1188">
        <f>F61*1000</f>
        <v>47.770700636942678</v>
      </c>
      <c r="G62" s="1188"/>
      <c r="H62" s="28" t="s">
        <v>343</v>
      </c>
      <c r="I62" s="27"/>
      <c r="J62" s="120"/>
      <c r="K62" s="28"/>
      <c r="L62" s="120"/>
      <c r="M62" s="28"/>
      <c r="N62" s="120"/>
      <c r="O62" s="28"/>
      <c r="P62" s="120"/>
      <c r="Q62" s="296"/>
      <c r="V62" s="185"/>
    </row>
    <row r="63" spans="1:22" ht="18" customHeight="1">
      <c r="A63" s="184"/>
      <c r="G63" s="27"/>
      <c r="H63" s="245"/>
      <c r="I63" s="245"/>
      <c r="J63" s="460"/>
      <c r="K63" s="245"/>
      <c r="L63" s="460"/>
      <c r="M63" s="245"/>
      <c r="N63" s="460"/>
      <c r="O63" s="245"/>
      <c r="P63" s="460"/>
      <c r="Q63" s="461"/>
      <c r="V63" s="185"/>
    </row>
    <row r="64" spans="1:22" ht="18" customHeight="1">
      <c r="A64" s="184"/>
      <c r="B64" s="14" t="s">
        <v>741</v>
      </c>
      <c r="E64" s="28" t="s">
        <v>127</v>
      </c>
      <c r="F64" s="27">
        <v>10</v>
      </c>
      <c r="G64" s="27"/>
      <c r="H64" s="245"/>
      <c r="I64" s="245"/>
      <c r="J64" s="460"/>
      <c r="K64" s="245"/>
      <c r="L64" s="460"/>
      <c r="M64" s="245"/>
      <c r="N64" s="460"/>
      <c r="O64" s="245"/>
      <c r="P64" s="460"/>
      <c r="Q64" s="461"/>
      <c r="V64" s="185"/>
    </row>
    <row r="65" spans="1:22" ht="18" customHeight="1">
      <c r="A65" s="184"/>
      <c r="G65" s="27"/>
      <c r="H65" s="245"/>
      <c r="I65" s="245"/>
      <c r="J65" s="460"/>
      <c r="K65" s="245"/>
      <c r="L65" s="460"/>
      <c r="M65" s="245"/>
      <c r="N65" s="460"/>
      <c r="O65" s="245"/>
      <c r="P65" s="460"/>
      <c r="Q65" s="461"/>
      <c r="V65" s="185"/>
    </row>
    <row r="66" spans="1:22" ht="18" customHeight="1">
      <c r="A66" s="184"/>
      <c r="B66" s="7" t="s">
        <v>742</v>
      </c>
      <c r="F66" s="7"/>
      <c r="G66" s="7"/>
      <c r="H66" s="204"/>
      <c r="I66" s="204"/>
      <c r="V66" s="185"/>
    </row>
    <row r="67" spans="1:22" ht="17.399999999999999" customHeight="1">
      <c r="A67" s="184"/>
      <c r="B67" s="7"/>
      <c r="E67" s="30" t="s">
        <v>743</v>
      </c>
      <c r="F67" s="7"/>
      <c r="G67" s="7"/>
      <c r="V67" s="185"/>
    </row>
    <row r="68" spans="1:22" ht="17.399999999999999" customHeight="1">
      <c r="A68" s="184"/>
      <c r="B68" s="7"/>
      <c r="E68" s="14"/>
      <c r="F68" s="7"/>
      <c r="G68" s="7"/>
      <c r="V68" s="185"/>
    </row>
    <row r="69" spans="1:22" ht="17.399999999999999" customHeight="1">
      <c r="A69" s="184"/>
      <c r="B69" s="14" t="s">
        <v>744</v>
      </c>
      <c r="C69" s="14"/>
      <c r="D69" s="14"/>
      <c r="E69" s="14"/>
      <c r="F69" s="14"/>
      <c r="G69" s="120"/>
      <c r="H69" s="120"/>
      <c r="V69" s="185"/>
    </row>
    <row r="70" spans="1:22" ht="17.399999999999999" customHeight="1">
      <c r="A70" s="184"/>
      <c r="B70" s="14"/>
      <c r="C70" s="120" t="s">
        <v>745</v>
      </c>
      <c r="D70" s="28" t="s">
        <v>127</v>
      </c>
      <c r="E70" s="28">
        <v>10</v>
      </c>
      <c r="F70" s="14"/>
      <c r="G70" s="47" t="s">
        <v>746</v>
      </c>
      <c r="H70" s="120"/>
      <c r="V70" s="185"/>
    </row>
    <row r="71" spans="1:22" ht="17.399999999999999" customHeight="1">
      <c r="A71" s="184"/>
      <c r="B71" s="7"/>
      <c r="E71" s="14"/>
      <c r="F71" s="7"/>
      <c r="G71" s="7"/>
      <c r="V71" s="185"/>
    </row>
    <row r="72" spans="1:22" ht="17.399999999999999" customHeight="1">
      <c r="A72" s="184"/>
      <c r="B72" s="47" t="s">
        <v>747</v>
      </c>
      <c r="E72" s="14"/>
      <c r="F72" s="7"/>
      <c r="G72" s="7"/>
      <c r="V72" s="185"/>
    </row>
    <row r="73" spans="1:22" ht="17.399999999999999" customHeight="1">
      <c r="A73" s="184"/>
      <c r="B73" s="47" t="s">
        <v>748</v>
      </c>
      <c r="E73" s="14"/>
      <c r="F73" s="7"/>
      <c r="G73" s="7"/>
      <c r="V73" s="185"/>
    </row>
    <row r="74" spans="1:22" ht="17.399999999999999" customHeight="1" thickBot="1">
      <c r="A74" s="184"/>
      <c r="B74" s="102" t="s">
        <v>127</v>
      </c>
      <c r="C74" s="120">
        <f>E70</f>
        <v>10</v>
      </c>
      <c r="D74" s="28" t="s">
        <v>315</v>
      </c>
      <c r="E74" s="28" t="s">
        <v>419</v>
      </c>
      <c r="F74" s="692">
        <f>S29</f>
        <v>8</v>
      </c>
      <c r="G74" s="692"/>
      <c r="H74" s="102" t="s">
        <v>347</v>
      </c>
      <c r="I74" s="218">
        <f>S30</f>
        <v>1.0870224400000001</v>
      </c>
      <c r="J74" s="240" t="s">
        <v>347</v>
      </c>
      <c r="K74" s="281">
        <f>J18</f>
        <v>0.01</v>
      </c>
      <c r="L74" s="14" t="s">
        <v>350</v>
      </c>
      <c r="M74" s="14" t="s">
        <v>315</v>
      </c>
      <c r="N74" s="28">
        <v>1</v>
      </c>
      <c r="V74" s="185"/>
    </row>
    <row r="75" spans="1:22" ht="17.399999999999999" customHeight="1" thickBot="1">
      <c r="A75" s="184"/>
      <c r="B75" s="462" t="s">
        <v>528</v>
      </c>
      <c r="C75" s="463" t="s">
        <v>127</v>
      </c>
      <c r="D75" s="464">
        <f>C74*(F74+I74+K74)*N74</f>
        <v>90.970224400000006</v>
      </c>
      <c r="E75" s="14" t="s">
        <v>305</v>
      </c>
      <c r="F75" s="7"/>
      <c r="G75" s="7"/>
      <c r="V75" s="185"/>
    </row>
    <row r="76" spans="1:22" ht="17.399999999999999" customHeight="1">
      <c r="A76" s="184"/>
      <c r="B76" s="7"/>
      <c r="E76" s="14"/>
      <c r="F76" s="7"/>
      <c r="G76" s="7"/>
      <c r="V76" s="185"/>
    </row>
    <row r="77" spans="1:22" ht="17.399999999999999" customHeight="1">
      <c r="A77" s="184"/>
      <c r="B77" s="47" t="s">
        <v>749</v>
      </c>
      <c r="E77" s="14"/>
      <c r="F77" s="7"/>
      <c r="G77" s="7"/>
      <c r="J77" s="14" t="s">
        <v>750</v>
      </c>
      <c r="L77" s="28" t="s">
        <v>476</v>
      </c>
      <c r="N77" s="14" t="s">
        <v>751</v>
      </c>
      <c r="V77" s="185"/>
    </row>
    <row r="78" spans="1:22" ht="17.399999999999999" customHeight="1">
      <c r="A78" s="184"/>
      <c r="B78" s="7"/>
      <c r="E78" s="14"/>
      <c r="F78" s="7"/>
      <c r="G78" s="7"/>
      <c r="L78" s="28" t="s">
        <v>127</v>
      </c>
      <c r="N78" s="1251">
        <f>0.8*D75</f>
        <v>72.776179520000014</v>
      </c>
      <c r="O78" s="1251"/>
      <c r="V78" s="185"/>
    </row>
    <row r="79" spans="1:22" ht="17.399999999999999" customHeight="1">
      <c r="A79" s="184"/>
      <c r="B79" s="7"/>
      <c r="E79" s="14"/>
      <c r="F79" s="14" t="s">
        <v>752</v>
      </c>
      <c r="G79" s="7"/>
      <c r="L79" s="28" t="s">
        <v>127</v>
      </c>
      <c r="N79" s="1072">
        <f>N78*1.2</f>
        <v>87.331415424000014</v>
      </c>
      <c r="O79" s="1072"/>
      <c r="V79" s="185"/>
    </row>
    <row r="80" spans="1:22" ht="17.399999999999999" customHeight="1">
      <c r="A80" s="184"/>
      <c r="K80" s="199" t="s">
        <v>475</v>
      </c>
      <c r="L80" s="28" t="str">
        <f>IF(I81&gt;M81,"&gt;","&lt;")</f>
        <v>&gt;</v>
      </c>
      <c r="M80" s="257" t="s">
        <v>477</v>
      </c>
      <c r="O80" s="18"/>
      <c r="P80" s="268"/>
      <c r="V80" s="185"/>
    </row>
    <row r="81" spans="1:23" ht="17.399999999999999" customHeight="1">
      <c r="A81" s="184"/>
      <c r="I81" s="795">
        <f>S28</f>
        <v>900</v>
      </c>
      <c r="J81" s="795"/>
      <c r="K81" s="27"/>
      <c r="L81" s="27" t="str">
        <f>IF(I81&gt;=M81,"&gt;","&lt;")</f>
        <v>&gt;</v>
      </c>
      <c r="M81" s="795">
        <f>N79</f>
        <v>87.331415424000014</v>
      </c>
      <c r="N81" s="795"/>
      <c r="P81" s="268"/>
      <c r="V81" s="185"/>
    </row>
    <row r="82" spans="1:23" ht="17.399999999999999" customHeight="1">
      <c r="A82" s="184"/>
      <c r="K82" s="244" t="s">
        <v>478</v>
      </c>
      <c r="M82" s="18" t="str">
        <f>IF(I81&gt;M81,"Suitably Dimensioned","Under Dimensioned")</f>
        <v>Suitably Dimensioned</v>
      </c>
      <c r="V82" s="185"/>
    </row>
    <row r="83" spans="1:23" ht="17.399999999999999" customHeight="1">
      <c r="A83" s="184"/>
      <c r="K83" s="244"/>
      <c r="M83" s="18"/>
      <c r="V83" s="185"/>
    </row>
    <row r="84" spans="1:23" ht="17.399999999999999" customHeight="1">
      <c r="A84" s="184"/>
      <c r="K84" s="244"/>
      <c r="M84" s="18"/>
      <c r="V84" s="185"/>
    </row>
    <row r="85" spans="1:23" ht="15.6" customHeight="1">
      <c r="A85" s="184"/>
      <c r="B85" s="7"/>
      <c r="E85" s="14"/>
      <c r="F85" s="7"/>
      <c r="G85" s="7"/>
      <c r="V85" s="185"/>
    </row>
    <row r="86" spans="1:23" s="14" customFormat="1" ht="15.6" customHeight="1">
      <c r="A86" s="194"/>
      <c r="B86" s="195"/>
      <c r="C86" s="195"/>
      <c r="D86" s="195"/>
      <c r="E86" s="195"/>
      <c r="F86" s="195"/>
      <c r="G86" s="195"/>
      <c r="H86" s="195"/>
      <c r="I86" s="195"/>
      <c r="J86" s="195"/>
      <c r="K86" s="195"/>
      <c r="L86" s="195"/>
      <c r="M86" s="195"/>
      <c r="N86" s="195"/>
      <c r="O86" s="195"/>
      <c r="P86" s="195"/>
      <c r="Q86" s="224"/>
      <c r="R86" s="182"/>
      <c r="S86" s="225"/>
      <c r="T86" s="195"/>
      <c r="U86" s="195"/>
      <c r="V86" s="134"/>
    </row>
    <row r="87" spans="1:23" ht="18" customHeight="1">
      <c r="A87" s="226"/>
      <c r="B87" s="227"/>
      <c r="C87" s="227"/>
      <c r="D87" s="227"/>
      <c r="E87" s="227"/>
      <c r="F87" s="227"/>
      <c r="G87" s="227"/>
      <c r="H87" s="227"/>
      <c r="I87" s="227"/>
      <c r="J87" s="227"/>
      <c r="K87" s="227"/>
      <c r="L87" s="227"/>
      <c r="M87" s="227"/>
      <c r="N87" s="227"/>
      <c r="O87" s="227"/>
      <c r="P87" s="227"/>
      <c r="Q87" s="227"/>
      <c r="R87" s="227"/>
      <c r="S87" s="227"/>
      <c r="T87" s="227"/>
      <c r="U87" s="227"/>
      <c r="V87" s="228"/>
    </row>
    <row r="88" spans="1:23" ht="18" customHeight="1">
      <c r="A88" s="184"/>
      <c r="B88" s="835" t="str">
        <f>B7</f>
        <v>T1</v>
      </c>
      <c r="C88" s="836"/>
      <c r="D88" s="1118" t="str">
        <f>D7</f>
        <v>Core4</v>
      </c>
      <c r="E88" s="1290"/>
      <c r="F88" s="455"/>
      <c r="H88" s="684" t="str">
        <f>H7</f>
        <v>(MAIN-1 BBP+BFP)</v>
      </c>
      <c r="I88" s="684"/>
      <c r="J88" s="684"/>
      <c r="K88" s="684"/>
      <c r="L88" s="684"/>
      <c r="M88" s="684"/>
      <c r="P88" s="186"/>
      <c r="S88" s="187" t="s">
        <v>387</v>
      </c>
      <c r="T88" s="835" t="str">
        <f>T7</f>
        <v>REB500</v>
      </c>
      <c r="U88" s="836"/>
      <c r="V88" s="185"/>
    </row>
    <row r="89" spans="1:23" ht="18" customHeight="1">
      <c r="A89" s="456"/>
      <c r="F89" s="455"/>
      <c r="T89" s="839">
        <f>T8</f>
        <v>0</v>
      </c>
      <c r="U89" s="840"/>
      <c r="V89" s="185"/>
    </row>
    <row r="90" spans="1:23" ht="18" customHeight="1">
      <c r="A90" s="184"/>
      <c r="H90" s="708" t="s">
        <v>390</v>
      </c>
      <c r="I90" s="708"/>
      <c r="J90" s="789" t="s">
        <v>391</v>
      </c>
      <c r="K90" s="789"/>
      <c r="L90" s="790" t="s">
        <v>392</v>
      </c>
      <c r="M90" s="790"/>
      <c r="T90" s="839">
        <f>T9</f>
        <v>0</v>
      </c>
      <c r="U90" s="840"/>
      <c r="V90" s="185"/>
    </row>
    <row r="91" spans="1:23" ht="18" customHeight="1">
      <c r="A91" s="184"/>
      <c r="B91" s="47" t="s">
        <v>393</v>
      </c>
      <c r="H91" s="835">
        <f>H10</f>
        <v>3200</v>
      </c>
      <c r="I91" s="836"/>
      <c r="J91" s="835">
        <f>J10</f>
        <v>2000</v>
      </c>
      <c r="K91" s="836"/>
      <c r="L91" s="835" t="str">
        <f>L10</f>
        <v>-</v>
      </c>
      <c r="M91" s="836"/>
      <c r="N91" s="191" t="s">
        <v>342</v>
      </c>
      <c r="O91" s="488">
        <f>O10</f>
        <v>1</v>
      </c>
      <c r="P91" s="27" t="s">
        <v>8</v>
      </c>
      <c r="R91" s="255"/>
      <c r="S91" s="255"/>
      <c r="V91" s="185"/>
    </row>
    <row r="92" spans="1:23" ht="18" customHeight="1">
      <c r="A92" s="184"/>
      <c r="B92" s="47" t="s">
        <v>394</v>
      </c>
      <c r="H92" s="14"/>
      <c r="I92" s="14"/>
      <c r="J92" s="835" t="str">
        <f>H11</f>
        <v>PX</v>
      </c>
      <c r="K92" s="836"/>
      <c r="L92" s="14"/>
      <c r="M92" s="14"/>
      <c r="V92" s="185"/>
    </row>
    <row r="93" spans="1:23" ht="18" customHeight="1">
      <c r="A93" s="184"/>
      <c r="B93" s="47" t="s">
        <v>396</v>
      </c>
      <c r="I93" s="120" t="s">
        <v>497</v>
      </c>
      <c r="J93" s="781">
        <v>5</v>
      </c>
      <c r="K93" s="782"/>
      <c r="L93" s="192" t="s">
        <v>333</v>
      </c>
      <c r="V93" s="185"/>
    </row>
    <row r="94" spans="1:23" ht="18" customHeight="1">
      <c r="A94" s="184"/>
      <c r="B94" s="47" t="s">
        <v>398</v>
      </c>
      <c r="I94" s="120" t="s">
        <v>498</v>
      </c>
      <c r="J94" s="781">
        <v>500</v>
      </c>
      <c r="K94" s="782"/>
      <c r="L94" s="14" t="s">
        <v>305</v>
      </c>
      <c r="T94" s="295"/>
      <c r="U94" s="18"/>
      <c r="V94" s="185"/>
      <c r="W94" s="30" t="str">
        <f>M160</f>
        <v>Required Vk</v>
      </c>
    </row>
    <row r="95" spans="1:23" ht="18" customHeight="1">
      <c r="A95" s="184"/>
      <c r="B95" s="14" t="s">
        <v>401</v>
      </c>
      <c r="I95" s="120" t="s">
        <v>402</v>
      </c>
      <c r="J95" s="781">
        <v>20</v>
      </c>
      <c r="K95" s="782"/>
      <c r="L95" s="14" t="s">
        <v>403</v>
      </c>
      <c r="V95" s="185"/>
    </row>
    <row r="96" spans="1:23" ht="18" customHeight="1">
      <c r="A96" s="184"/>
      <c r="V96" s="185"/>
    </row>
    <row r="97" spans="1:22" ht="18" customHeight="1">
      <c r="A97" s="193" t="s">
        <v>404</v>
      </c>
      <c r="V97" s="185"/>
    </row>
    <row r="98" spans="1:22" ht="18" customHeight="1">
      <c r="A98" s="184"/>
      <c r="V98" s="185"/>
    </row>
    <row r="99" spans="1:22" ht="18" customHeight="1">
      <c r="A99" s="184"/>
      <c r="B99" s="135" t="s">
        <v>405</v>
      </c>
      <c r="C99" s="273"/>
      <c r="D99" s="139" t="str">
        <f>T88</f>
        <v>REB500</v>
      </c>
      <c r="E99" s="227"/>
      <c r="F99" s="227"/>
      <c r="G99" s="227"/>
      <c r="H99" s="138"/>
      <c r="I99" s="260" t="s">
        <v>127</v>
      </c>
      <c r="J99" s="722">
        <f>J18</f>
        <v>0.01</v>
      </c>
      <c r="K99" s="958"/>
      <c r="L99" s="3" t="s">
        <v>157</v>
      </c>
      <c r="N99" s="197" t="s">
        <v>510</v>
      </c>
      <c r="V99" s="185"/>
    </row>
    <row r="100" spans="1:22" ht="18" customHeight="1">
      <c r="A100" s="184"/>
      <c r="B100" s="96" t="s">
        <v>405</v>
      </c>
      <c r="C100" s="14"/>
      <c r="D100" s="47">
        <f>T89</f>
        <v>0</v>
      </c>
      <c r="H100" s="28"/>
      <c r="I100" s="101" t="s">
        <v>127</v>
      </c>
      <c r="J100" s="722">
        <f>J19</f>
        <v>0</v>
      </c>
      <c r="K100" s="958"/>
      <c r="L100" s="3" t="s">
        <v>157</v>
      </c>
      <c r="N100" s="120" t="s">
        <v>491</v>
      </c>
      <c r="O100" s="27" t="s">
        <v>127</v>
      </c>
      <c r="P100" s="27" t="s">
        <v>511</v>
      </c>
      <c r="Q100" s="27" t="s">
        <v>315</v>
      </c>
      <c r="R100" s="27" t="s">
        <v>511</v>
      </c>
      <c r="S100" s="27" t="s">
        <v>315</v>
      </c>
      <c r="T100" s="27" t="s">
        <v>420</v>
      </c>
      <c r="V100" s="185"/>
    </row>
    <row r="101" spans="1:22" ht="18" customHeight="1">
      <c r="A101" s="184"/>
      <c r="B101" s="96" t="s">
        <v>405</v>
      </c>
      <c r="C101" s="14"/>
      <c r="D101" s="47">
        <f>T90</f>
        <v>0</v>
      </c>
      <c r="H101" s="28"/>
      <c r="I101" s="101" t="s">
        <v>127</v>
      </c>
      <c r="J101" s="722">
        <f>J20</f>
        <v>0</v>
      </c>
      <c r="K101" s="958"/>
      <c r="L101" s="3" t="s">
        <v>157</v>
      </c>
      <c r="N101" s="27"/>
      <c r="O101" s="27" t="s">
        <v>127</v>
      </c>
      <c r="P101" s="27">
        <f>O91</f>
        <v>1</v>
      </c>
      <c r="Q101" s="27" t="s">
        <v>315</v>
      </c>
      <c r="R101" s="27">
        <f>O91</f>
        <v>1</v>
      </c>
      <c r="S101" s="27" t="s">
        <v>315</v>
      </c>
      <c r="T101" s="27">
        <f>J93</f>
        <v>5</v>
      </c>
      <c r="V101" s="185"/>
    </row>
    <row r="102" spans="1:22" ht="18" customHeight="1">
      <c r="A102" s="184"/>
      <c r="B102" s="452" t="s">
        <v>412</v>
      </c>
      <c r="C102" s="259"/>
      <c r="D102" s="259"/>
      <c r="E102" s="259"/>
      <c r="F102" s="207"/>
      <c r="G102" s="207"/>
      <c r="H102" s="190"/>
      <c r="I102" s="208" t="s">
        <v>127</v>
      </c>
      <c r="J102" s="1120">
        <f>J21</f>
        <v>1.0770224400000001</v>
      </c>
      <c r="K102" s="987"/>
      <c r="L102" s="297" t="s">
        <v>157</v>
      </c>
      <c r="O102" s="27" t="s">
        <v>127</v>
      </c>
      <c r="P102" s="795">
        <f>P101*R101*T101</f>
        <v>5</v>
      </c>
      <c r="Q102" s="684"/>
      <c r="R102" s="27" t="s">
        <v>157</v>
      </c>
      <c r="V102" s="185"/>
    </row>
    <row r="103" spans="1:22" ht="18" customHeight="1">
      <c r="A103" s="184"/>
      <c r="B103" s="1" t="s">
        <v>413</v>
      </c>
      <c r="C103" s="2"/>
      <c r="D103" s="2"/>
      <c r="E103" s="2"/>
      <c r="F103" s="196"/>
      <c r="G103" s="196"/>
      <c r="H103" s="224" t="s">
        <v>512</v>
      </c>
      <c r="I103" s="183" t="s">
        <v>127</v>
      </c>
      <c r="J103" s="722">
        <f>SUM(J99:J102)</f>
        <v>1.0870224400000001</v>
      </c>
      <c r="K103" s="958"/>
      <c r="L103" s="3" t="s">
        <v>157</v>
      </c>
      <c r="V103" s="185"/>
    </row>
    <row r="104" spans="1:22" ht="18" customHeight="1">
      <c r="A104" s="184"/>
      <c r="B104" s="47"/>
      <c r="C104" s="47"/>
      <c r="D104" s="47"/>
      <c r="E104" s="47"/>
      <c r="H104" s="27"/>
      <c r="I104" s="28"/>
      <c r="J104" s="199"/>
      <c r="L104" s="47"/>
      <c r="S104" s="27"/>
      <c r="V104" s="185"/>
    </row>
    <row r="105" spans="1:22" ht="18" customHeight="1">
      <c r="A105" s="258"/>
      <c r="B105" s="117" t="s">
        <v>712</v>
      </c>
      <c r="V105" s="185"/>
    </row>
    <row r="106" spans="1:22" ht="18" customHeight="1">
      <c r="A106" s="231"/>
      <c r="B106" s="5"/>
      <c r="C106" s="47" t="s">
        <v>713</v>
      </c>
      <c r="D106" s="14"/>
      <c r="E106" s="14"/>
      <c r="F106" s="14"/>
      <c r="G106" s="14"/>
      <c r="H106" s="279"/>
      <c r="I106" s="120"/>
      <c r="J106" s="279"/>
      <c r="K106" s="279"/>
      <c r="L106" s="14"/>
      <c r="M106" s="14"/>
      <c r="N106" s="14"/>
      <c r="O106" s="14"/>
      <c r="P106" s="14"/>
      <c r="Q106" s="120" t="s">
        <v>714</v>
      </c>
      <c r="R106" s="102" t="s">
        <v>127</v>
      </c>
      <c r="S106" s="689">
        <v>31500</v>
      </c>
      <c r="T106" s="689"/>
      <c r="U106" s="47" t="s">
        <v>8</v>
      </c>
      <c r="V106" s="97" t="s">
        <v>129</v>
      </c>
    </row>
    <row r="107" spans="1:22" ht="18" customHeight="1">
      <c r="A107" s="184"/>
      <c r="B107" s="5"/>
      <c r="C107" s="47" t="s">
        <v>545</v>
      </c>
      <c r="D107" s="14"/>
      <c r="E107" s="14"/>
      <c r="F107" s="18"/>
      <c r="G107" s="18"/>
      <c r="H107" s="279"/>
      <c r="I107" s="120"/>
      <c r="J107" s="279"/>
      <c r="K107" s="279"/>
      <c r="L107" s="14"/>
      <c r="M107" s="14"/>
      <c r="N107" s="14"/>
      <c r="O107" s="14"/>
      <c r="P107" s="14"/>
      <c r="Q107" s="120" t="s">
        <v>423</v>
      </c>
      <c r="R107" s="102" t="s">
        <v>127</v>
      </c>
      <c r="S107" s="689">
        <f>J91</f>
        <v>2000</v>
      </c>
      <c r="T107" s="689"/>
      <c r="U107" s="14" t="s">
        <v>8</v>
      </c>
      <c r="V107" s="185"/>
    </row>
    <row r="108" spans="1:22" ht="18" customHeight="1">
      <c r="A108" s="184"/>
      <c r="B108" s="5"/>
      <c r="C108" s="47" t="s">
        <v>715</v>
      </c>
      <c r="D108" s="14"/>
      <c r="E108" s="14"/>
      <c r="F108" s="18"/>
      <c r="G108" s="18"/>
      <c r="H108" s="279"/>
      <c r="I108" s="120"/>
      <c r="J108" s="279"/>
      <c r="K108" s="279"/>
      <c r="L108" s="14"/>
      <c r="M108" s="14"/>
      <c r="N108" s="14"/>
      <c r="O108" s="14"/>
      <c r="P108" s="14"/>
      <c r="Q108" s="120" t="s">
        <v>716</v>
      </c>
      <c r="R108" s="102" t="s">
        <v>127</v>
      </c>
      <c r="S108" s="689">
        <v>33</v>
      </c>
      <c r="T108" s="689"/>
      <c r="U108" s="14" t="s">
        <v>163</v>
      </c>
      <c r="V108" s="185"/>
    </row>
    <row r="109" spans="1:22" ht="18" customHeight="1">
      <c r="A109" s="184"/>
      <c r="B109" s="5"/>
      <c r="C109" s="47" t="s">
        <v>546</v>
      </c>
      <c r="D109" s="14"/>
      <c r="E109" s="14"/>
      <c r="F109" s="18"/>
      <c r="G109" s="18"/>
      <c r="H109" s="279"/>
      <c r="I109" s="120"/>
      <c r="J109" s="279"/>
      <c r="K109" s="279"/>
      <c r="L109" s="14"/>
      <c r="M109" s="14"/>
      <c r="N109" s="14"/>
      <c r="O109" s="14"/>
      <c r="P109" s="14"/>
      <c r="Q109" s="120" t="s">
        <v>473</v>
      </c>
      <c r="R109" s="102" t="s">
        <v>127</v>
      </c>
      <c r="S109" s="689">
        <f>J94</f>
        <v>500</v>
      </c>
      <c r="T109" s="689"/>
      <c r="U109" s="14" t="s">
        <v>305</v>
      </c>
      <c r="V109" s="185"/>
    </row>
    <row r="110" spans="1:22" ht="18" customHeight="1">
      <c r="A110" s="184"/>
      <c r="B110" s="5"/>
      <c r="C110" s="47" t="s">
        <v>717</v>
      </c>
      <c r="D110" s="14"/>
      <c r="E110" s="14"/>
      <c r="F110" s="18"/>
      <c r="G110" s="18"/>
      <c r="H110" s="279"/>
      <c r="I110" s="120"/>
      <c r="J110" s="279"/>
      <c r="K110" s="279"/>
      <c r="L110" s="14"/>
      <c r="M110" s="14"/>
      <c r="N110" s="14"/>
      <c r="O110" s="14"/>
      <c r="P110" s="14"/>
      <c r="Q110" s="120" t="s">
        <v>420</v>
      </c>
      <c r="R110" s="102" t="s">
        <v>127</v>
      </c>
      <c r="S110" s="692">
        <f>P102</f>
        <v>5</v>
      </c>
      <c r="T110" s="689"/>
      <c r="U110" s="14" t="s">
        <v>157</v>
      </c>
      <c r="V110" s="185"/>
    </row>
    <row r="111" spans="1:22" ht="18" customHeight="1">
      <c r="A111" s="184"/>
      <c r="B111" s="5"/>
      <c r="C111" s="47" t="s">
        <v>718</v>
      </c>
      <c r="D111" s="14"/>
      <c r="E111" s="14"/>
      <c r="F111" s="18"/>
      <c r="G111" s="18"/>
      <c r="H111" s="279"/>
      <c r="I111" s="120"/>
      <c r="J111" s="279"/>
      <c r="K111" s="279"/>
      <c r="L111" s="14"/>
      <c r="M111" s="14"/>
      <c r="N111" s="14"/>
      <c r="O111" s="14"/>
      <c r="P111" s="14"/>
      <c r="Q111" s="120" t="s">
        <v>522</v>
      </c>
      <c r="R111" s="102" t="s">
        <v>127</v>
      </c>
      <c r="S111" s="692">
        <f>J103</f>
        <v>1.0870224400000001</v>
      </c>
      <c r="T111" s="689"/>
      <c r="U111" s="14" t="s">
        <v>157</v>
      </c>
      <c r="V111" s="185"/>
    </row>
    <row r="112" spans="1:22" ht="18" customHeight="1">
      <c r="A112" s="168"/>
      <c r="B112" s="5"/>
      <c r="C112" s="47" t="s">
        <v>549</v>
      </c>
      <c r="D112" s="14"/>
      <c r="E112" s="14"/>
      <c r="F112" s="14"/>
      <c r="G112" s="14"/>
      <c r="H112" s="279"/>
      <c r="I112" s="120"/>
      <c r="J112" s="279"/>
      <c r="K112" s="279"/>
      <c r="L112" s="14"/>
      <c r="M112" s="14"/>
      <c r="N112" s="14"/>
      <c r="O112" s="14"/>
      <c r="P112" s="14"/>
      <c r="Q112" s="120" t="s">
        <v>714</v>
      </c>
      <c r="R112" s="102" t="s">
        <v>127</v>
      </c>
      <c r="S112" s="689">
        <f>O91</f>
        <v>1</v>
      </c>
      <c r="T112" s="689"/>
      <c r="U112" s="14" t="s">
        <v>8</v>
      </c>
      <c r="V112" s="185"/>
    </row>
    <row r="113" spans="1:25" ht="18" customHeight="1">
      <c r="A113" s="168"/>
      <c r="B113" s="5"/>
      <c r="C113" s="47" t="s">
        <v>719</v>
      </c>
      <c r="D113" s="14"/>
      <c r="E113" s="14"/>
      <c r="F113" s="14"/>
      <c r="G113" s="14"/>
      <c r="H113" s="279"/>
      <c r="I113" s="120"/>
      <c r="J113" s="279"/>
      <c r="K113" s="279"/>
      <c r="L113" s="14"/>
      <c r="M113" s="14"/>
      <c r="N113" s="14"/>
      <c r="O113" s="14"/>
      <c r="P113" s="14"/>
      <c r="Q113" s="120" t="s">
        <v>720</v>
      </c>
      <c r="R113" s="102" t="s">
        <v>127</v>
      </c>
      <c r="S113" s="689">
        <v>50</v>
      </c>
      <c r="T113" s="689"/>
      <c r="U113" s="47"/>
      <c r="V113" s="185"/>
    </row>
    <row r="114" spans="1:25" ht="18" customHeight="1">
      <c r="A114" s="168"/>
      <c r="C114" s="18" t="s">
        <v>721</v>
      </c>
      <c r="D114" s="14"/>
      <c r="E114" s="14"/>
      <c r="F114" s="14"/>
      <c r="G114" s="14"/>
      <c r="H114" s="14"/>
      <c r="I114" s="14"/>
      <c r="J114" s="14"/>
      <c r="K114" s="14"/>
      <c r="L114" s="14"/>
      <c r="M114" s="14"/>
      <c r="N114" s="14"/>
      <c r="O114" s="14"/>
      <c r="P114" s="14"/>
      <c r="Q114" s="14"/>
      <c r="R114" s="14"/>
      <c r="S114" s="14"/>
      <c r="T114" s="14"/>
      <c r="U114" s="14"/>
      <c r="V114" s="185"/>
      <c r="W114" s="279"/>
      <c r="X114" s="279"/>
      <c r="Y114" s="279"/>
    </row>
    <row r="115" spans="1:25" ht="18" customHeight="1">
      <c r="A115" s="168"/>
      <c r="C115" s="28"/>
      <c r="D115" s="47" t="s">
        <v>722</v>
      </c>
      <c r="E115" s="28"/>
      <c r="F115" s="28"/>
      <c r="G115" s="28"/>
      <c r="H115" s="14"/>
      <c r="I115" s="14"/>
      <c r="J115" s="28"/>
      <c r="K115" s="28"/>
      <c r="L115" s="28"/>
      <c r="M115" s="28"/>
      <c r="N115" s="47"/>
      <c r="O115" s="28"/>
      <c r="V115" s="185"/>
      <c r="X115" s="279"/>
      <c r="Y115" s="279"/>
    </row>
    <row r="116" spans="1:25" ht="18" customHeight="1">
      <c r="A116" s="168"/>
      <c r="D116" s="27"/>
      <c r="E116" s="27"/>
      <c r="F116" s="27"/>
      <c r="G116" s="27"/>
      <c r="I116" s="689" t="s">
        <v>723</v>
      </c>
      <c r="J116" s="689" t="s">
        <v>127</v>
      </c>
      <c r="K116" s="695" t="s">
        <v>714</v>
      </c>
      <c r="L116" s="695"/>
      <c r="M116" s="27"/>
      <c r="N116" s="296"/>
      <c r="O116" s="222"/>
      <c r="V116" s="185"/>
      <c r="X116" s="279"/>
      <c r="Y116" s="279"/>
    </row>
    <row r="117" spans="1:25" ht="18" customHeight="1">
      <c r="A117" s="168"/>
      <c r="D117" s="27"/>
      <c r="G117" s="27"/>
      <c r="I117" s="689"/>
      <c r="J117" s="689"/>
      <c r="K117" s="1289" t="s">
        <v>724</v>
      </c>
      <c r="L117" s="1289"/>
      <c r="V117" s="185"/>
    </row>
    <row r="118" spans="1:25" ht="18" customHeight="1">
      <c r="A118" s="184"/>
      <c r="B118" s="18" t="s">
        <v>725</v>
      </c>
      <c r="C118" s="14"/>
      <c r="V118" s="185"/>
    </row>
    <row r="119" spans="1:25" ht="18" customHeight="1">
      <c r="A119" s="184"/>
      <c r="B119" s="28"/>
      <c r="C119" s="372" t="s">
        <v>726</v>
      </c>
      <c r="D119" s="14"/>
      <c r="E119" s="14"/>
      <c r="F119" s="14"/>
      <c r="G119" s="14"/>
      <c r="H119" s="14"/>
      <c r="I119" s="14"/>
      <c r="J119" s="14"/>
      <c r="K119" s="14"/>
      <c r="L119" s="14"/>
      <c r="M119" s="14"/>
      <c r="N119" s="14"/>
      <c r="O119" s="14"/>
      <c r="P119" s="28"/>
      <c r="Q119" s="120"/>
      <c r="R119" s="14"/>
      <c r="S119" s="14"/>
      <c r="T119" s="14"/>
      <c r="U119" s="14"/>
      <c r="V119" s="185"/>
    </row>
    <row r="120" spans="1:25" ht="18" customHeight="1">
      <c r="A120" s="184"/>
      <c r="B120" s="28"/>
      <c r="C120" s="7" t="s">
        <v>727</v>
      </c>
      <c r="D120" s="14"/>
      <c r="E120" s="14"/>
      <c r="F120" s="14"/>
      <c r="G120" s="14"/>
      <c r="H120" s="14"/>
      <c r="K120" s="14"/>
      <c r="L120" s="28"/>
      <c r="M120" s="47"/>
      <c r="N120" s="14"/>
      <c r="O120" s="14"/>
      <c r="P120" s="14"/>
      <c r="Q120" s="14"/>
      <c r="R120" s="14"/>
      <c r="S120" s="14"/>
      <c r="T120" s="14"/>
      <c r="U120" s="14"/>
      <c r="V120" s="185"/>
    </row>
    <row r="121" spans="1:25" ht="18" customHeight="1">
      <c r="A121" s="184"/>
      <c r="B121" s="14" t="s">
        <v>728</v>
      </c>
      <c r="C121" s="7"/>
      <c r="D121" s="14"/>
      <c r="E121" s="14"/>
      <c r="F121" s="268"/>
      <c r="K121" s="28"/>
      <c r="L121" s="28"/>
      <c r="M121" s="281"/>
      <c r="N121" s="28"/>
      <c r="O121" s="47"/>
      <c r="P121" s="14"/>
      <c r="Q121" s="14"/>
      <c r="R121" s="14"/>
      <c r="S121" s="14"/>
      <c r="T121" s="14"/>
      <c r="U121" s="14"/>
      <c r="V121" s="185"/>
    </row>
    <row r="122" spans="1:25" ht="18" customHeight="1">
      <c r="A122" s="184"/>
      <c r="B122" s="14"/>
      <c r="C122" s="14" t="s">
        <v>729</v>
      </c>
      <c r="D122" s="47"/>
      <c r="E122" s="14"/>
      <c r="F122" s="268"/>
      <c r="K122" s="28"/>
      <c r="L122" s="28"/>
      <c r="M122" s="14"/>
      <c r="N122" s="14"/>
      <c r="O122" s="14"/>
      <c r="P122" s="14"/>
      <c r="Q122" s="14"/>
      <c r="R122" s="14"/>
      <c r="S122" s="14"/>
      <c r="T122" s="14"/>
      <c r="U122" s="14"/>
      <c r="V122" s="185"/>
    </row>
    <row r="123" spans="1:25" ht="18" customHeight="1">
      <c r="A123" s="184"/>
      <c r="B123" s="14"/>
      <c r="C123" s="7" t="s">
        <v>730</v>
      </c>
      <c r="D123" s="14"/>
      <c r="E123" s="14"/>
      <c r="F123" s="14"/>
      <c r="G123" s="14"/>
      <c r="H123" s="14"/>
      <c r="K123" s="28"/>
      <c r="L123" s="28"/>
      <c r="M123" s="47"/>
      <c r="N123" s="14"/>
      <c r="O123" s="14"/>
      <c r="P123" s="14"/>
      <c r="Q123" s="14"/>
      <c r="R123" s="14"/>
      <c r="S123" s="14"/>
      <c r="T123" s="14"/>
      <c r="U123" s="14"/>
      <c r="V123" s="185"/>
    </row>
    <row r="124" spans="1:25" ht="18" customHeight="1">
      <c r="A124" s="184"/>
      <c r="B124" s="14"/>
      <c r="C124" s="7" t="s">
        <v>731</v>
      </c>
      <c r="K124" s="28"/>
      <c r="L124" s="28"/>
      <c r="M124" s="28"/>
      <c r="O124" s="14"/>
      <c r="P124" s="28"/>
      <c r="Q124" s="278"/>
      <c r="R124" s="28"/>
      <c r="S124" s="14"/>
      <c r="T124" s="14"/>
      <c r="U124" s="14"/>
      <c r="V124" s="185"/>
    </row>
    <row r="125" spans="1:25" ht="18" customHeight="1">
      <c r="A125" s="452"/>
      <c r="B125" s="207"/>
      <c r="C125" s="207"/>
      <c r="D125" s="207"/>
      <c r="E125" s="207"/>
      <c r="F125" s="207"/>
      <c r="G125" s="207"/>
      <c r="H125" s="207"/>
      <c r="I125" s="207"/>
      <c r="J125" s="207"/>
      <c r="K125" s="259" t="s">
        <v>129</v>
      </c>
      <c r="L125" s="259" t="s">
        <v>732</v>
      </c>
      <c r="M125" s="190"/>
      <c r="N125" s="259"/>
      <c r="O125" s="259"/>
      <c r="P125" s="229"/>
      <c r="Q125" s="473"/>
      <c r="R125" s="229"/>
      <c r="S125" s="259"/>
      <c r="T125" s="259"/>
      <c r="U125" s="259"/>
      <c r="V125" s="453"/>
    </row>
    <row r="126" spans="1:25" s="14" customFormat="1" ht="18" customHeight="1">
      <c r="A126" s="194"/>
      <c r="B126" s="195"/>
      <c r="C126" s="195"/>
      <c r="D126" s="195"/>
      <c r="E126" s="195"/>
      <c r="F126" s="195"/>
      <c r="G126" s="195"/>
      <c r="H126" s="195"/>
      <c r="I126" s="195"/>
      <c r="J126" s="195"/>
      <c r="K126" s="195"/>
      <c r="L126" s="195"/>
      <c r="M126" s="195"/>
      <c r="N126" s="195"/>
      <c r="O126" s="195"/>
      <c r="P126" s="195"/>
      <c r="Q126" s="224"/>
      <c r="R126" s="182"/>
      <c r="S126" s="225"/>
      <c r="T126" s="195"/>
      <c r="U126" s="195"/>
      <c r="V126" s="134"/>
    </row>
    <row r="127" spans="1:25" ht="18" customHeight="1">
      <c r="A127" s="226"/>
      <c r="B127" s="273"/>
      <c r="C127" s="273"/>
      <c r="D127" s="227"/>
      <c r="E127" s="227"/>
      <c r="F127" s="227"/>
      <c r="G127" s="227"/>
      <c r="H127" s="227"/>
      <c r="I127" s="227"/>
      <c r="J127" s="227"/>
      <c r="K127" s="311"/>
      <c r="L127" s="311"/>
      <c r="M127" s="227"/>
      <c r="N127" s="227"/>
      <c r="O127" s="311"/>
      <c r="P127" s="311"/>
      <c r="Q127" s="138"/>
      <c r="R127" s="227"/>
      <c r="S127" s="227"/>
      <c r="T127" s="273"/>
      <c r="U127" s="273"/>
      <c r="V127" s="228"/>
    </row>
    <row r="128" spans="1:25" ht="18" customHeight="1">
      <c r="A128" s="96"/>
      <c r="B128" s="7" t="s">
        <v>733</v>
      </c>
      <c r="C128" s="7"/>
      <c r="D128" s="14"/>
      <c r="E128" s="7"/>
      <c r="F128" s="7"/>
      <c r="L128" s="27"/>
      <c r="O128" s="27"/>
      <c r="P128" s="27"/>
      <c r="Q128" s="28"/>
      <c r="T128" s="14"/>
      <c r="U128" s="14"/>
      <c r="V128" s="185"/>
    </row>
    <row r="129" spans="1:22" ht="18" customHeight="1">
      <c r="A129" s="96"/>
      <c r="B129" s="14"/>
      <c r="C129" s="7"/>
      <c r="D129" s="7"/>
      <c r="E129" s="14"/>
      <c r="F129" s="7"/>
      <c r="L129" s="27"/>
      <c r="M129" s="14"/>
      <c r="O129" s="14"/>
      <c r="P129" s="14"/>
      <c r="Q129" s="14"/>
      <c r="R129" s="14"/>
      <c r="S129" s="14"/>
      <c r="T129" s="14"/>
      <c r="U129" s="14"/>
      <c r="V129" s="185"/>
    </row>
    <row r="130" spans="1:22" ht="18" customHeight="1">
      <c r="A130" s="96"/>
      <c r="B130" s="14"/>
      <c r="C130" s="120" t="s">
        <v>734</v>
      </c>
      <c r="D130" s="28" t="s">
        <v>127</v>
      </c>
      <c r="E130" s="805">
        <f>S106</f>
        <v>31500</v>
      </c>
      <c r="F130" s="805"/>
      <c r="G130" s="14"/>
      <c r="H130" s="14"/>
      <c r="I130" s="102"/>
      <c r="J130" s="47"/>
      <c r="K130" s="47"/>
      <c r="L130" s="14"/>
      <c r="M130" s="14"/>
      <c r="N130" s="14"/>
      <c r="O130" s="14"/>
      <c r="P130" s="14"/>
      <c r="Q130" s="14"/>
      <c r="R130" s="14"/>
      <c r="S130" s="14"/>
      <c r="T130" s="14"/>
      <c r="U130" s="14"/>
      <c r="V130" s="185"/>
    </row>
    <row r="131" spans="1:22" ht="18" customHeight="1">
      <c r="A131" s="96"/>
      <c r="B131" s="14"/>
      <c r="C131" s="120"/>
      <c r="D131" s="28"/>
      <c r="E131" s="978" t="str">
        <f>"5 x "&amp;S107&amp;""</f>
        <v>5 x 2000</v>
      </c>
      <c r="F131" s="978"/>
      <c r="G131" s="28"/>
      <c r="H131" s="257"/>
      <c r="K131" s="28"/>
      <c r="L131" s="218"/>
      <c r="M131" s="257"/>
      <c r="O131" s="14"/>
      <c r="P131" s="14"/>
      <c r="Q131" s="14"/>
      <c r="R131" s="14"/>
      <c r="S131" s="14"/>
      <c r="T131" s="14"/>
      <c r="U131" s="14"/>
      <c r="V131" s="185"/>
    </row>
    <row r="132" spans="1:22" ht="18" customHeight="1">
      <c r="A132" s="96"/>
      <c r="J132" s="14"/>
      <c r="K132" s="257"/>
      <c r="M132" s="14"/>
      <c r="N132" s="14"/>
      <c r="O132" s="14"/>
      <c r="P132" s="14"/>
      <c r="Q132" s="14"/>
      <c r="R132" s="14"/>
      <c r="S132" s="14"/>
      <c r="T132" s="14"/>
      <c r="U132" s="14"/>
      <c r="V132" s="185"/>
    </row>
    <row r="133" spans="1:22" ht="18" customHeight="1">
      <c r="A133" s="96"/>
      <c r="C133" s="458" t="s">
        <v>734</v>
      </c>
      <c r="D133" s="182" t="s">
        <v>127</v>
      </c>
      <c r="E133" s="1288">
        <f>S106/5/S107</f>
        <v>3.15</v>
      </c>
      <c r="F133" s="722"/>
      <c r="G133" s="27"/>
      <c r="H133" s="27"/>
      <c r="I133" s="27"/>
      <c r="J133" s="120"/>
      <c r="K133" s="28"/>
      <c r="L133" s="120"/>
      <c r="M133" s="28"/>
      <c r="N133" s="120"/>
      <c r="O133" s="28"/>
      <c r="P133" s="120"/>
      <c r="Q133" s="296"/>
      <c r="V133" s="185"/>
    </row>
    <row r="134" spans="1:22" ht="18" customHeight="1">
      <c r="A134" s="96"/>
      <c r="C134" s="120"/>
      <c r="D134" s="28"/>
      <c r="E134" s="218"/>
      <c r="F134" s="218"/>
      <c r="G134" s="27"/>
      <c r="H134" s="27"/>
      <c r="I134" s="27"/>
      <c r="J134" s="120"/>
      <c r="K134" s="28"/>
      <c r="L134" s="120"/>
      <c r="M134" s="28"/>
      <c r="N134" s="120"/>
      <c r="O134" s="28"/>
      <c r="P134" s="120"/>
      <c r="Q134" s="296"/>
      <c r="V134" s="185"/>
    </row>
    <row r="135" spans="1:22" ht="18" customHeight="1">
      <c r="A135" s="96"/>
      <c r="B135" s="14" t="s">
        <v>735</v>
      </c>
      <c r="C135" s="14"/>
      <c r="D135" s="14"/>
      <c r="E135" s="7"/>
      <c r="F135" s="102"/>
      <c r="G135" s="7"/>
      <c r="H135" s="7"/>
      <c r="I135" s="239"/>
      <c r="J135" s="120"/>
      <c r="K135" s="28"/>
      <c r="L135" s="120"/>
      <c r="M135" s="28"/>
      <c r="N135" s="120"/>
      <c r="O135" s="28"/>
      <c r="P135" s="120"/>
      <c r="Q135" s="296"/>
      <c r="V135" s="185"/>
    </row>
    <row r="136" spans="1:22" ht="18" customHeight="1">
      <c r="A136" s="96"/>
      <c r="C136" s="14"/>
      <c r="D136" s="14"/>
      <c r="E136" s="689" t="s">
        <v>736</v>
      </c>
      <c r="F136" s="689">
        <v>1</v>
      </c>
      <c r="G136" s="689"/>
      <c r="H136" s="689" t="s">
        <v>312</v>
      </c>
      <c r="I136" s="459" t="s">
        <v>312</v>
      </c>
      <c r="J136" s="120"/>
      <c r="K136" s="28"/>
      <c r="L136" s="120"/>
      <c r="M136" s="28"/>
      <c r="N136" s="120"/>
      <c r="O136" s="28"/>
      <c r="P136" s="120"/>
      <c r="Q136" s="296"/>
      <c r="V136" s="185"/>
    </row>
    <row r="137" spans="1:22" ht="18" customHeight="1">
      <c r="A137" s="96"/>
      <c r="C137" s="14"/>
      <c r="D137" s="14"/>
      <c r="E137" s="723"/>
      <c r="F137" s="273"/>
      <c r="G137" s="274" t="s">
        <v>737</v>
      </c>
      <c r="H137" s="689"/>
      <c r="I137" s="14" t="s">
        <v>141</v>
      </c>
      <c r="J137" s="120"/>
      <c r="K137" s="28"/>
      <c r="L137" s="120"/>
      <c r="M137" s="28"/>
      <c r="N137" s="120"/>
      <c r="O137" s="28"/>
      <c r="P137" s="120"/>
      <c r="Q137" s="296"/>
      <c r="V137" s="185"/>
    </row>
    <row r="138" spans="1:22" ht="18" customHeight="1">
      <c r="A138" s="96"/>
      <c r="C138" s="120"/>
      <c r="D138" s="28"/>
      <c r="E138" s="218"/>
      <c r="F138" s="218"/>
      <c r="G138" s="27"/>
      <c r="H138" s="27"/>
      <c r="I138" s="27"/>
      <c r="J138" s="120"/>
      <c r="K138" s="28"/>
      <c r="L138" s="120"/>
      <c r="M138" s="28"/>
      <c r="N138" s="120"/>
      <c r="O138" s="28"/>
      <c r="P138" s="120"/>
      <c r="Q138" s="296"/>
      <c r="V138" s="185"/>
    </row>
    <row r="139" spans="1:22" ht="18" customHeight="1">
      <c r="A139" s="96"/>
      <c r="B139" s="30" t="s">
        <v>959</v>
      </c>
      <c r="J139" s="120"/>
      <c r="K139" s="28"/>
      <c r="L139" s="120"/>
      <c r="M139" s="28"/>
      <c r="N139" s="121" t="s">
        <v>127</v>
      </c>
      <c r="O139" s="47">
        <v>15</v>
      </c>
      <c r="P139" s="120"/>
      <c r="Q139" s="296"/>
      <c r="V139" s="185"/>
    </row>
    <row r="140" spans="1:22" ht="18" customHeight="1">
      <c r="A140" s="184"/>
      <c r="C140" s="120"/>
      <c r="D140" s="28"/>
      <c r="E140" s="218"/>
      <c r="F140" s="218"/>
      <c r="G140" s="27"/>
      <c r="H140" s="27"/>
      <c r="I140" s="27"/>
      <c r="J140" s="120"/>
      <c r="K140" s="28"/>
      <c r="L140" s="120"/>
      <c r="M140" s="28"/>
      <c r="N140" s="120"/>
      <c r="O140" s="28"/>
      <c r="P140" s="120"/>
      <c r="Q140" s="296"/>
      <c r="V140" s="185"/>
    </row>
    <row r="141" spans="1:22" ht="18" customHeight="1">
      <c r="A141" s="96"/>
      <c r="C141" s="120"/>
      <c r="F141" s="708">
        <v>1</v>
      </c>
      <c r="G141" s="708"/>
      <c r="H141" s="708"/>
      <c r="I141" s="27"/>
      <c r="J141" s="689" t="s">
        <v>315</v>
      </c>
      <c r="K141" s="1286">
        <f>O139</f>
        <v>15</v>
      </c>
      <c r="L141" s="120"/>
      <c r="M141" s="28"/>
      <c r="N141" s="120"/>
      <c r="O141" s="28"/>
      <c r="P141" s="120"/>
      <c r="Q141" s="296"/>
      <c r="V141" s="185"/>
    </row>
    <row r="142" spans="1:22" ht="18" customHeight="1">
      <c r="A142" s="184"/>
      <c r="C142" s="120"/>
      <c r="D142" s="120" t="s">
        <v>738</v>
      </c>
      <c r="E142" s="102" t="s">
        <v>127</v>
      </c>
      <c r="F142" s="14" t="s">
        <v>739</v>
      </c>
      <c r="I142" s="27"/>
      <c r="J142" s="684"/>
      <c r="K142" s="1251"/>
      <c r="L142" s="120"/>
      <c r="M142" s="28"/>
      <c r="N142" s="120"/>
      <c r="O142" s="28"/>
      <c r="P142" s="120"/>
      <c r="Q142" s="296"/>
      <c r="V142" s="185"/>
    </row>
    <row r="143" spans="1:22" ht="18" customHeight="1">
      <c r="A143" s="184"/>
      <c r="C143" s="120"/>
      <c r="D143" s="28"/>
      <c r="E143" s="218" t="s">
        <v>127</v>
      </c>
      <c r="F143" s="1287">
        <f>1*O139/(2*3.14*50)</f>
        <v>4.7770700636942678E-2</v>
      </c>
      <c r="G143" s="1287"/>
      <c r="H143" s="28" t="s">
        <v>740</v>
      </c>
      <c r="I143" s="27"/>
      <c r="J143" s="120"/>
      <c r="K143" s="28"/>
      <c r="L143" s="120"/>
      <c r="M143" s="28"/>
      <c r="N143" s="120"/>
      <c r="O143" s="28"/>
      <c r="P143" s="120"/>
      <c r="Q143" s="296"/>
      <c r="V143" s="185"/>
    </row>
    <row r="144" spans="1:22" ht="18" customHeight="1">
      <c r="A144" s="184"/>
      <c r="C144" s="120"/>
      <c r="D144" s="120" t="s">
        <v>738</v>
      </c>
      <c r="E144" s="218" t="s">
        <v>127</v>
      </c>
      <c r="F144" s="1188">
        <f>F143*1000</f>
        <v>47.770700636942678</v>
      </c>
      <c r="G144" s="1188"/>
      <c r="H144" s="28" t="s">
        <v>343</v>
      </c>
      <c r="I144" s="27"/>
      <c r="J144" s="120"/>
      <c r="K144" s="28"/>
      <c r="L144" s="120"/>
      <c r="M144" s="28"/>
      <c r="N144" s="120"/>
      <c r="O144" s="28"/>
      <c r="P144" s="120"/>
      <c r="Q144" s="296"/>
      <c r="V144" s="185"/>
    </row>
    <row r="145" spans="1:22" ht="18" customHeight="1">
      <c r="A145" s="184"/>
      <c r="B145" s="14" t="s">
        <v>741</v>
      </c>
      <c r="E145" s="28" t="s">
        <v>127</v>
      </c>
      <c r="F145" s="27">
        <v>10</v>
      </c>
      <c r="G145" s="27"/>
      <c r="H145" s="245"/>
      <c r="I145" s="245"/>
      <c r="J145" s="460"/>
      <c r="K145" s="245"/>
      <c r="L145" s="460"/>
      <c r="M145" s="245"/>
      <c r="N145" s="460"/>
      <c r="O145" s="245"/>
      <c r="P145" s="460"/>
      <c r="Q145" s="461"/>
      <c r="V145" s="185"/>
    </row>
    <row r="146" spans="1:22" ht="18" customHeight="1">
      <c r="A146" s="184"/>
      <c r="G146" s="27"/>
      <c r="H146" s="245"/>
      <c r="I146" s="245"/>
      <c r="J146" s="460"/>
      <c r="K146" s="245"/>
      <c r="L146" s="460"/>
      <c r="M146" s="245"/>
      <c r="N146" s="460"/>
      <c r="O146" s="245"/>
      <c r="P146" s="460"/>
      <c r="Q146" s="461"/>
      <c r="V146" s="185"/>
    </row>
    <row r="147" spans="1:22" ht="18" customHeight="1">
      <c r="A147" s="184"/>
      <c r="B147" s="7" t="s">
        <v>742</v>
      </c>
      <c r="F147" s="7"/>
      <c r="G147" s="7"/>
      <c r="H147" s="204"/>
      <c r="I147" s="204"/>
      <c r="V147" s="185"/>
    </row>
    <row r="148" spans="1:22" ht="18" customHeight="1">
      <c r="A148" s="184"/>
      <c r="B148" s="7"/>
      <c r="E148" s="14" t="s">
        <v>754</v>
      </c>
      <c r="F148" s="7"/>
      <c r="G148" s="7"/>
      <c r="V148" s="185"/>
    </row>
    <row r="149" spans="1:22" ht="18" customHeight="1">
      <c r="A149" s="184"/>
      <c r="B149" s="14" t="s">
        <v>744</v>
      </c>
      <c r="C149" s="14"/>
      <c r="D149" s="14"/>
      <c r="E149" s="14"/>
      <c r="F149" s="14"/>
      <c r="G149" s="120"/>
      <c r="H149" s="120"/>
      <c r="V149" s="185"/>
    </row>
    <row r="150" spans="1:22" ht="18" customHeight="1">
      <c r="A150" s="184"/>
      <c r="B150" s="14"/>
      <c r="C150" s="120" t="s">
        <v>745</v>
      </c>
      <c r="D150" s="28" t="s">
        <v>127</v>
      </c>
      <c r="E150" s="1188">
        <f>MAX(E133,F145)</f>
        <v>10</v>
      </c>
      <c r="F150" s="1188"/>
      <c r="G150" s="47" t="s">
        <v>746</v>
      </c>
      <c r="H150" s="120"/>
      <c r="V150" s="185"/>
    </row>
    <row r="151" spans="1:22" ht="18" customHeight="1">
      <c r="A151" s="184"/>
      <c r="B151" s="7"/>
      <c r="E151" s="14"/>
      <c r="F151" s="7"/>
      <c r="G151" s="7"/>
      <c r="V151" s="185"/>
    </row>
    <row r="152" spans="1:22" ht="18" customHeight="1">
      <c r="A152" s="184"/>
      <c r="B152" s="47" t="s">
        <v>747</v>
      </c>
      <c r="E152" s="14"/>
      <c r="F152" s="7"/>
      <c r="G152" s="7"/>
      <c r="V152" s="185"/>
    </row>
    <row r="153" spans="1:22" ht="18" customHeight="1">
      <c r="A153" s="184"/>
      <c r="B153" s="47" t="s">
        <v>748</v>
      </c>
      <c r="E153" s="14"/>
      <c r="F153" s="7"/>
      <c r="G153" s="7"/>
      <c r="V153" s="185"/>
    </row>
    <row r="154" spans="1:22" ht="18" customHeight="1" thickBot="1">
      <c r="A154" s="184"/>
      <c r="B154" s="102" t="s">
        <v>127</v>
      </c>
      <c r="C154" s="120">
        <f>E150</f>
        <v>10</v>
      </c>
      <c r="D154" s="28" t="s">
        <v>315</v>
      </c>
      <c r="E154" s="28" t="s">
        <v>419</v>
      </c>
      <c r="F154" s="692">
        <f>S110</f>
        <v>5</v>
      </c>
      <c r="G154" s="692"/>
      <c r="H154" s="102" t="s">
        <v>347</v>
      </c>
      <c r="I154" s="218">
        <f>S111</f>
        <v>1.0870224400000001</v>
      </c>
      <c r="J154" s="240" t="s">
        <v>347</v>
      </c>
      <c r="K154" s="281">
        <f>J99</f>
        <v>0.01</v>
      </c>
      <c r="L154" s="14" t="s">
        <v>350</v>
      </c>
      <c r="M154" s="14" t="s">
        <v>315</v>
      </c>
      <c r="N154" s="28">
        <v>1</v>
      </c>
      <c r="V154" s="185"/>
    </row>
    <row r="155" spans="1:22" ht="18" customHeight="1" thickBot="1">
      <c r="A155" s="184"/>
      <c r="B155" s="462" t="s">
        <v>528</v>
      </c>
      <c r="C155" s="463" t="s">
        <v>127</v>
      </c>
      <c r="D155" s="464">
        <f>C154*(F154+I154+K154)*N154</f>
        <v>60.970224399999999</v>
      </c>
      <c r="E155" s="14" t="s">
        <v>305</v>
      </c>
      <c r="F155" s="7"/>
      <c r="G155" s="7"/>
      <c r="V155" s="185"/>
    </row>
    <row r="156" spans="1:22" ht="18" customHeight="1">
      <c r="A156" s="184"/>
      <c r="B156" s="7"/>
      <c r="E156" s="14"/>
      <c r="F156" s="7"/>
      <c r="G156" s="7"/>
      <c r="V156" s="185"/>
    </row>
    <row r="157" spans="1:22" ht="18" customHeight="1">
      <c r="A157" s="184"/>
      <c r="B157" s="47" t="s">
        <v>749</v>
      </c>
      <c r="E157" s="14"/>
      <c r="F157" s="7"/>
      <c r="G157" s="7"/>
      <c r="J157" s="14" t="s">
        <v>750</v>
      </c>
      <c r="L157" s="28" t="s">
        <v>476</v>
      </c>
      <c r="N157" s="14" t="s">
        <v>751</v>
      </c>
      <c r="V157" s="185"/>
    </row>
    <row r="158" spans="1:22" ht="18" customHeight="1">
      <c r="A158" s="184"/>
      <c r="B158" s="7"/>
      <c r="E158" s="14"/>
      <c r="F158" s="7"/>
      <c r="G158" s="7"/>
      <c r="L158" s="28" t="s">
        <v>127</v>
      </c>
      <c r="N158" s="1251">
        <f>0.8*D155</f>
        <v>48.776179519999999</v>
      </c>
      <c r="O158" s="1251"/>
      <c r="V158" s="185"/>
    </row>
    <row r="159" spans="1:22" ht="18" customHeight="1">
      <c r="A159" s="184"/>
      <c r="B159" s="7"/>
      <c r="E159" s="14"/>
      <c r="F159" s="14" t="s">
        <v>752</v>
      </c>
      <c r="G159" s="7"/>
      <c r="L159" s="28" t="s">
        <v>127</v>
      </c>
      <c r="N159" s="1072">
        <f>N158*1.2</f>
        <v>58.531415423999995</v>
      </c>
      <c r="O159" s="1072"/>
      <c r="V159" s="185"/>
    </row>
    <row r="160" spans="1:22" ht="18" customHeight="1">
      <c r="A160" s="184"/>
      <c r="B160" s="7"/>
      <c r="E160" s="14"/>
      <c r="F160" s="7"/>
      <c r="G160" s="7"/>
      <c r="K160" s="199" t="s">
        <v>475</v>
      </c>
      <c r="L160" s="28" t="str">
        <f>IF(J161&gt;M161,"&gt;","&lt;")</f>
        <v>&gt;</v>
      </c>
      <c r="M160" s="257" t="s">
        <v>477</v>
      </c>
      <c r="O160" s="18"/>
      <c r="P160" s="268"/>
      <c r="V160" s="185"/>
    </row>
    <row r="161" spans="1:22" ht="18" customHeight="1">
      <c r="A161" s="184"/>
      <c r="D161" s="211"/>
      <c r="E161" s="211"/>
      <c r="F161" s="27"/>
      <c r="G161" s="211"/>
      <c r="J161" s="795">
        <f>S109</f>
        <v>500</v>
      </c>
      <c r="K161" s="795"/>
      <c r="L161" s="27" t="str">
        <f>IF(J161&gt;=M161,"&gt;","&lt;")</f>
        <v>&gt;</v>
      </c>
      <c r="M161" s="795">
        <f>N159</f>
        <v>58.531415423999995</v>
      </c>
      <c r="N161" s="795"/>
      <c r="P161" s="268"/>
      <c r="V161" s="185"/>
    </row>
    <row r="162" spans="1:22" ht="18" customHeight="1">
      <c r="A162" s="184"/>
      <c r="K162" s="244" t="s">
        <v>478</v>
      </c>
      <c r="M162" s="18" t="str">
        <f>IF(J161&gt;M161,"Suitably Dimensioned","Under Dimensioned")</f>
        <v>Suitably Dimensioned</v>
      </c>
      <c r="V162" s="185"/>
    </row>
    <row r="163" spans="1:22" ht="18" customHeight="1">
      <c r="A163" s="184"/>
      <c r="K163" s="244"/>
      <c r="M163" s="18"/>
      <c r="V163" s="185"/>
    </row>
    <row r="164" spans="1:22" ht="18" customHeight="1">
      <c r="A164" s="184"/>
      <c r="K164" s="244"/>
      <c r="M164" s="18"/>
      <c r="V164" s="185"/>
    </row>
    <row r="165" spans="1:22" ht="18" customHeight="1">
      <c r="A165" s="184"/>
      <c r="V165" s="185"/>
    </row>
    <row r="166" spans="1:22" ht="18" hidden="1" customHeight="1">
      <c r="A166" s="184"/>
      <c r="V166" s="185"/>
    </row>
    <row r="167" spans="1:22" ht="18" hidden="1" customHeight="1">
      <c r="A167" s="184"/>
      <c r="V167" s="185"/>
    </row>
    <row r="168" spans="1:22" ht="18" hidden="1" customHeight="1">
      <c r="A168" s="452"/>
      <c r="B168" s="207"/>
      <c r="C168" s="207"/>
      <c r="D168" s="207"/>
      <c r="E168" s="207"/>
      <c r="F168" s="207"/>
      <c r="G168" s="207"/>
      <c r="H168" s="207"/>
      <c r="I168" s="207"/>
      <c r="J168" s="207"/>
      <c r="K168" s="207"/>
      <c r="L168" s="207"/>
      <c r="M168" s="207"/>
      <c r="N168" s="207"/>
      <c r="O168" s="207"/>
      <c r="P168" s="207"/>
      <c r="Q168" s="207"/>
      <c r="R168" s="207"/>
      <c r="S168" s="207"/>
      <c r="T168" s="207"/>
      <c r="U168" s="207"/>
      <c r="V168" s="453"/>
    </row>
    <row r="169" spans="1:22" s="14" customFormat="1" ht="18" hidden="1"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ht="18" hidden="1" customHeight="1">
      <c r="A170" s="226"/>
      <c r="B170" s="227"/>
      <c r="C170" s="227"/>
      <c r="D170" s="227"/>
      <c r="E170" s="227"/>
      <c r="F170" s="227"/>
      <c r="G170" s="227"/>
      <c r="H170" s="227"/>
      <c r="I170" s="227"/>
      <c r="J170" s="227"/>
      <c r="K170" s="227"/>
      <c r="L170" s="227"/>
      <c r="M170" s="227"/>
      <c r="N170" s="227"/>
      <c r="O170" s="227"/>
      <c r="P170" s="227"/>
      <c r="Q170" s="227"/>
      <c r="R170" s="227"/>
      <c r="S170" s="227"/>
      <c r="T170" s="227"/>
      <c r="U170" s="227"/>
      <c r="V170" s="228"/>
    </row>
    <row r="171" spans="1:22" ht="18" hidden="1" customHeight="1">
      <c r="A171" s="184"/>
      <c r="B171" s="854" t="str">
        <f>B88</f>
        <v>T1</v>
      </c>
      <c r="C171" s="831"/>
      <c r="D171" s="854" t="str">
        <f>D88</f>
        <v>Core4</v>
      </c>
      <c r="E171" s="831"/>
      <c r="F171" s="455"/>
      <c r="H171" s="684" t="str">
        <f>H88</f>
        <v>(MAIN-1 BBP+BFP)</v>
      </c>
      <c r="I171" s="684"/>
      <c r="J171" s="684"/>
      <c r="K171" s="684"/>
      <c r="L171" s="684"/>
      <c r="M171" s="684"/>
      <c r="P171" s="186"/>
      <c r="S171" s="187" t="s">
        <v>387</v>
      </c>
      <c r="T171" s="854" t="str">
        <f>T88</f>
        <v>REB500</v>
      </c>
      <c r="U171" s="831"/>
      <c r="V171" s="185"/>
    </row>
    <row r="172" spans="1:22" ht="18" hidden="1" customHeight="1">
      <c r="A172" s="456"/>
      <c r="F172" s="455"/>
      <c r="T172" s="854">
        <f>T89</f>
        <v>0</v>
      </c>
      <c r="U172" s="831"/>
      <c r="V172" s="185"/>
    </row>
    <row r="173" spans="1:22" ht="18" hidden="1" customHeight="1">
      <c r="A173" s="184"/>
      <c r="H173" s="708" t="s">
        <v>390</v>
      </c>
      <c r="I173" s="708"/>
      <c r="J173" s="708" t="s">
        <v>391</v>
      </c>
      <c r="K173" s="708"/>
      <c r="L173" s="789" t="s">
        <v>392</v>
      </c>
      <c r="M173" s="789"/>
      <c r="T173" s="854">
        <f>T90</f>
        <v>0</v>
      </c>
      <c r="U173" s="831"/>
      <c r="V173" s="185"/>
    </row>
    <row r="174" spans="1:22" ht="18" hidden="1" customHeight="1">
      <c r="A174" s="184"/>
      <c r="B174" s="47" t="s">
        <v>393</v>
      </c>
      <c r="H174" s="854">
        <f>H91</f>
        <v>3200</v>
      </c>
      <c r="I174" s="831"/>
      <c r="J174" s="854">
        <f>J91</f>
        <v>2000</v>
      </c>
      <c r="K174" s="831"/>
      <c r="L174" s="863" t="str">
        <f>L91</f>
        <v>-</v>
      </c>
      <c r="M174" s="864"/>
      <c r="N174" s="191" t="s">
        <v>342</v>
      </c>
      <c r="O174" s="256">
        <f>O91</f>
        <v>1</v>
      </c>
      <c r="P174" s="27" t="s">
        <v>8</v>
      </c>
      <c r="R174" s="255"/>
      <c r="S174" s="255"/>
      <c r="V174" s="185"/>
    </row>
    <row r="175" spans="1:22" ht="18" hidden="1" customHeight="1">
      <c r="A175" s="184"/>
      <c r="B175" s="47" t="s">
        <v>394</v>
      </c>
      <c r="H175" s="14"/>
      <c r="K175" s="14"/>
      <c r="L175" s="854" t="str">
        <f>J92</f>
        <v>PX</v>
      </c>
      <c r="M175" s="831"/>
      <c r="N175" s="14"/>
      <c r="V175" s="185"/>
    </row>
    <row r="176" spans="1:22" ht="18" hidden="1" customHeight="1">
      <c r="A176" s="184"/>
      <c r="B176" s="47" t="s">
        <v>396</v>
      </c>
      <c r="K176" s="120" t="s">
        <v>497</v>
      </c>
      <c r="L176" s="781" t="s">
        <v>6</v>
      </c>
      <c r="M176" s="782"/>
      <c r="N176" s="192" t="s">
        <v>333</v>
      </c>
      <c r="V176" s="185"/>
    </row>
    <row r="177" spans="1:23" ht="18" hidden="1" customHeight="1">
      <c r="A177" s="184"/>
      <c r="B177" s="47" t="s">
        <v>398</v>
      </c>
      <c r="K177" s="120" t="s">
        <v>498</v>
      </c>
      <c r="L177" s="781" t="s">
        <v>6</v>
      </c>
      <c r="M177" s="782"/>
      <c r="N177" s="14" t="s">
        <v>305</v>
      </c>
      <c r="V177" s="185"/>
      <c r="W177" s="30" t="e">
        <f>G237</f>
        <v>#VALUE!</v>
      </c>
    </row>
    <row r="178" spans="1:23" ht="18" hidden="1" customHeight="1">
      <c r="A178" s="184"/>
      <c r="B178" s="14" t="s">
        <v>401</v>
      </c>
      <c r="K178" s="120" t="s">
        <v>402</v>
      </c>
      <c r="L178" s="781" t="s">
        <v>6</v>
      </c>
      <c r="M178" s="782"/>
      <c r="N178" s="14" t="s">
        <v>403</v>
      </c>
      <c r="V178" s="185"/>
    </row>
    <row r="179" spans="1:23" ht="18" hidden="1" customHeight="1">
      <c r="A179" s="184"/>
      <c r="V179" s="185"/>
    </row>
    <row r="180" spans="1:23" ht="18" hidden="1" customHeight="1">
      <c r="A180" s="193" t="s">
        <v>404</v>
      </c>
      <c r="V180" s="185"/>
    </row>
    <row r="181" spans="1:23" ht="18" hidden="1" customHeight="1">
      <c r="A181" s="184"/>
      <c r="V181" s="185"/>
    </row>
    <row r="182" spans="1:23" ht="18" hidden="1" customHeight="1">
      <c r="A182" s="184"/>
      <c r="B182" s="135" t="s">
        <v>405</v>
      </c>
      <c r="C182" s="273"/>
      <c r="D182" s="139" t="str">
        <f>T171</f>
        <v>REB500</v>
      </c>
      <c r="E182" s="227"/>
      <c r="F182" s="227"/>
      <c r="G182" s="227"/>
      <c r="H182" s="138"/>
      <c r="I182" s="260" t="s">
        <v>127</v>
      </c>
      <c r="J182" s="722">
        <f>J99</f>
        <v>0.01</v>
      </c>
      <c r="K182" s="958"/>
      <c r="L182" s="3" t="s">
        <v>157</v>
      </c>
      <c r="N182" s="197" t="s">
        <v>510</v>
      </c>
      <c r="V182" s="185"/>
    </row>
    <row r="183" spans="1:23" ht="18" hidden="1" customHeight="1">
      <c r="A183" s="184"/>
      <c r="B183" s="96" t="s">
        <v>405</v>
      </c>
      <c r="C183" s="14"/>
      <c r="D183" s="47">
        <f>T172</f>
        <v>0</v>
      </c>
      <c r="H183" s="28"/>
      <c r="I183" s="101" t="s">
        <v>127</v>
      </c>
      <c r="J183" s="722">
        <f>J100</f>
        <v>0</v>
      </c>
      <c r="K183" s="958"/>
      <c r="L183" s="3" t="s">
        <v>157</v>
      </c>
      <c r="N183" s="120" t="s">
        <v>491</v>
      </c>
      <c r="O183" s="27" t="s">
        <v>127</v>
      </c>
      <c r="P183" s="27" t="s">
        <v>511</v>
      </c>
      <c r="Q183" s="27" t="s">
        <v>315</v>
      </c>
      <c r="R183" s="27" t="s">
        <v>511</v>
      </c>
      <c r="S183" s="27" t="s">
        <v>315</v>
      </c>
      <c r="T183" s="27" t="s">
        <v>420</v>
      </c>
      <c r="V183" s="185"/>
    </row>
    <row r="184" spans="1:23" ht="18" hidden="1" customHeight="1">
      <c r="A184" s="184"/>
      <c r="B184" s="96" t="s">
        <v>405</v>
      </c>
      <c r="C184" s="14"/>
      <c r="D184" s="47">
        <f>T173</f>
        <v>0</v>
      </c>
      <c r="H184" s="28"/>
      <c r="I184" s="101" t="s">
        <v>127</v>
      </c>
      <c r="J184" s="722">
        <f>J101</f>
        <v>0</v>
      </c>
      <c r="K184" s="958"/>
      <c r="L184" s="3" t="s">
        <v>157</v>
      </c>
      <c r="N184" s="27"/>
      <c r="O184" s="27" t="s">
        <v>127</v>
      </c>
      <c r="P184" s="27">
        <f>O174</f>
        <v>1</v>
      </c>
      <c r="Q184" s="27" t="s">
        <v>315</v>
      </c>
      <c r="R184" s="27">
        <f>O174</f>
        <v>1</v>
      </c>
      <c r="S184" s="27" t="s">
        <v>315</v>
      </c>
      <c r="T184" s="27" t="str">
        <f>L176</f>
        <v>-</v>
      </c>
      <c r="V184" s="185"/>
    </row>
    <row r="185" spans="1:23" ht="18" hidden="1" customHeight="1">
      <c r="A185" s="184"/>
      <c r="B185" s="452" t="s">
        <v>412</v>
      </c>
      <c r="C185" s="259"/>
      <c r="D185" s="259"/>
      <c r="E185" s="259"/>
      <c r="F185" s="207"/>
      <c r="G185" s="207"/>
      <c r="H185" s="190"/>
      <c r="I185" s="208" t="s">
        <v>127</v>
      </c>
      <c r="J185" s="1120">
        <f>J102</f>
        <v>1.0770224400000001</v>
      </c>
      <c r="K185" s="987"/>
      <c r="L185" s="297" t="s">
        <v>157</v>
      </c>
      <c r="O185" s="27" t="s">
        <v>127</v>
      </c>
      <c r="P185" s="795" t="e">
        <f>P184*R184*T184</f>
        <v>#VALUE!</v>
      </c>
      <c r="Q185" s="684"/>
      <c r="R185" s="27" t="s">
        <v>157</v>
      </c>
      <c r="V185" s="185"/>
    </row>
    <row r="186" spans="1:23" ht="18" hidden="1" customHeight="1">
      <c r="A186" s="184"/>
      <c r="B186" s="1" t="s">
        <v>413</v>
      </c>
      <c r="C186" s="2"/>
      <c r="D186" s="2"/>
      <c r="E186" s="2"/>
      <c r="F186" s="196"/>
      <c r="G186" s="196"/>
      <c r="H186" s="224" t="s">
        <v>512</v>
      </c>
      <c r="I186" s="183" t="s">
        <v>127</v>
      </c>
      <c r="J186" s="722">
        <f>SUM(J182:J185)</f>
        <v>1.0870224400000001</v>
      </c>
      <c r="K186" s="958"/>
      <c r="L186" s="3" t="s">
        <v>157</v>
      </c>
      <c r="V186" s="185"/>
    </row>
    <row r="187" spans="1:23" ht="18" hidden="1" customHeight="1">
      <c r="A187" s="184"/>
      <c r="B187" s="47"/>
      <c r="C187" s="47"/>
      <c r="D187" s="47"/>
      <c r="E187" s="47"/>
      <c r="H187" s="27"/>
      <c r="I187" s="28"/>
      <c r="J187" s="199"/>
      <c r="L187" s="47"/>
      <c r="S187" s="27"/>
      <c r="V187" s="185"/>
    </row>
    <row r="188" spans="1:23" ht="18" hidden="1" customHeight="1">
      <c r="A188" s="1206" t="s">
        <v>536</v>
      </c>
      <c r="B188" s="1207"/>
      <c r="C188" s="1207"/>
      <c r="D188" s="1207"/>
      <c r="E188" s="1207"/>
      <c r="F188" s="1207"/>
      <c r="G188" s="1207"/>
      <c r="H188" s="1207"/>
      <c r="I188" s="1207"/>
      <c r="J188" s="1207"/>
      <c r="K188" s="1207"/>
      <c r="L188" s="1207"/>
      <c r="M188" s="1207"/>
      <c r="N188" s="1207"/>
      <c r="O188" s="1207"/>
      <c r="P188" s="1207"/>
      <c r="Q188" s="1207"/>
      <c r="R188" s="1207"/>
      <c r="S188" s="1207"/>
      <c r="T188" s="1207"/>
      <c r="U188" s="1207"/>
      <c r="V188" s="1208"/>
    </row>
    <row r="189" spans="1:23" ht="18" hidden="1" customHeight="1">
      <c r="A189" s="1209"/>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84"/>
      <c r="Q190" s="211"/>
      <c r="R190" s="192"/>
      <c r="V190" s="185"/>
    </row>
    <row r="191" spans="1:23" ht="18" hidden="1" customHeight="1">
      <c r="A191" s="184"/>
      <c r="C191" s="28" t="s">
        <v>473</v>
      </c>
      <c r="D191" s="28" t="s">
        <v>127</v>
      </c>
      <c r="E191" s="28" t="s">
        <v>537</v>
      </c>
      <c r="F191" s="28" t="s">
        <v>493</v>
      </c>
      <c r="G191" s="28" t="s">
        <v>347</v>
      </c>
      <c r="H191" s="28" t="s">
        <v>491</v>
      </c>
      <c r="I191" s="28" t="s">
        <v>538</v>
      </c>
      <c r="J191" s="28" t="s">
        <v>495</v>
      </c>
      <c r="K191" s="28" t="s">
        <v>539</v>
      </c>
      <c r="L191" s="28" t="s">
        <v>511</v>
      </c>
      <c r="M191" s="28" t="s">
        <v>315</v>
      </c>
      <c r="N191" s="28">
        <v>1.3</v>
      </c>
      <c r="O191" s="47" t="s">
        <v>350</v>
      </c>
      <c r="V191" s="185"/>
    </row>
    <row r="192" spans="1:23" ht="18" hidden="1" customHeight="1">
      <c r="A192" s="184" t="s">
        <v>540</v>
      </c>
      <c r="C192" s="14"/>
      <c r="D192" s="28"/>
      <c r="E192" s="14"/>
      <c r="F192" s="14"/>
      <c r="G192" s="14"/>
      <c r="H192" s="14"/>
      <c r="I192" s="14"/>
      <c r="J192" s="14"/>
      <c r="K192" s="14"/>
      <c r="L192" s="14"/>
      <c r="M192" s="14"/>
      <c r="N192" s="14"/>
      <c r="O192" s="14"/>
      <c r="V192" s="185"/>
    </row>
    <row r="193" spans="1:25" ht="18" hidden="1" customHeight="1">
      <c r="A193" s="184"/>
      <c r="C193" s="28" t="s">
        <v>493</v>
      </c>
      <c r="D193" s="28" t="s">
        <v>127</v>
      </c>
      <c r="E193" s="28" t="s">
        <v>537</v>
      </c>
      <c r="F193" s="28">
        <v>1.3</v>
      </c>
      <c r="G193" s="28" t="s">
        <v>315</v>
      </c>
      <c r="H193" s="689" t="s">
        <v>473</v>
      </c>
      <c r="I193" s="716"/>
      <c r="J193" s="28" t="s">
        <v>315</v>
      </c>
      <c r="K193" s="28" t="s">
        <v>511</v>
      </c>
      <c r="L193" s="28" t="s">
        <v>541</v>
      </c>
      <c r="M193" s="28" t="s">
        <v>495</v>
      </c>
      <c r="N193" s="47" t="s">
        <v>542</v>
      </c>
      <c r="O193" s="28" t="s">
        <v>491</v>
      </c>
      <c r="V193" s="185"/>
    </row>
    <row r="194" spans="1:25" ht="18" hidden="1" customHeight="1">
      <c r="A194" s="184"/>
      <c r="V194" s="185"/>
    </row>
    <row r="195" spans="1:25" ht="18" hidden="1" customHeight="1">
      <c r="A195" s="168"/>
      <c r="B195" s="5"/>
      <c r="C195" s="47" t="s">
        <v>543</v>
      </c>
      <c r="D195" s="14"/>
      <c r="E195" s="14"/>
      <c r="F195" s="14"/>
      <c r="G195" s="14"/>
      <c r="H195" s="279"/>
      <c r="I195" s="120"/>
      <c r="J195" s="279"/>
      <c r="K195" s="279"/>
      <c r="L195" s="14"/>
      <c r="M195" s="14"/>
      <c r="N195" s="14"/>
      <c r="O195" s="14"/>
      <c r="P195" s="14"/>
      <c r="Q195" s="120" t="s">
        <v>544</v>
      </c>
      <c r="R195" s="102" t="s">
        <v>127</v>
      </c>
      <c r="S195" s="689">
        <f>S112</f>
        <v>1</v>
      </c>
      <c r="T195" s="689"/>
      <c r="U195" s="47" t="s">
        <v>8</v>
      </c>
      <c r="V195" s="185"/>
    </row>
    <row r="196" spans="1:25" ht="18" hidden="1" customHeight="1">
      <c r="A196" s="168"/>
      <c r="B196" s="5"/>
      <c r="C196" s="47" t="s">
        <v>545</v>
      </c>
      <c r="D196" s="14"/>
      <c r="E196" s="14"/>
      <c r="F196" s="18"/>
      <c r="G196" s="18"/>
      <c r="H196" s="279"/>
      <c r="I196" s="120"/>
      <c r="J196" s="279"/>
      <c r="K196" s="279"/>
      <c r="L196" s="14"/>
      <c r="M196" s="14"/>
      <c r="N196" s="14"/>
      <c r="O196" s="14"/>
      <c r="P196" s="14"/>
      <c r="Q196" s="120" t="s">
        <v>423</v>
      </c>
      <c r="R196" s="102" t="s">
        <v>127</v>
      </c>
      <c r="S196" s="689" t="str">
        <f>L174</f>
        <v>-</v>
      </c>
      <c r="T196" s="689"/>
      <c r="U196" s="14" t="s">
        <v>8</v>
      </c>
      <c r="V196" s="185"/>
    </row>
    <row r="197" spans="1:25" ht="18" hidden="1" customHeight="1">
      <c r="A197" s="168"/>
      <c r="B197" s="5"/>
      <c r="C197" s="47" t="s">
        <v>546</v>
      </c>
      <c r="D197" s="14"/>
      <c r="E197" s="14"/>
      <c r="F197" s="18"/>
      <c r="G197" s="18"/>
      <c r="H197" s="279"/>
      <c r="I197" s="120"/>
      <c r="J197" s="279"/>
      <c r="K197" s="279"/>
      <c r="L197" s="14"/>
      <c r="M197" s="14"/>
      <c r="N197" s="14"/>
      <c r="O197" s="14"/>
      <c r="P197" s="14"/>
      <c r="Q197" s="120" t="s">
        <v>473</v>
      </c>
      <c r="R197" s="102" t="s">
        <v>127</v>
      </c>
      <c r="S197" s="689" t="str">
        <f>L177</f>
        <v>-</v>
      </c>
      <c r="T197" s="689"/>
      <c r="U197" s="14" t="s">
        <v>305</v>
      </c>
      <c r="V197" s="185"/>
    </row>
    <row r="198" spans="1:25" ht="18" hidden="1" customHeight="1">
      <c r="A198" s="168"/>
      <c r="B198" s="5"/>
      <c r="C198" s="47" t="s">
        <v>547</v>
      </c>
      <c r="D198" s="14"/>
      <c r="E198" s="14"/>
      <c r="F198" s="18"/>
      <c r="G198" s="18"/>
      <c r="H198" s="279"/>
      <c r="I198" s="120"/>
      <c r="J198" s="279"/>
      <c r="K198" s="279"/>
      <c r="L198" s="14"/>
      <c r="M198" s="14"/>
      <c r="N198" s="14"/>
      <c r="O198" s="14"/>
      <c r="P198" s="14"/>
      <c r="Q198" s="120" t="s">
        <v>491</v>
      </c>
      <c r="R198" s="102" t="s">
        <v>127</v>
      </c>
      <c r="S198" s="692" t="e">
        <f>P185</f>
        <v>#VALUE!</v>
      </c>
      <c r="T198" s="689"/>
      <c r="U198" s="14" t="s">
        <v>157</v>
      </c>
      <c r="V198" s="185"/>
      <c r="W198" s="279"/>
      <c r="X198" s="279"/>
      <c r="Y198" s="279"/>
    </row>
    <row r="199" spans="1:25" ht="18" hidden="1" customHeight="1">
      <c r="A199" s="168"/>
      <c r="B199" s="5"/>
      <c r="C199" s="47" t="s">
        <v>548</v>
      </c>
      <c r="D199" s="14"/>
      <c r="E199" s="14"/>
      <c r="F199" s="18"/>
      <c r="G199" s="18"/>
      <c r="H199" s="279"/>
      <c r="I199" s="120"/>
      <c r="J199" s="279"/>
      <c r="K199" s="279"/>
      <c r="L199" s="14"/>
      <c r="M199" s="14"/>
      <c r="N199" s="14"/>
      <c r="O199" s="14"/>
      <c r="P199" s="14"/>
      <c r="Q199" s="120" t="s">
        <v>512</v>
      </c>
      <c r="R199" s="102" t="s">
        <v>127</v>
      </c>
      <c r="S199" s="692">
        <f>J186</f>
        <v>1.0870224400000001</v>
      </c>
      <c r="T199" s="689"/>
      <c r="U199" s="14" t="s">
        <v>157</v>
      </c>
      <c r="V199" s="185"/>
      <c r="X199" s="279"/>
      <c r="Y199" s="279"/>
    </row>
    <row r="200" spans="1:25" ht="18" hidden="1" customHeight="1">
      <c r="A200" s="168"/>
      <c r="B200" s="5"/>
      <c r="C200" s="47" t="s">
        <v>549</v>
      </c>
      <c r="D200" s="14"/>
      <c r="E200" s="14"/>
      <c r="F200" s="14"/>
      <c r="G200" s="14"/>
      <c r="H200" s="279"/>
      <c r="I200" s="120"/>
      <c r="J200" s="279"/>
      <c r="K200" s="279"/>
      <c r="L200" s="14"/>
      <c r="M200" s="14"/>
      <c r="N200" s="14"/>
      <c r="O200" s="14"/>
      <c r="P200" s="14"/>
      <c r="Q200" s="120" t="s">
        <v>511</v>
      </c>
      <c r="R200" s="102" t="s">
        <v>127</v>
      </c>
      <c r="S200" s="689">
        <f>O174</f>
        <v>1</v>
      </c>
      <c r="T200" s="689"/>
      <c r="U200" s="14" t="s">
        <v>8</v>
      </c>
      <c r="V200" s="185"/>
      <c r="X200" s="279"/>
      <c r="Y200" s="279"/>
    </row>
    <row r="201" spans="1:25" ht="18" hidden="1" customHeight="1">
      <c r="A201" s="168"/>
      <c r="B201" s="5"/>
      <c r="C201" s="47" t="s">
        <v>550</v>
      </c>
      <c r="D201" s="14"/>
      <c r="E201" s="14"/>
      <c r="F201" s="14"/>
      <c r="G201" s="14"/>
      <c r="H201" s="279"/>
      <c r="I201" s="120"/>
      <c r="J201" s="279"/>
      <c r="K201" s="279"/>
      <c r="L201" s="14"/>
      <c r="M201" s="14"/>
      <c r="N201" s="14"/>
      <c r="O201" s="14"/>
      <c r="P201" s="14"/>
      <c r="Q201" s="120" t="s">
        <v>495</v>
      </c>
      <c r="R201" s="102" t="s">
        <v>127</v>
      </c>
      <c r="S201" s="689">
        <v>20</v>
      </c>
      <c r="T201" s="689"/>
      <c r="U201" s="47"/>
      <c r="V201" s="185"/>
    </row>
    <row r="202" spans="1:25" ht="18" hidden="1" customHeight="1">
      <c r="A202" s="299"/>
      <c r="B202" s="279"/>
      <c r="C202" s="47" t="s">
        <v>551</v>
      </c>
      <c r="D202" s="14"/>
      <c r="E202" s="14"/>
      <c r="F202" s="14"/>
      <c r="G202" s="14"/>
      <c r="H202" s="279"/>
      <c r="I202" s="120"/>
      <c r="J202" s="279"/>
      <c r="K202" s="279"/>
      <c r="L202" s="14"/>
      <c r="M202" s="14"/>
      <c r="N202" s="279"/>
      <c r="O202" s="279"/>
      <c r="P202" s="14"/>
      <c r="Q202" s="120" t="s">
        <v>493</v>
      </c>
      <c r="R202" s="14"/>
      <c r="S202" s="279"/>
      <c r="T202" s="279"/>
      <c r="U202" s="279"/>
      <c r="V202" s="300"/>
      <c r="W202" s="279"/>
      <c r="X202" s="279"/>
      <c r="Y202" s="279"/>
    </row>
    <row r="203" spans="1:25" ht="18" hidden="1" customHeight="1">
      <c r="A203" s="184"/>
      <c r="C203" s="14"/>
      <c r="D203" s="14"/>
      <c r="E203" s="14"/>
      <c r="F203" s="14"/>
      <c r="G203" s="14"/>
      <c r="H203" s="14"/>
      <c r="I203" s="14"/>
      <c r="J203" s="14"/>
      <c r="K203" s="14"/>
      <c r="L203" s="14"/>
      <c r="M203" s="14"/>
      <c r="N203" s="14"/>
      <c r="O203" s="14"/>
      <c r="P203" s="14"/>
      <c r="Q203" s="14"/>
      <c r="R203" s="14"/>
      <c r="S203" s="14"/>
      <c r="T203" s="14"/>
      <c r="U203" s="14"/>
      <c r="V203" s="185"/>
    </row>
    <row r="204" spans="1:25" ht="18" hidden="1" customHeight="1">
      <c r="A204" s="184"/>
      <c r="C204" s="28" t="s">
        <v>493</v>
      </c>
      <c r="D204" s="28" t="s">
        <v>127</v>
      </c>
      <c r="E204" s="28" t="s">
        <v>537</v>
      </c>
      <c r="F204" s="28">
        <v>1.3</v>
      </c>
      <c r="G204" s="28" t="s">
        <v>315</v>
      </c>
      <c r="H204" s="689" t="s">
        <v>473</v>
      </c>
      <c r="I204" s="716"/>
      <c r="J204" s="28" t="s">
        <v>315</v>
      </c>
      <c r="K204" s="28" t="s">
        <v>511</v>
      </c>
      <c r="L204" s="28" t="s">
        <v>541</v>
      </c>
      <c r="M204" s="28" t="s">
        <v>495</v>
      </c>
      <c r="N204" s="47" t="s">
        <v>542</v>
      </c>
      <c r="O204" s="28" t="s">
        <v>491</v>
      </c>
      <c r="V204" s="185"/>
    </row>
    <row r="205" spans="1:25" ht="18" hidden="1" customHeight="1">
      <c r="A205" s="184"/>
      <c r="D205" s="27" t="s">
        <v>127</v>
      </c>
      <c r="E205" s="27" t="s">
        <v>537</v>
      </c>
      <c r="F205" s="27">
        <v>1.3</v>
      </c>
      <c r="G205" s="27" t="s">
        <v>315</v>
      </c>
      <c r="H205" s="684" t="str">
        <f>S197</f>
        <v>-</v>
      </c>
      <c r="I205" s="723"/>
      <c r="J205" s="27" t="s">
        <v>315</v>
      </c>
      <c r="K205" s="27">
        <f>S200</f>
        <v>1</v>
      </c>
      <c r="L205" s="27" t="s">
        <v>541</v>
      </c>
      <c r="M205" s="27">
        <f>S201</f>
        <v>20</v>
      </c>
      <c r="N205" s="296" t="s">
        <v>542</v>
      </c>
      <c r="O205" s="222" t="e">
        <f>S198</f>
        <v>#VALUE!</v>
      </c>
      <c r="V205" s="185"/>
    </row>
    <row r="206" spans="1:25" ht="18" hidden="1" customHeight="1">
      <c r="A206" s="184"/>
      <c r="D206" s="27" t="s">
        <v>127</v>
      </c>
      <c r="E206" s="684" t="e">
        <f>((F205*H205*K205)/M205)-O205</f>
        <v>#VALUE!</v>
      </c>
      <c r="F206" s="684"/>
      <c r="G206" s="27" t="s">
        <v>157</v>
      </c>
      <c r="V206" s="185"/>
    </row>
    <row r="207" spans="1:25" ht="18" hidden="1" customHeight="1">
      <c r="A207" s="184"/>
      <c r="D207" s="27"/>
      <c r="E207" s="27"/>
      <c r="F207" s="27"/>
      <c r="G207" s="27"/>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V212" s="185"/>
    </row>
    <row r="213" spans="1:22" s="14" customFormat="1" ht="18" hidden="1" customHeight="1">
      <c r="A213" s="194"/>
      <c r="B213" s="195"/>
      <c r="C213" s="195"/>
      <c r="D213" s="195"/>
      <c r="E213" s="195"/>
      <c r="F213" s="195"/>
      <c r="G213" s="195"/>
      <c r="H213" s="195"/>
      <c r="I213" s="195"/>
      <c r="J213" s="195"/>
      <c r="K213" s="195"/>
      <c r="L213" s="195"/>
      <c r="M213" s="195"/>
      <c r="N213" s="195"/>
      <c r="O213" s="195"/>
      <c r="P213" s="195"/>
      <c r="Q213" s="224"/>
      <c r="R213" s="182"/>
      <c r="S213" s="225"/>
      <c r="T213" s="195"/>
      <c r="U213" s="195"/>
      <c r="V213" s="134"/>
    </row>
    <row r="214" spans="1:22" ht="18" hidden="1" customHeight="1">
      <c r="A214" s="226"/>
      <c r="B214" s="227"/>
      <c r="C214" s="227"/>
      <c r="D214" s="227"/>
      <c r="E214" s="227"/>
      <c r="F214" s="227"/>
      <c r="G214" s="227"/>
      <c r="H214" s="227"/>
      <c r="I214" s="227"/>
      <c r="J214" s="227"/>
      <c r="K214" s="227"/>
      <c r="L214" s="227"/>
      <c r="M214" s="227"/>
      <c r="N214" s="227"/>
      <c r="O214" s="227"/>
      <c r="P214" s="227"/>
      <c r="Q214" s="227"/>
      <c r="R214" s="227"/>
      <c r="S214" s="227"/>
      <c r="T214" s="227"/>
      <c r="U214" s="227"/>
      <c r="V214" s="228"/>
    </row>
    <row r="215" spans="1:22" ht="18" hidden="1" customHeight="1">
      <c r="A215" s="96" t="s">
        <v>755</v>
      </c>
      <c r="B215" s="14"/>
      <c r="C215" s="14"/>
      <c r="D215" s="14"/>
      <c r="E215" s="14"/>
      <c r="F215" s="14"/>
      <c r="G215" s="14"/>
      <c r="H215" s="14"/>
      <c r="I215" s="14"/>
      <c r="J215" s="14"/>
      <c r="K215" s="14"/>
      <c r="L215" s="14"/>
      <c r="M215" s="14"/>
      <c r="N215" s="14"/>
      <c r="O215" s="14"/>
      <c r="P215" s="28"/>
      <c r="Q215" s="120"/>
      <c r="R215" s="14"/>
      <c r="S215" s="14"/>
      <c r="T215" s="14"/>
      <c r="U215" s="14"/>
      <c r="V215" s="185"/>
    </row>
    <row r="216" spans="1:22" ht="18" hidden="1" customHeight="1">
      <c r="A216" s="96"/>
      <c r="B216" s="14"/>
      <c r="C216" s="14"/>
      <c r="D216" s="14"/>
      <c r="E216" s="14"/>
      <c r="F216" s="14"/>
      <c r="G216" s="14"/>
      <c r="H216" s="14"/>
      <c r="K216" s="14" t="s">
        <v>756</v>
      </c>
      <c r="L216" s="28"/>
      <c r="M216" s="47"/>
      <c r="N216" s="14"/>
      <c r="O216" s="14"/>
      <c r="P216" s="14"/>
      <c r="Q216" s="14"/>
      <c r="R216" s="14"/>
      <c r="S216" s="14"/>
      <c r="T216" s="14"/>
      <c r="U216" s="14"/>
      <c r="V216" s="185"/>
    </row>
    <row r="217" spans="1:22" ht="18" hidden="1" customHeight="1">
      <c r="A217" s="96"/>
      <c r="B217" s="28" t="s">
        <v>745</v>
      </c>
      <c r="C217" s="278" t="s">
        <v>652</v>
      </c>
      <c r="D217" s="14" t="s">
        <v>757</v>
      </c>
      <c r="E217" s="14"/>
      <c r="F217" s="268" t="s">
        <v>758</v>
      </c>
      <c r="K217" s="28" t="s">
        <v>745</v>
      </c>
      <c r="L217" s="28" t="s">
        <v>127</v>
      </c>
      <c r="M217" s="281" t="s">
        <v>759</v>
      </c>
      <c r="N217" s="28"/>
      <c r="O217" s="47"/>
      <c r="P217" s="14"/>
      <c r="Q217" s="14"/>
      <c r="R217" s="14"/>
      <c r="S217" s="14"/>
      <c r="T217" s="14"/>
      <c r="U217" s="14"/>
      <c r="V217" s="185"/>
    </row>
    <row r="218" spans="1:22" ht="18" hidden="1" customHeight="1">
      <c r="A218" s="96"/>
      <c r="B218" s="28" t="s">
        <v>745</v>
      </c>
      <c r="C218" s="278" t="s">
        <v>652</v>
      </c>
      <c r="D218" s="47" t="s">
        <v>760</v>
      </c>
      <c r="E218" s="14"/>
      <c r="F218" s="268" t="s">
        <v>761</v>
      </c>
      <c r="K218" s="28"/>
      <c r="L218" s="28" t="s">
        <v>127</v>
      </c>
      <c r="M218" s="14" t="s">
        <v>762</v>
      </c>
      <c r="N218" s="14"/>
      <c r="O218" s="14"/>
      <c r="P218" s="14"/>
      <c r="Q218" s="14"/>
      <c r="R218" s="14"/>
      <c r="S218" s="14"/>
      <c r="T218" s="14"/>
      <c r="U218" s="14"/>
      <c r="V218" s="185"/>
    </row>
    <row r="219" spans="1:22" ht="18" hidden="1" customHeight="1">
      <c r="A219" s="96"/>
      <c r="B219" s="14"/>
      <c r="C219" s="14"/>
      <c r="D219" s="14"/>
      <c r="E219" s="14"/>
      <c r="F219" s="14"/>
      <c r="G219" s="14"/>
      <c r="H219" s="14"/>
      <c r="K219" s="28" t="s">
        <v>757</v>
      </c>
      <c r="L219" s="28" t="s">
        <v>127</v>
      </c>
      <c r="M219" s="47" t="s">
        <v>763</v>
      </c>
      <c r="N219" s="14"/>
      <c r="O219" s="14"/>
      <c r="P219" s="14"/>
      <c r="Q219" s="14"/>
      <c r="R219" s="14"/>
      <c r="S219" s="14"/>
      <c r="T219" s="14"/>
      <c r="U219" s="14"/>
      <c r="V219" s="185"/>
    </row>
    <row r="220" spans="1:22" ht="18" hidden="1" customHeight="1">
      <c r="A220" s="96"/>
      <c r="B220" s="14"/>
      <c r="C220" s="14"/>
      <c r="K220" s="28" t="s">
        <v>760</v>
      </c>
      <c r="L220" s="28" t="s">
        <v>127</v>
      </c>
      <c r="M220" s="28">
        <v>10</v>
      </c>
      <c r="O220" s="14" t="s">
        <v>764</v>
      </c>
      <c r="P220" s="28" t="s">
        <v>765</v>
      </c>
      <c r="Q220" s="278" t="s">
        <v>766</v>
      </c>
      <c r="R220" s="28">
        <v>120</v>
      </c>
      <c r="S220" s="14" t="s">
        <v>767</v>
      </c>
      <c r="T220" s="14"/>
      <c r="U220" s="14"/>
      <c r="V220" s="185"/>
    </row>
    <row r="221" spans="1:22" ht="18" hidden="1" customHeight="1">
      <c r="A221" s="96"/>
      <c r="B221" s="14"/>
      <c r="C221" s="14"/>
      <c r="L221" s="28" t="s">
        <v>127</v>
      </c>
      <c r="M221" s="27">
        <v>20</v>
      </c>
      <c r="N221" s="14"/>
      <c r="O221" s="14" t="s">
        <v>764</v>
      </c>
      <c r="P221" s="28" t="s">
        <v>765</v>
      </c>
      <c r="Q221" s="278" t="s">
        <v>766</v>
      </c>
      <c r="R221" s="28">
        <v>300</v>
      </c>
      <c r="S221" s="14" t="s">
        <v>767</v>
      </c>
      <c r="T221" s="14"/>
      <c r="U221" s="14"/>
      <c r="V221" s="185"/>
    </row>
    <row r="222" spans="1:22" ht="18" hidden="1" customHeight="1">
      <c r="A222" s="96"/>
      <c r="B222" s="14"/>
      <c r="C222" s="14"/>
      <c r="N222" s="14"/>
      <c r="O222" s="14"/>
      <c r="P222" s="28"/>
      <c r="Q222" s="120"/>
      <c r="R222" s="14"/>
      <c r="S222" s="14"/>
      <c r="T222" s="14"/>
      <c r="U222" s="14"/>
      <c r="V222" s="185"/>
    </row>
    <row r="223" spans="1:22" ht="18" hidden="1" customHeight="1">
      <c r="A223" s="96" t="s">
        <v>768</v>
      </c>
      <c r="B223" s="14"/>
      <c r="C223" s="14"/>
      <c r="K223" s="27" t="s">
        <v>757</v>
      </c>
      <c r="L223" s="27" t="s">
        <v>127</v>
      </c>
      <c r="M223" s="684" t="s">
        <v>425</v>
      </c>
      <c r="N223" s="684"/>
      <c r="O223" s="27" t="s">
        <v>769</v>
      </c>
      <c r="P223" s="27">
        <v>5</v>
      </c>
      <c r="Q223" s="28" t="s">
        <v>315</v>
      </c>
      <c r="R223" s="684" t="s">
        <v>423</v>
      </c>
      <c r="S223" s="684"/>
      <c r="T223" s="14" t="s">
        <v>350</v>
      </c>
      <c r="U223" s="14"/>
      <c r="V223" s="185"/>
    </row>
    <row r="224" spans="1:22" ht="18" hidden="1" customHeight="1">
      <c r="A224" s="96"/>
      <c r="B224" s="14"/>
      <c r="C224" s="14"/>
      <c r="L224" s="27" t="s">
        <v>127</v>
      </c>
      <c r="M224" s="684">
        <f>S195</f>
        <v>1</v>
      </c>
      <c r="N224" s="684"/>
      <c r="O224" s="27" t="s">
        <v>769</v>
      </c>
      <c r="P224" s="27">
        <v>5</v>
      </c>
      <c r="Q224" s="28" t="s">
        <v>315</v>
      </c>
      <c r="R224" s="684" t="str">
        <f>S196</f>
        <v>-</v>
      </c>
      <c r="S224" s="684"/>
      <c r="T224" s="14" t="s">
        <v>350</v>
      </c>
      <c r="U224" s="14"/>
      <c r="V224" s="185"/>
    </row>
    <row r="225" spans="1:22" ht="18" hidden="1" customHeight="1">
      <c r="A225" s="96"/>
      <c r="B225" s="14"/>
      <c r="C225" s="14"/>
      <c r="D225" s="14"/>
      <c r="E225" s="120"/>
      <c r="F225" s="28"/>
      <c r="L225" s="27" t="s">
        <v>127</v>
      </c>
      <c r="M225" s="689" t="e">
        <f>M224/(P224*R224)</f>
        <v>#VALUE!</v>
      </c>
      <c r="N225" s="684"/>
      <c r="O225" s="14"/>
      <c r="P225" s="14"/>
      <c r="Q225" s="14"/>
      <c r="R225" s="14"/>
      <c r="S225" s="14"/>
      <c r="T225" s="14"/>
      <c r="U225" s="14"/>
      <c r="V225" s="185"/>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85"/>
    </row>
    <row r="227" spans="1:22" ht="18" hidden="1" customHeight="1">
      <c r="A227" s="96" t="s">
        <v>770</v>
      </c>
      <c r="B227" s="14"/>
      <c r="C227" s="14"/>
      <c r="D227" s="14"/>
      <c r="E227" s="257" t="s">
        <v>771</v>
      </c>
      <c r="F227" s="14"/>
      <c r="G227" s="28" t="s">
        <v>127</v>
      </c>
      <c r="H227" s="692">
        <f>'[2]Parameters &amp; Fault Cal.'!Q184</f>
        <v>0</v>
      </c>
      <c r="I227" s="684"/>
      <c r="J227" s="30" t="s">
        <v>531</v>
      </c>
      <c r="K227" s="28" t="s">
        <v>760</v>
      </c>
      <c r="L227" s="218" t="s">
        <v>127</v>
      </c>
      <c r="M227" s="692">
        <f>IF(H227&lt;=120,M220,M221)</f>
        <v>10</v>
      </c>
      <c r="N227" s="684"/>
      <c r="O227" s="14"/>
      <c r="P227" s="14"/>
      <c r="Q227" s="14"/>
      <c r="R227" s="14"/>
      <c r="S227" s="14"/>
      <c r="T227" s="14"/>
      <c r="U227" s="14"/>
      <c r="V227" s="185"/>
    </row>
    <row r="228" spans="1:22" ht="18" hidden="1" customHeight="1">
      <c r="A228" s="184"/>
      <c r="J228" s="14"/>
      <c r="K228" s="257"/>
      <c r="M228" s="14"/>
      <c r="N228" s="14"/>
      <c r="O228" s="14"/>
      <c r="P228" s="14"/>
      <c r="Q228" s="14"/>
      <c r="R228" s="14"/>
      <c r="S228" s="14"/>
      <c r="T228" s="14"/>
      <c r="U228" s="14"/>
      <c r="V228" s="185"/>
    </row>
    <row r="229" spans="1:22" ht="18" hidden="1" customHeight="1">
      <c r="A229" s="96" t="s">
        <v>772</v>
      </c>
      <c r="E229" s="199"/>
      <c r="G229" s="27" t="s">
        <v>127</v>
      </c>
      <c r="H229" s="27" t="s">
        <v>495</v>
      </c>
      <c r="I229" s="27" t="s">
        <v>554</v>
      </c>
      <c r="J229" s="120" t="s">
        <v>491</v>
      </c>
      <c r="K229" s="28" t="s">
        <v>347</v>
      </c>
      <c r="L229" s="120" t="s">
        <v>493</v>
      </c>
      <c r="M229" s="28" t="s">
        <v>539</v>
      </c>
      <c r="N229" s="120" t="s">
        <v>491</v>
      </c>
      <c r="O229" s="28" t="s">
        <v>347</v>
      </c>
      <c r="P229" s="120" t="s">
        <v>512</v>
      </c>
      <c r="Q229" s="296" t="s">
        <v>350</v>
      </c>
      <c r="V229" s="185"/>
    </row>
    <row r="230" spans="1:22" ht="18" hidden="1" customHeight="1">
      <c r="A230" s="184"/>
      <c r="G230" s="27" t="s">
        <v>127</v>
      </c>
      <c r="H230" s="242">
        <f>S201</f>
        <v>20</v>
      </c>
      <c r="I230" s="245" t="s">
        <v>554</v>
      </c>
      <c r="J230" s="301" t="e">
        <f>S198</f>
        <v>#VALUE!</v>
      </c>
      <c r="K230" s="245" t="s">
        <v>347</v>
      </c>
      <c r="L230" s="301" t="e">
        <f>E206</f>
        <v>#VALUE!</v>
      </c>
      <c r="M230" s="245" t="s">
        <v>539</v>
      </c>
      <c r="N230" s="301" t="e">
        <f>S198</f>
        <v>#VALUE!</v>
      </c>
      <c r="O230" s="245" t="s">
        <v>347</v>
      </c>
      <c r="P230" s="301">
        <f>S199</f>
        <v>1.0870224400000001</v>
      </c>
      <c r="Q230" s="461" t="s">
        <v>350</v>
      </c>
      <c r="V230" s="185"/>
    </row>
    <row r="231" spans="1:22" ht="18" hidden="1" customHeight="1">
      <c r="A231" s="184"/>
      <c r="G231" s="27" t="s">
        <v>127</v>
      </c>
      <c r="H231" s="795" t="e">
        <f>H230*((J230+L230)/(N230+P230))</f>
        <v>#VALUE!</v>
      </c>
      <c r="I231" s="795"/>
      <c r="V231" s="185"/>
    </row>
    <row r="232" spans="1:22" ht="18" hidden="1" customHeight="1">
      <c r="A232" s="184"/>
      <c r="V232" s="185"/>
    </row>
    <row r="233" spans="1:22" ht="18" hidden="1" customHeight="1">
      <c r="A233" s="184" t="s">
        <v>773</v>
      </c>
      <c r="E233" s="244"/>
      <c r="F233" s="27"/>
      <c r="G233" s="296"/>
      <c r="V233" s="185"/>
    </row>
    <row r="234" spans="1:22" ht="18" hidden="1" customHeight="1">
      <c r="A234" s="184"/>
      <c r="D234" s="211"/>
      <c r="E234" s="211"/>
      <c r="F234" s="27"/>
      <c r="G234" s="211"/>
      <c r="H234" s="211"/>
      <c r="V234" s="185"/>
    </row>
    <row r="235" spans="1:22" ht="18" hidden="1" customHeight="1">
      <c r="A235" s="184"/>
      <c r="D235" s="795" t="e">
        <f>H231</f>
        <v>#VALUE!</v>
      </c>
      <c r="E235" s="684"/>
      <c r="F235" s="27" t="e">
        <f>IF(D235&gt;=G235,"&gt;","&lt;")</f>
        <v>#VALUE!</v>
      </c>
      <c r="G235" s="795" t="e">
        <f>M225</f>
        <v>#VALUE!</v>
      </c>
      <c r="H235" s="684"/>
      <c r="I235" s="18"/>
      <c r="J235" s="268" t="s">
        <v>758</v>
      </c>
      <c r="V235" s="185"/>
    </row>
    <row r="236" spans="1:22" ht="18" hidden="1" customHeight="1">
      <c r="A236" s="184"/>
      <c r="D236" s="795" t="e">
        <f>H231</f>
        <v>#VALUE!</v>
      </c>
      <c r="E236" s="684"/>
      <c r="F236" s="27" t="e">
        <f>IF(D236&gt;=G236,"&gt;","&lt;")</f>
        <v>#VALUE!</v>
      </c>
      <c r="G236" s="795">
        <f>M227</f>
        <v>10</v>
      </c>
      <c r="H236" s="684"/>
      <c r="J236" s="268" t="s">
        <v>761</v>
      </c>
      <c r="V236" s="185"/>
    </row>
    <row r="237" spans="1:22" ht="18" hidden="1" customHeight="1">
      <c r="A237" s="184"/>
      <c r="E237" s="244" t="s">
        <v>478</v>
      </c>
      <c r="G237" s="18" t="e">
        <f>IF(AND(F235="&gt;",F236="&gt;")=TRUE,"Suitably Dimensioned","Under Dimensioned")</f>
        <v>#VALUE!</v>
      </c>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s="14" customFormat="1" ht="18" customHeight="1">
      <c r="A257" s="194"/>
      <c r="B257" s="195"/>
      <c r="C257" s="195"/>
      <c r="D257" s="195"/>
      <c r="E257" s="195"/>
      <c r="F257" s="195"/>
      <c r="G257" s="195"/>
      <c r="H257" s="195"/>
      <c r="I257" s="195"/>
      <c r="J257" s="195"/>
      <c r="K257" s="195"/>
      <c r="L257" s="195"/>
      <c r="M257" s="195"/>
      <c r="N257" s="195"/>
      <c r="O257" s="195"/>
      <c r="P257" s="195"/>
      <c r="Q257" s="224"/>
      <c r="R257" s="182"/>
      <c r="S257" s="225"/>
      <c r="T257" s="195"/>
      <c r="U257" s="195"/>
      <c r="V257" s="134"/>
    </row>
    <row r="258" spans="1:22" ht="18" customHeight="1">
      <c r="A258" s="226"/>
      <c r="B258" s="227"/>
      <c r="C258" s="227"/>
      <c r="D258" s="227"/>
      <c r="E258" s="227"/>
      <c r="F258" s="227"/>
      <c r="G258" s="227"/>
      <c r="H258" s="227"/>
      <c r="I258" s="227"/>
      <c r="J258" s="227"/>
      <c r="K258" s="227"/>
      <c r="L258" s="227"/>
      <c r="M258" s="227"/>
      <c r="N258" s="227"/>
      <c r="O258" s="227"/>
      <c r="P258" s="227"/>
      <c r="Q258" s="227"/>
      <c r="R258" s="227"/>
      <c r="S258" s="227"/>
      <c r="T258" s="227"/>
      <c r="U258" s="227"/>
      <c r="V258" s="228"/>
    </row>
    <row r="259" spans="1:22" ht="18" customHeight="1">
      <c r="A259" s="452" t="s">
        <v>501</v>
      </c>
      <c r="B259" s="14"/>
      <c r="C259" s="14"/>
      <c r="D259" s="120"/>
      <c r="E259" s="120"/>
      <c r="F259" s="18"/>
      <c r="G259" s="18"/>
      <c r="H259" s="14"/>
      <c r="I259" s="14"/>
      <c r="J259" s="14"/>
      <c r="K259" s="14"/>
      <c r="L259" s="14"/>
      <c r="M259" s="14"/>
      <c r="N259" s="14"/>
      <c r="O259" s="14"/>
      <c r="P259" s="28"/>
      <c r="Q259" s="120"/>
      <c r="R259" s="47"/>
      <c r="S259" s="206"/>
      <c r="T259" s="259"/>
      <c r="U259" s="14"/>
      <c r="V259" s="97"/>
    </row>
    <row r="260" spans="1:22" ht="18" customHeight="1">
      <c r="A260" s="955" t="s">
        <v>85</v>
      </c>
      <c r="B260" s="956"/>
      <c r="C260" s="957"/>
      <c r="D260" s="955" t="s">
        <v>86</v>
      </c>
      <c r="E260" s="956"/>
      <c r="F260" s="957"/>
      <c r="G260" s="955" t="s">
        <v>87</v>
      </c>
      <c r="H260" s="957"/>
      <c r="I260" s="955" t="s">
        <v>88</v>
      </c>
      <c r="J260" s="957"/>
      <c r="K260" s="955" t="s">
        <v>502</v>
      </c>
      <c r="L260" s="957"/>
      <c r="M260" s="955" t="s">
        <v>503</v>
      </c>
      <c r="N260" s="957"/>
      <c r="O260" s="955" t="s">
        <v>504</v>
      </c>
      <c r="P260" s="957"/>
      <c r="Q260" s="955" t="s">
        <v>505</v>
      </c>
      <c r="R260" s="957"/>
      <c r="S260" s="955" t="s">
        <v>93</v>
      </c>
      <c r="T260" s="956"/>
      <c r="U260" s="956"/>
      <c r="V260" s="957"/>
    </row>
    <row r="261" spans="1:22" ht="18" customHeight="1">
      <c r="A261" s="1125"/>
      <c r="B261" s="983"/>
      <c r="C261" s="1126"/>
      <c r="D261" s="1125"/>
      <c r="E261" s="983"/>
      <c r="F261" s="1126"/>
      <c r="G261" s="1125"/>
      <c r="H261" s="1126"/>
      <c r="I261" s="1125"/>
      <c r="J261" s="1126"/>
      <c r="K261" s="1125"/>
      <c r="L261" s="1126"/>
      <c r="M261" s="1125"/>
      <c r="N261" s="1126"/>
      <c r="O261" s="1125"/>
      <c r="P261" s="1126"/>
      <c r="Q261" s="1125"/>
      <c r="R261" s="1126"/>
      <c r="S261" s="1125"/>
      <c r="T261" s="983"/>
      <c r="U261" s="983"/>
      <c r="V261" s="1126"/>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047"/>
      <c r="B263" s="1048"/>
      <c r="C263" s="1049"/>
      <c r="D263" s="1047"/>
      <c r="E263" s="1048"/>
      <c r="F263" s="1049"/>
      <c r="G263" s="1047"/>
      <c r="H263" s="1049"/>
      <c r="I263" s="1047"/>
      <c r="J263" s="1049"/>
      <c r="K263" s="1047"/>
      <c r="L263" s="1049"/>
      <c r="M263" s="1047"/>
      <c r="N263" s="1049"/>
      <c r="O263" s="1047"/>
      <c r="P263" s="1049"/>
      <c r="Q263" s="1047"/>
      <c r="R263" s="1049"/>
      <c r="S263" s="1047"/>
      <c r="T263" s="1048"/>
      <c r="U263" s="1048"/>
      <c r="V263" s="1049"/>
    </row>
    <row r="264" spans="1:22" ht="18" customHeight="1">
      <c r="A264" s="765" t="str">
        <f>B7</f>
        <v>T1</v>
      </c>
      <c r="B264" s="765" t="str">
        <f>D7</f>
        <v>Core4</v>
      </c>
      <c r="C264" s="765"/>
      <c r="D264" s="870">
        <f>H10</f>
        <v>3200</v>
      </c>
      <c r="E264" s="870"/>
      <c r="F264" s="871">
        <f>O10</f>
        <v>1</v>
      </c>
      <c r="G264" s="870">
        <f>'CT-VT Burdens'!S21</f>
        <v>120</v>
      </c>
      <c r="H264" s="874">
        <f>'CT-VT Burdens'!S10</f>
        <v>6</v>
      </c>
      <c r="I264" s="874" t="str">
        <f>H11</f>
        <v>PX</v>
      </c>
      <c r="J264" s="874" t="e">
        <f>#REF!</f>
        <v>#REF!</v>
      </c>
      <c r="K264" s="869">
        <f>H12</f>
        <v>8</v>
      </c>
      <c r="L264" s="869"/>
      <c r="M264" s="869">
        <f>H13</f>
        <v>900</v>
      </c>
      <c r="N264" s="869"/>
      <c r="O264" s="870">
        <f>H14</f>
        <v>10</v>
      </c>
      <c r="P264" s="870"/>
      <c r="Q264" s="879" t="str">
        <f>IF(T8="",T7,IF(T9="",T7&amp;"+"&amp;T8,T7&amp;"+"&amp;T8&amp;"+"&amp;T9))</f>
        <v>REB500</v>
      </c>
      <c r="R264" s="879"/>
      <c r="S264" s="878" t="str">
        <f>M82</f>
        <v>Suitably Dimensioned</v>
      </c>
      <c r="T264" s="878"/>
      <c r="U264" s="878"/>
      <c r="V264" s="878"/>
    </row>
    <row r="265" spans="1:22" ht="18" customHeight="1">
      <c r="A265" s="765"/>
      <c r="B265" s="765"/>
      <c r="C265" s="765"/>
      <c r="D265" s="870">
        <f>J10</f>
        <v>2000</v>
      </c>
      <c r="E265" s="870"/>
      <c r="F265" s="872"/>
      <c r="G265" s="870"/>
      <c r="H265" s="870"/>
      <c r="I265" s="874"/>
      <c r="J265" s="874"/>
      <c r="K265" s="875">
        <f>J93</f>
        <v>5</v>
      </c>
      <c r="L265" s="869"/>
      <c r="M265" s="875">
        <f>J94</f>
        <v>500</v>
      </c>
      <c r="N265" s="869"/>
      <c r="O265" s="876">
        <f>J95</f>
        <v>20</v>
      </c>
      <c r="P265" s="870"/>
      <c r="Q265" s="879"/>
      <c r="R265" s="879"/>
      <c r="S265" s="877" t="str">
        <f>M162</f>
        <v>Suitably Dimensioned</v>
      </c>
      <c r="T265" s="878"/>
      <c r="U265" s="878"/>
      <c r="V265" s="878"/>
    </row>
    <row r="266" spans="1:22" ht="18" customHeight="1">
      <c r="A266" s="765"/>
      <c r="B266" s="765"/>
      <c r="C266" s="765"/>
      <c r="D266" s="870" t="str">
        <f>L10</f>
        <v>-</v>
      </c>
      <c r="E266" s="870"/>
      <c r="F266" s="873"/>
      <c r="G266" s="870"/>
      <c r="H266" s="870"/>
      <c r="I266" s="874"/>
      <c r="J266" s="874"/>
      <c r="K266" s="869" t="str">
        <f>L176</f>
        <v>-</v>
      </c>
      <c r="L266" s="869"/>
      <c r="M266" s="869" t="str">
        <f>L177</f>
        <v>-</v>
      </c>
      <c r="N266" s="869"/>
      <c r="O266" s="870" t="str">
        <f>L178</f>
        <v>-</v>
      </c>
      <c r="P266" s="870"/>
      <c r="Q266" s="879"/>
      <c r="R266" s="879"/>
      <c r="S266" s="878" t="s">
        <v>6</v>
      </c>
      <c r="T266" s="878"/>
      <c r="U266" s="878"/>
      <c r="V266" s="878"/>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s="14" customFormat="1" ht="18" customHeight="1">
      <c r="A297" s="194"/>
      <c r="B297" s="195"/>
      <c r="C297" s="195"/>
      <c r="D297" s="195"/>
      <c r="E297" s="195"/>
      <c r="F297" s="195"/>
      <c r="G297" s="195"/>
      <c r="H297" s="195"/>
      <c r="I297" s="195"/>
      <c r="J297" s="195"/>
      <c r="K297" s="195"/>
      <c r="L297" s="195"/>
      <c r="M297" s="195"/>
      <c r="N297" s="195"/>
      <c r="O297" s="195"/>
      <c r="P297" s="195"/>
      <c r="Q297" s="224"/>
      <c r="R297" s="182"/>
      <c r="S297" s="225"/>
      <c r="T297" s="195"/>
      <c r="U297" s="195"/>
      <c r="V297" s="134"/>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4:G154"/>
    <mergeCell ref="N158:O158"/>
    <mergeCell ref="N159:O159"/>
    <mergeCell ref="J161:K161"/>
    <mergeCell ref="M161:N161"/>
    <mergeCell ref="B171:C171"/>
    <mergeCell ref="D171:E171"/>
    <mergeCell ref="H171:M171"/>
    <mergeCell ref="F141:H141"/>
    <mergeCell ref="J141:J142"/>
    <mergeCell ref="K141:K142"/>
    <mergeCell ref="F143:G143"/>
    <mergeCell ref="F144:G144"/>
    <mergeCell ref="E150:F150"/>
    <mergeCell ref="E130:F130"/>
    <mergeCell ref="E131:F131"/>
    <mergeCell ref="E133:F133"/>
    <mergeCell ref="E136:E137"/>
    <mergeCell ref="F136:G136"/>
    <mergeCell ref="H136:H137"/>
    <mergeCell ref="S111:T111"/>
    <mergeCell ref="S112:T112"/>
    <mergeCell ref="S113:T113"/>
    <mergeCell ref="I116:I117"/>
    <mergeCell ref="J116:J117"/>
    <mergeCell ref="K116:L116"/>
    <mergeCell ref="K117:L117"/>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32" priority="3" stopIfTrue="1" operator="equal">
      <formula>"Under Dimentioned"</formula>
    </cfRule>
  </conditionalFormatting>
  <conditionalFormatting sqref="O80 M82:M84">
    <cfRule type="cellIs" dxfId="31" priority="1" stopIfTrue="1" operator="equal">
      <formula>"Under Dimentioned"</formula>
    </cfRule>
  </conditionalFormatting>
  <conditionalFormatting sqref="O160 M162:M164">
    <cfRule type="cellIs" dxfId="30"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6 IZ65706 SV65706 ACR65706 AMN65706 AWJ65706 BGF65706 BQB65706 BZX65706 CJT65706 CTP65706 DDL65706 DNH65706 DXD65706 EGZ65706 EQV65706 FAR65706 FKN65706 FUJ65706 GEF65706 GOB65706 GXX65706 HHT65706 HRP65706 IBL65706 ILH65706 IVD65706 JEZ65706 JOV65706 JYR65706 KIN65706 KSJ65706 LCF65706 LMB65706 LVX65706 MFT65706 MPP65706 MZL65706 NJH65706 NTD65706 OCZ65706 OMV65706 OWR65706 PGN65706 PQJ65706 QAF65706 QKB65706 QTX65706 RDT65706 RNP65706 RXL65706 SHH65706 SRD65706 TAZ65706 TKV65706 TUR65706 UEN65706 UOJ65706 UYF65706 VIB65706 VRX65706 WBT65706 WLP65706 WVL65706 D131242 IZ131242 SV131242 ACR131242 AMN131242 AWJ131242 BGF131242 BQB131242 BZX131242 CJT131242 CTP131242 DDL131242 DNH131242 DXD131242 EGZ131242 EQV131242 FAR131242 FKN131242 FUJ131242 GEF131242 GOB131242 GXX131242 HHT131242 HRP131242 IBL131242 ILH131242 IVD131242 JEZ131242 JOV131242 JYR131242 KIN131242 KSJ131242 LCF131242 LMB131242 LVX131242 MFT131242 MPP131242 MZL131242 NJH131242 NTD131242 OCZ131242 OMV131242 OWR131242 PGN131242 PQJ131242 QAF131242 QKB131242 QTX131242 RDT131242 RNP131242 RXL131242 SHH131242 SRD131242 TAZ131242 TKV131242 TUR131242 UEN131242 UOJ131242 UYF131242 VIB131242 VRX131242 WBT131242 WLP131242 WVL131242 D196778 IZ196778 SV196778 ACR196778 AMN196778 AWJ196778 BGF196778 BQB196778 BZX196778 CJT196778 CTP196778 DDL196778 DNH196778 DXD196778 EGZ196778 EQV196778 FAR196778 FKN196778 FUJ196778 GEF196778 GOB196778 GXX196778 HHT196778 HRP196778 IBL196778 ILH196778 IVD196778 JEZ196778 JOV196778 JYR196778 KIN196778 KSJ196778 LCF196778 LMB196778 LVX196778 MFT196778 MPP196778 MZL196778 NJH196778 NTD196778 OCZ196778 OMV196778 OWR196778 PGN196778 PQJ196778 QAF196778 QKB196778 QTX196778 RDT196778 RNP196778 RXL196778 SHH196778 SRD196778 TAZ196778 TKV196778 TUR196778 UEN196778 UOJ196778 UYF196778 VIB196778 VRX196778 WBT196778 WLP196778 WVL196778 D262314 IZ262314 SV262314 ACR262314 AMN262314 AWJ262314 BGF262314 BQB262314 BZX262314 CJT262314 CTP262314 DDL262314 DNH262314 DXD262314 EGZ262314 EQV262314 FAR262314 FKN262314 FUJ262314 GEF262314 GOB262314 GXX262314 HHT262314 HRP262314 IBL262314 ILH262314 IVD262314 JEZ262314 JOV262314 JYR262314 KIN262314 KSJ262314 LCF262314 LMB262314 LVX262314 MFT262314 MPP262314 MZL262314 NJH262314 NTD262314 OCZ262314 OMV262314 OWR262314 PGN262314 PQJ262314 QAF262314 QKB262314 QTX262314 RDT262314 RNP262314 RXL262314 SHH262314 SRD262314 TAZ262314 TKV262314 TUR262314 UEN262314 UOJ262314 UYF262314 VIB262314 VRX262314 WBT262314 WLP262314 WVL262314 D327850 IZ327850 SV327850 ACR327850 AMN327850 AWJ327850 BGF327850 BQB327850 BZX327850 CJT327850 CTP327850 DDL327850 DNH327850 DXD327850 EGZ327850 EQV327850 FAR327850 FKN327850 FUJ327850 GEF327850 GOB327850 GXX327850 HHT327850 HRP327850 IBL327850 ILH327850 IVD327850 JEZ327850 JOV327850 JYR327850 KIN327850 KSJ327850 LCF327850 LMB327850 LVX327850 MFT327850 MPP327850 MZL327850 NJH327850 NTD327850 OCZ327850 OMV327850 OWR327850 PGN327850 PQJ327850 QAF327850 QKB327850 QTX327850 RDT327850 RNP327850 RXL327850 SHH327850 SRD327850 TAZ327850 TKV327850 TUR327850 UEN327850 UOJ327850 UYF327850 VIB327850 VRX327850 WBT327850 WLP327850 WVL327850 D393386 IZ393386 SV393386 ACR393386 AMN393386 AWJ393386 BGF393386 BQB393386 BZX393386 CJT393386 CTP393386 DDL393386 DNH393386 DXD393386 EGZ393386 EQV393386 FAR393386 FKN393386 FUJ393386 GEF393386 GOB393386 GXX393386 HHT393386 HRP393386 IBL393386 ILH393386 IVD393386 JEZ393386 JOV393386 JYR393386 KIN393386 KSJ393386 LCF393386 LMB393386 LVX393386 MFT393386 MPP393386 MZL393386 NJH393386 NTD393386 OCZ393386 OMV393386 OWR393386 PGN393386 PQJ393386 QAF393386 QKB393386 QTX393386 RDT393386 RNP393386 RXL393386 SHH393386 SRD393386 TAZ393386 TKV393386 TUR393386 UEN393386 UOJ393386 UYF393386 VIB393386 VRX393386 WBT393386 WLP393386 WVL393386 D458922 IZ458922 SV458922 ACR458922 AMN458922 AWJ458922 BGF458922 BQB458922 BZX458922 CJT458922 CTP458922 DDL458922 DNH458922 DXD458922 EGZ458922 EQV458922 FAR458922 FKN458922 FUJ458922 GEF458922 GOB458922 GXX458922 HHT458922 HRP458922 IBL458922 ILH458922 IVD458922 JEZ458922 JOV458922 JYR458922 KIN458922 KSJ458922 LCF458922 LMB458922 LVX458922 MFT458922 MPP458922 MZL458922 NJH458922 NTD458922 OCZ458922 OMV458922 OWR458922 PGN458922 PQJ458922 QAF458922 QKB458922 QTX458922 RDT458922 RNP458922 RXL458922 SHH458922 SRD458922 TAZ458922 TKV458922 TUR458922 UEN458922 UOJ458922 UYF458922 VIB458922 VRX458922 WBT458922 WLP458922 WVL458922 D524458 IZ524458 SV524458 ACR524458 AMN524458 AWJ524458 BGF524458 BQB524458 BZX524458 CJT524458 CTP524458 DDL524458 DNH524458 DXD524458 EGZ524458 EQV524458 FAR524458 FKN524458 FUJ524458 GEF524458 GOB524458 GXX524458 HHT524458 HRP524458 IBL524458 ILH524458 IVD524458 JEZ524458 JOV524458 JYR524458 KIN524458 KSJ524458 LCF524458 LMB524458 LVX524458 MFT524458 MPP524458 MZL524458 NJH524458 NTD524458 OCZ524458 OMV524458 OWR524458 PGN524458 PQJ524458 QAF524458 QKB524458 QTX524458 RDT524458 RNP524458 RXL524458 SHH524458 SRD524458 TAZ524458 TKV524458 TUR524458 UEN524458 UOJ524458 UYF524458 VIB524458 VRX524458 WBT524458 WLP524458 WVL524458 D589994 IZ589994 SV589994 ACR589994 AMN589994 AWJ589994 BGF589994 BQB589994 BZX589994 CJT589994 CTP589994 DDL589994 DNH589994 DXD589994 EGZ589994 EQV589994 FAR589994 FKN589994 FUJ589994 GEF589994 GOB589994 GXX589994 HHT589994 HRP589994 IBL589994 ILH589994 IVD589994 JEZ589994 JOV589994 JYR589994 KIN589994 KSJ589994 LCF589994 LMB589994 LVX589994 MFT589994 MPP589994 MZL589994 NJH589994 NTD589994 OCZ589994 OMV589994 OWR589994 PGN589994 PQJ589994 QAF589994 QKB589994 QTX589994 RDT589994 RNP589994 RXL589994 SHH589994 SRD589994 TAZ589994 TKV589994 TUR589994 UEN589994 UOJ589994 UYF589994 VIB589994 VRX589994 WBT589994 WLP589994 WVL589994 D655530 IZ655530 SV655530 ACR655530 AMN655530 AWJ655530 BGF655530 BQB655530 BZX655530 CJT655530 CTP655530 DDL655530 DNH655530 DXD655530 EGZ655530 EQV655530 FAR655530 FKN655530 FUJ655530 GEF655530 GOB655530 GXX655530 HHT655530 HRP655530 IBL655530 ILH655530 IVD655530 JEZ655530 JOV655530 JYR655530 KIN655530 KSJ655530 LCF655530 LMB655530 LVX655530 MFT655530 MPP655530 MZL655530 NJH655530 NTD655530 OCZ655530 OMV655530 OWR655530 PGN655530 PQJ655530 QAF655530 QKB655530 QTX655530 RDT655530 RNP655530 RXL655530 SHH655530 SRD655530 TAZ655530 TKV655530 TUR655530 UEN655530 UOJ655530 UYF655530 VIB655530 VRX655530 WBT655530 WLP655530 WVL655530 D721066 IZ721066 SV721066 ACR721066 AMN721066 AWJ721066 BGF721066 BQB721066 BZX721066 CJT721066 CTP721066 DDL721066 DNH721066 DXD721066 EGZ721066 EQV721066 FAR721066 FKN721066 FUJ721066 GEF721066 GOB721066 GXX721066 HHT721066 HRP721066 IBL721066 ILH721066 IVD721066 JEZ721066 JOV721066 JYR721066 KIN721066 KSJ721066 LCF721066 LMB721066 LVX721066 MFT721066 MPP721066 MZL721066 NJH721066 NTD721066 OCZ721066 OMV721066 OWR721066 PGN721066 PQJ721066 QAF721066 QKB721066 QTX721066 RDT721066 RNP721066 RXL721066 SHH721066 SRD721066 TAZ721066 TKV721066 TUR721066 UEN721066 UOJ721066 UYF721066 VIB721066 VRX721066 WBT721066 WLP721066 WVL721066 D786602 IZ786602 SV786602 ACR786602 AMN786602 AWJ786602 BGF786602 BQB786602 BZX786602 CJT786602 CTP786602 DDL786602 DNH786602 DXD786602 EGZ786602 EQV786602 FAR786602 FKN786602 FUJ786602 GEF786602 GOB786602 GXX786602 HHT786602 HRP786602 IBL786602 ILH786602 IVD786602 JEZ786602 JOV786602 JYR786602 KIN786602 KSJ786602 LCF786602 LMB786602 LVX786602 MFT786602 MPP786602 MZL786602 NJH786602 NTD786602 OCZ786602 OMV786602 OWR786602 PGN786602 PQJ786602 QAF786602 QKB786602 QTX786602 RDT786602 RNP786602 RXL786602 SHH786602 SRD786602 TAZ786602 TKV786602 TUR786602 UEN786602 UOJ786602 UYF786602 VIB786602 VRX786602 WBT786602 WLP786602 WVL786602 D852138 IZ852138 SV852138 ACR852138 AMN852138 AWJ852138 BGF852138 BQB852138 BZX852138 CJT852138 CTP852138 DDL852138 DNH852138 DXD852138 EGZ852138 EQV852138 FAR852138 FKN852138 FUJ852138 GEF852138 GOB852138 GXX852138 HHT852138 HRP852138 IBL852138 ILH852138 IVD852138 JEZ852138 JOV852138 JYR852138 KIN852138 KSJ852138 LCF852138 LMB852138 LVX852138 MFT852138 MPP852138 MZL852138 NJH852138 NTD852138 OCZ852138 OMV852138 OWR852138 PGN852138 PQJ852138 QAF852138 QKB852138 QTX852138 RDT852138 RNP852138 RXL852138 SHH852138 SRD852138 TAZ852138 TKV852138 TUR852138 UEN852138 UOJ852138 UYF852138 VIB852138 VRX852138 WBT852138 WLP852138 WVL852138 D917674 IZ917674 SV917674 ACR917674 AMN917674 AWJ917674 BGF917674 BQB917674 BZX917674 CJT917674 CTP917674 DDL917674 DNH917674 DXD917674 EGZ917674 EQV917674 FAR917674 FKN917674 FUJ917674 GEF917674 GOB917674 GXX917674 HHT917674 HRP917674 IBL917674 ILH917674 IVD917674 JEZ917674 JOV917674 JYR917674 KIN917674 KSJ917674 LCF917674 LMB917674 LVX917674 MFT917674 MPP917674 MZL917674 NJH917674 NTD917674 OCZ917674 OMV917674 OWR917674 PGN917674 PQJ917674 QAF917674 QKB917674 QTX917674 RDT917674 RNP917674 RXL917674 SHH917674 SRD917674 TAZ917674 TKV917674 TUR917674 UEN917674 UOJ917674 UYF917674 VIB917674 VRX917674 WBT917674 WLP917674 WVL917674 D983210 IZ983210 SV983210 ACR983210 AMN983210 AWJ983210 BGF983210 BQB983210 BZX983210 CJT983210 CTP983210 DDL983210 DNH983210 DXD983210 EGZ983210 EQV983210 FAR983210 FKN983210 FUJ983210 GEF983210 GOB983210 GXX983210 HHT983210 HRP983210 IBL983210 ILH983210 IVD983210 JEZ983210 JOV983210 JYR983210 KIN983210 KSJ983210 LCF983210 LMB983210 LVX983210 MFT983210 MPP983210 MZL983210 NJH983210 NTD983210 OCZ983210 OMV983210 OWR983210 PGN983210 PQJ983210 QAF983210 QKB983210 QTX983210 RDT983210 RNP983210 RXL983210 SHH983210 SRD983210 TAZ983210 TKV983210 TUR983210 UEN983210 UOJ983210 UYF983210 VIB983210 VRX983210 WBT983210 WLP983210 WVL983210 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1:E65541 IZ65541:JA65541 SV65541:SW65541 ACR65541:ACS65541 AMN65541:AMO65541 AWJ65541:AWK65541 BGF65541:BGG65541 BQB65541:BQC65541 BZX65541:BZY65541 CJT65541:CJU65541 CTP65541:CTQ65541 DDL65541:DDM65541 DNH65541:DNI65541 DXD65541:DXE65541 EGZ65541:EHA65541 EQV65541:EQW65541 FAR65541:FAS65541 FKN65541:FKO65541 FUJ65541:FUK65541 GEF65541:GEG65541 GOB65541:GOC65541 GXX65541:GXY65541 HHT65541:HHU65541 HRP65541:HRQ65541 IBL65541:IBM65541 ILH65541:ILI65541 IVD65541:IVE65541 JEZ65541:JFA65541 JOV65541:JOW65541 JYR65541:JYS65541 KIN65541:KIO65541 KSJ65541:KSK65541 LCF65541:LCG65541 LMB65541:LMC65541 LVX65541:LVY65541 MFT65541:MFU65541 MPP65541:MPQ65541 MZL65541:MZM65541 NJH65541:NJI65541 NTD65541:NTE65541 OCZ65541:ODA65541 OMV65541:OMW65541 OWR65541:OWS65541 PGN65541:PGO65541 PQJ65541:PQK65541 QAF65541:QAG65541 QKB65541:QKC65541 QTX65541:QTY65541 RDT65541:RDU65541 RNP65541:RNQ65541 RXL65541:RXM65541 SHH65541:SHI65541 SRD65541:SRE65541 TAZ65541:TBA65541 TKV65541:TKW65541 TUR65541:TUS65541 UEN65541:UEO65541 UOJ65541:UOK65541 UYF65541:UYG65541 VIB65541:VIC65541 VRX65541:VRY65541 WBT65541:WBU65541 WLP65541:WLQ65541 WVL65541:WVM65541 D131077:E131077 IZ131077:JA131077 SV131077:SW131077 ACR131077:ACS131077 AMN131077:AMO131077 AWJ131077:AWK131077 BGF131077:BGG131077 BQB131077:BQC131077 BZX131077:BZY131077 CJT131077:CJU131077 CTP131077:CTQ131077 DDL131077:DDM131077 DNH131077:DNI131077 DXD131077:DXE131077 EGZ131077:EHA131077 EQV131077:EQW131077 FAR131077:FAS131077 FKN131077:FKO131077 FUJ131077:FUK131077 GEF131077:GEG131077 GOB131077:GOC131077 GXX131077:GXY131077 HHT131077:HHU131077 HRP131077:HRQ131077 IBL131077:IBM131077 ILH131077:ILI131077 IVD131077:IVE131077 JEZ131077:JFA131077 JOV131077:JOW131077 JYR131077:JYS131077 KIN131077:KIO131077 KSJ131077:KSK131077 LCF131077:LCG131077 LMB131077:LMC131077 LVX131077:LVY131077 MFT131077:MFU131077 MPP131077:MPQ131077 MZL131077:MZM131077 NJH131077:NJI131077 NTD131077:NTE131077 OCZ131077:ODA131077 OMV131077:OMW131077 OWR131077:OWS131077 PGN131077:PGO131077 PQJ131077:PQK131077 QAF131077:QAG131077 QKB131077:QKC131077 QTX131077:QTY131077 RDT131077:RDU131077 RNP131077:RNQ131077 RXL131077:RXM131077 SHH131077:SHI131077 SRD131077:SRE131077 TAZ131077:TBA131077 TKV131077:TKW131077 TUR131077:TUS131077 UEN131077:UEO131077 UOJ131077:UOK131077 UYF131077:UYG131077 VIB131077:VIC131077 VRX131077:VRY131077 WBT131077:WBU131077 WLP131077:WLQ131077 WVL131077:WVM131077 D196613:E196613 IZ196613:JA196613 SV196613:SW196613 ACR196613:ACS196613 AMN196613:AMO196613 AWJ196613:AWK196613 BGF196613:BGG196613 BQB196613:BQC196613 BZX196613:BZY196613 CJT196613:CJU196613 CTP196613:CTQ196613 DDL196613:DDM196613 DNH196613:DNI196613 DXD196613:DXE196613 EGZ196613:EHA196613 EQV196613:EQW196613 FAR196613:FAS196613 FKN196613:FKO196613 FUJ196613:FUK196613 GEF196613:GEG196613 GOB196613:GOC196613 GXX196613:GXY196613 HHT196613:HHU196613 HRP196613:HRQ196613 IBL196613:IBM196613 ILH196613:ILI196613 IVD196613:IVE196613 JEZ196613:JFA196613 JOV196613:JOW196613 JYR196613:JYS196613 KIN196613:KIO196613 KSJ196613:KSK196613 LCF196613:LCG196613 LMB196613:LMC196613 LVX196613:LVY196613 MFT196613:MFU196613 MPP196613:MPQ196613 MZL196613:MZM196613 NJH196613:NJI196613 NTD196613:NTE196613 OCZ196613:ODA196613 OMV196613:OMW196613 OWR196613:OWS196613 PGN196613:PGO196613 PQJ196613:PQK196613 QAF196613:QAG196613 QKB196613:QKC196613 QTX196613:QTY196613 RDT196613:RDU196613 RNP196613:RNQ196613 RXL196613:RXM196613 SHH196613:SHI196613 SRD196613:SRE196613 TAZ196613:TBA196613 TKV196613:TKW196613 TUR196613:TUS196613 UEN196613:UEO196613 UOJ196613:UOK196613 UYF196613:UYG196613 VIB196613:VIC196613 VRX196613:VRY196613 WBT196613:WBU196613 WLP196613:WLQ196613 WVL196613:WVM196613 D262149:E262149 IZ262149:JA262149 SV262149:SW262149 ACR262149:ACS262149 AMN262149:AMO262149 AWJ262149:AWK262149 BGF262149:BGG262149 BQB262149:BQC262149 BZX262149:BZY262149 CJT262149:CJU262149 CTP262149:CTQ262149 DDL262149:DDM262149 DNH262149:DNI262149 DXD262149:DXE262149 EGZ262149:EHA262149 EQV262149:EQW262149 FAR262149:FAS262149 FKN262149:FKO262149 FUJ262149:FUK262149 GEF262149:GEG262149 GOB262149:GOC262149 GXX262149:GXY262149 HHT262149:HHU262149 HRP262149:HRQ262149 IBL262149:IBM262149 ILH262149:ILI262149 IVD262149:IVE262149 JEZ262149:JFA262149 JOV262149:JOW262149 JYR262149:JYS262149 KIN262149:KIO262149 KSJ262149:KSK262149 LCF262149:LCG262149 LMB262149:LMC262149 LVX262149:LVY262149 MFT262149:MFU262149 MPP262149:MPQ262149 MZL262149:MZM262149 NJH262149:NJI262149 NTD262149:NTE262149 OCZ262149:ODA262149 OMV262149:OMW262149 OWR262149:OWS262149 PGN262149:PGO262149 PQJ262149:PQK262149 QAF262149:QAG262149 QKB262149:QKC262149 QTX262149:QTY262149 RDT262149:RDU262149 RNP262149:RNQ262149 RXL262149:RXM262149 SHH262149:SHI262149 SRD262149:SRE262149 TAZ262149:TBA262149 TKV262149:TKW262149 TUR262149:TUS262149 UEN262149:UEO262149 UOJ262149:UOK262149 UYF262149:UYG262149 VIB262149:VIC262149 VRX262149:VRY262149 WBT262149:WBU262149 WLP262149:WLQ262149 WVL262149:WVM262149 D327685:E327685 IZ327685:JA327685 SV327685:SW327685 ACR327685:ACS327685 AMN327685:AMO327685 AWJ327685:AWK327685 BGF327685:BGG327685 BQB327685:BQC327685 BZX327685:BZY327685 CJT327685:CJU327685 CTP327685:CTQ327685 DDL327685:DDM327685 DNH327685:DNI327685 DXD327685:DXE327685 EGZ327685:EHA327685 EQV327685:EQW327685 FAR327685:FAS327685 FKN327685:FKO327685 FUJ327685:FUK327685 GEF327685:GEG327685 GOB327685:GOC327685 GXX327685:GXY327685 HHT327685:HHU327685 HRP327685:HRQ327685 IBL327685:IBM327685 ILH327685:ILI327685 IVD327685:IVE327685 JEZ327685:JFA327685 JOV327685:JOW327685 JYR327685:JYS327685 KIN327685:KIO327685 KSJ327685:KSK327685 LCF327685:LCG327685 LMB327685:LMC327685 LVX327685:LVY327685 MFT327685:MFU327685 MPP327685:MPQ327685 MZL327685:MZM327685 NJH327685:NJI327685 NTD327685:NTE327685 OCZ327685:ODA327685 OMV327685:OMW327685 OWR327685:OWS327685 PGN327685:PGO327685 PQJ327685:PQK327685 QAF327685:QAG327685 QKB327685:QKC327685 QTX327685:QTY327685 RDT327685:RDU327685 RNP327685:RNQ327685 RXL327685:RXM327685 SHH327685:SHI327685 SRD327685:SRE327685 TAZ327685:TBA327685 TKV327685:TKW327685 TUR327685:TUS327685 UEN327685:UEO327685 UOJ327685:UOK327685 UYF327685:UYG327685 VIB327685:VIC327685 VRX327685:VRY327685 WBT327685:WBU327685 WLP327685:WLQ327685 WVL327685:WVM327685 D393221:E393221 IZ393221:JA393221 SV393221:SW393221 ACR393221:ACS393221 AMN393221:AMO393221 AWJ393221:AWK393221 BGF393221:BGG393221 BQB393221:BQC393221 BZX393221:BZY393221 CJT393221:CJU393221 CTP393221:CTQ393221 DDL393221:DDM393221 DNH393221:DNI393221 DXD393221:DXE393221 EGZ393221:EHA393221 EQV393221:EQW393221 FAR393221:FAS393221 FKN393221:FKO393221 FUJ393221:FUK393221 GEF393221:GEG393221 GOB393221:GOC393221 GXX393221:GXY393221 HHT393221:HHU393221 HRP393221:HRQ393221 IBL393221:IBM393221 ILH393221:ILI393221 IVD393221:IVE393221 JEZ393221:JFA393221 JOV393221:JOW393221 JYR393221:JYS393221 KIN393221:KIO393221 KSJ393221:KSK393221 LCF393221:LCG393221 LMB393221:LMC393221 LVX393221:LVY393221 MFT393221:MFU393221 MPP393221:MPQ393221 MZL393221:MZM393221 NJH393221:NJI393221 NTD393221:NTE393221 OCZ393221:ODA393221 OMV393221:OMW393221 OWR393221:OWS393221 PGN393221:PGO393221 PQJ393221:PQK393221 QAF393221:QAG393221 QKB393221:QKC393221 QTX393221:QTY393221 RDT393221:RDU393221 RNP393221:RNQ393221 RXL393221:RXM393221 SHH393221:SHI393221 SRD393221:SRE393221 TAZ393221:TBA393221 TKV393221:TKW393221 TUR393221:TUS393221 UEN393221:UEO393221 UOJ393221:UOK393221 UYF393221:UYG393221 VIB393221:VIC393221 VRX393221:VRY393221 WBT393221:WBU393221 WLP393221:WLQ393221 WVL393221:WVM393221 D458757:E458757 IZ458757:JA458757 SV458757:SW458757 ACR458757:ACS458757 AMN458757:AMO458757 AWJ458757:AWK458757 BGF458757:BGG458757 BQB458757:BQC458757 BZX458757:BZY458757 CJT458757:CJU458757 CTP458757:CTQ458757 DDL458757:DDM458757 DNH458757:DNI458757 DXD458757:DXE458757 EGZ458757:EHA458757 EQV458757:EQW458757 FAR458757:FAS458757 FKN458757:FKO458757 FUJ458757:FUK458757 GEF458757:GEG458757 GOB458757:GOC458757 GXX458757:GXY458757 HHT458757:HHU458757 HRP458757:HRQ458757 IBL458757:IBM458757 ILH458757:ILI458757 IVD458757:IVE458757 JEZ458757:JFA458757 JOV458757:JOW458757 JYR458757:JYS458757 KIN458757:KIO458757 KSJ458757:KSK458757 LCF458757:LCG458757 LMB458757:LMC458757 LVX458757:LVY458757 MFT458757:MFU458757 MPP458757:MPQ458757 MZL458757:MZM458757 NJH458757:NJI458757 NTD458757:NTE458757 OCZ458757:ODA458757 OMV458757:OMW458757 OWR458757:OWS458757 PGN458757:PGO458757 PQJ458757:PQK458757 QAF458757:QAG458757 QKB458757:QKC458757 QTX458757:QTY458757 RDT458757:RDU458757 RNP458757:RNQ458757 RXL458757:RXM458757 SHH458757:SHI458757 SRD458757:SRE458757 TAZ458757:TBA458757 TKV458757:TKW458757 TUR458757:TUS458757 UEN458757:UEO458757 UOJ458757:UOK458757 UYF458757:UYG458757 VIB458757:VIC458757 VRX458757:VRY458757 WBT458757:WBU458757 WLP458757:WLQ458757 WVL458757:WVM458757 D524293:E524293 IZ524293:JA524293 SV524293:SW524293 ACR524293:ACS524293 AMN524293:AMO524293 AWJ524293:AWK524293 BGF524293:BGG524293 BQB524293:BQC524293 BZX524293:BZY524293 CJT524293:CJU524293 CTP524293:CTQ524293 DDL524293:DDM524293 DNH524293:DNI524293 DXD524293:DXE524293 EGZ524293:EHA524293 EQV524293:EQW524293 FAR524293:FAS524293 FKN524293:FKO524293 FUJ524293:FUK524293 GEF524293:GEG524293 GOB524293:GOC524293 GXX524293:GXY524293 HHT524293:HHU524293 HRP524293:HRQ524293 IBL524293:IBM524293 ILH524293:ILI524293 IVD524293:IVE524293 JEZ524293:JFA524293 JOV524293:JOW524293 JYR524293:JYS524293 KIN524293:KIO524293 KSJ524293:KSK524293 LCF524293:LCG524293 LMB524293:LMC524293 LVX524293:LVY524293 MFT524293:MFU524293 MPP524293:MPQ524293 MZL524293:MZM524293 NJH524293:NJI524293 NTD524293:NTE524293 OCZ524293:ODA524293 OMV524293:OMW524293 OWR524293:OWS524293 PGN524293:PGO524293 PQJ524293:PQK524293 QAF524293:QAG524293 QKB524293:QKC524293 QTX524293:QTY524293 RDT524293:RDU524293 RNP524293:RNQ524293 RXL524293:RXM524293 SHH524293:SHI524293 SRD524293:SRE524293 TAZ524293:TBA524293 TKV524293:TKW524293 TUR524293:TUS524293 UEN524293:UEO524293 UOJ524293:UOK524293 UYF524293:UYG524293 VIB524293:VIC524293 VRX524293:VRY524293 WBT524293:WBU524293 WLP524293:WLQ524293 WVL524293:WVM524293 D589829:E589829 IZ589829:JA589829 SV589829:SW589829 ACR589829:ACS589829 AMN589829:AMO589829 AWJ589829:AWK589829 BGF589829:BGG589829 BQB589829:BQC589829 BZX589829:BZY589829 CJT589829:CJU589829 CTP589829:CTQ589829 DDL589829:DDM589829 DNH589829:DNI589829 DXD589829:DXE589829 EGZ589829:EHA589829 EQV589829:EQW589829 FAR589829:FAS589829 FKN589829:FKO589829 FUJ589829:FUK589829 GEF589829:GEG589829 GOB589829:GOC589829 GXX589829:GXY589829 HHT589829:HHU589829 HRP589829:HRQ589829 IBL589829:IBM589829 ILH589829:ILI589829 IVD589829:IVE589829 JEZ589829:JFA589829 JOV589829:JOW589829 JYR589829:JYS589829 KIN589829:KIO589829 KSJ589829:KSK589829 LCF589829:LCG589829 LMB589829:LMC589829 LVX589829:LVY589829 MFT589829:MFU589829 MPP589829:MPQ589829 MZL589829:MZM589829 NJH589829:NJI589829 NTD589829:NTE589829 OCZ589829:ODA589829 OMV589829:OMW589829 OWR589829:OWS589829 PGN589829:PGO589829 PQJ589829:PQK589829 QAF589829:QAG589829 QKB589829:QKC589829 QTX589829:QTY589829 RDT589829:RDU589829 RNP589829:RNQ589829 RXL589829:RXM589829 SHH589829:SHI589829 SRD589829:SRE589829 TAZ589829:TBA589829 TKV589829:TKW589829 TUR589829:TUS589829 UEN589829:UEO589829 UOJ589829:UOK589829 UYF589829:UYG589829 VIB589829:VIC589829 VRX589829:VRY589829 WBT589829:WBU589829 WLP589829:WLQ589829 WVL589829:WVM589829 D655365:E655365 IZ655365:JA655365 SV655365:SW655365 ACR655365:ACS655365 AMN655365:AMO655365 AWJ655365:AWK655365 BGF655365:BGG655365 BQB655365:BQC655365 BZX655365:BZY655365 CJT655365:CJU655365 CTP655365:CTQ655365 DDL655365:DDM655365 DNH655365:DNI655365 DXD655365:DXE655365 EGZ655365:EHA655365 EQV655365:EQW655365 FAR655365:FAS655365 FKN655365:FKO655365 FUJ655365:FUK655365 GEF655365:GEG655365 GOB655365:GOC655365 GXX655365:GXY655365 HHT655365:HHU655365 HRP655365:HRQ655365 IBL655365:IBM655365 ILH655365:ILI655365 IVD655365:IVE655365 JEZ655365:JFA655365 JOV655365:JOW655365 JYR655365:JYS655365 KIN655365:KIO655365 KSJ655365:KSK655365 LCF655365:LCG655365 LMB655365:LMC655365 LVX655365:LVY655365 MFT655365:MFU655365 MPP655365:MPQ655365 MZL655365:MZM655365 NJH655365:NJI655365 NTD655365:NTE655365 OCZ655365:ODA655365 OMV655365:OMW655365 OWR655365:OWS655365 PGN655365:PGO655365 PQJ655365:PQK655365 QAF655365:QAG655365 QKB655365:QKC655365 QTX655365:QTY655365 RDT655365:RDU655365 RNP655365:RNQ655365 RXL655365:RXM655365 SHH655365:SHI655365 SRD655365:SRE655365 TAZ655365:TBA655365 TKV655365:TKW655365 TUR655365:TUS655365 UEN655365:UEO655365 UOJ655365:UOK655365 UYF655365:UYG655365 VIB655365:VIC655365 VRX655365:VRY655365 WBT655365:WBU655365 WLP655365:WLQ655365 WVL655365:WVM655365 D720901:E720901 IZ720901:JA720901 SV720901:SW720901 ACR720901:ACS720901 AMN720901:AMO720901 AWJ720901:AWK720901 BGF720901:BGG720901 BQB720901:BQC720901 BZX720901:BZY720901 CJT720901:CJU720901 CTP720901:CTQ720901 DDL720901:DDM720901 DNH720901:DNI720901 DXD720901:DXE720901 EGZ720901:EHA720901 EQV720901:EQW720901 FAR720901:FAS720901 FKN720901:FKO720901 FUJ720901:FUK720901 GEF720901:GEG720901 GOB720901:GOC720901 GXX720901:GXY720901 HHT720901:HHU720901 HRP720901:HRQ720901 IBL720901:IBM720901 ILH720901:ILI720901 IVD720901:IVE720901 JEZ720901:JFA720901 JOV720901:JOW720901 JYR720901:JYS720901 KIN720901:KIO720901 KSJ720901:KSK720901 LCF720901:LCG720901 LMB720901:LMC720901 LVX720901:LVY720901 MFT720901:MFU720901 MPP720901:MPQ720901 MZL720901:MZM720901 NJH720901:NJI720901 NTD720901:NTE720901 OCZ720901:ODA720901 OMV720901:OMW720901 OWR720901:OWS720901 PGN720901:PGO720901 PQJ720901:PQK720901 QAF720901:QAG720901 QKB720901:QKC720901 QTX720901:QTY720901 RDT720901:RDU720901 RNP720901:RNQ720901 RXL720901:RXM720901 SHH720901:SHI720901 SRD720901:SRE720901 TAZ720901:TBA720901 TKV720901:TKW720901 TUR720901:TUS720901 UEN720901:UEO720901 UOJ720901:UOK720901 UYF720901:UYG720901 VIB720901:VIC720901 VRX720901:VRY720901 WBT720901:WBU720901 WLP720901:WLQ720901 WVL720901:WVM720901 D786437:E786437 IZ786437:JA786437 SV786437:SW786437 ACR786437:ACS786437 AMN786437:AMO786437 AWJ786437:AWK786437 BGF786437:BGG786437 BQB786437:BQC786437 BZX786437:BZY786437 CJT786437:CJU786437 CTP786437:CTQ786437 DDL786437:DDM786437 DNH786437:DNI786437 DXD786437:DXE786437 EGZ786437:EHA786437 EQV786437:EQW786437 FAR786437:FAS786437 FKN786437:FKO786437 FUJ786437:FUK786437 GEF786437:GEG786437 GOB786437:GOC786437 GXX786437:GXY786437 HHT786437:HHU786437 HRP786437:HRQ786437 IBL786437:IBM786437 ILH786437:ILI786437 IVD786437:IVE786437 JEZ786437:JFA786437 JOV786437:JOW786437 JYR786437:JYS786437 KIN786437:KIO786437 KSJ786437:KSK786437 LCF786437:LCG786437 LMB786437:LMC786437 LVX786437:LVY786437 MFT786437:MFU786437 MPP786437:MPQ786437 MZL786437:MZM786437 NJH786437:NJI786437 NTD786437:NTE786437 OCZ786437:ODA786437 OMV786437:OMW786437 OWR786437:OWS786437 PGN786437:PGO786437 PQJ786437:PQK786437 QAF786437:QAG786437 QKB786437:QKC786437 QTX786437:QTY786437 RDT786437:RDU786437 RNP786437:RNQ786437 RXL786437:RXM786437 SHH786437:SHI786437 SRD786437:SRE786437 TAZ786437:TBA786437 TKV786437:TKW786437 TUR786437:TUS786437 UEN786437:UEO786437 UOJ786437:UOK786437 UYF786437:UYG786437 VIB786437:VIC786437 VRX786437:VRY786437 WBT786437:WBU786437 WLP786437:WLQ786437 WVL786437:WVM786437 D851973:E851973 IZ851973:JA851973 SV851973:SW851973 ACR851973:ACS851973 AMN851973:AMO851973 AWJ851973:AWK851973 BGF851973:BGG851973 BQB851973:BQC851973 BZX851973:BZY851973 CJT851973:CJU851973 CTP851973:CTQ851973 DDL851973:DDM851973 DNH851973:DNI851973 DXD851973:DXE851973 EGZ851973:EHA851973 EQV851973:EQW851973 FAR851973:FAS851973 FKN851973:FKO851973 FUJ851973:FUK851973 GEF851973:GEG851973 GOB851973:GOC851973 GXX851973:GXY851973 HHT851973:HHU851973 HRP851973:HRQ851973 IBL851973:IBM851973 ILH851973:ILI851973 IVD851973:IVE851973 JEZ851973:JFA851973 JOV851973:JOW851973 JYR851973:JYS851973 KIN851973:KIO851973 KSJ851973:KSK851973 LCF851973:LCG851973 LMB851973:LMC851973 LVX851973:LVY851973 MFT851973:MFU851973 MPP851973:MPQ851973 MZL851973:MZM851973 NJH851973:NJI851973 NTD851973:NTE851973 OCZ851973:ODA851973 OMV851973:OMW851973 OWR851973:OWS851973 PGN851973:PGO851973 PQJ851973:PQK851973 QAF851973:QAG851973 QKB851973:QKC851973 QTX851973:QTY851973 RDT851973:RDU851973 RNP851973:RNQ851973 RXL851973:RXM851973 SHH851973:SHI851973 SRD851973:SRE851973 TAZ851973:TBA851973 TKV851973:TKW851973 TUR851973:TUS851973 UEN851973:UEO851973 UOJ851973:UOK851973 UYF851973:UYG851973 VIB851973:VIC851973 VRX851973:VRY851973 WBT851973:WBU851973 WLP851973:WLQ851973 WVL851973:WVM851973 D917509:E917509 IZ917509:JA917509 SV917509:SW917509 ACR917509:ACS917509 AMN917509:AMO917509 AWJ917509:AWK917509 BGF917509:BGG917509 BQB917509:BQC917509 BZX917509:BZY917509 CJT917509:CJU917509 CTP917509:CTQ917509 DDL917509:DDM917509 DNH917509:DNI917509 DXD917509:DXE917509 EGZ917509:EHA917509 EQV917509:EQW917509 FAR917509:FAS917509 FKN917509:FKO917509 FUJ917509:FUK917509 GEF917509:GEG917509 GOB917509:GOC917509 GXX917509:GXY917509 HHT917509:HHU917509 HRP917509:HRQ917509 IBL917509:IBM917509 ILH917509:ILI917509 IVD917509:IVE917509 JEZ917509:JFA917509 JOV917509:JOW917509 JYR917509:JYS917509 KIN917509:KIO917509 KSJ917509:KSK917509 LCF917509:LCG917509 LMB917509:LMC917509 LVX917509:LVY917509 MFT917509:MFU917509 MPP917509:MPQ917509 MZL917509:MZM917509 NJH917509:NJI917509 NTD917509:NTE917509 OCZ917509:ODA917509 OMV917509:OMW917509 OWR917509:OWS917509 PGN917509:PGO917509 PQJ917509:PQK917509 QAF917509:QAG917509 QKB917509:QKC917509 QTX917509:QTY917509 RDT917509:RDU917509 RNP917509:RNQ917509 RXL917509:RXM917509 SHH917509:SHI917509 SRD917509:SRE917509 TAZ917509:TBA917509 TKV917509:TKW917509 TUR917509:TUS917509 UEN917509:UEO917509 UOJ917509:UOK917509 UYF917509:UYG917509 VIB917509:VIC917509 VRX917509:VRY917509 WBT917509:WBU917509 WLP917509:WLQ917509 WVL917509:WVM917509 D983045:E983045 IZ983045:JA983045 SV983045:SW983045 ACR983045:ACS983045 AMN983045:AMO983045 AWJ983045:AWK983045 BGF983045:BGG983045 BQB983045:BQC983045 BZX983045:BZY983045 CJT983045:CJU983045 CTP983045:CTQ983045 DDL983045:DDM983045 DNH983045:DNI983045 DXD983045:DXE983045 EGZ983045:EHA983045 EQV983045:EQW983045 FAR983045:FAS983045 FKN983045:FKO983045 FUJ983045:FUK983045 GEF983045:GEG983045 GOB983045:GOC983045 GXX983045:GXY983045 HHT983045:HHU983045 HRP983045:HRQ983045 IBL983045:IBM983045 ILH983045:ILI983045 IVD983045:IVE983045 JEZ983045:JFA983045 JOV983045:JOW983045 JYR983045:JYS983045 KIN983045:KIO983045 KSJ983045:KSK983045 LCF983045:LCG983045 LMB983045:LMC983045 LVX983045:LVY983045 MFT983045:MFU983045 MPP983045:MPQ983045 MZL983045:MZM983045 NJH983045:NJI983045 NTD983045:NTE983045 OCZ983045:ODA983045 OMV983045:OMW983045 OWR983045:OWS983045 PGN983045:PGO983045 PQJ983045:PQK983045 QAF983045:QAG983045 QKB983045:QKC983045 QTX983045:QTY983045 RDT983045:RDU983045 RNP983045:RNQ983045 RXL983045:RXM983045 SHH983045:SHI983045 SRD983045:SRE983045 TAZ983045:TBA983045 TKV983045:TKW983045 TUR983045:TUS983045 UEN983045:UEO983045 UOJ983045:UOK983045 UYF983045:UYG983045 VIB983045:VIC983045 VRX983045:VRY983045 WBT983045:WBU983045 WLP983045:WLQ983045 WVL983045:WVM983045"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6" max="21" man="1"/>
    <brk id="126" max="21" man="1"/>
    <brk id="257" max="21"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6FD03-7A46-4C13-B308-3D28778A2843}">
  <sheetPr>
    <tabColor rgb="FF00B050"/>
  </sheetPr>
  <dimension ref="A1:AC297"/>
  <sheetViews>
    <sheetView showZeros="0" view="pageBreakPreview" topLeftCell="A157" zoomScale="145" zoomScaleNormal="100" zoomScaleSheetLayoutView="145" workbookViewId="0">
      <selection activeCell="X21" sqref="X21"/>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1055</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226"/>
      <c r="B6" s="631"/>
      <c r="C6" s="227"/>
      <c r="D6" s="632"/>
      <c r="E6" s="227"/>
      <c r="F6" s="227"/>
      <c r="G6" s="227"/>
      <c r="H6" s="227"/>
      <c r="I6" s="227"/>
      <c r="J6" s="227"/>
      <c r="K6" s="227"/>
      <c r="L6" s="227"/>
      <c r="M6" s="227"/>
      <c r="N6" s="227"/>
      <c r="O6" s="227"/>
      <c r="P6" s="227"/>
      <c r="Q6" s="227"/>
      <c r="R6" s="227"/>
      <c r="S6" s="227"/>
      <c r="T6" s="227"/>
      <c r="U6" s="227"/>
      <c r="V6" s="228"/>
    </row>
    <row r="7" spans="1:24" ht="18" customHeight="1">
      <c r="A7" s="184"/>
      <c r="B7" s="781" t="s">
        <v>108</v>
      </c>
      <c r="C7" s="782"/>
      <c r="D7" s="743" t="s">
        <v>113</v>
      </c>
      <c r="E7" s="1291"/>
      <c r="F7" s="455"/>
      <c r="H7" s="684" t="s">
        <v>1047</v>
      </c>
      <c r="I7" s="684"/>
      <c r="J7" s="684"/>
      <c r="K7" s="684"/>
      <c r="L7" s="684"/>
      <c r="M7" s="684"/>
      <c r="P7" s="186"/>
      <c r="S7" s="187" t="s">
        <v>387</v>
      </c>
      <c r="T7" s="781" t="s">
        <v>179</v>
      </c>
      <c r="U7" s="782"/>
      <c r="V7" s="185"/>
    </row>
    <row r="8" spans="1:24" ht="18" customHeight="1">
      <c r="A8" s="456"/>
      <c r="F8" s="455"/>
      <c r="T8" s="781"/>
      <c r="U8" s="782"/>
      <c r="V8" s="185"/>
    </row>
    <row r="9" spans="1:24" ht="18" customHeight="1">
      <c r="A9" s="184"/>
      <c r="H9" s="789" t="s">
        <v>390</v>
      </c>
      <c r="I9" s="789"/>
      <c r="J9" s="790" t="s">
        <v>391</v>
      </c>
      <c r="K9" s="790"/>
      <c r="L9" s="790" t="s">
        <v>392</v>
      </c>
      <c r="M9" s="790"/>
      <c r="T9" s="781"/>
      <c r="U9" s="782"/>
      <c r="V9" s="185"/>
    </row>
    <row r="10" spans="1:24" ht="18" customHeight="1">
      <c r="A10" s="184"/>
      <c r="B10" s="47" t="s">
        <v>393</v>
      </c>
      <c r="H10" s="791">
        <v>3200</v>
      </c>
      <c r="I10" s="792"/>
      <c r="J10" s="781">
        <v>2000</v>
      </c>
      <c r="K10" s="782"/>
      <c r="L10" s="781" t="s">
        <v>6</v>
      </c>
      <c r="M10" s="782"/>
      <c r="N10" s="191" t="s">
        <v>342</v>
      </c>
      <c r="O10" s="125">
        <v>1</v>
      </c>
      <c r="P10" s="27" t="s">
        <v>8</v>
      </c>
      <c r="R10" s="255"/>
      <c r="S10" s="255"/>
      <c r="V10" s="185"/>
    </row>
    <row r="11" spans="1:24" ht="18" customHeight="1">
      <c r="A11" s="184"/>
      <c r="B11" s="47" t="s">
        <v>394</v>
      </c>
      <c r="H11" s="781" t="s">
        <v>395</v>
      </c>
      <c r="I11" s="782"/>
      <c r="V11" s="185"/>
    </row>
    <row r="12" spans="1:24" ht="18" customHeight="1">
      <c r="A12" s="184"/>
      <c r="B12" s="47" t="s">
        <v>396</v>
      </c>
      <c r="G12" s="120" t="s">
        <v>497</v>
      </c>
      <c r="H12" s="781">
        <v>8</v>
      </c>
      <c r="I12" s="782"/>
      <c r="J12" s="192" t="s">
        <v>333</v>
      </c>
      <c r="M12" s="14"/>
      <c r="N12" s="14"/>
      <c r="V12" s="185"/>
    </row>
    <row r="13" spans="1:24" ht="18" customHeight="1">
      <c r="A13" s="184"/>
      <c r="B13" s="47" t="s">
        <v>398</v>
      </c>
      <c r="G13" s="120" t="s">
        <v>498</v>
      </c>
      <c r="H13" s="781">
        <v>900</v>
      </c>
      <c r="I13" s="782"/>
      <c r="J13" s="14" t="s">
        <v>305</v>
      </c>
      <c r="M13" s="14"/>
      <c r="T13" s="295"/>
      <c r="U13" s="18"/>
      <c r="V13" s="185"/>
      <c r="W13" s="30" t="e">
        <f>#REF!</f>
        <v>#REF!</v>
      </c>
    </row>
    <row r="14" spans="1:24" ht="18" customHeight="1">
      <c r="A14" s="184"/>
      <c r="B14" s="14" t="s">
        <v>401</v>
      </c>
      <c r="G14" s="120" t="s">
        <v>402</v>
      </c>
      <c r="H14" s="781">
        <v>10</v>
      </c>
      <c r="I14" s="782"/>
      <c r="J14" s="14" t="s">
        <v>403</v>
      </c>
      <c r="M14" s="14"/>
      <c r="N14" s="14"/>
      <c r="V14" s="185"/>
    </row>
    <row r="15" spans="1:24" ht="18" customHeight="1">
      <c r="A15" s="184"/>
      <c r="B15" s="14"/>
      <c r="V15" s="185"/>
    </row>
    <row r="16" spans="1:24" ht="18" customHeight="1">
      <c r="A16" s="193" t="s">
        <v>404</v>
      </c>
      <c r="V16" s="185"/>
    </row>
    <row r="17" spans="1:25" ht="18" customHeight="1">
      <c r="A17" s="184"/>
      <c r="V17" s="185"/>
    </row>
    <row r="18" spans="1:25" ht="18" customHeight="1">
      <c r="A18" s="184"/>
      <c r="B18" s="135" t="s">
        <v>405</v>
      </c>
      <c r="C18" s="273"/>
      <c r="D18" s="139" t="str">
        <f>T7</f>
        <v>REB500</v>
      </c>
      <c r="E18" s="227"/>
      <c r="F18" s="227"/>
      <c r="G18" s="227"/>
      <c r="H18" s="138"/>
      <c r="I18" s="260" t="s">
        <v>127</v>
      </c>
      <c r="J18" s="1104">
        <f>'CT-VT Burdens'!Q105</f>
        <v>0.01</v>
      </c>
      <c r="K18" s="1105"/>
      <c r="L18" s="3" t="s">
        <v>157</v>
      </c>
      <c r="N18" s="197" t="s">
        <v>510</v>
      </c>
      <c r="V18" s="185"/>
    </row>
    <row r="19" spans="1:25" ht="18" customHeight="1">
      <c r="A19" s="184"/>
      <c r="B19" s="96" t="s">
        <v>405</v>
      </c>
      <c r="C19" s="14"/>
      <c r="D19" s="47">
        <f>T8</f>
        <v>0</v>
      </c>
      <c r="H19" s="28"/>
      <c r="I19" s="101" t="s">
        <v>127</v>
      </c>
      <c r="J19" s="1104"/>
      <c r="K19" s="1105"/>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104"/>
      <c r="K20" s="1105"/>
      <c r="L20" s="3" t="s">
        <v>157</v>
      </c>
      <c r="N20" s="27"/>
      <c r="O20" s="27" t="s">
        <v>127</v>
      </c>
      <c r="P20" s="27">
        <f>O10</f>
        <v>1</v>
      </c>
      <c r="Q20" s="27" t="s">
        <v>315</v>
      </c>
      <c r="R20" s="27">
        <f>O10</f>
        <v>1</v>
      </c>
      <c r="S20" s="27" t="s">
        <v>315</v>
      </c>
      <c r="T20" s="27">
        <f>H12</f>
        <v>8</v>
      </c>
      <c r="V20" s="185"/>
    </row>
    <row r="21" spans="1:25" ht="18" customHeight="1">
      <c r="A21" s="184"/>
      <c r="B21" s="452" t="s">
        <v>412</v>
      </c>
      <c r="C21" s="259"/>
      <c r="D21" s="259"/>
      <c r="E21" s="259"/>
      <c r="F21" s="207"/>
      <c r="G21" s="207"/>
      <c r="H21" s="190"/>
      <c r="I21" s="208" t="s">
        <v>127</v>
      </c>
      <c r="J21" s="1109">
        <f>'CT-VT Burdens'!S24</f>
        <v>1.0770224400000001</v>
      </c>
      <c r="K21" s="1110"/>
      <c r="L21" s="297" t="s">
        <v>157</v>
      </c>
      <c r="O21" s="27" t="s">
        <v>127</v>
      </c>
      <c r="P21" s="795">
        <f>P20*R20*T20</f>
        <v>8</v>
      </c>
      <c r="Q21" s="684"/>
      <c r="R21" s="27" t="s">
        <v>157</v>
      </c>
      <c r="V21" s="185"/>
    </row>
    <row r="22" spans="1:25" ht="18" customHeight="1">
      <c r="A22" s="184"/>
      <c r="B22" s="1" t="s">
        <v>413</v>
      </c>
      <c r="C22" s="2"/>
      <c r="D22" s="2"/>
      <c r="E22" s="2"/>
      <c r="F22" s="196"/>
      <c r="G22" s="196"/>
      <c r="H22" s="224" t="s">
        <v>512</v>
      </c>
      <c r="I22" s="183" t="s">
        <v>127</v>
      </c>
      <c r="J22" s="696">
        <f>SUM(J18:J21)</f>
        <v>1.0870224400000001</v>
      </c>
      <c r="K22" s="722"/>
      <c r="L22" s="3" t="s">
        <v>157</v>
      </c>
      <c r="V22" s="185"/>
    </row>
    <row r="23" spans="1:25" ht="18" customHeight="1">
      <c r="A23" s="184"/>
      <c r="B23" s="47"/>
      <c r="C23" s="47"/>
      <c r="D23" s="47"/>
      <c r="E23" s="47"/>
      <c r="H23" s="27"/>
      <c r="I23" s="28"/>
      <c r="J23" s="199"/>
      <c r="L23" s="47"/>
      <c r="V23" s="185"/>
    </row>
    <row r="24" spans="1:25" ht="18" customHeight="1">
      <c r="A24" s="184"/>
      <c r="B24" s="117" t="s">
        <v>712</v>
      </c>
      <c r="V24" s="185"/>
    </row>
    <row r="25" spans="1:25" ht="18" customHeight="1">
      <c r="A25" s="168"/>
      <c r="B25" s="5"/>
      <c r="C25" s="47" t="s">
        <v>713</v>
      </c>
      <c r="D25" s="14"/>
      <c r="E25" s="14"/>
      <c r="F25" s="14"/>
      <c r="G25" s="14"/>
      <c r="H25" s="279"/>
      <c r="I25" s="120"/>
      <c r="J25" s="279"/>
      <c r="K25" s="279"/>
      <c r="L25" s="14"/>
      <c r="M25" s="14"/>
      <c r="N25" s="14"/>
      <c r="O25" s="14"/>
      <c r="P25" s="14"/>
      <c r="Q25" s="120" t="s">
        <v>714</v>
      </c>
      <c r="R25" s="102" t="s">
        <v>127</v>
      </c>
      <c r="S25" s="689">
        <f>'Parameters &amp; Fault Cal. (4)'!Q10 *1000</f>
        <v>50000</v>
      </c>
      <c r="T25" s="689"/>
      <c r="U25" s="47" t="s">
        <v>8</v>
      </c>
      <c r="V25" s="97"/>
    </row>
    <row r="26" spans="1:25" ht="18" customHeight="1">
      <c r="A26" s="168"/>
      <c r="B26" s="5"/>
      <c r="C26" s="47" t="s">
        <v>545</v>
      </c>
      <c r="D26" s="14"/>
      <c r="E26" s="14"/>
      <c r="F26" s="18"/>
      <c r="G26" s="18"/>
      <c r="H26" s="279"/>
      <c r="I26" s="120"/>
      <c r="J26" s="279"/>
      <c r="K26" s="279"/>
      <c r="L26" s="14"/>
      <c r="M26" s="14"/>
      <c r="N26" s="14"/>
      <c r="O26" s="14"/>
      <c r="P26" s="14"/>
      <c r="Q26" s="120" t="s">
        <v>423</v>
      </c>
      <c r="R26" s="102" t="s">
        <v>127</v>
      </c>
      <c r="S26" s="689">
        <f>H10</f>
        <v>3200</v>
      </c>
      <c r="T26" s="689"/>
      <c r="U26" s="14" t="s">
        <v>8</v>
      </c>
      <c r="V26" s="185"/>
    </row>
    <row r="27" spans="1:25" ht="18" customHeight="1">
      <c r="A27" s="168"/>
      <c r="B27" s="5"/>
      <c r="C27" s="47" t="s">
        <v>715</v>
      </c>
      <c r="D27" s="14"/>
      <c r="E27" s="14"/>
      <c r="F27" s="18"/>
      <c r="G27" s="18"/>
      <c r="H27" s="279"/>
      <c r="I27" s="120"/>
      <c r="J27" s="279"/>
      <c r="K27" s="279"/>
      <c r="L27" s="14"/>
      <c r="M27" s="14"/>
      <c r="N27" s="14"/>
      <c r="O27" s="14"/>
      <c r="P27" s="14"/>
      <c r="Q27" s="120" t="s">
        <v>716</v>
      </c>
      <c r="R27" s="102" t="s">
        <v>127</v>
      </c>
      <c r="S27" s="689">
        <v>400</v>
      </c>
      <c r="T27" s="689"/>
      <c r="U27" s="14" t="s">
        <v>163</v>
      </c>
      <c r="V27" s="185"/>
    </row>
    <row r="28" spans="1:25" ht="18" customHeight="1">
      <c r="A28" s="168"/>
      <c r="B28" s="5"/>
      <c r="C28" s="47" t="s">
        <v>546</v>
      </c>
      <c r="D28" s="14"/>
      <c r="E28" s="14"/>
      <c r="F28" s="18"/>
      <c r="G28" s="18"/>
      <c r="H28" s="279"/>
      <c r="I28" s="120"/>
      <c r="J28" s="279"/>
      <c r="K28" s="279"/>
      <c r="L28" s="14"/>
      <c r="M28" s="14"/>
      <c r="N28" s="14"/>
      <c r="O28" s="14"/>
      <c r="P28" s="14"/>
      <c r="Q28" s="120" t="s">
        <v>473</v>
      </c>
      <c r="R28" s="102" t="s">
        <v>127</v>
      </c>
      <c r="S28" s="689">
        <f>H13</f>
        <v>900</v>
      </c>
      <c r="T28" s="689"/>
      <c r="U28" s="14" t="s">
        <v>305</v>
      </c>
      <c r="V28" s="185"/>
    </row>
    <row r="29" spans="1:25" ht="18" customHeight="1">
      <c r="A29" s="168"/>
      <c r="B29" s="5"/>
      <c r="C29" s="47" t="s">
        <v>717</v>
      </c>
      <c r="D29" s="14"/>
      <c r="E29" s="14"/>
      <c r="F29" s="18"/>
      <c r="G29" s="18"/>
      <c r="H29" s="279"/>
      <c r="I29" s="120"/>
      <c r="J29" s="279"/>
      <c r="K29" s="279"/>
      <c r="L29" s="14"/>
      <c r="M29" s="14"/>
      <c r="N29" s="14"/>
      <c r="O29" s="14"/>
      <c r="P29" s="14"/>
      <c r="Q29" s="120" t="s">
        <v>420</v>
      </c>
      <c r="R29" s="102" t="s">
        <v>127</v>
      </c>
      <c r="S29" s="692">
        <f>P21</f>
        <v>8</v>
      </c>
      <c r="T29" s="689"/>
      <c r="U29" s="14" t="s">
        <v>157</v>
      </c>
      <c r="V29" s="185"/>
      <c r="W29" s="279"/>
      <c r="X29" s="279"/>
      <c r="Y29" s="279"/>
    </row>
    <row r="30" spans="1:25" ht="18" customHeight="1">
      <c r="A30" s="168"/>
      <c r="B30" s="5"/>
      <c r="C30" s="47" t="s">
        <v>718</v>
      </c>
      <c r="D30" s="14"/>
      <c r="E30" s="14"/>
      <c r="F30" s="18"/>
      <c r="G30" s="18"/>
      <c r="H30" s="279"/>
      <c r="I30" s="120"/>
      <c r="J30" s="279"/>
      <c r="K30" s="279"/>
      <c r="L30" s="14"/>
      <c r="M30" s="14"/>
      <c r="N30" s="14"/>
      <c r="O30" s="14"/>
      <c r="P30" s="14"/>
      <c r="Q30" s="120" t="s">
        <v>522</v>
      </c>
      <c r="R30" s="102" t="s">
        <v>127</v>
      </c>
      <c r="S30" s="692">
        <f>J22</f>
        <v>1.0870224400000001</v>
      </c>
      <c r="T30" s="689"/>
      <c r="U30" s="14" t="s">
        <v>157</v>
      </c>
      <c r="V30" s="185"/>
      <c r="X30" s="279"/>
      <c r="Y30" s="279"/>
    </row>
    <row r="31" spans="1:25" ht="18" customHeight="1">
      <c r="A31" s="168"/>
      <c r="B31" s="5"/>
      <c r="C31" s="47" t="s">
        <v>549</v>
      </c>
      <c r="D31" s="14"/>
      <c r="E31" s="14"/>
      <c r="F31" s="14"/>
      <c r="G31" s="14"/>
      <c r="H31" s="279"/>
      <c r="I31" s="120"/>
      <c r="J31" s="279"/>
      <c r="K31" s="279"/>
      <c r="L31" s="14"/>
      <c r="M31" s="14"/>
      <c r="N31" s="14"/>
      <c r="O31" s="14"/>
      <c r="P31" s="14"/>
      <c r="Q31" s="120" t="s">
        <v>714</v>
      </c>
      <c r="R31" s="102" t="s">
        <v>127</v>
      </c>
      <c r="S31" s="689">
        <f>O10</f>
        <v>1</v>
      </c>
      <c r="T31" s="689"/>
      <c r="U31" s="14" t="s">
        <v>8</v>
      </c>
      <c r="V31" s="185"/>
      <c r="X31" s="279"/>
      <c r="Y31" s="279"/>
    </row>
    <row r="32" spans="1:25" ht="18" customHeight="1">
      <c r="A32" s="168"/>
      <c r="B32" s="5"/>
      <c r="C32" s="47" t="s">
        <v>719</v>
      </c>
      <c r="D32" s="14"/>
      <c r="E32" s="14"/>
      <c r="F32" s="14"/>
      <c r="G32" s="14"/>
      <c r="H32" s="279"/>
      <c r="I32" s="120"/>
      <c r="J32" s="279"/>
      <c r="K32" s="279"/>
      <c r="L32" s="14"/>
      <c r="M32" s="14"/>
      <c r="N32" s="14"/>
      <c r="O32" s="14"/>
      <c r="P32" s="14"/>
      <c r="Q32" s="120" t="s">
        <v>720</v>
      </c>
      <c r="R32" s="102" t="s">
        <v>127</v>
      </c>
      <c r="S32" s="689">
        <v>50</v>
      </c>
      <c r="T32" s="689"/>
      <c r="U32" s="47"/>
      <c r="V32" s="185"/>
    </row>
    <row r="33" spans="1:29" ht="18" customHeight="1">
      <c r="A33" s="299"/>
      <c r="B33" s="279"/>
      <c r="C33" s="47"/>
      <c r="D33" s="14"/>
      <c r="E33" s="14"/>
      <c r="F33" s="14"/>
      <c r="G33" s="14"/>
      <c r="H33" s="279"/>
      <c r="I33" s="120"/>
      <c r="J33" s="279"/>
      <c r="K33" s="279"/>
      <c r="L33" s="14"/>
      <c r="M33" s="14"/>
      <c r="N33" s="279"/>
      <c r="O33" s="279"/>
      <c r="P33" s="14"/>
      <c r="Q33" s="120"/>
      <c r="R33" s="14"/>
      <c r="S33" s="279"/>
      <c r="T33" s="279"/>
      <c r="U33" s="279"/>
      <c r="V33" s="300"/>
      <c r="W33" s="279"/>
      <c r="X33" s="279"/>
      <c r="Y33" s="279"/>
    </row>
    <row r="34" spans="1:29" ht="18" customHeight="1">
      <c r="A34" s="184"/>
      <c r="C34" s="18" t="s">
        <v>721</v>
      </c>
      <c r="D34" s="14"/>
      <c r="E34" s="14"/>
      <c r="F34" s="14"/>
      <c r="G34" s="14"/>
      <c r="H34" s="14"/>
      <c r="I34" s="14"/>
      <c r="J34" s="14"/>
      <c r="K34" s="14"/>
      <c r="L34" s="14"/>
      <c r="M34" s="14"/>
      <c r="N34" s="14"/>
      <c r="O34" s="14"/>
      <c r="P34" s="14"/>
      <c r="Q34" s="14"/>
      <c r="R34" s="14"/>
      <c r="S34" s="14"/>
      <c r="T34" s="14"/>
      <c r="U34" s="14"/>
      <c r="V34" s="185"/>
    </row>
    <row r="35" spans="1:29" ht="18" customHeight="1">
      <c r="A35" s="184"/>
      <c r="C35" s="28"/>
      <c r="D35" s="47" t="s">
        <v>722</v>
      </c>
      <c r="E35" s="28"/>
      <c r="F35" s="28"/>
      <c r="G35" s="28"/>
      <c r="H35" s="14"/>
      <c r="I35" s="14"/>
      <c r="J35" s="28"/>
      <c r="K35" s="28"/>
      <c r="L35" s="28"/>
      <c r="M35" s="28"/>
      <c r="N35" s="47"/>
      <c r="O35" s="28"/>
      <c r="V35" s="185"/>
    </row>
    <row r="36" spans="1:29" ht="18" customHeight="1">
      <c r="A36" s="184"/>
      <c r="D36" s="27"/>
      <c r="E36" s="27"/>
      <c r="F36" s="27"/>
      <c r="G36" s="27"/>
      <c r="I36" s="689" t="s">
        <v>723</v>
      </c>
      <c r="J36" s="689" t="s">
        <v>127</v>
      </c>
      <c r="K36" s="695" t="s">
        <v>714</v>
      </c>
      <c r="L36" s="695"/>
      <c r="M36" s="27"/>
      <c r="N36" s="296"/>
      <c r="O36" s="222"/>
      <c r="V36" s="185"/>
    </row>
    <row r="37" spans="1:29" ht="18" customHeight="1">
      <c r="A37" s="184"/>
      <c r="D37" s="27"/>
      <c r="G37" s="27"/>
      <c r="I37" s="689"/>
      <c r="J37" s="689"/>
      <c r="K37" s="1289" t="s">
        <v>724</v>
      </c>
      <c r="L37" s="1289"/>
      <c r="V37" s="185"/>
    </row>
    <row r="38" spans="1:29" ht="18" customHeight="1">
      <c r="A38" s="184"/>
      <c r="C38" s="18" t="s">
        <v>725</v>
      </c>
      <c r="D38" s="27"/>
      <c r="G38" s="27"/>
      <c r="I38" s="28"/>
      <c r="J38" s="28"/>
      <c r="K38" s="102"/>
      <c r="L38" s="102"/>
      <c r="V38" s="185"/>
    </row>
    <row r="39" spans="1:29" ht="18" customHeight="1">
      <c r="A39" s="184"/>
      <c r="D39" s="372" t="s">
        <v>726</v>
      </c>
      <c r="E39" s="14"/>
      <c r="F39" s="14"/>
      <c r="G39" s="268"/>
      <c r="K39" s="102"/>
      <c r="L39" s="102"/>
      <c r="V39" s="185"/>
    </row>
    <row r="40" spans="1:29" ht="18" customHeight="1">
      <c r="A40" s="184"/>
      <c r="D40" s="7" t="s">
        <v>727</v>
      </c>
      <c r="E40" s="47"/>
      <c r="F40" s="14"/>
      <c r="G40" s="268"/>
      <c r="K40" s="102"/>
      <c r="L40" s="102"/>
      <c r="V40" s="185"/>
    </row>
    <row r="41" spans="1:29" ht="18" customHeight="1">
      <c r="A41" s="184"/>
      <c r="B41" s="14" t="s">
        <v>728</v>
      </c>
      <c r="D41" s="14" t="s">
        <v>729</v>
      </c>
      <c r="G41" s="27"/>
      <c r="I41" s="28"/>
      <c r="J41" s="28"/>
      <c r="K41" s="102"/>
      <c r="L41" s="102"/>
      <c r="V41" s="185"/>
    </row>
    <row r="42" spans="1:29" ht="18" customHeight="1">
      <c r="A42" s="184"/>
      <c r="D42" s="7" t="s">
        <v>730</v>
      </c>
      <c r="G42" s="27"/>
      <c r="I42" s="28"/>
      <c r="J42" s="28"/>
      <c r="K42" s="102"/>
      <c r="L42" s="102"/>
      <c r="V42" s="185"/>
    </row>
    <row r="43" spans="1:29" ht="18" customHeight="1">
      <c r="A43" s="184"/>
      <c r="D43" s="7" t="s">
        <v>731</v>
      </c>
      <c r="G43" s="27"/>
      <c r="I43" s="28"/>
      <c r="J43" s="28"/>
      <c r="K43" s="102"/>
      <c r="L43" s="102"/>
      <c r="V43" s="185"/>
    </row>
    <row r="44" spans="1:29" ht="18" customHeight="1">
      <c r="A44" s="184"/>
      <c r="V44" s="185"/>
      <c r="AB44" s="14" t="s">
        <v>129</v>
      </c>
      <c r="AC44" s="14" t="s">
        <v>732</v>
      </c>
    </row>
    <row r="45" spans="1:29"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9"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9" ht="18" customHeight="1">
      <c r="A47" s="96"/>
      <c r="B47" s="7" t="s">
        <v>733</v>
      </c>
      <c r="C47" s="7"/>
      <c r="D47" s="14"/>
      <c r="E47" s="7"/>
      <c r="F47" s="7"/>
      <c r="L47" s="27"/>
      <c r="O47" s="27"/>
      <c r="P47" s="27"/>
      <c r="Q47" s="28"/>
      <c r="T47" s="14"/>
      <c r="U47" s="14"/>
      <c r="V47" s="185"/>
    </row>
    <row r="48" spans="1:29" ht="18" customHeight="1">
      <c r="A48" s="96"/>
      <c r="B48" s="14"/>
      <c r="C48" s="7"/>
      <c r="D48" s="7"/>
      <c r="E48" s="14"/>
      <c r="F48" s="7"/>
      <c r="L48" s="27"/>
      <c r="M48" s="14"/>
      <c r="O48" s="14"/>
      <c r="P48" s="14"/>
      <c r="Q48" s="14"/>
      <c r="R48" s="14"/>
      <c r="S48" s="14"/>
      <c r="T48" s="14"/>
      <c r="U48" s="14"/>
      <c r="V48" s="185"/>
    </row>
    <row r="49" spans="1:22" ht="18" customHeight="1">
      <c r="A49" s="96"/>
      <c r="B49" s="14"/>
      <c r="C49" s="120" t="s">
        <v>734</v>
      </c>
      <c r="D49" s="28" t="s">
        <v>127</v>
      </c>
      <c r="E49" s="805">
        <f>S25</f>
        <v>50000</v>
      </c>
      <c r="F49" s="805"/>
      <c r="G49" s="14"/>
      <c r="H49" s="14"/>
      <c r="I49" s="102"/>
      <c r="J49" s="47"/>
      <c r="K49" s="47"/>
      <c r="L49" s="14"/>
      <c r="M49" s="14"/>
      <c r="N49" s="14"/>
      <c r="O49" s="14"/>
      <c r="P49" s="14"/>
      <c r="Q49" s="14"/>
      <c r="R49" s="14"/>
      <c r="S49" s="14"/>
      <c r="T49" s="14"/>
      <c r="U49" s="14"/>
      <c r="V49" s="185"/>
    </row>
    <row r="50" spans="1:22" ht="18" customHeight="1">
      <c r="A50" s="96"/>
      <c r="B50" s="14"/>
      <c r="C50" s="120"/>
      <c r="D50" s="28"/>
      <c r="E50" s="978" t="str">
        <f>"5 x "&amp;S26&amp;""</f>
        <v>5 x 3200</v>
      </c>
      <c r="F50" s="978"/>
      <c r="G50" s="28"/>
      <c r="H50" s="257"/>
      <c r="K50" s="28"/>
      <c r="L50" s="218"/>
      <c r="M50" s="257"/>
      <c r="O50" s="14"/>
      <c r="P50" s="14"/>
      <c r="Q50" s="14"/>
      <c r="R50" s="14"/>
      <c r="S50" s="14"/>
      <c r="T50" s="14"/>
      <c r="U50" s="14"/>
      <c r="V50" s="185"/>
    </row>
    <row r="51" spans="1:22" ht="18" customHeight="1">
      <c r="A51" s="184"/>
      <c r="J51" s="14"/>
      <c r="K51" s="257"/>
      <c r="M51" s="14"/>
      <c r="N51" s="14"/>
      <c r="O51" s="14"/>
      <c r="P51" s="14"/>
      <c r="Q51" s="14"/>
      <c r="R51" s="14"/>
      <c r="S51" s="14"/>
      <c r="T51" s="14"/>
      <c r="U51" s="14"/>
      <c r="V51" s="185"/>
    </row>
    <row r="52" spans="1:22" ht="18" customHeight="1">
      <c r="A52" s="96"/>
      <c r="C52" s="458" t="s">
        <v>734</v>
      </c>
      <c r="D52" s="182" t="s">
        <v>127</v>
      </c>
      <c r="E52" s="1288">
        <f>S25/5/S26</f>
        <v>3.125</v>
      </c>
      <c r="F52" s="722"/>
      <c r="G52" s="27"/>
      <c r="H52" s="27"/>
      <c r="I52" s="27"/>
      <c r="J52" s="120"/>
      <c r="K52" s="28"/>
      <c r="L52" s="120"/>
      <c r="M52" s="28"/>
      <c r="N52" s="120"/>
      <c r="O52" s="28"/>
      <c r="P52" s="120"/>
      <c r="Q52" s="296"/>
      <c r="V52" s="185"/>
    </row>
    <row r="53" spans="1:22" ht="18" customHeight="1">
      <c r="A53" s="96"/>
      <c r="C53" s="120"/>
      <c r="D53" s="28"/>
      <c r="E53" s="218"/>
      <c r="F53" s="218"/>
      <c r="G53" s="27"/>
      <c r="H53" s="27"/>
      <c r="I53" s="27"/>
      <c r="J53" s="120"/>
      <c r="K53" s="28"/>
      <c r="L53" s="120"/>
      <c r="M53" s="28"/>
      <c r="N53" s="120"/>
      <c r="O53" s="28"/>
      <c r="P53" s="120"/>
      <c r="Q53" s="296"/>
      <c r="V53" s="185"/>
    </row>
    <row r="54" spans="1:22" ht="18" customHeight="1">
      <c r="A54" s="96"/>
      <c r="B54" s="14" t="s">
        <v>735</v>
      </c>
      <c r="C54" s="14"/>
      <c r="D54" s="14"/>
      <c r="E54" s="7"/>
      <c r="F54" s="102"/>
      <c r="G54" s="7"/>
      <c r="H54" s="7"/>
      <c r="I54" s="239"/>
      <c r="J54" s="120"/>
      <c r="K54" s="28"/>
      <c r="L54" s="120"/>
      <c r="M54" s="28"/>
      <c r="N54" s="120"/>
      <c r="O54" s="28"/>
      <c r="P54" s="120"/>
      <c r="Q54" s="296"/>
      <c r="V54" s="185"/>
    </row>
    <row r="55" spans="1:22" ht="18" customHeight="1">
      <c r="A55" s="96"/>
      <c r="C55" s="14"/>
      <c r="D55" s="14"/>
      <c r="E55" s="689" t="s">
        <v>736</v>
      </c>
      <c r="F55" s="689">
        <v>1</v>
      </c>
      <c r="G55" s="689"/>
      <c r="H55" s="689" t="s">
        <v>312</v>
      </c>
      <c r="I55" s="459" t="s">
        <v>312</v>
      </c>
      <c r="J55" s="120"/>
      <c r="K55" s="28"/>
      <c r="L55" s="120"/>
      <c r="M55" s="28"/>
      <c r="N55" s="120"/>
      <c r="O55" s="28"/>
      <c r="P55" s="120"/>
      <c r="Q55" s="296"/>
      <c r="V55" s="185"/>
    </row>
    <row r="56" spans="1:22" ht="18" customHeight="1">
      <c r="A56" s="96"/>
      <c r="C56" s="14"/>
      <c r="D56" s="14"/>
      <c r="E56" s="723"/>
      <c r="F56" s="273"/>
      <c r="G56" s="274" t="s">
        <v>737</v>
      </c>
      <c r="H56" s="689"/>
      <c r="I56" s="14" t="s">
        <v>141</v>
      </c>
      <c r="J56" s="120"/>
      <c r="K56" s="28"/>
      <c r="L56" s="120"/>
      <c r="M56" s="28"/>
      <c r="N56" s="120"/>
      <c r="O56" s="28"/>
      <c r="P56" s="120"/>
      <c r="Q56" s="296"/>
      <c r="V56" s="185"/>
    </row>
    <row r="57" spans="1:22" ht="18" customHeight="1">
      <c r="A57" s="96"/>
      <c r="C57" s="120"/>
      <c r="D57" s="28"/>
      <c r="E57" s="218"/>
      <c r="F57" s="218"/>
      <c r="G57" s="27"/>
      <c r="H57" s="27"/>
      <c r="I57" s="27"/>
      <c r="J57" s="120"/>
      <c r="K57" s="28"/>
      <c r="L57" s="120"/>
      <c r="M57" s="28"/>
      <c r="N57" s="120"/>
      <c r="O57" s="28"/>
      <c r="P57" s="120"/>
      <c r="Q57" s="296"/>
      <c r="V57" s="185"/>
    </row>
    <row r="58" spans="1:22" ht="18" customHeight="1">
      <c r="A58" s="96"/>
      <c r="C58" s="120"/>
      <c r="F58" s="708">
        <v>1</v>
      </c>
      <c r="G58" s="708"/>
      <c r="H58" s="708"/>
      <c r="I58" s="27"/>
      <c r="J58" s="689" t="s">
        <v>315</v>
      </c>
      <c r="K58" s="1286">
        <v>15</v>
      </c>
      <c r="L58" s="120"/>
      <c r="M58" s="28"/>
      <c r="N58" s="120"/>
      <c r="O58" s="28"/>
      <c r="P58" s="120"/>
      <c r="Q58" s="296"/>
      <c r="V58" s="185"/>
    </row>
    <row r="59" spans="1:22" ht="18" customHeight="1">
      <c r="A59" s="96"/>
      <c r="C59" s="120"/>
      <c r="D59" s="120" t="s">
        <v>738</v>
      </c>
      <c r="E59" s="102" t="s">
        <v>127</v>
      </c>
      <c r="F59" s="30" t="s">
        <v>739</v>
      </c>
      <c r="I59" s="27"/>
      <c r="J59" s="684"/>
      <c r="K59" s="1251"/>
      <c r="L59" s="120"/>
      <c r="M59" s="28"/>
      <c r="N59" s="120"/>
      <c r="O59" s="28"/>
      <c r="P59" s="120"/>
      <c r="Q59" s="296"/>
      <c r="V59" s="185"/>
    </row>
    <row r="60" spans="1:22" ht="18" customHeight="1">
      <c r="A60" s="96"/>
      <c r="C60" s="28"/>
      <c r="D60" s="218"/>
      <c r="E60" s="218"/>
      <c r="F60" s="218"/>
      <c r="G60" s="218"/>
      <c r="H60" s="218"/>
      <c r="I60" s="218"/>
      <c r="J60" s="218"/>
      <c r="K60" s="218"/>
      <c r="L60" s="218"/>
      <c r="M60" s="28"/>
      <c r="N60" s="120"/>
      <c r="O60" s="28"/>
      <c r="P60" s="120"/>
      <c r="Q60" s="296"/>
      <c r="V60" s="185"/>
    </row>
    <row r="61" spans="1:22" ht="18" customHeight="1">
      <c r="A61" s="96"/>
      <c r="C61" s="120"/>
      <c r="D61" s="28"/>
      <c r="E61" s="218" t="s">
        <v>127</v>
      </c>
      <c r="F61" s="1287">
        <f>1*K58/(2*3.14*50)</f>
        <v>4.7770700636942678E-2</v>
      </c>
      <c r="G61" s="1287"/>
      <c r="H61" s="28" t="s">
        <v>740</v>
      </c>
      <c r="I61" s="27"/>
      <c r="J61" s="120"/>
      <c r="K61" s="28"/>
      <c r="L61" s="120"/>
      <c r="M61" s="28"/>
      <c r="N61" s="120"/>
      <c r="O61" s="28"/>
      <c r="P61" s="120"/>
      <c r="Q61" s="296"/>
      <c r="V61" s="185"/>
    </row>
    <row r="62" spans="1:22" ht="18" customHeight="1">
      <c r="A62" s="96"/>
      <c r="C62" s="120"/>
      <c r="D62" s="120" t="s">
        <v>738</v>
      </c>
      <c r="E62" s="218" t="s">
        <v>127</v>
      </c>
      <c r="F62" s="1188">
        <f>F61*1000</f>
        <v>47.770700636942678</v>
      </c>
      <c r="G62" s="1188"/>
      <c r="H62" s="28" t="s">
        <v>343</v>
      </c>
      <c r="I62" s="27"/>
      <c r="J62" s="120"/>
      <c r="K62" s="28"/>
      <c r="L62" s="120"/>
      <c r="M62" s="28"/>
      <c r="N62" s="120"/>
      <c r="O62" s="28"/>
      <c r="P62" s="120"/>
      <c r="Q62" s="296"/>
      <c r="V62" s="185"/>
    </row>
    <row r="63" spans="1:22" ht="18" customHeight="1">
      <c r="A63" s="184"/>
      <c r="G63" s="27"/>
      <c r="H63" s="245"/>
      <c r="I63" s="245"/>
      <c r="J63" s="460"/>
      <c r="K63" s="245"/>
      <c r="L63" s="460"/>
      <c r="M63" s="245"/>
      <c r="N63" s="460"/>
      <c r="O63" s="245"/>
      <c r="P63" s="460"/>
      <c r="Q63" s="461"/>
      <c r="V63" s="185"/>
    </row>
    <row r="64" spans="1:22" ht="18" customHeight="1">
      <c r="A64" s="184"/>
      <c r="B64" s="14" t="s">
        <v>741</v>
      </c>
      <c r="E64" s="28" t="s">
        <v>127</v>
      </c>
      <c r="F64" s="27">
        <v>10</v>
      </c>
      <c r="G64" s="27"/>
      <c r="H64" s="245"/>
      <c r="I64" s="245"/>
      <c r="J64" s="460"/>
      <c r="K64" s="245"/>
      <c r="L64" s="460"/>
      <c r="M64" s="245"/>
      <c r="N64" s="460"/>
      <c r="O64" s="245"/>
      <c r="P64" s="460"/>
      <c r="Q64" s="461"/>
      <c r="V64" s="185"/>
    </row>
    <row r="65" spans="1:22" ht="18" customHeight="1">
      <c r="A65" s="184"/>
      <c r="G65" s="27"/>
      <c r="H65" s="245"/>
      <c r="I65" s="245"/>
      <c r="J65" s="460"/>
      <c r="K65" s="245"/>
      <c r="L65" s="460"/>
      <c r="M65" s="245"/>
      <c r="N65" s="460"/>
      <c r="O65" s="245"/>
      <c r="P65" s="460"/>
      <c r="Q65" s="461"/>
      <c r="V65" s="185"/>
    </row>
    <row r="66" spans="1:22" ht="18" customHeight="1">
      <c r="A66" s="184"/>
      <c r="B66" s="7" t="s">
        <v>742</v>
      </c>
      <c r="F66" s="7"/>
      <c r="G66" s="7"/>
      <c r="H66" s="204"/>
      <c r="I66" s="204"/>
      <c r="V66" s="185"/>
    </row>
    <row r="67" spans="1:22" ht="17.399999999999999" customHeight="1">
      <c r="A67" s="184"/>
      <c r="B67" s="7"/>
      <c r="E67" s="30" t="s">
        <v>743</v>
      </c>
      <c r="F67" s="7"/>
      <c r="G67" s="7"/>
      <c r="V67" s="185"/>
    </row>
    <row r="68" spans="1:22" ht="17.399999999999999" customHeight="1">
      <c r="A68" s="184"/>
      <c r="B68" s="7"/>
      <c r="E68" s="14"/>
      <c r="F68" s="7"/>
      <c r="G68" s="7"/>
      <c r="V68" s="185"/>
    </row>
    <row r="69" spans="1:22" ht="17.399999999999999" customHeight="1">
      <c r="A69" s="184"/>
      <c r="B69" s="14" t="s">
        <v>744</v>
      </c>
      <c r="C69" s="14"/>
      <c r="D69" s="14"/>
      <c r="E69" s="14"/>
      <c r="F69" s="14"/>
      <c r="G69" s="120"/>
      <c r="H69" s="120"/>
      <c r="V69" s="185"/>
    </row>
    <row r="70" spans="1:22" ht="17.399999999999999" customHeight="1">
      <c r="A70" s="184"/>
      <c r="B70" s="14"/>
      <c r="C70" s="120" t="s">
        <v>745</v>
      </c>
      <c r="D70" s="28" t="s">
        <v>127</v>
      </c>
      <c r="E70" s="28">
        <v>10</v>
      </c>
      <c r="F70" s="14"/>
      <c r="G70" s="47" t="s">
        <v>746</v>
      </c>
      <c r="H70" s="120"/>
      <c r="V70" s="185"/>
    </row>
    <row r="71" spans="1:22" ht="17.399999999999999" customHeight="1">
      <c r="A71" s="184"/>
      <c r="B71" s="7"/>
      <c r="E71" s="14"/>
      <c r="F71" s="7"/>
      <c r="G71" s="7"/>
      <c r="V71" s="185"/>
    </row>
    <row r="72" spans="1:22" ht="17.399999999999999" customHeight="1">
      <c r="A72" s="184"/>
      <c r="B72" s="47" t="s">
        <v>747</v>
      </c>
      <c r="E72" s="14"/>
      <c r="F72" s="7"/>
      <c r="G72" s="7"/>
      <c r="V72" s="185"/>
    </row>
    <row r="73" spans="1:22" ht="17.399999999999999" customHeight="1">
      <c r="A73" s="184"/>
      <c r="B73" s="47" t="s">
        <v>748</v>
      </c>
      <c r="E73" s="14"/>
      <c r="F73" s="7"/>
      <c r="G73" s="7"/>
      <c r="V73" s="185"/>
    </row>
    <row r="74" spans="1:22" ht="17.399999999999999" customHeight="1" thickBot="1">
      <c r="A74" s="184"/>
      <c r="B74" s="102" t="s">
        <v>127</v>
      </c>
      <c r="C74" s="120">
        <f>E70</f>
        <v>10</v>
      </c>
      <c r="D74" s="28" t="s">
        <v>315</v>
      </c>
      <c r="E74" s="28" t="s">
        <v>419</v>
      </c>
      <c r="F74" s="692">
        <f>S29</f>
        <v>8</v>
      </c>
      <c r="G74" s="692"/>
      <c r="H74" s="102" t="s">
        <v>347</v>
      </c>
      <c r="I74" s="218">
        <f>S30</f>
        <v>1.0870224400000001</v>
      </c>
      <c r="J74" s="240" t="s">
        <v>347</v>
      </c>
      <c r="K74" s="281">
        <f>J18</f>
        <v>0.01</v>
      </c>
      <c r="L74" s="14" t="s">
        <v>350</v>
      </c>
      <c r="M74" s="14" t="s">
        <v>315</v>
      </c>
      <c r="N74" s="28">
        <v>1</v>
      </c>
      <c r="V74" s="185"/>
    </row>
    <row r="75" spans="1:22" ht="17.399999999999999" customHeight="1" thickBot="1">
      <c r="A75" s="184"/>
      <c r="B75" s="462" t="s">
        <v>528</v>
      </c>
      <c r="C75" s="463" t="s">
        <v>127</v>
      </c>
      <c r="D75" s="464">
        <f>C74*(F74+I74+K74)*N74</f>
        <v>90.970224400000006</v>
      </c>
      <c r="E75" s="14" t="s">
        <v>305</v>
      </c>
      <c r="F75" s="7"/>
      <c r="G75" s="7"/>
      <c r="V75" s="185"/>
    </row>
    <row r="76" spans="1:22" ht="17.399999999999999" customHeight="1">
      <c r="A76" s="184"/>
      <c r="B76" s="7"/>
      <c r="E76" s="14"/>
      <c r="F76" s="7"/>
      <c r="G76" s="7"/>
      <c r="V76" s="185"/>
    </row>
    <row r="77" spans="1:22" ht="17.399999999999999" customHeight="1">
      <c r="A77" s="184"/>
      <c r="B77" s="47" t="s">
        <v>749</v>
      </c>
      <c r="E77" s="14"/>
      <c r="F77" s="7"/>
      <c r="G77" s="7"/>
      <c r="J77" s="14" t="s">
        <v>750</v>
      </c>
      <c r="L77" s="28" t="s">
        <v>476</v>
      </c>
      <c r="N77" s="14" t="s">
        <v>751</v>
      </c>
      <c r="V77" s="185"/>
    </row>
    <row r="78" spans="1:22" ht="17.399999999999999" customHeight="1">
      <c r="A78" s="184"/>
      <c r="B78" s="7"/>
      <c r="E78" s="14"/>
      <c r="F78" s="7"/>
      <c r="G78" s="7"/>
      <c r="L78" s="28" t="s">
        <v>127</v>
      </c>
      <c r="N78" s="1251">
        <f>0.8*D75</f>
        <v>72.776179520000014</v>
      </c>
      <c r="O78" s="1251"/>
      <c r="V78" s="185"/>
    </row>
    <row r="79" spans="1:22" ht="17.399999999999999" customHeight="1">
      <c r="A79" s="184"/>
      <c r="B79" s="7"/>
      <c r="E79" s="14"/>
      <c r="F79" s="14" t="s">
        <v>752</v>
      </c>
      <c r="G79" s="7"/>
      <c r="L79" s="28" t="s">
        <v>127</v>
      </c>
      <c r="N79" s="1072">
        <f>N78*1.2</f>
        <v>87.331415424000014</v>
      </c>
      <c r="O79" s="1072"/>
      <c r="V79" s="185"/>
    </row>
    <row r="80" spans="1:22" ht="17.399999999999999" customHeight="1">
      <c r="A80" s="184"/>
      <c r="K80" s="199" t="s">
        <v>475</v>
      </c>
      <c r="L80" s="28" t="str">
        <f>IF(I81&gt;M81,"&gt;","&lt;")</f>
        <v>&gt;</v>
      </c>
      <c r="M80" s="257" t="s">
        <v>477</v>
      </c>
      <c r="O80" s="18"/>
      <c r="P80" s="268"/>
      <c r="V80" s="185"/>
    </row>
    <row r="81" spans="1:23" ht="17.399999999999999" customHeight="1">
      <c r="A81" s="184"/>
      <c r="I81" s="795">
        <f>S28</f>
        <v>900</v>
      </c>
      <c r="J81" s="795"/>
      <c r="K81" s="27"/>
      <c r="L81" s="27" t="str">
        <f>IF(I81&gt;=M81,"&gt;","&lt;")</f>
        <v>&gt;</v>
      </c>
      <c r="M81" s="795">
        <f>N79</f>
        <v>87.331415424000014</v>
      </c>
      <c r="N81" s="795"/>
      <c r="P81" s="268"/>
      <c r="V81" s="185"/>
    </row>
    <row r="82" spans="1:23" ht="17.399999999999999" customHeight="1">
      <c r="A82" s="184"/>
      <c r="K82" s="244" t="s">
        <v>478</v>
      </c>
      <c r="M82" s="18" t="str">
        <f>IF(I81&gt;M81,"Suitably Dimensioned","Under Dimensioned")</f>
        <v>Suitably Dimensioned</v>
      </c>
      <c r="V82" s="185"/>
    </row>
    <row r="83" spans="1:23" ht="17.399999999999999" customHeight="1">
      <c r="A83" s="184"/>
      <c r="K83" s="244"/>
      <c r="M83" s="18"/>
      <c r="V83" s="185"/>
    </row>
    <row r="84" spans="1:23" ht="17.399999999999999" customHeight="1">
      <c r="A84" s="184"/>
      <c r="K84" s="244"/>
      <c r="M84" s="18"/>
      <c r="V84" s="185"/>
    </row>
    <row r="85" spans="1:23" ht="15.6" customHeight="1">
      <c r="A85" s="184"/>
      <c r="B85" s="7"/>
      <c r="E85" s="14"/>
      <c r="F85" s="7"/>
      <c r="G85" s="7"/>
      <c r="V85" s="185"/>
    </row>
    <row r="86" spans="1:23" s="14" customFormat="1" ht="15.6" customHeight="1">
      <c r="A86" s="194"/>
      <c r="B86" s="195"/>
      <c r="C86" s="195"/>
      <c r="D86" s="195"/>
      <c r="E86" s="195"/>
      <c r="F86" s="195"/>
      <c r="G86" s="195"/>
      <c r="H86" s="195"/>
      <c r="I86" s="195"/>
      <c r="J86" s="195"/>
      <c r="K86" s="195"/>
      <c r="L86" s="195"/>
      <c r="M86" s="195"/>
      <c r="N86" s="195"/>
      <c r="O86" s="195"/>
      <c r="P86" s="195"/>
      <c r="Q86" s="224"/>
      <c r="R86" s="182"/>
      <c r="S86" s="225"/>
      <c r="T86" s="195"/>
      <c r="U86" s="195"/>
      <c r="V86" s="134"/>
    </row>
    <row r="87" spans="1:23" ht="18" customHeight="1">
      <c r="A87" s="226"/>
      <c r="B87" s="227"/>
      <c r="C87" s="227"/>
      <c r="D87" s="227"/>
      <c r="E87" s="227"/>
      <c r="F87" s="227"/>
      <c r="G87" s="227"/>
      <c r="H87" s="227"/>
      <c r="I87" s="227"/>
      <c r="J87" s="227"/>
      <c r="K87" s="227"/>
      <c r="L87" s="227"/>
      <c r="M87" s="227"/>
      <c r="N87" s="227"/>
      <c r="O87" s="227"/>
      <c r="P87" s="227"/>
      <c r="Q87" s="227"/>
      <c r="R87" s="227"/>
      <c r="S87" s="227"/>
      <c r="T87" s="227"/>
      <c r="U87" s="227"/>
      <c r="V87" s="228"/>
    </row>
    <row r="88" spans="1:23" ht="18" customHeight="1">
      <c r="A88" s="184"/>
      <c r="B88" s="835" t="str">
        <f>B7</f>
        <v>T1</v>
      </c>
      <c r="C88" s="836"/>
      <c r="D88" s="1118" t="str">
        <f>D7</f>
        <v>Core4</v>
      </c>
      <c r="E88" s="1290"/>
      <c r="F88" s="455"/>
      <c r="H88" s="684" t="str">
        <f>H7</f>
        <v>(MAIN-1 BBP+BFP)</v>
      </c>
      <c r="I88" s="684"/>
      <c r="J88" s="684"/>
      <c r="K88" s="684"/>
      <c r="L88" s="684"/>
      <c r="M88" s="684"/>
      <c r="P88" s="186"/>
      <c r="S88" s="187" t="s">
        <v>387</v>
      </c>
      <c r="T88" s="835" t="str">
        <f>T7</f>
        <v>REB500</v>
      </c>
      <c r="U88" s="836"/>
      <c r="V88" s="185"/>
    </row>
    <row r="89" spans="1:23" ht="18" customHeight="1">
      <c r="A89" s="456"/>
      <c r="F89" s="455"/>
      <c r="T89" s="839">
        <f>T8</f>
        <v>0</v>
      </c>
      <c r="U89" s="840"/>
      <c r="V89" s="185"/>
    </row>
    <row r="90" spans="1:23" ht="18" customHeight="1">
      <c r="A90" s="184"/>
      <c r="H90" s="708" t="s">
        <v>390</v>
      </c>
      <c r="I90" s="708"/>
      <c r="J90" s="789" t="s">
        <v>391</v>
      </c>
      <c r="K90" s="789"/>
      <c r="L90" s="790" t="s">
        <v>392</v>
      </c>
      <c r="M90" s="790"/>
      <c r="T90" s="839">
        <f>T9</f>
        <v>0</v>
      </c>
      <c r="U90" s="840"/>
      <c r="V90" s="185"/>
    </row>
    <row r="91" spans="1:23" ht="18" customHeight="1">
      <c r="A91" s="184"/>
      <c r="B91" s="47" t="s">
        <v>393</v>
      </c>
      <c r="H91" s="835">
        <f>H10</f>
        <v>3200</v>
      </c>
      <c r="I91" s="836"/>
      <c r="J91" s="835">
        <f>J10</f>
        <v>2000</v>
      </c>
      <c r="K91" s="836"/>
      <c r="L91" s="835" t="str">
        <f>L10</f>
        <v>-</v>
      </c>
      <c r="M91" s="836"/>
      <c r="N91" s="191" t="s">
        <v>342</v>
      </c>
      <c r="O91" s="488">
        <f>O10</f>
        <v>1</v>
      </c>
      <c r="P91" s="27" t="s">
        <v>8</v>
      </c>
      <c r="R91" s="255"/>
      <c r="S91" s="255"/>
      <c r="V91" s="185"/>
    </row>
    <row r="92" spans="1:23" ht="18" customHeight="1">
      <c r="A92" s="184"/>
      <c r="B92" s="47" t="s">
        <v>394</v>
      </c>
      <c r="H92" s="14"/>
      <c r="I92" s="14"/>
      <c r="J92" s="835" t="str">
        <f>H11</f>
        <v>PX</v>
      </c>
      <c r="K92" s="836"/>
      <c r="L92" s="14"/>
      <c r="M92" s="14"/>
      <c r="V92" s="185"/>
    </row>
    <row r="93" spans="1:23" ht="18" customHeight="1">
      <c r="A93" s="184"/>
      <c r="B93" s="47" t="s">
        <v>396</v>
      </c>
      <c r="I93" s="120" t="s">
        <v>497</v>
      </c>
      <c r="J93" s="781">
        <v>5</v>
      </c>
      <c r="K93" s="782"/>
      <c r="L93" s="192" t="s">
        <v>333</v>
      </c>
      <c r="V93" s="185"/>
    </row>
    <row r="94" spans="1:23" ht="18" customHeight="1">
      <c r="A94" s="184"/>
      <c r="B94" s="47" t="s">
        <v>398</v>
      </c>
      <c r="I94" s="120" t="s">
        <v>498</v>
      </c>
      <c r="J94" s="781">
        <v>500</v>
      </c>
      <c r="K94" s="782"/>
      <c r="L94" s="14" t="s">
        <v>305</v>
      </c>
      <c r="T94" s="295"/>
      <c r="U94" s="18"/>
      <c r="V94" s="185"/>
      <c r="W94" s="30" t="str">
        <f>M160</f>
        <v>Required Vk</v>
      </c>
    </row>
    <row r="95" spans="1:23" ht="18" customHeight="1">
      <c r="A95" s="184"/>
      <c r="B95" s="14" t="s">
        <v>401</v>
      </c>
      <c r="I95" s="120" t="s">
        <v>402</v>
      </c>
      <c r="J95" s="781">
        <v>30</v>
      </c>
      <c r="K95" s="782"/>
      <c r="L95" s="14" t="s">
        <v>403</v>
      </c>
      <c r="V95" s="185"/>
    </row>
    <row r="96" spans="1:23" ht="18" customHeight="1">
      <c r="A96" s="184"/>
      <c r="V96" s="185"/>
    </row>
    <row r="97" spans="1:22" ht="18" customHeight="1">
      <c r="A97" s="193" t="s">
        <v>404</v>
      </c>
      <c r="V97" s="185"/>
    </row>
    <row r="98" spans="1:22" ht="18" customHeight="1">
      <c r="A98" s="184"/>
      <c r="V98" s="185"/>
    </row>
    <row r="99" spans="1:22" ht="18" customHeight="1">
      <c r="A99" s="184"/>
      <c r="B99" s="135" t="s">
        <v>405</v>
      </c>
      <c r="C99" s="273"/>
      <c r="D99" s="139" t="str">
        <f>T88</f>
        <v>REB500</v>
      </c>
      <c r="E99" s="227"/>
      <c r="F99" s="227"/>
      <c r="G99" s="227"/>
      <c r="H99" s="138"/>
      <c r="I99" s="260" t="s">
        <v>127</v>
      </c>
      <c r="J99" s="722">
        <f>J18</f>
        <v>0.01</v>
      </c>
      <c r="K99" s="958"/>
      <c r="L99" s="3" t="s">
        <v>157</v>
      </c>
      <c r="N99" s="197" t="s">
        <v>510</v>
      </c>
      <c r="V99" s="185"/>
    </row>
    <row r="100" spans="1:22" ht="18" customHeight="1">
      <c r="A100" s="184"/>
      <c r="B100" s="96" t="s">
        <v>405</v>
      </c>
      <c r="C100" s="14"/>
      <c r="D100" s="47">
        <f>T89</f>
        <v>0</v>
      </c>
      <c r="H100" s="28"/>
      <c r="I100" s="101" t="s">
        <v>127</v>
      </c>
      <c r="J100" s="722">
        <f>J19</f>
        <v>0</v>
      </c>
      <c r="K100" s="958"/>
      <c r="L100" s="3" t="s">
        <v>157</v>
      </c>
      <c r="N100" s="120" t="s">
        <v>491</v>
      </c>
      <c r="O100" s="27" t="s">
        <v>127</v>
      </c>
      <c r="P100" s="27" t="s">
        <v>511</v>
      </c>
      <c r="Q100" s="27" t="s">
        <v>315</v>
      </c>
      <c r="R100" s="27" t="s">
        <v>511</v>
      </c>
      <c r="S100" s="27" t="s">
        <v>315</v>
      </c>
      <c r="T100" s="27" t="s">
        <v>420</v>
      </c>
      <c r="V100" s="185"/>
    </row>
    <row r="101" spans="1:22" ht="18" customHeight="1">
      <c r="A101" s="184"/>
      <c r="B101" s="96" t="s">
        <v>405</v>
      </c>
      <c r="C101" s="14"/>
      <c r="D101" s="47">
        <f>T90</f>
        <v>0</v>
      </c>
      <c r="H101" s="28"/>
      <c r="I101" s="101" t="s">
        <v>127</v>
      </c>
      <c r="J101" s="722">
        <f>J20</f>
        <v>0</v>
      </c>
      <c r="K101" s="958"/>
      <c r="L101" s="3" t="s">
        <v>157</v>
      </c>
      <c r="N101" s="27"/>
      <c r="O101" s="27" t="s">
        <v>127</v>
      </c>
      <c r="P101" s="27">
        <f>O91</f>
        <v>1</v>
      </c>
      <c r="Q101" s="27" t="s">
        <v>315</v>
      </c>
      <c r="R101" s="27">
        <f>O91</f>
        <v>1</v>
      </c>
      <c r="S101" s="27" t="s">
        <v>315</v>
      </c>
      <c r="T101" s="27">
        <f>J93</f>
        <v>5</v>
      </c>
      <c r="V101" s="185"/>
    </row>
    <row r="102" spans="1:22" ht="18" customHeight="1">
      <c r="A102" s="184"/>
      <c r="B102" s="452" t="s">
        <v>412</v>
      </c>
      <c r="C102" s="259"/>
      <c r="D102" s="259"/>
      <c r="E102" s="259"/>
      <c r="F102" s="207"/>
      <c r="G102" s="207"/>
      <c r="H102" s="190"/>
      <c r="I102" s="208" t="s">
        <v>127</v>
      </c>
      <c r="J102" s="1120">
        <f>J21</f>
        <v>1.0770224400000001</v>
      </c>
      <c r="K102" s="987"/>
      <c r="L102" s="297" t="s">
        <v>157</v>
      </c>
      <c r="O102" s="27" t="s">
        <v>127</v>
      </c>
      <c r="P102" s="795">
        <f>P101*R101*T101</f>
        <v>5</v>
      </c>
      <c r="Q102" s="684"/>
      <c r="R102" s="27" t="s">
        <v>157</v>
      </c>
      <c r="V102" s="185"/>
    </row>
    <row r="103" spans="1:22" ht="18" customHeight="1">
      <c r="A103" s="184"/>
      <c r="B103" s="1" t="s">
        <v>413</v>
      </c>
      <c r="C103" s="2"/>
      <c r="D103" s="2"/>
      <c r="E103" s="2"/>
      <c r="F103" s="196"/>
      <c r="G103" s="196"/>
      <c r="H103" s="224" t="s">
        <v>512</v>
      </c>
      <c r="I103" s="183" t="s">
        <v>127</v>
      </c>
      <c r="J103" s="722">
        <f>SUM(J99:J102)</f>
        <v>1.0870224400000001</v>
      </c>
      <c r="K103" s="958"/>
      <c r="L103" s="3" t="s">
        <v>157</v>
      </c>
      <c r="V103" s="185"/>
    </row>
    <row r="104" spans="1:22" ht="18" customHeight="1">
      <c r="A104" s="184"/>
      <c r="B104" s="47"/>
      <c r="C104" s="47"/>
      <c r="D104" s="47"/>
      <c r="E104" s="47"/>
      <c r="H104" s="27"/>
      <c r="I104" s="28"/>
      <c r="J104" s="199"/>
      <c r="L104" s="47"/>
      <c r="S104" s="27"/>
      <c r="V104" s="185"/>
    </row>
    <row r="105" spans="1:22" ht="18" customHeight="1">
      <c r="A105" s="258"/>
      <c r="B105" s="117" t="s">
        <v>712</v>
      </c>
      <c r="V105" s="185"/>
    </row>
    <row r="106" spans="1:22" ht="18" customHeight="1">
      <c r="A106" s="231"/>
      <c r="B106" s="5"/>
      <c r="C106" s="47" t="s">
        <v>713</v>
      </c>
      <c r="D106" s="14"/>
      <c r="E106" s="14"/>
      <c r="F106" s="14"/>
      <c r="G106" s="14"/>
      <c r="H106" s="279"/>
      <c r="I106" s="120"/>
      <c r="J106" s="279"/>
      <c r="K106" s="279"/>
      <c r="L106" s="14"/>
      <c r="M106" s="14"/>
      <c r="N106" s="14"/>
      <c r="O106" s="14"/>
      <c r="P106" s="14"/>
      <c r="Q106" s="120" t="s">
        <v>714</v>
      </c>
      <c r="R106" s="102" t="s">
        <v>127</v>
      </c>
      <c r="S106" s="689">
        <v>31500</v>
      </c>
      <c r="T106" s="689"/>
      <c r="U106" s="47" t="s">
        <v>8</v>
      </c>
      <c r="V106" s="97" t="s">
        <v>129</v>
      </c>
    </row>
    <row r="107" spans="1:22" ht="18" customHeight="1">
      <c r="A107" s="184"/>
      <c r="B107" s="5"/>
      <c r="C107" s="47" t="s">
        <v>545</v>
      </c>
      <c r="D107" s="14"/>
      <c r="E107" s="14"/>
      <c r="F107" s="18"/>
      <c r="G107" s="18"/>
      <c r="H107" s="279"/>
      <c r="I107" s="120"/>
      <c r="J107" s="279"/>
      <c r="K107" s="279"/>
      <c r="L107" s="14"/>
      <c r="M107" s="14"/>
      <c r="N107" s="14"/>
      <c r="O107" s="14"/>
      <c r="P107" s="14"/>
      <c r="Q107" s="120" t="s">
        <v>423</v>
      </c>
      <c r="R107" s="102" t="s">
        <v>127</v>
      </c>
      <c r="S107" s="689">
        <f>J91</f>
        <v>2000</v>
      </c>
      <c r="T107" s="689"/>
      <c r="U107" s="14" t="s">
        <v>8</v>
      </c>
      <c r="V107" s="185"/>
    </row>
    <row r="108" spans="1:22" ht="18" customHeight="1">
      <c r="A108" s="184"/>
      <c r="B108" s="5"/>
      <c r="C108" s="47" t="s">
        <v>715</v>
      </c>
      <c r="D108" s="14"/>
      <c r="E108" s="14"/>
      <c r="F108" s="18"/>
      <c r="G108" s="18"/>
      <c r="H108" s="279"/>
      <c r="I108" s="120"/>
      <c r="J108" s="279"/>
      <c r="K108" s="279"/>
      <c r="L108" s="14"/>
      <c r="M108" s="14"/>
      <c r="N108" s="14"/>
      <c r="O108" s="14"/>
      <c r="P108" s="14"/>
      <c r="Q108" s="120" t="s">
        <v>716</v>
      </c>
      <c r="R108" s="102" t="s">
        <v>127</v>
      </c>
      <c r="S108" s="689">
        <v>33</v>
      </c>
      <c r="T108" s="689"/>
      <c r="U108" s="14" t="s">
        <v>163</v>
      </c>
      <c r="V108" s="185"/>
    </row>
    <row r="109" spans="1:22" ht="18" customHeight="1">
      <c r="A109" s="184"/>
      <c r="B109" s="5"/>
      <c r="C109" s="47" t="s">
        <v>546</v>
      </c>
      <c r="D109" s="14"/>
      <c r="E109" s="14"/>
      <c r="F109" s="18"/>
      <c r="G109" s="18"/>
      <c r="H109" s="279"/>
      <c r="I109" s="120"/>
      <c r="J109" s="279"/>
      <c r="K109" s="279"/>
      <c r="L109" s="14"/>
      <c r="M109" s="14"/>
      <c r="N109" s="14"/>
      <c r="O109" s="14"/>
      <c r="P109" s="14"/>
      <c r="Q109" s="120" t="s">
        <v>473</v>
      </c>
      <c r="R109" s="102" t="s">
        <v>127</v>
      </c>
      <c r="S109" s="689">
        <f>J94</f>
        <v>500</v>
      </c>
      <c r="T109" s="689"/>
      <c r="U109" s="14" t="s">
        <v>305</v>
      </c>
      <c r="V109" s="185"/>
    </row>
    <row r="110" spans="1:22" ht="18" customHeight="1">
      <c r="A110" s="184"/>
      <c r="B110" s="5"/>
      <c r="C110" s="47" t="s">
        <v>717</v>
      </c>
      <c r="D110" s="14"/>
      <c r="E110" s="14"/>
      <c r="F110" s="18"/>
      <c r="G110" s="18"/>
      <c r="H110" s="279"/>
      <c r="I110" s="120"/>
      <c r="J110" s="279"/>
      <c r="K110" s="279"/>
      <c r="L110" s="14"/>
      <c r="M110" s="14"/>
      <c r="N110" s="14"/>
      <c r="O110" s="14"/>
      <c r="P110" s="14"/>
      <c r="Q110" s="120" t="s">
        <v>420</v>
      </c>
      <c r="R110" s="102" t="s">
        <v>127</v>
      </c>
      <c r="S110" s="692">
        <f>P102</f>
        <v>5</v>
      </c>
      <c r="T110" s="689"/>
      <c r="U110" s="14" t="s">
        <v>157</v>
      </c>
      <c r="V110" s="185"/>
    </row>
    <row r="111" spans="1:22" ht="18" customHeight="1">
      <c r="A111" s="184"/>
      <c r="B111" s="5"/>
      <c r="C111" s="47" t="s">
        <v>718</v>
      </c>
      <c r="D111" s="14"/>
      <c r="E111" s="14"/>
      <c r="F111" s="18"/>
      <c r="G111" s="18"/>
      <c r="H111" s="279"/>
      <c r="I111" s="120"/>
      <c r="J111" s="279"/>
      <c r="K111" s="279"/>
      <c r="L111" s="14"/>
      <c r="M111" s="14"/>
      <c r="N111" s="14"/>
      <c r="O111" s="14"/>
      <c r="P111" s="14"/>
      <c r="Q111" s="120" t="s">
        <v>522</v>
      </c>
      <c r="R111" s="102" t="s">
        <v>127</v>
      </c>
      <c r="S111" s="692">
        <f>J103</f>
        <v>1.0870224400000001</v>
      </c>
      <c r="T111" s="689"/>
      <c r="U111" s="14" t="s">
        <v>157</v>
      </c>
      <c r="V111" s="185"/>
    </row>
    <row r="112" spans="1:22" ht="18" customHeight="1">
      <c r="A112" s="168"/>
      <c r="B112" s="5"/>
      <c r="C112" s="47" t="s">
        <v>549</v>
      </c>
      <c r="D112" s="14"/>
      <c r="E112" s="14"/>
      <c r="F112" s="14"/>
      <c r="G112" s="14"/>
      <c r="H112" s="279"/>
      <c r="I112" s="120"/>
      <c r="J112" s="279"/>
      <c r="K112" s="279"/>
      <c r="L112" s="14"/>
      <c r="M112" s="14"/>
      <c r="N112" s="14"/>
      <c r="O112" s="14"/>
      <c r="P112" s="14"/>
      <c r="Q112" s="120" t="s">
        <v>714</v>
      </c>
      <c r="R112" s="102" t="s">
        <v>127</v>
      </c>
      <c r="S112" s="689">
        <f>O91</f>
        <v>1</v>
      </c>
      <c r="T112" s="689"/>
      <c r="U112" s="14" t="s">
        <v>8</v>
      </c>
      <c r="V112" s="185"/>
    </row>
    <row r="113" spans="1:25" ht="18" customHeight="1">
      <c r="A113" s="168"/>
      <c r="B113" s="5"/>
      <c r="C113" s="47" t="s">
        <v>719</v>
      </c>
      <c r="D113" s="14"/>
      <c r="E113" s="14"/>
      <c r="F113" s="14"/>
      <c r="G113" s="14"/>
      <c r="H113" s="279"/>
      <c r="I113" s="120"/>
      <c r="J113" s="279"/>
      <c r="K113" s="279"/>
      <c r="L113" s="14"/>
      <c r="M113" s="14"/>
      <c r="N113" s="14"/>
      <c r="O113" s="14"/>
      <c r="P113" s="14"/>
      <c r="Q113" s="120" t="s">
        <v>720</v>
      </c>
      <c r="R113" s="102" t="s">
        <v>127</v>
      </c>
      <c r="S113" s="689">
        <v>50</v>
      </c>
      <c r="T113" s="689"/>
      <c r="U113" s="47"/>
      <c r="V113" s="185"/>
    </row>
    <row r="114" spans="1:25" ht="18" customHeight="1">
      <c r="A114" s="168"/>
      <c r="C114" s="18" t="s">
        <v>721</v>
      </c>
      <c r="D114" s="14"/>
      <c r="E114" s="14"/>
      <c r="F114" s="14"/>
      <c r="G114" s="14"/>
      <c r="H114" s="14"/>
      <c r="I114" s="14"/>
      <c r="J114" s="14"/>
      <c r="K114" s="14"/>
      <c r="L114" s="14"/>
      <c r="M114" s="14"/>
      <c r="N114" s="14"/>
      <c r="O114" s="14"/>
      <c r="P114" s="14"/>
      <c r="Q114" s="14"/>
      <c r="R114" s="14"/>
      <c r="S114" s="14"/>
      <c r="T114" s="14"/>
      <c r="U114" s="14"/>
      <c r="V114" s="185"/>
      <c r="W114" s="279"/>
      <c r="X114" s="279"/>
      <c r="Y114" s="279"/>
    </row>
    <row r="115" spans="1:25" ht="18" customHeight="1">
      <c r="A115" s="168"/>
      <c r="C115" s="28"/>
      <c r="D115" s="47" t="s">
        <v>722</v>
      </c>
      <c r="E115" s="28"/>
      <c r="F115" s="28"/>
      <c r="G115" s="28"/>
      <c r="H115" s="14"/>
      <c r="I115" s="14"/>
      <c r="J115" s="28"/>
      <c r="K115" s="28"/>
      <c r="L115" s="28"/>
      <c r="M115" s="28"/>
      <c r="N115" s="47"/>
      <c r="O115" s="28"/>
      <c r="V115" s="185"/>
      <c r="X115" s="279"/>
      <c r="Y115" s="279"/>
    </row>
    <row r="116" spans="1:25" ht="18" customHeight="1">
      <c r="A116" s="168"/>
      <c r="D116" s="27"/>
      <c r="E116" s="27"/>
      <c r="F116" s="27"/>
      <c r="G116" s="27"/>
      <c r="I116" s="689" t="s">
        <v>723</v>
      </c>
      <c r="J116" s="689" t="s">
        <v>127</v>
      </c>
      <c r="K116" s="695" t="s">
        <v>714</v>
      </c>
      <c r="L116" s="695"/>
      <c r="M116" s="27"/>
      <c r="N116" s="296"/>
      <c r="O116" s="222"/>
      <c r="V116" s="185"/>
      <c r="X116" s="279"/>
      <c r="Y116" s="279"/>
    </row>
    <row r="117" spans="1:25" ht="18" customHeight="1">
      <c r="A117" s="168"/>
      <c r="D117" s="27"/>
      <c r="G117" s="27"/>
      <c r="I117" s="689"/>
      <c r="J117" s="689"/>
      <c r="K117" s="1289" t="s">
        <v>724</v>
      </c>
      <c r="L117" s="1289"/>
      <c r="V117" s="185"/>
    </row>
    <row r="118" spans="1:25" ht="18" customHeight="1">
      <c r="A118" s="184"/>
      <c r="B118" s="18" t="s">
        <v>725</v>
      </c>
      <c r="C118" s="14"/>
      <c r="V118" s="185"/>
    </row>
    <row r="119" spans="1:25" ht="18" customHeight="1">
      <c r="A119" s="184"/>
      <c r="B119" s="28"/>
      <c r="C119" s="372" t="s">
        <v>726</v>
      </c>
      <c r="D119" s="14"/>
      <c r="E119" s="14"/>
      <c r="F119" s="14"/>
      <c r="G119" s="14"/>
      <c r="H119" s="14"/>
      <c r="I119" s="14"/>
      <c r="J119" s="14"/>
      <c r="K119" s="14"/>
      <c r="L119" s="14"/>
      <c r="M119" s="14"/>
      <c r="N119" s="14"/>
      <c r="O119" s="14"/>
      <c r="P119" s="28"/>
      <c r="Q119" s="120"/>
      <c r="R119" s="14"/>
      <c r="S119" s="14"/>
      <c r="T119" s="14"/>
      <c r="U119" s="14"/>
      <c r="V119" s="185"/>
    </row>
    <row r="120" spans="1:25" ht="18" customHeight="1">
      <c r="A120" s="184"/>
      <c r="B120" s="28"/>
      <c r="C120" s="7" t="s">
        <v>727</v>
      </c>
      <c r="D120" s="14"/>
      <c r="E120" s="14"/>
      <c r="F120" s="14"/>
      <c r="G120" s="14"/>
      <c r="H120" s="14"/>
      <c r="K120" s="14"/>
      <c r="L120" s="28"/>
      <c r="M120" s="47"/>
      <c r="N120" s="14"/>
      <c r="O120" s="14"/>
      <c r="P120" s="14"/>
      <c r="Q120" s="14"/>
      <c r="R120" s="14"/>
      <c r="S120" s="14"/>
      <c r="T120" s="14"/>
      <c r="U120" s="14"/>
      <c r="V120" s="185"/>
    </row>
    <row r="121" spans="1:25" ht="18" customHeight="1">
      <c r="A121" s="184"/>
      <c r="B121" s="14" t="s">
        <v>728</v>
      </c>
      <c r="C121" s="7"/>
      <c r="D121" s="14"/>
      <c r="E121" s="14"/>
      <c r="F121" s="268"/>
      <c r="K121" s="28"/>
      <c r="L121" s="28"/>
      <c r="M121" s="281"/>
      <c r="N121" s="28"/>
      <c r="O121" s="47"/>
      <c r="P121" s="14"/>
      <c r="Q121" s="14"/>
      <c r="R121" s="14"/>
      <c r="S121" s="14"/>
      <c r="T121" s="14"/>
      <c r="U121" s="14"/>
      <c r="V121" s="185"/>
    </row>
    <row r="122" spans="1:25" ht="18" customHeight="1">
      <c r="A122" s="184"/>
      <c r="B122" s="14"/>
      <c r="C122" s="14" t="s">
        <v>729</v>
      </c>
      <c r="D122" s="47"/>
      <c r="E122" s="14"/>
      <c r="F122" s="268"/>
      <c r="K122" s="28"/>
      <c r="L122" s="28"/>
      <c r="M122" s="14"/>
      <c r="N122" s="14"/>
      <c r="O122" s="14"/>
      <c r="P122" s="14"/>
      <c r="Q122" s="14"/>
      <c r="R122" s="14"/>
      <c r="S122" s="14"/>
      <c r="T122" s="14"/>
      <c r="U122" s="14"/>
      <c r="V122" s="185"/>
    </row>
    <row r="123" spans="1:25" ht="18" customHeight="1">
      <c r="A123" s="184"/>
      <c r="B123" s="14"/>
      <c r="C123" s="7" t="s">
        <v>730</v>
      </c>
      <c r="D123" s="14"/>
      <c r="E123" s="14"/>
      <c r="F123" s="14"/>
      <c r="G123" s="14"/>
      <c r="H123" s="14"/>
      <c r="K123" s="28"/>
      <c r="L123" s="28"/>
      <c r="M123" s="47"/>
      <c r="N123" s="14"/>
      <c r="O123" s="14"/>
      <c r="P123" s="14"/>
      <c r="Q123" s="14"/>
      <c r="R123" s="14"/>
      <c r="S123" s="14"/>
      <c r="T123" s="14"/>
      <c r="U123" s="14"/>
      <c r="V123" s="185"/>
    </row>
    <row r="124" spans="1:25" ht="18" customHeight="1">
      <c r="A124" s="184"/>
      <c r="B124" s="14"/>
      <c r="C124" s="7" t="s">
        <v>731</v>
      </c>
      <c r="K124" s="28"/>
      <c r="L124" s="28"/>
      <c r="M124" s="28"/>
      <c r="O124" s="14"/>
      <c r="P124" s="28"/>
      <c r="Q124" s="278"/>
      <c r="R124" s="28"/>
      <c r="S124" s="14"/>
      <c r="T124" s="14"/>
      <c r="U124" s="14"/>
      <c r="V124" s="185"/>
    </row>
    <row r="125" spans="1:25" ht="18" customHeight="1">
      <c r="A125" s="452"/>
      <c r="B125" s="207"/>
      <c r="C125" s="207"/>
      <c r="D125" s="207"/>
      <c r="E125" s="207"/>
      <c r="F125" s="207"/>
      <c r="G125" s="207"/>
      <c r="H125" s="207"/>
      <c r="I125" s="207"/>
      <c r="J125" s="207"/>
      <c r="K125" s="259" t="s">
        <v>129</v>
      </c>
      <c r="L125" s="259" t="s">
        <v>732</v>
      </c>
      <c r="M125" s="190"/>
      <c r="N125" s="259"/>
      <c r="O125" s="259"/>
      <c r="P125" s="229"/>
      <c r="Q125" s="473"/>
      <c r="R125" s="229"/>
      <c r="S125" s="259"/>
      <c r="T125" s="259"/>
      <c r="U125" s="259"/>
      <c r="V125" s="453"/>
    </row>
    <row r="126" spans="1:25" s="14" customFormat="1" ht="18" customHeight="1">
      <c r="A126" s="194"/>
      <c r="B126" s="195"/>
      <c r="C126" s="195"/>
      <c r="D126" s="195"/>
      <c r="E126" s="195"/>
      <c r="F126" s="195"/>
      <c r="G126" s="195"/>
      <c r="H126" s="195"/>
      <c r="I126" s="195"/>
      <c r="J126" s="195"/>
      <c r="K126" s="195"/>
      <c r="L126" s="195"/>
      <c r="M126" s="195"/>
      <c r="N126" s="195"/>
      <c r="O126" s="195"/>
      <c r="P126" s="195"/>
      <c r="Q126" s="224"/>
      <c r="R126" s="182"/>
      <c r="S126" s="225"/>
      <c r="T126" s="195"/>
      <c r="U126" s="195"/>
      <c r="V126" s="134"/>
    </row>
    <row r="127" spans="1:25" ht="18" customHeight="1">
      <c r="A127" s="226"/>
      <c r="B127" s="273"/>
      <c r="C127" s="273"/>
      <c r="D127" s="227"/>
      <c r="E127" s="227"/>
      <c r="F127" s="227"/>
      <c r="G127" s="227"/>
      <c r="H127" s="227"/>
      <c r="I127" s="227"/>
      <c r="J127" s="227"/>
      <c r="K127" s="311"/>
      <c r="L127" s="311"/>
      <c r="M127" s="227"/>
      <c r="N127" s="227"/>
      <c r="O127" s="311"/>
      <c r="P127" s="311"/>
      <c r="Q127" s="138"/>
      <c r="R127" s="227"/>
      <c r="S127" s="227"/>
      <c r="T127" s="273"/>
      <c r="U127" s="273"/>
      <c r="V127" s="228"/>
    </row>
    <row r="128" spans="1:25" ht="18" customHeight="1">
      <c r="A128" s="96"/>
      <c r="B128" s="7" t="s">
        <v>733</v>
      </c>
      <c r="C128" s="7"/>
      <c r="D128" s="14"/>
      <c r="E128" s="7"/>
      <c r="F128" s="7"/>
      <c r="L128" s="27"/>
      <c r="O128" s="27"/>
      <c r="P128" s="27"/>
      <c r="Q128" s="28"/>
      <c r="T128" s="14"/>
      <c r="U128" s="14"/>
      <c r="V128" s="185"/>
    </row>
    <row r="129" spans="1:22" ht="18" customHeight="1">
      <c r="A129" s="96"/>
      <c r="B129" s="14"/>
      <c r="C129" s="7"/>
      <c r="D129" s="7"/>
      <c r="E129" s="14"/>
      <c r="F129" s="7"/>
      <c r="L129" s="27"/>
      <c r="M129" s="14"/>
      <c r="O129" s="14"/>
      <c r="P129" s="14"/>
      <c r="Q129" s="14"/>
      <c r="R129" s="14"/>
      <c r="S129" s="14"/>
      <c r="T129" s="14"/>
      <c r="U129" s="14"/>
      <c r="V129" s="185"/>
    </row>
    <row r="130" spans="1:22" ht="18" customHeight="1">
      <c r="A130" s="96"/>
      <c r="B130" s="14"/>
      <c r="C130" s="120" t="s">
        <v>734</v>
      </c>
      <c r="D130" s="28" t="s">
        <v>127</v>
      </c>
      <c r="E130" s="805">
        <f>S106</f>
        <v>31500</v>
      </c>
      <c r="F130" s="805"/>
      <c r="G130" s="14"/>
      <c r="H130" s="14"/>
      <c r="I130" s="102"/>
      <c r="J130" s="47"/>
      <c r="K130" s="47"/>
      <c r="L130" s="14"/>
      <c r="M130" s="14"/>
      <c r="N130" s="14"/>
      <c r="O130" s="14"/>
      <c r="P130" s="14"/>
      <c r="Q130" s="14"/>
      <c r="R130" s="14"/>
      <c r="S130" s="14"/>
      <c r="T130" s="14"/>
      <c r="U130" s="14"/>
      <c r="V130" s="185"/>
    </row>
    <row r="131" spans="1:22" ht="18" customHeight="1">
      <c r="A131" s="96"/>
      <c r="B131" s="14"/>
      <c r="C131" s="120"/>
      <c r="D131" s="28"/>
      <c r="E131" s="978" t="str">
        <f>"5 x "&amp;S107&amp;""</f>
        <v>5 x 2000</v>
      </c>
      <c r="F131" s="978"/>
      <c r="G131" s="28"/>
      <c r="H131" s="257"/>
      <c r="K131" s="28"/>
      <c r="L131" s="218"/>
      <c r="M131" s="257"/>
      <c r="O131" s="14"/>
      <c r="P131" s="14"/>
      <c r="Q131" s="14"/>
      <c r="R131" s="14"/>
      <c r="S131" s="14"/>
      <c r="T131" s="14"/>
      <c r="U131" s="14"/>
      <c r="V131" s="185"/>
    </row>
    <row r="132" spans="1:22" ht="18" customHeight="1">
      <c r="A132" s="96"/>
      <c r="J132" s="14"/>
      <c r="K132" s="257"/>
      <c r="M132" s="14"/>
      <c r="N132" s="14"/>
      <c r="O132" s="14"/>
      <c r="P132" s="14"/>
      <c r="Q132" s="14"/>
      <c r="R132" s="14"/>
      <c r="S132" s="14"/>
      <c r="T132" s="14"/>
      <c r="U132" s="14"/>
      <c r="V132" s="185"/>
    </row>
    <row r="133" spans="1:22" ht="18" customHeight="1">
      <c r="A133" s="96"/>
      <c r="C133" s="458" t="s">
        <v>734</v>
      </c>
      <c r="D133" s="182" t="s">
        <v>127</v>
      </c>
      <c r="E133" s="1288">
        <f>S106/5/S107</f>
        <v>3.15</v>
      </c>
      <c r="F133" s="722"/>
      <c r="G133" s="27"/>
      <c r="H133" s="27"/>
      <c r="I133" s="27"/>
      <c r="J133" s="120"/>
      <c r="K133" s="28"/>
      <c r="L133" s="120"/>
      <c r="M133" s="28"/>
      <c r="N133" s="120"/>
      <c r="O133" s="28"/>
      <c r="P133" s="120"/>
      <c r="Q133" s="296"/>
      <c r="V133" s="185"/>
    </row>
    <row r="134" spans="1:22" ht="18" customHeight="1">
      <c r="A134" s="96"/>
      <c r="C134" s="120"/>
      <c r="D134" s="28"/>
      <c r="E134" s="218"/>
      <c r="F134" s="218"/>
      <c r="G134" s="27"/>
      <c r="H134" s="27"/>
      <c r="I134" s="27"/>
      <c r="J134" s="120"/>
      <c r="K134" s="28"/>
      <c r="L134" s="120"/>
      <c r="M134" s="28"/>
      <c r="N134" s="120"/>
      <c r="O134" s="28"/>
      <c r="P134" s="120"/>
      <c r="Q134" s="296"/>
      <c r="V134" s="185"/>
    </row>
    <row r="135" spans="1:22" ht="18" customHeight="1">
      <c r="A135" s="96"/>
      <c r="B135" s="14" t="s">
        <v>735</v>
      </c>
      <c r="C135" s="14"/>
      <c r="D135" s="14"/>
      <c r="E135" s="7"/>
      <c r="F135" s="102"/>
      <c r="G135" s="7"/>
      <c r="H135" s="7"/>
      <c r="I135" s="239"/>
      <c r="J135" s="120"/>
      <c r="K135" s="28"/>
      <c r="L135" s="120"/>
      <c r="M135" s="28"/>
      <c r="N135" s="120"/>
      <c r="O135" s="28"/>
      <c r="P135" s="120"/>
      <c r="Q135" s="296"/>
      <c r="V135" s="185"/>
    </row>
    <row r="136" spans="1:22" ht="18" customHeight="1">
      <c r="A136" s="96"/>
      <c r="C136" s="14"/>
      <c r="D136" s="14"/>
      <c r="E136" s="689" t="s">
        <v>736</v>
      </c>
      <c r="F136" s="689">
        <v>1</v>
      </c>
      <c r="G136" s="689"/>
      <c r="H136" s="689" t="s">
        <v>312</v>
      </c>
      <c r="I136" s="459" t="s">
        <v>312</v>
      </c>
      <c r="J136" s="120"/>
      <c r="K136" s="28"/>
      <c r="L136" s="120"/>
      <c r="M136" s="28"/>
      <c r="N136" s="120"/>
      <c r="O136" s="28"/>
      <c r="P136" s="120"/>
      <c r="Q136" s="296"/>
      <c r="V136" s="185"/>
    </row>
    <row r="137" spans="1:22" ht="18" customHeight="1">
      <c r="A137" s="96"/>
      <c r="C137" s="14"/>
      <c r="D137" s="14"/>
      <c r="E137" s="723"/>
      <c r="F137" s="273"/>
      <c r="G137" s="274" t="s">
        <v>737</v>
      </c>
      <c r="H137" s="689"/>
      <c r="I137" s="14" t="s">
        <v>141</v>
      </c>
      <c r="J137" s="120"/>
      <c r="K137" s="28"/>
      <c r="L137" s="120"/>
      <c r="M137" s="28"/>
      <c r="N137" s="120"/>
      <c r="O137" s="28"/>
      <c r="P137" s="120"/>
      <c r="Q137" s="296"/>
      <c r="V137" s="185"/>
    </row>
    <row r="138" spans="1:22" ht="18" customHeight="1">
      <c r="A138" s="96"/>
      <c r="C138" s="120"/>
      <c r="D138" s="28"/>
      <c r="E138" s="218"/>
      <c r="F138" s="218"/>
      <c r="G138" s="27"/>
      <c r="H138" s="27"/>
      <c r="I138" s="27"/>
      <c r="J138" s="120"/>
      <c r="K138" s="28"/>
      <c r="L138" s="120"/>
      <c r="M138" s="28"/>
      <c r="N138" s="120"/>
      <c r="O138" s="28"/>
      <c r="P138" s="120"/>
      <c r="Q138" s="296"/>
      <c r="V138" s="185"/>
    </row>
    <row r="139" spans="1:22" ht="18" customHeight="1">
      <c r="A139" s="96"/>
      <c r="B139" s="30" t="s">
        <v>959</v>
      </c>
      <c r="J139" s="120"/>
      <c r="K139" s="28"/>
      <c r="L139" s="120"/>
      <c r="M139" s="28"/>
      <c r="N139" s="121" t="s">
        <v>127</v>
      </c>
      <c r="O139" s="47">
        <v>15</v>
      </c>
      <c r="P139" s="120"/>
      <c r="Q139" s="296"/>
      <c r="V139" s="185"/>
    </row>
    <row r="140" spans="1:22" ht="18" customHeight="1">
      <c r="A140" s="184"/>
      <c r="C140" s="120"/>
      <c r="D140" s="28"/>
      <c r="E140" s="218"/>
      <c r="F140" s="218"/>
      <c r="G140" s="27"/>
      <c r="H140" s="27"/>
      <c r="I140" s="27"/>
      <c r="J140" s="120"/>
      <c r="K140" s="28"/>
      <c r="L140" s="120"/>
      <c r="M140" s="28"/>
      <c r="N140" s="120"/>
      <c r="O140" s="28"/>
      <c r="P140" s="120"/>
      <c r="Q140" s="296"/>
      <c r="V140" s="185"/>
    </row>
    <row r="141" spans="1:22" ht="18" customHeight="1">
      <c r="A141" s="96"/>
      <c r="C141" s="120"/>
      <c r="F141" s="708">
        <v>1</v>
      </c>
      <c r="G141" s="708"/>
      <c r="H141" s="708"/>
      <c r="I141" s="27"/>
      <c r="J141" s="689" t="s">
        <v>315</v>
      </c>
      <c r="K141" s="1286">
        <f>O139</f>
        <v>15</v>
      </c>
      <c r="L141" s="120"/>
      <c r="M141" s="28"/>
      <c r="N141" s="120"/>
      <c r="O141" s="28"/>
      <c r="P141" s="120"/>
      <c r="Q141" s="296"/>
      <c r="V141" s="185"/>
    </row>
    <row r="142" spans="1:22" ht="18" customHeight="1">
      <c r="A142" s="184"/>
      <c r="C142" s="120"/>
      <c r="D142" s="120" t="s">
        <v>738</v>
      </c>
      <c r="E142" s="102" t="s">
        <v>127</v>
      </c>
      <c r="F142" s="14" t="s">
        <v>739</v>
      </c>
      <c r="I142" s="27"/>
      <c r="J142" s="684"/>
      <c r="K142" s="1251"/>
      <c r="L142" s="120"/>
      <c r="M142" s="28"/>
      <c r="N142" s="120"/>
      <c r="O142" s="28"/>
      <c r="P142" s="120"/>
      <c r="Q142" s="296"/>
      <c r="V142" s="185"/>
    </row>
    <row r="143" spans="1:22" ht="18" customHeight="1">
      <c r="A143" s="184"/>
      <c r="C143" s="120"/>
      <c r="D143" s="28"/>
      <c r="E143" s="218" t="s">
        <v>127</v>
      </c>
      <c r="F143" s="1287">
        <f>1*O139/(2*3.14*50)</f>
        <v>4.7770700636942678E-2</v>
      </c>
      <c r="G143" s="1287"/>
      <c r="H143" s="28" t="s">
        <v>740</v>
      </c>
      <c r="I143" s="27"/>
      <c r="J143" s="120"/>
      <c r="K143" s="28"/>
      <c r="L143" s="120"/>
      <c r="M143" s="28"/>
      <c r="N143" s="120"/>
      <c r="O143" s="28"/>
      <c r="P143" s="120"/>
      <c r="Q143" s="296"/>
      <c r="V143" s="185"/>
    </row>
    <row r="144" spans="1:22" ht="18" customHeight="1">
      <c r="A144" s="184"/>
      <c r="C144" s="120"/>
      <c r="D144" s="120" t="s">
        <v>738</v>
      </c>
      <c r="E144" s="218" t="s">
        <v>127</v>
      </c>
      <c r="F144" s="1188">
        <f>F143*1000</f>
        <v>47.770700636942678</v>
      </c>
      <c r="G144" s="1188"/>
      <c r="H144" s="28" t="s">
        <v>343</v>
      </c>
      <c r="I144" s="27"/>
      <c r="J144" s="120"/>
      <c r="K144" s="28"/>
      <c r="L144" s="120"/>
      <c r="M144" s="28"/>
      <c r="N144" s="120"/>
      <c r="O144" s="28"/>
      <c r="P144" s="120"/>
      <c r="Q144" s="296"/>
      <c r="V144" s="185"/>
    </row>
    <row r="145" spans="1:22" ht="18" customHeight="1">
      <c r="A145" s="184"/>
      <c r="B145" s="14" t="s">
        <v>741</v>
      </c>
      <c r="E145" s="28" t="s">
        <v>127</v>
      </c>
      <c r="F145" s="27">
        <v>10</v>
      </c>
      <c r="G145" s="27"/>
      <c r="H145" s="245"/>
      <c r="I145" s="245"/>
      <c r="J145" s="460"/>
      <c r="K145" s="245"/>
      <c r="L145" s="460"/>
      <c r="M145" s="245"/>
      <c r="N145" s="460"/>
      <c r="O145" s="245"/>
      <c r="P145" s="460"/>
      <c r="Q145" s="461"/>
      <c r="V145" s="185"/>
    </row>
    <row r="146" spans="1:22" ht="18" customHeight="1">
      <c r="A146" s="184"/>
      <c r="G146" s="27"/>
      <c r="H146" s="245"/>
      <c r="I146" s="245"/>
      <c r="J146" s="460"/>
      <c r="K146" s="245"/>
      <c r="L146" s="460"/>
      <c r="M146" s="245"/>
      <c r="N146" s="460"/>
      <c r="O146" s="245"/>
      <c r="P146" s="460"/>
      <c r="Q146" s="461"/>
      <c r="V146" s="185"/>
    </row>
    <row r="147" spans="1:22" ht="18" customHeight="1">
      <c r="A147" s="184"/>
      <c r="B147" s="7" t="s">
        <v>742</v>
      </c>
      <c r="F147" s="7"/>
      <c r="G147" s="7"/>
      <c r="H147" s="204"/>
      <c r="I147" s="204"/>
      <c r="V147" s="185"/>
    </row>
    <row r="148" spans="1:22" ht="18" customHeight="1">
      <c r="A148" s="184"/>
      <c r="B148" s="7"/>
      <c r="E148" s="14" t="s">
        <v>754</v>
      </c>
      <c r="F148" s="7"/>
      <c r="G148" s="7"/>
      <c r="V148" s="185"/>
    </row>
    <row r="149" spans="1:22" ht="18" customHeight="1">
      <c r="A149" s="184"/>
      <c r="B149" s="14" t="s">
        <v>744</v>
      </c>
      <c r="C149" s="14"/>
      <c r="D149" s="14"/>
      <c r="E149" s="14"/>
      <c r="F149" s="14"/>
      <c r="G149" s="120"/>
      <c r="H149" s="120"/>
      <c r="V149" s="185"/>
    </row>
    <row r="150" spans="1:22" ht="18" customHeight="1">
      <c r="A150" s="184"/>
      <c r="B150" s="14"/>
      <c r="C150" s="120" t="s">
        <v>745</v>
      </c>
      <c r="D150" s="28" t="s">
        <v>127</v>
      </c>
      <c r="E150" s="1188">
        <f>MAX(E133,F145)</f>
        <v>10</v>
      </c>
      <c r="F150" s="1188"/>
      <c r="G150" s="47" t="s">
        <v>746</v>
      </c>
      <c r="H150" s="120"/>
      <c r="V150" s="185"/>
    </row>
    <row r="151" spans="1:22" ht="18" customHeight="1">
      <c r="A151" s="184"/>
      <c r="B151" s="7"/>
      <c r="E151" s="14"/>
      <c r="F151" s="7"/>
      <c r="G151" s="7"/>
      <c r="V151" s="185"/>
    </row>
    <row r="152" spans="1:22" ht="18" customHeight="1">
      <c r="A152" s="184"/>
      <c r="B152" s="47" t="s">
        <v>747</v>
      </c>
      <c r="E152" s="14"/>
      <c r="F152" s="7"/>
      <c r="G152" s="7"/>
      <c r="V152" s="185"/>
    </row>
    <row r="153" spans="1:22" ht="18" customHeight="1">
      <c r="A153" s="184"/>
      <c r="B153" s="47" t="s">
        <v>748</v>
      </c>
      <c r="E153" s="14"/>
      <c r="F153" s="7"/>
      <c r="G153" s="7"/>
      <c r="V153" s="185"/>
    </row>
    <row r="154" spans="1:22" ht="18" customHeight="1" thickBot="1">
      <c r="A154" s="184"/>
      <c r="B154" s="102" t="s">
        <v>127</v>
      </c>
      <c r="C154" s="120">
        <f>E150</f>
        <v>10</v>
      </c>
      <c r="D154" s="28" t="s">
        <v>315</v>
      </c>
      <c r="E154" s="28" t="s">
        <v>419</v>
      </c>
      <c r="F154" s="692">
        <f>S110</f>
        <v>5</v>
      </c>
      <c r="G154" s="692"/>
      <c r="H154" s="102" t="s">
        <v>347</v>
      </c>
      <c r="I154" s="218">
        <f>S111</f>
        <v>1.0870224400000001</v>
      </c>
      <c r="J154" s="240" t="s">
        <v>347</v>
      </c>
      <c r="K154" s="281">
        <f>J99</f>
        <v>0.01</v>
      </c>
      <c r="L154" s="14" t="s">
        <v>350</v>
      </c>
      <c r="M154" s="14" t="s">
        <v>315</v>
      </c>
      <c r="N154" s="28">
        <v>1</v>
      </c>
      <c r="V154" s="185"/>
    </row>
    <row r="155" spans="1:22" ht="18" customHeight="1" thickBot="1">
      <c r="A155" s="184"/>
      <c r="B155" s="462" t="s">
        <v>528</v>
      </c>
      <c r="C155" s="463" t="s">
        <v>127</v>
      </c>
      <c r="D155" s="464">
        <f>C154*(F154+I154+K154)*N154</f>
        <v>60.970224399999999</v>
      </c>
      <c r="E155" s="14" t="s">
        <v>305</v>
      </c>
      <c r="F155" s="7"/>
      <c r="G155" s="7"/>
      <c r="V155" s="185"/>
    </row>
    <row r="156" spans="1:22" ht="18" customHeight="1">
      <c r="A156" s="184"/>
      <c r="B156" s="7"/>
      <c r="E156" s="14"/>
      <c r="F156" s="7"/>
      <c r="G156" s="7"/>
      <c r="V156" s="185"/>
    </row>
    <row r="157" spans="1:22" ht="18" customHeight="1">
      <c r="A157" s="184"/>
      <c r="B157" s="47" t="s">
        <v>749</v>
      </c>
      <c r="E157" s="14"/>
      <c r="F157" s="7"/>
      <c r="G157" s="7"/>
      <c r="J157" s="14" t="s">
        <v>750</v>
      </c>
      <c r="L157" s="28" t="s">
        <v>476</v>
      </c>
      <c r="N157" s="14" t="s">
        <v>751</v>
      </c>
      <c r="V157" s="185"/>
    </row>
    <row r="158" spans="1:22" ht="18" customHeight="1">
      <c r="A158" s="184"/>
      <c r="B158" s="7"/>
      <c r="E158" s="14"/>
      <c r="F158" s="7"/>
      <c r="G158" s="7"/>
      <c r="L158" s="28" t="s">
        <v>127</v>
      </c>
      <c r="N158" s="1251">
        <f>0.8*D155</f>
        <v>48.776179519999999</v>
      </c>
      <c r="O158" s="1251"/>
      <c r="V158" s="185"/>
    </row>
    <row r="159" spans="1:22" ht="18" customHeight="1">
      <c r="A159" s="184"/>
      <c r="B159" s="7"/>
      <c r="E159" s="14"/>
      <c r="F159" s="14" t="s">
        <v>752</v>
      </c>
      <c r="G159" s="7"/>
      <c r="L159" s="28" t="s">
        <v>127</v>
      </c>
      <c r="N159" s="1072">
        <f>N158*1.2</f>
        <v>58.531415423999995</v>
      </c>
      <c r="O159" s="1072"/>
      <c r="V159" s="185"/>
    </row>
    <row r="160" spans="1:22" ht="18" customHeight="1">
      <c r="A160" s="184"/>
      <c r="B160" s="7"/>
      <c r="E160" s="14"/>
      <c r="F160" s="7"/>
      <c r="G160" s="7"/>
      <c r="K160" s="199" t="s">
        <v>475</v>
      </c>
      <c r="L160" s="28" t="str">
        <f>IF(J161&gt;M161,"&gt;","&lt;")</f>
        <v>&gt;</v>
      </c>
      <c r="M160" s="257" t="s">
        <v>477</v>
      </c>
      <c r="O160" s="18"/>
      <c r="P160" s="268"/>
      <c r="V160" s="185"/>
    </row>
    <row r="161" spans="1:22" ht="18" customHeight="1">
      <c r="A161" s="184"/>
      <c r="D161" s="211"/>
      <c r="E161" s="211"/>
      <c r="F161" s="27"/>
      <c r="G161" s="211"/>
      <c r="J161" s="795">
        <f>S109</f>
        <v>500</v>
      </c>
      <c r="K161" s="795"/>
      <c r="L161" s="27" t="str">
        <f>IF(J161&gt;=M161,"&gt;","&lt;")</f>
        <v>&gt;</v>
      </c>
      <c r="M161" s="795">
        <f>N159</f>
        <v>58.531415423999995</v>
      </c>
      <c r="N161" s="795"/>
      <c r="P161" s="268"/>
      <c r="V161" s="185"/>
    </row>
    <row r="162" spans="1:22" ht="18" customHeight="1">
      <c r="A162" s="184"/>
      <c r="K162" s="244" t="s">
        <v>478</v>
      </c>
      <c r="M162" s="18" t="str">
        <f>IF(J161&gt;M161,"Suitably Dimensioned","Under Dimensioned")</f>
        <v>Suitably Dimensioned</v>
      </c>
      <c r="V162" s="185"/>
    </row>
    <row r="163" spans="1:22" ht="18" customHeight="1">
      <c r="A163" s="184"/>
      <c r="K163" s="244"/>
      <c r="M163" s="18"/>
      <c r="V163" s="185"/>
    </row>
    <row r="164" spans="1:22" ht="18" customHeight="1">
      <c r="A164" s="184"/>
      <c r="K164" s="244"/>
      <c r="M164" s="18"/>
      <c r="V164" s="185"/>
    </row>
    <row r="165" spans="1:22" ht="18" customHeight="1">
      <c r="A165" s="184"/>
      <c r="V165" s="185"/>
    </row>
    <row r="166" spans="1:22" ht="18" hidden="1" customHeight="1">
      <c r="A166" s="184"/>
      <c r="V166" s="185"/>
    </row>
    <row r="167" spans="1:22" ht="18" hidden="1" customHeight="1">
      <c r="A167" s="184"/>
      <c r="V167" s="185"/>
    </row>
    <row r="168" spans="1:22" ht="18" hidden="1" customHeight="1">
      <c r="A168" s="452"/>
      <c r="B168" s="207"/>
      <c r="C168" s="207"/>
      <c r="D168" s="207"/>
      <c r="E168" s="207"/>
      <c r="F168" s="207"/>
      <c r="G168" s="207"/>
      <c r="H168" s="207"/>
      <c r="I168" s="207"/>
      <c r="J168" s="207"/>
      <c r="K168" s="207"/>
      <c r="L168" s="207"/>
      <c r="M168" s="207"/>
      <c r="N168" s="207"/>
      <c r="O168" s="207"/>
      <c r="P168" s="207"/>
      <c r="Q168" s="207"/>
      <c r="R168" s="207"/>
      <c r="S168" s="207"/>
      <c r="T168" s="207"/>
      <c r="U168" s="207"/>
      <c r="V168" s="453"/>
    </row>
    <row r="169" spans="1:22" s="14" customFormat="1" ht="18" hidden="1" customHeight="1">
      <c r="A169" s="194"/>
      <c r="B169" s="195"/>
      <c r="C169" s="195"/>
      <c r="D169" s="195"/>
      <c r="E169" s="195"/>
      <c r="F169" s="195"/>
      <c r="G169" s="195"/>
      <c r="H169" s="195"/>
      <c r="I169" s="195"/>
      <c r="J169" s="195"/>
      <c r="K169" s="195"/>
      <c r="L169" s="195"/>
      <c r="M169" s="195"/>
      <c r="N169" s="195"/>
      <c r="O169" s="195"/>
      <c r="P169" s="195"/>
      <c r="Q169" s="224"/>
      <c r="R169" s="182"/>
      <c r="S169" s="225"/>
      <c r="T169" s="195"/>
      <c r="U169" s="195"/>
      <c r="V169" s="134"/>
    </row>
    <row r="170" spans="1:22" ht="18" hidden="1" customHeight="1">
      <c r="A170" s="226"/>
      <c r="B170" s="227"/>
      <c r="C170" s="227"/>
      <c r="D170" s="227"/>
      <c r="E170" s="227"/>
      <c r="F170" s="227"/>
      <c r="G170" s="227"/>
      <c r="H170" s="227"/>
      <c r="I170" s="227"/>
      <c r="J170" s="227"/>
      <c r="K170" s="227"/>
      <c r="L170" s="227"/>
      <c r="M170" s="227"/>
      <c r="N170" s="227"/>
      <c r="O170" s="227"/>
      <c r="P170" s="227"/>
      <c r="Q170" s="227"/>
      <c r="R170" s="227"/>
      <c r="S170" s="227"/>
      <c r="T170" s="227"/>
      <c r="U170" s="227"/>
      <c r="V170" s="228"/>
    </row>
    <row r="171" spans="1:22" ht="18" hidden="1" customHeight="1">
      <c r="A171" s="184"/>
      <c r="B171" s="854" t="str">
        <f>B88</f>
        <v>T1</v>
      </c>
      <c r="C171" s="831"/>
      <c r="D171" s="854" t="str">
        <f>D88</f>
        <v>Core4</v>
      </c>
      <c r="E171" s="831"/>
      <c r="F171" s="455"/>
      <c r="H171" s="684" t="str">
        <f>H88</f>
        <v>(MAIN-1 BBP+BFP)</v>
      </c>
      <c r="I171" s="684"/>
      <c r="J171" s="684"/>
      <c r="K171" s="684"/>
      <c r="L171" s="684"/>
      <c r="M171" s="684"/>
      <c r="P171" s="186"/>
      <c r="S171" s="187" t="s">
        <v>387</v>
      </c>
      <c r="T171" s="854" t="str">
        <f>T88</f>
        <v>REB500</v>
      </c>
      <c r="U171" s="831"/>
      <c r="V171" s="185"/>
    </row>
    <row r="172" spans="1:22" ht="18" hidden="1" customHeight="1">
      <c r="A172" s="456"/>
      <c r="F172" s="455"/>
      <c r="T172" s="854">
        <f>T89</f>
        <v>0</v>
      </c>
      <c r="U172" s="831"/>
      <c r="V172" s="185"/>
    </row>
    <row r="173" spans="1:22" ht="18" hidden="1" customHeight="1">
      <c r="A173" s="184"/>
      <c r="H173" s="708" t="s">
        <v>390</v>
      </c>
      <c r="I173" s="708"/>
      <c r="J173" s="708" t="s">
        <v>391</v>
      </c>
      <c r="K173" s="708"/>
      <c r="L173" s="789" t="s">
        <v>392</v>
      </c>
      <c r="M173" s="789"/>
      <c r="T173" s="854">
        <f>T90</f>
        <v>0</v>
      </c>
      <c r="U173" s="831"/>
      <c r="V173" s="185"/>
    </row>
    <row r="174" spans="1:22" ht="18" hidden="1" customHeight="1">
      <c r="A174" s="184"/>
      <c r="B174" s="47" t="s">
        <v>393</v>
      </c>
      <c r="H174" s="854">
        <f>H91</f>
        <v>3200</v>
      </c>
      <c r="I174" s="831"/>
      <c r="J174" s="854">
        <f>J91</f>
        <v>2000</v>
      </c>
      <c r="K174" s="831"/>
      <c r="L174" s="863" t="str">
        <f>L91</f>
        <v>-</v>
      </c>
      <c r="M174" s="864"/>
      <c r="N174" s="191" t="s">
        <v>342</v>
      </c>
      <c r="O174" s="256">
        <f>O91</f>
        <v>1</v>
      </c>
      <c r="P174" s="27" t="s">
        <v>8</v>
      </c>
      <c r="R174" s="255"/>
      <c r="S174" s="255"/>
      <c r="V174" s="185"/>
    </row>
    <row r="175" spans="1:22" ht="18" hidden="1" customHeight="1">
      <c r="A175" s="184"/>
      <c r="B175" s="47" t="s">
        <v>394</v>
      </c>
      <c r="H175" s="14"/>
      <c r="K175" s="14"/>
      <c r="L175" s="854" t="str">
        <f>J92</f>
        <v>PX</v>
      </c>
      <c r="M175" s="831"/>
      <c r="N175" s="14"/>
      <c r="V175" s="185"/>
    </row>
    <row r="176" spans="1:22" ht="18" hidden="1" customHeight="1">
      <c r="A176" s="184"/>
      <c r="B176" s="47" t="s">
        <v>396</v>
      </c>
      <c r="K176" s="120" t="s">
        <v>497</v>
      </c>
      <c r="L176" s="781" t="s">
        <v>6</v>
      </c>
      <c r="M176" s="782"/>
      <c r="N176" s="192" t="s">
        <v>333</v>
      </c>
      <c r="V176" s="185"/>
    </row>
    <row r="177" spans="1:23" ht="18" hidden="1" customHeight="1">
      <c r="A177" s="184"/>
      <c r="B177" s="47" t="s">
        <v>398</v>
      </c>
      <c r="K177" s="120" t="s">
        <v>498</v>
      </c>
      <c r="L177" s="781" t="s">
        <v>6</v>
      </c>
      <c r="M177" s="782"/>
      <c r="N177" s="14" t="s">
        <v>305</v>
      </c>
      <c r="V177" s="185"/>
      <c r="W177" s="30" t="e">
        <f>G237</f>
        <v>#VALUE!</v>
      </c>
    </row>
    <row r="178" spans="1:23" ht="18" hidden="1" customHeight="1">
      <c r="A178" s="184"/>
      <c r="B178" s="14" t="s">
        <v>401</v>
      </c>
      <c r="K178" s="120" t="s">
        <v>402</v>
      </c>
      <c r="L178" s="781" t="s">
        <v>6</v>
      </c>
      <c r="M178" s="782"/>
      <c r="N178" s="14" t="s">
        <v>403</v>
      </c>
      <c r="V178" s="185"/>
    </row>
    <row r="179" spans="1:23" ht="18" hidden="1" customHeight="1">
      <c r="A179" s="184"/>
      <c r="V179" s="185"/>
    </row>
    <row r="180" spans="1:23" ht="18" hidden="1" customHeight="1">
      <c r="A180" s="193" t="s">
        <v>404</v>
      </c>
      <c r="V180" s="185"/>
    </row>
    <row r="181" spans="1:23" ht="18" hidden="1" customHeight="1">
      <c r="A181" s="184"/>
      <c r="V181" s="185"/>
    </row>
    <row r="182" spans="1:23" ht="18" hidden="1" customHeight="1">
      <c r="A182" s="184"/>
      <c r="B182" s="135" t="s">
        <v>405</v>
      </c>
      <c r="C182" s="273"/>
      <c r="D182" s="139" t="str">
        <f>T171</f>
        <v>REB500</v>
      </c>
      <c r="E182" s="227"/>
      <c r="F182" s="227"/>
      <c r="G182" s="227"/>
      <c r="H182" s="138"/>
      <c r="I182" s="260" t="s">
        <v>127</v>
      </c>
      <c r="J182" s="722">
        <f>J99</f>
        <v>0.01</v>
      </c>
      <c r="K182" s="958"/>
      <c r="L182" s="3" t="s">
        <v>157</v>
      </c>
      <c r="N182" s="197" t="s">
        <v>510</v>
      </c>
      <c r="V182" s="185"/>
    </row>
    <row r="183" spans="1:23" ht="18" hidden="1" customHeight="1">
      <c r="A183" s="184"/>
      <c r="B183" s="96" t="s">
        <v>405</v>
      </c>
      <c r="C183" s="14"/>
      <c r="D183" s="47">
        <f>T172</f>
        <v>0</v>
      </c>
      <c r="H183" s="28"/>
      <c r="I183" s="101" t="s">
        <v>127</v>
      </c>
      <c r="J183" s="722">
        <f>J100</f>
        <v>0</v>
      </c>
      <c r="K183" s="958"/>
      <c r="L183" s="3" t="s">
        <v>157</v>
      </c>
      <c r="N183" s="120" t="s">
        <v>491</v>
      </c>
      <c r="O183" s="27" t="s">
        <v>127</v>
      </c>
      <c r="P183" s="27" t="s">
        <v>511</v>
      </c>
      <c r="Q183" s="27" t="s">
        <v>315</v>
      </c>
      <c r="R183" s="27" t="s">
        <v>511</v>
      </c>
      <c r="S183" s="27" t="s">
        <v>315</v>
      </c>
      <c r="T183" s="27" t="s">
        <v>420</v>
      </c>
      <c r="V183" s="185"/>
    </row>
    <row r="184" spans="1:23" ht="18" hidden="1" customHeight="1">
      <c r="A184" s="184"/>
      <c r="B184" s="96" t="s">
        <v>405</v>
      </c>
      <c r="C184" s="14"/>
      <c r="D184" s="47">
        <f>T173</f>
        <v>0</v>
      </c>
      <c r="H184" s="28"/>
      <c r="I184" s="101" t="s">
        <v>127</v>
      </c>
      <c r="J184" s="722">
        <f>J101</f>
        <v>0</v>
      </c>
      <c r="K184" s="958"/>
      <c r="L184" s="3" t="s">
        <v>157</v>
      </c>
      <c r="N184" s="27"/>
      <c r="O184" s="27" t="s">
        <v>127</v>
      </c>
      <c r="P184" s="27">
        <f>O174</f>
        <v>1</v>
      </c>
      <c r="Q184" s="27" t="s">
        <v>315</v>
      </c>
      <c r="R184" s="27">
        <f>O174</f>
        <v>1</v>
      </c>
      <c r="S184" s="27" t="s">
        <v>315</v>
      </c>
      <c r="T184" s="27" t="str">
        <f>L176</f>
        <v>-</v>
      </c>
      <c r="V184" s="185"/>
    </row>
    <row r="185" spans="1:23" ht="18" hidden="1" customHeight="1">
      <c r="A185" s="184"/>
      <c r="B185" s="452" t="s">
        <v>412</v>
      </c>
      <c r="C185" s="259"/>
      <c r="D185" s="259"/>
      <c r="E185" s="259"/>
      <c r="F185" s="207"/>
      <c r="G185" s="207"/>
      <c r="H185" s="190"/>
      <c r="I185" s="208" t="s">
        <v>127</v>
      </c>
      <c r="J185" s="1120">
        <f>J102</f>
        <v>1.0770224400000001</v>
      </c>
      <c r="K185" s="987"/>
      <c r="L185" s="297" t="s">
        <v>157</v>
      </c>
      <c r="O185" s="27" t="s">
        <v>127</v>
      </c>
      <c r="P185" s="795" t="e">
        <f>P184*R184*T184</f>
        <v>#VALUE!</v>
      </c>
      <c r="Q185" s="684"/>
      <c r="R185" s="27" t="s">
        <v>157</v>
      </c>
      <c r="V185" s="185"/>
    </row>
    <row r="186" spans="1:23" ht="18" hidden="1" customHeight="1">
      <c r="A186" s="184"/>
      <c r="B186" s="1" t="s">
        <v>413</v>
      </c>
      <c r="C186" s="2"/>
      <c r="D186" s="2"/>
      <c r="E186" s="2"/>
      <c r="F186" s="196"/>
      <c r="G186" s="196"/>
      <c r="H186" s="224" t="s">
        <v>512</v>
      </c>
      <c r="I186" s="183" t="s">
        <v>127</v>
      </c>
      <c r="J186" s="722">
        <f>SUM(J182:J185)</f>
        <v>1.0870224400000001</v>
      </c>
      <c r="K186" s="958"/>
      <c r="L186" s="3" t="s">
        <v>157</v>
      </c>
      <c r="V186" s="185"/>
    </row>
    <row r="187" spans="1:23" ht="18" hidden="1" customHeight="1">
      <c r="A187" s="184"/>
      <c r="B187" s="47"/>
      <c r="C187" s="47"/>
      <c r="D187" s="47"/>
      <c r="E187" s="47"/>
      <c r="H187" s="27"/>
      <c r="I187" s="28"/>
      <c r="J187" s="199"/>
      <c r="L187" s="47"/>
      <c r="S187" s="27"/>
      <c r="V187" s="185"/>
    </row>
    <row r="188" spans="1:23" ht="18" hidden="1" customHeight="1">
      <c r="A188" s="1206" t="s">
        <v>536</v>
      </c>
      <c r="B188" s="1207"/>
      <c r="C188" s="1207"/>
      <c r="D188" s="1207"/>
      <c r="E188" s="1207"/>
      <c r="F188" s="1207"/>
      <c r="G188" s="1207"/>
      <c r="H188" s="1207"/>
      <c r="I188" s="1207"/>
      <c r="J188" s="1207"/>
      <c r="K188" s="1207"/>
      <c r="L188" s="1207"/>
      <c r="M188" s="1207"/>
      <c r="N188" s="1207"/>
      <c r="O188" s="1207"/>
      <c r="P188" s="1207"/>
      <c r="Q188" s="1207"/>
      <c r="R188" s="1207"/>
      <c r="S188" s="1207"/>
      <c r="T188" s="1207"/>
      <c r="U188" s="1207"/>
      <c r="V188" s="1208"/>
    </row>
    <row r="189" spans="1:23" ht="18" hidden="1" customHeight="1">
      <c r="A189" s="1209"/>
      <c r="B189" s="1207"/>
      <c r="C189" s="1207"/>
      <c r="D189" s="1207"/>
      <c r="E189" s="1207"/>
      <c r="F189" s="1207"/>
      <c r="G189" s="1207"/>
      <c r="H189" s="1207"/>
      <c r="I189" s="1207"/>
      <c r="J189" s="1207"/>
      <c r="K189" s="1207"/>
      <c r="L189" s="1207"/>
      <c r="M189" s="1207"/>
      <c r="N189" s="1207"/>
      <c r="O189" s="1207"/>
      <c r="P189" s="1207"/>
      <c r="Q189" s="1207"/>
      <c r="R189" s="1207"/>
      <c r="S189" s="1207"/>
      <c r="T189" s="1207"/>
      <c r="U189" s="1207"/>
      <c r="V189" s="1208"/>
    </row>
    <row r="190" spans="1:23" ht="18" hidden="1" customHeight="1">
      <c r="A190" s="184"/>
      <c r="Q190" s="211"/>
      <c r="R190" s="192"/>
      <c r="V190" s="185"/>
    </row>
    <row r="191" spans="1:23" ht="18" hidden="1" customHeight="1">
      <c r="A191" s="184"/>
      <c r="C191" s="28" t="s">
        <v>473</v>
      </c>
      <c r="D191" s="28" t="s">
        <v>127</v>
      </c>
      <c r="E191" s="28" t="s">
        <v>537</v>
      </c>
      <c r="F191" s="28" t="s">
        <v>493</v>
      </c>
      <c r="G191" s="28" t="s">
        <v>347</v>
      </c>
      <c r="H191" s="28" t="s">
        <v>491</v>
      </c>
      <c r="I191" s="28" t="s">
        <v>538</v>
      </c>
      <c r="J191" s="28" t="s">
        <v>495</v>
      </c>
      <c r="K191" s="28" t="s">
        <v>539</v>
      </c>
      <c r="L191" s="28" t="s">
        <v>511</v>
      </c>
      <c r="M191" s="28" t="s">
        <v>315</v>
      </c>
      <c r="N191" s="28">
        <v>1.3</v>
      </c>
      <c r="O191" s="47" t="s">
        <v>350</v>
      </c>
      <c r="V191" s="185"/>
    </row>
    <row r="192" spans="1:23" ht="18" hidden="1" customHeight="1">
      <c r="A192" s="184" t="s">
        <v>540</v>
      </c>
      <c r="C192" s="14"/>
      <c r="D192" s="28"/>
      <c r="E192" s="14"/>
      <c r="F192" s="14"/>
      <c r="G192" s="14"/>
      <c r="H192" s="14"/>
      <c r="I192" s="14"/>
      <c r="J192" s="14"/>
      <c r="K192" s="14"/>
      <c r="L192" s="14"/>
      <c r="M192" s="14"/>
      <c r="N192" s="14"/>
      <c r="O192" s="14"/>
      <c r="V192" s="185"/>
    </row>
    <row r="193" spans="1:25" ht="18" hidden="1" customHeight="1">
      <c r="A193" s="184"/>
      <c r="C193" s="28" t="s">
        <v>493</v>
      </c>
      <c r="D193" s="28" t="s">
        <v>127</v>
      </c>
      <c r="E193" s="28" t="s">
        <v>537</v>
      </c>
      <c r="F193" s="28">
        <v>1.3</v>
      </c>
      <c r="G193" s="28" t="s">
        <v>315</v>
      </c>
      <c r="H193" s="689" t="s">
        <v>473</v>
      </c>
      <c r="I193" s="716"/>
      <c r="J193" s="28" t="s">
        <v>315</v>
      </c>
      <c r="K193" s="28" t="s">
        <v>511</v>
      </c>
      <c r="L193" s="28" t="s">
        <v>541</v>
      </c>
      <c r="M193" s="28" t="s">
        <v>495</v>
      </c>
      <c r="N193" s="47" t="s">
        <v>542</v>
      </c>
      <c r="O193" s="28" t="s">
        <v>491</v>
      </c>
      <c r="V193" s="185"/>
    </row>
    <row r="194" spans="1:25" ht="18" hidden="1" customHeight="1">
      <c r="A194" s="184"/>
      <c r="V194" s="185"/>
    </row>
    <row r="195" spans="1:25" ht="18" hidden="1" customHeight="1">
      <c r="A195" s="168"/>
      <c r="B195" s="5"/>
      <c r="C195" s="47" t="s">
        <v>543</v>
      </c>
      <c r="D195" s="14"/>
      <c r="E195" s="14"/>
      <c r="F195" s="14"/>
      <c r="G195" s="14"/>
      <c r="H195" s="279"/>
      <c r="I195" s="120"/>
      <c r="J195" s="279"/>
      <c r="K195" s="279"/>
      <c r="L195" s="14"/>
      <c r="M195" s="14"/>
      <c r="N195" s="14"/>
      <c r="O195" s="14"/>
      <c r="P195" s="14"/>
      <c r="Q195" s="120" t="s">
        <v>544</v>
      </c>
      <c r="R195" s="102" t="s">
        <v>127</v>
      </c>
      <c r="S195" s="689">
        <f>S112</f>
        <v>1</v>
      </c>
      <c r="T195" s="689"/>
      <c r="U195" s="47" t="s">
        <v>8</v>
      </c>
      <c r="V195" s="185"/>
    </row>
    <row r="196" spans="1:25" ht="18" hidden="1" customHeight="1">
      <c r="A196" s="168"/>
      <c r="B196" s="5"/>
      <c r="C196" s="47" t="s">
        <v>545</v>
      </c>
      <c r="D196" s="14"/>
      <c r="E196" s="14"/>
      <c r="F196" s="18"/>
      <c r="G196" s="18"/>
      <c r="H196" s="279"/>
      <c r="I196" s="120"/>
      <c r="J196" s="279"/>
      <c r="K196" s="279"/>
      <c r="L196" s="14"/>
      <c r="M196" s="14"/>
      <c r="N196" s="14"/>
      <c r="O196" s="14"/>
      <c r="P196" s="14"/>
      <c r="Q196" s="120" t="s">
        <v>423</v>
      </c>
      <c r="R196" s="102" t="s">
        <v>127</v>
      </c>
      <c r="S196" s="689" t="str">
        <f>L174</f>
        <v>-</v>
      </c>
      <c r="T196" s="689"/>
      <c r="U196" s="14" t="s">
        <v>8</v>
      </c>
      <c r="V196" s="185"/>
    </row>
    <row r="197" spans="1:25" ht="18" hidden="1" customHeight="1">
      <c r="A197" s="168"/>
      <c r="B197" s="5"/>
      <c r="C197" s="47" t="s">
        <v>546</v>
      </c>
      <c r="D197" s="14"/>
      <c r="E197" s="14"/>
      <c r="F197" s="18"/>
      <c r="G197" s="18"/>
      <c r="H197" s="279"/>
      <c r="I197" s="120"/>
      <c r="J197" s="279"/>
      <c r="K197" s="279"/>
      <c r="L197" s="14"/>
      <c r="M197" s="14"/>
      <c r="N197" s="14"/>
      <c r="O197" s="14"/>
      <c r="P197" s="14"/>
      <c r="Q197" s="120" t="s">
        <v>473</v>
      </c>
      <c r="R197" s="102" t="s">
        <v>127</v>
      </c>
      <c r="S197" s="689" t="str">
        <f>L177</f>
        <v>-</v>
      </c>
      <c r="T197" s="689"/>
      <c r="U197" s="14" t="s">
        <v>305</v>
      </c>
      <c r="V197" s="185"/>
    </row>
    <row r="198" spans="1:25" ht="18" hidden="1" customHeight="1">
      <c r="A198" s="168"/>
      <c r="B198" s="5"/>
      <c r="C198" s="47" t="s">
        <v>547</v>
      </c>
      <c r="D198" s="14"/>
      <c r="E198" s="14"/>
      <c r="F198" s="18"/>
      <c r="G198" s="18"/>
      <c r="H198" s="279"/>
      <c r="I198" s="120"/>
      <c r="J198" s="279"/>
      <c r="K198" s="279"/>
      <c r="L198" s="14"/>
      <c r="M198" s="14"/>
      <c r="N198" s="14"/>
      <c r="O198" s="14"/>
      <c r="P198" s="14"/>
      <c r="Q198" s="120" t="s">
        <v>491</v>
      </c>
      <c r="R198" s="102" t="s">
        <v>127</v>
      </c>
      <c r="S198" s="692" t="e">
        <f>P185</f>
        <v>#VALUE!</v>
      </c>
      <c r="T198" s="689"/>
      <c r="U198" s="14" t="s">
        <v>157</v>
      </c>
      <c r="V198" s="185"/>
      <c r="W198" s="279"/>
      <c r="X198" s="279"/>
      <c r="Y198" s="279"/>
    </row>
    <row r="199" spans="1:25" ht="18" hidden="1" customHeight="1">
      <c r="A199" s="168"/>
      <c r="B199" s="5"/>
      <c r="C199" s="47" t="s">
        <v>548</v>
      </c>
      <c r="D199" s="14"/>
      <c r="E199" s="14"/>
      <c r="F199" s="18"/>
      <c r="G199" s="18"/>
      <c r="H199" s="279"/>
      <c r="I199" s="120"/>
      <c r="J199" s="279"/>
      <c r="K199" s="279"/>
      <c r="L199" s="14"/>
      <c r="M199" s="14"/>
      <c r="N199" s="14"/>
      <c r="O199" s="14"/>
      <c r="P199" s="14"/>
      <c r="Q199" s="120" t="s">
        <v>512</v>
      </c>
      <c r="R199" s="102" t="s">
        <v>127</v>
      </c>
      <c r="S199" s="692">
        <f>J186</f>
        <v>1.0870224400000001</v>
      </c>
      <c r="T199" s="689"/>
      <c r="U199" s="14" t="s">
        <v>157</v>
      </c>
      <c r="V199" s="185"/>
      <c r="X199" s="279"/>
      <c r="Y199" s="279"/>
    </row>
    <row r="200" spans="1:25" ht="18" hidden="1" customHeight="1">
      <c r="A200" s="168"/>
      <c r="B200" s="5"/>
      <c r="C200" s="47" t="s">
        <v>549</v>
      </c>
      <c r="D200" s="14"/>
      <c r="E200" s="14"/>
      <c r="F200" s="14"/>
      <c r="G200" s="14"/>
      <c r="H200" s="279"/>
      <c r="I200" s="120"/>
      <c r="J200" s="279"/>
      <c r="K200" s="279"/>
      <c r="L200" s="14"/>
      <c r="M200" s="14"/>
      <c r="N200" s="14"/>
      <c r="O200" s="14"/>
      <c r="P200" s="14"/>
      <c r="Q200" s="120" t="s">
        <v>511</v>
      </c>
      <c r="R200" s="102" t="s">
        <v>127</v>
      </c>
      <c r="S200" s="689">
        <f>O174</f>
        <v>1</v>
      </c>
      <c r="T200" s="689"/>
      <c r="U200" s="14" t="s">
        <v>8</v>
      </c>
      <c r="V200" s="185"/>
      <c r="X200" s="279"/>
      <c r="Y200" s="279"/>
    </row>
    <row r="201" spans="1:25" ht="18" hidden="1" customHeight="1">
      <c r="A201" s="168"/>
      <c r="B201" s="5"/>
      <c r="C201" s="47" t="s">
        <v>550</v>
      </c>
      <c r="D201" s="14"/>
      <c r="E201" s="14"/>
      <c r="F201" s="14"/>
      <c r="G201" s="14"/>
      <c r="H201" s="279"/>
      <c r="I201" s="120"/>
      <c r="J201" s="279"/>
      <c r="K201" s="279"/>
      <c r="L201" s="14"/>
      <c r="M201" s="14"/>
      <c r="N201" s="14"/>
      <c r="O201" s="14"/>
      <c r="P201" s="14"/>
      <c r="Q201" s="120" t="s">
        <v>495</v>
      </c>
      <c r="R201" s="102" t="s">
        <v>127</v>
      </c>
      <c r="S201" s="689">
        <v>20</v>
      </c>
      <c r="T201" s="689"/>
      <c r="U201" s="47"/>
      <c r="V201" s="185"/>
    </row>
    <row r="202" spans="1:25" ht="18" hidden="1" customHeight="1">
      <c r="A202" s="299"/>
      <c r="B202" s="279"/>
      <c r="C202" s="47" t="s">
        <v>551</v>
      </c>
      <c r="D202" s="14"/>
      <c r="E202" s="14"/>
      <c r="F202" s="14"/>
      <c r="G202" s="14"/>
      <c r="H202" s="279"/>
      <c r="I202" s="120"/>
      <c r="J202" s="279"/>
      <c r="K202" s="279"/>
      <c r="L202" s="14"/>
      <c r="M202" s="14"/>
      <c r="N202" s="279"/>
      <c r="O202" s="279"/>
      <c r="P202" s="14"/>
      <c r="Q202" s="120" t="s">
        <v>493</v>
      </c>
      <c r="R202" s="14"/>
      <c r="S202" s="279"/>
      <c r="T202" s="279"/>
      <c r="U202" s="279"/>
      <c r="V202" s="300"/>
      <c r="W202" s="279"/>
      <c r="X202" s="279"/>
      <c r="Y202" s="279"/>
    </row>
    <row r="203" spans="1:25" ht="18" hidden="1" customHeight="1">
      <c r="A203" s="184"/>
      <c r="C203" s="14"/>
      <c r="D203" s="14"/>
      <c r="E203" s="14"/>
      <c r="F203" s="14"/>
      <c r="G203" s="14"/>
      <c r="H203" s="14"/>
      <c r="I203" s="14"/>
      <c r="J203" s="14"/>
      <c r="K203" s="14"/>
      <c r="L203" s="14"/>
      <c r="M203" s="14"/>
      <c r="N203" s="14"/>
      <c r="O203" s="14"/>
      <c r="P203" s="14"/>
      <c r="Q203" s="14"/>
      <c r="R203" s="14"/>
      <c r="S203" s="14"/>
      <c r="T203" s="14"/>
      <c r="U203" s="14"/>
      <c r="V203" s="185"/>
    </row>
    <row r="204" spans="1:25" ht="18" hidden="1" customHeight="1">
      <c r="A204" s="184"/>
      <c r="C204" s="28" t="s">
        <v>493</v>
      </c>
      <c r="D204" s="28" t="s">
        <v>127</v>
      </c>
      <c r="E204" s="28" t="s">
        <v>537</v>
      </c>
      <c r="F204" s="28">
        <v>1.3</v>
      </c>
      <c r="G204" s="28" t="s">
        <v>315</v>
      </c>
      <c r="H204" s="689" t="s">
        <v>473</v>
      </c>
      <c r="I204" s="716"/>
      <c r="J204" s="28" t="s">
        <v>315</v>
      </c>
      <c r="K204" s="28" t="s">
        <v>511</v>
      </c>
      <c r="L204" s="28" t="s">
        <v>541</v>
      </c>
      <c r="M204" s="28" t="s">
        <v>495</v>
      </c>
      <c r="N204" s="47" t="s">
        <v>542</v>
      </c>
      <c r="O204" s="28" t="s">
        <v>491</v>
      </c>
      <c r="V204" s="185"/>
    </row>
    <row r="205" spans="1:25" ht="18" hidden="1" customHeight="1">
      <c r="A205" s="184"/>
      <c r="D205" s="27" t="s">
        <v>127</v>
      </c>
      <c r="E205" s="27" t="s">
        <v>537</v>
      </c>
      <c r="F205" s="27">
        <v>1.3</v>
      </c>
      <c r="G205" s="27" t="s">
        <v>315</v>
      </c>
      <c r="H205" s="684" t="str">
        <f>S197</f>
        <v>-</v>
      </c>
      <c r="I205" s="723"/>
      <c r="J205" s="27" t="s">
        <v>315</v>
      </c>
      <c r="K205" s="27">
        <f>S200</f>
        <v>1</v>
      </c>
      <c r="L205" s="27" t="s">
        <v>541</v>
      </c>
      <c r="M205" s="27">
        <f>S201</f>
        <v>20</v>
      </c>
      <c r="N205" s="296" t="s">
        <v>542</v>
      </c>
      <c r="O205" s="222" t="e">
        <f>S198</f>
        <v>#VALUE!</v>
      </c>
      <c r="V205" s="185"/>
    </row>
    <row r="206" spans="1:25" ht="18" hidden="1" customHeight="1">
      <c r="A206" s="184"/>
      <c r="D206" s="27" t="s">
        <v>127</v>
      </c>
      <c r="E206" s="684" t="e">
        <f>((F205*H205*K205)/M205)-O205</f>
        <v>#VALUE!</v>
      </c>
      <c r="F206" s="684"/>
      <c r="G206" s="27" t="s">
        <v>157</v>
      </c>
      <c r="V206" s="185"/>
    </row>
    <row r="207" spans="1:25" ht="18" hidden="1" customHeight="1">
      <c r="A207" s="184"/>
      <c r="D207" s="27"/>
      <c r="E207" s="27"/>
      <c r="F207" s="27"/>
      <c r="G207" s="27"/>
      <c r="V207" s="185"/>
    </row>
    <row r="208" spans="1:25" ht="18" hidden="1" customHeight="1">
      <c r="A208" s="184"/>
      <c r="D208" s="27"/>
      <c r="E208" s="27"/>
      <c r="F208" s="27"/>
      <c r="G208" s="27"/>
      <c r="V208" s="185"/>
    </row>
    <row r="209" spans="1:22" ht="18" hidden="1" customHeight="1">
      <c r="A209" s="184"/>
      <c r="D209" s="27"/>
      <c r="E209" s="27"/>
      <c r="F209" s="27"/>
      <c r="G209" s="27"/>
      <c r="V209" s="185"/>
    </row>
    <row r="210" spans="1:22" ht="18" hidden="1" customHeight="1">
      <c r="A210" s="184"/>
      <c r="D210" s="27"/>
      <c r="E210" s="27"/>
      <c r="F210" s="27"/>
      <c r="G210" s="27"/>
      <c r="V210" s="185"/>
    </row>
    <row r="211" spans="1:22" ht="18" hidden="1" customHeight="1">
      <c r="A211" s="184"/>
      <c r="D211" s="27"/>
      <c r="E211" s="27"/>
      <c r="F211" s="27"/>
      <c r="G211" s="27"/>
      <c r="V211" s="185"/>
    </row>
    <row r="212" spans="1:22" ht="18" hidden="1" customHeight="1">
      <c r="A212" s="184"/>
      <c r="V212" s="185"/>
    </row>
    <row r="213" spans="1:22" s="14" customFormat="1" ht="18" hidden="1" customHeight="1">
      <c r="A213" s="194"/>
      <c r="B213" s="195"/>
      <c r="C213" s="195"/>
      <c r="D213" s="195"/>
      <c r="E213" s="195"/>
      <c r="F213" s="195"/>
      <c r="G213" s="195"/>
      <c r="H213" s="195"/>
      <c r="I213" s="195"/>
      <c r="J213" s="195"/>
      <c r="K213" s="195"/>
      <c r="L213" s="195"/>
      <c r="M213" s="195"/>
      <c r="N213" s="195"/>
      <c r="O213" s="195"/>
      <c r="P213" s="195"/>
      <c r="Q213" s="224"/>
      <c r="R213" s="182"/>
      <c r="S213" s="225"/>
      <c r="T213" s="195"/>
      <c r="U213" s="195"/>
      <c r="V213" s="134"/>
    </row>
    <row r="214" spans="1:22" ht="18" hidden="1" customHeight="1">
      <c r="A214" s="226"/>
      <c r="B214" s="227"/>
      <c r="C214" s="227"/>
      <c r="D214" s="227"/>
      <c r="E214" s="227"/>
      <c r="F214" s="227"/>
      <c r="G214" s="227"/>
      <c r="H214" s="227"/>
      <c r="I214" s="227"/>
      <c r="J214" s="227"/>
      <c r="K214" s="227"/>
      <c r="L214" s="227"/>
      <c r="M214" s="227"/>
      <c r="N214" s="227"/>
      <c r="O214" s="227"/>
      <c r="P214" s="227"/>
      <c r="Q214" s="227"/>
      <c r="R214" s="227"/>
      <c r="S214" s="227"/>
      <c r="T214" s="227"/>
      <c r="U214" s="227"/>
      <c r="V214" s="228"/>
    </row>
    <row r="215" spans="1:22" ht="18" hidden="1" customHeight="1">
      <c r="A215" s="96" t="s">
        <v>755</v>
      </c>
      <c r="B215" s="14"/>
      <c r="C215" s="14"/>
      <c r="D215" s="14"/>
      <c r="E215" s="14"/>
      <c r="F215" s="14"/>
      <c r="G215" s="14"/>
      <c r="H215" s="14"/>
      <c r="I215" s="14"/>
      <c r="J215" s="14"/>
      <c r="K215" s="14"/>
      <c r="L215" s="14"/>
      <c r="M215" s="14"/>
      <c r="N215" s="14"/>
      <c r="O215" s="14"/>
      <c r="P215" s="28"/>
      <c r="Q215" s="120"/>
      <c r="R215" s="14"/>
      <c r="S215" s="14"/>
      <c r="T215" s="14"/>
      <c r="U215" s="14"/>
      <c r="V215" s="185"/>
    </row>
    <row r="216" spans="1:22" ht="18" hidden="1" customHeight="1">
      <c r="A216" s="96"/>
      <c r="B216" s="14"/>
      <c r="C216" s="14"/>
      <c r="D216" s="14"/>
      <c r="E216" s="14"/>
      <c r="F216" s="14"/>
      <c r="G216" s="14"/>
      <c r="H216" s="14"/>
      <c r="K216" s="14" t="s">
        <v>756</v>
      </c>
      <c r="L216" s="28"/>
      <c r="M216" s="47"/>
      <c r="N216" s="14"/>
      <c r="O216" s="14"/>
      <c r="P216" s="14"/>
      <c r="Q216" s="14"/>
      <c r="R216" s="14"/>
      <c r="S216" s="14"/>
      <c r="T216" s="14"/>
      <c r="U216" s="14"/>
      <c r="V216" s="185"/>
    </row>
    <row r="217" spans="1:22" ht="18" hidden="1" customHeight="1">
      <c r="A217" s="96"/>
      <c r="B217" s="28" t="s">
        <v>745</v>
      </c>
      <c r="C217" s="278" t="s">
        <v>652</v>
      </c>
      <c r="D217" s="14" t="s">
        <v>757</v>
      </c>
      <c r="E217" s="14"/>
      <c r="F217" s="268" t="s">
        <v>758</v>
      </c>
      <c r="K217" s="28" t="s">
        <v>745</v>
      </c>
      <c r="L217" s="28" t="s">
        <v>127</v>
      </c>
      <c r="M217" s="281" t="s">
        <v>759</v>
      </c>
      <c r="N217" s="28"/>
      <c r="O217" s="47"/>
      <c r="P217" s="14"/>
      <c r="Q217" s="14"/>
      <c r="R217" s="14"/>
      <c r="S217" s="14"/>
      <c r="T217" s="14"/>
      <c r="U217" s="14"/>
      <c r="V217" s="185"/>
    </row>
    <row r="218" spans="1:22" ht="18" hidden="1" customHeight="1">
      <c r="A218" s="96"/>
      <c r="B218" s="28" t="s">
        <v>745</v>
      </c>
      <c r="C218" s="278" t="s">
        <v>652</v>
      </c>
      <c r="D218" s="47" t="s">
        <v>760</v>
      </c>
      <c r="E218" s="14"/>
      <c r="F218" s="268" t="s">
        <v>761</v>
      </c>
      <c r="K218" s="28"/>
      <c r="L218" s="28" t="s">
        <v>127</v>
      </c>
      <c r="M218" s="14" t="s">
        <v>762</v>
      </c>
      <c r="N218" s="14"/>
      <c r="O218" s="14"/>
      <c r="P218" s="14"/>
      <c r="Q218" s="14"/>
      <c r="R218" s="14"/>
      <c r="S218" s="14"/>
      <c r="T218" s="14"/>
      <c r="U218" s="14"/>
      <c r="V218" s="185"/>
    </row>
    <row r="219" spans="1:22" ht="18" hidden="1" customHeight="1">
      <c r="A219" s="96"/>
      <c r="B219" s="14"/>
      <c r="C219" s="14"/>
      <c r="D219" s="14"/>
      <c r="E219" s="14"/>
      <c r="F219" s="14"/>
      <c r="G219" s="14"/>
      <c r="H219" s="14"/>
      <c r="K219" s="28" t="s">
        <v>757</v>
      </c>
      <c r="L219" s="28" t="s">
        <v>127</v>
      </c>
      <c r="M219" s="47" t="s">
        <v>763</v>
      </c>
      <c r="N219" s="14"/>
      <c r="O219" s="14"/>
      <c r="P219" s="14"/>
      <c r="Q219" s="14"/>
      <c r="R219" s="14"/>
      <c r="S219" s="14"/>
      <c r="T219" s="14"/>
      <c r="U219" s="14"/>
      <c r="V219" s="185"/>
    </row>
    <row r="220" spans="1:22" ht="18" hidden="1" customHeight="1">
      <c r="A220" s="96"/>
      <c r="B220" s="14"/>
      <c r="C220" s="14"/>
      <c r="K220" s="28" t="s">
        <v>760</v>
      </c>
      <c r="L220" s="28" t="s">
        <v>127</v>
      </c>
      <c r="M220" s="28">
        <v>10</v>
      </c>
      <c r="O220" s="14" t="s">
        <v>764</v>
      </c>
      <c r="P220" s="28" t="s">
        <v>765</v>
      </c>
      <c r="Q220" s="278" t="s">
        <v>766</v>
      </c>
      <c r="R220" s="28">
        <v>120</v>
      </c>
      <c r="S220" s="14" t="s">
        <v>767</v>
      </c>
      <c r="T220" s="14"/>
      <c r="U220" s="14"/>
      <c r="V220" s="185"/>
    </row>
    <row r="221" spans="1:22" ht="18" hidden="1" customHeight="1">
      <c r="A221" s="96"/>
      <c r="B221" s="14"/>
      <c r="C221" s="14"/>
      <c r="L221" s="28" t="s">
        <v>127</v>
      </c>
      <c r="M221" s="27">
        <v>20</v>
      </c>
      <c r="N221" s="14"/>
      <c r="O221" s="14" t="s">
        <v>764</v>
      </c>
      <c r="P221" s="28" t="s">
        <v>765</v>
      </c>
      <c r="Q221" s="278" t="s">
        <v>766</v>
      </c>
      <c r="R221" s="28">
        <v>300</v>
      </c>
      <c r="S221" s="14" t="s">
        <v>767</v>
      </c>
      <c r="T221" s="14"/>
      <c r="U221" s="14"/>
      <c r="V221" s="185"/>
    </row>
    <row r="222" spans="1:22" ht="18" hidden="1" customHeight="1">
      <c r="A222" s="96"/>
      <c r="B222" s="14"/>
      <c r="C222" s="14"/>
      <c r="N222" s="14"/>
      <c r="O222" s="14"/>
      <c r="P222" s="28"/>
      <c r="Q222" s="120"/>
      <c r="R222" s="14"/>
      <c r="S222" s="14"/>
      <c r="T222" s="14"/>
      <c r="U222" s="14"/>
      <c r="V222" s="185"/>
    </row>
    <row r="223" spans="1:22" ht="18" hidden="1" customHeight="1">
      <c r="A223" s="96" t="s">
        <v>768</v>
      </c>
      <c r="B223" s="14"/>
      <c r="C223" s="14"/>
      <c r="K223" s="27" t="s">
        <v>757</v>
      </c>
      <c r="L223" s="27" t="s">
        <v>127</v>
      </c>
      <c r="M223" s="684" t="s">
        <v>425</v>
      </c>
      <c r="N223" s="684"/>
      <c r="O223" s="27" t="s">
        <v>769</v>
      </c>
      <c r="P223" s="27">
        <v>5</v>
      </c>
      <c r="Q223" s="28" t="s">
        <v>315</v>
      </c>
      <c r="R223" s="684" t="s">
        <v>423</v>
      </c>
      <c r="S223" s="684"/>
      <c r="T223" s="14" t="s">
        <v>350</v>
      </c>
      <c r="U223" s="14"/>
      <c r="V223" s="185"/>
    </row>
    <row r="224" spans="1:22" ht="18" hidden="1" customHeight="1">
      <c r="A224" s="96"/>
      <c r="B224" s="14"/>
      <c r="C224" s="14"/>
      <c r="L224" s="27" t="s">
        <v>127</v>
      </c>
      <c r="M224" s="684">
        <f>S195</f>
        <v>1</v>
      </c>
      <c r="N224" s="684"/>
      <c r="O224" s="27" t="s">
        <v>769</v>
      </c>
      <c r="P224" s="27">
        <v>5</v>
      </c>
      <c r="Q224" s="28" t="s">
        <v>315</v>
      </c>
      <c r="R224" s="684" t="str">
        <f>S196</f>
        <v>-</v>
      </c>
      <c r="S224" s="684"/>
      <c r="T224" s="14" t="s">
        <v>350</v>
      </c>
      <c r="U224" s="14"/>
      <c r="V224" s="185"/>
    </row>
    <row r="225" spans="1:22" ht="18" hidden="1" customHeight="1">
      <c r="A225" s="96"/>
      <c r="B225" s="14"/>
      <c r="C225" s="14"/>
      <c r="D225" s="14"/>
      <c r="E225" s="120"/>
      <c r="F225" s="28"/>
      <c r="L225" s="27" t="s">
        <v>127</v>
      </c>
      <c r="M225" s="689" t="e">
        <f>M224/(P224*R224)</f>
        <v>#VALUE!</v>
      </c>
      <c r="N225" s="684"/>
      <c r="O225" s="14"/>
      <c r="P225" s="14"/>
      <c r="Q225" s="14"/>
      <c r="R225" s="14"/>
      <c r="S225" s="14"/>
      <c r="T225" s="14"/>
      <c r="U225" s="14"/>
      <c r="V225" s="185"/>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85"/>
    </row>
    <row r="227" spans="1:22" ht="18" hidden="1" customHeight="1">
      <c r="A227" s="96" t="s">
        <v>770</v>
      </c>
      <c r="B227" s="14"/>
      <c r="C227" s="14"/>
      <c r="D227" s="14"/>
      <c r="E227" s="257" t="s">
        <v>771</v>
      </c>
      <c r="F227" s="14"/>
      <c r="G227" s="28" t="s">
        <v>127</v>
      </c>
      <c r="H227" s="692">
        <f>'[2]Parameters &amp; Fault Cal.'!Q184</f>
        <v>0</v>
      </c>
      <c r="I227" s="684"/>
      <c r="J227" s="30" t="s">
        <v>531</v>
      </c>
      <c r="K227" s="28" t="s">
        <v>760</v>
      </c>
      <c r="L227" s="218" t="s">
        <v>127</v>
      </c>
      <c r="M227" s="692">
        <f>IF(H227&lt;=120,M220,M221)</f>
        <v>10</v>
      </c>
      <c r="N227" s="684"/>
      <c r="O227" s="14"/>
      <c r="P227" s="14"/>
      <c r="Q227" s="14"/>
      <c r="R227" s="14"/>
      <c r="S227" s="14"/>
      <c r="T227" s="14"/>
      <c r="U227" s="14"/>
      <c r="V227" s="185"/>
    </row>
    <row r="228" spans="1:22" ht="18" hidden="1" customHeight="1">
      <c r="A228" s="184"/>
      <c r="J228" s="14"/>
      <c r="K228" s="257"/>
      <c r="M228" s="14"/>
      <c r="N228" s="14"/>
      <c r="O228" s="14"/>
      <c r="P228" s="14"/>
      <c r="Q228" s="14"/>
      <c r="R228" s="14"/>
      <c r="S228" s="14"/>
      <c r="T228" s="14"/>
      <c r="U228" s="14"/>
      <c r="V228" s="185"/>
    </row>
    <row r="229" spans="1:22" ht="18" hidden="1" customHeight="1">
      <c r="A229" s="96" t="s">
        <v>772</v>
      </c>
      <c r="E229" s="199"/>
      <c r="G229" s="27" t="s">
        <v>127</v>
      </c>
      <c r="H229" s="27" t="s">
        <v>495</v>
      </c>
      <c r="I229" s="27" t="s">
        <v>554</v>
      </c>
      <c r="J229" s="120" t="s">
        <v>491</v>
      </c>
      <c r="K229" s="28" t="s">
        <v>347</v>
      </c>
      <c r="L229" s="120" t="s">
        <v>493</v>
      </c>
      <c r="M229" s="28" t="s">
        <v>539</v>
      </c>
      <c r="N229" s="120" t="s">
        <v>491</v>
      </c>
      <c r="O229" s="28" t="s">
        <v>347</v>
      </c>
      <c r="P229" s="120" t="s">
        <v>512</v>
      </c>
      <c r="Q229" s="296" t="s">
        <v>350</v>
      </c>
      <c r="V229" s="185"/>
    </row>
    <row r="230" spans="1:22" ht="18" hidden="1" customHeight="1">
      <c r="A230" s="184"/>
      <c r="G230" s="27" t="s">
        <v>127</v>
      </c>
      <c r="H230" s="242">
        <f>S201</f>
        <v>20</v>
      </c>
      <c r="I230" s="245" t="s">
        <v>554</v>
      </c>
      <c r="J230" s="301" t="e">
        <f>S198</f>
        <v>#VALUE!</v>
      </c>
      <c r="K230" s="245" t="s">
        <v>347</v>
      </c>
      <c r="L230" s="301" t="e">
        <f>E206</f>
        <v>#VALUE!</v>
      </c>
      <c r="M230" s="245" t="s">
        <v>539</v>
      </c>
      <c r="N230" s="301" t="e">
        <f>S198</f>
        <v>#VALUE!</v>
      </c>
      <c r="O230" s="245" t="s">
        <v>347</v>
      </c>
      <c r="P230" s="301">
        <f>S199</f>
        <v>1.0870224400000001</v>
      </c>
      <c r="Q230" s="461" t="s">
        <v>350</v>
      </c>
      <c r="V230" s="185"/>
    </row>
    <row r="231" spans="1:22" ht="18" hidden="1" customHeight="1">
      <c r="A231" s="184"/>
      <c r="G231" s="27" t="s">
        <v>127</v>
      </c>
      <c r="H231" s="795" t="e">
        <f>H230*((J230+L230)/(N230+P230))</f>
        <v>#VALUE!</v>
      </c>
      <c r="I231" s="795"/>
      <c r="V231" s="185"/>
    </row>
    <row r="232" spans="1:22" ht="18" hidden="1" customHeight="1">
      <c r="A232" s="184"/>
      <c r="V232" s="185"/>
    </row>
    <row r="233" spans="1:22" ht="18" hidden="1" customHeight="1">
      <c r="A233" s="184" t="s">
        <v>773</v>
      </c>
      <c r="E233" s="244"/>
      <c r="F233" s="27"/>
      <c r="G233" s="296"/>
      <c r="V233" s="185"/>
    </row>
    <row r="234" spans="1:22" ht="18" hidden="1" customHeight="1">
      <c r="A234" s="184"/>
      <c r="D234" s="211"/>
      <c r="E234" s="211"/>
      <c r="F234" s="27"/>
      <c r="G234" s="211"/>
      <c r="H234" s="211"/>
      <c r="V234" s="185"/>
    </row>
    <row r="235" spans="1:22" ht="18" hidden="1" customHeight="1">
      <c r="A235" s="184"/>
      <c r="D235" s="795" t="e">
        <f>H231</f>
        <v>#VALUE!</v>
      </c>
      <c r="E235" s="684"/>
      <c r="F235" s="27" t="e">
        <f>IF(D235&gt;=G235,"&gt;","&lt;")</f>
        <v>#VALUE!</v>
      </c>
      <c r="G235" s="795" t="e">
        <f>M225</f>
        <v>#VALUE!</v>
      </c>
      <c r="H235" s="684"/>
      <c r="I235" s="18"/>
      <c r="J235" s="268" t="s">
        <v>758</v>
      </c>
      <c r="V235" s="185"/>
    </row>
    <row r="236" spans="1:22" ht="18" hidden="1" customHeight="1">
      <c r="A236" s="184"/>
      <c r="D236" s="795" t="e">
        <f>H231</f>
        <v>#VALUE!</v>
      </c>
      <c r="E236" s="684"/>
      <c r="F236" s="27" t="e">
        <f>IF(D236&gt;=G236,"&gt;","&lt;")</f>
        <v>#VALUE!</v>
      </c>
      <c r="G236" s="795">
        <f>M227</f>
        <v>10</v>
      </c>
      <c r="H236" s="684"/>
      <c r="J236" s="268" t="s">
        <v>761</v>
      </c>
      <c r="V236" s="185"/>
    </row>
    <row r="237" spans="1:22" ht="18" hidden="1" customHeight="1">
      <c r="A237" s="184"/>
      <c r="E237" s="244" t="s">
        <v>478</v>
      </c>
      <c r="G237" s="18" t="e">
        <f>IF(AND(F235="&gt;",F236="&gt;")=TRUE,"Suitably Dimensioned","Under Dimensioned")</f>
        <v>#VALUE!</v>
      </c>
      <c r="V237" s="185"/>
    </row>
    <row r="238" spans="1:22" ht="18" hidden="1" customHeight="1">
      <c r="A238" s="184"/>
      <c r="V238" s="185"/>
    </row>
    <row r="239" spans="1:22" ht="18" hidden="1" customHeight="1">
      <c r="A239" s="184"/>
      <c r="V239" s="185"/>
    </row>
    <row r="240" spans="1:22" ht="18" hidden="1" customHeight="1">
      <c r="A240" s="184"/>
      <c r="V240" s="185"/>
    </row>
    <row r="241" spans="1:22" ht="18" hidden="1" customHeight="1">
      <c r="A241" s="184"/>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s="14" customFormat="1" ht="18" customHeight="1">
      <c r="A257" s="194"/>
      <c r="B257" s="195"/>
      <c r="C257" s="195"/>
      <c r="D257" s="195"/>
      <c r="E257" s="195"/>
      <c r="F257" s="195"/>
      <c r="G257" s="195"/>
      <c r="H257" s="195"/>
      <c r="I257" s="195"/>
      <c r="J257" s="195"/>
      <c r="K257" s="195"/>
      <c r="L257" s="195"/>
      <c r="M257" s="195"/>
      <c r="N257" s="195"/>
      <c r="O257" s="195"/>
      <c r="P257" s="195"/>
      <c r="Q257" s="224"/>
      <c r="R257" s="182"/>
      <c r="S257" s="225"/>
      <c r="T257" s="195"/>
      <c r="U257" s="195"/>
      <c r="V257" s="134"/>
    </row>
    <row r="258" spans="1:22" ht="18" customHeight="1">
      <c r="A258" s="226"/>
      <c r="B258" s="227"/>
      <c r="C258" s="227"/>
      <c r="D258" s="227"/>
      <c r="E258" s="227"/>
      <c r="F258" s="227"/>
      <c r="G258" s="227"/>
      <c r="H258" s="227"/>
      <c r="I258" s="227"/>
      <c r="J258" s="227"/>
      <c r="K258" s="227"/>
      <c r="L258" s="227"/>
      <c r="M258" s="227"/>
      <c r="N258" s="227"/>
      <c r="O258" s="227"/>
      <c r="P258" s="227"/>
      <c r="Q258" s="227"/>
      <c r="R258" s="227"/>
      <c r="S258" s="227"/>
      <c r="T258" s="227"/>
      <c r="U258" s="227"/>
      <c r="V258" s="228"/>
    </row>
    <row r="259" spans="1:22" ht="18" customHeight="1">
      <c r="A259" s="452" t="s">
        <v>501</v>
      </c>
      <c r="B259" s="14"/>
      <c r="C259" s="14"/>
      <c r="D259" s="120"/>
      <c r="E259" s="120"/>
      <c r="F259" s="18"/>
      <c r="G259" s="18"/>
      <c r="H259" s="14"/>
      <c r="I259" s="14"/>
      <c r="J259" s="14"/>
      <c r="K259" s="14"/>
      <c r="L259" s="14"/>
      <c r="M259" s="14"/>
      <c r="N259" s="14"/>
      <c r="O259" s="14"/>
      <c r="P259" s="28"/>
      <c r="Q259" s="120"/>
      <c r="R259" s="47"/>
      <c r="S259" s="206"/>
      <c r="T259" s="259"/>
      <c r="U259" s="14"/>
      <c r="V259" s="97"/>
    </row>
    <row r="260" spans="1:22" ht="18" customHeight="1">
      <c r="A260" s="955" t="s">
        <v>85</v>
      </c>
      <c r="B260" s="956"/>
      <c r="C260" s="957"/>
      <c r="D260" s="955" t="s">
        <v>86</v>
      </c>
      <c r="E260" s="956"/>
      <c r="F260" s="957"/>
      <c r="G260" s="955" t="s">
        <v>87</v>
      </c>
      <c r="H260" s="957"/>
      <c r="I260" s="955" t="s">
        <v>88</v>
      </c>
      <c r="J260" s="957"/>
      <c r="K260" s="955" t="s">
        <v>502</v>
      </c>
      <c r="L260" s="957"/>
      <c r="M260" s="955" t="s">
        <v>503</v>
      </c>
      <c r="N260" s="957"/>
      <c r="O260" s="955" t="s">
        <v>504</v>
      </c>
      <c r="P260" s="957"/>
      <c r="Q260" s="955" t="s">
        <v>505</v>
      </c>
      <c r="R260" s="957"/>
      <c r="S260" s="955" t="s">
        <v>93</v>
      </c>
      <c r="T260" s="956"/>
      <c r="U260" s="956"/>
      <c r="V260" s="957"/>
    </row>
    <row r="261" spans="1:22" ht="18" customHeight="1">
      <c r="A261" s="1125"/>
      <c r="B261" s="983"/>
      <c r="C261" s="1126"/>
      <c r="D261" s="1125"/>
      <c r="E261" s="983"/>
      <c r="F261" s="1126"/>
      <c r="G261" s="1125"/>
      <c r="H261" s="1126"/>
      <c r="I261" s="1125"/>
      <c r="J261" s="1126"/>
      <c r="K261" s="1125"/>
      <c r="L261" s="1126"/>
      <c r="M261" s="1125"/>
      <c r="N261" s="1126"/>
      <c r="O261" s="1125"/>
      <c r="P261" s="1126"/>
      <c r="Q261" s="1125"/>
      <c r="R261" s="1126"/>
      <c r="S261" s="1125"/>
      <c r="T261" s="983"/>
      <c r="U261" s="983"/>
      <c r="V261" s="1126"/>
    </row>
    <row r="262" spans="1:22" ht="18" customHeight="1">
      <c r="A262" s="1125"/>
      <c r="B262" s="983"/>
      <c r="C262" s="1126"/>
      <c r="D262" s="1125"/>
      <c r="E262" s="983"/>
      <c r="F262" s="1126"/>
      <c r="G262" s="1125"/>
      <c r="H262" s="1126"/>
      <c r="I262" s="1125"/>
      <c r="J262" s="1126"/>
      <c r="K262" s="1125"/>
      <c r="L262" s="1126"/>
      <c r="M262" s="1125"/>
      <c r="N262" s="1126"/>
      <c r="O262" s="1125"/>
      <c r="P262" s="1126"/>
      <c r="Q262" s="1125"/>
      <c r="R262" s="1126"/>
      <c r="S262" s="1125"/>
      <c r="T262" s="983"/>
      <c r="U262" s="983"/>
      <c r="V262" s="1126"/>
    </row>
    <row r="263" spans="1:22" ht="18" customHeight="1">
      <c r="A263" s="1047"/>
      <c r="B263" s="1048"/>
      <c r="C263" s="1049"/>
      <c r="D263" s="1047"/>
      <c r="E263" s="1048"/>
      <c r="F263" s="1049"/>
      <c r="G263" s="1047"/>
      <c r="H263" s="1049"/>
      <c r="I263" s="1047"/>
      <c r="J263" s="1049"/>
      <c r="K263" s="1047"/>
      <c r="L263" s="1049"/>
      <c r="M263" s="1047"/>
      <c r="N263" s="1049"/>
      <c r="O263" s="1047"/>
      <c r="P263" s="1049"/>
      <c r="Q263" s="1047"/>
      <c r="R263" s="1049"/>
      <c r="S263" s="1047"/>
      <c r="T263" s="1048"/>
      <c r="U263" s="1048"/>
      <c r="V263" s="1049"/>
    </row>
    <row r="264" spans="1:22" ht="18" customHeight="1">
      <c r="A264" s="765" t="str">
        <f>B7</f>
        <v>T1</v>
      </c>
      <c r="B264" s="765" t="str">
        <f>D7</f>
        <v>Core4</v>
      </c>
      <c r="C264" s="765"/>
      <c r="D264" s="870">
        <f>H10</f>
        <v>3200</v>
      </c>
      <c r="E264" s="870"/>
      <c r="F264" s="871">
        <f>O10</f>
        <v>1</v>
      </c>
      <c r="G264" s="870">
        <f>'CT-VT Burdens'!S21</f>
        <v>120</v>
      </c>
      <c r="H264" s="874">
        <f>'CT-VT Burdens'!S10</f>
        <v>6</v>
      </c>
      <c r="I264" s="874" t="str">
        <f>H11</f>
        <v>PX</v>
      </c>
      <c r="J264" s="874" t="e">
        <f>#REF!</f>
        <v>#REF!</v>
      </c>
      <c r="K264" s="869">
        <f>H12</f>
        <v>8</v>
      </c>
      <c r="L264" s="869"/>
      <c r="M264" s="869">
        <f>H13</f>
        <v>900</v>
      </c>
      <c r="N264" s="869"/>
      <c r="O264" s="870">
        <f>H14</f>
        <v>10</v>
      </c>
      <c r="P264" s="870"/>
      <c r="Q264" s="879" t="str">
        <f>IF(T8="",T7,IF(T9="",T7&amp;"+"&amp;T8,T7&amp;"+"&amp;T8&amp;"+"&amp;T9))</f>
        <v>REB500</v>
      </c>
      <c r="R264" s="879"/>
      <c r="S264" s="878" t="str">
        <f>M82</f>
        <v>Suitably Dimensioned</v>
      </c>
      <c r="T264" s="878"/>
      <c r="U264" s="878"/>
      <c r="V264" s="878"/>
    </row>
    <row r="265" spans="1:22" ht="18" customHeight="1">
      <c r="A265" s="765"/>
      <c r="B265" s="765"/>
      <c r="C265" s="765"/>
      <c r="D265" s="870">
        <f>J10</f>
        <v>2000</v>
      </c>
      <c r="E265" s="870"/>
      <c r="F265" s="872"/>
      <c r="G265" s="870"/>
      <c r="H265" s="870"/>
      <c r="I265" s="874"/>
      <c r="J265" s="874"/>
      <c r="K265" s="875">
        <f>J93</f>
        <v>5</v>
      </c>
      <c r="L265" s="869"/>
      <c r="M265" s="875">
        <f>J94</f>
        <v>500</v>
      </c>
      <c r="N265" s="869"/>
      <c r="O265" s="876">
        <f>J95</f>
        <v>30</v>
      </c>
      <c r="P265" s="870"/>
      <c r="Q265" s="879"/>
      <c r="R265" s="879"/>
      <c r="S265" s="877" t="str">
        <f>M162</f>
        <v>Suitably Dimensioned</v>
      </c>
      <c r="T265" s="878"/>
      <c r="U265" s="878"/>
      <c r="V265" s="878"/>
    </row>
    <row r="266" spans="1:22" ht="18" customHeight="1">
      <c r="A266" s="765"/>
      <c r="B266" s="765"/>
      <c r="C266" s="765"/>
      <c r="D266" s="870" t="str">
        <f>L10</f>
        <v>-</v>
      </c>
      <c r="E266" s="870"/>
      <c r="F266" s="873"/>
      <c r="G266" s="870"/>
      <c r="H266" s="870"/>
      <c r="I266" s="874"/>
      <c r="J266" s="874"/>
      <c r="K266" s="869" t="str">
        <f>L176</f>
        <v>-</v>
      </c>
      <c r="L266" s="869"/>
      <c r="M266" s="869" t="str">
        <f>L177</f>
        <v>-</v>
      </c>
      <c r="N266" s="869"/>
      <c r="O266" s="870" t="str">
        <f>L178</f>
        <v>-</v>
      </c>
      <c r="P266" s="870"/>
      <c r="Q266" s="879"/>
      <c r="R266" s="879"/>
      <c r="S266" s="878" t="s">
        <v>6</v>
      </c>
      <c r="T266" s="878"/>
      <c r="U266" s="878"/>
      <c r="V266" s="878"/>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s="14" customFormat="1" ht="18" customHeight="1">
      <c r="A297" s="194"/>
      <c r="B297" s="195"/>
      <c r="C297" s="195"/>
      <c r="D297" s="195"/>
      <c r="E297" s="195"/>
      <c r="F297" s="195"/>
      <c r="G297" s="195"/>
      <c r="H297" s="195"/>
      <c r="I297" s="195"/>
      <c r="J297" s="195"/>
      <c r="K297" s="195"/>
      <c r="L297" s="195"/>
      <c r="M297" s="195"/>
      <c r="N297" s="195"/>
      <c r="O297" s="195"/>
      <c r="P297" s="195"/>
      <c r="Q297" s="224"/>
      <c r="R297" s="182"/>
      <c r="S297" s="225"/>
      <c r="T297" s="195"/>
      <c r="U297" s="195"/>
      <c r="V297" s="134"/>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8:C88"/>
    <mergeCell ref="D88:E88"/>
    <mergeCell ref="H88:M88"/>
    <mergeCell ref="F58:H58"/>
    <mergeCell ref="J58:J59"/>
    <mergeCell ref="K58:K59"/>
    <mergeCell ref="F61:G61"/>
    <mergeCell ref="F62:G62"/>
    <mergeCell ref="F74:G74"/>
    <mergeCell ref="H91:I91"/>
    <mergeCell ref="J91:K91"/>
    <mergeCell ref="L91:M91"/>
    <mergeCell ref="J92:K92"/>
    <mergeCell ref="J93:K93"/>
    <mergeCell ref="J94:K94"/>
    <mergeCell ref="T88:U88"/>
    <mergeCell ref="T89:U89"/>
    <mergeCell ref="H90:I90"/>
    <mergeCell ref="J90:K90"/>
    <mergeCell ref="L90:M90"/>
    <mergeCell ref="T90:U90"/>
    <mergeCell ref="J103:K103"/>
    <mergeCell ref="S106:T106"/>
    <mergeCell ref="S107:T107"/>
    <mergeCell ref="S108:T108"/>
    <mergeCell ref="S109:T109"/>
    <mergeCell ref="S110:T110"/>
    <mergeCell ref="J95:K95"/>
    <mergeCell ref="J99:K99"/>
    <mergeCell ref="J100:K100"/>
    <mergeCell ref="J101:K101"/>
    <mergeCell ref="J102:K102"/>
    <mergeCell ref="P102:Q102"/>
    <mergeCell ref="E130:F130"/>
    <mergeCell ref="E131:F131"/>
    <mergeCell ref="E133:F133"/>
    <mergeCell ref="E136:E137"/>
    <mergeCell ref="F136:G136"/>
    <mergeCell ref="H136:H137"/>
    <mergeCell ref="S111:T111"/>
    <mergeCell ref="S112:T112"/>
    <mergeCell ref="S113:T113"/>
    <mergeCell ref="I116:I117"/>
    <mergeCell ref="J116:J117"/>
    <mergeCell ref="K116:L116"/>
    <mergeCell ref="K117:L117"/>
    <mergeCell ref="F154:G154"/>
    <mergeCell ref="N158:O158"/>
    <mergeCell ref="N159:O159"/>
    <mergeCell ref="J161:K161"/>
    <mergeCell ref="M161:N161"/>
    <mergeCell ref="B171:C171"/>
    <mergeCell ref="D171:E171"/>
    <mergeCell ref="H171:M171"/>
    <mergeCell ref="F141:H141"/>
    <mergeCell ref="J141:J142"/>
    <mergeCell ref="K141:K142"/>
    <mergeCell ref="F143:G143"/>
    <mergeCell ref="F144:G144"/>
    <mergeCell ref="E150:F150"/>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29" priority="3" stopIfTrue="1" operator="equal">
      <formula>"Under Dimentioned"</formula>
    </cfRule>
  </conditionalFormatting>
  <conditionalFormatting sqref="O80 M82:M84">
    <cfRule type="cellIs" dxfId="28" priority="1" stopIfTrue="1" operator="equal">
      <formula>"Under Dimentioned"</formula>
    </cfRule>
  </conditionalFormatting>
  <conditionalFormatting sqref="O160 M162:M164">
    <cfRule type="cellIs" dxfId="27"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1:E65541 IZ65541:JA65541 SV65541:SW65541 ACR65541:ACS65541 AMN65541:AMO65541 AWJ65541:AWK65541 BGF65541:BGG65541 BQB65541:BQC65541 BZX65541:BZY65541 CJT65541:CJU65541 CTP65541:CTQ65541 DDL65541:DDM65541 DNH65541:DNI65541 DXD65541:DXE65541 EGZ65541:EHA65541 EQV65541:EQW65541 FAR65541:FAS65541 FKN65541:FKO65541 FUJ65541:FUK65541 GEF65541:GEG65541 GOB65541:GOC65541 GXX65541:GXY65541 HHT65541:HHU65541 HRP65541:HRQ65541 IBL65541:IBM65541 ILH65541:ILI65541 IVD65541:IVE65541 JEZ65541:JFA65541 JOV65541:JOW65541 JYR65541:JYS65541 KIN65541:KIO65541 KSJ65541:KSK65541 LCF65541:LCG65541 LMB65541:LMC65541 LVX65541:LVY65541 MFT65541:MFU65541 MPP65541:MPQ65541 MZL65541:MZM65541 NJH65541:NJI65541 NTD65541:NTE65541 OCZ65541:ODA65541 OMV65541:OMW65541 OWR65541:OWS65541 PGN65541:PGO65541 PQJ65541:PQK65541 QAF65541:QAG65541 QKB65541:QKC65541 QTX65541:QTY65541 RDT65541:RDU65541 RNP65541:RNQ65541 RXL65541:RXM65541 SHH65541:SHI65541 SRD65541:SRE65541 TAZ65541:TBA65541 TKV65541:TKW65541 TUR65541:TUS65541 UEN65541:UEO65541 UOJ65541:UOK65541 UYF65541:UYG65541 VIB65541:VIC65541 VRX65541:VRY65541 WBT65541:WBU65541 WLP65541:WLQ65541 WVL65541:WVM65541 D131077:E131077 IZ131077:JA131077 SV131077:SW131077 ACR131077:ACS131077 AMN131077:AMO131077 AWJ131077:AWK131077 BGF131077:BGG131077 BQB131077:BQC131077 BZX131077:BZY131077 CJT131077:CJU131077 CTP131077:CTQ131077 DDL131077:DDM131077 DNH131077:DNI131077 DXD131077:DXE131077 EGZ131077:EHA131077 EQV131077:EQW131077 FAR131077:FAS131077 FKN131077:FKO131077 FUJ131077:FUK131077 GEF131077:GEG131077 GOB131077:GOC131077 GXX131077:GXY131077 HHT131077:HHU131077 HRP131077:HRQ131077 IBL131077:IBM131077 ILH131077:ILI131077 IVD131077:IVE131077 JEZ131077:JFA131077 JOV131077:JOW131077 JYR131077:JYS131077 KIN131077:KIO131077 KSJ131077:KSK131077 LCF131077:LCG131077 LMB131077:LMC131077 LVX131077:LVY131077 MFT131077:MFU131077 MPP131077:MPQ131077 MZL131077:MZM131077 NJH131077:NJI131077 NTD131077:NTE131077 OCZ131077:ODA131077 OMV131077:OMW131077 OWR131077:OWS131077 PGN131077:PGO131077 PQJ131077:PQK131077 QAF131077:QAG131077 QKB131077:QKC131077 QTX131077:QTY131077 RDT131077:RDU131077 RNP131077:RNQ131077 RXL131077:RXM131077 SHH131077:SHI131077 SRD131077:SRE131077 TAZ131077:TBA131077 TKV131077:TKW131077 TUR131077:TUS131077 UEN131077:UEO131077 UOJ131077:UOK131077 UYF131077:UYG131077 VIB131077:VIC131077 VRX131077:VRY131077 WBT131077:WBU131077 WLP131077:WLQ131077 WVL131077:WVM131077 D196613:E196613 IZ196613:JA196613 SV196613:SW196613 ACR196613:ACS196613 AMN196613:AMO196613 AWJ196613:AWK196613 BGF196613:BGG196613 BQB196613:BQC196613 BZX196613:BZY196613 CJT196613:CJU196613 CTP196613:CTQ196613 DDL196613:DDM196613 DNH196613:DNI196613 DXD196613:DXE196613 EGZ196613:EHA196613 EQV196613:EQW196613 FAR196613:FAS196613 FKN196613:FKO196613 FUJ196613:FUK196613 GEF196613:GEG196613 GOB196613:GOC196613 GXX196613:GXY196613 HHT196613:HHU196613 HRP196613:HRQ196613 IBL196613:IBM196613 ILH196613:ILI196613 IVD196613:IVE196613 JEZ196613:JFA196613 JOV196613:JOW196613 JYR196613:JYS196613 KIN196613:KIO196613 KSJ196613:KSK196613 LCF196613:LCG196613 LMB196613:LMC196613 LVX196613:LVY196613 MFT196613:MFU196613 MPP196613:MPQ196613 MZL196613:MZM196613 NJH196613:NJI196613 NTD196613:NTE196613 OCZ196613:ODA196613 OMV196613:OMW196613 OWR196613:OWS196613 PGN196613:PGO196613 PQJ196613:PQK196613 QAF196613:QAG196613 QKB196613:QKC196613 QTX196613:QTY196613 RDT196613:RDU196613 RNP196613:RNQ196613 RXL196613:RXM196613 SHH196613:SHI196613 SRD196613:SRE196613 TAZ196613:TBA196613 TKV196613:TKW196613 TUR196613:TUS196613 UEN196613:UEO196613 UOJ196613:UOK196613 UYF196613:UYG196613 VIB196613:VIC196613 VRX196613:VRY196613 WBT196613:WBU196613 WLP196613:WLQ196613 WVL196613:WVM196613 D262149:E262149 IZ262149:JA262149 SV262149:SW262149 ACR262149:ACS262149 AMN262149:AMO262149 AWJ262149:AWK262149 BGF262149:BGG262149 BQB262149:BQC262149 BZX262149:BZY262149 CJT262149:CJU262149 CTP262149:CTQ262149 DDL262149:DDM262149 DNH262149:DNI262149 DXD262149:DXE262149 EGZ262149:EHA262149 EQV262149:EQW262149 FAR262149:FAS262149 FKN262149:FKO262149 FUJ262149:FUK262149 GEF262149:GEG262149 GOB262149:GOC262149 GXX262149:GXY262149 HHT262149:HHU262149 HRP262149:HRQ262149 IBL262149:IBM262149 ILH262149:ILI262149 IVD262149:IVE262149 JEZ262149:JFA262149 JOV262149:JOW262149 JYR262149:JYS262149 KIN262149:KIO262149 KSJ262149:KSK262149 LCF262149:LCG262149 LMB262149:LMC262149 LVX262149:LVY262149 MFT262149:MFU262149 MPP262149:MPQ262149 MZL262149:MZM262149 NJH262149:NJI262149 NTD262149:NTE262149 OCZ262149:ODA262149 OMV262149:OMW262149 OWR262149:OWS262149 PGN262149:PGO262149 PQJ262149:PQK262149 QAF262149:QAG262149 QKB262149:QKC262149 QTX262149:QTY262149 RDT262149:RDU262149 RNP262149:RNQ262149 RXL262149:RXM262149 SHH262149:SHI262149 SRD262149:SRE262149 TAZ262149:TBA262149 TKV262149:TKW262149 TUR262149:TUS262149 UEN262149:UEO262149 UOJ262149:UOK262149 UYF262149:UYG262149 VIB262149:VIC262149 VRX262149:VRY262149 WBT262149:WBU262149 WLP262149:WLQ262149 WVL262149:WVM262149 D327685:E327685 IZ327685:JA327685 SV327685:SW327685 ACR327685:ACS327685 AMN327685:AMO327685 AWJ327685:AWK327685 BGF327685:BGG327685 BQB327685:BQC327685 BZX327685:BZY327685 CJT327685:CJU327685 CTP327685:CTQ327685 DDL327685:DDM327685 DNH327685:DNI327685 DXD327685:DXE327685 EGZ327685:EHA327685 EQV327685:EQW327685 FAR327685:FAS327685 FKN327685:FKO327685 FUJ327685:FUK327685 GEF327685:GEG327685 GOB327685:GOC327685 GXX327685:GXY327685 HHT327685:HHU327685 HRP327685:HRQ327685 IBL327685:IBM327685 ILH327685:ILI327685 IVD327685:IVE327685 JEZ327685:JFA327685 JOV327685:JOW327685 JYR327685:JYS327685 KIN327685:KIO327685 KSJ327685:KSK327685 LCF327685:LCG327685 LMB327685:LMC327685 LVX327685:LVY327685 MFT327685:MFU327685 MPP327685:MPQ327685 MZL327685:MZM327685 NJH327685:NJI327685 NTD327685:NTE327685 OCZ327685:ODA327685 OMV327685:OMW327685 OWR327685:OWS327685 PGN327685:PGO327685 PQJ327685:PQK327685 QAF327685:QAG327685 QKB327685:QKC327685 QTX327685:QTY327685 RDT327685:RDU327685 RNP327685:RNQ327685 RXL327685:RXM327685 SHH327685:SHI327685 SRD327685:SRE327685 TAZ327685:TBA327685 TKV327685:TKW327685 TUR327685:TUS327685 UEN327685:UEO327685 UOJ327685:UOK327685 UYF327685:UYG327685 VIB327685:VIC327685 VRX327685:VRY327685 WBT327685:WBU327685 WLP327685:WLQ327685 WVL327685:WVM327685 D393221:E393221 IZ393221:JA393221 SV393221:SW393221 ACR393221:ACS393221 AMN393221:AMO393221 AWJ393221:AWK393221 BGF393221:BGG393221 BQB393221:BQC393221 BZX393221:BZY393221 CJT393221:CJU393221 CTP393221:CTQ393221 DDL393221:DDM393221 DNH393221:DNI393221 DXD393221:DXE393221 EGZ393221:EHA393221 EQV393221:EQW393221 FAR393221:FAS393221 FKN393221:FKO393221 FUJ393221:FUK393221 GEF393221:GEG393221 GOB393221:GOC393221 GXX393221:GXY393221 HHT393221:HHU393221 HRP393221:HRQ393221 IBL393221:IBM393221 ILH393221:ILI393221 IVD393221:IVE393221 JEZ393221:JFA393221 JOV393221:JOW393221 JYR393221:JYS393221 KIN393221:KIO393221 KSJ393221:KSK393221 LCF393221:LCG393221 LMB393221:LMC393221 LVX393221:LVY393221 MFT393221:MFU393221 MPP393221:MPQ393221 MZL393221:MZM393221 NJH393221:NJI393221 NTD393221:NTE393221 OCZ393221:ODA393221 OMV393221:OMW393221 OWR393221:OWS393221 PGN393221:PGO393221 PQJ393221:PQK393221 QAF393221:QAG393221 QKB393221:QKC393221 QTX393221:QTY393221 RDT393221:RDU393221 RNP393221:RNQ393221 RXL393221:RXM393221 SHH393221:SHI393221 SRD393221:SRE393221 TAZ393221:TBA393221 TKV393221:TKW393221 TUR393221:TUS393221 UEN393221:UEO393221 UOJ393221:UOK393221 UYF393221:UYG393221 VIB393221:VIC393221 VRX393221:VRY393221 WBT393221:WBU393221 WLP393221:WLQ393221 WVL393221:WVM393221 D458757:E458757 IZ458757:JA458757 SV458757:SW458757 ACR458757:ACS458757 AMN458757:AMO458757 AWJ458757:AWK458757 BGF458757:BGG458757 BQB458757:BQC458757 BZX458757:BZY458757 CJT458757:CJU458757 CTP458757:CTQ458757 DDL458757:DDM458757 DNH458757:DNI458757 DXD458757:DXE458757 EGZ458757:EHA458757 EQV458757:EQW458757 FAR458757:FAS458757 FKN458757:FKO458757 FUJ458757:FUK458757 GEF458757:GEG458757 GOB458757:GOC458757 GXX458757:GXY458757 HHT458757:HHU458757 HRP458757:HRQ458757 IBL458757:IBM458757 ILH458757:ILI458757 IVD458757:IVE458757 JEZ458757:JFA458757 JOV458757:JOW458757 JYR458757:JYS458757 KIN458757:KIO458757 KSJ458757:KSK458757 LCF458757:LCG458757 LMB458757:LMC458757 LVX458757:LVY458757 MFT458757:MFU458757 MPP458757:MPQ458757 MZL458757:MZM458757 NJH458757:NJI458757 NTD458757:NTE458757 OCZ458757:ODA458757 OMV458757:OMW458757 OWR458757:OWS458757 PGN458757:PGO458757 PQJ458757:PQK458757 QAF458757:QAG458757 QKB458757:QKC458757 QTX458757:QTY458757 RDT458757:RDU458757 RNP458757:RNQ458757 RXL458757:RXM458757 SHH458757:SHI458757 SRD458757:SRE458757 TAZ458757:TBA458757 TKV458757:TKW458757 TUR458757:TUS458757 UEN458757:UEO458757 UOJ458757:UOK458757 UYF458757:UYG458757 VIB458757:VIC458757 VRX458757:VRY458757 WBT458757:WBU458757 WLP458757:WLQ458757 WVL458757:WVM458757 D524293:E524293 IZ524293:JA524293 SV524293:SW524293 ACR524293:ACS524293 AMN524293:AMO524293 AWJ524293:AWK524293 BGF524293:BGG524293 BQB524293:BQC524293 BZX524293:BZY524293 CJT524293:CJU524293 CTP524293:CTQ524293 DDL524293:DDM524293 DNH524293:DNI524293 DXD524293:DXE524293 EGZ524293:EHA524293 EQV524293:EQW524293 FAR524293:FAS524293 FKN524293:FKO524293 FUJ524293:FUK524293 GEF524293:GEG524293 GOB524293:GOC524293 GXX524293:GXY524293 HHT524293:HHU524293 HRP524293:HRQ524293 IBL524293:IBM524293 ILH524293:ILI524293 IVD524293:IVE524293 JEZ524293:JFA524293 JOV524293:JOW524293 JYR524293:JYS524293 KIN524293:KIO524293 KSJ524293:KSK524293 LCF524293:LCG524293 LMB524293:LMC524293 LVX524293:LVY524293 MFT524293:MFU524293 MPP524293:MPQ524293 MZL524293:MZM524293 NJH524293:NJI524293 NTD524293:NTE524293 OCZ524293:ODA524293 OMV524293:OMW524293 OWR524293:OWS524293 PGN524293:PGO524293 PQJ524293:PQK524293 QAF524293:QAG524293 QKB524293:QKC524293 QTX524293:QTY524293 RDT524293:RDU524293 RNP524293:RNQ524293 RXL524293:RXM524293 SHH524293:SHI524293 SRD524293:SRE524293 TAZ524293:TBA524293 TKV524293:TKW524293 TUR524293:TUS524293 UEN524293:UEO524293 UOJ524293:UOK524293 UYF524293:UYG524293 VIB524293:VIC524293 VRX524293:VRY524293 WBT524293:WBU524293 WLP524293:WLQ524293 WVL524293:WVM524293 D589829:E589829 IZ589829:JA589829 SV589829:SW589829 ACR589829:ACS589829 AMN589829:AMO589829 AWJ589829:AWK589829 BGF589829:BGG589829 BQB589829:BQC589829 BZX589829:BZY589829 CJT589829:CJU589829 CTP589829:CTQ589829 DDL589829:DDM589829 DNH589829:DNI589829 DXD589829:DXE589829 EGZ589829:EHA589829 EQV589829:EQW589829 FAR589829:FAS589829 FKN589829:FKO589829 FUJ589829:FUK589829 GEF589829:GEG589829 GOB589829:GOC589829 GXX589829:GXY589829 HHT589829:HHU589829 HRP589829:HRQ589829 IBL589829:IBM589829 ILH589829:ILI589829 IVD589829:IVE589829 JEZ589829:JFA589829 JOV589829:JOW589829 JYR589829:JYS589829 KIN589829:KIO589829 KSJ589829:KSK589829 LCF589829:LCG589829 LMB589829:LMC589829 LVX589829:LVY589829 MFT589829:MFU589829 MPP589829:MPQ589829 MZL589829:MZM589829 NJH589829:NJI589829 NTD589829:NTE589829 OCZ589829:ODA589829 OMV589829:OMW589829 OWR589829:OWS589829 PGN589829:PGO589829 PQJ589829:PQK589829 QAF589829:QAG589829 QKB589829:QKC589829 QTX589829:QTY589829 RDT589829:RDU589829 RNP589829:RNQ589829 RXL589829:RXM589829 SHH589829:SHI589829 SRD589829:SRE589829 TAZ589829:TBA589829 TKV589829:TKW589829 TUR589829:TUS589829 UEN589829:UEO589829 UOJ589829:UOK589829 UYF589829:UYG589829 VIB589829:VIC589829 VRX589829:VRY589829 WBT589829:WBU589829 WLP589829:WLQ589829 WVL589829:WVM589829 D655365:E655365 IZ655365:JA655365 SV655365:SW655365 ACR655365:ACS655365 AMN655365:AMO655365 AWJ655365:AWK655365 BGF655365:BGG655365 BQB655365:BQC655365 BZX655365:BZY655365 CJT655365:CJU655365 CTP655365:CTQ655365 DDL655365:DDM655365 DNH655365:DNI655365 DXD655365:DXE655365 EGZ655365:EHA655365 EQV655365:EQW655365 FAR655365:FAS655365 FKN655365:FKO655365 FUJ655365:FUK655365 GEF655365:GEG655365 GOB655365:GOC655365 GXX655365:GXY655365 HHT655365:HHU655365 HRP655365:HRQ655365 IBL655365:IBM655365 ILH655365:ILI655365 IVD655365:IVE655365 JEZ655365:JFA655365 JOV655365:JOW655365 JYR655365:JYS655365 KIN655365:KIO655365 KSJ655365:KSK655365 LCF655365:LCG655365 LMB655365:LMC655365 LVX655365:LVY655365 MFT655365:MFU655365 MPP655365:MPQ655365 MZL655365:MZM655365 NJH655365:NJI655365 NTD655365:NTE655365 OCZ655365:ODA655365 OMV655365:OMW655365 OWR655365:OWS655365 PGN655365:PGO655365 PQJ655365:PQK655365 QAF655365:QAG655365 QKB655365:QKC655365 QTX655365:QTY655365 RDT655365:RDU655365 RNP655365:RNQ655365 RXL655365:RXM655365 SHH655365:SHI655365 SRD655365:SRE655365 TAZ655365:TBA655365 TKV655365:TKW655365 TUR655365:TUS655365 UEN655365:UEO655365 UOJ655365:UOK655365 UYF655365:UYG655365 VIB655365:VIC655365 VRX655365:VRY655365 WBT655365:WBU655365 WLP655365:WLQ655365 WVL655365:WVM655365 D720901:E720901 IZ720901:JA720901 SV720901:SW720901 ACR720901:ACS720901 AMN720901:AMO720901 AWJ720901:AWK720901 BGF720901:BGG720901 BQB720901:BQC720901 BZX720901:BZY720901 CJT720901:CJU720901 CTP720901:CTQ720901 DDL720901:DDM720901 DNH720901:DNI720901 DXD720901:DXE720901 EGZ720901:EHA720901 EQV720901:EQW720901 FAR720901:FAS720901 FKN720901:FKO720901 FUJ720901:FUK720901 GEF720901:GEG720901 GOB720901:GOC720901 GXX720901:GXY720901 HHT720901:HHU720901 HRP720901:HRQ720901 IBL720901:IBM720901 ILH720901:ILI720901 IVD720901:IVE720901 JEZ720901:JFA720901 JOV720901:JOW720901 JYR720901:JYS720901 KIN720901:KIO720901 KSJ720901:KSK720901 LCF720901:LCG720901 LMB720901:LMC720901 LVX720901:LVY720901 MFT720901:MFU720901 MPP720901:MPQ720901 MZL720901:MZM720901 NJH720901:NJI720901 NTD720901:NTE720901 OCZ720901:ODA720901 OMV720901:OMW720901 OWR720901:OWS720901 PGN720901:PGO720901 PQJ720901:PQK720901 QAF720901:QAG720901 QKB720901:QKC720901 QTX720901:QTY720901 RDT720901:RDU720901 RNP720901:RNQ720901 RXL720901:RXM720901 SHH720901:SHI720901 SRD720901:SRE720901 TAZ720901:TBA720901 TKV720901:TKW720901 TUR720901:TUS720901 UEN720901:UEO720901 UOJ720901:UOK720901 UYF720901:UYG720901 VIB720901:VIC720901 VRX720901:VRY720901 WBT720901:WBU720901 WLP720901:WLQ720901 WVL720901:WVM720901 D786437:E786437 IZ786437:JA786437 SV786437:SW786437 ACR786437:ACS786437 AMN786437:AMO786437 AWJ786437:AWK786437 BGF786437:BGG786437 BQB786437:BQC786437 BZX786437:BZY786437 CJT786437:CJU786437 CTP786437:CTQ786437 DDL786437:DDM786437 DNH786437:DNI786437 DXD786437:DXE786437 EGZ786437:EHA786437 EQV786437:EQW786437 FAR786437:FAS786437 FKN786437:FKO786437 FUJ786437:FUK786437 GEF786437:GEG786437 GOB786437:GOC786437 GXX786437:GXY786437 HHT786437:HHU786437 HRP786437:HRQ786437 IBL786437:IBM786437 ILH786437:ILI786437 IVD786437:IVE786437 JEZ786437:JFA786437 JOV786437:JOW786437 JYR786437:JYS786437 KIN786437:KIO786437 KSJ786437:KSK786437 LCF786437:LCG786437 LMB786437:LMC786437 LVX786437:LVY786437 MFT786437:MFU786437 MPP786437:MPQ786437 MZL786437:MZM786437 NJH786437:NJI786437 NTD786437:NTE786437 OCZ786437:ODA786437 OMV786437:OMW786437 OWR786437:OWS786437 PGN786437:PGO786437 PQJ786437:PQK786437 QAF786437:QAG786437 QKB786437:QKC786437 QTX786437:QTY786437 RDT786437:RDU786437 RNP786437:RNQ786437 RXL786437:RXM786437 SHH786437:SHI786437 SRD786437:SRE786437 TAZ786437:TBA786437 TKV786437:TKW786437 TUR786437:TUS786437 UEN786437:UEO786437 UOJ786437:UOK786437 UYF786437:UYG786437 VIB786437:VIC786437 VRX786437:VRY786437 WBT786437:WBU786437 WLP786437:WLQ786437 WVL786437:WVM786437 D851973:E851973 IZ851973:JA851973 SV851973:SW851973 ACR851973:ACS851973 AMN851973:AMO851973 AWJ851973:AWK851973 BGF851973:BGG851973 BQB851973:BQC851973 BZX851973:BZY851973 CJT851973:CJU851973 CTP851973:CTQ851973 DDL851973:DDM851973 DNH851973:DNI851973 DXD851973:DXE851973 EGZ851973:EHA851973 EQV851973:EQW851973 FAR851973:FAS851973 FKN851973:FKO851973 FUJ851973:FUK851973 GEF851973:GEG851973 GOB851973:GOC851973 GXX851973:GXY851973 HHT851973:HHU851973 HRP851973:HRQ851973 IBL851973:IBM851973 ILH851973:ILI851973 IVD851973:IVE851973 JEZ851973:JFA851973 JOV851973:JOW851973 JYR851973:JYS851973 KIN851973:KIO851973 KSJ851973:KSK851973 LCF851973:LCG851973 LMB851973:LMC851973 LVX851973:LVY851973 MFT851973:MFU851973 MPP851973:MPQ851973 MZL851973:MZM851973 NJH851973:NJI851973 NTD851973:NTE851973 OCZ851973:ODA851973 OMV851973:OMW851973 OWR851973:OWS851973 PGN851973:PGO851973 PQJ851973:PQK851973 QAF851973:QAG851973 QKB851973:QKC851973 QTX851973:QTY851973 RDT851973:RDU851973 RNP851973:RNQ851973 RXL851973:RXM851973 SHH851973:SHI851973 SRD851973:SRE851973 TAZ851973:TBA851973 TKV851973:TKW851973 TUR851973:TUS851973 UEN851973:UEO851973 UOJ851973:UOK851973 UYF851973:UYG851973 VIB851973:VIC851973 VRX851973:VRY851973 WBT851973:WBU851973 WLP851973:WLQ851973 WVL851973:WVM851973 D917509:E917509 IZ917509:JA917509 SV917509:SW917509 ACR917509:ACS917509 AMN917509:AMO917509 AWJ917509:AWK917509 BGF917509:BGG917509 BQB917509:BQC917509 BZX917509:BZY917509 CJT917509:CJU917509 CTP917509:CTQ917509 DDL917509:DDM917509 DNH917509:DNI917509 DXD917509:DXE917509 EGZ917509:EHA917509 EQV917509:EQW917509 FAR917509:FAS917509 FKN917509:FKO917509 FUJ917509:FUK917509 GEF917509:GEG917509 GOB917509:GOC917509 GXX917509:GXY917509 HHT917509:HHU917509 HRP917509:HRQ917509 IBL917509:IBM917509 ILH917509:ILI917509 IVD917509:IVE917509 JEZ917509:JFA917509 JOV917509:JOW917509 JYR917509:JYS917509 KIN917509:KIO917509 KSJ917509:KSK917509 LCF917509:LCG917509 LMB917509:LMC917509 LVX917509:LVY917509 MFT917509:MFU917509 MPP917509:MPQ917509 MZL917509:MZM917509 NJH917509:NJI917509 NTD917509:NTE917509 OCZ917509:ODA917509 OMV917509:OMW917509 OWR917509:OWS917509 PGN917509:PGO917509 PQJ917509:PQK917509 QAF917509:QAG917509 QKB917509:QKC917509 QTX917509:QTY917509 RDT917509:RDU917509 RNP917509:RNQ917509 RXL917509:RXM917509 SHH917509:SHI917509 SRD917509:SRE917509 TAZ917509:TBA917509 TKV917509:TKW917509 TUR917509:TUS917509 UEN917509:UEO917509 UOJ917509:UOK917509 UYF917509:UYG917509 VIB917509:VIC917509 VRX917509:VRY917509 WBT917509:WBU917509 WLP917509:WLQ917509 WVL917509:WVM917509 D983045:E983045 IZ983045:JA983045 SV983045:SW983045 ACR983045:ACS983045 AMN983045:AMO983045 AWJ983045:AWK983045 BGF983045:BGG983045 BQB983045:BQC983045 BZX983045:BZY983045 CJT983045:CJU983045 CTP983045:CTQ983045 DDL983045:DDM983045 DNH983045:DNI983045 DXD983045:DXE983045 EGZ983045:EHA983045 EQV983045:EQW983045 FAR983045:FAS983045 FKN983045:FKO983045 FUJ983045:FUK983045 GEF983045:GEG983045 GOB983045:GOC983045 GXX983045:GXY983045 HHT983045:HHU983045 HRP983045:HRQ983045 IBL983045:IBM983045 ILH983045:ILI983045 IVD983045:IVE983045 JEZ983045:JFA983045 JOV983045:JOW983045 JYR983045:JYS983045 KIN983045:KIO983045 KSJ983045:KSK983045 LCF983045:LCG983045 LMB983045:LMC983045 LVX983045:LVY983045 MFT983045:MFU983045 MPP983045:MPQ983045 MZL983045:MZM983045 NJH983045:NJI983045 NTD983045:NTE983045 OCZ983045:ODA983045 OMV983045:OMW983045 OWR983045:OWS983045 PGN983045:PGO983045 PQJ983045:PQK983045 QAF983045:QAG983045 QKB983045:QKC983045 QTX983045:QTY983045 RDT983045:RDU983045 RNP983045:RNQ983045 RXL983045:RXM983045 SHH983045:SHI983045 SRD983045:SRE983045 TAZ983045:TBA983045 TKV983045:TKW983045 TUR983045:TUS983045 UEN983045:UEO983045 UOJ983045:UOK983045 UYF983045:UYG983045 VIB983045:VIC983045 VRX983045:VRY983045 WBT983045:WBU983045 WLP983045:WLQ983045 WVL983045:WVM983045" xr:uid="{1B11F1A7-782D-4238-B7F0-6A3070D52F35}">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6 IZ65706 SV65706 ACR65706 AMN65706 AWJ65706 BGF65706 BQB65706 BZX65706 CJT65706 CTP65706 DDL65706 DNH65706 DXD65706 EGZ65706 EQV65706 FAR65706 FKN65706 FUJ65706 GEF65706 GOB65706 GXX65706 HHT65706 HRP65706 IBL65706 ILH65706 IVD65706 JEZ65706 JOV65706 JYR65706 KIN65706 KSJ65706 LCF65706 LMB65706 LVX65706 MFT65706 MPP65706 MZL65706 NJH65706 NTD65706 OCZ65706 OMV65706 OWR65706 PGN65706 PQJ65706 QAF65706 QKB65706 QTX65706 RDT65706 RNP65706 RXL65706 SHH65706 SRD65706 TAZ65706 TKV65706 TUR65706 UEN65706 UOJ65706 UYF65706 VIB65706 VRX65706 WBT65706 WLP65706 WVL65706 D131242 IZ131242 SV131242 ACR131242 AMN131242 AWJ131242 BGF131242 BQB131242 BZX131242 CJT131242 CTP131242 DDL131242 DNH131242 DXD131242 EGZ131242 EQV131242 FAR131242 FKN131242 FUJ131242 GEF131242 GOB131242 GXX131242 HHT131242 HRP131242 IBL131242 ILH131242 IVD131242 JEZ131242 JOV131242 JYR131242 KIN131242 KSJ131242 LCF131242 LMB131242 LVX131242 MFT131242 MPP131242 MZL131242 NJH131242 NTD131242 OCZ131242 OMV131242 OWR131242 PGN131242 PQJ131242 QAF131242 QKB131242 QTX131242 RDT131242 RNP131242 RXL131242 SHH131242 SRD131242 TAZ131242 TKV131242 TUR131242 UEN131242 UOJ131242 UYF131242 VIB131242 VRX131242 WBT131242 WLP131242 WVL131242 D196778 IZ196778 SV196778 ACR196778 AMN196778 AWJ196778 BGF196778 BQB196778 BZX196778 CJT196778 CTP196778 DDL196778 DNH196778 DXD196778 EGZ196778 EQV196778 FAR196778 FKN196778 FUJ196778 GEF196778 GOB196778 GXX196778 HHT196778 HRP196778 IBL196778 ILH196778 IVD196778 JEZ196778 JOV196778 JYR196778 KIN196778 KSJ196778 LCF196778 LMB196778 LVX196778 MFT196778 MPP196778 MZL196778 NJH196778 NTD196778 OCZ196778 OMV196778 OWR196778 PGN196778 PQJ196778 QAF196778 QKB196778 QTX196778 RDT196778 RNP196778 RXL196778 SHH196778 SRD196778 TAZ196778 TKV196778 TUR196778 UEN196778 UOJ196778 UYF196778 VIB196778 VRX196778 WBT196778 WLP196778 WVL196778 D262314 IZ262314 SV262314 ACR262314 AMN262314 AWJ262314 BGF262314 BQB262314 BZX262314 CJT262314 CTP262314 DDL262314 DNH262314 DXD262314 EGZ262314 EQV262314 FAR262314 FKN262314 FUJ262314 GEF262314 GOB262314 GXX262314 HHT262314 HRP262314 IBL262314 ILH262314 IVD262314 JEZ262314 JOV262314 JYR262314 KIN262314 KSJ262314 LCF262314 LMB262314 LVX262314 MFT262314 MPP262314 MZL262314 NJH262314 NTD262314 OCZ262314 OMV262314 OWR262314 PGN262314 PQJ262314 QAF262314 QKB262314 QTX262314 RDT262314 RNP262314 RXL262314 SHH262314 SRD262314 TAZ262314 TKV262314 TUR262314 UEN262314 UOJ262314 UYF262314 VIB262314 VRX262314 WBT262314 WLP262314 WVL262314 D327850 IZ327850 SV327850 ACR327850 AMN327850 AWJ327850 BGF327850 BQB327850 BZX327850 CJT327850 CTP327850 DDL327850 DNH327850 DXD327850 EGZ327850 EQV327850 FAR327850 FKN327850 FUJ327850 GEF327850 GOB327850 GXX327850 HHT327850 HRP327850 IBL327850 ILH327850 IVD327850 JEZ327850 JOV327850 JYR327850 KIN327850 KSJ327850 LCF327850 LMB327850 LVX327850 MFT327850 MPP327850 MZL327850 NJH327850 NTD327850 OCZ327850 OMV327850 OWR327850 PGN327850 PQJ327850 QAF327850 QKB327850 QTX327850 RDT327850 RNP327850 RXL327850 SHH327850 SRD327850 TAZ327850 TKV327850 TUR327850 UEN327850 UOJ327850 UYF327850 VIB327850 VRX327850 WBT327850 WLP327850 WVL327850 D393386 IZ393386 SV393386 ACR393386 AMN393386 AWJ393386 BGF393386 BQB393386 BZX393386 CJT393386 CTP393386 DDL393386 DNH393386 DXD393386 EGZ393386 EQV393386 FAR393386 FKN393386 FUJ393386 GEF393386 GOB393386 GXX393386 HHT393386 HRP393386 IBL393386 ILH393386 IVD393386 JEZ393386 JOV393386 JYR393386 KIN393386 KSJ393386 LCF393386 LMB393386 LVX393386 MFT393386 MPP393386 MZL393386 NJH393386 NTD393386 OCZ393386 OMV393386 OWR393386 PGN393386 PQJ393386 QAF393386 QKB393386 QTX393386 RDT393386 RNP393386 RXL393386 SHH393386 SRD393386 TAZ393386 TKV393386 TUR393386 UEN393386 UOJ393386 UYF393386 VIB393386 VRX393386 WBT393386 WLP393386 WVL393386 D458922 IZ458922 SV458922 ACR458922 AMN458922 AWJ458922 BGF458922 BQB458922 BZX458922 CJT458922 CTP458922 DDL458922 DNH458922 DXD458922 EGZ458922 EQV458922 FAR458922 FKN458922 FUJ458922 GEF458922 GOB458922 GXX458922 HHT458922 HRP458922 IBL458922 ILH458922 IVD458922 JEZ458922 JOV458922 JYR458922 KIN458922 KSJ458922 LCF458922 LMB458922 LVX458922 MFT458922 MPP458922 MZL458922 NJH458922 NTD458922 OCZ458922 OMV458922 OWR458922 PGN458922 PQJ458922 QAF458922 QKB458922 QTX458922 RDT458922 RNP458922 RXL458922 SHH458922 SRD458922 TAZ458922 TKV458922 TUR458922 UEN458922 UOJ458922 UYF458922 VIB458922 VRX458922 WBT458922 WLP458922 WVL458922 D524458 IZ524458 SV524458 ACR524458 AMN524458 AWJ524458 BGF524458 BQB524458 BZX524458 CJT524458 CTP524458 DDL524458 DNH524458 DXD524458 EGZ524458 EQV524458 FAR524458 FKN524458 FUJ524458 GEF524458 GOB524458 GXX524458 HHT524458 HRP524458 IBL524458 ILH524458 IVD524458 JEZ524458 JOV524458 JYR524458 KIN524458 KSJ524458 LCF524458 LMB524458 LVX524458 MFT524458 MPP524458 MZL524458 NJH524458 NTD524458 OCZ524458 OMV524458 OWR524458 PGN524458 PQJ524458 QAF524458 QKB524458 QTX524458 RDT524458 RNP524458 RXL524458 SHH524458 SRD524458 TAZ524458 TKV524458 TUR524458 UEN524458 UOJ524458 UYF524458 VIB524458 VRX524458 WBT524458 WLP524458 WVL524458 D589994 IZ589994 SV589994 ACR589994 AMN589994 AWJ589994 BGF589994 BQB589994 BZX589994 CJT589994 CTP589994 DDL589994 DNH589994 DXD589994 EGZ589994 EQV589994 FAR589994 FKN589994 FUJ589994 GEF589994 GOB589994 GXX589994 HHT589994 HRP589994 IBL589994 ILH589994 IVD589994 JEZ589994 JOV589994 JYR589994 KIN589994 KSJ589994 LCF589994 LMB589994 LVX589994 MFT589994 MPP589994 MZL589994 NJH589994 NTD589994 OCZ589994 OMV589994 OWR589994 PGN589994 PQJ589994 QAF589994 QKB589994 QTX589994 RDT589994 RNP589994 RXL589994 SHH589994 SRD589994 TAZ589994 TKV589994 TUR589994 UEN589994 UOJ589994 UYF589994 VIB589994 VRX589994 WBT589994 WLP589994 WVL589994 D655530 IZ655530 SV655530 ACR655530 AMN655530 AWJ655530 BGF655530 BQB655530 BZX655530 CJT655530 CTP655530 DDL655530 DNH655530 DXD655530 EGZ655530 EQV655530 FAR655530 FKN655530 FUJ655530 GEF655530 GOB655530 GXX655530 HHT655530 HRP655530 IBL655530 ILH655530 IVD655530 JEZ655530 JOV655530 JYR655530 KIN655530 KSJ655530 LCF655530 LMB655530 LVX655530 MFT655530 MPP655530 MZL655530 NJH655530 NTD655530 OCZ655530 OMV655530 OWR655530 PGN655530 PQJ655530 QAF655530 QKB655530 QTX655530 RDT655530 RNP655530 RXL655530 SHH655530 SRD655530 TAZ655530 TKV655530 TUR655530 UEN655530 UOJ655530 UYF655530 VIB655530 VRX655530 WBT655530 WLP655530 WVL655530 D721066 IZ721066 SV721066 ACR721066 AMN721066 AWJ721066 BGF721066 BQB721066 BZX721066 CJT721066 CTP721066 DDL721066 DNH721066 DXD721066 EGZ721066 EQV721066 FAR721066 FKN721066 FUJ721066 GEF721066 GOB721066 GXX721066 HHT721066 HRP721066 IBL721066 ILH721066 IVD721066 JEZ721066 JOV721066 JYR721066 KIN721066 KSJ721066 LCF721066 LMB721066 LVX721066 MFT721066 MPP721066 MZL721066 NJH721066 NTD721066 OCZ721066 OMV721066 OWR721066 PGN721066 PQJ721066 QAF721066 QKB721066 QTX721066 RDT721066 RNP721066 RXL721066 SHH721066 SRD721066 TAZ721066 TKV721066 TUR721066 UEN721066 UOJ721066 UYF721066 VIB721066 VRX721066 WBT721066 WLP721066 WVL721066 D786602 IZ786602 SV786602 ACR786602 AMN786602 AWJ786602 BGF786602 BQB786602 BZX786602 CJT786602 CTP786602 DDL786602 DNH786602 DXD786602 EGZ786602 EQV786602 FAR786602 FKN786602 FUJ786602 GEF786602 GOB786602 GXX786602 HHT786602 HRP786602 IBL786602 ILH786602 IVD786602 JEZ786602 JOV786602 JYR786602 KIN786602 KSJ786602 LCF786602 LMB786602 LVX786602 MFT786602 MPP786602 MZL786602 NJH786602 NTD786602 OCZ786602 OMV786602 OWR786602 PGN786602 PQJ786602 QAF786602 QKB786602 QTX786602 RDT786602 RNP786602 RXL786602 SHH786602 SRD786602 TAZ786602 TKV786602 TUR786602 UEN786602 UOJ786602 UYF786602 VIB786602 VRX786602 WBT786602 WLP786602 WVL786602 D852138 IZ852138 SV852138 ACR852138 AMN852138 AWJ852138 BGF852138 BQB852138 BZX852138 CJT852138 CTP852138 DDL852138 DNH852138 DXD852138 EGZ852138 EQV852138 FAR852138 FKN852138 FUJ852138 GEF852138 GOB852138 GXX852138 HHT852138 HRP852138 IBL852138 ILH852138 IVD852138 JEZ852138 JOV852138 JYR852138 KIN852138 KSJ852138 LCF852138 LMB852138 LVX852138 MFT852138 MPP852138 MZL852138 NJH852138 NTD852138 OCZ852138 OMV852138 OWR852138 PGN852138 PQJ852138 QAF852138 QKB852138 QTX852138 RDT852138 RNP852138 RXL852138 SHH852138 SRD852138 TAZ852138 TKV852138 TUR852138 UEN852138 UOJ852138 UYF852138 VIB852138 VRX852138 WBT852138 WLP852138 WVL852138 D917674 IZ917674 SV917674 ACR917674 AMN917674 AWJ917674 BGF917674 BQB917674 BZX917674 CJT917674 CTP917674 DDL917674 DNH917674 DXD917674 EGZ917674 EQV917674 FAR917674 FKN917674 FUJ917674 GEF917674 GOB917674 GXX917674 HHT917674 HRP917674 IBL917674 ILH917674 IVD917674 JEZ917674 JOV917674 JYR917674 KIN917674 KSJ917674 LCF917674 LMB917674 LVX917674 MFT917674 MPP917674 MZL917674 NJH917674 NTD917674 OCZ917674 OMV917674 OWR917674 PGN917674 PQJ917674 QAF917674 QKB917674 QTX917674 RDT917674 RNP917674 RXL917674 SHH917674 SRD917674 TAZ917674 TKV917674 TUR917674 UEN917674 UOJ917674 UYF917674 VIB917674 VRX917674 WBT917674 WLP917674 WVL917674 D983210 IZ983210 SV983210 ACR983210 AMN983210 AWJ983210 BGF983210 BQB983210 BZX983210 CJT983210 CTP983210 DDL983210 DNH983210 DXD983210 EGZ983210 EQV983210 FAR983210 FKN983210 FUJ983210 GEF983210 GOB983210 GXX983210 HHT983210 HRP983210 IBL983210 ILH983210 IVD983210 JEZ983210 JOV983210 JYR983210 KIN983210 KSJ983210 LCF983210 LMB983210 LVX983210 MFT983210 MPP983210 MZL983210 NJH983210 NTD983210 OCZ983210 OMV983210 OWR983210 PGN983210 PQJ983210 QAF983210 QKB983210 QTX983210 RDT983210 RNP983210 RXL983210 SHH983210 SRD983210 TAZ983210 TKV983210 TUR983210 UEN983210 UOJ983210 UYF983210 VIB983210 VRX983210 WBT983210 WLP983210 WVL983210 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xr:uid="{A77D614A-3FC6-44F4-839B-227AFFE4A163}">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6" max="21" man="1"/>
    <brk id="126" max="21" man="1"/>
    <brk id="257" max="21" man="1"/>
  </row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D796-13B4-4F5A-AD0F-41865EFCC88A}">
  <sheetPr>
    <tabColor indexed="50"/>
  </sheetPr>
  <dimension ref="A1:AA581"/>
  <sheetViews>
    <sheetView showZeros="0" view="pageBreakPreview" zoomScale="115" zoomScaleNormal="100" zoomScaleSheetLayoutView="115" workbookViewId="0">
      <selection activeCell="H349" sqref="H34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22" width="4.33203125" style="30"/>
    <col min="23" max="23" width="6.109375" style="30" bestFit="1" customWidth="1"/>
    <col min="24" max="16384" width="4.33203125" style="30"/>
  </cols>
  <sheetData>
    <row r="1" spans="1:24" ht="18" customHeight="1">
      <c r="A1" s="920" t="s">
        <v>0</v>
      </c>
      <c r="B1" s="921"/>
      <c r="C1" s="921"/>
      <c r="D1" s="921"/>
      <c r="E1" s="921"/>
      <c r="F1" s="921"/>
      <c r="G1" s="922"/>
      <c r="H1" s="906" t="str">
        <f>[7]Title!H1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[7]Title!H2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[7]Title!A5</f>
        <v>Prep. By</v>
      </c>
      <c r="B5" s="943"/>
      <c r="C5" s="25" t="str">
        <f>[7]Title!C5</f>
        <v>AP</v>
      </c>
      <c r="D5" s="880" t="str">
        <f>[7]Title!D5</f>
        <v>Checked By</v>
      </c>
      <c r="E5" s="881"/>
      <c r="F5" s="943"/>
      <c r="G5" s="25" t="str">
        <f>[7]Title!G5</f>
        <v>RB</v>
      </c>
      <c r="H5" s="944" t="s">
        <v>1025</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226"/>
      <c r="B6" s="227"/>
      <c r="C6" s="227"/>
      <c r="D6" s="227"/>
      <c r="E6" s="227"/>
      <c r="F6" s="227"/>
      <c r="G6" s="227"/>
      <c r="H6" s="227"/>
      <c r="I6" s="227"/>
      <c r="J6" s="227"/>
      <c r="K6" s="227"/>
      <c r="L6" s="227"/>
      <c r="M6" s="227"/>
      <c r="N6" s="227"/>
      <c r="O6" s="227"/>
      <c r="P6" s="227"/>
      <c r="Q6" s="227"/>
      <c r="R6" s="227"/>
      <c r="S6" s="227"/>
      <c r="T6" s="227"/>
      <c r="U6" s="227"/>
      <c r="V6" s="228"/>
    </row>
    <row r="7" spans="1:24" ht="18" customHeight="1">
      <c r="A7" s="184"/>
      <c r="B7" s="1075" t="s">
        <v>108</v>
      </c>
      <c r="C7" s="1076"/>
      <c r="D7" s="1092" t="s">
        <v>109</v>
      </c>
      <c r="E7" s="1093"/>
      <c r="F7" s="455"/>
      <c r="H7" s="684" t="s">
        <v>507</v>
      </c>
      <c r="I7" s="684"/>
      <c r="J7" s="684"/>
      <c r="K7" s="684"/>
      <c r="L7" s="684"/>
      <c r="M7" s="684"/>
      <c r="P7" s="186"/>
      <c r="S7" s="187" t="s">
        <v>387</v>
      </c>
      <c r="T7" s="1075" t="s">
        <v>509</v>
      </c>
      <c r="U7" s="1076"/>
      <c r="V7" s="185"/>
    </row>
    <row r="8" spans="1:24" ht="18" customHeight="1">
      <c r="A8" s="456"/>
      <c r="F8" s="455"/>
      <c r="T8" s="1075" t="s">
        <v>896</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2800</v>
      </c>
      <c r="I10" s="1091"/>
      <c r="J10" s="1075">
        <v>3200</v>
      </c>
      <c r="K10" s="1076"/>
      <c r="L10" s="1075" t="s">
        <v>6</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4</v>
      </c>
      <c r="I12" s="1076"/>
      <c r="J12" s="192" t="s">
        <v>333</v>
      </c>
      <c r="V12" s="185"/>
    </row>
    <row r="13" spans="1:24" ht="18" customHeight="1">
      <c r="A13" s="184"/>
      <c r="B13" s="47" t="s">
        <v>398</v>
      </c>
      <c r="G13" s="120" t="s">
        <v>498</v>
      </c>
      <c r="H13" s="1075">
        <v>500</v>
      </c>
      <c r="I13" s="1076"/>
      <c r="J13" s="14" t="s">
        <v>305</v>
      </c>
      <c r="T13" s="295"/>
      <c r="U13" s="18"/>
      <c r="V13" s="185"/>
      <c r="W13" s="30" t="e">
        <f>#REF!</f>
        <v>#REF!</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REF615</v>
      </c>
      <c r="E18" s="227"/>
      <c r="F18" s="227"/>
      <c r="G18" s="227"/>
      <c r="H18" s="138"/>
      <c r="I18" s="260" t="s">
        <v>127</v>
      </c>
      <c r="J18" s="1077">
        <f>'CT-VT Burdens'!Q111</f>
        <v>0.02</v>
      </c>
      <c r="K18" s="1078"/>
      <c r="L18" s="3" t="s">
        <v>157</v>
      </c>
      <c r="N18" s="197" t="s">
        <v>510</v>
      </c>
      <c r="V18" s="185"/>
    </row>
    <row r="19" spans="1:25" ht="18" customHeight="1">
      <c r="A19" s="184"/>
      <c r="B19" s="96" t="s">
        <v>405</v>
      </c>
      <c r="C19" s="14"/>
      <c r="D19" s="47" t="str">
        <f>T8</f>
        <v>IDM+</v>
      </c>
      <c r="H19" s="28"/>
      <c r="I19" s="101" t="s">
        <v>127</v>
      </c>
      <c r="J19" s="1077">
        <f>'CT-VT Burdens'!Q149</f>
        <v>5.8000000000000003E-2</v>
      </c>
      <c r="K19" s="1078"/>
      <c r="L19" s="3" t="s">
        <v>157</v>
      </c>
      <c r="N19" s="120" t="s">
        <v>491</v>
      </c>
      <c r="O19" s="27" t="s">
        <v>127</v>
      </c>
      <c r="P19" s="27" t="s">
        <v>511</v>
      </c>
      <c r="Q19" s="27" t="s">
        <v>315</v>
      </c>
      <c r="R19" s="27" t="s">
        <v>511</v>
      </c>
      <c r="S19" s="27" t="s">
        <v>315</v>
      </c>
      <c r="T19" s="27" t="s">
        <v>420</v>
      </c>
      <c r="V19" s="185"/>
    </row>
    <row r="20" spans="1:25" ht="18" customHeight="1">
      <c r="A20" s="184"/>
      <c r="B20" s="96" t="s">
        <v>405</v>
      </c>
      <c r="C20" s="14"/>
      <c r="D20" s="47">
        <f>T9</f>
        <v>0</v>
      </c>
      <c r="H20" s="28"/>
      <c r="I20" s="101" t="s">
        <v>127</v>
      </c>
      <c r="J20" s="1077"/>
      <c r="K20" s="1078"/>
      <c r="L20" s="3" t="s">
        <v>157</v>
      </c>
      <c r="N20" s="27"/>
      <c r="O20" s="27" t="s">
        <v>127</v>
      </c>
      <c r="P20" s="27">
        <f>O10</f>
        <v>1</v>
      </c>
      <c r="Q20" s="27" t="s">
        <v>315</v>
      </c>
      <c r="R20" s="27">
        <f>O10</f>
        <v>1</v>
      </c>
      <c r="S20" s="27" t="s">
        <v>315</v>
      </c>
      <c r="T20" s="27">
        <f>H12</f>
        <v>4</v>
      </c>
      <c r="V20" s="185"/>
    </row>
    <row r="21" spans="1:25" ht="18" customHeight="1">
      <c r="A21" s="184"/>
      <c r="B21" s="452" t="s">
        <v>412</v>
      </c>
      <c r="C21" s="259"/>
      <c r="D21" s="259"/>
      <c r="E21" s="259"/>
      <c r="F21" s="207"/>
      <c r="G21" s="207"/>
      <c r="H21" s="190"/>
      <c r="I21" s="208" t="s">
        <v>127</v>
      </c>
      <c r="J21" s="1081">
        <f>'CT-VT Burdens'!S48</f>
        <v>0</v>
      </c>
      <c r="K21" s="1082"/>
      <c r="L21" s="297" t="s">
        <v>157</v>
      </c>
      <c r="O21" s="27" t="s">
        <v>127</v>
      </c>
      <c r="P21" s="795">
        <f>P20*R20*T20</f>
        <v>4</v>
      </c>
      <c r="Q21" s="684"/>
      <c r="R21" s="27" t="s">
        <v>157</v>
      </c>
      <c r="V21" s="185"/>
    </row>
    <row r="22" spans="1:25" ht="18" customHeight="1">
      <c r="A22" s="184"/>
      <c r="B22" s="1" t="s">
        <v>413</v>
      </c>
      <c r="C22" s="2"/>
      <c r="D22" s="2"/>
      <c r="E22" s="2"/>
      <c r="F22" s="196"/>
      <c r="G22" s="196"/>
      <c r="H22" s="224" t="s">
        <v>512</v>
      </c>
      <c r="I22" s="183" t="s">
        <v>127</v>
      </c>
      <c r="J22" s="722">
        <f>SUM(J18:J21)</f>
        <v>7.8E-2</v>
      </c>
      <c r="K22" s="958"/>
      <c r="L22" s="3" t="s">
        <v>157</v>
      </c>
      <c r="V22" s="185"/>
    </row>
    <row r="23" spans="1:25" ht="18" customHeight="1">
      <c r="A23" s="184"/>
      <c r="B23" s="47"/>
      <c r="C23" s="47"/>
      <c r="D23" s="47"/>
      <c r="E23" s="47"/>
      <c r="H23" s="27"/>
      <c r="I23" s="28"/>
      <c r="J23" s="199"/>
      <c r="L23" s="47"/>
      <c r="S23" s="27"/>
      <c r="V23" s="185"/>
    </row>
    <row r="24" spans="1:25" ht="18" customHeight="1">
      <c r="A24" s="184"/>
      <c r="B24" s="117" t="s">
        <v>513</v>
      </c>
      <c r="Q24" s="211"/>
      <c r="R24" s="192"/>
      <c r="V24" s="185"/>
    </row>
    <row r="25" spans="1:25" ht="18" customHeight="1">
      <c r="A25" s="184"/>
      <c r="B25" s="1074" t="s">
        <v>417</v>
      </c>
      <c r="C25" s="800"/>
      <c r="D25" s="800"/>
      <c r="E25" s="689">
        <v>1.5</v>
      </c>
      <c r="F25" s="689" t="s">
        <v>315</v>
      </c>
      <c r="G25" s="790" t="s">
        <v>481</v>
      </c>
      <c r="H25" s="790" t="s">
        <v>482</v>
      </c>
      <c r="I25" s="803"/>
      <c r="J25" s="689" t="s">
        <v>315</v>
      </c>
      <c r="K25" s="689" t="s">
        <v>419</v>
      </c>
      <c r="L25" s="689" t="s">
        <v>440</v>
      </c>
      <c r="M25" s="729" t="s">
        <v>347</v>
      </c>
      <c r="N25" s="689" t="s">
        <v>447</v>
      </c>
      <c r="O25" s="689" t="s">
        <v>347</v>
      </c>
      <c r="P25" s="759" t="s">
        <v>448</v>
      </c>
      <c r="Q25" s="759"/>
      <c r="R25" s="759"/>
      <c r="S25" s="798" t="s">
        <v>350</v>
      </c>
      <c r="T25" s="1073" t="s">
        <v>422</v>
      </c>
      <c r="V25" s="185"/>
    </row>
    <row r="26" spans="1:25" ht="18" customHeight="1">
      <c r="A26" s="184"/>
      <c r="B26" s="800"/>
      <c r="C26" s="800"/>
      <c r="D26" s="800"/>
      <c r="E26" s="689"/>
      <c r="F26" s="689"/>
      <c r="G26" s="689"/>
      <c r="H26" s="684" t="s">
        <v>483</v>
      </c>
      <c r="I26" s="804"/>
      <c r="J26" s="689"/>
      <c r="K26" s="689"/>
      <c r="L26" s="689"/>
      <c r="M26" s="729"/>
      <c r="N26" s="689"/>
      <c r="O26" s="689"/>
      <c r="P26" s="28" t="s">
        <v>438</v>
      </c>
      <c r="Q26" s="28" t="s">
        <v>315</v>
      </c>
      <c r="R26" s="28" t="s">
        <v>438</v>
      </c>
      <c r="S26" s="798"/>
      <c r="T26" s="1073"/>
      <c r="V26" s="112"/>
    </row>
    <row r="27" spans="1:25" ht="18" customHeight="1">
      <c r="A27" s="184"/>
      <c r="C27" s="28"/>
      <c r="D27" s="28"/>
      <c r="E27" s="28"/>
      <c r="F27" s="28"/>
      <c r="G27" s="28"/>
      <c r="H27" s="689"/>
      <c r="I27" s="716"/>
      <c r="J27" s="28"/>
      <c r="K27" s="28"/>
      <c r="L27" s="28"/>
      <c r="M27" s="28"/>
      <c r="N27" s="47"/>
      <c r="O27" s="28"/>
      <c r="V27" s="185"/>
    </row>
    <row r="28" spans="1:25" ht="18" customHeight="1">
      <c r="A28" s="184"/>
      <c r="C28" s="30" t="s">
        <v>514</v>
      </c>
      <c r="R28" s="27" t="s">
        <v>127</v>
      </c>
      <c r="S28" s="684">
        <v>6</v>
      </c>
      <c r="T28" s="684"/>
      <c r="V28" s="185"/>
    </row>
    <row r="29" spans="1:25" ht="18" customHeight="1">
      <c r="A29" s="168"/>
      <c r="B29" s="5"/>
      <c r="C29" s="296" t="s">
        <v>515</v>
      </c>
      <c r="D29" s="14"/>
      <c r="E29" s="14"/>
      <c r="F29" s="14"/>
      <c r="G29" s="14"/>
      <c r="H29" s="279"/>
      <c r="I29" s="120"/>
      <c r="J29" s="279"/>
      <c r="K29" s="279"/>
      <c r="L29" s="14"/>
      <c r="M29" s="14"/>
      <c r="N29" s="14"/>
      <c r="O29" s="14"/>
      <c r="P29" s="14"/>
      <c r="Q29" s="244" t="s">
        <v>481</v>
      </c>
      <c r="R29" s="102" t="s">
        <v>127</v>
      </c>
      <c r="S29" s="689">
        <f>S28*S30</f>
        <v>16800</v>
      </c>
      <c r="T29" s="689"/>
      <c r="U29" s="47" t="s">
        <v>8</v>
      </c>
      <c r="V29" s="185"/>
    </row>
    <row r="30" spans="1:25" ht="18" customHeight="1">
      <c r="A30" s="168"/>
      <c r="B30" s="5"/>
      <c r="C30" s="47" t="s">
        <v>516</v>
      </c>
      <c r="D30" s="14"/>
      <c r="E30" s="14"/>
      <c r="F30" s="18"/>
      <c r="G30" s="18"/>
      <c r="H30" s="279"/>
      <c r="I30" s="120"/>
      <c r="J30" s="279"/>
      <c r="K30" s="279"/>
      <c r="L30" s="14"/>
      <c r="M30" s="14"/>
      <c r="N30" s="14"/>
      <c r="O30" s="14"/>
      <c r="P30" s="14"/>
      <c r="Q30" s="244" t="s">
        <v>483</v>
      </c>
      <c r="R30" s="102" t="s">
        <v>127</v>
      </c>
      <c r="S30" s="689">
        <f>H10</f>
        <v>2800</v>
      </c>
      <c r="T30" s="689"/>
      <c r="U30" s="14" t="s">
        <v>8</v>
      </c>
      <c r="V30" s="185"/>
    </row>
    <row r="31" spans="1:25" ht="18" customHeight="1">
      <c r="A31" s="168"/>
      <c r="B31" s="5"/>
      <c r="C31" s="47" t="s">
        <v>517</v>
      </c>
      <c r="D31" s="14"/>
      <c r="E31" s="14"/>
      <c r="F31" s="18"/>
      <c r="G31" s="18"/>
      <c r="H31" s="279"/>
      <c r="I31" s="120"/>
      <c r="J31" s="279"/>
      <c r="K31" s="279"/>
      <c r="L31" s="14"/>
      <c r="M31" s="14"/>
      <c r="N31" s="14"/>
      <c r="O31" s="14"/>
      <c r="P31" s="14"/>
      <c r="Q31" s="244" t="s">
        <v>482</v>
      </c>
      <c r="R31" s="102" t="s">
        <v>127</v>
      </c>
      <c r="S31" s="689">
        <f>O10</f>
        <v>1</v>
      </c>
      <c r="T31" s="689"/>
      <c r="U31" s="30" t="s">
        <v>8</v>
      </c>
      <c r="V31" s="185"/>
    </row>
    <row r="32" spans="1:25" ht="18" customHeight="1">
      <c r="A32" s="168"/>
      <c r="B32" s="5"/>
      <c r="C32" s="47" t="s">
        <v>518</v>
      </c>
      <c r="D32" s="14"/>
      <c r="E32" s="14"/>
      <c r="F32" s="18"/>
      <c r="G32" s="18"/>
      <c r="H32" s="279"/>
      <c r="I32" s="120"/>
      <c r="J32" s="279"/>
      <c r="K32" s="279"/>
      <c r="L32" s="14"/>
      <c r="M32" s="14"/>
      <c r="N32" s="14"/>
      <c r="O32" s="14"/>
      <c r="P32" s="14"/>
      <c r="Q32" s="244" t="s">
        <v>146</v>
      </c>
      <c r="R32" s="102" t="s">
        <v>127</v>
      </c>
      <c r="S32" s="834">
        <f>O10</f>
        <v>1</v>
      </c>
      <c r="T32" s="834"/>
      <c r="U32" s="30" t="s">
        <v>8</v>
      </c>
      <c r="V32" s="185"/>
      <c r="W32" s="279"/>
      <c r="X32" s="279"/>
      <c r="Y32" s="279"/>
    </row>
    <row r="33" spans="1:25" ht="18" customHeight="1">
      <c r="A33" s="168"/>
      <c r="B33" s="5"/>
      <c r="C33" s="296" t="s">
        <v>519</v>
      </c>
      <c r="D33" s="14"/>
      <c r="E33" s="14"/>
      <c r="F33" s="18"/>
      <c r="G33" s="18"/>
      <c r="H33" s="279"/>
      <c r="I33" s="120"/>
      <c r="J33" s="279"/>
      <c r="K33" s="279"/>
      <c r="L33" s="14"/>
      <c r="M33" s="14"/>
      <c r="N33" s="14"/>
      <c r="O33" s="14"/>
      <c r="P33" s="14"/>
      <c r="Q33" s="244" t="s">
        <v>420</v>
      </c>
      <c r="R33" s="102" t="s">
        <v>127</v>
      </c>
      <c r="S33" s="692">
        <f>H12</f>
        <v>4</v>
      </c>
      <c r="T33" s="689"/>
      <c r="U33" s="30" t="s">
        <v>520</v>
      </c>
      <c r="V33" s="185"/>
      <c r="X33" s="279"/>
      <c r="Y33" s="279"/>
    </row>
    <row r="34" spans="1:25" ht="18" customHeight="1">
      <c r="A34" s="168"/>
      <c r="B34" s="5"/>
      <c r="C34" s="296" t="s">
        <v>521</v>
      </c>
      <c r="D34" s="14"/>
      <c r="E34" s="14"/>
      <c r="F34" s="14"/>
      <c r="G34" s="14"/>
      <c r="H34" s="279"/>
      <c r="I34" s="120"/>
      <c r="J34" s="279"/>
      <c r="K34" s="279"/>
      <c r="L34" s="14"/>
      <c r="M34" s="14"/>
      <c r="N34" s="14"/>
      <c r="O34" s="14"/>
      <c r="P34" s="14"/>
      <c r="Q34" s="244" t="s">
        <v>522</v>
      </c>
      <c r="R34" s="102" t="s">
        <v>127</v>
      </c>
      <c r="S34" s="692">
        <f>J22</f>
        <v>7.8E-2</v>
      </c>
      <c r="T34" s="689"/>
      <c r="U34" s="30" t="s">
        <v>520</v>
      </c>
      <c r="V34" s="185"/>
      <c r="X34" s="279"/>
      <c r="Y34" s="279"/>
    </row>
    <row r="35" spans="1:25" ht="18" customHeight="1">
      <c r="A35" s="168"/>
      <c r="B35" s="5"/>
      <c r="C35" s="296" t="s">
        <v>523</v>
      </c>
      <c r="D35" s="14"/>
      <c r="E35" s="14"/>
      <c r="F35" s="14"/>
      <c r="G35" s="14"/>
      <c r="H35" s="279"/>
      <c r="I35" s="120"/>
      <c r="J35" s="279"/>
      <c r="K35" s="279"/>
      <c r="L35" s="14"/>
      <c r="M35" s="14"/>
      <c r="N35" s="14"/>
      <c r="O35" s="14"/>
      <c r="P35" s="14"/>
      <c r="Q35" s="244" t="s">
        <v>524</v>
      </c>
      <c r="R35" s="102" t="s">
        <v>127</v>
      </c>
      <c r="S35" s="692">
        <f>J18</f>
        <v>0.02</v>
      </c>
      <c r="T35" s="689"/>
      <c r="U35" s="296" t="s">
        <v>157</v>
      </c>
      <c r="V35" s="185"/>
    </row>
    <row r="36" spans="1:25" ht="18" customHeight="1">
      <c r="A36" s="299"/>
      <c r="B36" s="279"/>
      <c r="C36" s="47"/>
      <c r="D36" s="14"/>
      <c r="E36" s="14"/>
      <c r="F36" s="14"/>
      <c r="G36" s="14"/>
      <c r="H36" s="279"/>
      <c r="I36" s="120"/>
      <c r="J36" s="279"/>
      <c r="K36" s="279"/>
      <c r="L36" s="14"/>
      <c r="M36" s="14"/>
      <c r="N36" s="279"/>
      <c r="O36" s="279"/>
      <c r="P36" s="14"/>
      <c r="Q36" s="120"/>
      <c r="R36" s="14"/>
      <c r="S36" s="279"/>
      <c r="T36" s="279"/>
      <c r="U36" s="279"/>
      <c r="V36" s="300"/>
      <c r="W36" s="279"/>
      <c r="X36" s="279"/>
      <c r="Y36" s="279"/>
    </row>
    <row r="37" spans="1:25" ht="18" customHeight="1">
      <c r="A37" s="184"/>
      <c r="B37" s="684" t="s">
        <v>417</v>
      </c>
      <c r="C37" s="684"/>
      <c r="D37" s="689">
        <v>1.5</v>
      </c>
      <c r="E37" s="684" t="s">
        <v>315</v>
      </c>
      <c r="F37" s="689">
        <f>S29</f>
        <v>16800</v>
      </c>
      <c r="G37" s="689"/>
      <c r="H37" s="684" t="s">
        <v>315</v>
      </c>
      <c r="I37" s="790">
        <f>S31</f>
        <v>1</v>
      </c>
      <c r="J37" s="790"/>
      <c r="K37" s="684" t="s">
        <v>315</v>
      </c>
      <c r="L37" s="684" t="s">
        <v>419</v>
      </c>
      <c r="M37" s="1317">
        <f>S33</f>
        <v>4</v>
      </c>
      <c r="N37" s="684" t="s">
        <v>347</v>
      </c>
      <c r="O37" s="795">
        <f>S34</f>
        <v>7.8E-2</v>
      </c>
      <c r="P37" s="684" t="s">
        <v>347</v>
      </c>
      <c r="Q37" s="1071">
        <f>S35</f>
        <v>0.02</v>
      </c>
      <c r="R37" s="790"/>
      <c r="S37" s="790"/>
      <c r="T37" s="684" t="s">
        <v>350</v>
      </c>
      <c r="V37" s="185"/>
    </row>
    <row r="38" spans="1:25" ht="18" customHeight="1">
      <c r="A38" s="184"/>
      <c r="B38" s="684"/>
      <c r="C38" s="684"/>
      <c r="D38" s="689"/>
      <c r="E38" s="684"/>
      <c r="F38" s="689"/>
      <c r="G38" s="689"/>
      <c r="H38" s="684"/>
      <c r="I38" s="684">
        <f>S30</f>
        <v>2800</v>
      </c>
      <c r="J38" s="684"/>
      <c r="K38" s="684"/>
      <c r="L38" s="684"/>
      <c r="M38" s="1317"/>
      <c r="N38" s="684"/>
      <c r="O38" s="684"/>
      <c r="P38" s="684"/>
      <c r="Q38" s="503">
        <f>S32</f>
        <v>1</v>
      </c>
      <c r="R38" s="27" t="s">
        <v>315</v>
      </c>
      <c r="S38" s="503">
        <f>S32</f>
        <v>1</v>
      </c>
      <c r="T38" s="684"/>
      <c r="V38" s="185"/>
    </row>
    <row r="39" spans="1:25" ht="18" customHeight="1">
      <c r="A39" s="184"/>
      <c r="C39" s="120"/>
      <c r="D39" s="28"/>
      <c r="E39" s="28"/>
      <c r="F39" s="28"/>
      <c r="G39" s="28"/>
      <c r="H39" s="14"/>
      <c r="I39" s="14"/>
      <c r="J39" s="28"/>
      <c r="K39" s="28"/>
      <c r="L39" s="28"/>
      <c r="M39" s="28"/>
      <c r="N39" s="47"/>
      <c r="O39" s="502"/>
      <c r="V39" s="185"/>
    </row>
    <row r="40" spans="1:25" ht="18" customHeight="1">
      <c r="A40" s="184"/>
      <c r="C40" s="27" t="s">
        <v>127</v>
      </c>
      <c r="D40" s="1072">
        <f>ROUNDUP(D37*F37*(I37/I38)*(M37+O37+(Q37/(Q38*S38))),2)</f>
        <v>36.89</v>
      </c>
      <c r="E40" s="1072"/>
      <c r="F40" s="286" t="s">
        <v>305</v>
      </c>
      <c r="G40" s="27"/>
      <c r="V40" s="185"/>
    </row>
    <row r="41" spans="1:25" ht="18" customHeight="1">
      <c r="A41" s="184"/>
      <c r="V41" s="185"/>
    </row>
    <row r="42" spans="1:25" ht="18" customHeight="1">
      <c r="A42" s="184"/>
      <c r="V42" s="185"/>
    </row>
    <row r="43" spans="1:25" ht="18" customHeight="1">
      <c r="A43" s="184"/>
      <c r="V43" s="185"/>
    </row>
    <row r="44" spans="1:25" ht="18" customHeight="1">
      <c r="A44" s="452"/>
      <c r="B44" s="207"/>
      <c r="C44" s="207"/>
      <c r="D44" s="207"/>
      <c r="E44" s="207"/>
      <c r="F44" s="207"/>
      <c r="G44" s="207"/>
      <c r="H44" s="207"/>
      <c r="I44" s="207"/>
      <c r="J44" s="207"/>
      <c r="K44" s="207"/>
      <c r="L44" s="207"/>
      <c r="M44" s="207"/>
      <c r="N44" s="207"/>
      <c r="O44" s="207"/>
      <c r="P44" s="207"/>
      <c r="Q44" s="207"/>
      <c r="R44" s="207"/>
      <c r="S44" s="207"/>
      <c r="T44" s="207"/>
      <c r="U44" s="207"/>
      <c r="V44" s="453"/>
    </row>
    <row r="45" spans="1:25" ht="18" customHeight="1">
      <c r="A45" s="290"/>
      <c r="B45" s="196"/>
      <c r="C45" s="196"/>
      <c r="D45" s="196"/>
      <c r="E45" s="196"/>
      <c r="F45" s="196"/>
      <c r="G45" s="196"/>
      <c r="H45" s="196"/>
      <c r="I45" s="196"/>
      <c r="J45" s="196"/>
      <c r="K45" s="196"/>
      <c r="L45" s="196"/>
      <c r="M45" s="196"/>
      <c r="N45" s="196"/>
      <c r="O45" s="196"/>
      <c r="P45" s="196"/>
      <c r="Q45" s="196"/>
      <c r="R45" s="196"/>
      <c r="S45" s="196"/>
      <c r="T45" s="196"/>
      <c r="U45" s="196"/>
      <c r="V45" s="291"/>
    </row>
    <row r="46" spans="1:25"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5" ht="18" customHeight="1">
      <c r="A47" s="184"/>
      <c r="B47" s="117" t="s">
        <v>525</v>
      </c>
      <c r="V47" s="185"/>
    </row>
    <row r="48" spans="1:25" ht="18" customHeight="1">
      <c r="A48" s="184"/>
      <c r="V48" s="185"/>
    </row>
    <row r="49" spans="1:25" ht="18" customHeight="1">
      <c r="A49" s="184"/>
      <c r="B49" s="1074" t="s">
        <v>417</v>
      </c>
      <c r="C49" s="800"/>
      <c r="D49" s="800"/>
      <c r="E49" s="689">
        <v>20</v>
      </c>
      <c r="F49" s="689" t="s">
        <v>315</v>
      </c>
      <c r="G49" s="790" t="s">
        <v>481</v>
      </c>
      <c r="H49" s="790" t="s">
        <v>482</v>
      </c>
      <c r="I49" s="803"/>
      <c r="J49" s="689" t="s">
        <v>315</v>
      </c>
      <c r="K49" s="689" t="s">
        <v>419</v>
      </c>
      <c r="L49" s="689" t="s">
        <v>440</v>
      </c>
      <c r="M49" s="729" t="s">
        <v>347</v>
      </c>
      <c r="N49" s="689" t="s">
        <v>447</v>
      </c>
      <c r="O49" s="689" t="s">
        <v>347</v>
      </c>
      <c r="P49" s="759" t="s">
        <v>448</v>
      </c>
      <c r="Q49" s="759"/>
      <c r="R49" s="759"/>
      <c r="S49" s="798" t="s">
        <v>350</v>
      </c>
      <c r="T49" s="1073" t="s">
        <v>422</v>
      </c>
      <c r="V49" s="185"/>
    </row>
    <row r="50" spans="1:25" ht="18" customHeight="1">
      <c r="A50" s="184"/>
      <c r="B50" s="800"/>
      <c r="C50" s="800"/>
      <c r="D50" s="800"/>
      <c r="E50" s="689"/>
      <c r="F50" s="689"/>
      <c r="G50" s="689"/>
      <c r="H50" s="684" t="s">
        <v>483</v>
      </c>
      <c r="I50" s="804"/>
      <c r="J50" s="689"/>
      <c r="K50" s="689"/>
      <c r="L50" s="689"/>
      <c r="M50" s="729"/>
      <c r="N50" s="689"/>
      <c r="O50" s="689"/>
      <c r="P50" s="28" t="s">
        <v>438</v>
      </c>
      <c r="Q50" s="28" t="s">
        <v>315</v>
      </c>
      <c r="R50" s="28" t="s">
        <v>438</v>
      </c>
      <c r="S50" s="798"/>
      <c r="T50" s="1073"/>
      <c r="V50" s="112"/>
    </row>
    <row r="51" spans="1:25" ht="18" customHeight="1">
      <c r="A51" s="184"/>
      <c r="C51" s="28"/>
      <c r="D51" s="28"/>
      <c r="E51" s="28"/>
      <c r="F51" s="28"/>
      <c r="G51" s="28"/>
      <c r="H51" s="689"/>
      <c r="I51" s="716"/>
      <c r="J51" s="28"/>
      <c r="K51" s="28"/>
      <c r="L51" s="28"/>
      <c r="M51" s="28"/>
      <c r="N51" s="47"/>
      <c r="O51" s="28"/>
      <c r="V51" s="185"/>
    </row>
    <row r="52" spans="1:25" ht="18" customHeight="1">
      <c r="A52" s="184"/>
      <c r="C52" s="30" t="s">
        <v>526</v>
      </c>
      <c r="R52" s="27" t="s">
        <v>127</v>
      </c>
      <c r="S52" s="684">
        <v>1.2</v>
      </c>
      <c r="T52" s="684"/>
      <c r="V52" s="185"/>
    </row>
    <row r="53" spans="1:25" ht="18" customHeight="1">
      <c r="A53" s="168"/>
      <c r="B53" s="5"/>
      <c r="C53" s="296" t="s">
        <v>515</v>
      </c>
      <c r="D53" s="14"/>
      <c r="E53" s="14"/>
      <c r="F53" s="14"/>
      <c r="G53" s="14"/>
      <c r="H53" s="279"/>
      <c r="I53" s="120"/>
      <c r="J53" s="279"/>
      <c r="K53" s="279"/>
      <c r="L53" s="14"/>
      <c r="M53" s="14"/>
      <c r="N53" s="14"/>
      <c r="O53" s="14"/>
      <c r="P53" s="14"/>
      <c r="Q53" s="244" t="s">
        <v>481</v>
      </c>
      <c r="R53" s="102" t="s">
        <v>127</v>
      </c>
      <c r="S53" s="689">
        <f>S52*S54</f>
        <v>3360</v>
      </c>
      <c r="T53" s="689"/>
      <c r="U53" s="47" t="s">
        <v>8</v>
      </c>
      <c r="V53" s="185"/>
    </row>
    <row r="54" spans="1:25" ht="18" customHeight="1">
      <c r="A54" s="168"/>
      <c r="B54" s="5"/>
      <c r="C54" s="47" t="s">
        <v>516</v>
      </c>
      <c r="D54" s="14"/>
      <c r="E54" s="14"/>
      <c r="F54" s="18"/>
      <c r="G54" s="18"/>
      <c r="H54" s="279"/>
      <c r="I54" s="120"/>
      <c r="J54" s="279"/>
      <c r="K54" s="279"/>
      <c r="L54" s="14"/>
      <c r="M54" s="14"/>
      <c r="N54" s="14"/>
      <c r="O54" s="14"/>
      <c r="P54" s="14"/>
      <c r="Q54" s="244" t="s">
        <v>483</v>
      </c>
      <c r="R54" s="102" t="s">
        <v>127</v>
      </c>
      <c r="S54" s="689">
        <f>H10</f>
        <v>2800</v>
      </c>
      <c r="T54" s="689"/>
      <c r="U54" s="14" t="s">
        <v>8</v>
      </c>
      <c r="V54" s="185"/>
    </row>
    <row r="55" spans="1:25" ht="18" customHeight="1">
      <c r="A55" s="168"/>
      <c r="B55" s="5"/>
      <c r="C55" s="47" t="s">
        <v>517</v>
      </c>
      <c r="D55" s="14"/>
      <c r="E55" s="14"/>
      <c r="F55" s="18"/>
      <c r="G55" s="18"/>
      <c r="H55" s="279"/>
      <c r="I55" s="120"/>
      <c r="J55" s="279"/>
      <c r="K55" s="279"/>
      <c r="L55" s="14"/>
      <c r="M55" s="14"/>
      <c r="N55" s="14"/>
      <c r="O55" s="14"/>
      <c r="P55" s="14"/>
      <c r="Q55" s="244" t="s">
        <v>482</v>
      </c>
      <c r="R55" s="102" t="s">
        <v>127</v>
      </c>
      <c r="S55" s="689">
        <f>O10</f>
        <v>1</v>
      </c>
      <c r="T55" s="689"/>
      <c r="U55" s="30" t="s">
        <v>8</v>
      </c>
      <c r="V55" s="185"/>
    </row>
    <row r="56" spans="1:25" ht="18" customHeight="1">
      <c r="A56" s="168"/>
      <c r="B56" s="5"/>
      <c r="C56" s="47" t="s">
        <v>518</v>
      </c>
      <c r="D56" s="14"/>
      <c r="E56" s="14"/>
      <c r="F56" s="18"/>
      <c r="G56" s="18"/>
      <c r="H56" s="279"/>
      <c r="I56" s="120"/>
      <c r="J56" s="279"/>
      <c r="K56" s="279"/>
      <c r="L56" s="14"/>
      <c r="M56" s="14"/>
      <c r="N56" s="14"/>
      <c r="O56" s="14"/>
      <c r="P56" s="14"/>
      <c r="Q56" s="244" t="s">
        <v>146</v>
      </c>
      <c r="R56" s="102" t="s">
        <v>127</v>
      </c>
      <c r="S56" s="834">
        <f>S32</f>
        <v>1</v>
      </c>
      <c r="T56" s="834"/>
      <c r="U56" s="30" t="s">
        <v>8</v>
      </c>
      <c r="V56" s="185"/>
      <c r="W56" s="279"/>
      <c r="X56" s="279"/>
      <c r="Y56" s="279"/>
    </row>
    <row r="57" spans="1:25" ht="18" customHeight="1">
      <c r="A57" s="168"/>
      <c r="B57" s="5"/>
      <c r="C57" s="296" t="s">
        <v>519</v>
      </c>
      <c r="D57" s="14"/>
      <c r="E57" s="14"/>
      <c r="F57" s="18"/>
      <c r="G57" s="18"/>
      <c r="H57" s="279"/>
      <c r="I57" s="120"/>
      <c r="J57" s="279"/>
      <c r="K57" s="279"/>
      <c r="L57" s="14"/>
      <c r="M57" s="14"/>
      <c r="N57" s="14"/>
      <c r="O57" s="14"/>
      <c r="P57" s="14"/>
      <c r="Q57" s="244" t="s">
        <v>420</v>
      </c>
      <c r="R57" s="102" t="s">
        <v>127</v>
      </c>
      <c r="S57" s="692">
        <f>H12</f>
        <v>4</v>
      </c>
      <c r="T57" s="689"/>
      <c r="U57" s="30" t="s">
        <v>520</v>
      </c>
      <c r="V57" s="185"/>
      <c r="X57" s="279"/>
      <c r="Y57" s="279"/>
    </row>
    <row r="58" spans="1:25" ht="18" customHeight="1">
      <c r="A58" s="168"/>
      <c r="B58" s="5"/>
      <c r="C58" s="296" t="s">
        <v>521</v>
      </c>
      <c r="D58" s="14"/>
      <c r="E58" s="14"/>
      <c r="F58" s="14"/>
      <c r="G58" s="14"/>
      <c r="H58" s="279"/>
      <c r="I58" s="120"/>
      <c r="J58" s="279"/>
      <c r="K58" s="279"/>
      <c r="L58" s="14"/>
      <c r="M58" s="14"/>
      <c r="N58" s="14"/>
      <c r="O58" s="14"/>
      <c r="P58" s="14"/>
      <c r="Q58" s="244" t="s">
        <v>522</v>
      </c>
      <c r="R58" s="102" t="s">
        <v>127</v>
      </c>
      <c r="S58" s="692">
        <f>J22</f>
        <v>7.8E-2</v>
      </c>
      <c r="T58" s="689"/>
      <c r="U58" s="30" t="s">
        <v>520</v>
      </c>
      <c r="V58" s="185"/>
      <c r="X58" s="279"/>
      <c r="Y58" s="279"/>
    </row>
    <row r="59" spans="1:25" ht="18" customHeight="1">
      <c r="A59" s="168"/>
      <c r="B59" s="5"/>
      <c r="C59" s="296" t="s">
        <v>523</v>
      </c>
      <c r="D59" s="14"/>
      <c r="E59" s="14"/>
      <c r="F59" s="14"/>
      <c r="G59" s="14"/>
      <c r="H59" s="279"/>
      <c r="I59" s="120"/>
      <c r="J59" s="279"/>
      <c r="K59" s="279"/>
      <c r="L59" s="14"/>
      <c r="M59" s="14"/>
      <c r="N59" s="14"/>
      <c r="O59" s="14"/>
      <c r="P59" s="14"/>
      <c r="Q59" s="244" t="s">
        <v>524</v>
      </c>
      <c r="R59" s="102" t="s">
        <v>127</v>
      </c>
      <c r="S59" s="795">
        <f>J18</f>
        <v>0.02</v>
      </c>
      <c r="T59" s="689"/>
      <c r="U59" s="296" t="s">
        <v>157</v>
      </c>
      <c r="V59" s="185"/>
    </row>
    <row r="60" spans="1:25" ht="18" customHeight="1">
      <c r="A60" s="299"/>
      <c r="B60" s="279"/>
      <c r="C60" s="47"/>
      <c r="D60" s="14"/>
      <c r="E60" s="14"/>
      <c r="F60" s="14"/>
      <c r="G60" s="14"/>
      <c r="H60" s="279"/>
      <c r="I60" s="120"/>
      <c r="J60" s="279"/>
      <c r="K60" s="279"/>
      <c r="L60" s="14"/>
      <c r="M60" s="14"/>
      <c r="N60" s="279"/>
      <c r="O60" s="279"/>
      <c r="P60" s="14"/>
      <c r="Q60" s="120"/>
      <c r="R60" s="14"/>
      <c r="S60" s="279"/>
      <c r="T60" s="279"/>
      <c r="U60" s="279"/>
      <c r="V60" s="300"/>
      <c r="W60" s="279"/>
      <c r="X60" s="279"/>
      <c r="Y60" s="279"/>
    </row>
    <row r="61" spans="1:25" ht="18" customHeight="1">
      <c r="A61" s="184"/>
      <c r="B61" s="684" t="s">
        <v>417</v>
      </c>
      <c r="C61" s="684"/>
      <c r="D61" s="689">
        <f>E49</f>
        <v>20</v>
      </c>
      <c r="E61" s="684" t="s">
        <v>315</v>
      </c>
      <c r="F61" s="689">
        <f>S53</f>
        <v>3360</v>
      </c>
      <c r="G61" s="689"/>
      <c r="H61" s="684" t="s">
        <v>315</v>
      </c>
      <c r="I61" s="790">
        <f>S55</f>
        <v>1</v>
      </c>
      <c r="J61" s="790"/>
      <c r="K61" s="684" t="s">
        <v>315</v>
      </c>
      <c r="L61" s="684" t="s">
        <v>419</v>
      </c>
      <c r="M61" s="1316">
        <f>S57</f>
        <v>4</v>
      </c>
      <c r="N61" s="684" t="s">
        <v>347</v>
      </c>
      <c r="O61" s="795">
        <f>S58</f>
        <v>7.8E-2</v>
      </c>
      <c r="P61" s="684" t="s">
        <v>347</v>
      </c>
      <c r="Q61" s="1071">
        <f>S59</f>
        <v>0.02</v>
      </c>
      <c r="R61" s="790"/>
      <c r="S61" s="790"/>
      <c r="T61" s="684" t="s">
        <v>350</v>
      </c>
      <c r="V61" s="185"/>
    </row>
    <row r="62" spans="1:25" ht="18" customHeight="1">
      <c r="A62" s="184"/>
      <c r="B62" s="684"/>
      <c r="C62" s="684"/>
      <c r="D62" s="689"/>
      <c r="E62" s="684"/>
      <c r="F62" s="689"/>
      <c r="G62" s="689"/>
      <c r="H62" s="684"/>
      <c r="I62" s="684">
        <f>S54</f>
        <v>2800</v>
      </c>
      <c r="J62" s="684"/>
      <c r="K62" s="684"/>
      <c r="L62" s="684"/>
      <c r="M62" s="1316"/>
      <c r="N62" s="684"/>
      <c r="O62" s="684"/>
      <c r="P62" s="684"/>
      <c r="Q62" s="503">
        <f>S56</f>
        <v>1</v>
      </c>
      <c r="R62" s="27" t="s">
        <v>315</v>
      </c>
      <c r="S62" s="503">
        <f>S56</f>
        <v>1</v>
      </c>
      <c r="T62" s="684"/>
      <c r="V62" s="185"/>
    </row>
    <row r="63" spans="1:25" ht="18" customHeight="1">
      <c r="A63" s="184"/>
      <c r="C63" s="120"/>
      <c r="D63" s="28"/>
      <c r="E63" s="28"/>
      <c r="F63" s="28"/>
      <c r="G63" s="28"/>
      <c r="H63" s="14"/>
      <c r="I63" s="14"/>
      <c r="J63" s="28"/>
      <c r="K63" s="28"/>
      <c r="L63" s="28"/>
      <c r="M63" s="28"/>
      <c r="N63" s="47"/>
      <c r="O63" s="502"/>
      <c r="V63" s="185"/>
    </row>
    <row r="64" spans="1:25" ht="18" customHeight="1">
      <c r="A64" s="184"/>
      <c r="C64" s="27" t="s">
        <v>127</v>
      </c>
      <c r="D64" s="1072">
        <f>ROUNDUP(D61*F61*(I61/I62)*(M61+O61+(Q61/(Q62*S62))),2)</f>
        <v>98.36</v>
      </c>
      <c r="E64" s="1072"/>
      <c r="F64" s="286" t="s">
        <v>305</v>
      </c>
      <c r="G64" s="27"/>
      <c r="V64" s="185"/>
    </row>
    <row r="65" spans="1:27" ht="18" customHeight="1">
      <c r="A65" s="184"/>
      <c r="V65" s="185"/>
    </row>
    <row r="66" spans="1:27" ht="18" customHeight="1">
      <c r="A66" s="184"/>
      <c r="D66" s="30" t="s">
        <v>527</v>
      </c>
      <c r="L66" s="30" t="s">
        <v>528</v>
      </c>
      <c r="M66" s="505" t="s">
        <v>529</v>
      </c>
      <c r="N66" s="30" t="str">
        <f>CONCATENATE(Y66,X66,D40,Z66,D64,AA66)</f>
        <v>max(36.89,98.36)</v>
      </c>
      <c r="V66" s="185"/>
      <c r="X66" s="30" t="s">
        <v>419</v>
      </c>
      <c r="Y66" s="30" t="s">
        <v>530</v>
      </c>
      <c r="Z66" s="30" t="s">
        <v>531</v>
      </c>
      <c r="AA66" s="30" t="s">
        <v>350</v>
      </c>
    </row>
    <row r="67" spans="1:27" ht="18" customHeight="1">
      <c r="A67" s="184"/>
      <c r="D67" s="14"/>
      <c r="E67"/>
      <c r="F67"/>
      <c r="G67" s="27"/>
      <c r="H67" s="14"/>
      <c r="I67"/>
      <c r="J67"/>
      <c r="K67"/>
      <c r="L67" s="30" t="s">
        <v>528</v>
      </c>
      <c r="M67" s="505" t="s">
        <v>529</v>
      </c>
      <c r="N67" s="795">
        <f>MAX(D64,D40)</f>
        <v>98.36</v>
      </c>
      <c r="O67" s="795"/>
      <c r="V67" s="185"/>
    </row>
    <row r="68" spans="1:27" ht="18" customHeight="1">
      <c r="A68" s="184"/>
      <c r="D68"/>
      <c r="E68" s="1089"/>
      <c r="F68" s="684"/>
      <c r="G68" s="27"/>
      <c r="H68" s="795"/>
      <c r="I68" s="684"/>
      <c r="J68"/>
      <c r="K68"/>
      <c r="L68" s="296">
        <f>H13</f>
        <v>500</v>
      </c>
      <c r="M68" s="505" t="s">
        <v>529</v>
      </c>
      <c r="N68" s="795">
        <f>N67</f>
        <v>98.36</v>
      </c>
      <c r="O68" s="795"/>
      <c r="V68" s="185"/>
    </row>
    <row r="69" spans="1:27" ht="18" customHeight="1">
      <c r="A69" s="184"/>
      <c r="D69"/>
      <c r="E69" s="504"/>
      <c r="F69" s="27"/>
      <c r="G69" s="27"/>
      <c r="H69" s="211"/>
      <c r="I69" s="27"/>
      <c r="J69"/>
      <c r="K69"/>
      <c r="L69" s="296"/>
      <c r="M69" s="505"/>
      <c r="N69" s="476"/>
      <c r="V69" s="185"/>
    </row>
    <row r="70" spans="1:27" ht="18" customHeight="1">
      <c r="A70" s="184"/>
      <c r="D70"/>
      <c r="E70"/>
      <c r="F70" s="244" t="s">
        <v>478</v>
      </c>
      <c r="G70"/>
      <c r="H70" s="18" t="str">
        <f>IF(L68&gt;N68,"Suitably Dimensioned","Under Dimensioned")</f>
        <v>Suitably Dimensioned</v>
      </c>
      <c r="I70"/>
      <c r="J70"/>
      <c r="K70"/>
      <c r="L70"/>
      <c r="V70" s="185"/>
    </row>
    <row r="71" spans="1:27" ht="18" customHeight="1">
      <c r="A71" s="184"/>
      <c r="V71" s="185"/>
    </row>
    <row r="72" spans="1:27" ht="18" customHeight="1">
      <c r="A72" s="184"/>
      <c r="V72" s="185"/>
    </row>
    <row r="73" spans="1:27" ht="18" customHeight="1">
      <c r="A73" s="184"/>
      <c r="V73" s="185"/>
    </row>
    <row r="74" spans="1:27" ht="18" customHeight="1">
      <c r="A74" s="184"/>
      <c r="V74" s="185"/>
    </row>
    <row r="75" spans="1:27" ht="18" customHeight="1">
      <c r="A75" s="184"/>
      <c r="V75" s="185"/>
    </row>
    <row r="76" spans="1:27" ht="18" customHeight="1">
      <c r="A76" s="184"/>
      <c r="V76" s="185"/>
    </row>
    <row r="77" spans="1:27" ht="18" customHeight="1">
      <c r="A77" s="184"/>
      <c r="V77" s="185"/>
    </row>
    <row r="78" spans="1:27" ht="18" customHeight="1">
      <c r="A78" s="184"/>
      <c r="V78" s="185"/>
    </row>
    <row r="79" spans="1:27" ht="18" customHeight="1">
      <c r="A79" s="184"/>
      <c r="V79" s="185"/>
    </row>
    <row r="80" spans="1:27" ht="18" customHeight="1">
      <c r="A80" s="184"/>
      <c r="V80" s="185"/>
    </row>
    <row r="81" spans="1:22" ht="18" customHeight="1">
      <c r="A81" s="184"/>
      <c r="V81" s="185"/>
    </row>
    <row r="82" spans="1:22" ht="18" customHeight="1">
      <c r="A82" s="184"/>
      <c r="V82" s="185"/>
    </row>
    <row r="83" spans="1:22" ht="18" customHeight="1">
      <c r="A83" s="184"/>
      <c r="V83" s="185"/>
    </row>
    <row r="84" spans="1:22" ht="18" customHeight="1">
      <c r="A84" s="452"/>
      <c r="B84" s="207"/>
      <c r="C84" s="207"/>
      <c r="D84" s="207"/>
      <c r="E84" s="207"/>
      <c r="F84" s="207"/>
      <c r="G84" s="207"/>
      <c r="H84" s="207"/>
      <c r="I84" s="207"/>
      <c r="J84" s="207"/>
      <c r="K84" s="207"/>
      <c r="L84" s="207"/>
      <c r="M84" s="207"/>
      <c r="N84" s="207"/>
      <c r="O84" s="207"/>
      <c r="P84" s="207"/>
      <c r="Q84" s="207"/>
      <c r="R84" s="207"/>
      <c r="S84" s="207"/>
      <c r="T84" s="207"/>
      <c r="U84" s="207"/>
      <c r="V84" s="453"/>
    </row>
    <row r="85" spans="1:22" ht="18" hidden="1" customHeight="1">
      <c r="A85" s="184"/>
      <c r="V85" s="185"/>
    </row>
    <row r="86" spans="1:22" ht="18" hidden="1" customHeight="1">
      <c r="A86" s="184"/>
      <c r="V86" s="185"/>
    </row>
    <row r="87" spans="1:22" ht="18" hidden="1" customHeight="1">
      <c r="A87" s="184"/>
      <c r="V87" s="185"/>
    </row>
    <row r="88" spans="1:22" ht="18" hidden="1" customHeight="1">
      <c r="A88" s="184"/>
      <c r="V88" s="185"/>
    </row>
    <row r="89" spans="1:22" ht="18" hidden="1" customHeight="1">
      <c r="A89" s="184"/>
      <c r="V89" s="185"/>
    </row>
    <row r="90" spans="1:22" ht="18" hidden="1" customHeight="1">
      <c r="A90" s="184"/>
      <c r="V90" s="185"/>
    </row>
    <row r="91" spans="1:22" ht="18" hidden="1" customHeight="1">
      <c r="A91" s="184"/>
      <c r="V91" s="185"/>
    </row>
    <row r="92" spans="1:22" ht="18" hidden="1" customHeight="1">
      <c r="A92" s="184"/>
      <c r="V92" s="185"/>
    </row>
    <row r="93" spans="1:22" ht="18" hidden="1" customHeight="1">
      <c r="A93" s="184"/>
      <c r="V93" s="185"/>
    </row>
    <row r="94" spans="1:22" ht="18" hidden="1" customHeight="1">
      <c r="A94" s="184"/>
      <c r="V94" s="185"/>
    </row>
    <row r="95" spans="1:22" ht="18" hidden="1" customHeight="1">
      <c r="A95" s="184"/>
      <c r="V95" s="185"/>
    </row>
    <row r="96" spans="1:22" ht="18" hidden="1" customHeight="1">
      <c r="A96" s="184"/>
      <c r="V96" s="185"/>
    </row>
    <row r="97" spans="1:23" s="14" customFormat="1" ht="18" hidden="1" customHeight="1">
      <c r="A97" s="194"/>
      <c r="B97" s="195"/>
      <c r="C97" s="195"/>
      <c r="D97" s="195"/>
      <c r="E97" s="195"/>
      <c r="F97" s="195"/>
      <c r="G97" s="195"/>
      <c r="H97" s="195"/>
      <c r="I97" s="195"/>
      <c r="J97" s="195"/>
      <c r="K97" s="195"/>
      <c r="L97" s="195"/>
      <c r="M97" s="195"/>
      <c r="N97" s="195"/>
      <c r="O97" s="195"/>
      <c r="P97" s="195"/>
      <c r="Q97" s="224"/>
      <c r="R97" s="182"/>
      <c r="S97" s="225"/>
      <c r="T97" s="195"/>
      <c r="U97" s="195"/>
      <c r="V97" s="134" t="s">
        <v>552</v>
      </c>
    </row>
    <row r="98" spans="1:23" ht="18" hidden="1" customHeight="1">
      <c r="A98" s="226"/>
      <c r="B98" s="227"/>
      <c r="C98" s="227"/>
      <c r="D98" s="227"/>
      <c r="E98" s="227"/>
      <c r="F98" s="227"/>
      <c r="G98" s="227"/>
      <c r="H98" s="227"/>
      <c r="I98" s="227"/>
      <c r="J98" s="227"/>
      <c r="K98" s="227"/>
      <c r="L98" s="227"/>
      <c r="M98" s="227"/>
      <c r="N98" s="227"/>
      <c r="O98" s="227"/>
      <c r="P98" s="227"/>
      <c r="Q98" s="227"/>
      <c r="R98" s="227"/>
      <c r="S98" s="227"/>
      <c r="T98" s="227"/>
      <c r="U98" s="227"/>
      <c r="V98" s="228"/>
    </row>
    <row r="99" spans="1:23" ht="18" hidden="1" customHeight="1">
      <c r="A99" s="184"/>
      <c r="B99" s="854" t="str">
        <f>B7</f>
        <v>T1</v>
      </c>
      <c r="C99" s="831"/>
      <c r="D99" s="853" t="str">
        <f>D7</f>
        <v>Core3</v>
      </c>
      <c r="E99" s="765"/>
      <c r="F99" s="455"/>
      <c r="H99" s="684" t="str">
        <f>H7</f>
        <v>(OC+BCPU+FMS)</v>
      </c>
      <c r="I99" s="684"/>
      <c r="J99" s="684"/>
      <c r="K99" s="684"/>
      <c r="L99" s="684"/>
      <c r="M99" s="684"/>
      <c r="P99" s="186"/>
      <c r="S99" s="187" t="s">
        <v>387</v>
      </c>
      <c r="T99" s="1123" t="str">
        <f>T7</f>
        <v>REF615</v>
      </c>
      <c r="U99" s="1124"/>
      <c r="V99" s="185"/>
    </row>
    <row r="100" spans="1:23" ht="18" hidden="1" customHeight="1">
      <c r="A100" s="456"/>
      <c r="F100" s="455"/>
      <c r="T100" s="1123" t="str">
        <f>T8</f>
        <v>IDM+</v>
      </c>
      <c r="U100" s="1124"/>
      <c r="V100" s="185"/>
    </row>
    <row r="101" spans="1:23" ht="18" hidden="1" customHeight="1">
      <c r="A101" s="184"/>
      <c r="H101" s="708" t="s">
        <v>390</v>
      </c>
      <c r="I101" s="708"/>
      <c r="J101" s="789" t="s">
        <v>391</v>
      </c>
      <c r="K101" s="789"/>
      <c r="L101" s="790" t="s">
        <v>392</v>
      </c>
      <c r="M101" s="790"/>
      <c r="T101" s="1123">
        <f>T9</f>
        <v>0</v>
      </c>
      <c r="U101" s="1124"/>
      <c r="V101" s="185"/>
    </row>
    <row r="102" spans="1:23" ht="18" hidden="1" customHeight="1">
      <c r="A102" s="184"/>
      <c r="B102" s="47" t="s">
        <v>393</v>
      </c>
      <c r="H102" s="854">
        <f>H10</f>
        <v>2800</v>
      </c>
      <c r="I102" s="831"/>
      <c r="J102" s="863">
        <f>J10</f>
        <v>3200</v>
      </c>
      <c r="K102" s="864"/>
      <c r="L102" s="854" t="str">
        <f>L10</f>
        <v>-</v>
      </c>
      <c r="M102" s="831"/>
      <c r="N102" s="191" t="s">
        <v>342</v>
      </c>
      <c r="O102" s="256">
        <f>O10</f>
        <v>1</v>
      </c>
      <c r="P102" s="27" t="s">
        <v>8</v>
      </c>
      <c r="R102" s="255"/>
      <c r="S102" s="255"/>
      <c r="V102" s="185"/>
    </row>
    <row r="103" spans="1:23" ht="18" hidden="1" customHeight="1">
      <c r="A103" s="184"/>
      <c r="B103" s="47" t="s">
        <v>394</v>
      </c>
      <c r="J103" s="854" t="str">
        <f>H11</f>
        <v>PX</v>
      </c>
      <c r="K103" s="831"/>
      <c r="V103" s="185"/>
    </row>
    <row r="104" spans="1:23" ht="18" hidden="1" customHeight="1">
      <c r="A104" s="184"/>
      <c r="B104" s="47" t="s">
        <v>396</v>
      </c>
      <c r="I104" s="120" t="s">
        <v>497</v>
      </c>
      <c r="J104" s="1075">
        <v>12</v>
      </c>
      <c r="K104" s="1076"/>
      <c r="L104" s="192" t="s">
        <v>333</v>
      </c>
      <c r="V104" s="185"/>
    </row>
    <row r="105" spans="1:23" ht="18" hidden="1" customHeight="1">
      <c r="A105" s="184"/>
      <c r="B105" s="47" t="s">
        <v>398</v>
      </c>
      <c r="I105" s="120" t="s">
        <v>498</v>
      </c>
      <c r="J105" s="1075">
        <v>1200</v>
      </c>
      <c r="K105" s="1076"/>
      <c r="L105" s="14" t="s">
        <v>305</v>
      </c>
      <c r="T105" s="295"/>
      <c r="U105" s="18"/>
      <c r="V105" s="185"/>
      <c r="W105" s="30" t="str">
        <f>G153</f>
        <v>Suitably Dimentioned</v>
      </c>
    </row>
    <row r="106" spans="1:23" ht="18" hidden="1" customHeight="1">
      <c r="A106" s="184"/>
      <c r="B106" s="14" t="s">
        <v>401</v>
      </c>
      <c r="I106" s="120" t="s">
        <v>402</v>
      </c>
      <c r="J106" s="1075">
        <v>50</v>
      </c>
      <c r="K106" s="1076"/>
      <c r="L106" s="14" t="s">
        <v>403</v>
      </c>
      <c r="V106" s="185"/>
    </row>
    <row r="107" spans="1:23" ht="18" hidden="1" customHeight="1">
      <c r="A107" s="184"/>
      <c r="V107" s="185"/>
    </row>
    <row r="108" spans="1:23" ht="18" hidden="1" customHeight="1">
      <c r="A108" s="193" t="s">
        <v>404</v>
      </c>
      <c r="V108" s="185"/>
    </row>
    <row r="109" spans="1:23" ht="18" hidden="1" customHeight="1">
      <c r="A109" s="184"/>
      <c r="V109" s="185"/>
    </row>
    <row r="110" spans="1:23" ht="18" hidden="1" customHeight="1">
      <c r="A110" s="184"/>
      <c r="B110" s="135" t="s">
        <v>405</v>
      </c>
      <c r="C110" s="273"/>
      <c r="D110" s="139" t="str">
        <f>T99</f>
        <v>REF615</v>
      </c>
      <c r="E110" s="227"/>
      <c r="F110" s="227"/>
      <c r="G110" s="227"/>
      <c r="H110" s="138"/>
      <c r="I110" s="260" t="s">
        <v>127</v>
      </c>
      <c r="J110" s="722">
        <f>J18</f>
        <v>0.02</v>
      </c>
      <c r="K110" s="958"/>
      <c r="L110" s="3" t="s">
        <v>157</v>
      </c>
      <c r="N110" s="197" t="s">
        <v>510</v>
      </c>
      <c r="V110" s="185"/>
    </row>
    <row r="111" spans="1:23" ht="18" hidden="1" customHeight="1">
      <c r="A111" s="184"/>
      <c r="B111" s="96" t="s">
        <v>405</v>
      </c>
      <c r="C111" s="14"/>
      <c r="D111" s="47" t="str">
        <f>T100</f>
        <v>IDM+</v>
      </c>
      <c r="H111" s="28"/>
      <c r="I111" s="101" t="s">
        <v>127</v>
      </c>
      <c r="J111" s="722">
        <f>J19</f>
        <v>5.8000000000000003E-2</v>
      </c>
      <c r="K111" s="958"/>
      <c r="L111" s="3" t="s">
        <v>157</v>
      </c>
      <c r="N111" s="120" t="s">
        <v>491</v>
      </c>
      <c r="O111" s="27" t="s">
        <v>127</v>
      </c>
      <c r="P111" s="27" t="s">
        <v>511</v>
      </c>
      <c r="Q111" s="27" t="s">
        <v>315</v>
      </c>
      <c r="R111" s="27" t="s">
        <v>511</v>
      </c>
      <c r="S111" s="27" t="s">
        <v>315</v>
      </c>
      <c r="T111" s="27" t="s">
        <v>420</v>
      </c>
      <c r="V111" s="185"/>
    </row>
    <row r="112" spans="1:23" ht="18" hidden="1" customHeight="1">
      <c r="A112" s="184"/>
      <c r="B112" s="96" t="s">
        <v>405</v>
      </c>
      <c r="C112" s="14"/>
      <c r="D112" s="47">
        <f>T101</f>
        <v>0</v>
      </c>
      <c r="H112" s="28"/>
      <c r="I112" s="101" t="s">
        <v>127</v>
      </c>
      <c r="J112" s="722">
        <f>J20</f>
        <v>0</v>
      </c>
      <c r="K112" s="958"/>
      <c r="L112" s="3" t="s">
        <v>157</v>
      </c>
      <c r="N112" s="27"/>
      <c r="O112" s="27" t="s">
        <v>127</v>
      </c>
      <c r="P112" s="27">
        <f>O102</f>
        <v>1</v>
      </c>
      <c r="Q112" s="27" t="s">
        <v>315</v>
      </c>
      <c r="R112" s="27">
        <f>O102</f>
        <v>1</v>
      </c>
      <c r="S112" s="27" t="s">
        <v>315</v>
      </c>
      <c r="T112" s="27">
        <f>J104</f>
        <v>12</v>
      </c>
      <c r="V112" s="185"/>
    </row>
    <row r="113" spans="1:25" ht="18" hidden="1" customHeight="1">
      <c r="A113" s="184"/>
      <c r="B113" s="452" t="s">
        <v>412</v>
      </c>
      <c r="C113" s="259"/>
      <c r="D113" s="259"/>
      <c r="E113" s="259"/>
      <c r="F113" s="207"/>
      <c r="G113" s="207"/>
      <c r="H113" s="190"/>
      <c r="I113" s="208" t="s">
        <v>127</v>
      </c>
      <c r="J113" s="1120">
        <f>J21</f>
        <v>0</v>
      </c>
      <c r="K113" s="987"/>
      <c r="L113" s="297" t="s">
        <v>157</v>
      </c>
      <c r="O113" s="27" t="s">
        <v>127</v>
      </c>
      <c r="P113" s="795">
        <f>P112*R112*T112</f>
        <v>12</v>
      </c>
      <c r="Q113" s="684"/>
      <c r="R113" s="27" t="s">
        <v>157</v>
      </c>
      <c r="V113" s="185"/>
    </row>
    <row r="114" spans="1:25" ht="18" hidden="1" customHeight="1">
      <c r="A114" s="184"/>
      <c r="B114" s="1" t="s">
        <v>413</v>
      </c>
      <c r="C114" s="2"/>
      <c r="D114" s="2"/>
      <c r="E114" s="2"/>
      <c r="F114" s="196"/>
      <c r="G114" s="196"/>
      <c r="H114" s="224" t="s">
        <v>512</v>
      </c>
      <c r="I114" s="183" t="s">
        <v>127</v>
      </c>
      <c r="J114" s="722">
        <f>SUM(J110:J113)</f>
        <v>7.8E-2</v>
      </c>
      <c r="K114" s="958"/>
      <c r="L114" s="3" t="s">
        <v>157</v>
      </c>
      <c r="V114" s="185"/>
    </row>
    <row r="115" spans="1:25" ht="18" hidden="1" customHeight="1">
      <c r="A115" s="184"/>
      <c r="B115" s="47"/>
      <c r="C115" s="47"/>
      <c r="D115" s="47"/>
      <c r="E115" s="47"/>
      <c r="H115" s="27"/>
      <c r="I115" s="28"/>
      <c r="J115" s="199"/>
      <c r="L115" s="47"/>
      <c r="S115" s="27"/>
      <c r="V115" s="185"/>
    </row>
    <row r="116" spans="1:25" ht="18" hidden="1" customHeight="1">
      <c r="A116" s="1206" t="s">
        <v>536</v>
      </c>
      <c r="B116" s="1207"/>
      <c r="C116" s="1207"/>
      <c r="D116" s="1207"/>
      <c r="E116" s="1207"/>
      <c r="F116" s="1207"/>
      <c r="G116" s="1207"/>
      <c r="H116" s="1207"/>
      <c r="I116" s="1207"/>
      <c r="J116" s="1207"/>
      <c r="K116" s="1207"/>
      <c r="L116" s="1207"/>
      <c r="M116" s="1207"/>
      <c r="N116" s="1207"/>
      <c r="O116" s="1207"/>
      <c r="P116" s="1207"/>
      <c r="Q116" s="1207"/>
      <c r="R116" s="1207"/>
      <c r="S116" s="1207"/>
      <c r="T116" s="1207"/>
      <c r="U116" s="1207"/>
      <c r="V116" s="1208"/>
    </row>
    <row r="117" spans="1:25" ht="18" hidden="1" customHeight="1">
      <c r="A117" s="1209"/>
      <c r="B117" s="1207"/>
      <c r="C117" s="1207"/>
      <c r="D117" s="1207"/>
      <c r="E117" s="1207"/>
      <c r="F117" s="1207"/>
      <c r="G117" s="1207"/>
      <c r="H117" s="1207"/>
      <c r="I117" s="1207"/>
      <c r="J117" s="1207"/>
      <c r="K117" s="1207"/>
      <c r="L117" s="1207"/>
      <c r="M117" s="1207"/>
      <c r="N117" s="1207"/>
      <c r="O117" s="1207"/>
      <c r="P117" s="1207"/>
      <c r="Q117" s="1207"/>
      <c r="R117" s="1207"/>
      <c r="S117" s="1207"/>
      <c r="T117" s="1207"/>
      <c r="U117" s="1207"/>
      <c r="V117" s="1208"/>
    </row>
    <row r="118" spans="1:25" ht="18" hidden="1" customHeight="1">
      <c r="A118" s="184"/>
      <c r="Q118" s="211"/>
      <c r="R118" s="192"/>
      <c r="V118" s="185"/>
    </row>
    <row r="119" spans="1:25" ht="18" hidden="1" customHeight="1">
      <c r="A119" s="184"/>
      <c r="C119" s="14" t="s">
        <v>473</v>
      </c>
      <c r="D119" s="28" t="s">
        <v>127</v>
      </c>
      <c r="E119" s="28" t="s">
        <v>537</v>
      </c>
      <c r="F119" s="120" t="s">
        <v>493</v>
      </c>
      <c r="G119" s="28" t="s">
        <v>347</v>
      </c>
      <c r="H119" s="120" t="s">
        <v>491</v>
      </c>
      <c r="I119" s="28" t="s">
        <v>538</v>
      </c>
      <c r="J119" s="28" t="s">
        <v>495</v>
      </c>
      <c r="K119" s="28" t="s">
        <v>539</v>
      </c>
      <c r="L119" s="28" t="s">
        <v>511</v>
      </c>
      <c r="M119" s="28" t="s">
        <v>315</v>
      </c>
      <c r="N119" s="28">
        <v>1.3</v>
      </c>
      <c r="O119" s="47" t="s">
        <v>350</v>
      </c>
      <c r="V119" s="185"/>
    </row>
    <row r="120" spans="1:25" ht="18" hidden="1" customHeight="1">
      <c r="A120" s="184" t="s">
        <v>540</v>
      </c>
      <c r="C120" s="14"/>
      <c r="D120" s="28"/>
      <c r="E120" s="14"/>
      <c r="F120" s="14"/>
      <c r="G120" s="14"/>
      <c r="H120" s="14"/>
      <c r="I120" s="14"/>
      <c r="J120" s="14"/>
      <c r="K120" s="14"/>
      <c r="L120" s="14"/>
      <c r="M120" s="14"/>
      <c r="N120" s="14"/>
      <c r="O120" s="14"/>
      <c r="V120" s="185"/>
    </row>
    <row r="121" spans="1:25" ht="18" hidden="1" customHeight="1">
      <c r="A121" s="184"/>
      <c r="C121" s="120" t="s">
        <v>493</v>
      </c>
      <c r="D121" s="28" t="s">
        <v>127</v>
      </c>
      <c r="E121" s="28" t="s">
        <v>537</v>
      </c>
      <c r="F121" s="28">
        <v>1.3</v>
      </c>
      <c r="G121" s="28" t="s">
        <v>315</v>
      </c>
      <c r="H121" s="689" t="s">
        <v>473</v>
      </c>
      <c r="I121" s="716"/>
      <c r="J121" s="28" t="s">
        <v>315</v>
      </c>
      <c r="K121" s="28" t="s">
        <v>511</v>
      </c>
      <c r="L121" s="28" t="s">
        <v>541</v>
      </c>
      <c r="M121" s="28" t="s">
        <v>495</v>
      </c>
      <c r="N121" s="47" t="s">
        <v>542</v>
      </c>
      <c r="O121" s="120" t="s">
        <v>491</v>
      </c>
      <c r="V121" s="185"/>
    </row>
    <row r="122" spans="1:25" ht="18" hidden="1" customHeight="1">
      <c r="A122" s="184"/>
      <c r="V122" s="185"/>
    </row>
    <row r="123" spans="1:25" ht="18" hidden="1" customHeight="1">
      <c r="A123" s="168"/>
      <c r="B123" s="5"/>
      <c r="C123" s="47" t="s">
        <v>543</v>
      </c>
      <c r="D123" s="14"/>
      <c r="E123" s="14"/>
      <c r="F123" s="14"/>
      <c r="G123" s="14"/>
      <c r="H123" s="279"/>
      <c r="I123" s="120"/>
      <c r="J123" s="279"/>
      <c r="K123" s="279"/>
      <c r="L123" s="14"/>
      <c r="M123" s="14"/>
      <c r="N123" s="14"/>
      <c r="O123" s="14"/>
      <c r="P123" s="14"/>
      <c r="Q123" s="120" t="s">
        <v>544</v>
      </c>
      <c r="R123" s="102" t="s">
        <v>127</v>
      </c>
      <c r="S123" s="689">
        <f>S29</f>
        <v>16800</v>
      </c>
      <c r="T123" s="689"/>
      <c r="U123" s="47" t="s">
        <v>8</v>
      </c>
      <c r="V123" s="185"/>
    </row>
    <row r="124" spans="1:25" ht="18" hidden="1" customHeight="1">
      <c r="A124" s="168"/>
      <c r="B124" s="5"/>
      <c r="C124" s="47" t="s">
        <v>545</v>
      </c>
      <c r="D124" s="14"/>
      <c r="E124" s="14"/>
      <c r="F124" s="18"/>
      <c r="G124" s="18"/>
      <c r="H124" s="279"/>
      <c r="I124" s="120"/>
      <c r="J124" s="279"/>
      <c r="K124" s="279"/>
      <c r="L124" s="14"/>
      <c r="M124" s="14"/>
      <c r="N124" s="14"/>
      <c r="O124" s="14"/>
      <c r="P124" s="14"/>
      <c r="Q124" s="120" t="s">
        <v>423</v>
      </c>
      <c r="R124" s="102" t="s">
        <v>127</v>
      </c>
      <c r="S124" s="689">
        <f>J102</f>
        <v>3200</v>
      </c>
      <c r="T124" s="689"/>
      <c r="U124" s="14" t="s">
        <v>8</v>
      </c>
      <c r="V124" s="185"/>
    </row>
    <row r="125" spans="1:25" ht="18" hidden="1" customHeight="1">
      <c r="A125" s="168"/>
      <c r="B125" s="5"/>
      <c r="C125" s="47" t="s">
        <v>546</v>
      </c>
      <c r="D125" s="14"/>
      <c r="E125" s="14"/>
      <c r="F125" s="18"/>
      <c r="G125" s="18"/>
      <c r="H125" s="279"/>
      <c r="I125" s="120"/>
      <c r="J125" s="279"/>
      <c r="K125" s="279"/>
      <c r="L125" s="14"/>
      <c r="M125" s="14"/>
      <c r="N125" s="14"/>
      <c r="O125" s="14"/>
      <c r="P125" s="14"/>
      <c r="Q125" s="120" t="s">
        <v>473</v>
      </c>
      <c r="R125" s="102" t="s">
        <v>127</v>
      </c>
      <c r="S125" s="689">
        <f>J105</f>
        <v>1200</v>
      </c>
      <c r="T125" s="689"/>
      <c r="U125" s="14" t="s">
        <v>305</v>
      </c>
      <c r="V125" s="185"/>
    </row>
    <row r="126" spans="1:25" ht="18" hidden="1" customHeight="1">
      <c r="A126" s="168"/>
      <c r="B126" s="5"/>
      <c r="C126" s="47" t="s">
        <v>547</v>
      </c>
      <c r="D126" s="14"/>
      <c r="E126" s="14"/>
      <c r="F126" s="18"/>
      <c r="G126" s="18"/>
      <c r="H126" s="279"/>
      <c r="I126" s="120"/>
      <c r="J126" s="279"/>
      <c r="K126" s="279"/>
      <c r="L126" s="14"/>
      <c r="M126" s="14"/>
      <c r="N126" s="14"/>
      <c r="O126" s="14"/>
      <c r="P126" s="14"/>
      <c r="Q126" s="120" t="s">
        <v>491</v>
      </c>
      <c r="R126" s="102" t="s">
        <v>127</v>
      </c>
      <c r="S126" s="692">
        <f>P113</f>
        <v>12</v>
      </c>
      <c r="T126" s="689"/>
      <c r="U126" s="14" t="s">
        <v>157</v>
      </c>
      <c r="V126" s="185"/>
      <c r="W126" s="279"/>
      <c r="X126" s="279"/>
      <c r="Y126" s="279"/>
    </row>
    <row r="127" spans="1:25" ht="18" hidden="1" customHeight="1">
      <c r="A127" s="168"/>
      <c r="B127" s="5"/>
      <c r="C127" s="47" t="s">
        <v>548</v>
      </c>
      <c r="D127" s="14"/>
      <c r="E127" s="14"/>
      <c r="F127" s="18"/>
      <c r="G127" s="18"/>
      <c r="H127" s="279"/>
      <c r="I127" s="120"/>
      <c r="J127" s="279"/>
      <c r="K127" s="279"/>
      <c r="L127" s="14"/>
      <c r="M127" s="14"/>
      <c r="N127" s="14"/>
      <c r="O127" s="14"/>
      <c r="P127" s="14"/>
      <c r="Q127" s="120" t="s">
        <v>512</v>
      </c>
      <c r="R127" s="102" t="s">
        <v>127</v>
      </c>
      <c r="S127" s="692">
        <f>J114</f>
        <v>7.8E-2</v>
      </c>
      <c r="T127" s="689"/>
      <c r="U127" s="14" t="s">
        <v>157</v>
      </c>
      <c r="V127" s="185"/>
      <c r="X127" s="279"/>
      <c r="Y127" s="279"/>
    </row>
    <row r="128" spans="1:25" ht="18" hidden="1" customHeight="1">
      <c r="A128" s="168"/>
      <c r="B128" s="5"/>
      <c r="C128" s="47" t="s">
        <v>549</v>
      </c>
      <c r="D128" s="14"/>
      <c r="E128" s="14"/>
      <c r="F128" s="14"/>
      <c r="G128" s="14"/>
      <c r="H128" s="279"/>
      <c r="I128" s="120"/>
      <c r="J128" s="279"/>
      <c r="K128" s="279"/>
      <c r="L128" s="14"/>
      <c r="M128" s="14"/>
      <c r="N128" s="14"/>
      <c r="O128" s="14"/>
      <c r="P128" s="14"/>
      <c r="Q128" s="120" t="s">
        <v>511</v>
      </c>
      <c r="R128" s="102" t="s">
        <v>127</v>
      </c>
      <c r="S128" s="689">
        <f>O102</f>
        <v>1</v>
      </c>
      <c r="T128" s="689"/>
      <c r="U128" s="14" t="s">
        <v>8</v>
      </c>
      <c r="V128" s="185"/>
      <c r="X128" s="279"/>
      <c r="Y128" s="279"/>
    </row>
    <row r="129" spans="1:25" ht="18" hidden="1" customHeight="1">
      <c r="A129" s="168"/>
      <c r="B129" s="5"/>
      <c r="C129" s="47" t="s">
        <v>550</v>
      </c>
      <c r="D129" s="14"/>
      <c r="E129" s="14"/>
      <c r="F129" s="14"/>
      <c r="G129" s="14"/>
      <c r="H129" s="279"/>
      <c r="I129" s="120"/>
      <c r="J129" s="279"/>
      <c r="K129" s="279"/>
      <c r="L129" s="14"/>
      <c r="M129" s="14"/>
      <c r="N129" s="14"/>
      <c r="O129" s="14"/>
      <c r="P129" s="14"/>
      <c r="Q129" s="120" t="s">
        <v>495</v>
      </c>
      <c r="R129" s="102" t="s">
        <v>127</v>
      </c>
      <c r="S129" s="689">
        <v>20</v>
      </c>
      <c r="T129" s="689"/>
      <c r="U129" s="47"/>
      <c r="V129" s="185"/>
    </row>
    <row r="130" spans="1:25" ht="18" hidden="1" customHeight="1">
      <c r="A130" s="299"/>
      <c r="B130" s="279"/>
      <c r="C130" s="47" t="s">
        <v>551</v>
      </c>
      <c r="D130" s="14"/>
      <c r="E130" s="14"/>
      <c r="F130" s="14"/>
      <c r="G130" s="14"/>
      <c r="H130" s="279"/>
      <c r="I130" s="120"/>
      <c r="J130" s="279"/>
      <c r="K130" s="279"/>
      <c r="L130" s="14"/>
      <c r="M130" s="14"/>
      <c r="N130" s="279"/>
      <c r="O130" s="279"/>
      <c r="P130" s="14"/>
      <c r="Q130" s="120" t="s">
        <v>493</v>
      </c>
      <c r="R130" s="14"/>
      <c r="S130" s="279"/>
      <c r="T130" s="279"/>
      <c r="U130" s="279"/>
      <c r="V130" s="300"/>
      <c r="W130" s="279"/>
      <c r="X130" s="279"/>
      <c r="Y130" s="279"/>
    </row>
    <row r="131" spans="1:25" ht="18" hidden="1" customHeight="1">
      <c r="A131" s="184"/>
      <c r="V131" s="185"/>
    </row>
    <row r="132" spans="1:25" ht="18" hidden="1" customHeight="1">
      <c r="A132" s="184"/>
      <c r="C132" s="120" t="s">
        <v>493</v>
      </c>
      <c r="D132" s="28" t="s">
        <v>127</v>
      </c>
      <c r="E132" s="28" t="s">
        <v>537</v>
      </c>
      <c r="F132" s="28">
        <v>1.3</v>
      </c>
      <c r="G132" s="28" t="s">
        <v>315</v>
      </c>
      <c r="H132" s="689" t="s">
        <v>473</v>
      </c>
      <c r="I132" s="716"/>
      <c r="J132" s="28" t="s">
        <v>315</v>
      </c>
      <c r="K132" s="28" t="s">
        <v>511</v>
      </c>
      <c r="L132" s="28" t="s">
        <v>541</v>
      </c>
      <c r="M132" s="28" t="s">
        <v>495</v>
      </c>
      <c r="N132" s="47" t="s">
        <v>542</v>
      </c>
      <c r="O132" s="120" t="s">
        <v>491</v>
      </c>
      <c r="V132" s="185"/>
    </row>
    <row r="133" spans="1:25" ht="18" hidden="1" customHeight="1">
      <c r="A133" s="184"/>
      <c r="C133" s="120" t="s">
        <v>493</v>
      </c>
      <c r="D133" s="28" t="s">
        <v>127</v>
      </c>
      <c r="E133" s="28" t="s">
        <v>537</v>
      </c>
      <c r="F133" s="28">
        <v>1.3</v>
      </c>
      <c r="G133" s="28" t="s">
        <v>315</v>
      </c>
      <c r="H133" s="689">
        <f>S125</f>
        <v>1200</v>
      </c>
      <c r="I133" s="716"/>
      <c r="J133" s="28" t="s">
        <v>315</v>
      </c>
      <c r="K133" s="28">
        <f>S128</f>
        <v>1</v>
      </c>
      <c r="L133" s="28" t="s">
        <v>541</v>
      </c>
      <c r="M133" s="28">
        <f>S129</f>
        <v>20</v>
      </c>
      <c r="N133" s="47" t="s">
        <v>542</v>
      </c>
      <c r="O133" s="502">
        <f>S126</f>
        <v>12</v>
      </c>
      <c r="V133" s="185"/>
    </row>
    <row r="134" spans="1:25" ht="18" hidden="1" customHeight="1">
      <c r="A134" s="184"/>
      <c r="D134" s="27" t="s">
        <v>127</v>
      </c>
      <c r="E134" s="684">
        <f>((F133*H133*K133)/M133)-O133</f>
        <v>66</v>
      </c>
      <c r="F134" s="684"/>
      <c r="G134" s="27" t="s">
        <v>157</v>
      </c>
      <c r="V134" s="185"/>
    </row>
    <row r="135" spans="1:25" ht="18" hidden="1" customHeight="1">
      <c r="A135" s="184"/>
      <c r="D135" s="27"/>
      <c r="E135" s="27"/>
      <c r="F135" s="27"/>
      <c r="G135" s="27"/>
      <c r="V135" s="185"/>
    </row>
    <row r="136" spans="1:25" ht="18" hidden="1" customHeight="1">
      <c r="A136" s="184"/>
      <c r="D136" s="27"/>
      <c r="E136" s="27"/>
      <c r="F136" s="27"/>
      <c r="G136" s="27"/>
      <c r="V136" s="185"/>
    </row>
    <row r="137" spans="1:25" ht="18" hidden="1" customHeight="1">
      <c r="A137" s="184"/>
      <c r="D137" s="27"/>
      <c r="E137" s="27"/>
      <c r="F137" s="27"/>
      <c r="G137" s="27"/>
      <c r="V137" s="185"/>
    </row>
    <row r="138" spans="1:25" ht="18" hidden="1" customHeight="1">
      <c r="A138" s="184"/>
      <c r="D138" s="27"/>
      <c r="E138" s="27"/>
      <c r="F138" s="27"/>
      <c r="G138" s="27"/>
      <c r="V138" s="185"/>
    </row>
    <row r="139" spans="1:25" ht="18" hidden="1" customHeight="1">
      <c r="A139" s="184"/>
      <c r="D139" s="27"/>
      <c r="E139" s="27"/>
      <c r="F139" s="27"/>
      <c r="G139" s="27"/>
      <c r="V139" s="185"/>
    </row>
    <row r="140" spans="1:25" ht="18" hidden="1" customHeight="1">
      <c r="A140" s="184"/>
      <c r="V140" s="185"/>
    </row>
    <row r="141" spans="1:25" s="14" customFormat="1" ht="18" hidden="1" customHeight="1">
      <c r="A141" s="194"/>
      <c r="B141" s="195"/>
      <c r="C141" s="195"/>
      <c r="D141" s="195"/>
      <c r="E141" s="195"/>
      <c r="F141" s="195"/>
      <c r="G141" s="195"/>
      <c r="H141" s="195"/>
      <c r="I141" s="195"/>
      <c r="J141" s="195"/>
      <c r="K141" s="195"/>
      <c r="L141" s="195"/>
      <c r="M141" s="195"/>
      <c r="N141" s="195"/>
      <c r="O141" s="195"/>
      <c r="P141" s="195"/>
      <c r="Q141" s="224"/>
      <c r="R141" s="182"/>
      <c r="S141" s="225"/>
      <c r="T141" s="195"/>
      <c r="U141" s="195"/>
      <c r="V141" s="134" t="s">
        <v>552</v>
      </c>
    </row>
    <row r="142" spans="1:25" ht="18" hidden="1" customHeight="1">
      <c r="A142" s="226"/>
      <c r="B142" s="227"/>
      <c r="C142" s="227"/>
      <c r="D142" s="227"/>
      <c r="E142" s="227"/>
      <c r="F142" s="227"/>
      <c r="G142" s="227"/>
      <c r="H142" s="227"/>
      <c r="I142" s="227"/>
      <c r="J142" s="227"/>
      <c r="K142" s="227"/>
      <c r="L142" s="227"/>
      <c r="M142" s="227"/>
      <c r="N142" s="227"/>
      <c r="O142" s="227"/>
      <c r="P142" s="227"/>
      <c r="Q142" s="227"/>
      <c r="R142" s="227"/>
      <c r="S142" s="227"/>
      <c r="T142" s="227"/>
      <c r="U142" s="227"/>
      <c r="V142" s="228"/>
    </row>
    <row r="143" spans="1:25" ht="18" hidden="1" customHeight="1">
      <c r="A143" s="184"/>
      <c r="E143" s="244" t="s">
        <v>111</v>
      </c>
      <c r="F143" s="27" t="s">
        <v>127</v>
      </c>
      <c r="G143" s="689" t="s">
        <v>544</v>
      </c>
      <c r="H143" s="689"/>
      <c r="I143" s="191" t="s">
        <v>342</v>
      </c>
      <c r="J143" s="684" t="s">
        <v>423</v>
      </c>
      <c r="K143" s="684"/>
      <c r="V143" s="185"/>
    </row>
    <row r="144" spans="1:25" ht="18" hidden="1" customHeight="1">
      <c r="A144" s="184"/>
      <c r="F144" s="27" t="s">
        <v>127</v>
      </c>
      <c r="G144" s="684">
        <f>S123</f>
        <v>16800</v>
      </c>
      <c r="H144" s="684"/>
      <c r="I144" s="191" t="s">
        <v>342</v>
      </c>
      <c r="J144" s="684">
        <f>S124</f>
        <v>3200</v>
      </c>
      <c r="K144" s="684"/>
      <c r="V144" s="185"/>
    </row>
    <row r="145" spans="1:22" ht="18" hidden="1" customHeight="1">
      <c r="A145" s="184"/>
      <c r="F145" s="27" t="s">
        <v>127</v>
      </c>
      <c r="G145" s="795">
        <f>G144/J144</f>
        <v>5.25</v>
      </c>
      <c r="H145" s="795"/>
      <c r="I145" s="27"/>
      <c r="J145" s="27"/>
      <c r="K145" s="27"/>
      <c r="V145" s="185"/>
    </row>
    <row r="146" spans="1:22" ht="18" hidden="1" customHeight="1">
      <c r="A146" s="184"/>
      <c r="V146" s="185"/>
    </row>
    <row r="147" spans="1:22" ht="18" hidden="1" customHeight="1">
      <c r="A147" s="184"/>
      <c r="E147" s="244" t="s">
        <v>553</v>
      </c>
      <c r="F147" s="27" t="s">
        <v>127</v>
      </c>
      <c r="G147" s="27" t="s">
        <v>495</v>
      </c>
      <c r="H147" s="27" t="s">
        <v>554</v>
      </c>
      <c r="I147" s="120" t="s">
        <v>491</v>
      </c>
      <c r="J147" s="28" t="s">
        <v>347</v>
      </c>
      <c r="K147" s="120" t="s">
        <v>493</v>
      </c>
      <c r="L147" s="28" t="s">
        <v>539</v>
      </c>
      <c r="M147" s="120" t="s">
        <v>491</v>
      </c>
      <c r="N147" s="28" t="s">
        <v>347</v>
      </c>
      <c r="O147" s="120" t="s">
        <v>512</v>
      </c>
      <c r="P147" s="296" t="s">
        <v>350</v>
      </c>
      <c r="V147" s="185"/>
    </row>
    <row r="148" spans="1:22" ht="18" hidden="1" customHeight="1">
      <c r="A148" s="184"/>
      <c r="F148" s="27" t="s">
        <v>127</v>
      </c>
      <c r="G148" s="242">
        <f>S129</f>
        <v>20</v>
      </c>
      <c r="H148" s="245" t="s">
        <v>554</v>
      </c>
      <c r="I148" s="301">
        <f>S126</f>
        <v>12</v>
      </c>
      <c r="J148" s="245" t="s">
        <v>347</v>
      </c>
      <c r="K148" s="301">
        <f>E134</f>
        <v>66</v>
      </c>
      <c r="L148" s="245" t="s">
        <v>539</v>
      </c>
      <c r="M148" s="301">
        <f>S126</f>
        <v>12</v>
      </c>
      <c r="N148" s="245" t="s">
        <v>347</v>
      </c>
      <c r="O148" s="301">
        <f>S127</f>
        <v>7.8E-2</v>
      </c>
      <c r="P148" s="461" t="s">
        <v>350</v>
      </c>
      <c r="V148" s="185"/>
    </row>
    <row r="149" spans="1:22" ht="18" hidden="1" customHeight="1">
      <c r="A149" s="184"/>
      <c r="F149" s="27" t="s">
        <v>127</v>
      </c>
      <c r="G149" s="795">
        <f>G148*((I148+K148)/(M148+O148))</f>
        <v>129.1604570293095</v>
      </c>
      <c r="H149" s="795"/>
      <c r="V149" s="185"/>
    </row>
    <row r="150" spans="1:22" ht="18" hidden="1" customHeight="1">
      <c r="A150" s="184"/>
      <c r="V150" s="185"/>
    </row>
    <row r="151" spans="1:22" ht="18" hidden="1" customHeight="1">
      <c r="A151" s="184"/>
      <c r="E151" s="244" t="s">
        <v>555</v>
      </c>
      <c r="F151" s="27" t="str">
        <f>IF(D152&gt;G152,"&gt;","&lt;")</f>
        <v>&gt;</v>
      </c>
      <c r="G151" s="296" t="s">
        <v>111</v>
      </c>
      <c r="V151" s="185"/>
    </row>
    <row r="152" spans="1:22" ht="18" hidden="1" customHeight="1">
      <c r="A152" s="184"/>
      <c r="D152" s="795">
        <f>G149</f>
        <v>129.1604570293095</v>
      </c>
      <c r="E152" s="795"/>
      <c r="F152" s="27" t="str">
        <f>F151</f>
        <v>&gt;</v>
      </c>
      <c r="G152" s="795">
        <f>G145</f>
        <v>5.25</v>
      </c>
      <c r="H152" s="795"/>
      <c r="V152" s="185"/>
    </row>
    <row r="153" spans="1:22" ht="18" hidden="1" customHeight="1">
      <c r="A153" s="184"/>
      <c r="E153" s="244" t="s">
        <v>478</v>
      </c>
      <c r="G153" s="18" t="str">
        <f>IF(F151="&gt;","Suitably Dimentioned","Under Dimentioned")</f>
        <v>Suitably Dimentioned</v>
      </c>
      <c r="V153" s="185"/>
    </row>
    <row r="154" spans="1:22" ht="18" hidden="1" customHeight="1">
      <c r="A154" s="184"/>
      <c r="V154" s="185"/>
    </row>
    <row r="155" spans="1:22" ht="18" hidden="1" customHeight="1">
      <c r="A155" s="184"/>
      <c r="V155" s="185"/>
    </row>
    <row r="156" spans="1:22" ht="18" hidden="1" customHeight="1">
      <c r="A156" s="184"/>
      <c r="V156" s="185"/>
    </row>
    <row r="157" spans="1:22" ht="18" hidden="1" customHeight="1">
      <c r="A157" s="184"/>
      <c r="V157" s="185"/>
    </row>
    <row r="158" spans="1:22" ht="18" hidden="1" customHeight="1">
      <c r="A158" s="184"/>
      <c r="V158" s="185"/>
    </row>
    <row r="159" spans="1:22" ht="18" hidden="1" customHeight="1">
      <c r="A159" s="184"/>
      <c r="V159" s="185"/>
    </row>
    <row r="160" spans="1:22" ht="18" hidden="1" customHeight="1">
      <c r="A160" s="184"/>
      <c r="V160" s="185"/>
    </row>
    <row r="161" spans="1:22" ht="18" hidden="1" customHeight="1">
      <c r="A161" s="184"/>
      <c r="V161" s="185"/>
    </row>
    <row r="162" spans="1:22" ht="18" hidden="1" customHeight="1">
      <c r="A162" s="184"/>
      <c r="V162" s="185"/>
    </row>
    <row r="163" spans="1:22" ht="18" hidden="1" customHeight="1">
      <c r="A163" s="184"/>
      <c r="V163" s="185"/>
    </row>
    <row r="164" spans="1:22" ht="18" hidden="1" customHeight="1">
      <c r="A164" s="184"/>
      <c r="V164" s="185"/>
    </row>
    <row r="165" spans="1:22" ht="18" hidden="1" customHeight="1">
      <c r="A165" s="184"/>
      <c r="V165" s="185"/>
    </row>
    <row r="166" spans="1:22" ht="18" hidden="1" customHeight="1">
      <c r="A166" s="184"/>
      <c r="V166" s="185"/>
    </row>
    <row r="167" spans="1:22" ht="18" hidden="1" customHeight="1">
      <c r="A167" s="184"/>
      <c r="V167" s="185"/>
    </row>
    <row r="168" spans="1:22" ht="18" hidden="1" customHeight="1">
      <c r="A168" s="184"/>
      <c r="V168" s="185"/>
    </row>
    <row r="169" spans="1:22" ht="18" hidden="1" customHeight="1">
      <c r="A169" s="184"/>
      <c r="V169" s="185"/>
    </row>
    <row r="170" spans="1:22" ht="18" hidden="1" customHeight="1">
      <c r="A170" s="184"/>
      <c r="V170" s="185"/>
    </row>
    <row r="171" spans="1:22" ht="18" hidden="1" customHeight="1">
      <c r="A171" s="184"/>
      <c r="V171" s="185"/>
    </row>
    <row r="172" spans="1:22" ht="18" hidden="1" customHeight="1">
      <c r="A172" s="184"/>
      <c r="V172" s="185"/>
    </row>
    <row r="173" spans="1:22" ht="18" hidden="1" customHeight="1">
      <c r="A173" s="184"/>
      <c r="V173" s="185"/>
    </row>
    <row r="174" spans="1:22" ht="18" hidden="1" customHeight="1">
      <c r="A174" s="184"/>
      <c r="V174" s="185"/>
    </row>
    <row r="175" spans="1:22" ht="18" hidden="1" customHeight="1">
      <c r="A175" s="184"/>
      <c r="V175" s="185"/>
    </row>
    <row r="176" spans="1:22" ht="18" hidden="1" customHeight="1">
      <c r="A176" s="184"/>
      <c r="V176" s="185"/>
    </row>
    <row r="177" spans="1:22" ht="18" hidden="1" customHeight="1">
      <c r="A177" s="184"/>
      <c r="V177" s="185"/>
    </row>
    <row r="178" spans="1:22" ht="18" hidden="1" customHeight="1">
      <c r="A178" s="184"/>
      <c r="V178" s="185"/>
    </row>
    <row r="179" spans="1:22" ht="18" hidden="1" customHeight="1">
      <c r="A179" s="184"/>
      <c r="V179" s="185"/>
    </row>
    <row r="180" spans="1:22" ht="18" hidden="1" customHeight="1">
      <c r="A180" s="184"/>
      <c r="V180" s="185"/>
    </row>
    <row r="181" spans="1:22" ht="18" hidden="1" customHeight="1">
      <c r="A181" s="184"/>
      <c r="V181" s="185"/>
    </row>
    <row r="182" spans="1:22" ht="18" hidden="1" customHeight="1">
      <c r="A182" s="184"/>
      <c r="V182" s="185"/>
    </row>
    <row r="183" spans="1:22" ht="18" hidden="1" customHeight="1">
      <c r="A183" s="184"/>
      <c r="V183" s="185"/>
    </row>
    <row r="184" spans="1:22" ht="18" hidden="1" customHeight="1">
      <c r="A184" s="184"/>
      <c r="V184" s="185"/>
    </row>
    <row r="185" spans="1:22" s="14" customFormat="1" ht="18" hidden="1" customHeight="1">
      <c r="A185" s="194"/>
      <c r="B185" s="195"/>
      <c r="C185" s="195"/>
      <c r="D185" s="195"/>
      <c r="E185" s="195"/>
      <c r="F185" s="195"/>
      <c r="G185" s="195"/>
      <c r="H185" s="195"/>
      <c r="I185" s="195"/>
      <c r="J185" s="195"/>
      <c r="K185" s="195"/>
      <c r="L185" s="195"/>
      <c r="M185" s="195"/>
      <c r="N185" s="195"/>
      <c r="O185" s="195"/>
      <c r="P185" s="195"/>
      <c r="Q185" s="224"/>
      <c r="R185" s="182"/>
      <c r="S185" s="225"/>
      <c r="T185" s="195"/>
      <c r="U185" s="195"/>
      <c r="V185" s="134" t="s">
        <v>552</v>
      </c>
    </row>
    <row r="186" spans="1:22" ht="18" hidden="1" customHeight="1">
      <c r="A186" s="226"/>
      <c r="B186" s="227"/>
      <c r="C186" s="227"/>
      <c r="D186" s="227"/>
      <c r="E186" s="227"/>
      <c r="F186" s="227"/>
      <c r="G186" s="227"/>
      <c r="H186" s="227"/>
      <c r="I186" s="227"/>
      <c r="J186" s="227"/>
      <c r="K186" s="227"/>
      <c r="L186" s="227"/>
      <c r="M186" s="227"/>
      <c r="N186" s="227"/>
      <c r="O186" s="227"/>
      <c r="P186" s="227"/>
      <c r="Q186" s="227"/>
      <c r="R186" s="227"/>
      <c r="S186" s="227"/>
      <c r="T186" s="227"/>
      <c r="U186" s="227"/>
      <c r="V186" s="228"/>
    </row>
    <row r="187" spans="1:22" ht="18" hidden="1" customHeight="1">
      <c r="A187" s="184"/>
      <c r="B187" s="854" t="str">
        <f>B99</f>
        <v>T1</v>
      </c>
      <c r="C187" s="831"/>
      <c r="D187" s="853" t="str">
        <f>D99</f>
        <v>Core3</v>
      </c>
      <c r="E187" s="765"/>
      <c r="F187" s="455"/>
      <c r="H187" s="684" t="str">
        <f>H99</f>
        <v>(OC+BCPU+FMS)</v>
      </c>
      <c r="I187" s="684"/>
      <c r="J187" s="684"/>
      <c r="K187" s="684"/>
      <c r="L187" s="684"/>
      <c r="M187" s="684"/>
      <c r="P187" s="186"/>
      <c r="S187" s="187" t="s">
        <v>387</v>
      </c>
      <c r="T187" s="1123" t="str">
        <f>T99</f>
        <v>REF615</v>
      </c>
      <c r="U187" s="1124"/>
      <c r="V187" s="185"/>
    </row>
    <row r="188" spans="1:22" ht="18" hidden="1" customHeight="1">
      <c r="A188" s="456"/>
      <c r="F188" s="455"/>
      <c r="T188" s="1123" t="str">
        <f>T100</f>
        <v>IDM+</v>
      </c>
      <c r="U188" s="1124"/>
      <c r="V188" s="185"/>
    </row>
    <row r="189" spans="1:22" ht="18" hidden="1" customHeight="1">
      <c r="A189" s="184"/>
      <c r="H189" s="708" t="s">
        <v>390</v>
      </c>
      <c r="I189" s="708"/>
      <c r="J189" s="708" t="s">
        <v>391</v>
      </c>
      <c r="K189" s="708"/>
      <c r="L189" s="789" t="s">
        <v>392</v>
      </c>
      <c r="M189" s="789"/>
      <c r="T189" s="1123">
        <f>T101</f>
        <v>0</v>
      </c>
      <c r="U189" s="1124"/>
      <c r="V189" s="185"/>
    </row>
    <row r="190" spans="1:22" ht="18" hidden="1" customHeight="1">
      <c r="A190" s="184"/>
      <c r="B190" s="47" t="s">
        <v>393</v>
      </c>
      <c r="H190" s="854">
        <f>H102</f>
        <v>2800</v>
      </c>
      <c r="I190" s="831"/>
      <c r="J190" s="854">
        <f>J102</f>
        <v>3200</v>
      </c>
      <c r="K190" s="831"/>
      <c r="L190" s="863" t="str">
        <f>L102</f>
        <v>-</v>
      </c>
      <c r="M190" s="864"/>
      <c r="N190" s="191" t="s">
        <v>342</v>
      </c>
      <c r="O190" s="256">
        <f>O102</f>
        <v>1</v>
      </c>
      <c r="P190" s="27" t="s">
        <v>8</v>
      </c>
      <c r="R190" s="255"/>
      <c r="S190" s="255"/>
      <c r="V190" s="185"/>
    </row>
    <row r="191" spans="1:22" ht="18" hidden="1" customHeight="1">
      <c r="A191" s="184"/>
      <c r="B191" s="47" t="s">
        <v>394</v>
      </c>
      <c r="L191" s="854" t="str">
        <f>J103</f>
        <v>PX</v>
      </c>
      <c r="M191" s="831"/>
      <c r="V191" s="185"/>
    </row>
    <row r="192" spans="1:22" ht="18" hidden="1" customHeight="1">
      <c r="A192" s="184"/>
      <c r="B192" s="47" t="s">
        <v>396</v>
      </c>
      <c r="K192" s="120" t="s">
        <v>497</v>
      </c>
      <c r="L192" s="1075">
        <v>8</v>
      </c>
      <c r="M192" s="1076"/>
      <c r="N192" s="192" t="s">
        <v>333</v>
      </c>
      <c r="V192" s="185"/>
    </row>
    <row r="193" spans="1:23" ht="18" hidden="1" customHeight="1">
      <c r="A193" s="184"/>
      <c r="B193" s="47" t="s">
        <v>398</v>
      </c>
      <c r="K193" s="120" t="s">
        <v>498</v>
      </c>
      <c r="L193" s="1075">
        <v>800</v>
      </c>
      <c r="M193" s="1076"/>
      <c r="N193" s="14" t="s">
        <v>305</v>
      </c>
      <c r="V193" s="185"/>
      <c r="W193" s="30" t="e">
        <f>G241</f>
        <v>#VALUE!</v>
      </c>
    </row>
    <row r="194" spans="1:23" ht="18" hidden="1" customHeight="1">
      <c r="A194" s="184"/>
      <c r="B194" s="14" t="s">
        <v>401</v>
      </c>
      <c r="K194" s="120" t="s">
        <v>402</v>
      </c>
      <c r="L194" s="1075">
        <v>75</v>
      </c>
      <c r="M194" s="1076"/>
      <c r="N194" s="14" t="s">
        <v>403</v>
      </c>
      <c r="V194" s="185"/>
    </row>
    <row r="195" spans="1:23" ht="18" hidden="1" customHeight="1">
      <c r="A195" s="184"/>
      <c r="V195" s="185"/>
    </row>
    <row r="196" spans="1:23" ht="18" hidden="1" customHeight="1">
      <c r="A196" s="193" t="s">
        <v>404</v>
      </c>
      <c r="V196" s="185"/>
    </row>
    <row r="197" spans="1:23" ht="18" hidden="1" customHeight="1">
      <c r="A197" s="184"/>
      <c r="V197" s="185"/>
    </row>
    <row r="198" spans="1:23" ht="18" hidden="1" customHeight="1">
      <c r="A198" s="184"/>
      <c r="B198" s="135" t="s">
        <v>405</v>
      </c>
      <c r="C198" s="273"/>
      <c r="D198" s="139" t="str">
        <f>T187</f>
        <v>REF615</v>
      </c>
      <c r="E198" s="227"/>
      <c r="F198" s="227"/>
      <c r="G198" s="227"/>
      <c r="H198" s="138"/>
      <c r="I198" s="260" t="s">
        <v>127</v>
      </c>
      <c r="J198" s="722">
        <f>J110</f>
        <v>0.02</v>
      </c>
      <c r="K198" s="958"/>
      <c r="L198" s="3" t="s">
        <v>157</v>
      </c>
      <c r="N198" s="197" t="s">
        <v>510</v>
      </c>
      <c r="V198" s="185"/>
    </row>
    <row r="199" spans="1:23" ht="18" hidden="1" customHeight="1">
      <c r="A199" s="184"/>
      <c r="B199" s="96" t="s">
        <v>405</v>
      </c>
      <c r="C199" s="14"/>
      <c r="D199" s="47" t="str">
        <f>T188</f>
        <v>IDM+</v>
      </c>
      <c r="H199" s="28"/>
      <c r="I199" s="101" t="s">
        <v>127</v>
      </c>
      <c r="J199" s="722">
        <f>J111</f>
        <v>5.8000000000000003E-2</v>
      </c>
      <c r="K199" s="958"/>
      <c r="L199" s="3" t="s">
        <v>157</v>
      </c>
      <c r="N199" s="120" t="s">
        <v>491</v>
      </c>
      <c r="O199" s="27" t="s">
        <v>127</v>
      </c>
      <c r="P199" s="27" t="s">
        <v>511</v>
      </c>
      <c r="Q199" s="27" t="s">
        <v>315</v>
      </c>
      <c r="R199" s="27" t="s">
        <v>511</v>
      </c>
      <c r="S199" s="27" t="s">
        <v>315</v>
      </c>
      <c r="T199" s="27" t="s">
        <v>420</v>
      </c>
      <c r="V199" s="185"/>
    </row>
    <row r="200" spans="1:23" ht="18" hidden="1" customHeight="1">
      <c r="A200" s="184"/>
      <c r="B200" s="96" t="s">
        <v>405</v>
      </c>
      <c r="C200" s="14"/>
      <c r="D200" s="47">
        <f>T189</f>
        <v>0</v>
      </c>
      <c r="H200" s="28"/>
      <c r="I200" s="101" t="s">
        <v>127</v>
      </c>
      <c r="J200" s="722">
        <f>J112</f>
        <v>0</v>
      </c>
      <c r="K200" s="958"/>
      <c r="L200" s="3" t="s">
        <v>157</v>
      </c>
      <c r="N200" s="27"/>
      <c r="O200" s="27" t="s">
        <v>127</v>
      </c>
      <c r="P200" s="27">
        <f>O190</f>
        <v>1</v>
      </c>
      <c r="Q200" s="27" t="s">
        <v>315</v>
      </c>
      <c r="R200" s="27">
        <f>O190</f>
        <v>1</v>
      </c>
      <c r="S200" s="27" t="s">
        <v>315</v>
      </c>
      <c r="T200" s="27">
        <f>L192</f>
        <v>8</v>
      </c>
      <c r="V200" s="185"/>
    </row>
    <row r="201" spans="1:23" ht="18" hidden="1" customHeight="1">
      <c r="A201" s="184"/>
      <c r="B201" s="452" t="s">
        <v>412</v>
      </c>
      <c r="C201" s="259"/>
      <c r="D201" s="259"/>
      <c r="E201" s="259"/>
      <c r="F201" s="207"/>
      <c r="G201" s="207"/>
      <c r="H201" s="190"/>
      <c r="I201" s="208" t="s">
        <v>127</v>
      </c>
      <c r="J201" s="1120">
        <f>J113</f>
        <v>0</v>
      </c>
      <c r="K201" s="987"/>
      <c r="L201" s="297" t="s">
        <v>157</v>
      </c>
      <c r="O201" s="27" t="s">
        <v>127</v>
      </c>
      <c r="P201" s="795">
        <f>P200*R200*T200</f>
        <v>8</v>
      </c>
      <c r="Q201" s="684"/>
      <c r="R201" s="27" t="s">
        <v>157</v>
      </c>
      <c r="V201" s="185"/>
    </row>
    <row r="202" spans="1:23" ht="18" hidden="1" customHeight="1">
      <c r="A202" s="184"/>
      <c r="B202" s="1" t="s">
        <v>413</v>
      </c>
      <c r="C202" s="2"/>
      <c r="D202" s="2"/>
      <c r="E202" s="2"/>
      <c r="F202" s="196"/>
      <c r="G202" s="196"/>
      <c r="H202" s="224" t="s">
        <v>512</v>
      </c>
      <c r="I202" s="183" t="s">
        <v>127</v>
      </c>
      <c r="J202" s="722">
        <f>SUM(J198:J201)</f>
        <v>7.8E-2</v>
      </c>
      <c r="K202" s="958"/>
      <c r="L202" s="3" t="s">
        <v>157</v>
      </c>
      <c r="V202" s="185"/>
    </row>
    <row r="203" spans="1:23" ht="18" hidden="1" customHeight="1">
      <c r="A203" s="184"/>
      <c r="B203" s="47"/>
      <c r="C203" s="47"/>
      <c r="D203" s="47"/>
      <c r="E203" s="47"/>
      <c r="H203" s="27"/>
      <c r="I203" s="28"/>
      <c r="J203" s="199"/>
      <c r="L203" s="47"/>
      <c r="S203" s="27"/>
      <c r="V203" s="185"/>
    </row>
    <row r="204" spans="1:23" ht="18" hidden="1" customHeight="1">
      <c r="A204" s="1206" t="s">
        <v>536</v>
      </c>
      <c r="B204" s="1207"/>
      <c r="C204" s="1207"/>
      <c r="D204" s="1207"/>
      <c r="E204" s="1207"/>
      <c r="F204" s="1207"/>
      <c r="G204" s="1207"/>
      <c r="H204" s="1207"/>
      <c r="I204" s="1207"/>
      <c r="J204" s="1207"/>
      <c r="K204" s="1207"/>
      <c r="L204" s="1207"/>
      <c r="M204" s="1207"/>
      <c r="N204" s="1207"/>
      <c r="O204" s="1207"/>
      <c r="P204" s="1207"/>
      <c r="Q204" s="1207"/>
      <c r="R204" s="1207"/>
      <c r="S204" s="1207"/>
      <c r="T204" s="1207"/>
      <c r="U204" s="1207"/>
      <c r="V204" s="1208"/>
    </row>
    <row r="205" spans="1:23" ht="18" hidden="1" customHeight="1">
      <c r="A205" s="1209"/>
      <c r="B205" s="1207"/>
      <c r="C205" s="1207"/>
      <c r="D205" s="1207"/>
      <c r="E205" s="1207"/>
      <c r="F205" s="1207"/>
      <c r="G205" s="1207"/>
      <c r="H205" s="1207"/>
      <c r="I205" s="1207"/>
      <c r="J205" s="1207"/>
      <c r="K205" s="1207"/>
      <c r="L205" s="1207"/>
      <c r="M205" s="1207"/>
      <c r="N205" s="1207"/>
      <c r="O205" s="1207"/>
      <c r="P205" s="1207"/>
      <c r="Q205" s="1207"/>
      <c r="R205" s="1207"/>
      <c r="S205" s="1207"/>
      <c r="T205" s="1207"/>
      <c r="U205" s="1207"/>
      <c r="V205" s="1208"/>
    </row>
    <row r="206" spans="1:23" ht="18" hidden="1" customHeight="1">
      <c r="A206" s="184"/>
      <c r="Q206" s="211"/>
      <c r="R206" s="192"/>
      <c r="V206" s="185"/>
    </row>
    <row r="207" spans="1:23" ht="18" hidden="1" customHeight="1">
      <c r="A207" s="184"/>
      <c r="C207" s="14" t="s">
        <v>473</v>
      </c>
      <c r="D207" s="28" t="s">
        <v>127</v>
      </c>
      <c r="E207" s="28" t="s">
        <v>537</v>
      </c>
      <c r="F207" s="120" t="s">
        <v>493</v>
      </c>
      <c r="G207" s="28" t="s">
        <v>347</v>
      </c>
      <c r="H207" s="120" t="s">
        <v>491</v>
      </c>
      <c r="I207" s="28" t="s">
        <v>538</v>
      </c>
      <c r="J207" s="28" t="s">
        <v>495</v>
      </c>
      <c r="K207" s="28" t="s">
        <v>539</v>
      </c>
      <c r="L207" s="28" t="s">
        <v>511</v>
      </c>
      <c r="M207" s="28" t="s">
        <v>315</v>
      </c>
      <c r="N207" s="28">
        <v>1.3</v>
      </c>
      <c r="O207" s="47" t="s">
        <v>350</v>
      </c>
      <c r="V207" s="185"/>
    </row>
    <row r="208" spans="1:23" ht="18" hidden="1" customHeight="1">
      <c r="A208" s="184" t="s">
        <v>540</v>
      </c>
      <c r="C208" s="14"/>
      <c r="D208" s="28"/>
      <c r="E208" s="14"/>
      <c r="F208" s="14"/>
      <c r="G208" s="14"/>
      <c r="H208" s="14"/>
      <c r="I208" s="14"/>
      <c r="J208" s="14"/>
      <c r="K208" s="14"/>
      <c r="L208" s="14"/>
      <c r="M208" s="14"/>
      <c r="N208" s="14"/>
      <c r="O208" s="14"/>
      <c r="V208" s="185"/>
    </row>
    <row r="209" spans="1:25" ht="18" hidden="1" customHeight="1">
      <c r="A209" s="184"/>
      <c r="C209" s="120" t="s">
        <v>493</v>
      </c>
      <c r="D209" s="28" t="s">
        <v>127</v>
      </c>
      <c r="E209" s="28" t="s">
        <v>537</v>
      </c>
      <c r="F209" s="28">
        <v>1.3</v>
      </c>
      <c r="G209" s="28" t="s">
        <v>315</v>
      </c>
      <c r="H209" s="689" t="s">
        <v>473</v>
      </c>
      <c r="I209" s="716"/>
      <c r="J209" s="28" t="s">
        <v>315</v>
      </c>
      <c r="K209" s="28" t="s">
        <v>511</v>
      </c>
      <c r="L209" s="28" t="s">
        <v>541</v>
      </c>
      <c r="M209" s="28" t="s">
        <v>495</v>
      </c>
      <c r="N209" s="47" t="s">
        <v>542</v>
      </c>
      <c r="O209" s="120" t="s">
        <v>491</v>
      </c>
      <c r="V209" s="185"/>
    </row>
    <row r="210" spans="1:25" ht="18" hidden="1" customHeight="1">
      <c r="A210" s="184"/>
      <c r="V210" s="185"/>
    </row>
    <row r="211" spans="1:25" ht="18" hidden="1" customHeight="1">
      <c r="A211" s="168"/>
      <c r="B211" s="5"/>
      <c r="C211" s="47" t="s">
        <v>543</v>
      </c>
      <c r="D211" s="14"/>
      <c r="E211" s="14"/>
      <c r="F211" s="14"/>
      <c r="G211" s="14"/>
      <c r="H211" s="279"/>
      <c r="I211" s="120"/>
      <c r="J211" s="279"/>
      <c r="K211" s="279"/>
      <c r="L211" s="14"/>
      <c r="M211" s="14"/>
      <c r="N211" s="14"/>
      <c r="O211" s="14"/>
      <c r="P211" s="14"/>
      <c r="Q211" s="120" t="s">
        <v>544</v>
      </c>
      <c r="R211" s="102" t="s">
        <v>127</v>
      </c>
      <c r="S211" s="689">
        <f>S123</f>
        <v>16800</v>
      </c>
      <c r="T211" s="689"/>
      <c r="U211" s="47" t="s">
        <v>8</v>
      </c>
      <c r="V211" s="185"/>
    </row>
    <row r="212" spans="1:25" ht="18" hidden="1" customHeight="1">
      <c r="A212" s="168"/>
      <c r="B212" s="5"/>
      <c r="C212" s="47" t="s">
        <v>545</v>
      </c>
      <c r="D212" s="14"/>
      <c r="E212" s="14"/>
      <c r="F212" s="18"/>
      <c r="G212" s="18"/>
      <c r="H212" s="279"/>
      <c r="I212" s="120"/>
      <c r="J212" s="279"/>
      <c r="K212" s="279"/>
      <c r="L212" s="14"/>
      <c r="M212" s="14"/>
      <c r="N212" s="14"/>
      <c r="O212" s="14"/>
      <c r="P212" s="14"/>
      <c r="Q212" s="120" t="s">
        <v>423</v>
      </c>
      <c r="R212" s="102" t="s">
        <v>127</v>
      </c>
      <c r="S212" s="689" t="str">
        <f>L190</f>
        <v>-</v>
      </c>
      <c r="T212" s="689"/>
      <c r="U212" s="14" t="s">
        <v>8</v>
      </c>
      <c r="V212" s="185"/>
    </row>
    <row r="213" spans="1:25" ht="18" hidden="1" customHeight="1">
      <c r="A213" s="168"/>
      <c r="B213" s="5"/>
      <c r="C213" s="47" t="s">
        <v>546</v>
      </c>
      <c r="D213" s="14"/>
      <c r="E213" s="14"/>
      <c r="F213" s="18"/>
      <c r="G213" s="18"/>
      <c r="H213" s="279"/>
      <c r="I213" s="120"/>
      <c r="J213" s="279"/>
      <c r="K213" s="279"/>
      <c r="L213" s="14"/>
      <c r="M213" s="14"/>
      <c r="N213" s="14"/>
      <c r="O213" s="14"/>
      <c r="P213" s="14"/>
      <c r="Q213" s="120" t="s">
        <v>473</v>
      </c>
      <c r="R213" s="102" t="s">
        <v>127</v>
      </c>
      <c r="S213" s="689">
        <f>L193</f>
        <v>800</v>
      </c>
      <c r="T213" s="689"/>
      <c r="U213" s="14" t="s">
        <v>305</v>
      </c>
      <c r="V213" s="185"/>
    </row>
    <row r="214" spans="1:25" ht="18" hidden="1" customHeight="1">
      <c r="A214" s="168"/>
      <c r="B214" s="5"/>
      <c r="C214" s="47" t="s">
        <v>547</v>
      </c>
      <c r="D214" s="14"/>
      <c r="E214" s="14"/>
      <c r="F214" s="18"/>
      <c r="G214" s="18"/>
      <c r="H214" s="279"/>
      <c r="I214" s="120"/>
      <c r="J214" s="279"/>
      <c r="K214" s="279"/>
      <c r="L214" s="14"/>
      <c r="M214" s="14"/>
      <c r="N214" s="14"/>
      <c r="O214" s="14"/>
      <c r="P214" s="14"/>
      <c r="Q214" s="120" t="s">
        <v>491</v>
      </c>
      <c r="R214" s="102" t="s">
        <v>127</v>
      </c>
      <c r="S214" s="692">
        <f>P201</f>
        <v>8</v>
      </c>
      <c r="T214" s="689"/>
      <c r="U214" s="14" t="s">
        <v>157</v>
      </c>
      <c r="V214" s="185"/>
      <c r="W214" s="279"/>
      <c r="X214" s="279"/>
      <c r="Y214" s="279"/>
    </row>
    <row r="215" spans="1:25" ht="18" hidden="1" customHeight="1">
      <c r="A215" s="168"/>
      <c r="B215" s="5"/>
      <c r="C215" s="47" t="s">
        <v>548</v>
      </c>
      <c r="D215" s="14"/>
      <c r="E215" s="14"/>
      <c r="F215" s="18"/>
      <c r="G215" s="18"/>
      <c r="H215" s="279"/>
      <c r="I215" s="120"/>
      <c r="J215" s="279"/>
      <c r="K215" s="279"/>
      <c r="L215" s="14"/>
      <c r="M215" s="14"/>
      <c r="N215" s="14"/>
      <c r="O215" s="14"/>
      <c r="P215" s="14"/>
      <c r="Q215" s="120" t="s">
        <v>512</v>
      </c>
      <c r="R215" s="102" t="s">
        <v>127</v>
      </c>
      <c r="S215" s="692">
        <f>J202</f>
        <v>7.8E-2</v>
      </c>
      <c r="T215" s="689"/>
      <c r="U215" s="14" t="s">
        <v>157</v>
      </c>
      <c r="V215" s="185"/>
      <c r="X215" s="279"/>
      <c r="Y215" s="279"/>
    </row>
    <row r="216" spans="1:25" ht="18" hidden="1" customHeight="1">
      <c r="A216" s="168"/>
      <c r="B216" s="5"/>
      <c r="C216" s="47" t="s">
        <v>549</v>
      </c>
      <c r="D216" s="14"/>
      <c r="E216" s="14"/>
      <c r="F216" s="14"/>
      <c r="G216" s="14"/>
      <c r="H216" s="279"/>
      <c r="I216" s="120"/>
      <c r="J216" s="279"/>
      <c r="K216" s="279"/>
      <c r="L216" s="14"/>
      <c r="M216" s="14"/>
      <c r="N216" s="14"/>
      <c r="O216" s="14"/>
      <c r="P216" s="14"/>
      <c r="Q216" s="120" t="s">
        <v>511</v>
      </c>
      <c r="R216" s="102" t="s">
        <v>127</v>
      </c>
      <c r="S216" s="689">
        <f>O190</f>
        <v>1</v>
      </c>
      <c r="T216" s="689"/>
      <c r="U216" s="14" t="s">
        <v>8</v>
      </c>
      <c r="V216" s="185"/>
      <c r="X216" s="279"/>
      <c r="Y216" s="279"/>
    </row>
    <row r="217" spans="1:25" ht="18" hidden="1" customHeight="1">
      <c r="A217" s="168"/>
      <c r="B217" s="5"/>
      <c r="C217" s="47" t="s">
        <v>550</v>
      </c>
      <c r="D217" s="14"/>
      <c r="E217" s="14"/>
      <c r="F217" s="14"/>
      <c r="G217" s="14"/>
      <c r="H217" s="279"/>
      <c r="I217" s="120"/>
      <c r="J217" s="279"/>
      <c r="K217" s="279"/>
      <c r="L217" s="14"/>
      <c r="M217" s="14"/>
      <c r="N217" s="14"/>
      <c r="O217" s="14"/>
      <c r="P217" s="14"/>
      <c r="Q217" s="120" t="s">
        <v>495</v>
      </c>
      <c r="R217" s="102" t="s">
        <v>127</v>
      </c>
      <c r="S217" s="689">
        <v>20</v>
      </c>
      <c r="T217" s="689"/>
      <c r="U217" s="47"/>
      <c r="V217" s="185"/>
    </row>
    <row r="218" spans="1:25" ht="18" hidden="1" customHeight="1">
      <c r="A218" s="299"/>
      <c r="B218" s="279"/>
      <c r="C218" s="47" t="s">
        <v>551</v>
      </c>
      <c r="D218" s="14"/>
      <c r="E218" s="14"/>
      <c r="F218" s="14"/>
      <c r="G218" s="14"/>
      <c r="H218" s="279"/>
      <c r="I218" s="120"/>
      <c r="J218" s="279"/>
      <c r="K218" s="279"/>
      <c r="L218" s="14"/>
      <c r="M218" s="14"/>
      <c r="N218" s="279"/>
      <c r="O218" s="279"/>
      <c r="P218" s="14"/>
      <c r="Q218" s="120" t="s">
        <v>493</v>
      </c>
      <c r="R218" s="14"/>
      <c r="S218" s="279"/>
      <c r="T218" s="279"/>
      <c r="U218" s="279"/>
      <c r="V218" s="300"/>
      <c r="W218" s="279"/>
      <c r="X218" s="279"/>
      <c r="Y218" s="279"/>
    </row>
    <row r="219" spans="1:25" ht="18" hidden="1" customHeight="1">
      <c r="A219" s="184"/>
      <c r="V219" s="185"/>
    </row>
    <row r="220" spans="1:25" ht="18" hidden="1" customHeight="1">
      <c r="A220" s="184"/>
      <c r="C220" s="120" t="s">
        <v>493</v>
      </c>
      <c r="D220" s="28" t="s">
        <v>127</v>
      </c>
      <c r="E220" s="28" t="s">
        <v>537</v>
      </c>
      <c r="F220" s="28">
        <v>1.3</v>
      </c>
      <c r="G220" s="28" t="s">
        <v>315</v>
      </c>
      <c r="H220" s="689" t="s">
        <v>473</v>
      </c>
      <c r="I220" s="716"/>
      <c r="J220" s="28" t="s">
        <v>315</v>
      </c>
      <c r="K220" s="28" t="s">
        <v>511</v>
      </c>
      <c r="L220" s="28" t="s">
        <v>541</v>
      </c>
      <c r="M220" s="28" t="s">
        <v>495</v>
      </c>
      <c r="N220" s="47" t="s">
        <v>542</v>
      </c>
      <c r="O220" s="120" t="s">
        <v>491</v>
      </c>
      <c r="V220" s="185"/>
    </row>
    <row r="221" spans="1:25" ht="18" hidden="1" customHeight="1">
      <c r="A221" s="184"/>
      <c r="C221" s="120" t="s">
        <v>493</v>
      </c>
      <c r="D221" s="28" t="s">
        <v>127</v>
      </c>
      <c r="E221" s="28" t="s">
        <v>537</v>
      </c>
      <c r="F221" s="28">
        <v>1.3</v>
      </c>
      <c r="G221" s="28" t="s">
        <v>315</v>
      </c>
      <c r="H221" s="689">
        <f>S213</f>
        <v>800</v>
      </c>
      <c r="I221" s="716"/>
      <c r="J221" s="28" t="s">
        <v>315</v>
      </c>
      <c r="K221" s="28">
        <f>S216</f>
        <v>1</v>
      </c>
      <c r="L221" s="28" t="s">
        <v>541</v>
      </c>
      <c r="M221" s="28">
        <f>S217</f>
        <v>20</v>
      </c>
      <c r="N221" s="47" t="s">
        <v>542</v>
      </c>
      <c r="O221" s="502">
        <f>S214</f>
        <v>8</v>
      </c>
      <c r="V221" s="185"/>
    </row>
    <row r="222" spans="1:25" ht="18" hidden="1" customHeight="1">
      <c r="A222" s="184"/>
      <c r="D222" s="27" t="s">
        <v>127</v>
      </c>
      <c r="E222" s="684">
        <f>((F221*H221*K221)/M221)-O221</f>
        <v>44</v>
      </c>
      <c r="F222" s="684"/>
      <c r="G222" s="27" t="s">
        <v>157</v>
      </c>
      <c r="V222" s="185"/>
    </row>
    <row r="223" spans="1:25" ht="18" hidden="1" customHeight="1">
      <c r="A223" s="184"/>
      <c r="D223" s="27"/>
      <c r="E223" s="27"/>
      <c r="F223" s="27"/>
      <c r="G223" s="27"/>
      <c r="V223" s="185"/>
    </row>
    <row r="224" spans="1:25" ht="18" hidden="1" customHeight="1">
      <c r="A224" s="184"/>
      <c r="D224" s="27"/>
      <c r="E224" s="27"/>
      <c r="F224" s="27"/>
      <c r="G224" s="27"/>
      <c r="V224" s="185"/>
    </row>
    <row r="225" spans="1:22" ht="18" hidden="1" customHeight="1">
      <c r="A225" s="184"/>
      <c r="D225" s="27"/>
      <c r="E225" s="27"/>
      <c r="F225" s="27"/>
      <c r="G225" s="27"/>
      <c r="V225" s="185"/>
    </row>
    <row r="226" spans="1:22" ht="18" hidden="1" customHeight="1">
      <c r="A226" s="184"/>
      <c r="D226" s="27"/>
      <c r="E226" s="27"/>
      <c r="F226" s="27"/>
      <c r="G226" s="27"/>
      <c r="V226" s="185"/>
    </row>
    <row r="227" spans="1:22" ht="18" hidden="1" customHeight="1">
      <c r="A227" s="184"/>
      <c r="D227" s="27"/>
      <c r="E227" s="27"/>
      <c r="F227" s="27"/>
      <c r="G227" s="27"/>
      <c r="V227" s="185"/>
    </row>
    <row r="228" spans="1:22" ht="18" hidden="1" customHeight="1">
      <c r="A228" s="184"/>
      <c r="V228" s="185"/>
    </row>
    <row r="229" spans="1:22" s="14" customFormat="1" ht="18" hidden="1" customHeight="1">
      <c r="A229" s="194"/>
      <c r="B229" s="195"/>
      <c r="C229" s="195"/>
      <c r="D229" s="195"/>
      <c r="E229" s="195"/>
      <c r="F229" s="195"/>
      <c r="G229" s="195"/>
      <c r="H229" s="195"/>
      <c r="I229" s="195"/>
      <c r="J229" s="195"/>
      <c r="K229" s="195"/>
      <c r="L229" s="195"/>
      <c r="M229" s="195"/>
      <c r="N229" s="195"/>
      <c r="O229" s="195"/>
      <c r="P229" s="195"/>
      <c r="Q229" s="224"/>
      <c r="R229" s="182"/>
      <c r="S229" s="225"/>
      <c r="T229" s="195"/>
      <c r="U229" s="195"/>
      <c r="V229" s="134" t="s">
        <v>552</v>
      </c>
    </row>
    <row r="230" spans="1:22" ht="18" hidden="1" customHeight="1">
      <c r="A230" s="226"/>
      <c r="B230" s="227"/>
      <c r="C230" s="227"/>
      <c r="D230" s="227"/>
      <c r="E230" s="227"/>
      <c r="F230" s="227"/>
      <c r="G230" s="227"/>
      <c r="H230" s="227"/>
      <c r="I230" s="227"/>
      <c r="J230" s="227"/>
      <c r="K230" s="227"/>
      <c r="L230" s="227"/>
      <c r="M230" s="227"/>
      <c r="N230" s="227"/>
      <c r="O230" s="227"/>
      <c r="P230" s="227"/>
      <c r="Q230" s="227"/>
      <c r="R230" s="227"/>
      <c r="S230" s="227"/>
      <c r="T230" s="227"/>
      <c r="U230" s="227"/>
      <c r="V230" s="228"/>
    </row>
    <row r="231" spans="1:22" ht="18" hidden="1" customHeight="1">
      <c r="A231" s="184"/>
      <c r="E231" s="244" t="s">
        <v>111</v>
      </c>
      <c r="F231" s="27" t="s">
        <v>127</v>
      </c>
      <c r="G231" s="689" t="s">
        <v>544</v>
      </c>
      <c r="H231" s="689"/>
      <c r="I231" s="191" t="s">
        <v>342</v>
      </c>
      <c r="J231" s="684" t="s">
        <v>423</v>
      </c>
      <c r="K231" s="684"/>
      <c r="V231" s="185"/>
    </row>
    <row r="232" spans="1:22" ht="18" hidden="1" customHeight="1">
      <c r="A232" s="184"/>
      <c r="F232" s="27" t="s">
        <v>127</v>
      </c>
      <c r="G232" s="684">
        <f>S211</f>
        <v>16800</v>
      </c>
      <c r="H232" s="684"/>
      <c r="I232" s="191" t="s">
        <v>342</v>
      </c>
      <c r="J232" s="684" t="str">
        <f>S212</f>
        <v>-</v>
      </c>
      <c r="K232" s="684"/>
      <c r="V232" s="185"/>
    </row>
    <row r="233" spans="1:22" ht="18" hidden="1" customHeight="1">
      <c r="A233" s="184"/>
      <c r="F233" s="27" t="s">
        <v>127</v>
      </c>
      <c r="G233" s="795" t="e">
        <f>G232/J232</f>
        <v>#VALUE!</v>
      </c>
      <c r="H233" s="795"/>
      <c r="I233" s="27"/>
      <c r="J233" s="27"/>
      <c r="K233" s="27"/>
      <c r="V233" s="185"/>
    </row>
    <row r="234" spans="1:22" ht="18" hidden="1" customHeight="1">
      <c r="A234" s="184"/>
      <c r="V234" s="185"/>
    </row>
    <row r="235" spans="1:22" ht="18" hidden="1" customHeight="1">
      <c r="A235" s="184"/>
      <c r="E235" s="244" t="s">
        <v>553</v>
      </c>
      <c r="F235" s="27" t="s">
        <v>127</v>
      </c>
      <c r="G235" s="27" t="s">
        <v>495</v>
      </c>
      <c r="H235" s="27" t="s">
        <v>554</v>
      </c>
      <c r="I235" s="120" t="s">
        <v>491</v>
      </c>
      <c r="J235" s="28" t="s">
        <v>347</v>
      </c>
      <c r="K235" s="120" t="s">
        <v>493</v>
      </c>
      <c r="L235" s="28" t="s">
        <v>539</v>
      </c>
      <c r="M235" s="120" t="s">
        <v>491</v>
      </c>
      <c r="N235" s="28" t="s">
        <v>347</v>
      </c>
      <c r="O235" s="120" t="s">
        <v>512</v>
      </c>
      <c r="P235" s="296" t="s">
        <v>350</v>
      </c>
      <c r="V235" s="185"/>
    </row>
    <row r="236" spans="1:22" ht="18" hidden="1" customHeight="1">
      <c r="A236" s="184"/>
      <c r="F236" s="27" t="s">
        <v>127</v>
      </c>
      <c r="G236" s="242">
        <f>S217</f>
        <v>20</v>
      </c>
      <c r="H236" s="245" t="s">
        <v>554</v>
      </c>
      <c r="I236" s="301">
        <f>S214</f>
        <v>8</v>
      </c>
      <c r="J236" s="245" t="s">
        <v>347</v>
      </c>
      <c r="K236" s="301">
        <f>E222</f>
        <v>44</v>
      </c>
      <c r="L236" s="245" t="s">
        <v>539</v>
      </c>
      <c r="M236" s="301">
        <f>S214</f>
        <v>8</v>
      </c>
      <c r="N236" s="245" t="s">
        <v>347</v>
      </c>
      <c r="O236" s="301">
        <f>S215</f>
        <v>7.8E-2</v>
      </c>
      <c r="P236" s="461" t="s">
        <v>350</v>
      </c>
      <c r="V236" s="185"/>
    </row>
    <row r="237" spans="1:22" ht="18" hidden="1" customHeight="1">
      <c r="A237" s="184"/>
      <c r="F237" s="27" t="s">
        <v>127</v>
      </c>
      <c r="G237" s="795">
        <f>G236*((I236+K236)/(M236+O236))</f>
        <v>128.74473879673187</v>
      </c>
      <c r="H237" s="795"/>
      <c r="V237" s="185"/>
    </row>
    <row r="238" spans="1:22" ht="18" hidden="1" customHeight="1">
      <c r="A238" s="184"/>
      <c r="V238" s="185"/>
    </row>
    <row r="239" spans="1:22" ht="18" hidden="1" customHeight="1">
      <c r="A239" s="184"/>
      <c r="E239" s="244" t="s">
        <v>555</v>
      </c>
      <c r="F239" s="27" t="e">
        <f>IF(D240&gt;G240,"&gt;","&lt;")</f>
        <v>#VALUE!</v>
      </c>
      <c r="G239" s="296" t="s">
        <v>111</v>
      </c>
      <c r="V239" s="185"/>
    </row>
    <row r="240" spans="1:22" ht="18" hidden="1" customHeight="1">
      <c r="A240" s="184"/>
      <c r="D240" s="795">
        <f>G237</f>
        <v>128.74473879673187</v>
      </c>
      <c r="E240" s="795"/>
      <c r="F240" s="27" t="e">
        <f>F239</f>
        <v>#VALUE!</v>
      </c>
      <c r="G240" s="795" t="e">
        <f>G233</f>
        <v>#VALUE!</v>
      </c>
      <c r="H240" s="795"/>
      <c r="V240" s="185"/>
    </row>
    <row r="241" spans="1:22" ht="18" hidden="1" customHeight="1">
      <c r="A241" s="184"/>
      <c r="E241" s="244" t="s">
        <v>478</v>
      </c>
      <c r="G241" s="18" t="e">
        <f>IF(F239="&gt;","Suitably Dimentioned","Under Dimentioned")</f>
        <v>#VALUE!</v>
      </c>
      <c r="V241" s="185"/>
    </row>
    <row r="242" spans="1:22" ht="18" hidden="1" customHeight="1">
      <c r="A242" s="184"/>
      <c r="V242" s="185"/>
    </row>
    <row r="243" spans="1:22" ht="18" hidden="1" customHeight="1">
      <c r="A243" s="184"/>
      <c r="V243" s="185"/>
    </row>
    <row r="244" spans="1:22" ht="18" hidden="1" customHeight="1">
      <c r="A244" s="184"/>
      <c r="V244" s="185"/>
    </row>
    <row r="245" spans="1:22" ht="18" hidden="1" customHeight="1">
      <c r="A245" s="184"/>
      <c r="V245" s="185"/>
    </row>
    <row r="246" spans="1:22" ht="18" hidden="1" customHeight="1">
      <c r="A246" s="184"/>
      <c r="V246" s="185"/>
    </row>
    <row r="247" spans="1:22" ht="18" hidden="1" customHeight="1">
      <c r="A247" s="184"/>
      <c r="V247" s="185"/>
    </row>
    <row r="248" spans="1:22" ht="18" hidden="1" customHeight="1">
      <c r="A248" s="184"/>
      <c r="V248" s="185"/>
    </row>
    <row r="249" spans="1:22" ht="18" hidden="1" customHeight="1">
      <c r="A249" s="184"/>
      <c r="V249" s="185"/>
    </row>
    <row r="250" spans="1:22" ht="18" hidden="1" customHeight="1">
      <c r="A250" s="184"/>
      <c r="V250" s="185"/>
    </row>
    <row r="251" spans="1:22" ht="18" hidden="1" customHeight="1">
      <c r="A251" s="184"/>
      <c r="V251" s="185"/>
    </row>
    <row r="252" spans="1:22" ht="18" hidden="1" customHeight="1">
      <c r="A252" s="184"/>
      <c r="V252" s="185"/>
    </row>
    <row r="253" spans="1:22" ht="18" hidden="1" customHeight="1">
      <c r="A253" s="184"/>
      <c r="V253" s="185"/>
    </row>
    <row r="254" spans="1:22" ht="18" hidden="1" customHeight="1">
      <c r="A254" s="184"/>
      <c r="V254" s="185"/>
    </row>
    <row r="255" spans="1:22" ht="18" hidden="1" customHeight="1">
      <c r="A255" s="184"/>
      <c r="V255" s="185"/>
    </row>
    <row r="256" spans="1:22" ht="18" hidden="1" customHeight="1">
      <c r="A256" s="184"/>
      <c r="V256" s="185"/>
    </row>
    <row r="257" spans="1:22" ht="18" hidden="1" customHeight="1">
      <c r="A257" s="184"/>
      <c r="V257" s="185"/>
    </row>
    <row r="258" spans="1:22" ht="18" hidden="1" customHeight="1">
      <c r="A258" s="184"/>
      <c r="V258" s="185"/>
    </row>
    <row r="259" spans="1:22" ht="18" hidden="1" customHeight="1">
      <c r="A259" s="184"/>
      <c r="V259" s="185"/>
    </row>
    <row r="260" spans="1:22" ht="18" hidden="1" customHeight="1">
      <c r="A260" s="184"/>
      <c r="V260" s="185"/>
    </row>
    <row r="261" spans="1:22" ht="18" hidden="1" customHeight="1">
      <c r="A261" s="184"/>
      <c r="V261" s="185"/>
    </row>
    <row r="262" spans="1:22" ht="18" hidden="1" customHeight="1">
      <c r="A262" s="184"/>
      <c r="V262" s="185"/>
    </row>
    <row r="263" spans="1:22" ht="18" hidden="1" customHeight="1">
      <c r="A263" s="184"/>
      <c r="V263" s="185"/>
    </row>
    <row r="264" spans="1:22" ht="18" hidden="1" customHeight="1">
      <c r="A264" s="184"/>
      <c r="V264" s="185"/>
    </row>
    <row r="265" spans="1:22" ht="18" hidden="1" customHeight="1">
      <c r="A265" s="184"/>
      <c r="V265" s="185"/>
    </row>
    <row r="266" spans="1:22" ht="18" hidden="1" customHeight="1">
      <c r="A266" s="184"/>
      <c r="V266" s="185"/>
    </row>
    <row r="267" spans="1:22" ht="18" hidden="1" customHeight="1">
      <c r="A267" s="184"/>
      <c r="V267" s="185"/>
    </row>
    <row r="268" spans="1:22" ht="18" hidden="1" customHeight="1">
      <c r="A268" s="184"/>
      <c r="V268" s="185"/>
    </row>
    <row r="269" spans="1:22" ht="18" hidden="1" customHeight="1">
      <c r="A269" s="184"/>
      <c r="V269" s="185"/>
    </row>
    <row r="270" spans="1:22" ht="18" hidden="1" customHeight="1">
      <c r="A270" s="184"/>
      <c r="V270" s="185"/>
    </row>
    <row r="271" spans="1:22" ht="18" hidden="1" customHeight="1">
      <c r="A271" s="184"/>
      <c r="V271" s="185"/>
    </row>
    <row r="272" spans="1:22" ht="18" hidden="1" customHeight="1">
      <c r="A272" s="184"/>
      <c r="V272" s="185"/>
    </row>
    <row r="273" spans="1:25" s="14" customFormat="1" ht="18" customHeight="1">
      <c r="A273" s="194"/>
      <c r="B273" s="195"/>
      <c r="C273" s="195"/>
      <c r="D273" s="195"/>
      <c r="E273" s="195"/>
      <c r="F273" s="195"/>
      <c r="G273" s="195"/>
      <c r="H273" s="195"/>
      <c r="I273" s="195"/>
      <c r="J273" s="195"/>
      <c r="K273" s="195"/>
      <c r="L273" s="195"/>
      <c r="M273" s="195"/>
      <c r="N273" s="195"/>
      <c r="O273" s="195"/>
      <c r="P273" s="195"/>
      <c r="Q273" s="224"/>
      <c r="R273" s="182"/>
      <c r="S273" s="225"/>
      <c r="T273" s="195"/>
      <c r="U273" s="195"/>
      <c r="V273" s="134"/>
    </row>
    <row r="274" spans="1:25" ht="18" customHeight="1">
      <c r="A274" s="226"/>
      <c r="B274" s="227"/>
      <c r="C274" s="227"/>
      <c r="D274" s="227"/>
      <c r="E274" s="227"/>
      <c r="F274" s="227"/>
      <c r="G274" s="227"/>
      <c r="H274" s="227"/>
      <c r="I274" s="227"/>
      <c r="J274" s="227"/>
      <c r="K274" s="227"/>
      <c r="L274" s="227"/>
      <c r="M274" s="227"/>
      <c r="N274" s="227"/>
      <c r="O274" s="227"/>
      <c r="P274" s="227"/>
      <c r="Q274" s="227"/>
      <c r="R274" s="227"/>
      <c r="S274" s="227"/>
      <c r="T274" s="227"/>
      <c r="U274" s="227"/>
      <c r="V274" s="228"/>
    </row>
    <row r="275" spans="1:25" ht="18" customHeight="1">
      <c r="A275" s="184"/>
      <c r="B275" s="1075" t="s">
        <v>108</v>
      </c>
      <c r="C275" s="1076"/>
      <c r="D275" s="1092" t="s">
        <v>109</v>
      </c>
      <c r="E275" s="1093"/>
      <c r="F275" s="455"/>
      <c r="H275" s="684" t="s">
        <v>507</v>
      </c>
      <c r="I275" s="684"/>
      <c r="J275" s="684"/>
      <c r="K275" s="684"/>
      <c r="L275" s="684"/>
      <c r="M275" s="684"/>
      <c r="P275" s="186"/>
      <c r="S275" s="187" t="s">
        <v>387</v>
      </c>
      <c r="T275" s="1075" t="s">
        <v>509</v>
      </c>
      <c r="U275" s="1076"/>
      <c r="V275" s="185"/>
    </row>
    <row r="276" spans="1:25" ht="18" customHeight="1">
      <c r="A276" s="456"/>
      <c r="F276" s="455"/>
      <c r="T276" s="1075" t="s">
        <v>896</v>
      </c>
      <c r="U276" s="1076"/>
      <c r="V276" s="185"/>
    </row>
    <row r="277" spans="1:25" ht="18" customHeight="1">
      <c r="A277" s="184"/>
      <c r="H277" s="790" t="s">
        <v>390</v>
      </c>
      <c r="I277" s="790"/>
      <c r="J277" s="789" t="s">
        <v>391</v>
      </c>
      <c r="K277" s="789"/>
      <c r="L277" s="790" t="s">
        <v>392</v>
      </c>
      <c r="M277" s="790"/>
      <c r="T277" s="1075"/>
      <c r="U277" s="1076"/>
      <c r="V277" s="185"/>
    </row>
    <row r="278" spans="1:25" ht="18" customHeight="1">
      <c r="A278" s="184"/>
      <c r="B278" s="47" t="s">
        <v>393</v>
      </c>
      <c r="H278" s="1075">
        <v>2800</v>
      </c>
      <c r="I278" s="1076"/>
      <c r="J278" s="1090">
        <v>3200</v>
      </c>
      <c r="K278" s="1091"/>
      <c r="L278" s="1075" t="s">
        <v>6</v>
      </c>
      <c r="M278" s="1076"/>
      <c r="N278" s="191" t="s">
        <v>342</v>
      </c>
      <c r="O278" s="501">
        <v>1</v>
      </c>
      <c r="P278" s="27" t="s">
        <v>8</v>
      </c>
      <c r="R278" s="255"/>
      <c r="S278" s="255"/>
      <c r="V278" s="185"/>
    </row>
    <row r="279" spans="1:25" ht="18" customHeight="1">
      <c r="A279" s="184"/>
      <c r="B279" s="47" t="s">
        <v>394</v>
      </c>
      <c r="J279" s="1075" t="s">
        <v>395</v>
      </c>
      <c r="K279" s="1076"/>
      <c r="V279" s="185"/>
      <c r="X279" s="185"/>
    </row>
    <row r="280" spans="1:25" ht="18" customHeight="1">
      <c r="A280" s="184"/>
      <c r="B280" s="47" t="s">
        <v>396</v>
      </c>
      <c r="I280" s="120" t="s">
        <v>497</v>
      </c>
      <c r="J280" s="1075">
        <v>5</v>
      </c>
      <c r="K280" s="1076"/>
      <c r="L280" s="192" t="s">
        <v>333</v>
      </c>
      <c r="V280" s="185"/>
      <c r="X280" s="185"/>
    </row>
    <row r="281" spans="1:25" ht="18" customHeight="1">
      <c r="A281" s="184"/>
      <c r="B281" s="47" t="s">
        <v>398</v>
      </c>
      <c r="I281" s="120" t="s">
        <v>498</v>
      </c>
      <c r="J281" s="1075">
        <v>600</v>
      </c>
      <c r="K281" s="1076"/>
      <c r="L281" s="14" t="s">
        <v>305</v>
      </c>
      <c r="V281" s="636"/>
      <c r="W281" s="18"/>
      <c r="X281" s="185"/>
      <c r="Y281" s="30" t="e">
        <f>#REF!</f>
        <v>#REF!</v>
      </c>
    </row>
    <row r="282" spans="1:25" ht="18" customHeight="1">
      <c r="A282" s="184"/>
      <c r="B282" s="14" t="s">
        <v>401</v>
      </c>
      <c r="I282" s="120" t="s">
        <v>402</v>
      </c>
      <c r="J282" s="1075">
        <v>10</v>
      </c>
      <c r="K282" s="1076"/>
      <c r="L282" s="14" t="s">
        <v>403</v>
      </c>
      <c r="V282" s="185"/>
      <c r="X282" s="185"/>
    </row>
    <row r="283" spans="1:25" ht="18" customHeight="1">
      <c r="A283" s="184"/>
      <c r="V283" s="185"/>
    </row>
    <row r="284" spans="1:25" ht="18" customHeight="1">
      <c r="A284" s="193" t="s">
        <v>404</v>
      </c>
      <c r="V284" s="185"/>
    </row>
    <row r="285" spans="1:25" ht="18" customHeight="1">
      <c r="A285" s="184"/>
      <c r="V285" s="185"/>
    </row>
    <row r="286" spans="1:25" ht="18" customHeight="1">
      <c r="A286" s="184"/>
      <c r="B286" s="135" t="s">
        <v>405</v>
      </c>
      <c r="C286" s="273"/>
      <c r="D286" s="139" t="str">
        <f>T275</f>
        <v>REF615</v>
      </c>
      <c r="E286" s="227"/>
      <c r="F286" s="227"/>
      <c r="G286" s="227"/>
      <c r="H286" s="138"/>
      <c r="I286" s="260" t="s">
        <v>127</v>
      </c>
      <c r="J286" s="1077">
        <f>'[7]CT-VT Burdens'!Q57</f>
        <v>0.02</v>
      </c>
      <c r="K286" s="1078"/>
      <c r="L286" s="3" t="s">
        <v>157</v>
      </c>
      <c r="N286" s="197" t="s">
        <v>510</v>
      </c>
      <c r="V286" s="185"/>
    </row>
    <row r="287" spans="1:25" ht="18" customHeight="1">
      <c r="A287" s="184"/>
      <c r="B287" s="96" t="s">
        <v>405</v>
      </c>
      <c r="C287" s="14"/>
      <c r="D287" s="47" t="str">
        <f>T276</f>
        <v>IDM+</v>
      </c>
      <c r="H287" s="28"/>
      <c r="I287" s="101" t="s">
        <v>127</v>
      </c>
      <c r="J287" s="1077">
        <f>J19</f>
        <v>5.8000000000000003E-2</v>
      </c>
      <c r="K287" s="1078"/>
      <c r="L287" s="3" t="s">
        <v>157</v>
      </c>
      <c r="N287" s="120" t="s">
        <v>491</v>
      </c>
      <c r="O287" s="27" t="s">
        <v>127</v>
      </c>
      <c r="P287" s="27" t="s">
        <v>511</v>
      </c>
      <c r="Q287" s="27" t="s">
        <v>315</v>
      </c>
      <c r="R287" s="27" t="s">
        <v>511</v>
      </c>
      <c r="S287" s="27" t="s">
        <v>315</v>
      </c>
      <c r="T287" s="27" t="s">
        <v>420</v>
      </c>
      <c r="V287" s="185"/>
    </row>
    <row r="288" spans="1:25" ht="18" customHeight="1">
      <c r="A288" s="184"/>
      <c r="B288" s="96" t="s">
        <v>405</v>
      </c>
      <c r="C288" s="14"/>
      <c r="D288" s="47">
        <f>T277</f>
        <v>0</v>
      </c>
      <c r="H288" s="28"/>
      <c r="I288" s="101" t="s">
        <v>127</v>
      </c>
      <c r="J288" s="1077">
        <f>J20</f>
        <v>0</v>
      </c>
      <c r="K288" s="1078"/>
      <c r="L288" s="3" t="s">
        <v>157</v>
      </c>
      <c r="N288" s="27"/>
      <c r="O288" s="27" t="s">
        <v>127</v>
      </c>
      <c r="P288" s="27">
        <f>O278</f>
        <v>1</v>
      </c>
      <c r="Q288" s="27" t="s">
        <v>315</v>
      </c>
      <c r="R288" s="27">
        <f>O278</f>
        <v>1</v>
      </c>
      <c r="S288" s="27" t="s">
        <v>315</v>
      </c>
      <c r="T288" s="27">
        <f>J280</f>
        <v>5</v>
      </c>
      <c r="V288" s="185"/>
    </row>
    <row r="289" spans="1:25" ht="18" customHeight="1">
      <c r="A289" s="184"/>
      <c r="B289" s="452" t="s">
        <v>412</v>
      </c>
      <c r="C289" s="259"/>
      <c r="D289" s="259"/>
      <c r="E289" s="259"/>
      <c r="F289" s="207"/>
      <c r="G289" s="207"/>
      <c r="H289" s="190"/>
      <c r="I289" s="208" t="s">
        <v>127</v>
      </c>
      <c r="J289" s="1081">
        <f>J21</f>
        <v>0</v>
      </c>
      <c r="K289" s="1082"/>
      <c r="L289" s="297" t="s">
        <v>157</v>
      </c>
      <c r="O289" s="27" t="s">
        <v>127</v>
      </c>
      <c r="P289" s="795">
        <f>P288*R288*T288</f>
        <v>5</v>
      </c>
      <c r="Q289" s="684"/>
      <c r="R289" s="27" t="s">
        <v>157</v>
      </c>
      <c r="V289" s="185"/>
    </row>
    <row r="290" spans="1:25" ht="18" customHeight="1">
      <c r="A290" s="184"/>
      <c r="B290" s="1" t="s">
        <v>413</v>
      </c>
      <c r="C290" s="2"/>
      <c r="D290" s="2"/>
      <c r="E290" s="2"/>
      <c r="F290" s="196"/>
      <c r="G290" s="196"/>
      <c r="H290" s="224" t="s">
        <v>512</v>
      </c>
      <c r="I290" s="183" t="s">
        <v>127</v>
      </c>
      <c r="J290" s="722">
        <f>SUM(J286:J289)</f>
        <v>7.8E-2</v>
      </c>
      <c r="K290" s="958"/>
      <c r="L290" s="3" t="s">
        <v>157</v>
      </c>
      <c r="V290" s="185"/>
    </row>
    <row r="291" spans="1:25" ht="18" customHeight="1">
      <c r="A291" s="184"/>
      <c r="B291" s="47"/>
      <c r="C291" s="47"/>
      <c r="D291" s="47"/>
      <c r="E291" s="47"/>
      <c r="H291" s="27"/>
      <c r="I291" s="28"/>
      <c r="J291" s="199"/>
      <c r="L291" s="47"/>
      <c r="S291" s="27"/>
      <c r="V291" s="185"/>
    </row>
    <row r="292" spans="1:25" ht="18" customHeight="1">
      <c r="A292" s="184"/>
      <c r="B292" s="117" t="s">
        <v>513</v>
      </c>
      <c r="Q292" s="211"/>
      <c r="R292" s="192"/>
      <c r="V292" s="185"/>
    </row>
    <row r="293" spans="1:25" ht="18" customHeight="1">
      <c r="A293" s="184"/>
      <c r="B293" s="1074" t="s">
        <v>417</v>
      </c>
      <c r="C293" s="800"/>
      <c r="D293" s="800"/>
      <c r="E293" s="689">
        <v>1.5</v>
      </c>
      <c r="F293" s="689" t="s">
        <v>315</v>
      </c>
      <c r="G293" s="790" t="s">
        <v>481</v>
      </c>
      <c r="H293" s="790" t="s">
        <v>482</v>
      </c>
      <c r="I293" s="803"/>
      <c r="J293" s="689" t="s">
        <v>315</v>
      </c>
      <c r="K293" s="689" t="s">
        <v>419</v>
      </c>
      <c r="L293" s="689" t="s">
        <v>440</v>
      </c>
      <c r="M293" s="729" t="s">
        <v>347</v>
      </c>
      <c r="N293" s="689" t="s">
        <v>447</v>
      </c>
      <c r="O293" s="689" t="s">
        <v>347</v>
      </c>
      <c r="P293" s="759" t="s">
        <v>448</v>
      </c>
      <c r="Q293" s="759"/>
      <c r="R293" s="759"/>
      <c r="S293" s="798" t="s">
        <v>350</v>
      </c>
      <c r="T293" s="1073" t="s">
        <v>422</v>
      </c>
      <c r="V293" s="185"/>
    </row>
    <row r="294" spans="1:25" ht="18" customHeight="1">
      <c r="A294" s="184"/>
      <c r="B294" s="800"/>
      <c r="C294" s="800"/>
      <c r="D294" s="800"/>
      <c r="E294" s="689"/>
      <c r="F294" s="689"/>
      <c r="G294" s="689"/>
      <c r="H294" s="684" t="s">
        <v>483</v>
      </c>
      <c r="I294" s="804"/>
      <c r="J294" s="689"/>
      <c r="K294" s="689"/>
      <c r="L294" s="689"/>
      <c r="M294" s="729"/>
      <c r="N294" s="689"/>
      <c r="O294" s="689"/>
      <c r="P294" s="28" t="s">
        <v>438</v>
      </c>
      <c r="Q294" s="28" t="s">
        <v>315</v>
      </c>
      <c r="R294" s="28" t="s">
        <v>438</v>
      </c>
      <c r="S294" s="798"/>
      <c r="T294" s="1073"/>
      <c r="V294" s="112"/>
    </row>
    <row r="295" spans="1:25" ht="18" customHeight="1">
      <c r="A295" s="184"/>
      <c r="C295" s="28"/>
      <c r="D295" s="28"/>
      <c r="E295" s="28"/>
      <c r="F295" s="28"/>
      <c r="G295" s="28"/>
      <c r="H295" s="689"/>
      <c r="I295" s="716"/>
      <c r="J295" s="28"/>
      <c r="K295" s="28"/>
      <c r="L295" s="28"/>
      <c r="M295" s="28"/>
      <c r="N295" s="47"/>
      <c r="O295" s="28"/>
      <c r="V295" s="185"/>
    </row>
    <row r="296" spans="1:25" ht="18" customHeight="1">
      <c r="A296" s="184"/>
      <c r="C296" s="30" t="s">
        <v>514</v>
      </c>
      <c r="R296" s="27" t="s">
        <v>127</v>
      </c>
      <c r="S296" s="684">
        <v>6</v>
      </c>
      <c r="T296" s="684"/>
      <c r="V296" s="185"/>
    </row>
    <row r="297" spans="1:25" ht="18" customHeight="1">
      <c r="A297" s="168"/>
      <c r="B297" s="5"/>
      <c r="C297" s="296" t="s">
        <v>515</v>
      </c>
      <c r="D297" s="14"/>
      <c r="E297" s="14"/>
      <c r="F297" s="14"/>
      <c r="G297" s="14"/>
      <c r="H297" s="279"/>
      <c r="I297" s="120"/>
      <c r="J297" s="279"/>
      <c r="K297" s="279"/>
      <c r="L297" s="14"/>
      <c r="M297" s="14"/>
      <c r="N297" s="14"/>
      <c r="O297" s="14"/>
      <c r="P297" s="14"/>
      <c r="Q297" s="244" t="s">
        <v>481</v>
      </c>
      <c r="R297" s="102" t="s">
        <v>127</v>
      </c>
      <c r="S297" s="689">
        <f>S296*S298</f>
        <v>16800</v>
      </c>
      <c r="T297" s="689"/>
      <c r="U297" s="47" t="s">
        <v>8</v>
      </c>
      <c r="V297" s="185"/>
    </row>
    <row r="298" spans="1:25" ht="18" customHeight="1">
      <c r="A298" s="168"/>
      <c r="B298" s="5"/>
      <c r="C298" s="47" t="s">
        <v>516</v>
      </c>
      <c r="D298" s="14"/>
      <c r="E298" s="14"/>
      <c r="F298" s="18"/>
      <c r="G298" s="18"/>
      <c r="H298" s="279"/>
      <c r="I298" s="120"/>
      <c r="J298" s="279"/>
      <c r="K298" s="279"/>
      <c r="L298" s="14"/>
      <c r="M298" s="14"/>
      <c r="N298" s="14"/>
      <c r="O298" s="14"/>
      <c r="P298" s="14"/>
      <c r="Q298" s="244" t="s">
        <v>483</v>
      </c>
      <c r="R298" s="102" t="s">
        <v>127</v>
      </c>
      <c r="S298" s="689">
        <f>H278</f>
        <v>2800</v>
      </c>
      <c r="T298" s="689"/>
      <c r="U298" s="14" t="s">
        <v>8</v>
      </c>
      <c r="V298" s="185"/>
    </row>
    <row r="299" spans="1:25" ht="18" customHeight="1">
      <c r="A299" s="168"/>
      <c r="B299" s="5"/>
      <c r="C299" s="47" t="s">
        <v>517</v>
      </c>
      <c r="D299" s="14"/>
      <c r="E299" s="14"/>
      <c r="F299" s="18"/>
      <c r="G299" s="18"/>
      <c r="H299" s="279"/>
      <c r="I299" s="120"/>
      <c r="J299" s="279"/>
      <c r="K299" s="279"/>
      <c r="L299" s="14"/>
      <c r="M299" s="14"/>
      <c r="N299" s="14"/>
      <c r="O299" s="14"/>
      <c r="P299" s="14"/>
      <c r="Q299" s="244" t="s">
        <v>482</v>
      </c>
      <c r="R299" s="102" t="s">
        <v>127</v>
      </c>
      <c r="S299" s="689">
        <f>O278</f>
        <v>1</v>
      </c>
      <c r="T299" s="689"/>
      <c r="U299" s="30" t="s">
        <v>8</v>
      </c>
      <c r="V299" s="185"/>
    </row>
    <row r="300" spans="1:25" ht="18" customHeight="1">
      <c r="A300" s="168"/>
      <c r="B300" s="5"/>
      <c r="C300" s="47" t="s">
        <v>518</v>
      </c>
      <c r="D300" s="14"/>
      <c r="E300" s="14"/>
      <c r="F300" s="18"/>
      <c r="G300" s="18"/>
      <c r="H300" s="279"/>
      <c r="I300" s="120"/>
      <c r="J300" s="279"/>
      <c r="K300" s="279"/>
      <c r="L300" s="14"/>
      <c r="M300" s="14"/>
      <c r="N300" s="14"/>
      <c r="O300" s="14"/>
      <c r="P300" s="14"/>
      <c r="Q300" s="244" t="s">
        <v>146</v>
      </c>
      <c r="R300" s="102" t="s">
        <v>127</v>
      </c>
      <c r="S300" s="834">
        <f>O278</f>
        <v>1</v>
      </c>
      <c r="T300" s="834"/>
      <c r="U300" s="30" t="s">
        <v>8</v>
      </c>
      <c r="V300" s="185"/>
      <c r="W300" s="279"/>
      <c r="X300" s="279"/>
      <c r="Y300" s="279"/>
    </row>
    <row r="301" spans="1:25" ht="18" customHeight="1">
      <c r="A301" s="168"/>
      <c r="B301" s="5"/>
      <c r="C301" s="296" t="s">
        <v>519</v>
      </c>
      <c r="D301" s="14"/>
      <c r="E301" s="14"/>
      <c r="F301" s="18"/>
      <c r="G301" s="18"/>
      <c r="H301" s="279"/>
      <c r="I301" s="120"/>
      <c r="J301" s="279"/>
      <c r="K301" s="279"/>
      <c r="L301" s="14"/>
      <c r="M301" s="14"/>
      <c r="N301" s="14"/>
      <c r="O301" s="14"/>
      <c r="P301" s="14"/>
      <c r="Q301" s="244" t="s">
        <v>420</v>
      </c>
      <c r="R301" s="102" t="s">
        <v>127</v>
      </c>
      <c r="S301" s="692">
        <f>J280</f>
        <v>5</v>
      </c>
      <c r="T301" s="689"/>
      <c r="U301" s="30" t="s">
        <v>520</v>
      </c>
      <c r="V301" s="185"/>
      <c r="X301" s="279"/>
      <c r="Y301" s="279"/>
    </row>
    <row r="302" spans="1:25" ht="18" customHeight="1">
      <c r="A302" s="168"/>
      <c r="B302" s="5"/>
      <c r="C302" s="296" t="s">
        <v>521</v>
      </c>
      <c r="D302" s="14"/>
      <c r="E302" s="14"/>
      <c r="F302" s="14"/>
      <c r="G302" s="14"/>
      <c r="H302" s="279"/>
      <c r="I302" s="120"/>
      <c r="J302" s="279"/>
      <c r="K302" s="279"/>
      <c r="L302" s="14"/>
      <c r="M302" s="14"/>
      <c r="N302" s="14"/>
      <c r="O302" s="14"/>
      <c r="P302" s="14"/>
      <c r="Q302" s="244" t="s">
        <v>522</v>
      </c>
      <c r="R302" s="102" t="s">
        <v>127</v>
      </c>
      <c r="S302" s="692">
        <f>J290</f>
        <v>7.8E-2</v>
      </c>
      <c r="T302" s="689"/>
      <c r="U302" s="30" t="s">
        <v>520</v>
      </c>
      <c r="V302" s="185"/>
      <c r="X302" s="279"/>
      <c r="Y302" s="279"/>
    </row>
    <row r="303" spans="1:25" ht="18" customHeight="1">
      <c r="A303" s="168"/>
      <c r="B303" s="5"/>
      <c r="C303" s="296" t="s">
        <v>523</v>
      </c>
      <c r="D303" s="14"/>
      <c r="E303" s="14"/>
      <c r="F303" s="14"/>
      <c r="G303" s="14"/>
      <c r="H303" s="279"/>
      <c r="I303" s="120"/>
      <c r="J303" s="279"/>
      <c r="K303" s="279"/>
      <c r="L303" s="14"/>
      <c r="M303" s="14"/>
      <c r="N303" s="14"/>
      <c r="O303" s="14"/>
      <c r="P303" s="14"/>
      <c r="Q303" s="244" t="s">
        <v>524</v>
      </c>
      <c r="R303" s="102" t="s">
        <v>127</v>
      </c>
      <c r="S303" s="692">
        <f>J286</f>
        <v>0.02</v>
      </c>
      <c r="T303" s="689"/>
      <c r="U303" s="296" t="s">
        <v>157</v>
      </c>
      <c r="V303" s="185"/>
    </row>
    <row r="304" spans="1:25" ht="18" customHeight="1">
      <c r="A304" s="299"/>
      <c r="B304" s="279"/>
      <c r="C304" s="47"/>
      <c r="D304" s="14"/>
      <c r="E304" s="14"/>
      <c r="F304" s="14"/>
      <c r="G304" s="14"/>
      <c r="H304" s="279"/>
      <c r="I304" s="120"/>
      <c r="J304" s="279"/>
      <c r="K304" s="279"/>
      <c r="L304" s="14"/>
      <c r="M304" s="14"/>
      <c r="N304" s="279"/>
      <c r="O304" s="279"/>
      <c r="P304" s="14"/>
      <c r="Q304" s="120"/>
      <c r="R304" s="14"/>
      <c r="S304" s="279"/>
      <c r="T304" s="279"/>
      <c r="U304" s="279"/>
      <c r="V304" s="300"/>
      <c r="W304" s="279"/>
      <c r="X304" s="279"/>
      <c r="Y304" s="279"/>
    </row>
    <row r="305" spans="1:22" ht="18" customHeight="1">
      <c r="A305" s="184"/>
      <c r="B305" s="684" t="s">
        <v>417</v>
      </c>
      <c r="C305" s="684"/>
      <c r="D305" s="689">
        <v>1.5</v>
      </c>
      <c r="E305" s="684" t="s">
        <v>315</v>
      </c>
      <c r="F305" s="689">
        <f>S297</f>
        <v>16800</v>
      </c>
      <c r="G305" s="689"/>
      <c r="H305" s="684" t="s">
        <v>315</v>
      </c>
      <c r="I305" s="790">
        <f>S299</f>
        <v>1</v>
      </c>
      <c r="J305" s="790"/>
      <c r="K305" s="684" t="s">
        <v>315</v>
      </c>
      <c r="L305" s="684" t="s">
        <v>419</v>
      </c>
      <c r="M305" s="1317">
        <f>S301</f>
        <v>5</v>
      </c>
      <c r="N305" s="684" t="s">
        <v>347</v>
      </c>
      <c r="O305" s="795">
        <f>S302</f>
        <v>7.8E-2</v>
      </c>
      <c r="P305" s="684" t="s">
        <v>347</v>
      </c>
      <c r="Q305" s="1071">
        <f>S303</f>
        <v>0.02</v>
      </c>
      <c r="R305" s="790"/>
      <c r="S305" s="790"/>
      <c r="T305" s="684" t="s">
        <v>350</v>
      </c>
      <c r="V305" s="185"/>
    </row>
    <row r="306" spans="1:22" ht="18" customHeight="1">
      <c r="A306" s="184"/>
      <c r="B306" s="684"/>
      <c r="C306" s="684"/>
      <c r="D306" s="689"/>
      <c r="E306" s="684"/>
      <c r="F306" s="689"/>
      <c r="G306" s="689"/>
      <c r="H306" s="684"/>
      <c r="I306" s="684">
        <f>S298</f>
        <v>2800</v>
      </c>
      <c r="J306" s="684"/>
      <c r="K306" s="684"/>
      <c r="L306" s="684"/>
      <c r="M306" s="1317"/>
      <c r="N306" s="684"/>
      <c r="O306" s="684"/>
      <c r="P306" s="684"/>
      <c r="Q306" s="503">
        <f>S300</f>
        <v>1</v>
      </c>
      <c r="R306" s="27" t="s">
        <v>315</v>
      </c>
      <c r="S306" s="503">
        <f>S300</f>
        <v>1</v>
      </c>
      <c r="T306" s="684"/>
      <c r="V306" s="185"/>
    </row>
    <row r="307" spans="1:22" ht="18" customHeight="1">
      <c r="A307" s="184"/>
      <c r="C307" s="120"/>
      <c r="D307" s="28"/>
      <c r="E307" s="28"/>
      <c r="F307" s="28"/>
      <c r="G307" s="28"/>
      <c r="H307" s="14"/>
      <c r="I307" s="14"/>
      <c r="J307" s="28"/>
      <c r="K307" s="28"/>
      <c r="L307" s="28"/>
      <c r="M307" s="28"/>
      <c r="N307" s="47"/>
      <c r="O307" s="502"/>
      <c r="V307" s="185"/>
    </row>
    <row r="308" spans="1:22" ht="18" customHeight="1">
      <c r="A308" s="184"/>
      <c r="C308" s="27" t="s">
        <v>127</v>
      </c>
      <c r="D308" s="1072">
        <f>ROUNDUP(D305*F305*(I305/I306)*(M305+O305+(Q305/(Q306*S306))),2)</f>
        <v>45.89</v>
      </c>
      <c r="E308" s="1072"/>
      <c r="F308" s="286" t="s">
        <v>305</v>
      </c>
      <c r="G308" s="27"/>
      <c r="V308" s="185"/>
    </row>
    <row r="309" spans="1:22" ht="18" customHeight="1">
      <c r="A309" s="184"/>
      <c r="V309" s="185"/>
    </row>
    <row r="310" spans="1:22" ht="18" customHeight="1">
      <c r="A310" s="184"/>
      <c r="V310" s="185"/>
    </row>
    <row r="311" spans="1:22" ht="18" customHeight="1">
      <c r="A311" s="184"/>
      <c r="V311" s="185"/>
    </row>
    <row r="312" spans="1:22" ht="18" customHeight="1">
      <c r="A312" s="452"/>
      <c r="B312" s="207"/>
      <c r="C312" s="207"/>
      <c r="D312" s="207"/>
      <c r="E312" s="207"/>
      <c r="F312" s="207"/>
      <c r="G312" s="207"/>
      <c r="H312" s="207"/>
      <c r="I312" s="207"/>
      <c r="J312" s="207"/>
      <c r="K312" s="207"/>
      <c r="L312" s="207"/>
      <c r="M312" s="207"/>
      <c r="N312" s="207"/>
      <c r="O312" s="207"/>
      <c r="P312" s="207"/>
      <c r="Q312" s="207"/>
      <c r="R312" s="207"/>
      <c r="S312" s="207"/>
      <c r="T312" s="207"/>
      <c r="U312" s="207"/>
      <c r="V312" s="453"/>
    </row>
    <row r="313" spans="1:22" ht="18" customHeight="1">
      <c r="A313" s="290"/>
      <c r="B313" s="196"/>
      <c r="C313" s="196"/>
      <c r="D313" s="196"/>
      <c r="E313" s="196"/>
      <c r="F313" s="196"/>
      <c r="G313" s="196"/>
      <c r="H313" s="196"/>
      <c r="I313" s="196"/>
      <c r="J313" s="196"/>
      <c r="K313" s="196"/>
      <c r="L313" s="196"/>
      <c r="M313" s="196"/>
      <c r="N313" s="196"/>
      <c r="O313" s="196"/>
      <c r="P313" s="196"/>
      <c r="Q313" s="196"/>
      <c r="R313" s="196"/>
      <c r="S313" s="196"/>
      <c r="T313" s="196"/>
      <c r="U313" s="196"/>
      <c r="V313" s="291"/>
    </row>
    <row r="314" spans="1:22" ht="18" customHeight="1">
      <c r="A314" s="226"/>
      <c r="B314" s="227"/>
      <c r="C314" s="227"/>
      <c r="D314" s="227"/>
      <c r="E314" s="227"/>
      <c r="F314" s="227"/>
      <c r="G314" s="227"/>
      <c r="H314" s="227"/>
      <c r="I314" s="227"/>
      <c r="J314" s="227"/>
      <c r="K314" s="227"/>
      <c r="L314" s="227"/>
      <c r="M314" s="227"/>
      <c r="N314" s="227"/>
      <c r="O314" s="227"/>
      <c r="P314" s="227"/>
      <c r="Q314" s="227"/>
      <c r="R314" s="227"/>
      <c r="S314" s="227"/>
      <c r="T314" s="227"/>
      <c r="U314" s="227"/>
      <c r="V314" s="228"/>
    </row>
    <row r="315" spans="1:22" ht="18" customHeight="1">
      <c r="A315" s="184"/>
      <c r="B315" s="117" t="s">
        <v>525</v>
      </c>
      <c r="V315" s="185"/>
    </row>
    <row r="316" spans="1:22" ht="18" customHeight="1">
      <c r="A316" s="184"/>
      <c r="V316" s="185"/>
    </row>
    <row r="317" spans="1:22" ht="18" customHeight="1">
      <c r="A317" s="184"/>
      <c r="B317" s="1074" t="s">
        <v>417</v>
      </c>
      <c r="C317" s="800"/>
      <c r="D317" s="800"/>
      <c r="E317" s="689">
        <v>20</v>
      </c>
      <c r="F317" s="689" t="s">
        <v>315</v>
      </c>
      <c r="G317" s="790" t="s">
        <v>481</v>
      </c>
      <c r="H317" s="790" t="s">
        <v>482</v>
      </c>
      <c r="I317" s="803"/>
      <c r="J317" s="689" t="s">
        <v>315</v>
      </c>
      <c r="K317" s="689" t="s">
        <v>419</v>
      </c>
      <c r="L317" s="689" t="s">
        <v>440</v>
      </c>
      <c r="M317" s="729" t="s">
        <v>347</v>
      </c>
      <c r="N317" s="689" t="s">
        <v>447</v>
      </c>
      <c r="O317" s="689" t="s">
        <v>347</v>
      </c>
      <c r="P317" s="759" t="s">
        <v>448</v>
      </c>
      <c r="Q317" s="759"/>
      <c r="R317" s="759"/>
      <c r="S317" s="798" t="s">
        <v>350</v>
      </c>
      <c r="T317" s="1073" t="s">
        <v>422</v>
      </c>
      <c r="V317" s="185"/>
    </row>
    <row r="318" spans="1:22" ht="18" customHeight="1">
      <c r="A318" s="184"/>
      <c r="B318" s="800"/>
      <c r="C318" s="800"/>
      <c r="D318" s="800"/>
      <c r="E318" s="689"/>
      <c r="F318" s="689"/>
      <c r="G318" s="689"/>
      <c r="H318" s="684" t="s">
        <v>483</v>
      </c>
      <c r="I318" s="804"/>
      <c r="J318" s="689"/>
      <c r="K318" s="689"/>
      <c r="L318" s="689"/>
      <c r="M318" s="729"/>
      <c r="N318" s="689"/>
      <c r="O318" s="689"/>
      <c r="P318" s="28" t="s">
        <v>438</v>
      </c>
      <c r="Q318" s="28" t="s">
        <v>315</v>
      </c>
      <c r="R318" s="28" t="s">
        <v>438</v>
      </c>
      <c r="S318" s="798"/>
      <c r="T318" s="1073"/>
      <c r="V318" s="112"/>
    </row>
    <row r="319" spans="1:22" ht="18" customHeight="1">
      <c r="A319" s="184"/>
      <c r="C319" s="28"/>
      <c r="D319" s="28"/>
      <c r="E319" s="28"/>
      <c r="F319" s="28"/>
      <c r="G319" s="28"/>
      <c r="H319" s="689"/>
      <c r="I319" s="716"/>
      <c r="J319" s="28"/>
      <c r="K319" s="28"/>
      <c r="L319" s="28"/>
      <c r="M319" s="28"/>
      <c r="N319" s="47"/>
      <c r="O319" s="28"/>
      <c r="V319" s="185"/>
    </row>
    <row r="320" spans="1:22" ht="18" customHeight="1">
      <c r="A320" s="184"/>
      <c r="C320" s="30" t="s">
        <v>526</v>
      </c>
      <c r="R320" s="27" t="s">
        <v>127</v>
      </c>
      <c r="S320" s="684">
        <v>1.2</v>
      </c>
      <c r="T320" s="684"/>
      <c r="V320" s="185"/>
    </row>
    <row r="321" spans="1:27" ht="18" customHeight="1">
      <c r="A321" s="168"/>
      <c r="B321" s="5"/>
      <c r="C321" s="296" t="s">
        <v>515</v>
      </c>
      <c r="D321" s="14"/>
      <c r="E321" s="14"/>
      <c r="F321" s="14"/>
      <c r="G321" s="14"/>
      <c r="H321" s="279"/>
      <c r="I321" s="120"/>
      <c r="J321" s="279"/>
      <c r="K321" s="279"/>
      <c r="L321" s="14"/>
      <c r="M321" s="14"/>
      <c r="N321" s="14"/>
      <c r="O321" s="14"/>
      <c r="P321" s="14"/>
      <c r="Q321" s="244" t="s">
        <v>481</v>
      </c>
      <c r="R321" s="102" t="s">
        <v>127</v>
      </c>
      <c r="S321" s="689">
        <f>S320*S322</f>
        <v>3360</v>
      </c>
      <c r="T321" s="689"/>
      <c r="U321" s="47" t="s">
        <v>8</v>
      </c>
      <c r="V321" s="185"/>
    </row>
    <row r="322" spans="1:27" ht="18" customHeight="1">
      <c r="A322" s="168"/>
      <c r="B322" s="5"/>
      <c r="C322" s="47" t="s">
        <v>516</v>
      </c>
      <c r="D322" s="14"/>
      <c r="E322" s="14"/>
      <c r="F322" s="18"/>
      <c r="G322" s="18"/>
      <c r="H322" s="279"/>
      <c r="I322" s="120"/>
      <c r="J322" s="279"/>
      <c r="K322" s="279"/>
      <c r="L322" s="14"/>
      <c r="M322" s="14"/>
      <c r="N322" s="14"/>
      <c r="O322" s="14"/>
      <c r="P322" s="14"/>
      <c r="Q322" s="244" t="s">
        <v>483</v>
      </c>
      <c r="R322" s="102" t="s">
        <v>127</v>
      </c>
      <c r="S322" s="689">
        <f>H278</f>
        <v>2800</v>
      </c>
      <c r="T322" s="689"/>
      <c r="U322" s="14" t="s">
        <v>8</v>
      </c>
      <c r="V322" s="185"/>
    </row>
    <row r="323" spans="1:27" ht="18" customHeight="1">
      <c r="A323" s="168"/>
      <c r="B323" s="5"/>
      <c r="C323" s="47" t="s">
        <v>517</v>
      </c>
      <c r="D323" s="14"/>
      <c r="E323" s="14"/>
      <c r="F323" s="18"/>
      <c r="G323" s="18"/>
      <c r="H323" s="279"/>
      <c r="I323" s="120"/>
      <c r="J323" s="279"/>
      <c r="K323" s="279"/>
      <c r="L323" s="14"/>
      <c r="M323" s="14"/>
      <c r="N323" s="14"/>
      <c r="O323" s="14"/>
      <c r="P323" s="14"/>
      <c r="Q323" s="244" t="s">
        <v>482</v>
      </c>
      <c r="R323" s="102" t="s">
        <v>127</v>
      </c>
      <c r="S323" s="689">
        <f>O278</f>
        <v>1</v>
      </c>
      <c r="T323" s="689"/>
      <c r="U323" s="30" t="s">
        <v>8</v>
      </c>
      <c r="V323" s="185"/>
    </row>
    <row r="324" spans="1:27" ht="18" customHeight="1">
      <c r="A324" s="168"/>
      <c r="B324" s="5"/>
      <c r="C324" s="47" t="s">
        <v>518</v>
      </c>
      <c r="D324" s="14"/>
      <c r="E324" s="14"/>
      <c r="F324" s="18"/>
      <c r="G324" s="18"/>
      <c r="H324" s="279"/>
      <c r="I324" s="120"/>
      <c r="J324" s="279"/>
      <c r="K324" s="279"/>
      <c r="L324" s="14"/>
      <c r="M324" s="14"/>
      <c r="N324" s="14"/>
      <c r="O324" s="14"/>
      <c r="P324" s="14"/>
      <c r="Q324" s="244" t="s">
        <v>146</v>
      </c>
      <c r="R324" s="102" t="s">
        <v>127</v>
      </c>
      <c r="S324" s="834">
        <f>S300</f>
        <v>1</v>
      </c>
      <c r="T324" s="834"/>
      <c r="U324" s="30" t="s">
        <v>8</v>
      </c>
      <c r="V324" s="185"/>
      <c r="W324" s="279"/>
      <c r="X324" s="279"/>
      <c r="Y324" s="279"/>
    </row>
    <row r="325" spans="1:27" ht="18" customHeight="1">
      <c r="A325" s="168"/>
      <c r="B325" s="5"/>
      <c r="C325" s="296" t="s">
        <v>519</v>
      </c>
      <c r="D325" s="14"/>
      <c r="E325" s="14"/>
      <c r="F325" s="18"/>
      <c r="G325" s="18"/>
      <c r="H325" s="279"/>
      <c r="I325" s="120"/>
      <c r="J325" s="279"/>
      <c r="K325" s="279"/>
      <c r="L325" s="14"/>
      <c r="M325" s="14"/>
      <c r="N325" s="14"/>
      <c r="O325" s="14"/>
      <c r="P325" s="14"/>
      <c r="Q325" s="244" t="s">
        <v>420</v>
      </c>
      <c r="R325" s="102" t="s">
        <v>127</v>
      </c>
      <c r="S325" s="692">
        <f>J280</f>
        <v>5</v>
      </c>
      <c r="T325" s="689"/>
      <c r="U325" s="30" t="s">
        <v>520</v>
      </c>
      <c r="V325" s="185"/>
      <c r="X325" s="279"/>
      <c r="Y325" s="279"/>
    </row>
    <row r="326" spans="1:27" ht="18" customHeight="1">
      <c r="A326" s="168"/>
      <c r="B326" s="5"/>
      <c r="C326" s="296" t="s">
        <v>521</v>
      </c>
      <c r="D326" s="14"/>
      <c r="E326" s="14"/>
      <c r="F326" s="14"/>
      <c r="G326" s="14"/>
      <c r="H326" s="279"/>
      <c r="I326" s="120"/>
      <c r="J326" s="279"/>
      <c r="K326" s="279"/>
      <c r="L326" s="14"/>
      <c r="M326" s="14"/>
      <c r="N326" s="14"/>
      <c r="O326" s="14"/>
      <c r="P326" s="14"/>
      <c r="Q326" s="244" t="s">
        <v>522</v>
      </c>
      <c r="R326" s="102" t="s">
        <v>127</v>
      </c>
      <c r="S326" s="692">
        <f>J290</f>
        <v>7.8E-2</v>
      </c>
      <c r="T326" s="689"/>
      <c r="U326" s="30" t="s">
        <v>520</v>
      </c>
      <c r="V326" s="185"/>
      <c r="X326" s="279"/>
      <c r="Y326" s="279"/>
    </row>
    <row r="327" spans="1:27" ht="18" customHeight="1">
      <c r="A327" s="168"/>
      <c r="B327" s="5"/>
      <c r="C327" s="296" t="s">
        <v>523</v>
      </c>
      <c r="D327" s="14"/>
      <c r="E327" s="14"/>
      <c r="F327" s="14"/>
      <c r="G327" s="14"/>
      <c r="H327" s="279"/>
      <c r="I327" s="120"/>
      <c r="J327" s="279"/>
      <c r="K327" s="279"/>
      <c r="L327" s="14"/>
      <c r="M327" s="14"/>
      <c r="N327" s="14"/>
      <c r="O327" s="14"/>
      <c r="P327" s="14"/>
      <c r="Q327" s="244" t="s">
        <v>524</v>
      </c>
      <c r="R327" s="102" t="s">
        <v>127</v>
      </c>
      <c r="S327" s="795">
        <f>J286</f>
        <v>0.02</v>
      </c>
      <c r="T327" s="689"/>
      <c r="U327" s="296" t="s">
        <v>157</v>
      </c>
      <c r="V327" s="185"/>
    </row>
    <row r="328" spans="1:27" ht="18" customHeight="1">
      <c r="A328" s="299"/>
      <c r="B328" s="279"/>
      <c r="C328" s="47"/>
      <c r="D328" s="14"/>
      <c r="E328" s="14"/>
      <c r="F328" s="14"/>
      <c r="G328" s="14"/>
      <c r="H328" s="279"/>
      <c r="I328" s="120"/>
      <c r="J328" s="279"/>
      <c r="K328" s="279"/>
      <c r="L328" s="14"/>
      <c r="M328" s="14"/>
      <c r="N328" s="279"/>
      <c r="O328" s="279"/>
      <c r="P328" s="14"/>
      <c r="Q328" s="120"/>
      <c r="R328" s="14"/>
      <c r="S328" s="279"/>
      <c r="T328" s="279"/>
      <c r="U328" s="279"/>
      <c r="V328" s="300"/>
      <c r="W328" s="279"/>
      <c r="X328" s="279"/>
      <c r="Y328" s="279"/>
    </row>
    <row r="329" spans="1:27" ht="18" customHeight="1">
      <c r="A329" s="184"/>
      <c r="B329" s="684" t="s">
        <v>417</v>
      </c>
      <c r="C329" s="684"/>
      <c r="D329" s="689">
        <f>E317</f>
        <v>20</v>
      </c>
      <c r="E329" s="684" t="s">
        <v>315</v>
      </c>
      <c r="F329" s="689">
        <f>S321</f>
        <v>3360</v>
      </c>
      <c r="G329" s="689"/>
      <c r="H329" s="684" t="s">
        <v>315</v>
      </c>
      <c r="I329" s="790">
        <f>S323</f>
        <v>1</v>
      </c>
      <c r="J329" s="790"/>
      <c r="K329" s="684" t="s">
        <v>315</v>
      </c>
      <c r="L329" s="684" t="s">
        <v>419</v>
      </c>
      <c r="M329" s="1316">
        <f>S325</f>
        <v>5</v>
      </c>
      <c r="N329" s="684" t="s">
        <v>347</v>
      </c>
      <c r="O329" s="795">
        <f>S326</f>
        <v>7.8E-2</v>
      </c>
      <c r="P329" s="684" t="s">
        <v>347</v>
      </c>
      <c r="Q329" s="1071">
        <f>S327</f>
        <v>0.02</v>
      </c>
      <c r="R329" s="790"/>
      <c r="S329" s="790"/>
      <c r="T329" s="684" t="s">
        <v>350</v>
      </c>
      <c r="V329" s="185"/>
    </row>
    <row r="330" spans="1:27" ht="18" customHeight="1">
      <c r="A330" s="184"/>
      <c r="B330" s="684"/>
      <c r="C330" s="684"/>
      <c r="D330" s="689"/>
      <c r="E330" s="684"/>
      <c r="F330" s="689"/>
      <c r="G330" s="689"/>
      <c r="H330" s="684"/>
      <c r="I330" s="684">
        <f>S322</f>
        <v>2800</v>
      </c>
      <c r="J330" s="684"/>
      <c r="K330" s="684"/>
      <c r="L330" s="684"/>
      <c r="M330" s="1316"/>
      <c r="N330" s="684"/>
      <c r="O330" s="684"/>
      <c r="P330" s="684"/>
      <c r="Q330" s="503">
        <f>S324</f>
        <v>1</v>
      </c>
      <c r="R330" s="27" t="s">
        <v>315</v>
      </c>
      <c r="S330" s="503">
        <f>S324</f>
        <v>1</v>
      </c>
      <c r="T330" s="684"/>
      <c r="V330" s="185"/>
    </row>
    <row r="331" spans="1:27" ht="18" customHeight="1">
      <c r="A331" s="184"/>
      <c r="C331" s="120"/>
      <c r="D331" s="28"/>
      <c r="E331" s="28"/>
      <c r="F331" s="28"/>
      <c r="G331" s="28"/>
      <c r="H331" s="14"/>
      <c r="I331" s="14"/>
      <c r="J331" s="28"/>
      <c r="K331" s="28"/>
      <c r="L331" s="28"/>
      <c r="M331" s="28"/>
      <c r="N331" s="47"/>
      <c r="O331" s="502"/>
      <c r="V331" s="185"/>
    </row>
    <row r="332" spans="1:27" ht="18" customHeight="1">
      <c r="A332" s="184"/>
      <c r="C332" s="27" t="s">
        <v>127</v>
      </c>
      <c r="D332" s="1072">
        <f>ROUNDUP(D329*F329*(I329/I330)*(M329+O329+(Q329/(Q330*S330))),2)</f>
        <v>122.36</v>
      </c>
      <c r="E332" s="1072"/>
      <c r="F332" s="286" t="s">
        <v>305</v>
      </c>
      <c r="G332" s="27"/>
      <c r="V332" s="185"/>
    </row>
    <row r="333" spans="1:27" ht="18" customHeight="1">
      <c r="A333" s="184"/>
      <c r="V333" s="185"/>
    </row>
    <row r="334" spans="1:27" ht="18" customHeight="1">
      <c r="A334" s="184"/>
      <c r="D334" s="30" t="s">
        <v>527</v>
      </c>
      <c r="L334" s="30" t="s">
        <v>528</v>
      </c>
      <c r="M334" s="505" t="s">
        <v>529</v>
      </c>
      <c r="N334" s="30" t="str">
        <f>CONCATENATE(Y334,X334,D308,Z334,D332,AA334)</f>
        <v>max(45.89,122.36)</v>
      </c>
      <c r="V334" s="185"/>
      <c r="X334" s="30" t="s">
        <v>419</v>
      </c>
      <c r="Y334" s="30" t="s">
        <v>530</v>
      </c>
      <c r="Z334" s="30" t="s">
        <v>531</v>
      </c>
      <c r="AA334" s="30" t="s">
        <v>350</v>
      </c>
    </row>
    <row r="335" spans="1:27" ht="18" customHeight="1">
      <c r="A335" s="184"/>
      <c r="D335" s="14"/>
      <c r="E335"/>
      <c r="F335"/>
      <c r="G335" s="27"/>
      <c r="H335" s="14"/>
      <c r="I335"/>
      <c r="J335"/>
      <c r="K335"/>
      <c r="L335" s="30" t="s">
        <v>528</v>
      </c>
      <c r="M335" s="505" t="s">
        <v>529</v>
      </c>
      <c r="N335" s="795">
        <f>MAX(D332,D308)</f>
        <v>122.36</v>
      </c>
      <c r="O335" s="795"/>
      <c r="V335" s="185"/>
    </row>
    <row r="336" spans="1:27" ht="18" customHeight="1">
      <c r="A336" s="184"/>
      <c r="D336"/>
      <c r="E336" s="1089"/>
      <c r="F336" s="684"/>
      <c r="G336" s="27"/>
      <c r="H336" s="795"/>
      <c r="I336" s="684"/>
      <c r="J336"/>
      <c r="K336"/>
      <c r="L336" s="296">
        <f>J281</f>
        <v>600</v>
      </c>
      <c r="M336" s="505" t="s">
        <v>529</v>
      </c>
      <c r="N336" s="795">
        <f>N335</f>
        <v>122.36</v>
      </c>
      <c r="O336" s="795"/>
      <c r="V336" s="185"/>
    </row>
    <row r="337" spans="1:22" ht="18" customHeight="1">
      <c r="A337" s="184"/>
      <c r="D337"/>
      <c r="E337" s="504"/>
      <c r="F337" s="27"/>
      <c r="G337" s="27"/>
      <c r="H337" s="211"/>
      <c r="I337" s="27"/>
      <c r="J337"/>
      <c r="K337"/>
      <c r="L337" s="296"/>
      <c r="M337" s="505"/>
      <c r="N337" s="476"/>
      <c r="V337" s="185"/>
    </row>
    <row r="338" spans="1:22" ht="18" customHeight="1">
      <c r="A338" s="184"/>
      <c r="D338"/>
      <c r="E338"/>
      <c r="F338" s="244" t="s">
        <v>478</v>
      </c>
      <c r="G338"/>
      <c r="H338" s="18" t="str">
        <f>IF(L336&gt;N336,"Suitably Dimensioned","Under Dimensioned")</f>
        <v>Suitably Dimensioned</v>
      </c>
      <c r="I338"/>
      <c r="J338"/>
      <c r="K338"/>
      <c r="L338"/>
      <c r="V338" s="185"/>
    </row>
    <row r="339" spans="1:22" ht="18" customHeight="1">
      <c r="A339" s="184"/>
      <c r="V339" s="185"/>
    </row>
    <row r="340" spans="1:22" ht="18" customHeight="1">
      <c r="A340" s="184"/>
      <c r="V340" s="185"/>
    </row>
    <row r="341" spans="1:22" ht="18" customHeight="1">
      <c r="A341" s="184"/>
      <c r="V341" s="185"/>
    </row>
    <row r="342" spans="1:22" ht="18" customHeight="1">
      <c r="A342" s="184"/>
      <c r="V342" s="185"/>
    </row>
    <row r="343" spans="1:22" ht="18" customHeight="1">
      <c r="A343" s="184"/>
      <c r="V343" s="185"/>
    </row>
    <row r="344" spans="1:22" ht="18" customHeight="1">
      <c r="A344" s="184"/>
      <c r="V344" s="185"/>
    </row>
    <row r="345" spans="1:22" ht="18" customHeight="1">
      <c r="A345" s="184"/>
      <c r="V345" s="185"/>
    </row>
    <row r="346" spans="1:22" ht="18" customHeight="1">
      <c r="A346" s="184"/>
      <c r="V346" s="185"/>
    </row>
    <row r="347" spans="1:22" ht="18" customHeight="1">
      <c r="A347" s="184"/>
      <c r="V347" s="185"/>
    </row>
    <row r="348" spans="1:22" ht="18" customHeight="1">
      <c r="A348" s="184"/>
      <c r="V348" s="185"/>
    </row>
    <row r="349" spans="1:22" ht="18" customHeight="1">
      <c r="A349" s="184"/>
      <c r="V349" s="185"/>
    </row>
    <row r="350" spans="1:22" ht="18" customHeight="1">
      <c r="A350" s="184"/>
      <c r="V350" s="185"/>
    </row>
    <row r="351" spans="1:22" ht="18" customHeight="1">
      <c r="A351" s="184"/>
      <c r="V351" s="185"/>
    </row>
    <row r="352" spans="1:22" ht="18" customHeight="1">
      <c r="A352" s="452"/>
      <c r="B352" s="207"/>
      <c r="C352" s="207"/>
      <c r="D352" s="207"/>
      <c r="E352" s="207"/>
      <c r="F352" s="207"/>
      <c r="G352" s="207"/>
      <c r="H352" s="207"/>
      <c r="I352" s="207"/>
      <c r="J352" s="207"/>
      <c r="K352" s="207"/>
      <c r="L352" s="207"/>
      <c r="M352" s="207"/>
      <c r="N352" s="207"/>
      <c r="O352" s="207"/>
      <c r="P352" s="207"/>
      <c r="Q352" s="207"/>
      <c r="R352" s="207"/>
      <c r="S352" s="207"/>
      <c r="T352" s="207"/>
      <c r="U352" s="207"/>
      <c r="V352" s="453"/>
    </row>
    <row r="353" spans="1:22" ht="18" hidden="1" customHeight="1">
      <c r="A353" s="184"/>
      <c r="V353" s="185"/>
    </row>
    <row r="354" spans="1:22" ht="18" hidden="1" customHeight="1">
      <c r="A354" s="184"/>
      <c r="V354" s="185"/>
    </row>
    <row r="355" spans="1:22" ht="18" hidden="1" customHeight="1">
      <c r="A355" s="184"/>
      <c r="V355" s="185"/>
    </row>
    <row r="356" spans="1:22" ht="18" hidden="1" customHeight="1">
      <c r="A356" s="184"/>
      <c r="V356" s="185"/>
    </row>
    <row r="357" spans="1:22" ht="18" hidden="1" customHeight="1">
      <c r="A357" s="184"/>
      <c r="V357" s="185"/>
    </row>
    <row r="358" spans="1:22" ht="18" hidden="1" customHeight="1">
      <c r="A358" s="184"/>
      <c r="V358" s="185"/>
    </row>
    <row r="359" spans="1:22" ht="18" hidden="1" customHeight="1">
      <c r="A359" s="184"/>
      <c r="V359" s="185"/>
    </row>
    <row r="360" spans="1:22" ht="18" hidden="1" customHeight="1">
      <c r="A360" s="184"/>
      <c r="V360" s="185"/>
    </row>
    <row r="361" spans="1:22" ht="18" hidden="1" customHeight="1">
      <c r="A361" s="184"/>
      <c r="V361" s="185"/>
    </row>
    <row r="362" spans="1:22" ht="18" hidden="1" customHeight="1">
      <c r="A362" s="184"/>
      <c r="V362" s="185"/>
    </row>
    <row r="363" spans="1:22" ht="18" hidden="1" customHeight="1">
      <c r="A363" s="184"/>
      <c r="V363" s="185"/>
    </row>
    <row r="364" spans="1:22" ht="18" hidden="1" customHeight="1">
      <c r="A364" s="184"/>
      <c r="V364" s="185"/>
    </row>
    <row r="365" spans="1:22" s="14" customFormat="1" ht="18" hidden="1" customHeight="1">
      <c r="A365" s="194"/>
      <c r="B365" s="195"/>
      <c r="C365" s="195"/>
      <c r="D365" s="195"/>
      <c r="E365" s="195"/>
      <c r="F365" s="195"/>
      <c r="G365" s="195"/>
      <c r="H365" s="195"/>
      <c r="I365" s="195"/>
      <c r="J365" s="195"/>
      <c r="K365" s="195"/>
      <c r="L365" s="195"/>
      <c r="M365" s="195"/>
      <c r="N365" s="195"/>
      <c r="O365" s="195"/>
      <c r="P365" s="195"/>
      <c r="Q365" s="224"/>
      <c r="R365" s="182"/>
      <c r="S365" s="225"/>
      <c r="T365" s="195"/>
      <c r="U365" s="195"/>
      <c r="V365" s="134" t="s">
        <v>552</v>
      </c>
    </row>
    <row r="366" spans="1:22" ht="18" hidden="1" customHeight="1">
      <c r="A366" s="226"/>
      <c r="B366" s="227"/>
      <c r="C366" s="227"/>
      <c r="D366" s="227"/>
      <c r="E366" s="227"/>
      <c r="F366" s="227"/>
      <c r="G366" s="227"/>
      <c r="H366" s="227"/>
      <c r="I366" s="227"/>
      <c r="J366" s="227"/>
      <c r="K366" s="227"/>
      <c r="L366" s="227"/>
      <c r="M366" s="227"/>
      <c r="N366" s="227"/>
      <c r="O366" s="227"/>
      <c r="P366" s="227"/>
      <c r="Q366" s="227"/>
      <c r="R366" s="227"/>
      <c r="S366" s="227"/>
      <c r="T366" s="227"/>
      <c r="U366" s="227"/>
      <c r="V366" s="228"/>
    </row>
    <row r="367" spans="1:22" ht="18" hidden="1" customHeight="1">
      <c r="A367" s="184"/>
      <c r="B367" s="854" t="str">
        <f>B275</f>
        <v>T1</v>
      </c>
      <c r="C367" s="831"/>
      <c r="D367" s="853" t="str">
        <f>D275</f>
        <v>Core3</v>
      </c>
      <c r="E367" s="765"/>
      <c r="F367" s="455"/>
      <c r="H367" s="684" t="str">
        <f>H275</f>
        <v>(OC+BCPU+FMS)</v>
      </c>
      <c r="I367" s="684"/>
      <c r="J367" s="684"/>
      <c r="K367" s="684"/>
      <c r="L367" s="684"/>
      <c r="M367" s="684"/>
      <c r="P367" s="186"/>
      <c r="S367" s="187" t="s">
        <v>387</v>
      </c>
      <c r="T367" s="1123" t="str">
        <f>T275</f>
        <v>REF615</v>
      </c>
      <c r="U367" s="1124"/>
      <c r="V367" s="185"/>
    </row>
    <row r="368" spans="1:22" ht="18" hidden="1" customHeight="1">
      <c r="A368" s="456"/>
      <c r="F368" s="455"/>
      <c r="T368" s="1123" t="str">
        <f>T276</f>
        <v>IDM+</v>
      </c>
      <c r="U368" s="1124"/>
      <c r="V368" s="185"/>
    </row>
    <row r="369" spans="1:23" ht="18" hidden="1" customHeight="1">
      <c r="A369" s="184"/>
      <c r="H369" s="708" t="s">
        <v>390</v>
      </c>
      <c r="I369" s="708"/>
      <c r="J369" s="789" t="s">
        <v>391</v>
      </c>
      <c r="K369" s="789"/>
      <c r="L369" s="790" t="s">
        <v>392</v>
      </c>
      <c r="M369" s="790"/>
      <c r="T369" s="1123">
        <f>T277</f>
        <v>0</v>
      </c>
      <c r="U369" s="1124"/>
      <c r="V369" s="185"/>
    </row>
    <row r="370" spans="1:23" ht="18" hidden="1" customHeight="1">
      <c r="A370" s="184"/>
      <c r="B370" s="47" t="s">
        <v>393</v>
      </c>
      <c r="H370" s="854">
        <f>H278</f>
        <v>2800</v>
      </c>
      <c r="I370" s="831"/>
      <c r="J370" s="863">
        <f>J278</f>
        <v>3200</v>
      </c>
      <c r="K370" s="864"/>
      <c r="L370" s="854" t="str">
        <f>L278</f>
        <v>-</v>
      </c>
      <c r="M370" s="831"/>
      <c r="N370" s="191" t="s">
        <v>342</v>
      </c>
      <c r="O370" s="256">
        <f>O278</f>
        <v>1</v>
      </c>
      <c r="P370" s="27" t="s">
        <v>8</v>
      </c>
      <c r="R370" s="255"/>
      <c r="S370" s="255"/>
      <c r="V370" s="185"/>
    </row>
    <row r="371" spans="1:23" ht="18" hidden="1" customHeight="1">
      <c r="A371" s="184"/>
      <c r="B371" s="47" t="s">
        <v>394</v>
      </c>
      <c r="J371" s="854" t="str">
        <f>J279</f>
        <v>PX</v>
      </c>
      <c r="K371" s="831"/>
      <c r="V371" s="185"/>
    </row>
    <row r="372" spans="1:23" ht="18" hidden="1" customHeight="1">
      <c r="A372" s="184"/>
      <c r="B372" s="47" t="s">
        <v>396</v>
      </c>
      <c r="I372" s="120" t="s">
        <v>497</v>
      </c>
      <c r="J372" s="1075">
        <v>12</v>
      </c>
      <c r="K372" s="1076"/>
      <c r="L372" s="192" t="s">
        <v>333</v>
      </c>
      <c r="V372" s="185"/>
    </row>
    <row r="373" spans="1:23" ht="18" hidden="1" customHeight="1">
      <c r="A373" s="184"/>
      <c r="B373" s="47" t="s">
        <v>398</v>
      </c>
      <c r="I373" s="120" t="s">
        <v>498</v>
      </c>
      <c r="J373" s="1075">
        <v>1200</v>
      </c>
      <c r="K373" s="1076"/>
      <c r="L373" s="14" t="s">
        <v>305</v>
      </c>
      <c r="T373" s="295"/>
      <c r="U373" s="18"/>
      <c r="V373" s="185"/>
      <c r="W373" s="30" t="str">
        <f>G421</f>
        <v>Suitably Dimentioned</v>
      </c>
    </row>
    <row r="374" spans="1:23" ht="18" hidden="1" customHeight="1">
      <c r="A374" s="184"/>
      <c r="B374" s="14" t="s">
        <v>401</v>
      </c>
      <c r="I374" s="120" t="s">
        <v>402</v>
      </c>
      <c r="J374" s="1075">
        <v>50</v>
      </c>
      <c r="K374" s="1076"/>
      <c r="L374" s="14" t="s">
        <v>403</v>
      </c>
      <c r="V374" s="185"/>
    </row>
    <row r="375" spans="1:23" ht="18" hidden="1" customHeight="1">
      <c r="A375" s="184"/>
      <c r="V375" s="185"/>
    </row>
    <row r="376" spans="1:23" ht="18" hidden="1" customHeight="1">
      <c r="A376" s="193" t="s">
        <v>404</v>
      </c>
      <c r="V376" s="185"/>
    </row>
    <row r="377" spans="1:23" ht="18" hidden="1" customHeight="1">
      <c r="A377" s="184"/>
      <c r="V377" s="185"/>
    </row>
    <row r="378" spans="1:23" ht="18" hidden="1" customHeight="1">
      <c r="A378" s="184"/>
      <c r="B378" s="135" t="s">
        <v>405</v>
      </c>
      <c r="C378" s="273"/>
      <c r="D378" s="139" t="str">
        <f>T367</f>
        <v>REF615</v>
      </c>
      <c r="E378" s="227"/>
      <c r="F378" s="227"/>
      <c r="G378" s="227"/>
      <c r="H378" s="138"/>
      <c r="I378" s="260" t="s">
        <v>127</v>
      </c>
      <c r="J378" s="722">
        <f>J286</f>
        <v>0.02</v>
      </c>
      <c r="K378" s="958"/>
      <c r="L378" s="3" t="s">
        <v>157</v>
      </c>
      <c r="N378" s="197" t="s">
        <v>510</v>
      </c>
      <c r="V378" s="185"/>
    </row>
    <row r="379" spans="1:23" ht="18" hidden="1" customHeight="1">
      <c r="A379" s="184"/>
      <c r="B379" s="96" t="s">
        <v>405</v>
      </c>
      <c r="C379" s="14"/>
      <c r="D379" s="47" t="str">
        <f>T368</f>
        <v>IDM+</v>
      </c>
      <c r="H379" s="28"/>
      <c r="I379" s="101" t="s">
        <v>127</v>
      </c>
      <c r="J379" s="722">
        <f>J287</f>
        <v>5.8000000000000003E-2</v>
      </c>
      <c r="K379" s="958"/>
      <c r="L379" s="3" t="s">
        <v>157</v>
      </c>
      <c r="N379" s="120" t="s">
        <v>491</v>
      </c>
      <c r="O379" s="27" t="s">
        <v>127</v>
      </c>
      <c r="P379" s="27" t="s">
        <v>511</v>
      </c>
      <c r="Q379" s="27" t="s">
        <v>315</v>
      </c>
      <c r="R379" s="27" t="s">
        <v>511</v>
      </c>
      <c r="S379" s="27" t="s">
        <v>315</v>
      </c>
      <c r="T379" s="27" t="s">
        <v>420</v>
      </c>
      <c r="V379" s="185"/>
    </row>
    <row r="380" spans="1:23" ht="18" hidden="1" customHeight="1">
      <c r="A380" s="184"/>
      <c r="B380" s="96" t="s">
        <v>405</v>
      </c>
      <c r="C380" s="14"/>
      <c r="D380" s="47">
        <f>T369</f>
        <v>0</v>
      </c>
      <c r="H380" s="28"/>
      <c r="I380" s="101" t="s">
        <v>127</v>
      </c>
      <c r="J380" s="722">
        <f>J288</f>
        <v>0</v>
      </c>
      <c r="K380" s="958"/>
      <c r="L380" s="3" t="s">
        <v>157</v>
      </c>
      <c r="N380" s="27"/>
      <c r="O380" s="27" t="s">
        <v>127</v>
      </c>
      <c r="P380" s="27">
        <f>O370</f>
        <v>1</v>
      </c>
      <c r="Q380" s="27" t="s">
        <v>315</v>
      </c>
      <c r="R380" s="27">
        <f>O370</f>
        <v>1</v>
      </c>
      <c r="S380" s="27" t="s">
        <v>315</v>
      </c>
      <c r="T380" s="27">
        <f>J372</f>
        <v>12</v>
      </c>
      <c r="V380" s="185"/>
    </row>
    <row r="381" spans="1:23" ht="18" hidden="1" customHeight="1">
      <c r="A381" s="184"/>
      <c r="B381" s="452" t="s">
        <v>412</v>
      </c>
      <c r="C381" s="259"/>
      <c r="D381" s="259"/>
      <c r="E381" s="259"/>
      <c r="F381" s="207"/>
      <c r="G381" s="207"/>
      <c r="H381" s="190"/>
      <c r="I381" s="208" t="s">
        <v>127</v>
      </c>
      <c r="J381" s="1120">
        <f>J289</f>
        <v>0</v>
      </c>
      <c r="K381" s="987"/>
      <c r="L381" s="297" t="s">
        <v>157</v>
      </c>
      <c r="O381" s="27" t="s">
        <v>127</v>
      </c>
      <c r="P381" s="795">
        <f>P380*R380*T380</f>
        <v>12</v>
      </c>
      <c r="Q381" s="684"/>
      <c r="R381" s="27" t="s">
        <v>157</v>
      </c>
      <c r="V381" s="185"/>
    </row>
    <row r="382" spans="1:23" ht="18" hidden="1" customHeight="1">
      <c r="A382" s="184"/>
      <c r="B382" s="1" t="s">
        <v>413</v>
      </c>
      <c r="C382" s="2"/>
      <c r="D382" s="2"/>
      <c r="E382" s="2"/>
      <c r="F382" s="196"/>
      <c r="G382" s="196"/>
      <c r="H382" s="224" t="s">
        <v>512</v>
      </c>
      <c r="I382" s="183" t="s">
        <v>127</v>
      </c>
      <c r="J382" s="722">
        <f>SUM(J378:J381)</f>
        <v>7.8E-2</v>
      </c>
      <c r="K382" s="958"/>
      <c r="L382" s="3" t="s">
        <v>157</v>
      </c>
      <c r="V382" s="185"/>
    </row>
    <row r="383" spans="1:23" ht="18" hidden="1" customHeight="1">
      <c r="A383" s="184"/>
      <c r="B383" s="47"/>
      <c r="C383" s="47"/>
      <c r="D383" s="47"/>
      <c r="E383" s="47"/>
      <c r="H383" s="27"/>
      <c r="I383" s="28"/>
      <c r="J383" s="199"/>
      <c r="L383" s="47"/>
      <c r="S383" s="27"/>
      <c r="V383" s="185"/>
    </row>
    <row r="384" spans="1:23" ht="18" hidden="1" customHeight="1">
      <c r="A384" s="1206" t="s">
        <v>536</v>
      </c>
      <c r="B384" s="1207"/>
      <c r="C384" s="1207"/>
      <c r="D384" s="1207"/>
      <c r="E384" s="1207"/>
      <c r="F384" s="1207"/>
      <c r="G384" s="1207"/>
      <c r="H384" s="1207"/>
      <c r="I384" s="1207"/>
      <c r="J384" s="1207"/>
      <c r="K384" s="1207"/>
      <c r="L384" s="1207"/>
      <c r="M384" s="1207"/>
      <c r="N384" s="1207"/>
      <c r="O384" s="1207"/>
      <c r="P384" s="1207"/>
      <c r="Q384" s="1207"/>
      <c r="R384" s="1207"/>
      <c r="S384" s="1207"/>
      <c r="T384" s="1207"/>
      <c r="U384" s="1207"/>
      <c r="V384" s="1208"/>
    </row>
    <row r="385" spans="1:25" ht="18" hidden="1" customHeight="1">
      <c r="A385" s="1209"/>
      <c r="B385" s="1207"/>
      <c r="C385" s="1207"/>
      <c r="D385" s="1207"/>
      <c r="E385" s="1207"/>
      <c r="F385" s="1207"/>
      <c r="G385" s="1207"/>
      <c r="H385" s="1207"/>
      <c r="I385" s="1207"/>
      <c r="J385" s="1207"/>
      <c r="K385" s="1207"/>
      <c r="L385" s="1207"/>
      <c r="M385" s="1207"/>
      <c r="N385" s="1207"/>
      <c r="O385" s="1207"/>
      <c r="P385" s="1207"/>
      <c r="Q385" s="1207"/>
      <c r="R385" s="1207"/>
      <c r="S385" s="1207"/>
      <c r="T385" s="1207"/>
      <c r="U385" s="1207"/>
      <c r="V385" s="1208"/>
    </row>
    <row r="386" spans="1:25" ht="18" hidden="1" customHeight="1">
      <c r="A386" s="184"/>
      <c r="Q386" s="211"/>
      <c r="R386" s="192"/>
      <c r="V386" s="185"/>
    </row>
    <row r="387" spans="1:25" ht="18" hidden="1" customHeight="1">
      <c r="A387" s="184"/>
      <c r="C387" s="14" t="s">
        <v>473</v>
      </c>
      <c r="D387" s="28" t="s">
        <v>127</v>
      </c>
      <c r="E387" s="28" t="s">
        <v>537</v>
      </c>
      <c r="F387" s="120" t="s">
        <v>493</v>
      </c>
      <c r="G387" s="28" t="s">
        <v>347</v>
      </c>
      <c r="H387" s="120" t="s">
        <v>491</v>
      </c>
      <c r="I387" s="28" t="s">
        <v>538</v>
      </c>
      <c r="J387" s="28" t="s">
        <v>495</v>
      </c>
      <c r="K387" s="28" t="s">
        <v>539</v>
      </c>
      <c r="L387" s="28" t="s">
        <v>511</v>
      </c>
      <c r="M387" s="28" t="s">
        <v>315</v>
      </c>
      <c r="N387" s="28">
        <v>1.3</v>
      </c>
      <c r="O387" s="47" t="s">
        <v>350</v>
      </c>
      <c r="V387" s="185"/>
    </row>
    <row r="388" spans="1:25" ht="18" hidden="1" customHeight="1">
      <c r="A388" s="184" t="s">
        <v>540</v>
      </c>
      <c r="C388" s="14"/>
      <c r="D388" s="28"/>
      <c r="E388" s="14"/>
      <c r="F388" s="14"/>
      <c r="G388" s="14"/>
      <c r="H388" s="14"/>
      <c r="I388" s="14"/>
      <c r="J388" s="14"/>
      <c r="K388" s="14"/>
      <c r="L388" s="14"/>
      <c r="M388" s="14"/>
      <c r="N388" s="14"/>
      <c r="O388" s="14"/>
      <c r="V388" s="185"/>
    </row>
    <row r="389" spans="1:25" ht="18" hidden="1" customHeight="1">
      <c r="A389" s="184"/>
      <c r="C389" s="120" t="s">
        <v>493</v>
      </c>
      <c r="D389" s="28" t="s">
        <v>127</v>
      </c>
      <c r="E389" s="28" t="s">
        <v>537</v>
      </c>
      <c r="F389" s="28">
        <v>1.3</v>
      </c>
      <c r="G389" s="28" t="s">
        <v>315</v>
      </c>
      <c r="H389" s="689" t="s">
        <v>473</v>
      </c>
      <c r="I389" s="716"/>
      <c r="J389" s="28" t="s">
        <v>315</v>
      </c>
      <c r="K389" s="28" t="s">
        <v>511</v>
      </c>
      <c r="L389" s="28" t="s">
        <v>541</v>
      </c>
      <c r="M389" s="28" t="s">
        <v>495</v>
      </c>
      <c r="N389" s="47" t="s">
        <v>542</v>
      </c>
      <c r="O389" s="120" t="s">
        <v>491</v>
      </c>
      <c r="V389" s="185"/>
    </row>
    <row r="390" spans="1:25" ht="18" hidden="1" customHeight="1">
      <c r="A390" s="184"/>
      <c r="V390" s="185"/>
    </row>
    <row r="391" spans="1:25" ht="18" hidden="1" customHeight="1">
      <c r="A391" s="168"/>
      <c r="B391" s="5"/>
      <c r="C391" s="47" t="s">
        <v>543</v>
      </c>
      <c r="D391" s="14"/>
      <c r="E391" s="14"/>
      <c r="F391" s="14"/>
      <c r="G391" s="14"/>
      <c r="H391" s="279"/>
      <c r="I391" s="120"/>
      <c r="J391" s="279"/>
      <c r="K391" s="279"/>
      <c r="L391" s="14"/>
      <c r="M391" s="14"/>
      <c r="N391" s="14"/>
      <c r="O391" s="14"/>
      <c r="P391" s="14"/>
      <c r="Q391" s="120" t="s">
        <v>544</v>
      </c>
      <c r="R391" s="102" t="s">
        <v>127</v>
      </c>
      <c r="S391" s="689">
        <f>S297</f>
        <v>16800</v>
      </c>
      <c r="T391" s="689"/>
      <c r="U391" s="47" t="s">
        <v>8</v>
      </c>
      <c r="V391" s="185"/>
    </row>
    <row r="392" spans="1:25" ht="18" hidden="1" customHeight="1">
      <c r="A392" s="168"/>
      <c r="B392" s="5"/>
      <c r="C392" s="47" t="s">
        <v>545</v>
      </c>
      <c r="D392" s="14"/>
      <c r="E392" s="14"/>
      <c r="F392" s="18"/>
      <c r="G392" s="18"/>
      <c r="H392" s="279"/>
      <c r="I392" s="120"/>
      <c r="J392" s="279"/>
      <c r="K392" s="279"/>
      <c r="L392" s="14"/>
      <c r="M392" s="14"/>
      <c r="N392" s="14"/>
      <c r="O392" s="14"/>
      <c r="P392" s="14"/>
      <c r="Q392" s="120" t="s">
        <v>423</v>
      </c>
      <c r="R392" s="102" t="s">
        <v>127</v>
      </c>
      <c r="S392" s="689">
        <f>J370</f>
        <v>3200</v>
      </c>
      <c r="T392" s="689"/>
      <c r="U392" s="14" t="s">
        <v>8</v>
      </c>
      <c r="V392" s="185"/>
    </row>
    <row r="393" spans="1:25" ht="18" hidden="1" customHeight="1">
      <c r="A393" s="168"/>
      <c r="B393" s="5"/>
      <c r="C393" s="47" t="s">
        <v>546</v>
      </c>
      <c r="D393" s="14"/>
      <c r="E393" s="14"/>
      <c r="F393" s="18"/>
      <c r="G393" s="18"/>
      <c r="H393" s="279"/>
      <c r="I393" s="120"/>
      <c r="J393" s="279"/>
      <c r="K393" s="279"/>
      <c r="L393" s="14"/>
      <c r="M393" s="14"/>
      <c r="N393" s="14"/>
      <c r="O393" s="14"/>
      <c r="P393" s="14"/>
      <c r="Q393" s="120" t="s">
        <v>473</v>
      </c>
      <c r="R393" s="102" t="s">
        <v>127</v>
      </c>
      <c r="S393" s="689">
        <f>J373</f>
        <v>1200</v>
      </c>
      <c r="T393" s="689"/>
      <c r="U393" s="14" t="s">
        <v>305</v>
      </c>
      <c r="V393" s="185"/>
    </row>
    <row r="394" spans="1:25" ht="18" hidden="1" customHeight="1">
      <c r="A394" s="168"/>
      <c r="B394" s="5"/>
      <c r="C394" s="47" t="s">
        <v>547</v>
      </c>
      <c r="D394" s="14"/>
      <c r="E394" s="14"/>
      <c r="F394" s="18"/>
      <c r="G394" s="18"/>
      <c r="H394" s="279"/>
      <c r="I394" s="120"/>
      <c r="J394" s="279"/>
      <c r="K394" s="279"/>
      <c r="L394" s="14"/>
      <c r="M394" s="14"/>
      <c r="N394" s="14"/>
      <c r="O394" s="14"/>
      <c r="P394" s="14"/>
      <c r="Q394" s="120" t="s">
        <v>491</v>
      </c>
      <c r="R394" s="102" t="s">
        <v>127</v>
      </c>
      <c r="S394" s="692">
        <f>P381</f>
        <v>12</v>
      </c>
      <c r="T394" s="689"/>
      <c r="U394" s="14" t="s">
        <v>157</v>
      </c>
      <c r="V394" s="185"/>
      <c r="W394" s="279"/>
      <c r="X394" s="279"/>
      <c r="Y394" s="279"/>
    </row>
    <row r="395" spans="1:25" ht="18" hidden="1" customHeight="1">
      <c r="A395" s="168"/>
      <c r="B395" s="5"/>
      <c r="C395" s="47" t="s">
        <v>548</v>
      </c>
      <c r="D395" s="14"/>
      <c r="E395" s="14"/>
      <c r="F395" s="18"/>
      <c r="G395" s="18"/>
      <c r="H395" s="279"/>
      <c r="I395" s="120"/>
      <c r="J395" s="279"/>
      <c r="K395" s="279"/>
      <c r="L395" s="14"/>
      <c r="M395" s="14"/>
      <c r="N395" s="14"/>
      <c r="O395" s="14"/>
      <c r="P395" s="14"/>
      <c r="Q395" s="120" t="s">
        <v>512</v>
      </c>
      <c r="R395" s="102" t="s">
        <v>127</v>
      </c>
      <c r="S395" s="692">
        <f>J382</f>
        <v>7.8E-2</v>
      </c>
      <c r="T395" s="689"/>
      <c r="U395" s="14" t="s">
        <v>157</v>
      </c>
      <c r="V395" s="185"/>
      <c r="X395" s="279"/>
      <c r="Y395" s="279"/>
    </row>
    <row r="396" spans="1:25" ht="18" hidden="1" customHeight="1">
      <c r="A396" s="168"/>
      <c r="B396" s="5"/>
      <c r="C396" s="47" t="s">
        <v>549</v>
      </c>
      <c r="D396" s="14"/>
      <c r="E396" s="14"/>
      <c r="F396" s="14"/>
      <c r="G396" s="14"/>
      <c r="H396" s="279"/>
      <c r="I396" s="120"/>
      <c r="J396" s="279"/>
      <c r="K396" s="279"/>
      <c r="L396" s="14"/>
      <c r="M396" s="14"/>
      <c r="N396" s="14"/>
      <c r="O396" s="14"/>
      <c r="P396" s="14"/>
      <c r="Q396" s="120" t="s">
        <v>511</v>
      </c>
      <c r="R396" s="102" t="s">
        <v>127</v>
      </c>
      <c r="S396" s="689">
        <f>O370</f>
        <v>1</v>
      </c>
      <c r="T396" s="689"/>
      <c r="U396" s="14" t="s">
        <v>8</v>
      </c>
      <c r="V396" s="185"/>
      <c r="X396" s="279"/>
      <c r="Y396" s="279"/>
    </row>
    <row r="397" spans="1:25" ht="18" hidden="1" customHeight="1">
      <c r="A397" s="168"/>
      <c r="B397" s="5"/>
      <c r="C397" s="47" t="s">
        <v>550</v>
      </c>
      <c r="D397" s="14"/>
      <c r="E397" s="14"/>
      <c r="F397" s="14"/>
      <c r="G397" s="14"/>
      <c r="H397" s="279"/>
      <c r="I397" s="120"/>
      <c r="J397" s="279"/>
      <c r="K397" s="279"/>
      <c r="L397" s="14"/>
      <c r="M397" s="14"/>
      <c r="N397" s="14"/>
      <c r="O397" s="14"/>
      <c r="P397" s="14"/>
      <c r="Q397" s="120" t="s">
        <v>495</v>
      </c>
      <c r="R397" s="102" t="s">
        <v>127</v>
      </c>
      <c r="S397" s="689">
        <v>20</v>
      </c>
      <c r="T397" s="689"/>
      <c r="U397" s="47"/>
      <c r="V397" s="185"/>
    </row>
    <row r="398" spans="1:25" ht="18" hidden="1" customHeight="1">
      <c r="A398" s="299"/>
      <c r="B398" s="279"/>
      <c r="C398" s="47" t="s">
        <v>551</v>
      </c>
      <c r="D398" s="14"/>
      <c r="E398" s="14"/>
      <c r="F398" s="14"/>
      <c r="G398" s="14"/>
      <c r="H398" s="279"/>
      <c r="I398" s="120"/>
      <c r="J398" s="279"/>
      <c r="K398" s="279"/>
      <c r="L398" s="14"/>
      <c r="M398" s="14"/>
      <c r="N398" s="279"/>
      <c r="O398" s="279"/>
      <c r="P398" s="14"/>
      <c r="Q398" s="120" t="s">
        <v>493</v>
      </c>
      <c r="R398" s="14"/>
      <c r="S398" s="279"/>
      <c r="T398" s="279"/>
      <c r="U398" s="279"/>
      <c r="V398" s="300"/>
      <c r="W398" s="279"/>
      <c r="X398" s="279"/>
      <c r="Y398" s="279"/>
    </row>
    <row r="399" spans="1:25" ht="18" hidden="1" customHeight="1">
      <c r="A399" s="184"/>
      <c r="V399" s="185"/>
    </row>
    <row r="400" spans="1:25" ht="18" hidden="1" customHeight="1">
      <c r="A400" s="184"/>
      <c r="C400" s="120" t="s">
        <v>493</v>
      </c>
      <c r="D400" s="28" t="s">
        <v>127</v>
      </c>
      <c r="E400" s="28" t="s">
        <v>537</v>
      </c>
      <c r="F400" s="28">
        <v>1.3</v>
      </c>
      <c r="G400" s="28" t="s">
        <v>315</v>
      </c>
      <c r="H400" s="689" t="s">
        <v>473</v>
      </c>
      <c r="I400" s="716"/>
      <c r="J400" s="28" t="s">
        <v>315</v>
      </c>
      <c r="K400" s="28" t="s">
        <v>511</v>
      </c>
      <c r="L400" s="28" t="s">
        <v>541</v>
      </c>
      <c r="M400" s="28" t="s">
        <v>495</v>
      </c>
      <c r="N400" s="47" t="s">
        <v>542</v>
      </c>
      <c r="O400" s="120" t="s">
        <v>491</v>
      </c>
      <c r="V400" s="185"/>
    </row>
    <row r="401" spans="1:22" ht="18" hidden="1" customHeight="1">
      <c r="A401" s="184"/>
      <c r="C401" s="120" t="s">
        <v>493</v>
      </c>
      <c r="D401" s="28" t="s">
        <v>127</v>
      </c>
      <c r="E401" s="28" t="s">
        <v>537</v>
      </c>
      <c r="F401" s="28">
        <v>1.3</v>
      </c>
      <c r="G401" s="28" t="s">
        <v>315</v>
      </c>
      <c r="H401" s="689">
        <f>S393</f>
        <v>1200</v>
      </c>
      <c r="I401" s="716"/>
      <c r="J401" s="28" t="s">
        <v>315</v>
      </c>
      <c r="K401" s="28">
        <f>S396</f>
        <v>1</v>
      </c>
      <c r="L401" s="28" t="s">
        <v>541</v>
      </c>
      <c r="M401" s="28">
        <f>S397</f>
        <v>20</v>
      </c>
      <c r="N401" s="47" t="s">
        <v>542</v>
      </c>
      <c r="O401" s="502">
        <f>S394</f>
        <v>12</v>
      </c>
      <c r="V401" s="185"/>
    </row>
    <row r="402" spans="1:22" ht="18" hidden="1" customHeight="1">
      <c r="A402" s="184"/>
      <c r="D402" s="27" t="s">
        <v>127</v>
      </c>
      <c r="E402" s="684">
        <f>((F401*H401*K401)/M401)-O401</f>
        <v>66</v>
      </c>
      <c r="F402" s="684"/>
      <c r="G402" s="27" t="s">
        <v>157</v>
      </c>
      <c r="V402" s="185"/>
    </row>
    <row r="403" spans="1:22" ht="18" hidden="1" customHeight="1">
      <c r="A403" s="184"/>
      <c r="D403" s="27"/>
      <c r="E403" s="27"/>
      <c r="F403" s="27"/>
      <c r="G403" s="27"/>
      <c r="V403" s="185"/>
    </row>
    <row r="404" spans="1:22" ht="18" hidden="1" customHeight="1">
      <c r="A404" s="184"/>
      <c r="D404" s="27"/>
      <c r="E404" s="27"/>
      <c r="F404" s="27"/>
      <c r="G404" s="27"/>
      <c r="V404" s="185"/>
    </row>
    <row r="405" spans="1:22" ht="18" hidden="1" customHeight="1">
      <c r="A405" s="184"/>
      <c r="D405" s="27"/>
      <c r="E405" s="27"/>
      <c r="F405" s="27"/>
      <c r="G405" s="27"/>
      <c r="V405" s="185"/>
    </row>
    <row r="406" spans="1:22" ht="18" hidden="1" customHeight="1">
      <c r="A406" s="184"/>
      <c r="D406" s="27"/>
      <c r="E406" s="27"/>
      <c r="F406" s="27"/>
      <c r="G406" s="27"/>
      <c r="V406" s="185"/>
    </row>
    <row r="407" spans="1:22" ht="18" hidden="1" customHeight="1">
      <c r="A407" s="184"/>
      <c r="D407" s="27"/>
      <c r="E407" s="27"/>
      <c r="F407" s="27"/>
      <c r="G407" s="27"/>
      <c r="V407" s="185"/>
    </row>
    <row r="408" spans="1:22" ht="18" hidden="1" customHeight="1">
      <c r="A408" s="184"/>
      <c r="V408" s="185"/>
    </row>
    <row r="409" spans="1:22" s="14" customFormat="1" ht="18" hidden="1" customHeight="1">
      <c r="A409" s="194"/>
      <c r="B409" s="195"/>
      <c r="C409" s="195"/>
      <c r="D409" s="195"/>
      <c r="E409" s="195"/>
      <c r="F409" s="195"/>
      <c r="G409" s="195"/>
      <c r="H409" s="195"/>
      <c r="I409" s="195"/>
      <c r="J409" s="195"/>
      <c r="K409" s="195"/>
      <c r="L409" s="195"/>
      <c r="M409" s="195"/>
      <c r="N409" s="195"/>
      <c r="O409" s="195"/>
      <c r="P409" s="195"/>
      <c r="Q409" s="224"/>
      <c r="R409" s="182"/>
      <c r="S409" s="225"/>
      <c r="T409" s="195"/>
      <c r="U409" s="195"/>
      <c r="V409" s="134" t="s">
        <v>552</v>
      </c>
    </row>
    <row r="410" spans="1:22" ht="18" hidden="1" customHeight="1">
      <c r="A410" s="226"/>
      <c r="B410" s="227"/>
      <c r="C410" s="227"/>
      <c r="D410" s="227"/>
      <c r="E410" s="227"/>
      <c r="F410" s="227"/>
      <c r="G410" s="227"/>
      <c r="H410" s="227"/>
      <c r="I410" s="227"/>
      <c r="J410" s="227"/>
      <c r="K410" s="227"/>
      <c r="L410" s="227"/>
      <c r="M410" s="227"/>
      <c r="N410" s="227"/>
      <c r="O410" s="227"/>
      <c r="P410" s="227"/>
      <c r="Q410" s="227"/>
      <c r="R410" s="227"/>
      <c r="S410" s="227"/>
      <c r="T410" s="227"/>
      <c r="U410" s="227"/>
      <c r="V410" s="228"/>
    </row>
    <row r="411" spans="1:22" ht="18" hidden="1" customHeight="1">
      <c r="A411" s="184"/>
      <c r="E411" s="244" t="s">
        <v>111</v>
      </c>
      <c r="F411" s="27" t="s">
        <v>127</v>
      </c>
      <c r="G411" s="689" t="s">
        <v>544</v>
      </c>
      <c r="H411" s="689"/>
      <c r="I411" s="191" t="s">
        <v>342</v>
      </c>
      <c r="J411" s="684" t="s">
        <v>423</v>
      </c>
      <c r="K411" s="684"/>
      <c r="V411" s="185"/>
    </row>
    <row r="412" spans="1:22" ht="18" hidden="1" customHeight="1">
      <c r="A412" s="184"/>
      <c r="F412" s="27" t="s">
        <v>127</v>
      </c>
      <c r="G412" s="684">
        <f>S391</f>
        <v>16800</v>
      </c>
      <c r="H412" s="684"/>
      <c r="I412" s="191" t="s">
        <v>342</v>
      </c>
      <c r="J412" s="684">
        <f>S392</f>
        <v>3200</v>
      </c>
      <c r="K412" s="684"/>
      <c r="V412" s="185"/>
    </row>
    <row r="413" spans="1:22" ht="18" hidden="1" customHeight="1">
      <c r="A413" s="184"/>
      <c r="F413" s="27" t="s">
        <v>127</v>
      </c>
      <c r="G413" s="795">
        <f>G412/J412</f>
        <v>5.25</v>
      </c>
      <c r="H413" s="795"/>
      <c r="I413" s="27"/>
      <c r="J413" s="27"/>
      <c r="K413" s="27"/>
      <c r="V413" s="185"/>
    </row>
    <row r="414" spans="1:22" ht="18" hidden="1" customHeight="1">
      <c r="A414" s="184"/>
      <c r="V414" s="185"/>
    </row>
    <row r="415" spans="1:22" ht="18" hidden="1" customHeight="1">
      <c r="A415" s="184"/>
      <c r="E415" s="244" t="s">
        <v>553</v>
      </c>
      <c r="F415" s="27" t="s">
        <v>127</v>
      </c>
      <c r="G415" s="27" t="s">
        <v>495</v>
      </c>
      <c r="H415" s="27" t="s">
        <v>554</v>
      </c>
      <c r="I415" s="120" t="s">
        <v>491</v>
      </c>
      <c r="J415" s="28" t="s">
        <v>347</v>
      </c>
      <c r="K415" s="120" t="s">
        <v>493</v>
      </c>
      <c r="L415" s="28" t="s">
        <v>539</v>
      </c>
      <c r="M415" s="120" t="s">
        <v>491</v>
      </c>
      <c r="N415" s="28" t="s">
        <v>347</v>
      </c>
      <c r="O415" s="120" t="s">
        <v>512</v>
      </c>
      <c r="P415" s="296" t="s">
        <v>350</v>
      </c>
      <c r="V415" s="185"/>
    </row>
    <row r="416" spans="1:22" ht="18" hidden="1" customHeight="1">
      <c r="A416" s="184"/>
      <c r="F416" s="27" t="s">
        <v>127</v>
      </c>
      <c r="G416" s="242">
        <f>S397</f>
        <v>20</v>
      </c>
      <c r="H416" s="245" t="s">
        <v>554</v>
      </c>
      <c r="I416" s="301">
        <f>S394</f>
        <v>12</v>
      </c>
      <c r="J416" s="245" t="s">
        <v>347</v>
      </c>
      <c r="K416" s="301">
        <f>E402</f>
        <v>66</v>
      </c>
      <c r="L416" s="245" t="s">
        <v>539</v>
      </c>
      <c r="M416" s="301">
        <f>S394</f>
        <v>12</v>
      </c>
      <c r="N416" s="245" t="s">
        <v>347</v>
      </c>
      <c r="O416" s="301">
        <f>S395</f>
        <v>7.8E-2</v>
      </c>
      <c r="P416" s="461" t="s">
        <v>350</v>
      </c>
      <c r="V416" s="185"/>
    </row>
    <row r="417" spans="1:22" ht="18" hidden="1" customHeight="1">
      <c r="A417" s="184"/>
      <c r="F417" s="27" t="s">
        <v>127</v>
      </c>
      <c r="G417" s="795">
        <f>G416*((I416+K416)/(M416+O416))</f>
        <v>129.1604570293095</v>
      </c>
      <c r="H417" s="795"/>
      <c r="V417" s="185"/>
    </row>
    <row r="418" spans="1:22" ht="18" hidden="1" customHeight="1">
      <c r="A418" s="184"/>
      <c r="V418" s="185"/>
    </row>
    <row r="419" spans="1:22" ht="18" hidden="1" customHeight="1">
      <c r="A419" s="184"/>
      <c r="E419" s="244" t="s">
        <v>555</v>
      </c>
      <c r="F419" s="27" t="str">
        <f>IF(D420&gt;G420,"&gt;","&lt;")</f>
        <v>&gt;</v>
      </c>
      <c r="G419" s="296" t="s">
        <v>111</v>
      </c>
      <c r="V419" s="185"/>
    </row>
    <row r="420" spans="1:22" ht="18" hidden="1" customHeight="1">
      <c r="A420" s="184"/>
      <c r="D420" s="795">
        <f>G417</f>
        <v>129.1604570293095</v>
      </c>
      <c r="E420" s="795"/>
      <c r="F420" s="27" t="str">
        <f>F419</f>
        <v>&gt;</v>
      </c>
      <c r="G420" s="795">
        <f>G413</f>
        <v>5.25</v>
      </c>
      <c r="H420" s="795"/>
      <c r="V420" s="185"/>
    </row>
    <row r="421" spans="1:22" ht="18" hidden="1" customHeight="1">
      <c r="A421" s="184"/>
      <c r="E421" s="244" t="s">
        <v>478</v>
      </c>
      <c r="G421" s="18" t="str">
        <f>IF(F419="&gt;","Suitably Dimentioned","Under Dimentioned")</f>
        <v>Suitably Dimentioned</v>
      </c>
      <c r="V421" s="185"/>
    </row>
    <row r="422" spans="1:22" ht="18" hidden="1" customHeight="1">
      <c r="A422" s="184"/>
      <c r="V422" s="185"/>
    </row>
    <row r="423" spans="1:22" ht="18" hidden="1" customHeight="1">
      <c r="A423" s="184"/>
      <c r="V423" s="185"/>
    </row>
    <row r="424" spans="1:22" ht="18" hidden="1" customHeight="1">
      <c r="A424" s="184"/>
      <c r="V424" s="185"/>
    </row>
    <row r="425" spans="1:22" ht="18" hidden="1" customHeight="1">
      <c r="A425" s="184"/>
      <c r="V425" s="185"/>
    </row>
    <row r="426" spans="1:22" ht="18" hidden="1" customHeight="1">
      <c r="A426" s="184"/>
      <c r="V426" s="185"/>
    </row>
    <row r="427" spans="1:22" ht="18" hidden="1" customHeight="1">
      <c r="A427" s="184"/>
      <c r="V427" s="185"/>
    </row>
    <row r="428" spans="1:22" ht="18" hidden="1" customHeight="1">
      <c r="A428" s="184"/>
      <c r="V428" s="185"/>
    </row>
    <row r="429" spans="1:22" ht="18" hidden="1" customHeight="1">
      <c r="A429" s="184"/>
      <c r="V429" s="185"/>
    </row>
    <row r="430" spans="1:22" ht="18" hidden="1" customHeight="1">
      <c r="A430" s="184"/>
      <c r="V430" s="185"/>
    </row>
    <row r="431" spans="1:22" ht="18" hidden="1" customHeight="1">
      <c r="A431" s="184"/>
      <c r="V431" s="185"/>
    </row>
    <row r="432" spans="1:22" ht="18" hidden="1" customHeight="1">
      <c r="A432" s="184"/>
      <c r="V432" s="185"/>
    </row>
    <row r="433" spans="1:22" ht="18" hidden="1" customHeight="1">
      <c r="A433" s="184"/>
      <c r="V433" s="185"/>
    </row>
    <row r="434" spans="1:22" ht="18" hidden="1" customHeight="1">
      <c r="A434" s="184"/>
      <c r="V434" s="185"/>
    </row>
    <row r="435" spans="1:22" ht="18" hidden="1" customHeight="1">
      <c r="A435" s="184"/>
      <c r="V435" s="185"/>
    </row>
    <row r="436" spans="1:22" ht="18" hidden="1" customHeight="1">
      <c r="A436" s="184"/>
      <c r="V436" s="185"/>
    </row>
    <row r="437" spans="1:22" ht="18" hidden="1" customHeight="1">
      <c r="A437" s="184"/>
      <c r="V437" s="185"/>
    </row>
    <row r="438" spans="1:22" ht="18" hidden="1" customHeight="1">
      <c r="A438" s="184"/>
      <c r="V438" s="185"/>
    </row>
    <row r="439" spans="1:22" ht="18" hidden="1" customHeight="1">
      <c r="A439" s="184"/>
      <c r="V439" s="185"/>
    </row>
    <row r="440" spans="1:22" ht="18" hidden="1" customHeight="1">
      <c r="A440" s="184"/>
      <c r="V440" s="185"/>
    </row>
    <row r="441" spans="1:22" ht="18" hidden="1" customHeight="1">
      <c r="A441" s="184"/>
      <c r="V441" s="185"/>
    </row>
    <row r="442" spans="1:22" ht="18" hidden="1" customHeight="1">
      <c r="A442" s="184"/>
      <c r="V442" s="185"/>
    </row>
    <row r="443" spans="1:22" ht="18" hidden="1" customHeight="1">
      <c r="A443" s="184"/>
      <c r="V443" s="185"/>
    </row>
    <row r="444" spans="1:22" ht="18" hidden="1" customHeight="1">
      <c r="A444" s="184"/>
      <c r="V444" s="185"/>
    </row>
    <row r="445" spans="1:22" ht="18" hidden="1" customHeight="1">
      <c r="A445" s="184"/>
      <c r="V445" s="185"/>
    </row>
    <row r="446" spans="1:22" ht="18" hidden="1" customHeight="1">
      <c r="A446" s="184"/>
      <c r="V446" s="185"/>
    </row>
    <row r="447" spans="1:22" ht="18" hidden="1" customHeight="1">
      <c r="A447" s="184"/>
      <c r="V447" s="185"/>
    </row>
    <row r="448" spans="1:22" ht="18" hidden="1" customHeight="1">
      <c r="A448" s="184"/>
      <c r="V448" s="185"/>
    </row>
    <row r="449" spans="1:23" ht="18" hidden="1" customHeight="1">
      <c r="A449" s="184"/>
      <c r="V449" s="185"/>
    </row>
    <row r="450" spans="1:23" ht="18" hidden="1" customHeight="1">
      <c r="A450" s="184"/>
      <c r="V450" s="185"/>
    </row>
    <row r="451" spans="1:23" ht="18" hidden="1" customHeight="1">
      <c r="A451" s="184"/>
      <c r="V451" s="185"/>
    </row>
    <row r="452" spans="1:23" ht="18" hidden="1" customHeight="1">
      <c r="A452" s="184"/>
      <c r="V452" s="185"/>
    </row>
    <row r="453" spans="1:23" s="14" customFormat="1" ht="18" hidden="1" customHeight="1">
      <c r="A453" s="194"/>
      <c r="B453" s="195"/>
      <c r="C453" s="195"/>
      <c r="D453" s="195"/>
      <c r="E453" s="195"/>
      <c r="F453" s="195"/>
      <c r="G453" s="195"/>
      <c r="H453" s="195"/>
      <c r="I453" s="195"/>
      <c r="J453" s="195"/>
      <c r="K453" s="195"/>
      <c r="L453" s="195"/>
      <c r="M453" s="195"/>
      <c r="N453" s="195"/>
      <c r="O453" s="195"/>
      <c r="P453" s="195"/>
      <c r="Q453" s="224"/>
      <c r="R453" s="182"/>
      <c r="S453" s="225"/>
      <c r="T453" s="195"/>
      <c r="U453" s="195"/>
      <c r="V453" s="134" t="s">
        <v>552</v>
      </c>
    </row>
    <row r="454" spans="1:23" ht="18" hidden="1" customHeight="1">
      <c r="A454" s="226"/>
      <c r="B454" s="227"/>
      <c r="C454" s="227"/>
      <c r="D454" s="227"/>
      <c r="E454" s="227"/>
      <c r="F454" s="227"/>
      <c r="G454" s="227"/>
      <c r="H454" s="227"/>
      <c r="I454" s="227"/>
      <c r="J454" s="227"/>
      <c r="K454" s="227"/>
      <c r="L454" s="227"/>
      <c r="M454" s="227"/>
      <c r="N454" s="227"/>
      <c r="O454" s="227"/>
      <c r="P454" s="227"/>
      <c r="Q454" s="227"/>
      <c r="R454" s="227"/>
      <c r="S454" s="227"/>
      <c r="T454" s="227"/>
      <c r="U454" s="227"/>
      <c r="V454" s="228"/>
    </row>
    <row r="455" spans="1:23" ht="18" hidden="1" customHeight="1">
      <c r="A455" s="184"/>
      <c r="B455" s="854" t="str">
        <f>B367</f>
        <v>T1</v>
      </c>
      <c r="C455" s="831"/>
      <c r="D455" s="853" t="str">
        <f>D367</f>
        <v>Core3</v>
      </c>
      <c r="E455" s="765"/>
      <c r="F455" s="455"/>
      <c r="H455" s="684" t="str">
        <f>H367</f>
        <v>(OC+BCPU+FMS)</v>
      </c>
      <c r="I455" s="684"/>
      <c r="J455" s="684"/>
      <c r="K455" s="684"/>
      <c r="L455" s="684"/>
      <c r="M455" s="684"/>
      <c r="P455" s="186"/>
      <c r="S455" s="187" t="s">
        <v>387</v>
      </c>
      <c r="T455" s="1123" t="str">
        <f>T367</f>
        <v>REF615</v>
      </c>
      <c r="U455" s="1124"/>
      <c r="V455" s="185"/>
    </row>
    <row r="456" spans="1:23" ht="18" hidden="1" customHeight="1">
      <c r="A456" s="456"/>
      <c r="F456" s="455"/>
      <c r="T456" s="1123" t="str">
        <f>T368</f>
        <v>IDM+</v>
      </c>
      <c r="U456" s="1124"/>
      <c r="V456" s="185"/>
    </row>
    <row r="457" spans="1:23" ht="18" hidden="1" customHeight="1">
      <c r="A457" s="184"/>
      <c r="H457" s="708" t="s">
        <v>390</v>
      </c>
      <c r="I457" s="708"/>
      <c r="J457" s="708" t="s">
        <v>391</v>
      </c>
      <c r="K457" s="708"/>
      <c r="L457" s="789" t="s">
        <v>392</v>
      </c>
      <c r="M457" s="789"/>
      <c r="T457" s="1123">
        <f>T369</f>
        <v>0</v>
      </c>
      <c r="U457" s="1124"/>
      <c r="V457" s="185"/>
    </row>
    <row r="458" spans="1:23" ht="18" hidden="1" customHeight="1">
      <c r="A458" s="184"/>
      <c r="B458" s="47" t="s">
        <v>393</v>
      </c>
      <c r="H458" s="854">
        <f>H370</f>
        <v>2800</v>
      </c>
      <c r="I458" s="831"/>
      <c r="J458" s="854">
        <f>J370</f>
        <v>3200</v>
      </c>
      <c r="K458" s="831"/>
      <c r="L458" s="863" t="str">
        <f>L370</f>
        <v>-</v>
      </c>
      <c r="M458" s="864"/>
      <c r="N458" s="191" t="s">
        <v>342</v>
      </c>
      <c r="O458" s="256">
        <f>O370</f>
        <v>1</v>
      </c>
      <c r="P458" s="27" t="s">
        <v>8</v>
      </c>
      <c r="R458" s="255"/>
      <c r="S458" s="255"/>
      <c r="V458" s="185"/>
    </row>
    <row r="459" spans="1:23" ht="18" hidden="1" customHeight="1">
      <c r="A459" s="184"/>
      <c r="B459" s="47" t="s">
        <v>394</v>
      </c>
      <c r="L459" s="854" t="str">
        <f>J371</f>
        <v>PX</v>
      </c>
      <c r="M459" s="831"/>
      <c r="V459" s="185"/>
    </row>
    <row r="460" spans="1:23" ht="18" hidden="1" customHeight="1">
      <c r="A460" s="184"/>
      <c r="B460" s="47" t="s">
        <v>396</v>
      </c>
      <c r="K460" s="120" t="s">
        <v>497</v>
      </c>
      <c r="L460" s="1075">
        <v>8</v>
      </c>
      <c r="M460" s="1076"/>
      <c r="N460" s="192" t="s">
        <v>333</v>
      </c>
      <c r="V460" s="185"/>
    </row>
    <row r="461" spans="1:23" ht="18" hidden="1" customHeight="1">
      <c r="A461" s="184"/>
      <c r="B461" s="47" t="s">
        <v>398</v>
      </c>
      <c r="K461" s="120" t="s">
        <v>498</v>
      </c>
      <c r="L461" s="1075">
        <v>800</v>
      </c>
      <c r="M461" s="1076"/>
      <c r="N461" s="14" t="s">
        <v>305</v>
      </c>
      <c r="V461" s="185"/>
      <c r="W461" s="30" t="e">
        <f>G509</f>
        <v>#VALUE!</v>
      </c>
    </row>
    <row r="462" spans="1:23" ht="18" hidden="1" customHeight="1">
      <c r="A462" s="184"/>
      <c r="B462" s="14" t="s">
        <v>401</v>
      </c>
      <c r="K462" s="120" t="s">
        <v>402</v>
      </c>
      <c r="L462" s="1075">
        <v>75</v>
      </c>
      <c r="M462" s="1076"/>
      <c r="N462" s="14" t="s">
        <v>403</v>
      </c>
      <c r="V462" s="185"/>
    </row>
    <row r="463" spans="1:23" ht="18" hidden="1" customHeight="1">
      <c r="A463" s="184"/>
      <c r="V463" s="185"/>
    </row>
    <row r="464" spans="1:23" ht="18" hidden="1" customHeight="1">
      <c r="A464" s="193" t="s">
        <v>404</v>
      </c>
      <c r="V464" s="185"/>
    </row>
    <row r="465" spans="1:22" ht="18" hidden="1" customHeight="1">
      <c r="A465" s="184"/>
      <c r="V465" s="185"/>
    </row>
    <row r="466" spans="1:22" ht="18" hidden="1" customHeight="1">
      <c r="A466" s="184"/>
      <c r="B466" s="135" t="s">
        <v>405</v>
      </c>
      <c r="C466" s="273"/>
      <c r="D466" s="139" t="str">
        <f>T455</f>
        <v>REF615</v>
      </c>
      <c r="E466" s="227"/>
      <c r="F466" s="227"/>
      <c r="G466" s="227"/>
      <c r="H466" s="138"/>
      <c r="I466" s="260" t="s">
        <v>127</v>
      </c>
      <c r="J466" s="722">
        <f>J378</f>
        <v>0.02</v>
      </c>
      <c r="K466" s="958"/>
      <c r="L466" s="3" t="s">
        <v>157</v>
      </c>
      <c r="N466" s="197" t="s">
        <v>510</v>
      </c>
      <c r="V466" s="185"/>
    </row>
    <row r="467" spans="1:22" ht="18" hidden="1" customHeight="1">
      <c r="A467" s="184"/>
      <c r="B467" s="96" t="s">
        <v>405</v>
      </c>
      <c r="C467" s="14"/>
      <c r="D467" s="47" t="str">
        <f>T456</f>
        <v>IDM+</v>
      </c>
      <c r="H467" s="28"/>
      <c r="I467" s="101" t="s">
        <v>127</v>
      </c>
      <c r="J467" s="722">
        <f>J379</f>
        <v>5.8000000000000003E-2</v>
      </c>
      <c r="K467" s="958"/>
      <c r="L467" s="3" t="s">
        <v>157</v>
      </c>
      <c r="N467" s="120" t="s">
        <v>491</v>
      </c>
      <c r="O467" s="27" t="s">
        <v>127</v>
      </c>
      <c r="P467" s="27" t="s">
        <v>511</v>
      </c>
      <c r="Q467" s="27" t="s">
        <v>315</v>
      </c>
      <c r="R467" s="27" t="s">
        <v>511</v>
      </c>
      <c r="S467" s="27" t="s">
        <v>315</v>
      </c>
      <c r="T467" s="27" t="s">
        <v>420</v>
      </c>
      <c r="V467" s="185"/>
    </row>
    <row r="468" spans="1:22" ht="18" hidden="1" customHeight="1">
      <c r="A468" s="184"/>
      <c r="B468" s="96" t="s">
        <v>405</v>
      </c>
      <c r="C468" s="14"/>
      <c r="D468" s="47">
        <f>T457</f>
        <v>0</v>
      </c>
      <c r="H468" s="28"/>
      <c r="I468" s="101" t="s">
        <v>127</v>
      </c>
      <c r="J468" s="722">
        <f>J380</f>
        <v>0</v>
      </c>
      <c r="K468" s="958"/>
      <c r="L468" s="3" t="s">
        <v>157</v>
      </c>
      <c r="N468" s="27"/>
      <c r="O468" s="27" t="s">
        <v>127</v>
      </c>
      <c r="P468" s="27">
        <f>O458</f>
        <v>1</v>
      </c>
      <c r="Q468" s="27" t="s">
        <v>315</v>
      </c>
      <c r="R468" s="27">
        <f>O458</f>
        <v>1</v>
      </c>
      <c r="S468" s="27" t="s">
        <v>315</v>
      </c>
      <c r="T468" s="27">
        <f>L460</f>
        <v>8</v>
      </c>
      <c r="V468" s="185"/>
    </row>
    <row r="469" spans="1:22" ht="18" hidden="1" customHeight="1">
      <c r="A469" s="184"/>
      <c r="B469" s="452" t="s">
        <v>412</v>
      </c>
      <c r="C469" s="259"/>
      <c r="D469" s="259"/>
      <c r="E469" s="259"/>
      <c r="F469" s="207"/>
      <c r="G469" s="207"/>
      <c r="H469" s="190"/>
      <c r="I469" s="208" t="s">
        <v>127</v>
      </c>
      <c r="J469" s="1120">
        <f>J381</f>
        <v>0</v>
      </c>
      <c r="K469" s="987"/>
      <c r="L469" s="297" t="s">
        <v>157</v>
      </c>
      <c r="O469" s="27" t="s">
        <v>127</v>
      </c>
      <c r="P469" s="795">
        <f>P468*R468*T468</f>
        <v>8</v>
      </c>
      <c r="Q469" s="684"/>
      <c r="R469" s="27" t="s">
        <v>157</v>
      </c>
      <c r="V469" s="185"/>
    </row>
    <row r="470" spans="1:22" ht="18" hidden="1" customHeight="1">
      <c r="A470" s="184"/>
      <c r="B470" s="1" t="s">
        <v>413</v>
      </c>
      <c r="C470" s="2"/>
      <c r="D470" s="2"/>
      <c r="E470" s="2"/>
      <c r="F470" s="196"/>
      <c r="G470" s="196"/>
      <c r="H470" s="224" t="s">
        <v>512</v>
      </c>
      <c r="I470" s="183" t="s">
        <v>127</v>
      </c>
      <c r="J470" s="722">
        <f>SUM(J466:J469)</f>
        <v>7.8E-2</v>
      </c>
      <c r="K470" s="958"/>
      <c r="L470" s="3" t="s">
        <v>157</v>
      </c>
      <c r="V470" s="185"/>
    </row>
    <row r="471" spans="1:22" ht="18" hidden="1" customHeight="1">
      <c r="A471" s="184"/>
      <c r="B471" s="47"/>
      <c r="C471" s="47"/>
      <c r="D471" s="47"/>
      <c r="E471" s="47"/>
      <c r="H471" s="27"/>
      <c r="I471" s="28"/>
      <c r="J471" s="199"/>
      <c r="L471" s="47"/>
      <c r="S471" s="27"/>
      <c r="V471" s="185"/>
    </row>
    <row r="472" spans="1:22" ht="18" hidden="1" customHeight="1">
      <c r="A472" s="1206" t="s">
        <v>536</v>
      </c>
      <c r="B472" s="1207"/>
      <c r="C472" s="1207"/>
      <c r="D472" s="1207"/>
      <c r="E472" s="1207"/>
      <c r="F472" s="1207"/>
      <c r="G472" s="1207"/>
      <c r="H472" s="1207"/>
      <c r="I472" s="1207"/>
      <c r="J472" s="1207"/>
      <c r="K472" s="1207"/>
      <c r="L472" s="1207"/>
      <c r="M472" s="1207"/>
      <c r="N472" s="1207"/>
      <c r="O472" s="1207"/>
      <c r="P472" s="1207"/>
      <c r="Q472" s="1207"/>
      <c r="R472" s="1207"/>
      <c r="S472" s="1207"/>
      <c r="T472" s="1207"/>
      <c r="U472" s="1207"/>
      <c r="V472" s="1208"/>
    </row>
    <row r="473" spans="1:22" ht="18" hidden="1" customHeight="1">
      <c r="A473" s="1209"/>
      <c r="B473" s="1207"/>
      <c r="C473" s="1207"/>
      <c r="D473" s="1207"/>
      <c r="E473" s="1207"/>
      <c r="F473" s="1207"/>
      <c r="G473" s="1207"/>
      <c r="H473" s="1207"/>
      <c r="I473" s="1207"/>
      <c r="J473" s="1207"/>
      <c r="K473" s="1207"/>
      <c r="L473" s="1207"/>
      <c r="M473" s="1207"/>
      <c r="N473" s="1207"/>
      <c r="O473" s="1207"/>
      <c r="P473" s="1207"/>
      <c r="Q473" s="1207"/>
      <c r="R473" s="1207"/>
      <c r="S473" s="1207"/>
      <c r="T473" s="1207"/>
      <c r="U473" s="1207"/>
      <c r="V473" s="1208"/>
    </row>
    <row r="474" spans="1:22" ht="18" hidden="1" customHeight="1">
      <c r="A474" s="184"/>
      <c r="Q474" s="211"/>
      <c r="R474" s="192"/>
      <c r="V474" s="185"/>
    </row>
    <row r="475" spans="1:22" ht="18" hidden="1" customHeight="1">
      <c r="A475" s="184"/>
      <c r="C475" s="14" t="s">
        <v>473</v>
      </c>
      <c r="D475" s="28" t="s">
        <v>127</v>
      </c>
      <c r="E475" s="28" t="s">
        <v>537</v>
      </c>
      <c r="F475" s="120" t="s">
        <v>493</v>
      </c>
      <c r="G475" s="28" t="s">
        <v>347</v>
      </c>
      <c r="H475" s="120" t="s">
        <v>491</v>
      </c>
      <c r="I475" s="28" t="s">
        <v>538</v>
      </c>
      <c r="J475" s="28" t="s">
        <v>495</v>
      </c>
      <c r="K475" s="28" t="s">
        <v>539</v>
      </c>
      <c r="L475" s="28" t="s">
        <v>511</v>
      </c>
      <c r="M475" s="28" t="s">
        <v>315</v>
      </c>
      <c r="N475" s="28">
        <v>1.3</v>
      </c>
      <c r="O475" s="47" t="s">
        <v>350</v>
      </c>
      <c r="V475" s="185"/>
    </row>
    <row r="476" spans="1:22" ht="18" hidden="1" customHeight="1">
      <c r="A476" s="184" t="s">
        <v>540</v>
      </c>
      <c r="C476" s="14"/>
      <c r="D476" s="28"/>
      <c r="E476" s="14"/>
      <c r="F476" s="14"/>
      <c r="G476" s="14"/>
      <c r="H476" s="14"/>
      <c r="I476" s="14"/>
      <c r="J476" s="14"/>
      <c r="K476" s="14"/>
      <c r="L476" s="14"/>
      <c r="M476" s="14"/>
      <c r="N476" s="14"/>
      <c r="O476" s="14"/>
      <c r="V476" s="185"/>
    </row>
    <row r="477" spans="1:22" ht="18" hidden="1" customHeight="1">
      <c r="A477" s="184"/>
      <c r="C477" s="120" t="s">
        <v>493</v>
      </c>
      <c r="D477" s="28" t="s">
        <v>127</v>
      </c>
      <c r="E477" s="28" t="s">
        <v>537</v>
      </c>
      <c r="F477" s="28">
        <v>1.3</v>
      </c>
      <c r="G477" s="28" t="s">
        <v>315</v>
      </c>
      <c r="H477" s="689" t="s">
        <v>473</v>
      </c>
      <c r="I477" s="716"/>
      <c r="J477" s="28" t="s">
        <v>315</v>
      </c>
      <c r="K477" s="28" t="s">
        <v>511</v>
      </c>
      <c r="L477" s="28" t="s">
        <v>541</v>
      </c>
      <c r="M477" s="28" t="s">
        <v>495</v>
      </c>
      <c r="N477" s="47" t="s">
        <v>542</v>
      </c>
      <c r="O477" s="120" t="s">
        <v>491</v>
      </c>
      <c r="V477" s="185"/>
    </row>
    <row r="478" spans="1:22" ht="18" hidden="1" customHeight="1">
      <c r="A478" s="184"/>
      <c r="V478" s="185"/>
    </row>
    <row r="479" spans="1:22" ht="18" hidden="1" customHeight="1">
      <c r="A479" s="168"/>
      <c r="B479" s="5"/>
      <c r="C479" s="47" t="s">
        <v>543</v>
      </c>
      <c r="D479" s="14"/>
      <c r="E479" s="14"/>
      <c r="F479" s="14"/>
      <c r="G479" s="14"/>
      <c r="H479" s="279"/>
      <c r="I479" s="120"/>
      <c r="J479" s="279"/>
      <c r="K479" s="279"/>
      <c r="L479" s="14"/>
      <c r="M479" s="14"/>
      <c r="N479" s="14"/>
      <c r="O479" s="14"/>
      <c r="P479" s="14"/>
      <c r="Q479" s="120" t="s">
        <v>544</v>
      </c>
      <c r="R479" s="102" t="s">
        <v>127</v>
      </c>
      <c r="S479" s="689">
        <f>S391</f>
        <v>16800</v>
      </c>
      <c r="T479" s="689"/>
      <c r="U479" s="47" t="s">
        <v>8</v>
      </c>
      <c r="V479" s="185"/>
    </row>
    <row r="480" spans="1:22" ht="18" hidden="1" customHeight="1">
      <c r="A480" s="168"/>
      <c r="B480" s="5"/>
      <c r="C480" s="47" t="s">
        <v>545</v>
      </c>
      <c r="D480" s="14"/>
      <c r="E480" s="14"/>
      <c r="F480" s="18"/>
      <c r="G480" s="18"/>
      <c r="H480" s="279"/>
      <c r="I480" s="120"/>
      <c r="J480" s="279"/>
      <c r="K480" s="279"/>
      <c r="L480" s="14"/>
      <c r="M480" s="14"/>
      <c r="N480" s="14"/>
      <c r="O480" s="14"/>
      <c r="P480" s="14"/>
      <c r="Q480" s="120" t="s">
        <v>423</v>
      </c>
      <c r="R480" s="102" t="s">
        <v>127</v>
      </c>
      <c r="S480" s="689" t="str">
        <f>L458</f>
        <v>-</v>
      </c>
      <c r="T480" s="689"/>
      <c r="U480" s="14" t="s">
        <v>8</v>
      </c>
      <c r="V480" s="185"/>
    </row>
    <row r="481" spans="1:25" ht="18" hidden="1" customHeight="1">
      <c r="A481" s="168"/>
      <c r="B481" s="5"/>
      <c r="C481" s="47" t="s">
        <v>546</v>
      </c>
      <c r="D481" s="14"/>
      <c r="E481" s="14"/>
      <c r="F481" s="18"/>
      <c r="G481" s="18"/>
      <c r="H481" s="279"/>
      <c r="I481" s="120"/>
      <c r="J481" s="279"/>
      <c r="K481" s="279"/>
      <c r="L481" s="14"/>
      <c r="M481" s="14"/>
      <c r="N481" s="14"/>
      <c r="O481" s="14"/>
      <c r="P481" s="14"/>
      <c r="Q481" s="120" t="s">
        <v>473</v>
      </c>
      <c r="R481" s="102" t="s">
        <v>127</v>
      </c>
      <c r="S481" s="689">
        <f>L461</f>
        <v>800</v>
      </c>
      <c r="T481" s="689"/>
      <c r="U481" s="14" t="s">
        <v>305</v>
      </c>
      <c r="V481" s="185"/>
    </row>
    <row r="482" spans="1:25" ht="18" hidden="1" customHeight="1">
      <c r="A482" s="168"/>
      <c r="B482" s="5"/>
      <c r="C482" s="47" t="s">
        <v>547</v>
      </c>
      <c r="D482" s="14"/>
      <c r="E482" s="14"/>
      <c r="F482" s="18"/>
      <c r="G482" s="18"/>
      <c r="H482" s="279"/>
      <c r="I482" s="120"/>
      <c r="J482" s="279"/>
      <c r="K482" s="279"/>
      <c r="L482" s="14"/>
      <c r="M482" s="14"/>
      <c r="N482" s="14"/>
      <c r="O482" s="14"/>
      <c r="P482" s="14"/>
      <c r="Q482" s="120" t="s">
        <v>491</v>
      </c>
      <c r="R482" s="102" t="s">
        <v>127</v>
      </c>
      <c r="S482" s="692">
        <f>P469</f>
        <v>8</v>
      </c>
      <c r="T482" s="689"/>
      <c r="U482" s="14" t="s">
        <v>157</v>
      </c>
      <c r="V482" s="185"/>
      <c r="W482" s="279"/>
      <c r="X482" s="279"/>
      <c r="Y482" s="279"/>
    </row>
    <row r="483" spans="1:25" ht="18" hidden="1" customHeight="1">
      <c r="A483" s="168"/>
      <c r="B483" s="5"/>
      <c r="C483" s="47" t="s">
        <v>548</v>
      </c>
      <c r="D483" s="14"/>
      <c r="E483" s="14"/>
      <c r="F483" s="18"/>
      <c r="G483" s="18"/>
      <c r="H483" s="279"/>
      <c r="I483" s="120"/>
      <c r="J483" s="279"/>
      <c r="K483" s="279"/>
      <c r="L483" s="14"/>
      <c r="M483" s="14"/>
      <c r="N483" s="14"/>
      <c r="O483" s="14"/>
      <c r="P483" s="14"/>
      <c r="Q483" s="120" t="s">
        <v>512</v>
      </c>
      <c r="R483" s="102" t="s">
        <v>127</v>
      </c>
      <c r="S483" s="692">
        <f>J470</f>
        <v>7.8E-2</v>
      </c>
      <c r="T483" s="689"/>
      <c r="U483" s="14" t="s">
        <v>157</v>
      </c>
      <c r="V483" s="185"/>
      <c r="X483" s="279"/>
      <c r="Y483" s="279"/>
    </row>
    <row r="484" spans="1:25" ht="18" hidden="1" customHeight="1">
      <c r="A484" s="168"/>
      <c r="B484" s="5"/>
      <c r="C484" s="47" t="s">
        <v>549</v>
      </c>
      <c r="D484" s="14"/>
      <c r="E484" s="14"/>
      <c r="F484" s="14"/>
      <c r="G484" s="14"/>
      <c r="H484" s="279"/>
      <c r="I484" s="120"/>
      <c r="J484" s="279"/>
      <c r="K484" s="279"/>
      <c r="L484" s="14"/>
      <c r="M484" s="14"/>
      <c r="N484" s="14"/>
      <c r="O484" s="14"/>
      <c r="P484" s="14"/>
      <c r="Q484" s="120" t="s">
        <v>511</v>
      </c>
      <c r="R484" s="102" t="s">
        <v>127</v>
      </c>
      <c r="S484" s="689">
        <f>O458</f>
        <v>1</v>
      </c>
      <c r="T484" s="689"/>
      <c r="U484" s="14" t="s">
        <v>8</v>
      </c>
      <c r="V484" s="185"/>
      <c r="X484" s="279"/>
      <c r="Y484" s="279"/>
    </row>
    <row r="485" spans="1:25" ht="18" hidden="1" customHeight="1">
      <c r="A485" s="168"/>
      <c r="B485" s="5"/>
      <c r="C485" s="47" t="s">
        <v>550</v>
      </c>
      <c r="D485" s="14"/>
      <c r="E485" s="14"/>
      <c r="F485" s="14"/>
      <c r="G485" s="14"/>
      <c r="H485" s="279"/>
      <c r="I485" s="120"/>
      <c r="J485" s="279"/>
      <c r="K485" s="279"/>
      <c r="L485" s="14"/>
      <c r="M485" s="14"/>
      <c r="N485" s="14"/>
      <c r="O485" s="14"/>
      <c r="P485" s="14"/>
      <c r="Q485" s="120" t="s">
        <v>495</v>
      </c>
      <c r="R485" s="102" t="s">
        <v>127</v>
      </c>
      <c r="S485" s="689">
        <v>20</v>
      </c>
      <c r="T485" s="689"/>
      <c r="U485" s="47"/>
      <c r="V485" s="185"/>
    </row>
    <row r="486" spans="1:25" ht="18" hidden="1" customHeight="1">
      <c r="A486" s="299"/>
      <c r="B486" s="279"/>
      <c r="C486" s="47" t="s">
        <v>551</v>
      </c>
      <c r="D486" s="14"/>
      <c r="E486" s="14"/>
      <c r="F486" s="14"/>
      <c r="G486" s="14"/>
      <c r="H486" s="279"/>
      <c r="I486" s="120"/>
      <c r="J486" s="279"/>
      <c r="K486" s="279"/>
      <c r="L486" s="14"/>
      <c r="M486" s="14"/>
      <c r="N486" s="279"/>
      <c r="O486" s="279"/>
      <c r="P486" s="14"/>
      <c r="Q486" s="120" t="s">
        <v>493</v>
      </c>
      <c r="R486" s="14"/>
      <c r="S486" s="279"/>
      <c r="T486" s="279"/>
      <c r="U486" s="279"/>
      <c r="V486" s="300"/>
      <c r="W486" s="279"/>
      <c r="X486" s="279"/>
      <c r="Y486" s="279"/>
    </row>
    <row r="487" spans="1:25" ht="18" hidden="1" customHeight="1">
      <c r="A487" s="184"/>
      <c r="V487" s="185"/>
    </row>
    <row r="488" spans="1:25" ht="18" hidden="1" customHeight="1">
      <c r="A488" s="184"/>
      <c r="C488" s="120" t="s">
        <v>493</v>
      </c>
      <c r="D488" s="28" t="s">
        <v>127</v>
      </c>
      <c r="E488" s="28" t="s">
        <v>537</v>
      </c>
      <c r="F488" s="28">
        <v>1.3</v>
      </c>
      <c r="G488" s="28" t="s">
        <v>315</v>
      </c>
      <c r="H488" s="689" t="s">
        <v>473</v>
      </c>
      <c r="I488" s="716"/>
      <c r="J488" s="28" t="s">
        <v>315</v>
      </c>
      <c r="K488" s="28" t="s">
        <v>511</v>
      </c>
      <c r="L488" s="28" t="s">
        <v>541</v>
      </c>
      <c r="M488" s="28" t="s">
        <v>495</v>
      </c>
      <c r="N488" s="47" t="s">
        <v>542</v>
      </c>
      <c r="O488" s="120" t="s">
        <v>491</v>
      </c>
      <c r="V488" s="185"/>
    </row>
    <row r="489" spans="1:25" ht="18" hidden="1" customHeight="1">
      <c r="A489" s="184"/>
      <c r="C489" s="120" t="s">
        <v>493</v>
      </c>
      <c r="D489" s="28" t="s">
        <v>127</v>
      </c>
      <c r="E489" s="28" t="s">
        <v>537</v>
      </c>
      <c r="F489" s="28">
        <v>1.3</v>
      </c>
      <c r="G489" s="28" t="s">
        <v>315</v>
      </c>
      <c r="H489" s="689">
        <f>S481</f>
        <v>800</v>
      </c>
      <c r="I489" s="716"/>
      <c r="J489" s="28" t="s">
        <v>315</v>
      </c>
      <c r="K489" s="28">
        <f>S484</f>
        <v>1</v>
      </c>
      <c r="L489" s="28" t="s">
        <v>541</v>
      </c>
      <c r="M489" s="28">
        <f>S485</f>
        <v>20</v>
      </c>
      <c r="N489" s="47" t="s">
        <v>542</v>
      </c>
      <c r="O489" s="502">
        <f>S482</f>
        <v>8</v>
      </c>
      <c r="V489" s="185"/>
    </row>
    <row r="490" spans="1:25" ht="18" hidden="1" customHeight="1">
      <c r="A490" s="184"/>
      <c r="D490" s="27" t="s">
        <v>127</v>
      </c>
      <c r="E490" s="684">
        <f>((F489*H489*K489)/M489)-O489</f>
        <v>44</v>
      </c>
      <c r="F490" s="684"/>
      <c r="G490" s="27" t="s">
        <v>157</v>
      </c>
      <c r="V490" s="185"/>
    </row>
    <row r="491" spans="1:25" ht="18" hidden="1" customHeight="1">
      <c r="A491" s="184"/>
      <c r="D491" s="27"/>
      <c r="E491" s="27"/>
      <c r="F491" s="27"/>
      <c r="G491" s="27"/>
      <c r="V491" s="185"/>
    </row>
    <row r="492" spans="1:25" ht="18" hidden="1" customHeight="1">
      <c r="A492" s="184"/>
      <c r="D492" s="27"/>
      <c r="E492" s="27"/>
      <c r="F492" s="27"/>
      <c r="G492" s="27"/>
      <c r="V492" s="185"/>
    </row>
    <row r="493" spans="1:25" ht="18" hidden="1" customHeight="1">
      <c r="A493" s="184"/>
      <c r="D493" s="27"/>
      <c r="E493" s="27"/>
      <c r="F493" s="27"/>
      <c r="G493" s="27"/>
      <c r="V493" s="185"/>
    </row>
    <row r="494" spans="1:25" ht="18" hidden="1" customHeight="1">
      <c r="A494" s="184"/>
      <c r="D494" s="27"/>
      <c r="E494" s="27"/>
      <c r="F494" s="27"/>
      <c r="G494" s="27"/>
      <c r="V494" s="185"/>
    </row>
    <row r="495" spans="1:25" ht="18" hidden="1" customHeight="1">
      <c r="A495" s="184"/>
      <c r="D495" s="27"/>
      <c r="E495" s="27"/>
      <c r="F495" s="27"/>
      <c r="G495" s="27"/>
      <c r="V495" s="185"/>
    </row>
    <row r="496" spans="1:25" ht="18" hidden="1" customHeight="1">
      <c r="A496" s="184"/>
      <c r="V496" s="185"/>
    </row>
    <row r="497" spans="1:22" s="14" customFormat="1" ht="18" hidden="1" customHeight="1">
      <c r="A497" s="194"/>
      <c r="B497" s="195"/>
      <c r="C497" s="195"/>
      <c r="D497" s="195"/>
      <c r="E497" s="195"/>
      <c r="F497" s="195"/>
      <c r="G497" s="195"/>
      <c r="H497" s="195"/>
      <c r="I497" s="195"/>
      <c r="J497" s="195"/>
      <c r="K497" s="195"/>
      <c r="L497" s="195"/>
      <c r="M497" s="195"/>
      <c r="N497" s="195"/>
      <c r="O497" s="195"/>
      <c r="P497" s="195"/>
      <c r="Q497" s="224"/>
      <c r="R497" s="182"/>
      <c r="S497" s="225"/>
      <c r="T497" s="195"/>
      <c r="U497" s="195"/>
      <c r="V497" s="134" t="s">
        <v>552</v>
      </c>
    </row>
    <row r="498" spans="1:22" ht="18" hidden="1" customHeight="1">
      <c r="A498" s="226"/>
      <c r="B498" s="227"/>
      <c r="C498" s="227"/>
      <c r="D498" s="227"/>
      <c r="E498" s="227"/>
      <c r="F498" s="227"/>
      <c r="G498" s="227"/>
      <c r="H498" s="227"/>
      <c r="I498" s="227"/>
      <c r="J498" s="227"/>
      <c r="K498" s="227"/>
      <c r="L498" s="227"/>
      <c r="M498" s="227"/>
      <c r="N498" s="227"/>
      <c r="O498" s="227"/>
      <c r="P498" s="227"/>
      <c r="Q498" s="227"/>
      <c r="R498" s="227"/>
      <c r="S498" s="227"/>
      <c r="T498" s="227"/>
      <c r="U498" s="227"/>
      <c r="V498" s="228"/>
    </row>
    <row r="499" spans="1:22" ht="18" hidden="1" customHeight="1">
      <c r="A499" s="184"/>
      <c r="E499" s="244" t="s">
        <v>111</v>
      </c>
      <c r="F499" s="27" t="s">
        <v>127</v>
      </c>
      <c r="G499" s="689" t="s">
        <v>544</v>
      </c>
      <c r="H499" s="689"/>
      <c r="I499" s="191" t="s">
        <v>342</v>
      </c>
      <c r="J499" s="684" t="s">
        <v>423</v>
      </c>
      <c r="K499" s="684"/>
      <c r="V499" s="185"/>
    </row>
    <row r="500" spans="1:22" ht="18" hidden="1" customHeight="1">
      <c r="A500" s="184"/>
      <c r="F500" s="27" t="s">
        <v>127</v>
      </c>
      <c r="G500" s="684">
        <f>S479</f>
        <v>16800</v>
      </c>
      <c r="H500" s="684"/>
      <c r="I500" s="191" t="s">
        <v>342</v>
      </c>
      <c r="J500" s="684" t="str">
        <f>S480</f>
        <v>-</v>
      </c>
      <c r="K500" s="684"/>
      <c r="V500" s="185"/>
    </row>
    <row r="501" spans="1:22" ht="18" hidden="1" customHeight="1">
      <c r="A501" s="184"/>
      <c r="F501" s="27" t="s">
        <v>127</v>
      </c>
      <c r="G501" s="795" t="e">
        <f>G500/J500</f>
        <v>#VALUE!</v>
      </c>
      <c r="H501" s="795"/>
      <c r="I501" s="27"/>
      <c r="J501" s="27"/>
      <c r="K501" s="27"/>
      <c r="V501" s="185"/>
    </row>
    <row r="502" spans="1:22" ht="18" hidden="1" customHeight="1">
      <c r="A502" s="184"/>
      <c r="V502" s="185"/>
    </row>
    <row r="503" spans="1:22" ht="18" hidden="1" customHeight="1">
      <c r="A503" s="184"/>
      <c r="E503" s="244" t="s">
        <v>553</v>
      </c>
      <c r="F503" s="27" t="s">
        <v>127</v>
      </c>
      <c r="G503" s="27" t="s">
        <v>495</v>
      </c>
      <c r="H503" s="27" t="s">
        <v>554</v>
      </c>
      <c r="I503" s="120" t="s">
        <v>491</v>
      </c>
      <c r="J503" s="28" t="s">
        <v>347</v>
      </c>
      <c r="K503" s="120" t="s">
        <v>493</v>
      </c>
      <c r="L503" s="28" t="s">
        <v>539</v>
      </c>
      <c r="M503" s="120" t="s">
        <v>491</v>
      </c>
      <c r="N503" s="28" t="s">
        <v>347</v>
      </c>
      <c r="O503" s="120" t="s">
        <v>512</v>
      </c>
      <c r="P503" s="296" t="s">
        <v>350</v>
      </c>
      <c r="V503" s="185"/>
    </row>
    <row r="504" spans="1:22" ht="18" hidden="1" customHeight="1">
      <c r="A504" s="184"/>
      <c r="F504" s="27" t="s">
        <v>127</v>
      </c>
      <c r="G504" s="242">
        <f>S485</f>
        <v>20</v>
      </c>
      <c r="H504" s="245" t="s">
        <v>554</v>
      </c>
      <c r="I504" s="301">
        <f>S482</f>
        <v>8</v>
      </c>
      <c r="J504" s="245" t="s">
        <v>347</v>
      </c>
      <c r="K504" s="301">
        <f>E490</f>
        <v>44</v>
      </c>
      <c r="L504" s="245" t="s">
        <v>539</v>
      </c>
      <c r="M504" s="301">
        <f>S482</f>
        <v>8</v>
      </c>
      <c r="N504" s="245" t="s">
        <v>347</v>
      </c>
      <c r="O504" s="301">
        <f>S483</f>
        <v>7.8E-2</v>
      </c>
      <c r="P504" s="461" t="s">
        <v>350</v>
      </c>
      <c r="V504" s="185"/>
    </row>
    <row r="505" spans="1:22" ht="18" hidden="1" customHeight="1">
      <c r="A505" s="184"/>
      <c r="F505" s="27" t="s">
        <v>127</v>
      </c>
      <c r="G505" s="795">
        <f>G504*((I504+K504)/(M504+O504))</f>
        <v>128.74473879673187</v>
      </c>
      <c r="H505" s="795"/>
      <c r="V505" s="185"/>
    </row>
    <row r="506" spans="1:22" ht="18" hidden="1" customHeight="1">
      <c r="A506" s="184"/>
      <c r="V506" s="185"/>
    </row>
    <row r="507" spans="1:22" ht="18" hidden="1" customHeight="1">
      <c r="A507" s="184"/>
      <c r="E507" s="244" t="s">
        <v>555</v>
      </c>
      <c r="F507" s="27" t="e">
        <f>IF(D508&gt;G508,"&gt;","&lt;")</f>
        <v>#VALUE!</v>
      </c>
      <c r="G507" s="296" t="s">
        <v>111</v>
      </c>
      <c r="V507" s="185"/>
    </row>
    <row r="508" spans="1:22" ht="18" hidden="1" customHeight="1">
      <c r="A508" s="184"/>
      <c r="D508" s="795">
        <f>G505</f>
        <v>128.74473879673187</v>
      </c>
      <c r="E508" s="795"/>
      <c r="F508" s="27" t="e">
        <f>F507</f>
        <v>#VALUE!</v>
      </c>
      <c r="G508" s="795" t="e">
        <f>G501</f>
        <v>#VALUE!</v>
      </c>
      <c r="H508" s="795"/>
      <c r="V508" s="185"/>
    </row>
    <row r="509" spans="1:22" ht="18" hidden="1" customHeight="1">
      <c r="A509" s="184"/>
      <c r="E509" s="244" t="s">
        <v>478</v>
      </c>
      <c r="G509" s="18" t="e">
        <f>IF(F507="&gt;","Suitably Dimentioned","Under Dimentioned")</f>
        <v>#VALUE!</v>
      </c>
      <c r="V509" s="185"/>
    </row>
    <row r="510" spans="1:22" ht="18" hidden="1" customHeight="1">
      <c r="A510" s="184"/>
      <c r="V510" s="185"/>
    </row>
    <row r="511" spans="1:22" ht="18" hidden="1" customHeight="1">
      <c r="A511" s="184"/>
      <c r="V511" s="185"/>
    </row>
    <row r="512" spans="1:22" ht="18" hidden="1" customHeight="1">
      <c r="A512" s="184"/>
      <c r="V512" s="185"/>
    </row>
    <row r="513" spans="1:22" ht="18" hidden="1" customHeight="1">
      <c r="A513" s="184"/>
      <c r="V513" s="185"/>
    </row>
    <row r="514" spans="1:22" ht="18" hidden="1" customHeight="1">
      <c r="A514" s="184"/>
      <c r="V514" s="185"/>
    </row>
    <row r="515" spans="1:22" ht="18" hidden="1" customHeight="1">
      <c r="A515" s="184"/>
      <c r="V515" s="185"/>
    </row>
    <row r="516" spans="1:22" ht="18" hidden="1" customHeight="1">
      <c r="A516" s="184"/>
      <c r="V516" s="185"/>
    </row>
    <row r="517" spans="1:22" ht="18" hidden="1" customHeight="1">
      <c r="A517" s="184"/>
      <c r="V517" s="185"/>
    </row>
    <row r="518" spans="1:22" ht="18" hidden="1" customHeight="1">
      <c r="A518" s="184"/>
      <c r="V518" s="185"/>
    </row>
    <row r="519" spans="1:22" ht="18" hidden="1" customHeight="1">
      <c r="A519" s="184"/>
      <c r="V519" s="185"/>
    </row>
    <row r="520" spans="1:22" ht="18" hidden="1" customHeight="1">
      <c r="A520" s="184"/>
      <c r="V520" s="185"/>
    </row>
    <row r="521" spans="1:22" ht="18" hidden="1" customHeight="1">
      <c r="A521" s="184"/>
      <c r="V521" s="185"/>
    </row>
    <row r="522" spans="1:22" ht="18" hidden="1" customHeight="1">
      <c r="A522" s="184"/>
      <c r="V522" s="185"/>
    </row>
    <row r="523" spans="1:22" ht="18" hidden="1" customHeight="1">
      <c r="A523" s="184"/>
      <c r="V523" s="185"/>
    </row>
    <row r="524" spans="1:22" ht="18" hidden="1" customHeight="1">
      <c r="A524" s="184"/>
      <c r="V524" s="185"/>
    </row>
    <row r="525" spans="1:22" ht="18" hidden="1" customHeight="1">
      <c r="A525" s="184"/>
      <c r="V525" s="185"/>
    </row>
    <row r="526" spans="1:22" ht="18" hidden="1" customHeight="1">
      <c r="A526" s="184"/>
      <c r="V526" s="185"/>
    </row>
    <row r="527" spans="1:22" ht="18" hidden="1" customHeight="1">
      <c r="A527" s="184"/>
      <c r="V527" s="185"/>
    </row>
    <row r="528" spans="1:22" ht="18" hidden="1" customHeight="1">
      <c r="A528" s="184"/>
      <c r="V528" s="185"/>
    </row>
    <row r="529" spans="1:22" ht="18" hidden="1" customHeight="1">
      <c r="A529" s="184"/>
      <c r="V529" s="185"/>
    </row>
    <row r="530" spans="1:22" ht="18" hidden="1" customHeight="1">
      <c r="A530" s="184"/>
      <c r="V530" s="185"/>
    </row>
    <row r="531" spans="1:22" ht="18" hidden="1" customHeight="1">
      <c r="A531" s="184"/>
      <c r="V531" s="185"/>
    </row>
    <row r="532" spans="1:22" ht="18" hidden="1" customHeight="1">
      <c r="A532" s="184"/>
      <c r="V532" s="185"/>
    </row>
    <row r="533" spans="1:22" ht="18" hidden="1" customHeight="1">
      <c r="A533" s="184"/>
      <c r="V533" s="185"/>
    </row>
    <row r="534" spans="1:22" ht="18" hidden="1" customHeight="1">
      <c r="A534" s="184"/>
      <c r="V534" s="185"/>
    </row>
    <row r="535" spans="1:22" ht="18" hidden="1" customHeight="1">
      <c r="A535" s="184"/>
      <c r="V535" s="185"/>
    </row>
    <row r="536" spans="1:22" ht="18" hidden="1" customHeight="1">
      <c r="A536" s="184"/>
      <c r="V536" s="185"/>
    </row>
    <row r="537" spans="1:22" ht="18" hidden="1" customHeight="1">
      <c r="A537" s="184"/>
      <c r="V537" s="185"/>
    </row>
    <row r="538" spans="1:22" ht="18" hidden="1" customHeight="1">
      <c r="A538" s="184"/>
      <c r="V538" s="185"/>
    </row>
    <row r="539" spans="1:22" ht="18" hidden="1" customHeight="1">
      <c r="A539" s="184"/>
      <c r="V539" s="185"/>
    </row>
    <row r="540" spans="1:22" ht="18" hidden="1" customHeight="1">
      <c r="A540" s="184"/>
      <c r="V540" s="185"/>
    </row>
    <row r="541" spans="1:22" s="14" customFormat="1" ht="18" customHeight="1">
      <c r="A541" s="194"/>
      <c r="B541" s="195"/>
      <c r="C541" s="195"/>
      <c r="D541" s="195"/>
      <c r="E541" s="195"/>
      <c r="F541" s="195"/>
      <c r="G541" s="195"/>
      <c r="H541" s="195"/>
      <c r="I541" s="195"/>
      <c r="J541" s="195"/>
      <c r="K541" s="195"/>
      <c r="L541" s="195"/>
      <c r="M541" s="195"/>
      <c r="N541" s="195"/>
      <c r="O541" s="195"/>
      <c r="P541" s="195"/>
      <c r="Q541" s="224"/>
      <c r="R541" s="182"/>
      <c r="S541" s="225"/>
      <c r="T541" s="195"/>
      <c r="U541" s="195"/>
      <c r="V541" s="134"/>
    </row>
    <row r="542" spans="1:22" ht="18" customHeight="1">
      <c r="A542" s="226"/>
      <c r="B542" s="227"/>
      <c r="C542" s="227"/>
      <c r="D542" s="227"/>
      <c r="E542" s="227"/>
      <c r="F542" s="227"/>
      <c r="G542" s="227"/>
      <c r="H542" s="227"/>
      <c r="I542" s="227"/>
      <c r="J542" s="227"/>
      <c r="K542" s="227"/>
      <c r="L542" s="227"/>
      <c r="M542" s="227"/>
      <c r="N542" s="227"/>
      <c r="O542" s="227"/>
      <c r="P542" s="227"/>
      <c r="Q542" s="227"/>
      <c r="R542" s="227"/>
      <c r="S542" s="227"/>
      <c r="T542" s="227"/>
      <c r="U542" s="227"/>
      <c r="V542" s="228"/>
    </row>
    <row r="543" spans="1:22" ht="18" customHeight="1">
      <c r="A543" s="262" t="s">
        <v>532</v>
      </c>
      <c r="B543" s="14"/>
      <c r="C543" s="14"/>
      <c r="D543" s="120"/>
      <c r="E543" s="120"/>
      <c r="F543" s="18"/>
      <c r="G543" s="18"/>
      <c r="H543" s="14"/>
      <c r="I543" s="14"/>
      <c r="J543" s="14"/>
      <c r="K543" s="14"/>
      <c r="L543" s="14"/>
      <c r="M543" s="14"/>
      <c r="N543" s="14"/>
      <c r="O543" s="14"/>
      <c r="P543" s="28"/>
      <c r="Q543" s="120"/>
      <c r="R543" s="47"/>
      <c r="S543" s="206"/>
      <c r="T543" s="259"/>
      <c r="U543" s="14"/>
      <c r="V543" s="97"/>
    </row>
    <row r="544" spans="1:22" customFormat="1" ht="18" customHeight="1">
      <c r="A544" s="868" t="s">
        <v>85</v>
      </c>
      <c r="B544" s="868"/>
      <c r="C544" s="869"/>
      <c r="D544" s="868" t="s">
        <v>86</v>
      </c>
      <c r="E544" s="868"/>
      <c r="F544" s="868"/>
      <c r="G544" s="868" t="s">
        <v>87</v>
      </c>
      <c r="H544" s="868"/>
      <c r="I544" s="868" t="s">
        <v>88</v>
      </c>
      <c r="J544" s="868"/>
      <c r="K544" s="868" t="s">
        <v>502</v>
      </c>
      <c r="L544" s="868"/>
      <c r="M544" s="868" t="s">
        <v>503</v>
      </c>
      <c r="N544" s="868"/>
      <c r="O544" s="868" t="s">
        <v>504</v>
      </c>
      <c r="P544" s="868"/>
      <c r="Q544" s="868" t="s">
        <v>505</v>
      </c>
      <c r="R544" s="868"/>
      <c r="S544" s="868" t="s">
        <v>93</v>
      </c>
      <c r="T544" s="868"/>
      <c r="U544" s="868"/>
      <c r="V544" s="868"/>
    </row>
    <row r="545" spans="1:22" customFormat="1" ht="18" customHeight="1">
      <c r="A545" s="868"/>
      <c r="B545" s="868"/>
      <c r="C545" s="869"/>
      <c r="D545" s="868"/>
      <c r="E545" s="868"/>
      <c r="F545" s="868"/>
      <c r="G545" s="868"/>
      <c r="H545" s="868"/>
      <c r="I545" s="868"/>
      <c r="J545" s="868"/>
      <c r="K545" s="868"/>
      <c r="L545" s="868"/>
      <c r="M545" s="868"/>
      <c r="N545" s="868"/>
      <c r="O545" s="868"/>
      <c r="P545" s="868"/>
      <c r="Q545" s="868"/>
      <c r="R545" s="868"/>
      <c r="S545" s="868"/>
      <c r="T545" s="868"/>
      <c r="U545" s="868"/>
      <c r="V545" s="868"/>
    </row>
    <row r="546" spans="1:22" customFormat="1" ht="18" customHeight="1">
      <c r="A546" s="868"/>
      <c r="B546" s="868"/>
      <c r="C546" s="869"/>
      <c r="D546" s="868"/>
      <c r="E546" s="868"/>
      <c r="F546" s="868"/>
      <c r="G546" s="868"/>
      <c r="H546" s="868"/>
      <c r="I546" s="868"/>
      <c r="J546" s="868"/>
      <c r="K546" s="868"/>
      <c r="L546" s="868"/>
      <c r="M546" s="868"/>
      <c r="N546" s="868"/>
      <c r="O546" s="868"/>
      <c r="P546" s="868"/>
      <c r="Q546" s="868"/>
      <c r="R546" s="868"/>
      <c r="S546" s="868"/>
      <c r="T546" s="868"/>
      <c r="U546" s="868"/>
      <c r="V546" s="868"/>
    </row>
    <row r="547" spans="1:22" customFormat="1" ht="18" customHeight="1">
      <c r="A547" s="868"/>
      <c r="B547" s="868"/>
      <c r="C547" s="869"/>
      <c r="D547" s="868"/>
      <c r="E547" s="868"/>
      <c r="F547" s="868"/>
      <c r="G547" s="868"/>
      <c r="H547" s="868"/>
      <c r="I547" s="868"/>
      <c r="J547" s="868"/>
      <c r="K547" s="868"/>
      <c r="L547" s="868"/>
      <c r="M547" s="868"/>
      <c r="N547" s="868"/>
      <c r="O547" s="868"/>
      <c r="P547" s="868"/>
      <c r="Q547" s="868"/>
      <c r="R547" s="868"/>
      <c r="S547" s="868"/>
      <c r="T547" s="868"/>
      <c r="U547" s="868"/>
      <c r="V547" s="868"/>
    </row>
    <row r="548" spans="1:22" customFormat="1" ht="18" customHeight="1">
      <c r="A548" s="765" t="str">
        <f>B7</f>
        <v>T1</v>
      </c>
      <c r="B548" s="765" t="str">
        <f>D7</f>
        <v>Core3</v>
      </c>
      <c r="C548" s="765"/>
      <c r="D548" s="870">
        <f>H10</f>
        <v>2800</v>
      </c>
      <c r="E548" s="870"/>
      <c r="F548" s="871">
        <f>O10</f>
        <v>1</v>
      </c>
      <c r="G548" s="870">
        <f>'[7]CT-VT Burdens'!S19</f>
        <v>50</v>
      </c>
      <c r="H548" s="874">
        <f>'[7]CT-VT Burdens'!S28</f>
        <v>4</v>
      </c>
      <c r="I548" s="874" t="str">
        <f>H11</f>
        <v>PX</v>
      </c>
      <c r="J548" s="874"/>
      <c r="K548" s="869">
        <f>H12</f>
        <v>4</v>
      </c>
      <c r="L548" s="869"/>
      <c r="M548" s="869">
        <f>H13</f>
        <v>500</v>
      </c>
      <c r="N548" s="869"/>
      <c r="O548" s="870">
        <f>H14</f>
        <v>20</v>
      </c>
      <c r="P548" s="870"/>
      <c r="Q548" s="879" t="str">
        <f>CONCATENATE(T7," ",T8,"",T9)</f>
        <v>REF615 IDM+</v>
      </c>
      <c r="R548" s="879"/>
      <c r="S548" s="876" t="s">
        <v>533</v>
      </c>
      <c r="T548" s="870"/>
      <c r="U548" s="870"/>
      <c r="V548" s="870"/>
    </row>
    <row r="549" spans="1:22" customFormat="1" ht="18" customHeight="1">
      <c r="A549" s="765"/>
      <c r="B549" s="765"/>
      <c r="C549" s="765"/>
      <c r="D549" s="876">
        <f>J278</f>
        <v>3200</v>
      </c>
      <c r="E549" s="870"/>
      <c r="F549" s="872"/>
      <c r="G549" s="870"/>
      <c r="H549" s="870"/>
      <c r="I549" s="874"/>
      <c r="J549" s="874"/>
      <c r="K549" s="875">
        <f>J280</f>
        <v>5</v>
      </c>
      <c r="L549" s="869"/>
      <c r="M549" s="875">
        <f>J281</f>
        <v>600</v>
      </c>
      <c r="N549" s="869"/>
      <c r="O549" s="876">
        <f>J282</f>
        <v>10</v>
      </c>
      <c r="P549" s="870"/>
      <c r="Q549" s="879"/>
      <c r="R549" s="879"/>
      <c r="S549" s="876" t="str">
        <f>H338</f>
        <v>Suitably Dimensioned</v>
      </c>
      <c r="T549" s="870"/>
      <c r="U549" s="870"/>
      <c r="V549" s="870"/>
    </row>
    <row r="550" spans="1:22" customFormat="1" ht="18" customHeight="1">
      <c r="A550" s="765"/>
      <c r="B550" s="765"/>
      <c r="C550" s="765"/>
      <c r="D550" s="876" t="s">
        <v>6</v>
      </c>
      <c r="E550" s="870"/>
      <c r="F550" s="873"/>
      <c r="G550" s="870"/>
      <c r="H550" s="870"/>
      <c r="I550" s="874"/>
      <c r="J550" s="874"/>
      <c r="K550" s="875" t="s">
        <v>6</v>
      </c>
      <c r="L550" s="869"/>
      <c r="M550" s="875" t="s">
        <v>6</v>
      </c>
      <c r="N550" s="869"/>
      <c r="O550" s="876" t="s">
        <v>6</v>
      </c>
      <c r="P550" s="870"/>
      <c r="Q550" s="879"/>
      <c r="R550" s="879"/>
      <c r="S550" s="870" t="s">
        <v>6</v>
      </c>
      <c r="T550" s="870"/>
      <c r="U550" s="870"/>
      <c r="V550" s="870"/>
    </row>
    <row r="551" spans="1:22" ht="18" customHeight="1">
      <c r="A551" s="184"/>
      <c r="V551" s="185"/>
    </row>
    <row r="552" spans="1:22" ht="18" customHeight="1">
      <c r="A552" s="184"/>
      <c r="V552" s="185"/>
    </row>
    <row r="553" spans="1:22" ht="18" customHeight="1">
      <c r="A553" s="184"/>
      <c r="V553" s="185"/>
    </row>
    <row r="554" spans="1:22" ht="18" customHeight="1">
      <c r="A554" s="184"/>
      <c r="V554" s="185"/>
    </row>
    <row r="555" spans="1:22" ht="18" customHeight="1">
      <c r="A555" s="184"/>
      <c r="V555" s="185"/>
    </row>
    <row r="556" spans="1:22" ht="18" customHeight="1">
      <c r="A556" s="184"/>
      <c r="V556" s="185"/>
    </row>
    <row r="557" spans="1:22" ht="18" customHeight="1">
      <c r="A557" s="184"/>
      <c r="V557" s="185"/>
    </row>
    <row r="558" spans="1:22" ht="18" customHeight="1">
      <c r="A558" s="184"/>
      <c r="V558" s="185"/>
    </row>
    <row r="559" spans="1:22" ht="18" customHeight="1">
      <c r="A559" s="184"/>
      <c r="V559" s="185"/>
    </row>
    <row r="560" spans="1:22" ht="18" customHeight="1">
      <c r="A560" s="184"/>
      <c r="V560" s="185"/>
    </row>
    <row r="561" spans="1:22" ht="18" customHeight="1">
      <c r="A561" s="184"/>
      <c r="V561" s="185"/>
    </row>
    <row r="562" spans="1:22" ht="18" customHeight="1">
      <c r="A562" s="184"/>
      <c r="V562" s="185"/>
    </row>
    <row r="563" spans="1:22" ht="18" customHeight="1">
      <c r="A563" s="184"/>
      <c r="V563" s="185"/>
    </row>
    <row r="564" spans="1:22" ht="18" customHeight="1">
      <c r="A564" s="184"/>
      <c r="V564" s="185"/>
    </row>
    <row r="565" spans="1:22" ht="18" customHeight="1">
      <c r="A565" s="184"/>
      <c r="V565" s="185"/>
    </row>
    <row r="566" spans="1:22" ht="18" customHeight="1">
      <c r="A566" s="184"/>
      <c r="V566" s="185"/>
    </row>
    <row r="567" spans="1:22" ht="18" customHeight="1">
      <c r="A567" s="184"/>
      <c r="V567" s="185"/>
    </row>
    <row r="568" spans="1:22" ht="18" customHeight="1">
      <c r="A568" s="184"/>
      <c r="V568" s="185"/>
    </row>
    <row r="569" spans="1:22" ht="18" customHeight="1">
      <c r="A569" s="184"/>
      <c r="V569" s="185"/>
    </row>
    <row r="570" spans="1:22" ht="18" customHeight="1">
      <c r="A570" s="184"/>
      <c r="V570" s="185"/>
    </row>
    <row r="571" spans="1:22" ht="18" customHeight="1">
      <c r="A571" s="184"/>
      <c r="V571" s="185"/>
    </row>
    <row r="572" spans="1:22" ht="18" customHeight="1">
      <c r="A572" s="184"/>
      <c r="V572" s="185"/>
    </row>
    <row r="573" spans="1:22" ht="18" customHeight="1">
      <c r="A573" s="184"/>
      <c r="V573" s="185"/>
    </row>
    <row r="574" spans="1:22" ht="18" customHeight="1">
      <c r="A574" s="184"/>
      <c r="V574" s="185"/>
    </row>
    <row r="575" spans="1:22" ht="18" customHeight="1">
      <c r="A575" s="184"/>
      <c r="V575" s="185"/>
    </row>
    <row r="576" spans="1:22" ht="18" customHeight="1">
      <c r="A576" s="184"/>
      <c r="V576" s="185"/>
    </row>
    <row r="577" spans="1:22" ht="18" customHeight="1">
      <c r="A577" s="184"/>
      <c r="V577" s="185"/>
    </row>
    <row r="578" spans="1:22" ht="18" customHeight="1">
      <c r="A578" s="184"/>
      <c r="V578" s="185"/>
    </row>
    <row r="579" spans="1:22" ht="18" customHeight="1">
      <c r="A579" s="184"/>
      <c r="V579" s="185"/>
    </row>
    <row r="580" spans="1:22" ht="18" customHeight="1">
      <c r="A580" s="184"/>
      <c r="V580" s="185"/>
    </row>
    <row r="581" spans="1:22" s="14" customFormat="1" ht="18" customHeight="1">
      <c r="A581" s="194"/>
      <c r="B581" s="195"/>
      <c r="C581" s="195"/>
      <c r="D581" s="195"/>
      <c r="E581" s="195"/>
      <c r="F581" s="195"/>
      <c r="G581" s="195"/>
      <c r="H581" s="195"/>
      <c r="I581" s="195"/>
      <c r="J581" s="195"/>
      <c r="K581" s="195"/>
      <c r="L581" s="195"/>
      <c r="M581" s="195"/>
      <c r="N581" s="195"/>
      <c r="O581" s="195"/>
      <c r="P581" s="195"/>
      <c r="Q581" s="224"/>
      <c r="R581" s="182"/>
      <c r="S581" s="225"/>
      <c r="T581" s="195"/>
      <c r="U581" s="195"/>
      <c r="V581" s="134"/>
    </row>
  </sheetData>
  <mergeCells count="42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8:T28"/>
    <mergeCell ref="S29:T29"/>
    <mergeCell ref="S30:T30"/>
    <mergeCell ref="L25:L26"/>
    <mergeCell ref="M25:M26"/>
    <mergeCell ref="N25:N26"/>
    <mergeCell ref="O25:O26"/>
    <mergeCell ref="P25:R25"/>
    <mergeCell ref="S25:S26"/>
    <mergeCell ref="S31:T31"/>
    <mergeCell ref="S32:T32"/>
    <mergeCell ref="S33:T33"/>
    <mergeCell ref="S34:T34"/>
    <mergeCell ref="S35:T35"/>
    <mergeCell ref="B37:C38"/>
    <mergeCell ref="D37:D38"/>
    <mergeCell ref="E37:E38"/>
    <mergeCell ref="F37:G38"/>
    <mergeCell ref="H37:H38"/>
    <mergeCell ref="P37:P38"/>
    <mergeCell ref="Q37:S37"/>
    <mergeCell ref="T37:T38"/>
    <mergeCell ref="I38:J38"/>
    <mergeCell ref="M37:M38"/>
    <mergeCell ref="N37:N38"/>
    <mergeCell ref="O37:O38"/>
    <mergeCell ref="D40:E40"/>
    <mergeCell ref="B49:D50"/>
    <mergeCell ref="E49:E50"/>
    <mergeCell ref="F49:F50"/>
    <mergeCell ref="G49:G50"/>
    <mergeCell ref="H49:I49"/>
    <mergeCell ref="I37:J37"/>
    <mergeCell ref="K37:K38"/>
    <mergeCell ref="L37:L38"/>
    <mergeCell ref="H50:I50"/>
    <mergeCell ref="H51:I51"/>
    <mergeCell ref="S52:T52"/>
    <mergeCell ref="J49:J50"/>
    <mergeCell ref="K49:K50"/>
    <mergeCell ref="L49:L50"/>
    <mergeCell ref="M49:M50"/>
    <mergeCell ref="N49:N50"/>
    <mergeCell ref="O49:O50"/>
    <mergeCell ref="S53:T53"/>
    <mergeCell ref="S54:T54"/>
    <mergeCell ref="S55:T55"/>
    <mergeCell ref="S56:T56"/>
    <mergeCell ref="S57:T57"/>
    <mergeCell ref="S58:T58"/>
    <mergeCell ref="P49:R49"/>
    <mergeCell ref="S49:S50"/>
    <mergeCell ref="T49:T50"/>
    <mergeCell ref="S59:T59"/>
    <mergeCell ref="B99:C99"/>
    <mergeCell ref="D99:E99"/>
    <mergeCell ref="H99:M99"/>
    <mergeCell ref="N61:N62"/>
    <mergeCell ref="O61:O62"/>
    <mergeCell ref="P61:P62"/>
    <mergeCell ref="Q61:S61"/>
    <mergeCell ref="T61:T62"/>
    <mergeCell ref="I62:J62"/>
    <mergeCell ref="T99:U99"/>
    <mergeCell ref="B61:C62"/>
    <mergeCell ref="D61:D62"/>
    <mergeCell ref="E61:E62"/>
    <mergeCell ref="F61:G62"/>
    <mergeCell ref="H61:H62"/>
    <mergeCell ref="I61:J61"/>
    <mergeCell ref="K61:K62"/>
    <mergeCell ref="L61:L62"/>
    <mergeCell ref="M61:M62"/>
    <mergeCell ref="T100:U100"/>
    <mergeCell ref="H101:I101"/>
    <mergeCell ref="J101:K101"/>
    <mergeCell ref="L101:M101"/>
    <mergeCell ref="T101:U101"/>
    <mergeCell ref="D64:E64"/>
    <mergeCell ref="N67:O67"/>
    <mergeCell ref="E68:F68"/>
    <mergeCell ref="H68:I68"/>
    <mergeCell ref="N68:O68"/>
    <mergeCell ref="J106:K106"/>
    <mergeCell ref="J110:K110"/>
    <mergeCell ref="J111:K111"/>
    <mergeCell ref="J112:K112"/>
    <mergeCell ref="J113:K113"/>
    <mergeCell ref="P113:Q113"/>
    <mergeCell ref="H102:I102"/>
    <mergeCell ref="J102:K102"/>
    <mergeCell ref="L102:M102"/>
    <mergeCell ref="J103:K103"/>
    <mergeCell ref="J104:K104"/>
    <mergeCell ref="J105:K105"/>
    <mergeCell ref="S126:T126"/>
    <mergeCell ref="S127:T127"/>
    <mergeCell ref="S128:T128"/>
    <mergeCell ref="S129:T129"/>
    <mergeCell ref="H132:I132"/>
    <mergeCell ref="H133:I133"/>
    <mergeCell ref="J114:K114"/>
    <mergeCell ref="A116:V117"/>
    <mergeCell ref="H121:I121"/>
    <mergeCell ref="S123:T123"/>
    <mergeCell ref="S124:T124"/>
    <mergeCell ref="S125:T125"/>
    <mergeCell ref="B187:C187"/>
    <mergeCell ref="D187:E187"/>
    <mergeCell ref="H187:M187"/>
    <mergeCell ref="E134:F134"/>
    <mergeCell ref="G143:H143"/>
    <mergeCell ref="J143:K143"/>
    <mergeCell ref="G144:H144"/>
    <mergeCell ref="J144:K144"/>
    <mergeCell ref="G145:H145"/>
    <mergeCell ref="T187:U187"/>
    <mergeCell ref="T188:U188"/>
    <mergeCell ref="H189:I189"/>
    <mergeCell ref="J189:K189"/>
    <mergeCell ref="L189:M189"/>
    <mergeCell ref="T189:U189"/>
    <mergeCell ref="G149:H149"/>
    <mergeCell ref="D152:E152"/>
    <mergeCell ref="G152:H152"/>
    <mergeCell ref="L194:M194"/>
    <mergeCell ref="J198:K198"/>
    <mergeCell ref="J199:K199"/>
    <mergeCell ref="J200:K200"/>
    <mergeCell ref="J201:K201"/>
    <mergeCell ref="P201:Q201"/>
    <mergeCell ref="H190:I190"/>
    <mergeCell ref="J190:K190"/>
    <mergeCell ref="L190:M190"/>
    <mergeCell ref="L191:M191"/>
    <mergeCell ref="L192:M192"/>
    <mergeCell ref="L193:M193"/>
    <mergeCell ref="S214:T214"/>
    <mergeCell ref="S215:T215"/>
    <mergeCell ref="S216:T216"/>
    <mergeCell ref="S217:T217"/>
    <mergeCell ref="H220:I220"/>
    <mergeCell ref="H221:I221"/>
    <mergeCell ref="J202:K202"/>
    <mergeCell ref="A204:V205"/>
    <mergeCell ref="H209:I209"/>
    <mergeCell ref="S211:T211"/>
    <mergeCell ref="S212:T212"/>
    <mergeCell ref="S213:T213"/>
    <mergeCell ref="G237:H237"/>
    <mergeCell ref="D240:E240"/>
    <mergeCell ref="G240:H240"/>
    <mergeCell ref="B275:C275"/>
    <mergeCell ref="D275:E275"/>
    <mergeCell ref="H275:M275"/>
    <mergeCell ref="E222:F222"/>
    <mergeCell ref="G231:H231"/>
    <mergeCell ref="J231:K231"/>
    <mergeCell ref="G232:H232"/>
    <mergeCell ref="J232:K232"/>
    <mergeCell ref="G233:H233"/>
    <mergeCell ref="P289:Q289"/>
    <mergeCell ref="H278:I278"/>
    <mergeCell ref="J278:K278"/>
    <mergeCell ref="L278:M278"/>
    <mergeCell ref="J279:K279"/>
    <mergeCell ref="J280:K280"/>
    <mergeCell ref="J281:K281"/>
    <mergeCell ref="T275:U275"/>
    <mergeCell ref="T276:U276"/>
    <mergeCell ref="H277:I277"/>
    <mergeCell ref="J277:K277"/>
    <mergeCell ref="L277:M277"/>
    <mergeCell ref="T277:U277"/>
    <mergeCell ref="J290:K290"/>
    <mergeCell ref="B293:D294"/>
    <mergeCell ref="E293:E294"/>
    <mergeCell ref="F293:F294"/>
    <mergeCell ref="G293:G294"/>
    <mergeCell ref="H293:I293"/>
    <mergeCell ref="J293:J294"/>
    <mergeCell ref="K293:K294"/>
    <mergeCell ref="J282:K282"/>
    <mergeCell ref="J286:K286"/>
    <mergeCell ref="J287:K287"/>
    <mergeCell ref="J288:K288"/>
    <mergeCell ref="J289:K289"/>
    <mergeCell ref="T293:T294"/>
    <mergeCell ref="H294:I294"/>
    <mergeCell ref="H295:I295"/>
    <mergeCell ref="S296:T296"/>
    <mergeCell ref="S297:T297"/>
    <mergeCell ref="S298:T298"/>
    <mergeCell ref="L293:L294"/>
    <mergeCell ref="M293:M294"/>
    <mergeCell ref="N293:N294"/>
    <mergeCell ref="O293:O294"/>
    <mergeCell ref="P293:R293"/>
    <mergeCell ref="S293:S294"/>
    <mergeCell ref="S299:T299"/>
    <mergeCell ref="S300:T300"/>
    <mergeCell ref="S301:T301"/>
    <mergeCell ref="S302:T302"/>
    <mergeCell ref="S303:T303"/>
    <mergeCell ref="B305:C306"/>
    <mergeCell ref="D305:D306"/>
    <mergeCell ref="E305:E306"/>
    <mergeCell ref="F305:G306"/>
    <mergeCell ref="H305:H306"/>
    <mergeCell ref="P305:P306"/>
    <mergeCell ref="Q305:S305"/>
    <mergeCell ref="T305:T306"/>
    <mergeCell ref="I306:J306"/>
    <mergeCell ref="M305:M306"/>
    <mergeCell ref="N305:N306"/>
    <mergeCell ref="O305:O306"/>
    <mergeCell ref="D308:E308"/>
    <mergeCell ref="B317:D318"/>
    <mergeCell ref="E317:E318"/>
    <mergeCell ref="F317:F318"/>
    <mergeCell ref="G317:G318"/>
    <mergeCell ref="H317:I317"/>
    <mergeCell ref="I305:J305"/>
    <mergeCell ref="K305:K306"/>
    <mergeCell ref="L305:L306"/>
    <mergeCell ref="H318:I318"/>
    <mergeCell ref="H319:I319"/>
    <mergeCell ref="S320:T320"/>
    <mergeCell ref="J317:J318"/>
    <mergeCell ref="K317:K318"/>
    <mergeCell ref="L317:L318"/>
    <mergeCell ref="M317:M318"/>
    <mergeCell ref="N317:N318"/>
    <mergeCell ref="O317:O318"/>
    <mergeCell ref="S321:T321"/>
    <mergeCell ref="S322:T322"/>
    <mergeCell ref="S323:T323"/>
    <mergeCell ref="S324:T324"/>
    <mergeCell ref="S325:T325"/>
    <mergeCell ref="S326:T326"/>
    <mergeCell ref="P317:R317"/>
    <mergeCell ref="S317:S318"/>
    <mergeCell ref="T317:T318"/>
    <mergeCell ref="S327:T327"/>
    <mergeCell ref="B367:C367"/>
    <mergeCell ref="D367:E367"/>
    <mergeCell ref="H367:M367"/>
    <mergeCell ref="N329:N330"/>
    <mergeCell ref="O329:O330"/>
    <mergeCell ref="P329:P330"/>
    <mergeCell ref="Q329:S329"/>
    <mergeCell ref="T329:T330"/>
    <mergeCell ref="I330:J330"/>
    <mergeCell ref="T367:U367"/>
    <mergeCell ref="B329:C330"/>
    <mergeCell ref="D329:D330"/>
    <mergeCell ref="E329:E330"/>
    <mergeCell ref="F329:G330"/>
    <mergeCell ref="H329:H330"/>
    <mergeCell ref="I329:J329"/>
    <mergeCell ref="K329:K330"/>
    <mergeCell ref="L329:L330"/>
    <mergeCell ref="M329:M330"/>
    <mergeCell ref="T368:U368"/>
    <mergeCell ref="H369:I369"/>
    <mergeCell ref="J369:K369"/>
    <mergeCell ref="L369:M369"/>
    <mergeCell ref="T369:U369"/>
    <mergeCell ref="D332:E332"/>
    <mergeCell ref="N335:O335"/>
    <mergeCell ref="E336:F336"/>
    <mergeCell ref="H336:I336"/>
    <mergeCell ref="N336:O336"/>
    <mergeCell ref="J374:K374"/>
    <mergeCell ref="J378:K378"/>
    <mergeCell ref="J379:K379"/>
    <mergeCell ref="J380:K380"/>
    <mergeCell ref="J381:K381"/>
    <mergeCell ref="P381:Q381"/>
    <mergeCell ref="H370:I370"/>
    <mergeCell ref="J370:K370"/>
    <mergeCell ref="L370:M370"/>
    <mergeCell ref="J371:K371"/>
    <mergeCell ref="J372:K372"/>
    <mergeCell ref="J373:K373"/>
    <mergeCell ref="S394:T394"/>
    <mergeCell ref="S395:T395"/>
    <mergeCell ref="S396:T396"/>
    <mergeCell ref="S397:T397"/>
    <mergeCell ref="H400:I400"/>
    <mergeCell ref="H401:I401"/>
    <mergeCell ref="J382:K382"/>
    <mergeCell ref="A384:V385"/>
    <mergeCell ref="H389:I389"/>
    <mergeCell ref="S391:T391"/>
    <mergeCell ref="S392:T392"/>
    <mergeCell ref="S393:T393"/>
    <mergeCell ref="G417:H417"/>
    <mergeCell ref="D420:E420"/>
    <mergeCell ref="G420:H420"/>
    <mergeCell ref="B455:C455"/>
    <mergeCell ref="D455:E455"/>
    <mergeCell ref="H455:M455"/>
    <mergeCell ref="E402:F402"/>
    <mergeCell ref="G411:H411"/>
    <mergeCell ref="J411:K411"/>
    <mergeCell ref="G412:H412"/>
    <mergeCell ref="J412:K412"/>
    <mergeCell ref="G413:H413"/>
    <mergeCell ref="H458:I458"/>
    <mergeCell ref="J458:K458"/>
    <mergeCell ref="L458:M458"/>
    <mergeCell ref="L459:M459"/>
    <mergeCell ref="L460:M460"/>
    <mergeCell ref="L461:M461"/>
    <mergeCell ref="T455:U455"/>
    <mergeCell ref="T456:U456"/>
    <mergeCell ref="H457:I457"/>
    <mergeCell ref="J457:K457"/>
    <mergeCell ref="L457:M457"/>
    <mergeCell ref="T457:U457"/>
    <mergeCell ref="J470:K470"/>
    <mergeCell ref="A472:V473"/>
    <mergeCell ref="H477:I477"/>
    <mergeCell ref="S479:T479"/>
    <mergeCell ref="S480:T480"/>
    <mergeCell ref="S481:T481"/>
    <mergeCell ref="L462:M462"/>
    <mergeCell ref="J466:K466"/>
    <mergeCell ref="J467:K467"/>
    <mergeCell ref="J468:K468"/>
    <mergeCell ref="J469:K469"/>
    <mergeCell ref="P469:Q469"/>
    <mergeCell ref="E490:F490"/>
    <mergeCell ref="G499:H499"/>
    <mergeCell ref="J499:K499"/>
    <mergeCell ref="G500:H500"/>
    <mergeCell ref="J500:K500"/>
    <mergeCell ref="G501:H501"/>
    <mergeCell ref="S482:T482"/>
    <mergeCell ref="S483:T483"/>
    <mergeCell ref="S484:T484"/>
    <mergeCell ref="S485:T485"/>
    <mergeCell ref="H488:I488"/>
    <mergeCell ref="H489:I489"/>
    <mergeCell ref="K544:L547"/>
    <mergeCell ref="M544:N547"/>
    <mergeCell ref="O544:P547"/>
    <mergeCell ref="Q544:R547"/>
    <mergeCell ref="S544:V547"/>
    <mergeCell ref="G505:H505"/>
    <mergeCell ref="D508:E508"/>
    <mergeCell ref="G508:H508"/>
    <mergeCell ref="A544:C547"/>
    <mergeCell ref="D544:F547"/>
    <mergeCell ref="G544:H547"/>
    <mergeCell ref="A548:A550"/>
    <mergeCell ref="B548:C550"/>
    <mergeCell ref="D548:E548"/>
    <mergeCell ref="F548:F550"/>
    <mergeCell ref="G548:G550"/>
    <mergeCell ref="H548:H550"/>
    <mergeCell ref="D549:E549"/>
    <mergeCell ref="D550:E550"/>
    <mergeCell ref="I544:J547"/>
    <mergeCell ref="K550:L550"/>
    <mergeCell ref="M550:N550"/>
    <mergeCell ref="O550:P550"/>
    <mergeCell ref="S550:V550"/>
    <mergeCell ref="I548:J550"/>
    <mergeCell ref="K548:L548"/>
    <mergeCell ref="M548:N548"/>
    <mergeCell ref="O548:P548"/>
    <mergeCell ref="Q548:R550"/>
    <mergeCell ref="S548:V548"/>
    <mergeCell ref="K549:L549"/>
    <mergeCell ref="M549:N549"/>
    <mergeCell ref="O549:P549"/>
    <mergeCell ref="S549:V549"/>
  </mergeCells>
  <conditionalFormatting sqref="G153 G241">
    <cfRule type="cellIs" dxfId="26" priority="4" stopIfTrue="1" operator="equal">
      <formula>"Under Dimentioned"</formula>
    </cfRule>
  </conditionalFormatting>
  <conditionalFormatting sqref="G421 G509">
    <cfRule type="cellIs" dxfId="25" priority="2" stopIfTrue="1" operator="equal">
      <formula>"Under Dimentioned"</formula>
    </cfRule>
  </conditionalFormatting>
  <conditionalFormatting sqref="H70">
    <cfRule type="cellIs" dxfId="24" priority="3" stopIfTrue="1" operator="equal">
      <formula>"Under Dimentioned"</formula>
    </cfRule>
  </conditionalFormatting>
  <conditionalFormatting sqref="H338">
    <cfRule type="cellIs" dxfId="23" priority="1" stopIfTrue="1" operator="equal">
      <formula>"Under Dimentioned"</formula>
    </cfRule>
  </conditionalFormatting>
  <dataValidations disablePrompts="1" count="1">
    <dataValidation type="list" allowBlank="1" showInputMessage="1" showErrorMessage="1" sqref="D187 IZ187 SV187 ACR187 AMN187 AWJ187 BGF187 BQB187 BZX187 CJT187 CTP187 DDL187 DNH187 DXD187 EGZ187 EQV187 FAR187 FKN187 FUJ187 GEF187 GOB187 GXX187 HHT187 HRP187 IBL187 ILH187 IVD187 JEZ187 JOV187 JYR187 KIN187 KSJ187 LCF187 LMB187 LVX187 MFT187 MPP187 MZL187 NJH187 NTD187 OCZ187 OMV187 OWR187 PGN187 PQJ187 QAF187 QKB187 QTX187 RDT187 RNP187 RXL187 SHH187 SRD187 TAZ187 TKV187 TUR187 UEN187 UOJ187 UYF187 VIB187 VRX187 WBT187 WLP187 WVL187 D65987 IZ65987 SV65987 ACR65987 AMN65987 AWJ65987 BGF65987 BQB65987 BZX65987 CJT65987 CTP65987 DDL65987 DNH65987 DXD65987 EGZ65987 EQV65987 FAR65987 FKN65987 FUJ65987 GEF65987 GOB65987 GXX65987 HHT65987 HRP65987 IBL65987 ILH65987 IVD65987 JEZ65987 JOV65987 JYR65987 KIN65987 KSJ65987 LCF65987 LMB65987 LVX65987 MFT65987 MPP65987 MZL65987 NJH65987 NTD65987 OCZ65987 OMV65987 OWR65987 PGN65987 PQJ65987 QAF65987 QKB65987 QTX65987 RDT65987 RNP65987 RXL65987 SHH65987 SRD65987 TAZ65987 TKV65987 TUR65987 UEN65987 UOJ65987 UYF65987 VIB65987 VRX65987 WBT65987 WLP65987 WVL65987 D131523 IZ131523 SV131523 ACR131523 AMN131523 AWJ131523 BGF131523 BQB131523 BZX131523 CJT131523 CTP131523 DDL131523 DNH131523 DXD131523 EGZ131523 EQV131523 FAR131523 FKN131523 FUJ131523 GEF131523 GOB131523 GXX131523 HHT131523 HRP131523 IBL131523 ILH131523 IVD131523 JEZ131523 JOV131523 JYR131523 KIN131523 KSJ131523 LCF131523 LMB131523 LVX131523 MFT131523 MPP131523 MZL131523 NJH131523 NTD131523 OCZ131523 OMV131523 OWR131523 PGN131523 PQJ131523 QAF131523 QKB131523 QTX131523 RDT131523 RNP131523 RXL131523 SHH131523 SRD131523 TAZ131523 TKV131523 TUR131523 UEN131523 UOJ131523 UYF131523 VIB131523 VRX131523 WBT131523 WLP131523 WVL131523 D197059 IZ197059 SV197059 ACR197059 AMN197059 AWJ197059 BGF197059 BQB197059 BZX197059 CJT197059 CTP197059 DDL197059 DNH197059 DXD197059 EGZ197059 EQV197059 FAR197059 FKN197059 FUJ197059 GEF197059 GOB197059 GXX197059 HHT197059 HRP197059 IBL197059 ILH197059 IVD197059 JEZ197059 JOV197059 JYR197059 KIN197059 KSJ197059 LCF197059 LMB197059 LVX197059 MFT197059 MPP197059 MZL197059 NJH197059 NTD197059 OCZ197059 OMV197059 OWR197059 PGN197059 PQJ197059 QAF197059 QKB197059 QTX197059 RDT197059 RNP197059 RXL197059 SHH197059 SRD197059 TAZ197059 TKV197059 TUR197059 UEN197059 UOJ197059 UYF197059 VIB197059 VRX197059 WBT197059 WLP197059 WVL197059 D262595 IZ262595 SV262595 ACR262595 AMN262595 AWJ262595 BGF262595 BQB262595 BZX262595 CJT262595 CTP262595 DDL262595 DNH262595 DXD262595 EGZ262595 EQV262595 FAR262595 FKN262595 FUJ262595 GEF262595 GOB262595 GXX262595 HHT262595 HRP262595 IBL262595 ILH262595 IVD262595 JEZ262595 JOV262595 JYR262595 KIN262595 KSJ262595 LCF262595 LMB262595 LVX262595 MFT262595 MPP262595 MZL262595 NJH262595 NTD262595 OCZ262595 OMV262595 OWR262595 PGN262595 PQJ262595 QAF262595 QKB262595 QTX262595 RDT262595 RNP262595 RXL262595 SHH262595 SRD262595 TAZ262595 TKV262595 TUR262595 UEN262595 UOJ262595 UYF262595 VIB262595 VRX262595 WBT262595 WLP262595 WVL262595 D328131 IZ328131 SV328131 ACR328131 AMN328131 AWJ328131 BGF328131 BQB328131 BZX328131 CJT328131 CTP328131 DDL328131 DNH328131 DXD328131 EGZ328131 EQV328131 FAR328131 FKN328131 FUJ328131 GEF328131 GOB328131 GXX328131 HHT328131 HRP328131 IBL328131 ILH328131 IVD328131 JEZ328131 JOV328131 JYR328131 KIN328131 KSJ328131 LCF328131 LMB328131 LVX328131 MFT328131 MPP328131 MZL328131 NJH328131 NTD328131 OCZ328131 OMV328131 OWR328131 PGN328131 PQJ328131 QAF328131 QKB328131 QTX328131 RDT328131 RNP328131 RXL328131 SHH328131 SRD328131 TAZ328131 TKV328131 TUR328131 UEN328131 UOJ328131 UYF328131 VIB328131 VRX328131 WBT328131 WLP328131 WVL328131 D393667 IZ393667 SV393667 ACR393667 AMN393667 AWJ393667 BGF393667 BQB393667 BZX393667 CJT393667 CTP393667 DDL393667 DNH393667 DXD393667 EGZ393667 EQV393667 FAR393667 FKN393667 FUJ393667 GEF393667 GOB393667 GXX393667 HHT393667 HRP393667 IBL393667 ILH393667 IVD393667 JEZ393667 JOV393667 JYR393667 KIN393667 KSJ393667 LCF393667 LMB393667 LVX393667 MFT393667 MPP393667 MZL393667 NJH393667 NTD393667 OCZ393667 OMV393667 OWR393667 PGN393667 PQJ393667 QAF393667 QKB393667 QTX393667 RDT393667 RNP393667 RXL393667 SHH393667 SRD393667 TAZ393667 TKV393667 TUR393667 UEN393667 UOJ393667 UYF393667 VIB393667 VRX393667 WBT393667 WLP393667 WVL393667 D459203 IZ459203 SV459203 ACR459203 AMN459203 AWJ459203 BGF459203 BQB459203 BZX459203 CJT459203 CTP459203 DDL459203 DNH459203 DXD459203 EGZ459203 EQV459203 FAR459203 FKN459203 FUJ459203 GEF459203 GOB459203 GXX459203 HHT459203 HRP459203 IBL459203 ILH459203 IVD459203 JEZ459203 JOV459203 JYR459203 KIN459203 KSJ459203 LCF459203 LMB459203 LVX459203 MFT459203 MPP459203 MZL459203 NJH459203 NTD459203 OCZ459203 OMV459203 OWR459203 PGN459203 PQJ459203 QAF459203 QKB459203 QTX459203 RDT459203 RNP459203 RXL459203 SHH459203 SRD459203 TAZ459203 TKV459203 TUR459203 UEN459203 UOJ459203 UYF459203 VIB459203 VRX459203 WBT459203 WLP459203 WVL459203 D524739 IZ524739 SV524739 ACR524739 AMN524739 AWJ524739 BGF524739 BQB524739 BZX524739 CJT524739 CTP524739 DDL524739 DNH524739 DXD524739 EGZ524739 EQV524739 FAR524739 FKN524739 FUJ524739 GEF524739 GOB524739 GXX524739 HHT524739 HRP524739 IBL524739 ILH524739 IVD524739 JEZ524739 JOV524739 JYR524739 KIN524739 KSJ524739 LCF524739 LMB524739 LVX524739 MFT524739 MPP524739 MZL524739 NJH524739 NTD524739 OCZ524739 OMV524739 OWR524739 PGN524739 PQJ524739 QAF524739 QKB524739 QTX524739 RDT524739 RNP524739 RXL524739 SHH524739 SRD524739 TAZ524739 TKV524739 TUR524739 UEN524739 UOJ524739 UYF524739 VIB524739 VRX524739 WBT524739 WLP524739 WVL524739 D590275 IZ590275 SV590275 ACR590275 AMN590275 AWJ590275 BGF590275 BQB590275 BZX590275 CJT590275 CTP590275 DDL590275 DNH590275 DXD590275 EGZ590275 EQV590275 FAR590275 FKN590275 FUJ590275 GEF590275 GOB590275 GXX590275 HHT590275 HRP590275 IBL590275 ILH590275 IVD590275 JEZ590275 JOV590275 JYR590275 KIN590275 KSJ590275 LCF590275 LMB590275 LVX590275 MFT590275 MPP590275 MZL590275 NJH590275 NTD590275 OCZ590275 OMV590275 OWR590275 PGN590275 PQJ590275 QAF590275 QKB590275 QTX590275 RDT590275 RNP590275 RXL590275 SHH590275 SRD590275 TAZ590275 TKV590275 TUR590275 UEN590275 UOJ590275 UYF590275 VIB590275 VRX590275 WBT590275 WLP590275 WVL590275 D655811 IZ655811 SV655811 ACR655811 AMN655811 AWJ655811 BGF655811 BQB655811 BZX655811 CJT655811 CTP655811 DDL655811 DNH655811 DXD655811 EGZ655811 EQV655811 FAR655811 FKN655811 FUJ655811 GEF655811 GOB655811 GXX655811 HHT655811 HRP655811 IBL655811 ILH655811 IVD655811 JEZ655811 JOV655811 JYR655811 KIN655811 KSJ655811 LCF655811 LMB655811 LVX655811 MFT655811 MPP655811 MZL655811 NJH655811 NTD655811 OCZ655811 OMV655811 OWR655811 PGN655811 PQJ655811 QAF655811 QKB655811 QTX655811 RDT655811 RNP655811 RXL655811 SHH655811 SRD655811 TAZ655811 TKV655811 TUR655811 UEN655811 UOJ655811 UYF655811 VIB655811 VRX655811 WBT655811 WLP655811 WVL655811 D721347 IZ721347 SV721347 ACR721347 AMN721347 AWJ721347 BGF721347 BQB721347 BZX721347 CJT721347 CTP721347 DDL721347 DNH721347 DXD721347 EGZ721347 EQV721347 FAR721347 FKN721347 FUJ721347 GEF721347 GOB721347 GXX721347 HHT721347 HRP721347 IBL721347 ILH721347 IVD721347 JEZ721347 JOV721347 JYR721347 KIN721347 KSJ721347 LCF721347 LMB721347 LVX721347 MFT721347 MPP721347 MZL721347 NJH721347 NTD721347 OCZ721347 OMV721347 OWR721347 PGN721347 PQJ721347 QAF721347 QKB721347 QTX721347 RDT721347 RNP721347 RXL721347 SHH721347 SRD721347 TAZ721347 TKV721347 TUR721347 UEN721347 UOJ721347 UYF721347 VIB721347 VRX721347 WBT721347 WLP721347 WVL721347 D786883 IZ786883 SV786883 ACR786883 AMN786883 AWJ786883 BGF786883 BQB786883 BZX786883 CJT786883 CTP786883 DDL786883 DNH786883 DXD786883 EGZ786883 EQV786883 FAR786883 FKN786883 FUJ786883 GEF786883 GOB786883 GXX786883 HHT786883 HRP786883 IBL786883 ILH786883 IVD786883 JEZ786883 JOV786883 JYR786883 KIN786883 KSJ786883 LCF786883 LMB786883 LVX786883 MFT786883 MPP786883 MZL786883 NJH786883 NTD786883 OCZ786883 OMV786883 OWR786883 PGN786883 PQJ786883 QAF786883 QKB786883 QTX786883 RDT786883 RNP786883 RXL786883 SHH786883 SRD786883 TAZ786883 TKV786883 TUR786883 UEN786883 UOJ786883 UYF786883 VIB786883 VRX786883 WBT786883 WLP786883 WVL786883 D852419 IZ852419 SV852419 ACR852419 AMN852419 AWJ852419 BGF852419 BQB852419 BZX852419 CJT852419 CTP852419 DDL852419 DNH852419 DXD852419 EGZ852419 EQV852419 FAR852419 FKN852419 FUJ852419 GEF852419 GOB852419 GXX852419 HHT852419 HRP852419 IBL852419 ILH852419 IVD852419 JEZ852419 JOV852419 JYR852419 KIN852419 KSJ852419 LCF852419 LMB852419 LVX852419 MFT852419 MPP852419 MZL852419 NJH852419 NTD852419 OCZ852419 OMV852419 OWR852419 PGN852419 PQJ852419 QAF852419 QKB852419 QTX852419 RDT852419 RNP852419 RXL852419 SHH852419 SRD852419 TAZ852419 TKV852419 TUR852419 UEN852419 UOJ852419 UYF852419 VIB852419 VRX852419 WBT852419 WLP852419 WVL852419 D917955 IZ917955 SV917955 ACR917955 AMN917955 AWJ917955 BGF917955 BQB917955 BZX917955 CJT917955 CTP917955 DDL917955 DNH917955 DXD917955 EGZ917955 EQV917955 FAR917955 FKN917955 FUJ917955 GEF917955 GOB917955 GXX917955 HHT917955 HRP917955 IBL917955 ILH917955 IVD917955 JEZ917955 JOV917955 JYR917955 KIN917955 KSJ917955 LCF917955 LMB917955 LVX917955 MFT917955 MPP917955 MZL917955 NJH917955 NTD917955 OCZ917955 OMV917955 OWR917955 PGN917955 PQJ917955 QAF917955 QKB917955 QTX917955 RDT917955 RNP917955 RXL917955 SHH917955 SRD917955 TAZ917955 TKV917955 TUR917955 UEN917955 UOJ917955 UYF917955 VIB917955 VRX917955 WBT917955 WLP917955 WVL917955 D983491 IZ983491 SV983491 ACR983491 AMN983491 AWJ983491 BGF983491 BQB983491 BZX983491 CJT983491 CTP983491 DDL983491 DNH983491 DXD983491 EGZ983491 EQV983491 FAR983491 FKN983491 FUJ983491 GEF983491 GOB983491 GXX983491 HHT983491 HRP983491 IBL983491 ILH983491 IVD983491 JEZ983491 JOV983491 JYR983491 KIN983491 KSJ983491 LCF983491 LMB983491 LVX983491 MFT983491 MPP983491 MZL983491 NJH983491 NTD983491 OCZ983491 OMV983491 OWR983491 PGN983491 PQJ983491 QAF983491 QKB983491 QTX983491 RDT983491 RNP983491 RXL983491 SHH983491 SRD983491 TAZ983491 TKV983491 TUR983491 UEN983491 UOJ983491 UYF983491 VIB983491 VRX983491 WBT983491 WLP983491 WVL983491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816 IZ65816 SV65816 ACR65816 AMN65816 AWJ65816 BGF65816 BQB65816 BZX65816 CJT65816 CTP65816 DDL65816 DNH65816 DXD65816 EGZ65816 EQV65816 FAR65816 FKN65816 FUJ65816 GEF65816 GOB65816 GXX65816 HHT65816 HRP65816 IBL65816 ILH65816 IVD65816 JEZ65816 JOV65816 JYR65816 KIN65816 KSJ65816 LCF65816 LMB65816 LVX65816 MFT65816 MPP65816 MZL65816 NJH65816 NTD65816 OCZ65816 OMV65816 OWR65816 PGN65816 PQJ65816 QAF65816 QKB65816 QTX65816 RDT65816 RNP65816 RXL65816 SHH65816 SRD65816 TAZ65816 TKV65816 TUR65816 UEN65816 UOJ65816 UYF65816 VIB65816 VRX65816 WBT65816 WLP65816 WVL65816 D131352 IZ131352 SV131352 ACR131352 AMN131352 AWJ131352 BGF131352 BQB131352 BZX131352 CJT131352 CTP131352 DDL131352 DNH131352 DXD131352 EGZ131352 EQV131352 FAR131352 FKN131352 FUJ131352 GEF131352 GOB131352 GXX131352 HHT131352 HRP131352 IBL131352 ILH131352 IVD131352 JEZ131352 JOV131352 JYR131352 KIN131352 KSJ131352 LCF131352 LMB131352 LVX131352 MFT131352 MPP131352 MZL131352 NJH131352 NTD131352 OCZ131352 OMV131352 OWR131352 PGN131352 PQJ131352 QAF131352 QKB131352 QTX131352 RDT131352 RNP131352 RXL131352 SHH131352 SRD131352 TAZ131352 TKV131352 TUR131352 UEN131352 UOJ131352 UYF131352 VIB131352 VRX131352 WBT131352 WLP131352 WVL131352 D196888 IZ196888 SV196888 ACR196888 AMN196888 AWJ196888 BGF196888 BQB196888 BZX196888 CJT196888 CTP196888 DDL196888 DNH196888 DXD196888 EGZ196888 EQV196888 FAR196888 FKN196888 FUJ196888 GEF196888 GOB196888 GXX196888 HHT196888 HRP196888 IBL196888 ILH196888 IVD196888 JEZ196888 JOV196888 JYR196888 KIN196888 KSJ196888 LCF196888 LMB196888 LVX196888 MFT196888 MPP196888 MZL196888 NJH196888 NTD196888 OCZ196888 OMV196888 OWR196888 PGN196888 PQJ196888 QAF196888 QKB196888 QTX196888 RDT196888 RNP196888 RXL196888 SHH196888 SRD196888 TAZ196888 TKV196888 TUR196888 UEN196888 UOJ196888 UYF196888 VIB196888 VRX196888 WBT196888 WLP196888 WVL196888 D262424 IZ262424 SV262424 ACR262424 AMN262424 AWJ262424 BGF262424 BQB262424 BZX262424 CJT262424 CTP262424 DDL262424 DNH262424 DXD262424 EGZ262424 EQV262424 FAR262424 FKN262424 FUJ262424 GEF262424 GOB262424 GXX262424 HHT262424 HRP262424 IBL262424 ILH262424 IVD262424 JEZ262424 JOV262424 JYR262424 KIN262424 KSJ262424 LCF262424 LMB262424 LVX262424 MFT262424 MPP262424 MZL262424 NJH262424 NTD262424 OCZ262424 OMV262424 OWR262424 PGN262424 PQJ262424 QAF262424 QKB262424 QTX262424 RDT262424 RNP262424 RXL262424 SHH262424 SRD262424 TAZ262424 TKV262424 TUR262424 UEN262424 UOJ262424 UYF262424 VIB262424 VRX262424 WBT262424 WLP262424 WVL262424 D327960 IZ327960 SV327960 ACR327960 AMN327960 AWJ327960 BGF327960 BQB327960 BZX327960 CJT327960 CTP327960 DDL327960 DNH327960 DXD327960 EGZ327960 EQV327960 FAR327960 FKN327960 FUJ327960 GEF327960 GOB327960 GXX327960 HHT327960 HRP327960 IBL327960 ILH327960 IVD327960 JEZ327960 JOV327960 JYR327960 KIN327960 KSJ327960 LCF327960 LMB327960 LVX327960 MFT327960 MPP327960 MZL327960 NJH327960 NTD327960 OCZ327960 OMV327960 OWR327960 PGN327960 PQJ327960 QAF327960 QKB327960 QTX327960 RDT327960 RNP327960 RXL327960 SHH327960 SRD327960 TAZ327960 TKV327960 TUR327960 UEN327960 UOJ327960 UYF327960 VIB327960 VRX327960 WBT327960 WLP327960 WVL327960 D393496 IZ393496 SV393496 ACR393496 AMN393496 AWJ393496 BGF393496 BQB393496 BZX393496 CJT393496 CTP393496 DDL393496 DNH393496 DXD393496 EGZ393496 EQV393496 FAR393496 FKN393496 FUJ393496 GEF393496 GOB393496 GXX393496 HHT393496 HRP393496 IBL393496 ILH393496 IVD393496 JEZ393496 JOV393496 JYR393496 KIN393496 KSJ393496 LCF393496 LMB393496 LVX393496 MFT393496 MPP393496 MZL393496 NJH393496 NTD393496 OCZ393496 OMV393496 OWR393496 PGN393496 PQJ393496 QAF393496 QKB393496 QTX393496 RDT393496 RNP393496 RXL393496 SHH393496 SRD393496 TAZ393496 TKV393496 TUR393496 UEN393496 UOJ393496 UYF393496 VIB393496 VRX393496 WBT393496 WLP393496 WVL393496 D459032 IZ459032 SV459032 ACR459032 AMN459032 AWJ459032 BGF459032 BQB459032 BZX459032 CJT459032 CTP459032 DDL459032 DNH459032 DXD459032 EGZ459032 EQV459032 FAR459032 FKN459032 FUJ459032 GEF459032 GOB459032 GXX459032 HHT459032 HRP459032 IBL459032 ILH459032 IVD459032 JEZ459032 JOV459032 JYR459032 KIN459032 KSJ459032 LCF459032 LMB459032 LVX459032 MFT459032 MPP459032 MZL459032 NJH459032 NTD459032 OCZ459032 OMV459032 OWR459032 PGN459032 PQJ459032 QAF459032 QKB459032 QTX459032 RDT459032 RNP459032 RXL459032 SHH459032 SRD459032 TAZ459032 TKV459032 TUR459032 UEN459032 UOJ459032 UYF459032 VIB459032 VRX459032 WBT459032 WLP459032 WVL459032 D524568 IZ524568 SV524568 ACR524568 AMN524568 AWJ524568 BGF524568 BQB524568 BZX524568 CJT524568 CTP524568 DDL524568 DNH524568 DXD524568 EGZ524568 EQV524568 FAR524568 FKN524568 FUJ524568 GEF524568 GOB524568 GXX524568 HHT524568 HRP524568 IBL524568 ILH524568 IVD524568 JEZ524568 JOV524568 JYR524568 KIN524568 KSJ524568 LCF524568 LMB524568 LVX524568 MFT524568 MPP524568 MZL524568 NJH524568 NTD524568 OCZ524568 OMV524568 OWR524568 PGN524568 PQJ524568 QAF524568 QKB524568 QTX524568 RDT524568 RNP524568 RXL524568 SHH524568 SRD524568 TAZ524568 TKV524568 TUR524568 UEN524568 UOJ524568 UYF524568 VIB524568 VRX524568 WBT524568 WLP524568 WVL524568 D590104 IZ590104 SV590104 ACR590104 AMN590104 AWJ590104 BGF590104 BQB590104 BZX590104 CJT590104 CTP590104 DDL590104 DNH590104 DXD590104 EGZ590104 EQV590104 FAR590104 FKN590104 FUJ590104 GEF590104 GOB590104 GXX590104 HHT590104 HRP590104 IBL590104 ILH590104 IVD590104 JEZ590104 JOV590104 JYR590104 KIN590104 KSJ590104 LCF590104 LMB590104 LVX590104 MFT590104 MPP590104 MZL590104 NJH590104 NTD590104 OCZ590104 OMV590104 OWR590104 PGN590104 PQJ590104 QAF590104 QKB590104 QTX590104 RDT590104 RNP590104 RXL590104 SHH590104 SRD590104 TAZ590104 TKV590104 TUR590104 UEN590104 UOJ590104 UYF590104 VIB590104 VRX590104 WBT590104 WLP590104 WVL590104 D655640 IZ655640 SV655640 ACR655640 AMN655640 AWJ655640 BGF655640 BQB655640 BZX655640 CJT655640 CTP655640 DDL655640 DNH655640 DXD655640 EGZ655640 EQV655640 FAR655640 FKN655640 FUJ655640 GEF655640 GOB655640 GXX655640 HHT655640 HRP655640 IBL655640 ILH655640 IVD655640 JEZ655640 JOV655640 JYR655640 KIN655640 KSJ655640 LCF655640 LMB655640 LVX655640 MFT655640 MPP655640 MZL655640 NJH655640 NTD655640 OCZ655640 OMV655640 OWR655640 PGN655640 PQJ655640 QAF655640 QKB655640 QTX655640 RDT655640 RNP655640 RXL655640 SHH655640 SRD655640 TAZ655640 TKV655640 TUR655640 UEN655640 UOJ655640 UYF655640 VIB655640 VRX655640 WBT655640 WLP655640 WVL655640 D721176 IZ721176 SV721176 ACR721176 AMN721176 AWJ721176 BGF721176 BQB721176 BZX721176 CJT721176 CTP721176 DDL721176 DNH721176 DXD721176 EGZ721176 EQV721176 FAR721176 FKN721176 FUJ721176 GEF721176 GOB721176 GXX721176 HHT721176 HRP721176 IBL721176 ILH721176 IVD721176 JEZ721176 JOV721176 JYR721176 KIN721176 KSJ721176 LCF721176 LMB721176 LVX721176 MFT721176 MPP721176 MZL721176 NJH721176 NTD721176 OCZ721176 OMV721176 OWR721176 PGN721176 PQJ721176 QAF721176 QKB721176 QTX721176 RDT721176 RNP721176 RXL721176 SHH721176 SRD721176 TAZ721176 TKV721176 TUR721176 UEN721176 UOJ721176 UYF721176 VIB721176 VRX721176 WBT721176 WLP721176 WVL721176 D786712 IZ786712 SV786712 ACR786712 AMN786712 AWJ786712 BGF786712 BQB786712 BZX786712 CJT786712 CTP786712 DDL786712 DNH786712 DXD786712 EGZ786712 EQV786712 FAR786712 FKN786712 FUJ786712 GEF786712 GOB786712 GXX786712 HHT786712 HRP786712 IBL786712 ILH786712 IVD786712 JEZ786712 JOV786712 JYR786712 KIN786712 KSJ786712 LCF786712 LMB786712 LVX786712 MFT786712 MPP786712 MZL786712 NJH786712 NTD786712 OCZ786712 OMV786712 OWR786712 PGN786712 PQJ786712 QAF786712 QKB786712 QTX786712 RDT786712 RNP786712 RXL786712 SHH786712 SRD786712 TAZ786712 TKV786712 TUR786712 UEN786712 UOJ786712 UYF786712 VIB786712 VRX786712 WBT786712 WLP786712 WVL786712 D852248 IZ852248 SV852248 ACR852248 AMN852248 AWJ852248 BGF852248 BQB852248 BZX852248 CJT852248 CTP852248 DDL852248 DNH852248 DXD852248 EGZ852248 EQV852248 FAR852248 FKN852248 FUJ852248 GEF852248 GOB852248 GXX852248 HHT852248 HRP852248 IBL852248 ILH852248 IVD852248 JEZ852248 JOV852248 JYR852248 KIN852248 KSJ852248 LCF852248 LMB852248 LVX852248 MFT852248 MPP852248 MZL852248 NJH852248 NTD852248 OCZ852248 OMV852248 OWR852248 PGN852248 PQJ852248 QAF852248 QKB852248 QTX852248 RDT852248 RNP852248 RXL852248 SHH852248 SRD852248 TAZ852248 TKV852248 TUR852248 UEN852248 UOJ852248 UYF852248 VIB852248 VRX852248 WBT852248 WLP852248 WVL852248 D917784 IZ917784 SV917784 ACR917784 AMN917784 AWJ917784 BGF917784 BQB917784 BZX917784 CJT917784 CTP917784 DDL917784 DNH917784 DXD917784 EGZ917784 EQV917784 FAR917784 FKN917784 FUJ917784 GEF917784 GOB917784 GXX917784 HHT917784 HRP917784 IBL917784 ILH917784 IVD917784 JEZ917784 JOV917784 JYR917784 KIN917784 KSJ917784 LCF917784 LMB917784 LVX917784 MFT917784 MPP917784 MZL917784 NJH917784 NTD917784 OCZ917784 OMV917784 OWR917784 PGN917784 PQJ917784 QAF917784 QKB917784 QTX917784 RDT917784 RNP917784 RXL917784 SHH917784 SRD917784 TAZ917784 TKV917784 TUR917784 UEN917784 UOJ917784 UYF917784 VIB917784 VRX917784 WBT917784 WLP917784 WVL917784 D983320 IZ983320 SV983320 ACR983320 AMN983320 AWJ983320 BGF983320 BQB983320 BZX983320 CJT983320 CTP983320 DDL983320 DNH983320 DXD983320 EGZ983320 EQV983320 FAR983320 FKN983320 FUJ983320 GEF983320 GOB983320 GXX983320 HHT983320 HRP983320 IBL983320 ILH983320 IVD983320 JEZ983320 JOV983320 JYR983320 KIN983320 KSJ983320 LCF983320 LMB983320 LVX983320 MFT983320 MPP983320 MZL983320 NJH983320 NTD983320 OCZ983320 OMV983320 OWR983320 PGN983320 PQJ983320 QAF983320 QKB983320 QTX983320 RDT983320 RNP983320 RXL983320 SHH983320 SRD983320 TAZ983320 TKV983320 TUR983320 UEN983320 UOJ983320 UYF983320 VIB983320 VRX983320 WBT983320 WLP983320 WVL983320 D99 IZ99 SV99 ACR99 AMN99 AWJ99 BGF99 BQB99 BZX99 CJT99 CTP99 DDL99 DNH99 DXD99 EGZ99 EQV99 FAR99 FKN99 FUJ99 GEF99 GOB99 GXX99 HHT99 HRP99 IBL99 ILH99 IVD99 JEZ99 JOV99 JYR99 KIN99 KSJ99 LCF99 LMB99 LVX99 MFT99 MPP99 MZL99 NJH99 NTD99 OCZ99 OMV99 OWR99 PGN99 PQJ99 QAF99 QKB99 QTX99 RDT99 RNP99 RXL99 SHH99 SRD99 TAZ99 TKV99 TUR99 UEN99 UOJ99 UYF99 VIB99 VRX99 WBT99 WLP99 WVL99 D65899 IZ65899 SV65899 ACR65899 AMN65899 AWJ65899 BGF65899 BQB65899 BZX65899 CJT65899 CTP65899 DDL65899 DNH65899 DXD65899 EGZ65899 EQV65899 FAR65899 FKN65899 FUJ65899 GEF65899 GOB65899 GXX65899 HHT65899 HRP65899 IBL65899 ILH65899 IVD65899 JEZ65899 JOV65899 JYR65899 KIN65899 KSJ65899 LCF65899 LMB65899 LVX65899 MFT65899 MPP65899 MZL65899 NJH65899 NTD65899 OCZ65899 OMV65899 OWR65899 PGN65899 PQJ65899 QAF65899 QKB65899 QTX65899 RDT65899 RNP65899 RXL65899 SHH65899 SRD65899 TAZ65899 TKV65899 TUR65899 UEN65899 UOJ65899 UYF65899 VIB65899 VRX65899 WBT65899 WLP65899 WVL65899 D131435 IZ131435 SV131435 ACR131435 AMN131435 AWJ131435 BGF131435 BQB131435 BZX131435 CJT131435 CTP131435 DDL131435 DNH131435 DXD131435 EGZ131435 EQV131435 FAR131435 FKN131435 FUJ131435 GEF131435 GOB131435 GXX131435 HHT131435 HRP131435 IBL131435 ILH131435 IVD131435 JEZ131435 JOV131435 JYR131435 KIN131435 KSJ131435 LCF131435 LMB131435 LVX131435 MFT131435 MPP131435 MZL131435 NJH131435 NTD131435 OCZ131435 OMV131435 OWR131435 PGN131435 PQJ131435 QAF131435 QKB131435 QTX131435 RDT131435 RNP131435 RXL131435 SHH131435 SRD131435 TAZ131435 TKV131435 TUR131435 UEN131435 UOJ131435 UYF131435 VIB131435 VRX131435 WBT131435 WLP131435 WVL131435 D196971 IZ196971 SV196971 ACR196971 AMN196971 AWJ196971 BGF196971 BQB196971 BZX196971 CJT196971 CTP196971 DDL196971 DNH196971 DXD196971 EGZ196971 EQV196971 FAR196971 FKN196971 FUJ196971 GEF196971 GOB196971 GXX196971 HHT196971 HRP196971 IBL196971 ILH196971 IVD196971 JEZ196971 JOV196971 JYR196971 KIN196971 KSJ196971 LCF196971 LMB196971 LVX196971 MFT196971 MPP196971 MZL196971 NJH196971 NTD196971 OCZ196971 OMV196971 OWR196971 PGN196971 PQJ196971 QAF196971 QKB196971 QTX196971 RDT196971 RNP196971 RXL196971 SHH196971 SRD196971 TAZ196971 TKV196971 TUR196971 UEN196971 UOJ196971 UYF196971 VIB196971 VRX196971 WBT196971 WLP196971 WVL196971 D262507 IZ262507 SV262507 ACR262507 AMN262507 AWJ262507 BGF262507 BQB262507 BZX262507 CJT262507 CTP262507 DDL262507 DNH262507 DXD262507 EGZ262507 EQV262507 FAR262507 FKN262507 FUJ262507 GEF262507 GOB262507 GXX262507 HHT262507 HRP262507 IBL262507 ILH262507 IVD262507 JEZ262507 JOV262507 JYR262507 KIN262507 KSJ262507 LCF262507 LMB262507 LVX262507 MFT262507 MPP262507 MZL262507 NJH262507 NTD262507 OCZ262507 OMV262507 OWR262507 PGN262507 PQJ262507 QAF262507 QKB262507 QTX262507 RDT262507 RNP262507 RXL262507 SHH262507 SRD262507 TAZ262507 TKV262507 TUR262507 UEN262507 UOJ262507 UYF262507 VIB262507 VRX262507 WBT262507 WLP262507 WVL262507 D328043 IZ328043 SV328043 ACR328043 AMN328043 AWJ328043 BGF328043 BQB328043 BZX328043 CJT328043 CTP328043 DDL328043 DNH328043 DXD328043 EGZ328043 EQV328043 FAR328043 FKN328043 FUJ328043 GEF328043 GOB328043 GXX328043 HHT328043 HRP328043 IBL328043 ILH328043 IVD328043 JEZ328043 JOV328043 JYR328043 KIN328043 KSJ328043 LCF328043 LMB328043 LVX328043 MFT328043 MPP328043 MZL328043 NJH328043 NTD328043 OCZ328043 OMV328043 OWR328043 PGN328043 PQJ328043 QAF328043 QKB328043 QTX328043 RDT328043 RNP328043 RXL328043 SHH328043 SRD328043 TAZ328043 TKV328043 TUR328043 UEN328043 UOJ328043 UYF328043 VIB328043 VRX328043 WBT328043 WLP328043 WVL328043 D393579 IZ393579 SV393579 ACR393579 AMN393579 AWJ393579 BGF393579 BQB393579 BZX393579 CJT393579 CTP393579 DDL393579 DNH393579 DXD393579 EGZ393579 EQV393579 FAR393579 FKN393579 FUJ393579 GEF393579 GOB393579 GXX393579 HHT393579 HRP393579 IBL393579 ILH393579 IVD393579 JEZ393579 JOV393579 JYR393579 KIN393579 KSJ393579 LCF393579 LMB393579 LVX393579 MFT393579 MPP393579 MZL393579 NJH393579 NTD393579 OCZ393579 OMV393579 OWR393579 PGN393579 PQJ393579 QAF393579 QKB393579 QTX393579 RDT393579 RNP393579 RXL393579 SHH393579 SRD393579 TAZ393579 TKV393579 TUR393579 UEN393579 UOJ393579 UYF393579 VIB393579 VRX393579 WBT393579 WLP393579 WVL393579 D459115 IZ459115 SV459115 ACR459115 AMN459115 AWJ459115 BGF459115 BQB459115 BZX459115 CJT459115 CTP459115 DDL459115 DNH459115 DXD459115 EGZ459115 EQV459115 FAR459115 FKN459115 FUJ459115 GEF459115 GOB459115 GXX459115 HHT459115 HRP459115 IBL459115 ILH459115 IVD459115 JEZ459115 JOV459115 JYR459115 KIN459115 KSJ459115 LCF459115 LMB459115 LVX459115 MFT459115 MPP459115 MZL459115 NJH459115 NTD459115 OCZ459115 OMV459115 OWR459115 PGN459115 PQJ459115 QAF459115 QKB459115 QTX459115 RDT459115 RNP459115 RXL459115 SHH459115 SRD459115 TAZ459115 TKV459115 TUR459115 UEN459115 UOJ459115 UYF459115 VIB459115 VRX459115 WBT459115 WLP459115 WVL459115 D524651 IZ524651 SV524651 ACR524651 AMN524651 AWJ524651 BGF524651 BQB524651 BZX524651 CJT524651 CTP524651 DDL524651 DNH524651 DXD524651 EGZ524651 EQV524651 FAR524651 FKN524651 FUJ524651 GEF524651 GOB524651 GXX524651 HHT524651 HRP524651 IBL524651 ILH524651 IVD524651 JEZ524651 JOV524651 JYR524651 KIN524651 KSJ524651 LCF524651 LMB524651 LVX524651 MFT524651 MPP524651 MZL524651 NJH524651 NTD524651 OCZ524651 OMV524651 OWR524651 PGN524651 PQJ524651 QAF524651 QKB524651 QTX524651 RDT524651 RNP524651 RXL524651 SHH524651 SRD524651 TAZ524651 TKV524651 TUR524651 UEN524651 UOJ524651 UYF524651 VIB524651 VRX524651 WBT524651 WLP524651 WVL524651 D590187 IZ590187 SV590187 ACR590187 AMN590187 AWJ590187 BGF590187 BQB590187 BZX590187 CJT590187 CTP590187 DDL590187 DNH590187 DXD590187 EGZ590187 EQV590187 FAR590187 FKN590187 FUJ590187 GEF590187 GOB590187 GXX590187 HHT590187 HRP590187 IBL590187 ILH590187 IVD590187 JEZ590187 JOV590187 JYR590187 KIN590187 KSJ590187 LCF590187 LMB590187 LVX590187 MFT590187 MPP590187 MZL590187 NJH590187 NTD590187 OCZ590187 OMV590187 OWR590187 PGN590187 PQJ590187 QAF590187 QKB590187 QTX590187 RDT590187 RNP590187 RXL590187 SHH590187 SRD590187 TAZ590187 TKV590187 TUR590187 UEN590187 UOJ590187 UYF590187 VIB590187 VRX590187 WBT590187 WLP590187 WVL590187 D655723 IZ655723 SV655723 ACR655723 AMN655723 AWJ655723 BGF655723 BQB655723 BZX655723 CJT655723 CTP655723 DDL655723 DNH655723 DXD655723 EGZ655723 EQV655723 FAR655723 FKN655723 FUJ655723 GEF655723 GOB655723 GXX655723 HHT655723 HRP655723 IBL655723 ILH655723 IVD655723 JEZ655723 JOV655723 JYR655723 KIN655723 KSJ655723 LCF655723 LMB655723 LVX655723 MFT655723 MPP655723 MZL655723 NJH655723 NTD655723 OCZ655723 OMV655723 OWR655723 PGN655723 PQJ655723 QAF655723 QKB655723 QTX655723 RDT655723 RNP655723 RXL655723 SHH655723 SRD655723 TAZ655723 TKV655723 TUR655723 UEN655723 UOJ655723 UYF655723 VIB655723 VRX655723 WBT655723 WLP655723 WVL655723 D721259 IZ721259 SV721259 ACR721259 AMN721259 AWJ721259 BGF721259 BQB721259 BZX721259 CJT721259 CTP721259 DDL721259 DNH721259 DXD721259 EGZ721259 EQV721259 FAR721259 FKN721259 FUJ721259 GEF721259 GOB721259 GXX721259 HHT721259 HRP721259 IBL721259 ILH721259 IVD721259 JEZ721259 JOV721259 JYR721259 KIN721259 KSJ721259 LCF721259 LMB721259 LVX721259 MFT721259 MPP721259 MZL721259 NJH721259 NTD721259 OCZ721259 OMV721259 OWR721259 PGN721259 PQJ721259 QAF721259 QKB721259 QTX721259 RDT721259 RNP721259 RXL721259 SHH721259 SRD721259 TAZ721259 TKV721259 TUR721259 UEN721259 UOJ721259 UYF721259 VIB721259 VRX721259 WBT721259 WLP721259 WVL721259 D786795 IZ786795 SV786795 ACR786795 AMN786795 AWJ786795 BGF786795 BQB786795 BZX786795 CJT786795 CTP786795 DDL786795 DNH786795 DXD786795 EGZ786795 EQV786795 FAR786795 FKN786795 FUJ786795 GEF786795 GOB786795 GXX786795 HHT786795 HRP786795 IBL786795 ILH786795 IVD786795 JEZ786795 JOV786795 JYR786795 KIN786795 KSJ786795 LCF786795 LMB786795 LVX786795 MFT786795 MPP786795 MZL786795 NJH786795 NTD786795 OCZ786795 OMV786795 OWR786795 PGN786795 PQJ786795 QAF786795 QKB786795 QTX786795 RDT786795 RNP786795 RXL786795 SHH786795 SRD786795 TAZ786795 TKV786795 TUR786795 UEN786795 UOJ786795 UYF786795 VIB786795 VRX786795 WBT786795 WLP786795 WVL786795 D852331 IZ852331 SV852331 ACR852331 AMN852331 AWJ852331 BGF852331 BQB852331 BZX852331 CJT852331 CTP852331 DDL852331 DNH852331 DXD852331 EGZ852331 EQV852331 FAR852331 FKN852331 FUJ852331 GEF852331 GOB852331 GXX852331 HHT852331 HRP852331 IBL852331 ILH852331 IVD852331 JEZ852331 JOV852331 JYR852331 KIN852331 KSJ852331 LCF852331 LMB852331 LVX852331 MFT852331 MPP852331 MZL852331 NJH852331 NTD852331 OCZ852331 OMV852331 OWR852331 PGN852331 PQJ852331 QAF852331 QKB852331 QTX852331 RDT852331 RNP852331 RXL852331 SHH852331 SRD852331 TAZ852331 TKV852331 TUR852331 UEN852331 UOJ852331 UYF852331 VIB852331 VRX852331 WBT852331 WLP852331 WVL852331 D917867 IZ917867 SV917867 ACR917867 AMN917867 AWJ917867 BGF917867 BQB917867 BZX917867 CJT917867 CTP917867 DDL917867 DNH917867 DXD917867 EGZ917867 EQV917867 FAR917867 FKN917867 FUJ917867 GEF917867 GOB917867 GXX917867 HHT917867 HRP917867 IBL917867 ILH917867 IVD917867 JEZ917867 JOV917867 JYR917867 KIN917867 KSJ917867 LCF917867 LMB917867 LVX917867 MFT917867 MPP917867 MZL917867 NJH917867 NTD917867 OCZ917867 OMV917867 OWR917867 PGN917867 PQJ917867 QAF917867 QKB917867 QTX917867 RDT917867 RNP917867 RXL917867 SHH917867 SRD917867 TAZ917867 TKV917867 TUR917867 UEN917867 UOJ917867 UYF917867 VIB917867 VRX917867 WBT917867 WLP917867 WVL917867 D983403 IZ983403 SV983403 ACR983403 AMN983403 AWJ983403 BGF983403 BQB983403 BZX983403 CJT983403 CTP983403 DDL983403 DNH983403 DXD983403 EGZ983403 EQV983403 FAR983403 FKN983403 FUJ983403 GEF983403 GOB983403 GXX983403 HHT983403 HRP983403 IBL983403 ILH983403 IVD983403 JEZ983403 JOV983403 JYR983403 KIN983403 KSJ983403 LCF983403 LMB983403 LVX983403 MFT983403 MPP983403 MZL983403 NJH983403 NTD983403 OCZ983403 OMV983403 OWR983403 PGN983403 PQJ983403 QAF983403 QKB983403 QTX983403 RDT983403 RNP983403 RXL983403 SHH983403 SRD983403 TAZ983403 TKV983403 TUR983403 UEN983403 UOJ983403 UYF983403 VIB983403 VRX983403 WBT983403 WLP983403 WVL983403 D455 IZ455 SV455 ACR455 AMN455 AWJ455 BGF455 BQB455 BZX455 CJT455 CTP455 DDL455 DNH455 DXD455 EGZ455 EQV455 FAR455 FKN455 FUJ455 GEF455 GOB455 GXX455 HHT455 HRP455 IBL455 ILH455 IVD455 JEZ455 JOV455 JYR455 KIN455 KSJ455 LCF455 LMB455 LVX455 MFT455 MPP455 MZL455 NJH455 NTD455 OCZ455 OMV455 OWR455 PGN455 PQJ455 QAF455 QKB455 QTX455 RDT455 RNP455 RXL455 SHH455 SRD455 TAZ455 TKV455 TUR455 UEN455 UOJ455 UYF455 VIB455 VRX455 WBT455 WLP455 WVL455 D275 IZ275 SV275 ACR275 AMN275 AWJ275 BGF275 BQB275 BZX275 CJT275 CTP275 DDL275 DNH275 DXD275 EGZ275 EQV275 FAR275 FKN275 FUJ275 GEF275 GOB275 GXX275 HHT275 HRP275 IBL275 ILH275 IVD275 JEZ275 JOV275 JYR275 KIN275 KSJ275 LCF275 LMB275 LVX275 MFT275 MPP275 MZL275 NJH275 NTD275 OCZ275 OMV275 OWR275 PGN275 PQJ275 QAF275 QKB275 QTX275 RDT275 RNP275 RXL275 SHH275 SRD275 TAZ275 TKV275 TUR275 UEN275 UOJ275 UYF275 VIB275 VRX275 WBT275 WLP275 WVL275 D367 IZ367 SV367 ACR367 AMN367 AWJ367 BGF367 BQB367 BZX367 CJT367 CTP367 DDL367 DNH367 DXD367 EGZ367 EQV367 FAR367 FKN367 FUJ367 GEF367 GOB367 GXX367 HHT367 HRP367 IBL367 ILH367 IVD367 JEZ367 JOV367 JYR367 KIN367 KSJ367 LCF367 LMB367 LVX367 MFT367 MPP367 MZL367 NJH367 NTD367 OCZ367 OMV367 OWR367 PGN367 PQJ367 QAF367 QKB367 QTX367 RDT367 RNP367 RXL367 SHH367 SRD367 TAZ367 TKV367 TUR367 UEN367 UOJ367 UYF367 VIB367 VRX367 WBT367 WLP367 WVL367" xr:uid="{36D00C6C-919C-42D0-B1FF-62F135339284}">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4" manualBreakCount="4">
    <brk id="45" max="21" man="1"/>
    <brk id="273" max="21" man="1"/>
    <brk id="313" max="21" man="1"/>
    <brk id="541" max="21"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26F9B-3828-44D2-AFBA-2BE1D571DE60}">
  <sheetPr>
    <tabColor indexed="62"/>
  </sheetPr>
  <dimension ref="A1:Y293"/>
  <sheetViews>
    <sheetView showZeros="0" view="pageBreakPreview" topLeftCell="A3" zoomScale="145" zoomScaleNormal="100" zoomScaleSheetLayoutView="145" workbookViewId="0">
      <selection activeCell="J22" sqref="J22:K22"/>
    </sheetView>
  </sheetViews>
  <sheetFormatPr defaultColWidth="4.21875" defaultRowHeight="18" customHeight="1"/>
  <cols>
    <col min="1" max="1" width="4.5546875" style="30" customWidth="1"/>
    <col min="2" max="6" width="4.21875" style="30"/>
    <col min="7" max="7" width="4.21875" style="30" customWidth="1"/>
    <col min="8" max="13" width="4.21875" style="30"/>
    <col min="14" max="14" width="4.6640625" style="30" customWidth="1"/>
    <col min="15" max="22" width="4.21875" style="30"/>
    <col min="23" max="23" width="4.21875" style="30" customWidth="1"/>
    <col min="24" max="16384" width="4.2187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55" t="str">
        <f>Title!H3</f>
        <v xml:space="preserve">132/33kV SUBSTATION DF4W    AT AL DHAFRA AREA </v>
      </c>
      <c r="I3" s="956"/>
      <c r="J3" s="956"/>
      <c r="K3" s="956"/>
      <c r="L3" s="956"/>
      <c r="M3" s="956"/>
      <c r="N3" s="957"/>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1047"/>
      <c r="I4" s="1048"/>
      <c r="J4" s="1048"/>
      <c r="K4" s="1048"/>
      <c r="L4" s="1048"/>
      <c r="M4" s="1048"/>
      <c r="N4" s="1049"/>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954</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1075" t="s">
        <v>955</v>
      </c>
      <c r="C7" s="1076"/>
      <c r="D7" s="1092" t="s">
        <v>385</v>
      </c>
      <c r="E7" s="1093"/>
      <c r="F7" s="455"/>
      <c r="H7" s="684" t="s">
        <v>711</v>
      </c>
      <c r="I7" s="684"/>
      <c r="J7" s="684"/>
      <c r="K7" s="684"/>
      <c r="L7" s="684"/>
      <c r="M7" s="684"/>
      <c r="P7" s="186"/>
      <c r="S7" s="187" t="s">
        <v>387</v>
      </c>
      <c r="T7" s="1075" t="s">
        <v>1012</v>
      </c>
      <c r="U7" s="1076"/>
      <c r="V7" s="185"/>
    </row>
    <row r="8" spans="1:24" ht="18" customHeight="1">
      <c r="A8" s="456"/>
      <c r="F8" s="455"/>
      <c r="T8" s="1075" t="s">
        <v>1020</v>
      </c>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2000</v>
      </c>
      <c r="I10" s="1091"/>
      <c r="J10" s="1075">
        <v>3200</v>
      </c>
      <c r="K10" s="1076"/>
      <c r="L10" s="1075"/>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224">
        <v>3.5</v>
      </c>
      <c r="I12" s="1225"/>
      <c r="J12" s="192" t="s">
        <v>333</v>
      </c>
      <c r="V12" s="185"/>
    </row>
    <row r="13" spans="1:24" ht="18" customHeight="1">
      <c r="A13" s="184"/>
      <c r="B13" s="47" t="s">
        <v>398</v>
      </c>
      <c r="G13" s="120" t="s">
        <v>498</v>
      </c>
      <c r="H13" s="1075">
        <v>500</v>
      </c>
      <c r="I13" s="1076"/>
      <c r="J13" s="14" t="s">
        <v>305</v>
      </c>
      <c r="U13" s="18"/>
      <c r="V13" s="185"/>
      <c r="W13" s="30" t="str">
        <f>H74</f>
        <v>Suitably Dimentioned</v>
      </c>
    </row>
    <row r="14" spans="1:24" ht="18" customHeight="1">
      <c r="A14" s="184"/>
      <c r="B14" s="14" t="s">
        <v>401</v>
      </c>
      <c r="G14" s="120" t="s">
        <v>402</v>
      </c>
      <c r="H14" s="1075">
        <v>20</v>
      </c>
      <c r="I14" s="1076"/>
      <c r="J14" s="14" t="s">
        <v>403</v>
      </c>
      <c r="V14" s="185"/>
    </row>
    <row r="15" spans="1:24" ht="18" customHeight="1">
      <c r="A15" s="184"/>
      <c r="V15" s="185"/>
    </row>
    <row r="16" spans="1:24" ht="18" customHeight="1">
      <c r="A16" s="193" t="s">
        <v>404</v>
      </c>
      <c r="V16" s="185"/>
    </row>
    <row r="17" spans="1:25" ht="18" customHeight="1">
      <c r="A17" s="184"/>
      <c r="V17" s="185"/>
    </row>
    <row r="18" spans="1:25" ht="18" customHeight="1">
      <c r="A18" s="184"/>
      <c r="B18" s="135" t="s">
        <v>405</v>
      </c>
      <c r="C18" s="273"/>
      <c r="D18" s="139" t="str">
        <f>T7</f>
        <v>7SS522</v>
      </c>
      <c r="E18" s="227"/>
      <c r="F18" s="227"/>
      <c r="G18" s="227"/>
      <c r="H18" s="138"/>
      <c r="I18" s="260" t="s">
        <v>127</v>
      </c>
      <c r="J18" s="1077">
        <f>'CT-VT Burdens'!Q153</f>
        <v>0.1</v>
      </c>
      <c r="K18" s="1078"/>
      <c r="L18" s="3" t="s">
        <v>157</v>
      </c>
      <c r="N18" s="197"/>
      <c r="V18" s="185"/>
    </row>
    <row r="19" spans="1:25" ht="18" customHeight="1">
      <c r="A19" s="184"/>
      <c r="B19" s="96" t="s">
        <v>405</v>
      </c>
      <c r="C19" s="14"/>
      <c r="D19" s="47" t="str">
        <f>T8</f>
        <v>6MU85</v>
      </c>
      <c r="E19" s="14"/>
      <c r="G19" s="199"/>
      <c r="H19" s="27"/>
      <c r="I19" s="101" t="s">
        <v>127</v>
      </c>
      <c r="J19" s="1220">
        <f>'CT-VT Burdens'!Q154</f>
        <v>0.1</v>
      </c>
      <c r="K19" s="1221"/>
      <c r="L19" s="202" t="s">
        <v>157</v>
      </c>
      <c r="N19" s="28"/>
      <c r="O19" s="27"/>
      <c r="P19" s="28"/>
      <c r="Q19" s="102"/>
      <c r="R19" s="28"/>
      <c r="S19" s="27"/>
      <c r="T19" s="28"/>
      <c r="V19" s="185"/>
    </row>
    <row r="20" spans="1:25" ht="18" customHeight="1">
      <c r="A20" s="184"/>
      <c r="B20" s="96" t="s">
        <v>405</v>
      </c>
      <c r="C20" s="14"/>
      <c r="D20" s="47">
        <f>T9</f>
        <v>0</v>
      </c>
      <c r="E20" s="14"/>
      <c r="G20" s="199"/>
      <c r="H20" s="27"/>
      <c r="I20" s="101" t="s">
        <v>127</v>
      </c>
      <c r="J20" s="1220"/>
      <c r="K20" s="1221"/>
      <c r="L20" s="202" t="s">
        <v>157</v>
      </c>
      <c r="N20" s="27"/>
      <c r="O20" s="27"/>
      <c r="P20" s="27"/>
      <c r="Q20" s="102"/>
      <c r="R20" s="27"/>
      <c r="S20" s="27"/>
      <c r="T20" s="27"/>
      <c r="V20" s="185"/>
    </row>
    <row r="21" spans="1:25" ht="18" customHeight="1">
      <c r="A21" s="184"/>
      <c r="B21" s="184" t="s">
        <v>412</v>
      </c>
      <c r="C21" s="14"/>
      <c r="D21" s="14"/>
      <c r="E21" s="14"/>
      <c r="H21" s="27"/>
      <c r="I21" s="101" t="s">
        <v>127</v>
      </c>
      <c r="J21" s="1081">
        <f>'CT-VT Burdens'!S52</f>
        <v>1.25652618</v>
      </c>
      <c r="K21" s="1082"/>
      <c r="L21" s="297" t="s">
        <v>157</v>
      </c>
      <c r="N21" s="27"/>
      <c r="O21" s="27"/>
      <c r="P21" s="204"/>
      <c r="R21" s="192"/>
      <c r="S21" s="27"/>
      <c r="T21" s="27"/>
      <c r="V21" s="185"/>
    </row>
    <row r="22" spans="1:25" ht="18" customHeight="1">
      <c r="A22" s="184"/>
      <c r="B22" s="1" t="s">
        <v>413</v>
      </c>
      <c r="C22" s="2"/>
      <c r="D22" s="2"/>
      <c r="E22" s="2"/>
      <c r="F22" s="196"/>
      <c r="G22" s="196"/>
      <c r="H22" s="224" t="s">
        <v>512</v>
      </c>
      <c r="I22" s="183" t="s">
        <v>127</v>
      </c>
      <c r="J22" s="722">
        <f>SUM(J18:J21)</f>
        <v>1.45652618</v>
      </c>
      <c r="K22" s="958"/>
      <c r="L22" s="3" t="s">
        <v>157</v>
      </c>
      <c r="V22" s="185"/>
    </row>
    <row r="23" spans="1:25" ht="18" customHeight="1">
      <c r="A23" s="184"/>
      <c r="B23" s="47"/>
      <c r="C23" s="47"/>
      <c r="D23" s="47"/>
      <c r="E23" s="47"/>
      <c r="H23" s="27"/>
      <c r="I23" s="28"/>
      <c r="J23" s="199"/>
      <c r="L23" s="47"/>
      <c r="O23" s="27"/>
      <c r="P23" s="211"/>
      <c r="Q23" s="27"/>
      <c r="R23" s="204"/>
      <c r="S23" s="27"/>
      <c r="V23" s="185"/>
    </row>
    <row r="24" spans="1:25" ht="18" customHeight="1">
      <c r="A24" s="184"/>
      <c r="B24" s="47"/>
      <c r="C24" s="47"/>
      <c r="D24" s="47"/>
      <c r="E24" s="47"/>
      <c r="H24" s="27"/>
      <c r="I24" s="28"/>
      <c r="J24" s="199"/>
      <c r="L24" s="47"/>
      <c r="O24" s="27"/>
      <c r="P24" s="211"/>
      <c r="Q24" s="27"/>
      <c r="R24" s="204"/>
      <c r="S24" s="27"/>
      <c r="V24" s="185"/>
    </row>
    <row r="25" spans="1:25" ht="18" customHeight="1">
      <c r="A25" s="168"/>
      <c r="B25" s="5"/>
      <c r="C25" s="47" t="s">
        <v>1013</v>
      </c>
      <c r="D25" s="14"/>
      <c r="E25" s="14"/>
      <c r="F25" s="14"/>
      <c r="G25" s="14"/>
      <c r="H25" s="279"/>
      <c r="I25" s="120"/>
      <c r="J25" s="279"/>
      <c r="K25" s="279"/>
      <c r="L25" s="14"/>
      <c r="M25" s="14"/>
      <c r="N25" s="14"/>
      <c r="O25" s="14"/>
      <c r="P25" s="14"/>
      <c r="Q25" s="120" t="s">
        <v>1014</v>
      </c>
      <c r="R25" s="102" t="s">
        <v>127</v>
      </c>
      <c r="S25" s="1222">
        <f>'Parameters &amp; Fault Cal. (4)'!Q32</f>
        <v>50000</v>
      </c>
      <c r="T25" s="1223"/>
      <c r="U25" s="47" t="s">
        <v>8</v>
      </c>
      <c r="V25" s="185"/>
    </row>
    <row r="26" spans="1:25" ht="18" customHeight="1">
      <c r="A26" s="168"/>
      <c r="B26" s="5"/>
      <c r="C26" s="47" t="s">
        <v>654</v>
      </c>
      <c r="D26" s="14"/>
      <c r="E26" s="14"/>
      <c r="F26" s="18"/>
      <c r="G26" s="18"/>
      <c r="H26" s="279"/>
      <c r="I26" s="120"/>
      <c r="J26" s="279"/>
      <c r="K26" s="279"/>
      <c r="L26" s="14"/>
      <c r="M26" s="14"/>
      <c r="N26" s="14"/>
      <c r="O26" s="14"/>
      <c r="P26" s="14"/>
      <c r="Q26" s="120" t="s">
        <v>423</v>
      </c>
      <c r="R26" s="102" t="s">
        <v>127</v>
      </c>
      <c r="S26" s="689">
        <f>H10</f>
        <v>2000</v>
      </c>
      <c r="T26" s="689"/>
      <c r="U26" s="14" t="s">
        <v>8</v>
      </c>
      <c r="V26" s="185"/>
    </row>
    <row r="27" spans="1:25" ht="18" customHeight="1">
      <c r="A27" s="168"/>
      <c r="B27" s="5"/>
      <c r="C27" s="47" t="s">
        <v>1015</v>
      </c>
      <c r="E27" s="14"/>
      <c r="F27" s="18"/>
      <c r="G27" s="18"/>
      <c r="H27" s="279"/>
      <c r="I27" s="120"/>
      <c r="J27" s="279"/>
      <c r="K27" s="279"/>
      <c r="L27" s="14"/>
      <c r="M27" s="14"/>
      <c r="N27" s="14"/>
      <c r="O27" s="14"/>
      <c r="P27" s="14"/>
      <c r="Q27" s="120" t="s">
        <v>411</v>
      </c>
      <c r="R27" s="28" t="s">
        <v>127</v>
      </c>
      <c r="S27" s="689">
        <f>O10</f>
        <v>1</v>
      </c>
      <c r="T27" s="689"/>
      <c r="U27" s="14" t="s">
        <v>8</v>
      </c>
      <c r="V27" s="185"/>
    </row>
    <row r="28" spans="1:25" ht="18" customHeight="1">
      <c r="A28" s="168"/>
      <c r="B28" s="5"/>
      <c r="C28" s="47" t="s">
        <v>1016</v>
      </c>
      <c r="D28" s="14"/>
      <c r="E28" s="14"/>
      <c r="F28" s="18"/>
      <c r="G28" s="18"/>
      <c r="H28" s="279"/>
      <c r="I28" s="120"/>
      <c r="J28" s="279"/>
      <c r="K28" s="279"/>
      <c r="L28" s="14"/>
      <c r="M28" s="14"/>
      <c r="N28" s="14"/>
      <c r="O28" s="14"/>
      <c r="P28" s="14"/>
      <c r="Q28" s="120" t="s">
        <v>512</v>
      </c>
      <c r="R28" s="102" t="s">
        <v>127</v>
      </c>
      <c r="S28" s="692">
        <f>J22</f>
        <v>1.45652618</v>
      </c>
      <c r="T28" s="689"/>
      <c r="U28" s="14" t="s">
        <v>157</v>
      </c>
      <c r="V28" s="185"/>
      <c r="X28" s="279"/>
      <c r="Y28" s="279"/>
    </row>
    <row r="29" spans="1:25" ht="18" customHeight="1">
      <c r="A29" s="168"/>
      <c r="B29" s="5"/>
      <c r="C29" s="47" t="s">
        <v>1017</v>
      </c>
      <c r="D29" s="14"/>
      <c r="E29" s="14"/>
      <c r="F29" s="18"/>
      <c r="G29" s="18"/>
      <c r="H29" s="279"/>
      <c r="I29" s="120"/>
      <c r="J29" s="279"/>
      <c r="K29" s="279"/>
      <c r="L29" s="14"/>
      <c r="M29" s="14"/>
      <c r="N29" s="14"/>
      <c r="O29" s="14"/>
      <c r="P29" s="14"/>
      <c r="Q29" s="120" t="s">
        <v>689</v>
      </c>
      <c r="R29" s="28" t="s">
        <v>127</v>
      </c>
      <c r="S29" s="692">
        <f>J22/S27*S27</f>
        <v>1.45652618</v>
      </c>
      <c r="T29" s="692"/>
      <c r="U29" s="192" t="s">
        <v>333</v>
      </c>
      <c r="V29" s="185"/>
      <c r="X29" s="279"/>
      <c r="Y29" s="279"/>
    </row>
    <row r="30" spans="1:25" ht="18" customHeight="1">
      <c r="A30" s="299"/>
      <c r="B30" s="279"/>
      <c r="C30" s="47" t="s">
        <v>1018</v>
      </c>
      <c r="Q30" s="14" t="s">
        <v>687</v>
      </c>
      <c r="R30" s="28" t="s">
        <v>127</v>
      </c>
      <c r="S30" s="689">
        <v>0.5</v>
      </c>
      <c r="T30" s="689"/>
      <c r="V30" s="300"/>
      <c r="W30" s="279"/>
      <c r="X30" s="279"/>
      <c r="Y30" s="279"/>
    </row>
    <row r="31" spans="1:25" ht="18" customHeight="1">
      <c r="A31" s="184"/>
      <c r="V31" s="185"/>
    </row>
    <row r="32" spans="1:25" ht="18" customHeight="1">
      <c r="A32" s="96"/>
      <c r="B32" s="14"/>
      <c r="C32" s="14"/>
      <c r="D32" s="14"/>
      <c r="E32" s="14"/>
      <c r="F32" s="14"/>
      <c r="G32" s="14"/>
      <c r="H32" s="14"/>
      <c r="I32" s="14"/>
      <c r="J32" s="14"/>
      <c r="K32" s="14"/>
      <c r="L32" s="14"/>
      <c r="M32" s="14"/>
      <c r="N32" s="14"/>
      <c r="O32" s="14"/>
      <c r="P32" s="28"/>
      <c r="Q32" s="120"/>
      <c r="R32" s="14"/>
      <c r="S32" s="14"/>
      <c r="T32" s="14"/>
      <c r="U32" s="14"/>
      <c r="V32" s="185"/>
    </row>
    <row r="33" spans="1:22" ht="18" customHeight="1">
      <c r="A33" s="193" t="s">
        <v>755</v>
      </c>
      <c r="B33" s="14"/>
      <c r="C33" s="14"/>
      <c r="D33" s="14"/>
      <c r="E33" s="14"/>
      <c r="F33" s="14"/>
      <c r="G33" s="14"/>
      <c r="H33" s="14"/>
      <c r="K33" s="14"/>
      <c r="T33" s="14"/>
      <c r="U33" s="14"/>
      <c r="V33" s="185"/>
    </row>
    <row r="34" spans="1:22" ht="18" customHeight="1">
      <c r="A34" s="96"/>
      <c r="B34" s="14"/>
      <c r="C34" s="14"/>
      <c r="D34" s="14"/>
      <c r="E34" s="14"/>
      <c r="F34" s="14"/>
      <c r="G34" s="14"/>
      <c r="H34" s="14"/>
      <c r="K34" s="14"/>
      <c r="T34" s="14"/>
      <c r="U34" s="14"/>
      <c r="V34" s="185"/>
    </row>
    <row r="35" spans="1:22" ht="18" customHeight="1">
      <c r="A35" s="193" t="s">
        <v>826</v>
      </c>
      <c r="H35" s="28"/>
      <c r="I35" s="28"/>
      <c r="J35" s="28"/>
      <c r="K35" s="28"/>
      <c r="T35" s="14"/>
      <c r="U35" s="14"/>
      <c r="V35" s="185"/>
    </row>
    <row r="36" spans="1:22" ht="18" customHeight="1">
      <c r="A36" s="184"/>
      <c r="B36" s="689" t="s">
        <v>473</v>
      </c>
      <c r="C36" s="689"/>
      <c r="D36" s="689" t="s">
        <v>827</v>
      </c>
      <c r="E36" s="689" t="s">
        <v>687</v>
      </c>
      <c r="F36" s="689" t="s">
        <v>315</v>
      </c>
      <c r="G36" s="708" t="s">
        <v>1014</v>
      </c>
      <c r="H36" s="708"/>
      <c r="I36" s="708"/>
      <c r="J36" s="708"/>
      <c r="K36" s="689" t="s">
        <v>372</v>
      </c>
      <c r="L36" s="689" t="s">
        <v>420</v>
      </c>
      <c r="M36" s="689"/>
      <c r="N36" s="689" t="s">
        <v>347</v>
      </c>
      <c r="O36" s="689" t="s">
        <v>689</v>
      </c>
      <c r="P36" s="689"/>
      <c r="Q36" s="689" t="s">
        <v>674</v>
      </c>
      <c r="R36" s="689" t="s">
        <v>411</v>
      </c>
      <c r="T36" s="14"/>
      <c r="U36" s="14"/>
      <c r="V36" s="185"/>
    </row>
    <row r="37" spans="1:22" ht="18" customHeight="1">
      <c r="A37" s="96"/>
      <c r="B37" s="689"/>
      <c r="C37" s="689"/>
      <c r="D37" s="689"/>
      <c r="E37" s="689"/>
      <c r="F37" s="689"/>
      <c r="G37" s="211">
        <v>1.3</v>
      </c>
      <c r="H37" s="218" t="s">
        <v>315</v>
      </c>
      <c r="I37" s="689" t="s">
        <v>423</v>
      </c>
      <c r="J37" s="689"/>
      <c r="K37" s="689"/>
      <c r="L37" s="689"/>
      <c r="M37" s="689"/>
      <c r="N37" s="689"/>
      <c r="O37" s="689"/>
      <c r="P37" s="689"/>
      <c r="Q37" s="689"/>
      <c r="R37" s="689"/>
      <c r="T37" s="14"/>
      <c r="U37" s="14"/>
      <c r="V37" s="185"/>
    </row>
    <row r="38" spans="1:22" ht="18" customHeight="1">
      <c r="A38" s="184"/>
      <c r="D38" s="211"/>
      <c r="E38" s="211"/>
      <c r="F38" s="27"/>
      <c r="S38" s="14"/>
      <c r="T38" s="14"/>
      <c r="U38" s="14"/>
      <c r="V38" s="185"/>
    </row>
    <row r="39" spans="1:22" ht="18" customHeight="1">
      <c r="A39" s="184"/>
      <c r="B39" s="14"/>
      <c r="C39" s="14"/>
      <c r="D39" s="689" t="s">
        <v>127</v>
      </c>
      <c r="E39" s="689">
        <f>S30</f>
        <v>0.5</v>
      </c>
      <c r="F39" s="689" t="s">
        <v>315</v>
      </c>
      <c r="G39" s="708">
        <f>S25</f>
        <v>50000</v>
      </c>
      <c r="H39" s="708"/>
      <c r="I39" s="708"/>
      <c r="J39" s="708"/>
      <c r="K39" s="689" t="s">
        <v>372</v>
      </c>
      <c r="L39" s="689">
        <f>H12</f>
        <v>3.5</v>
      </c>
      <c r="M39" s="689"/>
      <c r="N39" s="689" t="s">
        <v>347</v>
      </c>
      <c r="O39" s="692">
        <f>S29</f>
        <v>1.45652618</v>
      </c>
      <c r="P39" s="689"/>
      <c r="Q39" s="689" t="s">
        <v>674</v>
      </c>
      <c r="R39" s="689">
        <f>S27</f>
        <v>1</v>
      </c>
      <c r="S39" s="14"/>
      <c r="T39" s="14"/>
      <c r="U39" s="14"/>
      <c r="V39" s="185"/>
    </row>
    <row r="40" spans="1:22" ht="18" customHeight="1">
      <c r="A40" s="184"/>
      <c r="B40" s="14"/>
      <c r="C40" s="14"/>
      <c r="D40" s="689"/>
      <c r="E40" s="689"/>
      <c r="F40" s="689"/>
      <c r="G40" s="211">
        <v>1.3</v>
      </c>
      <c r="H40" s="218" t="s">
        <v>315</v>
      </c>
      <c r="I40" s="689">
        <f>S26</f>
        <v>2000</v>
      </c>
      <c r="J40" s="689"/>
      <c r="K40" s="689"/>
      <c r="L40" s="689"/>
      <c r="M40" s="689"/>
      <c r="N40" s="689"/>
      <c r="O40" s="689"/>
      <c r="P40" s="689"/>
      <c r="Q40" s="689"/>
      <c r="R40" s="689"/>
      <c r="V40" s="185"/>
    </row>
    <row r="41" spans="1:22" ht="18" customHeight="1">
      <c r="A41" s="184"/>
      <c r="G41" s="211"/>
      <c r="H41" s="218"/>
      <c r="J41" s="28"/>
      <c r="K41" s="28"/>
      <c r="L41" s="28"/>
      <c r="M41" s="28"/>
      <c r="N41" s="28"/>
      <c r="O41" s="28"/>
      <c r="P41" s="28"/>
      <c r="Q41" s="28"/>
      <c r="R41" s="28"/>
      <c r="V41" s="185"/>
    </row>
    <row r="42" spans="1:22" ht="18" customHeight="1">
      <c r="A42" s="184"/>
      <c r="D42" s="28" t="s">
        <v>127</v>
      </c>
      <c r="E42" s="692">
        <f>E39*(G39/(G40*I40))*(L39+O39)*R39</f>
        <v>47.658905576923075</v>
      </c>
      <c r="F42" s="692"/>
      <c r="G42" s="47"/>
      <c r="H42" s="28"/>
      <c r="I42" s="28"/>
      <c r="J42" s="28"/>
      <c r="K42" s="28"/>
      <c r="L42" s="28"/>
      <c r="M42" s="28"/>
      <c r="N42" s="28"/>
      <c r="O42" s="28"/>
      <c r="P42" s="28"/>
      <c r="Q42" s="28"/>
      <c r="R42" s="28"/>
      <c r="V42" s="185"/>
    </row>
    <row r="43" spans="1:22" ht="18" customHeight="1">
      <c r="A43" s="184"/>
      <c r="D43" s="28"/>
      <c r="E43" s="218"/>
      <c r="F43" s="218"/>
      <c r="G43" s="47"/>
      <c r="H43" s="28"/>
      <c r="I43" s="28"/>
      <c r="J43" s="28"/>
      <c r="K43" s="28"/>
      <c r="L43" s="28"/>
      <c r="M43" s="28"/>
      <c r="N43" s="28"/>
      <c r="O43" s="28"/>
      <c r="P43" s="28"/>
      <c r="Q43" s="28"/>
      <c r="R43" s="28"/>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225"/>
      <c r="T45" s="195"/>
      <c r="U45" s="195"/>
      <c r="V45" s="134"/>
    </row>
    <row r="46" spans="1:22" s="14" customFormat="1" ht="18" customHeight="1">
      <c r="A46" s="135"/>
      <c r="B46" s="273"/>
      <c r="C46" s="273"/>
      <c r="D46" s="273"/>
      <c r="E46" s="273"/>
      <c r="F46" s="273"/>
      <c r="G46" s="273"/>
      <c r="H46" s="273"/>
      <c r="I46" s="273"/>
      <c r="J46" s="273"/>
      <c r="K46" s="273"/>
      <c r="L46" s="273"/>
      <c r="M46" s="273"/>
      <c r="N46" s="273"/>
      <c r="O46" s="273"/>
      <c r="P46" s="273"/>
      <c r="Q46" s="274"/>
      <c r="R46" s="138"/>
      <c r="S46" s="275"/>
      <c r="T46" s="273"/>
      <c r="U46" s="273"/>
      <c r="V46" s="276"/>
    </row>
    <row r="47" spans="1:22" ht="18" customHeight="1">
      <c r="A47" s="193" t="s">
        <v>828</v>
      </c>
      <c r="H47" s="28"/>
      <c r="I47" s="28"/>
      <c r="J47" s="28"/>
      <c r="K47" s="28"/>
      <c r="L47" s="28"/>
      <c r="M47" s="28"/>
      <c r="N47" s="28"/>
      <c r="O47" s="27"/>
      <c r="P47" s="27"/>
      <c r="Q47" s="28"/>
      <c r="T47" s="14"/>
      <c r="U47" s="14"/>
      <c r="V47" s="185"/>
    </row>
    <row r="48" spans="1:22" ht="18" customHeight="1">
      <c r="A48" s="184"/>
      <c r="B48" s="689" t="s">
        <v>473</v>
      </c>
      <c r="C48" s="689"/>
      <c r="D48" s="684" t="s">
        <v>827</v>
      </c>
      <c r="E48" s="708">
        <v>100</v>
      </c>
      <c r="F48" s="708"/>
      <c r="G48" s="689" t="s">
        <v>372</v>
      </c>
      <c r="H48" s="689" t="s">
        <v>420</v>
      </c>
      <c r="I48" s="689"/>
      <c r="J48" s="689" t="s">
        <v>347</v>
      </c>
      <c r="K48" s="689" t="s">
        <v>689</v>
      </c>
      <c r="L48" s="689"/>
      <c r="M48" s="689" t="s">
        <v>674</v>
      </c>
      <c r="N48" s="689" t="s">
        <v>411</v>
      </c>
      <c r="O48" s="27"/>
      <c r="P48" s="27"/>
      <c r="Q48" s="28"/>
      <c r="T48" s="14"/>
      <c r="U48" s="14"/>
      <c r="V48" s="185"/>
    </row>
    <row r="49" spans="1:22" ht="18" customHeight="1">
      <c r="A49" s="96"/>
      <c r="B49" s="689"/>
      <c r="C49" s="689"/>
      <c r="D49" s="689"/>
      <c r="E49" s="689">
        <v>1.3</v>
      </c>
      <c r="F49" s="689"/>
      <c r="G49" s="689"/>
      <c r="H49" s="689"/>
      <c r="I49" s="689"/>
      <c r="J49" s="689"/>
      <c r="K49" s="689"/>
      <c r="L49" s="689"/>
      <c r="M49" s="689"/>
      <c r="N49" s="689"/>
      <c r="O49" s="14"/>
      <c r="P49" s="14"/>
      <c r="Q49" s="14"/>
      <c r="R49" s="14"/>
      <c r="S49" s="14"/>
      <c r="T49" s="14"/>
      <c r="U49" s="14"/>
      <c r="V49" s="185"/>
    </row>
    <row r="50" spans="1:22" ht="18" customHeight="1">
      <c r="A50" s="96"/>
      <c r="B50" s="14"/>
      <c r="C50" s="14"/>
      <c r="D50" s="14"/>
      <c r="E50" s="14"/>
      <c r="F50" s="28"/>
      <c r="G50" s="14"/>
      <c r="H50" s="14"/>
      <c r="I50" s="102"/>
      <c r="J50" s="47"/>
      <c r="K50" s="47"/>
      <c r="L50" s="14"/>
      <c r="M50" s="14"/>
      <c r="N50" s="14"/>
      <c r="O50" s="14"/>
      <c r="P50" s="14"/>
      <c r="Q50" s="14"/>
      <c r="R50" s="14"/>
      <c r="S50" s="14"/>
      <c r="T50" s="14"/>
      <c r="U50" s="14"/>
      <c r="V50" s="185"/>
    </row>
    <row r="51" spans="1:22" ht="18" customHeight="1">
      <c r="A51" s="96"/>
      <c r="B51" s="14"/>
      <c r="C51" s="14"/>
      <c r="D51" s="684" t="s">
        <v>827</v>
      </c>
      <c r="E51" s="708">
        <v>100</v>
      </c>
      <c r="F51" s="708"/>
      <c r="G51" s="689" t="s">
        <v>372</v>
      </c>
      <c r="H51" s="689">
        <f>H12</f>
        <v>3.5</v>
      </c>
      <c r="I51" s="689"/>
      <c r="J51" s="689" t="s">
        <v>347</v>
      </c>
      <c r="K51" s="692">
        <f>S29</f>
        <v>1.45652618</v>
      </c>
      <c r="L51" s="689"/>
      <c r="M51" s="689" t="s">
        <v>674</v>
      </c>
      <c r="N51" s="689">
        <f>S27</f>
        <v>1</v>
      </c>
      <c r="O51" s="14"/>
      <c r="P51" s="14"/>
      <c r="Q51" s="14"/>
      <c r="R51" s="14"/>
      <c r="S51" s="14"/>
      <c r="T51" s="14"/>
      <c r="U51" s="14"/>
      <c r="V51" s="185"/>
    </row>
    <row r="52" spans="1:22" ht="18" customHeight="1">
      <c r="A52" s="184"/>
      <c r="D52" s="689"/>
      <c r="E52" s="689">
        <v>1.3</v>
      </c>
      <c r="F52" s="689"/>
      <c r="G52" s="689"/>
      <c r="H52" s="689"/>
      <c r="I52" s="689"/>
      <c r="J52" s="689"/>
      <c r="K52" s="689"/>
      <c r="L52" s="689"/>
      <c r="M52" s="689"/>
      <c r="N52" s="689"/>
      <c r="O52" s="14"/>
      <c r="P52" s="14"/>
      <c r="Q52" s="14"/>
      <c r="R52" s="14"/>
      <c r="S52" s="14"/>
      <c r="T52" s="14"/>
      <c r="U52" s="14"/>
      <c r="V52" s="185"/>
    </row>
    <row r="53" spans="1:22" ht="18" customHeight="1">
      <c r="A53" s="96"/>
      <c r="E53" s="199"/>
      <c r="G53" s="27"/>
      <c r="H53" s="27"/>
      <c r="I53" s="27"/>
      <c r="J53" s="120"/>
      <c r="K53" s="27"/>
      <c r="L53" s="120"/>
      <c r="M53" s="27"/>
      <c r="N53" s="120"/>
      <c r="O53" s="27"/>
      <c r="P53" s="120"/>
      <c r="Q53" s="296"/>
      <c r="V53" s="185"/>
    </row>
    <row r="54" spans="1:22" ht="18" customHeight="1">
      <c r="A54" s="184"/>
      <c r="D54" s="27" t="s">
        <v>827</v>
      </c>
      <c r="E54" s="795">
        <f>(E51/E52)*(H51+K51)*N51</f>
        <v>381.2712446153846</v>
      </c>
      <c r="F54" s="795"/>
      <c r="G54" s="27"/>
      <c r="H54" s="242"/>
      <c r="I54" s="245"/>
      <c r="J54" s="301"/>
      <c r="K54" s="245"/>
      <c r="L54" s="301"/>
      <c r="M54" s="245"/>
      <c r="N54" s="301"/>
      <c r="O54" s="245"/>
      <c r="P54" s="301"/>
      <c r="Q54" s="461"/>
      <c r="V54" s="185"/>
    </row>
    <row r="55" spans="1:22" ht="18" customHeight="1">
      <c r="A55" s="184"/>
      <c r="G55" s="27"/>
      <c r="H55" s="204"/>
      <c r="I55" s="204"/>
      <c r="V55" s="185"/>
    </row>
    <row r="56" spans="1:22" ht="18" customHeight="1">
      <c r="A56" s="258"/>
      <c r="B56" s="232"/>
      <c r="C56" s="232"/>
      <c r="D56" s="232"/>
      <c r="E56" s="232"/>
      <c r="F56" s="232"/>
      <c r="G56" s="232"/>
      <c r="H56" s="232"/>
      <c r="I56" s="232"/>
      <c r="J56" s="232"/>
      <c r="K56" s="232"/>
      <c r="L56" s="232"/>
      <c r="M56" s="232"/>
      <c r="N56" s="232"/>
      <c r="O56" s="232"/>
      <c r="P56" s="232"/>
      <c r="Q56" s="232"/>
      <c r="R56" s="232"/>
      <c r="S56" s="232"/>
      <c r="T56" s="232"/>
      <c r="U56" s="232"/>
      <c r="V56" s="233"/>
    </row>
    <row r="57" spans="1:22" ht="18" customHeight="1">
      <c r="A57" s="231"/>
      <c r="B57" s="232"/>
      <c r="C57" s="232"/>
      <c r="D57" s="232"/>
      <c r="E57" s="232"/>
      <c r="F57" s="232"/>
      <c r="G57" s="232"/>
      <c r="H57" s="232"/>
      <c r="I57" s="232"/>
      <c r="J57" s="232"/>
      <c r="K57" s="232"/>
      <c r="L57" s="232"/>
      <c r="M57" s="232"/>
      <c r="N57" s="232"/>
      <c r="O57" s="232"/>
      <c r="P57" s="232"/>
      <c r="Q57" s="232"/>
      <c r="R57" s="232"/>
      <c r="S57" s="232"/>
      <c r="T57" s="232"/>
      <c r="U57" s="232"/>
      <c r="V57" s="233"/>
    </row>
    <row r="58" spans="1:22" ht="18" customHeight="1">
      <c r="A58" s="184"/>
      <c r="D58" s="211"/>
      <c r="E58" s="211"/>
      <c r="F58" s="27"/>
      <c r="G58" s="211"/>
      <c r="H58" s="211"/>
      <c r="V58" s="185"/>
    </row>
    <row r="59" spans="1:22" ht="18" customHeight="1">
      <c r="A59" s="184"/>
      <c r="B59" s="27"/>
      <c r="C59" s="27"/>
      <c r="D59" s="27"/>
      <c r="E59" s="28"/>
      <c r="F59" s="27"/>
      <c r="G59" s="28"/>
      <c r="H59" s="27"/>
      <c r="I59" s="28"/>
      <c r="J59" s="27"/>
      <c r="K59" s="27"/>
      <c r="L59" s="27"/>
      <c r="M59" s="27"/>
      <c r="V59" s="185"/>
    </row>
    <row r="60" spans="1:22" ht="18" customHeight="1">
      <c r="A60" s="184"/>
      <c r="C60" s="27"/>
      <c r="D60" s="245"/>
      <c r="E60" s="221"/>
      <c r="F60" s="245"/>
      <c r="G60" s="222"/>
      <c r="H60" s="245"/>
      <c r="I60" s="245"/>
      <c r="J60" s="245"/>
      <c r="K60" s="245"/>
      <c r="L60" s="245"/>
      <c r="M60" s="27"/>
      <c r="V60" s="185"/>
    </row>
    <row r="61" spans="1:22" ht="18" customHeight="1">
      <c r="A61" s="184"/>
      <c r="C61" s="27"/>
      <c r="D61" s="204"/>
      <c r="E61" s="204"/>
      <c r="G61" s="18"/>
      <c r="V61" s="185"/>
    </row>
    <row r="62" spans="1:22" s="14" customFormat="1" ht="18" customHeight="1">
      <c r="A62" s="96"/>
      <c r="Q62" s="120"/>
      <c r="R62" s="28"/>
      <c r="S62" s="525"/>
      <c r="V62" s="381"/>
    </row>
    <row r="63" spans="1:22" s="14" customFormat="1" ht="18" customHeight="1">
      <c r="A63" s="193" t="s">
        <v>829</v>
      </c>
      <c r="B63" s="197"/>
      <c r="C63" s="197"/>
      <c r="D63" s="197"/>
      <c r="Q63" s="120"/>
      <c r="R63" s="28"/>
      <c r="S63" s="525"/>
      <c r="V63" s="381"/>
    </row>
    <row r="64" spans="1:22" s="14" customFormat="1" ht="18" customHeight="1">
      <c r="A64" s="193"/>
      <c r="B64" s="197"/>
      <c r="C64" s="197"/>
      <c r="D64" s="197"/>
      <c r="Q64" s="120"/>
      <c r="R64" s="28"/>
      <c r="S64" s="525"/>
      <c r="V64" s="381"/>
    </row>
    <row r="65" spans="1:22" s="14" customFormat="1" ht="18" customHeight="1">
      <c r="A65" s="96"/>
      <c r="B65" s="197" t="s">
        <v>826</v>
      </c>
      <c r="C65" s="197"/>
      <c r="Q65" s="120"/>
      <c r="R65" s="28"/>
      <c r="S65" s="525"/>
      <c r="V65" s="381"/>
    </row>
    <row r="66" spans="1:22" s="14" customFormat="1" ht="18" customHeight="1">
      <c r="A66" s="96"/>
      <c r="F66" s="244" t="s">
        <v>475</v>
      </c>
      <c r="G66" s="28" t="str">
        <f>IF(E67&gt;H67, "&gt;","&lt;")</f>
        <v>&gt;</v>
      </c>
      <c r="H66" s="14" t="s">
        <v>477</v>
      </c>
      <c r="L66" s="14" t="s">
        <v>830</v>
      </c>
      <c r="Q66" s="120"/>
      <c r="R66" s="28"/>
      <c r="S66" s="525"/>
      <c r="V66" s="381"/>
    </row>
    <row r="67" spans="1:22" s="14" customFormat="1" ht="18" customHeight="1">
      <c r="A67" s="96"/>
      <c r="E67" s="692">
        <f>H13</f>
        <v>500</v>
      </c>
      <c r="F67" s="692"/>
      <c r="G67" s="28" t="str">
        <f>G66</f>
        <v>&gt;</v>
      </c>
      <c r="H67" s="692">
        <f>E42</f>
        <v>47.658905576923075</v>
      </c>
      <c r="I67" s="692"/>
      <c r="Q67" s="120"/>
      <c r="R67" s="28"/>
      <c r="S67" s="525"/>
      <c r="V67" s="381"/>
    </row>
    <row r="68" spans="1:22" s="14" customFormat="1" ht="18" customHeight="1">
      <c r="A68" s="184"/>
      <c r="B68" s="30"/>
      <c r="C68" s="30"/>
      <c r="D68" s="211"/>
      <c r="E68" s="218"/>
      <c r="F68" s="199" t="s">
        <v>831</v>
      </c>
      <c r="G68" s="211"/>
      <c r="H68" s="281" t="s">
        <v>832</v>
      </c>
      <c r="I68" s="30"/>
      <c r="J68" s="28" t="s">
        <v>833</v>
      </c>
      <c r="K68" s="18" t="str">
        <f>IF(G67="&gt;", "Satisfied", "Not Satisfied")</f>
        <v>Satisfied</v>
      </c>
      <c r="L68" s="30"/>
      <c r="M68" s="30"/>
      <c r="N68" s="30"/>
      <c r="O68" s="30"/>
      <c r="Q68" s="120"/>
      <c r="R68" s="28"/>
      <c r="S68" s="525"/>
      <c r="V68" s="381"/>
    </row>
    <row r="69" spans="1:22" s="14" customFormat="1" ht="18" customHeight="1">
      <c r="A69" s="96"/>
      <c r="B69" s="197" t="s">
        <v>828</v>
      </c>
      <c r="C69" s="197"/>
      <c r="Q69" s="120"/>
      <c r="R69" s="28"/>
      <c r="S69" s="525"/>
      <c r="V69" s="381"/>
    </row>
    <row r="70" spans="1:22" s="14" customFormat="1" ht="18" customHeight="1">
      <c r="A70" s="96"/>
      <c r="F70" s="244" t="s">
        <v>475</v>
      </c>
      <c r="G70" s="28" t="str">
        <f>IF(E71&gt;H71, "&gt;","&lt;")</f>
        <v>&gt;</v>
      </c>
      <c r="H70" s="14" t="s">
        <v>477</v>
      </c>
      <c r="L70" s="14" t="s">
        <v>834</v>
      </c>
      <c r="Q70" s="120"/>
      <c r="R70" s="28"/>
      <c r="S70" s="525"/>
      <c r="V70" s="381"/>
    </row>
    <row r="71" spans="1:22" s="14" customFormat="1" ht="18" customHeight="1">
      <c r="A71" s="96"/>
      <c r="E71" s="692">
        <f>H13</f>
        <v>500</v>
      </c>
      <c r="F71" s="692"/>
      <c r="G71" s="28" t="str">
        <f>G70</f>
        <v>&gt;</v>
      </c>
      <c r="H71" s="692">
        <f>E54</f>
        <v>381.2712446153846</v>
      </c>
      <c r="I71" s="692"/>
      <c r="Q71" s="120"/>
      <c r="R71" s="28"/>
      <c r="S71" s="525"/>
      <c r="V71" s="381"/>
    </row>
    <row r="72" spans="1:22" s="14" customFormat="1" ht="18" customHeight="1">
      <c r="A72" s="184"/>
      <c r="B72" s="30"/>
      <c r="C72" s="30"/>
      <c r="D72" s="211"/>
      <c r="F72" s="199" t="s">
        <v>831</v>
      </c>
      <c r="G72" s="211"/>
      <c r="H72" s="281" t="s">
        <v>828</v>
      </c>
      <c r="I72" s="30"/>
      <c r="J72" s="28" t="s">
        <v>833</v>
      </c>
      <c r="K72" s="18" t="str">
        <f>IF(G71="&gt;", "Satisfied", "Not Satisfied")</f>
        <v>Satisfied</v>
      </c>
      <c r="L72" s="30"/>
      <c r="M72" s="30"/>
      <c r="N72" s="30"/>
      <c r="O72" s="30"/>
      <c r="Q72" s="120"/>
      <c r="R72" s="28"/>
      <c r="S72" s="525"/>
      <c r="V72" s="381"/>
    </row>
    <row r="73" spans="1:22" s="14" customFormat="1" ht="18" customHeight="1">
      <c r="A73" s="184"/>
      <c r="B73" s="30"/>
      <c r="C73" s="30"/>
      <c r="D73" s="30"/>
      <c r="E73" s="30"/>
      <c r="F73" s="30"/>
      <c r="G73" s="30"/>
      <c r="H73" s="28"/>
      <c r="I73" s="28"/>
      <c r="J73" s="28"/>
      <c r="K73" s="28"/>
      <c r="L73" s="28"/>
      <c r="M73" s="28"/>
      <c r="N73" s="28"/>
      <c r="O73" s="28"/>
      <c r="Q73" s="120"/>
      <c r="R73" s="28"/>
      <c r="S73" s="525"/>
      <c r="V73" s="381"/>
    </row>
    <row r="74" spans="1:22" s="14" customFormat="1" ht="18" customHeight="1">
      <c r="A74" s="96"/>
      <c r="F74" s="244" t="s">
        <v>478</v>
      </c>
      <c r="H74" s="18" t="str">
        <f>IF(AND(G66="&gt;",G70="&gt;"),"Suitably Dimentioned",IF(AND(G66="&gt;",G70="&gt;"),"Over Dimentioned",IF(G66="&lt;","Under Dimentioned","")))</f>
        <v>Suitably Dimentioned</v>
      </c>
      <c r="I74" s="18"/>
      <c r="J74" s="18"/>
      <c r="K74" s="18"/>
      <c r="L74" s="18"/>
      <c r="M74" s="18"/>
      <c r="Q74" s="120"/>
      <c r="R74" s="28"/>
      <c r="S74" s="525"/>
      <c r="V74" s="381"/>
    </row>
    <row r="75" spans="1:22" s="14" customFormat="1" ht="18" customHeight="1">
      <c r="A75" s="96"/>
      <c r="Q75" s="120"/>
      <c r="R75" s="28"/>
      <c r="S75" s="525"/>
      <c r="V75" s="381"/>
    </row>
    <row r="76" spans="1:22" s="14" customFormat="1" ht="18" customHeight="1">
      <c r="A76" s="96"/>
      <c r="Q76" s="120"/>
      <c r="R76" s="28"/>
      <c r="S76" s="525"/>
      <c r="V76" s="381"/>
    </row>
    <row r="77" spans="1:22" s="14" customFormat="1" ht="18" customHeight="1">
      <c r="A77" s="96"/>
      <c r="Q77" s="120"/>
      <c r="R77" s="28"/>
      <c r="S77" s="525"/>
      <c r="V77" s="381"/>
    </row>
    <row r="78" spans="1:22" s="14" customFormat="1" ht="18" customHeight="1">
      <c r="A78" s="96"/>
      <c r="Q78" s="120"/>
      <c r="R78" s="28"/>
      <c r="S78" s="525"/>
      <c r="V78" s="381"/>
    </row>
    <row r="79" spans="1:22" s="14" customFormat="1" ht="18" customHeight="1">
      <c r="A79" s="96"/>
      <c r="Q79" s="120"/>
      <c r="R79" s="28"/>
      <c r="S79" s="525"/>
      <c r="V79" s="381"/>
    </row>
    <row r="80" spans="1:22" s="14" customFormat="1" ht="18" customHeight="1">
      <c r="A80" s="96"/>
      <c r="Q80" s="120"/>
      <c r="R80" s="28"/>
      <c r="S80" s="525"/>
      <c r="V80" s="381"/>
    </row>
    <row r="81" spans="1:23" s="14" customFormat="1" ht="18" customHeight="1">
      <c r="A81" s="96"/>
      <c r="Q81" s="120"/>
      <c r="R81" s="28"/>
      <c r="S81" s="525"/>
      <c r="V81" s="381"/>
    </row>
    <row r="82" spans="1:23" s="14" customFormat="1" ht="18" customHeight="1">
      <c r="A82" s="96"/>
      <c r="Q82" s="120"/>
      <c r="R82" s="28"/>
      <c r="S82" s="525"/>
      <c r="V82" s="381"/>
    </row>
    <row r="83" spans="1:23" s="14" customFormat="1" ht="18" customHeight="1">
      <c r="A83" s="96"/>
      <c r="Q83" s="120"/>
      <c r="R83" s="28"/>
      <c r="S83" s="525"/>
      <c r="V83" s="381"/>
    </row>
    <row r="84" spans="1:23" s="14" customFormat="1" ht="18" customHeight="1">
      <c r="A84" s="96"/>
      <c r="Q84" s="120"/>
      <c r="R84" s="28"/>
      <c r="S84" s="525"/>
      <c r="V84" s="381"/>
    </row>
    <row r="85" spans="1:23" s="14" customFormat="1" ht="18" customHeight="1">
      <c r="A85" s="194"/>
      <c r="B85" s="195"/>
      <c r="C85" s="195"/>
      <c r="D85" s="195"/>
      <c r="E85" s="195"/>
      <c r="F85" s="195"/>
      <c r="G85" s="195"/>
      <c r="H85" s="195"/>
      <c r="I85" s="195"/>
      <c r="J85" s="195"/>
      <c r="K85" s="195"/>
      <c r="L85" s="195"/>
      <c r="M85" s="195"/>
      <c r="N85" s="195"/>
      <c r="O85" s="195"/>
      <c r="P85" s="195"/>
      <c r="Q85" s="224"/>
      <c r="R85" s="182"/>
      <c r="S85" s="225"/>
      <c r="T85" s="195"/>
      <c r="U85" s="195"/>
      <c r="V85" s="134"/>
    </row>
    <row r="86" spans="1:23" ht="18" customHeight="1">
      <c r="A86" s="226"/>
      <c r="B86" s="227"/>
      <c r="C86" s="227"/>
      <c r="D86" s="227"/>
      <c r="E86" s="227"/>
      <c r="F86" s="227"/>
      <c r="G86" s="227"/>
      <c r="H86" s="227"/>
      <c r="I86" s="227"/>
      <c r="J86" s="227"/>
      <c r="K86" s="227"/>
      <c r="L86" s="227"/>
      <c r="M86" s="227"/>
      <c r="N86" s="227"/>
      <c r="O86" s="227"/>
      <c r="P86" s="227"/>
      <c r="Q86" s="227"/>
      <c r="R86" s="227"/>
      <c r="S86" s="227"/>
      <c r="T86" s="227"/>
      <c r="U86" s="227"/>
      <c r="V86" s="228"/>
    </row>
    <row r="87" spans="1:23" ht="18" customHeight="1">
      <c r="A87" s="184"/>
      <c r="B87" s="854" t="str">
        <f>B7</f>
        <v>T2</v>
      </c>
      <c r="C87" s="831"/>
      <c r="D87" s="854" t="str">
        <f>D7</f>
        <v>Core1</v>
      </c>
      <c r="E87" s="831"/>
      <c r="F87" s="455"/>
      <c r="H87" s="684" t="s">
        <v>711</v>
      </c>
      <c r="I87" s="684"/>
      <c r="J87" s="684"/>
      <c r="K87" s="684"/>
      <c r="L87" s="684"/>
      <c r="M87" s="684"/>
      <c r="P87" s="186"/>
      <c r="S87" s="187" t="s">
        <v>387</v>
      </c>
      <c r="T87" s="1075" t="s">
        <v>1012</v>
      </c>
      <c r="U87" s="1076"/>
      <c r="V87" s="185"/>
    </row>
    <row r="88" spans="1:23" ht="18" customHeight="1">
      <c r="A88" s="456"/>
      <c r="F88" s="455"/>
      <c r="T88" s="1075" t="s">
        <v>1020</v>
      </c>
      <c r="U88" s="1076"/>
      <c r="V88" s="185"/>
    </row>
    <row r="89" spans="1:23" ht="18" customHeight="1">
      <c r="A89" s="184"/>
      <c r="H89" s="708" t="s">
        <v>390</v>
      </c>
      <c r="I89" s="708"/>
      <c r="J89" s="789" t="s">
        <v>391</v>
      </c>
      <c r="K89" s="789"/>
      <c r="L89" s="790" t="s">
        <v>392</v>
      </c>
      <c r="M89" s="790"/>
      <c r="T89" s="1075"/>
      <c r="U89" s="1076"/>
      <c r="V89" s="185"/>
    </row>
    <row r="90" spans="1:23" ht="18" customHeight="1">
      <c r="A90" s="184"/>
      <c r="B90" s="47" t="s">
        <v>393</v>
      </c>
      <c r="H90" s="854">
        <f>H10</f>
        <v>2000</v>
      </c>
      <c r="I90" s="831"/>
      <c r="J90" s="863">
        <f>J10</f>
        <v>3200</v>
      </c>
      <c r="K90" s="864"/>
      <c r="L90" s="854">
        <f>L10</f>
        <v>0</v>
      </c>
      <c r="M90" s="831"/>
      <c r="N90" s="191" t="s">
        <v>342</v>
      </c>
      <c r="O90" s="256">
        <f>O10</f>
        <v>1</v>
      </c>
      <c r="P90" s="27" t="s">
        <v>8</v>
      </c>
      <c r="R90" s="255"/>
      <c r="S90" s="255"/>
      <c r="V90" s="185"/>
    </row>
    <row r="91" spans="1:23" ht="18" customHeight="1">
      <c r="A91" s="184"/>
      <c r="B91" s="47" t="s">
        <v>394</v>
      </c>
      <c r="J91" s="854" t="str">
        <f>H11</f>
        <v>PX</v>
      </c>
      <c r="K91" s="831"/>
      <c r="V91" s="185"/>
    </row>
    <row r="92" spans="1:23" ht="18" customHeight="1">
      <c r="A92" s="184"/>
      <c r="B92" s="47" t="s">
        <v>396</v>
      </c>
      <c r="I92" s="120" t="s">
        <v>497</v>
      </c>
      <c r="J92" s="1224">
        <v>5</v>
      </c>
      <c r="K92" s="1225"/>
      <c r="L92" s="192" t="s">
        <v>333</v>
      </c>
      <c r="V92" s="185"/>
    </row>
    <row r="93" spans="1:23" ht="18" customHeight="1">
      <c r="A93" s="184"/>
      <c r="B93" s="47" t="s">
        <v>398</v>
      </c>
      <c r="I93" s="120" t="s">
        <v>498</v>
      </c>
      <c r="J93" s="1075">
        <v>900</v>
      </c>
      <c r="K93" s="1076"/>
      <c r="L93" s="14" t="s">
        <v>305</v>
      </c>
      <c r="U93" s="18"/>
      <c r="V93" s="185"/>
      <c r="W93" s="30" t="str">
        <f>H154</f>
        <v>Suitably Dimentioned</v>
      </c>
    </row>
    <row r="94" spans="1:23" ht="18" customHeight="1">
      <c r="A94" s="184"/>
      <c r="B94" s="14" t="s">
        <v>401</v>
      </c>
      <c r="I94" s="120" t="s">
        <v>402</v>
      </c>
      <c r="J94" s="1075">
        <v>10</v>
      </c>
      <c r="K94" s="1076"/>
      <c r="L94" s="14" t="s">
        <v>403</v>
      </c>
      <c r="V94" s="185"/>
    </row>
    <row r="95" spans="1:23" ht="18" customHeight="1">
      <c r="A95" s="184"/>
      <c r="V95" s="185"/>
    </row>
    <row r="96" spans="1:23" ht="18" customHeight="1">
      <c r="A96" s="193" t="s">
        <v>404</v>
      </c>
      <c r="V96" s="185"/>
    </row>
    <row r="97" spans="1:22" ht="18" customHeight="1">
      <c r="A97" s="184"/>
      <c r="V97" s="185"/>
    </row>
    <row r="98" spans="1:22" ht="18" customHeight="1">
      <c r="A98" s="184"/>
      <c r="B98" s="135" t="s">
        <v>405</v>
      </c>
      <c r="C98" s="273"/>
      <c r="D98" s="139" t="str">
        <f>T87</f>
        <v>7SS522</v>
      </c>
      <c r="E98" s="227"/>
      <c r="F98" s="227"/>
      <c r="G98" s="227"/>
      <c r="H98" s="138"/>
      <c r="I98" s="260" t="s">
        <v>127</v>
      </c>
      <c r="J98" s="696">
        <f>J18</f>
        <v>0.1</v>
      </c>
      <c r="K98" s="722"/>
      <c r="L98" s="3" t="s">
        <v>157</v>
      </c>
      <c r="N98" s="197"/>
      <c r="V98" s="185"/>
    </row>
    <row r="99" spans="1:22" ht="18" customHeight="1">
      <c r="A99" s="184"/>
      <c r="B99" s="96" t="s">
        <v>405</v>
      </c>
      <c r="C99" s="14"/>
      <c r="D99" s="47" t="str">
        <f>T88</f>
        <v>6MU85</v>
      </c>
      <c r="E99" s="14"/>
      <c r="G99" s="199"/>
      <c r="H99" s="27"/>
      <c r="I99" s="101" t="s">
        <v>127</v>
      </c>
      <c r="J99" s="696">
        <f>J19</f>
        <v>0.1</v>
      </c>
      <c r="K99" s="722"/>
      <c r="L99" s="202" t="s">
        <v>157</v>
      </c>
      <c r="N99" s="28"/>
      <c r="O99" s="27"/>
      <c r="P99" s="28"/>
      <c r="Q99" s="102"/>
      <c r="R99" s="28"/>
      <c r="S99" s="27"/>
      <c r="T99" s="28"/>
      <c r="V99" s="185"/>
    </row>
    <row r="100" spans="1:22" ht="18" customHeight="1">
      <c r="A100" s="184"/>
      <c r="B100" s="96" t="s">
        <v>405</v>
      </c>
      <c r="C100" s="14"/>
      <c r="D100" s="47">
        <f>T89</f>
        <v>0</v>
      </c>
      <c r="E100" s="14"/>
      <c r="G100" s="199"/>
      <c r="H100" s="27"/>
      <c r="I100" s="101" t="s">
        <v>127</v>
      </c>
      <c r="J100" s="696">
        <f>J20</f>
        <v>0</v>
      </c>
      <c r="K100" s="722"/>
      <c r="L100" s="202" t="s">
        <v>157</v>
      </c>
      <c r="N100" s="27"/>
      <c r="O100" s="27"/>
      <c r="P100" s="27"/>
      <c r="Q100" s="102"/>
      <c r="R100" s="27"/>
      <c r="S100" s="27"/>
      <c r="T100" s="27"/>
      <c r="V100" s="185"/>
    </row>
    <row r="101" spans="1:22" ht="18" customHeight="1">
      <c r="A101" s="184"/>
      <c r="B101" s="184" t="s">
        <v>412</v>
      </c>
      <c r="C101" s="14"/>
      <c r="D101" s="14"/>
      <c r="E101" s="14"/>
      <c r="H101" s="27"/>
      <c r="I101" s="101" t="s">
        <v>127</v>
      </c>
      <c r="J101" s="696">
        <f>J21</f>
        <v>1.25652618</v>
      </c>
      <c r="K101" s="722"/>
      <c r="L101" s="297" t="s">
        <v>157</v>
      </c>
      <c r="N101" s="27"/>
      <c r="O101" s="27"/>
      <c r="P101" s="204"/>
      <c r="R101" s="192"/>
      <c r="S101" s="27"/>
      <c r="T101" s="27"/>
      <c r="V101" s="185"/>
    </row>
    <row r="102" spans="1:22" ht="18" customHeight="1">
      <c r="A102" s="184"/>
      <c r="B102" s="1" t="s">
        <v>413</v>
      </c>
      <c r="C102" s="2"/>
      <c r="D102" s="2"/>
      <c r="E102" s="2"/>
      <c r="F102" s="196"/>
      <c r="G102" s="196"/>
      <c r="H102" s="224" t="s">
        <v>512</v>
      </c>
      <c r="I102" s="183" t="s">
        <v>127</v>
      </c>
      <c r="J102" s="722">
        <f>SUM(J98:J101)</f>
        <v>1.45652618</v>
      </c>
      <c r="K102" s="958"/>
      <c r="L102" s="3" t="s">
        <v>157</v>
      </c>
      <c r="V102" s="185"/>
    </row>
    <row r="103" spans="1:22" ht="18" customHeight="1">
      <c r="A103" s="184"/>
      <c r="B103" s="47"/>
      <c r="C103" s="47"/>
      <c r="D103" s="47"/>
      <c r="E103" s="47"/>
      <c r="H103" s="27"/>
      <c r="I103" s="28"/>
      <c r="J103" s="199"/>
      <c r="L103" s="47"/>
      <c r="O103" s="27"/>
      <c r="P103" s="211"/>
      <c r="Q103" s="27"/>
      <c r="R103" s="204"/>
      <c r="S103" s="27"/>
      <c r="V103" s="185"/>
    </row>
    <row r="104" spans="1:22" ht="18" customHeight="1">
      <c r="A104" s="184"/>
      <c r="B104" s="47"/>
      <c r="C104" s="47"/>
      <c r="D104" s="47"/>
      <c r="E104" s="47"/>
      <c r="H104" s="27"/>
      <c r="I104" s="28"/>
      <c r="J104" s="199"/>
      <c r="L104" s="47"/>
      <c r="O104" s="27"/>
      <c r="P104" s="211"/>
      <c r="Q104" s="27"/>
      <c r="R104" s="204"/>
      <c r="S104" s="27"/>
      <c r="V104" s="185"/>
    </row>
    <row r="105" spans="1:22" ht="18" customHeight="1">
      <c r="A105" s="168"/>
      <c r="B105" s="5"/>
      <c r="C105" s="47" t="s">
        <v>1013</v>
      </c>
      <c r="D105" s="14"/>
      <c r="E105" s="14"/>
      <c r="F105" s="14"/>
      <c r="G105" s="14"/>
      <c r="H105" s="279"/>
      <c r="I105" s="120"/>
      <c r="J105" s="279"/>
      <c r="K105" s="279"/>
      <c r="L105" s="14"/>
      <c r="M105" s="14"/>
      <c r="N105" s="14"/>
      <c r="O105" s="14"/>
      <c r="P105" s="14"/>
      <c r="Q105" s="120" t="s">
        <v>1014</v>
      </c>
      <c r="R105" s="102" t="s">
        <v>127</v>
      </c>
      <c r="S105" s="854">
        <f>S25</f>
        <v>50000</v>
      </c>
      <c r="T105" s="831"/>
      <c r="U105" s="47" t="s">
        <v>8</v>
      </c>
      <c r="V105" s="185"/>
    </row>
    <row r="106" spans="1:22" ht="18" customHeight="1">
      <c r="A106" s="168"/>
      <c r="B106" s="5"/>
      <c r="C106" s="47" t="s">
        <v>654</v>
      </c>
      <c r="D106" s="14"/>
      <c r="E106" s="14"/>
      <c r="F106" s="18"/>
      <c r="G106" s="18"/>
      <c r="H106" s="279"/>
      <c r="I106" s="120"/>
      <c r="J106" s="279"/>
      <c r="K106" s="279"/>
      <c r="L106" s="14"/>
      <c r="M106" s="14"/>
      <c r="N106" s="14"/>
      <c r="O106" s="14"/>
      <c r="P106" s="14"/>
      <c r="Q106" s="120" t="s">
        <v>423</v>
      </c>
      <c r="R106" s="102" t="s">
        <v>127</v>
      </c>
      <c r="S106" s="689">
        <f>J90</f>
        <v>3200</v>
      </c>
      <c r="T106" s="689"/>
      <c r="U106" s="14" t="s">
        <v>8</v>
      </c>
      <c r="V106" s="185"/>
    </row>
    <row r="107" spans="1:22" ht="18" customHeight="1">
      <c r="A107" s="168"/>
      <c r="B107" s="5"/>
      <c r="C107" s="47" t="s">
        <v>1015</v>
      </c>
      <c r="E107" s="14"/>
      <c r="F107" s="18"/>
      <c r="G107" s="18"/>
      <c r="H107" s="279"/>
      <c r="I107" s="120"/>
      <c r="J107" s="279"/>
      <c r="K107" s="279"/>
      <c r="L107" s="14"/>
      <c r="M107" s="14"/>
      <c r="N107" s="14"/>
      <c r="O107" s="14"/>
      <c r="P107" s="14"/>
      <c r="Q107" s="120" t="s">
        <v>411</v>
      </c>
      <c r="R107" s="28" t="s">
        <v>127</v>
      </c>
      <c r="S107" s="689">
        <f>O90</f>
        <v>1</v>
      </c>
      <c r="T107" s="689"/>
      <c r="U107" s="14" t="s">
        <v>8</v>
      </c>
      <c r="V107" s="185"/>
    </row>
    <row r="108" spans="1:22" ht="18" customHeight="1">
      <c r="A108" s="168"/>
      <c r="B108" s="5"/>
      <c r="C108" s="47" t="s">
        <v>1016</v>
      </c>
      <c r="D108" s="14"/>
      <c r="E108" s="14"/>
      <c r="F108" s="18"/>
      <c r="G108" s="18"/>
      <c r="H108" s="279"/>
      <c r="I108" s="120"/>
      <c r="J108" s="279"/>
      <c r="K108" s="279"/>
      <c r="L108" s="14"/>
      <c r="M108" s="14"/>
      <c r="N108" s="14"/>
      <c r="O108" s="14"/>
      <c r="P108" s="14"/>
      <c r="Q108" s="120" t="s">
        <v>512</v>
      </c>
      <c r="R108" s="102" t="s">
        <v>127</v>
      </c>
      <c r="S108" s="692">
        <f>J102</f>
        <v>1.45652618</v>
      </c>
      <c r="T108" s="689"/>
      <c r="U108" s="14" t="s">
        <v>157</v>
      </c>
      <c r="V108" s="185"/>
    </row>
    <row r="109" spans="1:22" ht="18" customHeight="1">
      <c r="A109" s="168"/>
      <c r="B109" s="5"/>
      <c r="C109" s="47" t="s">
        <v>1017</v>
      </c>
      <c r="D109" s="14"/>
      <c r="E109" s="14"/>
      <c r="F109" s="18"/>
      <c r="G109" s="18"/>
      <c r="H109" s="279"/>
      <c r="I109" s="120"/>
      <c r="J109" s="279"/>
      <c r="K109" s="279"/>
      <c r="L109" s="14"/>
      <c r="M109" s="14"/>
      <c r="N109" s="14"/>
      <c r="O109" s="14"/>
      <c r="P109" s="14"/>
      <c r="Q109" s="120" t="s">
        <v>689</v>
      </c>
      <c r="R109" s="28" t="s">
        <v>127</v>
      </c>
      <c r="S109" s="692">
        <f>J102/S107*S107</f>
        <v>1.45652618</v>
      </c>
      <c r="T109" s="692"/>
      <c r="U109" s="192" t="s">
        <v>333</v>
      </c>
      <c r="V109" s="185"/>
    </row>
    <row r="110" spans="1:22" ht="18" customHeight="1">
      <c r="A110" s="299"/>
      <c r="B110" s="279"/>
      <c r="C110" s="47" t="s">
        <v>1018</v>
      </c>
      <c r="Q110" s="14" t="s">
        <v>687</v>
      </c>
      <c r="R110" s="28" t="s">
        <v>127</v>
      </c>
      <c r="S110" s="689">
        <v>0.5</v>
      </c>
      <c r="T110" s="689"/>
      <c r="V110" s="300"/>
    </row>
    <row r="111" spans="1:22" ht="18" customHeight="1">
      <c r="A111" s="184"/>
      <c r="V111" s="185"/>
    </row>
    <row r="112" spans="1:22" ht="18" customHeight="1">
      <c r="A112" s="96"/>
      <c r="B112" s="14"/>
      <c r="C112" s="14"/>
      <c r="D112" s="14"/>
      <c r="E112" s="14"/>
      <c r="F112" s="14"/>
      <c r="G112" s="14"/>
      <c r="H112" s="14"/>
      <c r="I112" s="14"/>
      <c r="J112" s="14"/>
      <c r="K112" s="14"/>
      <c r="L112" s="14"/>
      <c r="M112" s="14"/>
      <c r="N112" s="14"/>
      <c r="O112" s="14"/>
      <c r="P112" s="28"/>
      <c r="Q112" s="120"/>
      <c r="R112" s="14"/>
      <c r="S112" s="14"/>
      <c r="T112" s="14"/>
      <c r="U112" s="14"/>
      <c r="V112" s="185"/>
    </row>
    <row r="113" spans="1:22" ht="18" customHeight="1">
      <c r="A113" s="193" t="s">
        <v>755</v>
      </c>
      <c r="B113" s="14"/>
      <c r="C113" s="14"/>
      <c r="D113" s="14"/>
      <c r="E113" s="14"/>
      <c r="F113" s="14"/>
      <c r="G113" s="14"/>
      <c r="H113" s="14"/>
      <c r="K113" s="14"/>
      <c r="T113" s="14"/>
      <c r="U113" s="14"/>
      <c r="V113" s="185"/>
    </row>
    <row r="114" spans="1:22" ht="18" customHeight="1">
      <c r="A114" s="96"/>
      <c r="B114" s="14"/>
      <c r="C114" s="14"/>
      <c r="D114" s="14"/>
      <c r="E114" s="14"/>
      <c r="F114" s="14"/>
      <c r="G114" s="14"/>
      <c r="H114" s="14"/>
      <c r="K114" s="14"/>
      <c r="T114" s="14"/>
      <c r="U114" s="14"/>
      <c r="V114" s="185"/>
    </row>
    <row r="115" spans="1:22" ht="18" customHeight="1">
      <c r="A115" s="193" t="s">
        <v>826</v>
      </c>
      <c r="H115" s="28"/>
      <c r="I115" s="28"/>
      <c r="J115" s="28"/>
      <c r="K115" s="28"/>
      <c r="T115" s="14"/>
      <c r="U115" s="14"/>
      <c r="V115" s="185"/>
    </row>
    <row r="116" spans="1:22" ht="18" customHeight="1">
      <c r="A116" s="184"/>
      <c r="B116" s="689" t="s">
        <v>473</v>
      </c>
      <c r="C116" s="689"/>
      <c r="D116" s="689" t="s">
        <v>827</v>
      </c>
      <c r="E116" s="689" t="s">
        <v>687</v>
      </c>
      <c r="F116" s="689" t="s">
        <v>315</v>
      </c>
      <c r="G116" s="708" t="s">
        <v>1014</v>
      </c>
      <c r="H116" s="708"/>
      <c r="I116" s="708"/>
      <c r="J116" s="708"/>
      <c r="K116" s="689" t="s">
        <v>372</v>
      </c>
      <c r="L116" s="689" t="s">
        <v>420</v>
      </c>
      <c r="M116" s="689"/>
      <c r="N116" s="689" t="s">
        <v>347</v>
      </c>
      <c r="O116" s="689" t="s">
        <v>689</v>
      </c>
      <c r="P116" s="689"/>
      <c r="Q116" s="689" t="s">
        <v>674</v>
      </c>
      <c r="R116" s="689" t="s">
        <v>411</v>
      </c>
      <c r="T116" s="14"/>
      <c r="U116" s="14"/>
      <c r="V116" s="185"/>
    </row>
    <row r="117" spans="1:22" ht="18" customHeight="1">
      <c r="A117" s="96"/>
      <c r="B117" s="689"/>
      <c r="C117" s="689"/>
      <c r="D117" s="689"/>
      <c r="E117" s="689"/>
      <c r="F117" s="689"/>
      <c r="G117" s="211">
        <v>1.3</v>
      </c>
      <c r="H117" s="218" t="s">
        <v>315</v>
      </c>
      <c r="I117" s="689" t="s">
        <v>423</v>
      </c>
      <c r="J117" s="689"/>
      <c r="K117" s="689"/>
      <c r="L117" s="689"/>
      <c r="M117" s="689"/>
      <c r="N117" s="689"/>
      <c r="O117" s="689"/>
      <c r="P117" s="689"/>
      <c r="Q117" s="689"/>
      <c r="R117" s="689"/>
      <c r="T117" s="14"/>
      <c r="U117" s="14"/>
      <c r="V117" s="185"/>
    </row>
    <row r="118" spans="1:22" ht="18" customHeight="1">
      <c r="A118" s="184"/>
      <c r="D118" s="211"/>
      <c r="E118" s="211"/>
      <c r="F118" s="27"/>
      <c r="S118" s="14"/>
      <c r="T118" s="14"/>
      <c r="U118" s="14"/>
      <c r="V118" s="185"/>
    </row>
    <row r="119" spans="1:22" ht="18" customHeight="1">
      <c r="A119" s="184"/>
      <c r="B119" s="14"/>
      <c r="C119" s="14"/>
      <c r="D119" s="689" t="s">
        <v>127</v>
      </c>
      <c r="E119" s="689">
        <f>S110</f>
        <v>0.5</v>
      </c>
      <c r="F119" s="689" t="s">
        <v>315</v>
      </c>
      <c r="G119" s="708">
        <f>S105</f>
        <v>50000</v>
      </c>
      <c r="H119" s="708"/>
      <c r="I119" s="708"/>
      <c r="J119" s="708"/>
      <c r="K119" s="689" t="s">
        <v>372</v>
      </c>
      <c r="L119" s="689">
        <f>J92</f>
        <v>5</v>
      </c>
      <c r="M119" s="689"/>
      <c r="N119" s="689" t="s">
        <v>347</v>
      </c>
      <c r="O119" s="692">
        <f>S109</f>
        <v>1.45652618</v>
      </c>
      <c r="P119" s="689"/>
      <c r="Q119" s="689" t="s">
        <v>674</v>
      </c>
      <c r="R119" s="689">
        <f>S107</f>
        <v>1</v>
      </c>
      <c r="S119" s="14"/>
      <c r="T119" s="14"/>
      <c r="U119" s="14"/>
      <c r="V119" s="185"/>
    </row>
    <row r="120" spans="1:22" ht="18" customHeight="1">
      <c r="A120" s="184"/>
      <c r="B120" s="14"/>
      <c r="C120" s="14"/>
      <c r="D120" s="689"/>
      <c r="E120" s="689"/>
      <c r="F120" s="689"/>
      <c r="G120" s="211">
        <v>1.3</v>
      </c>
      <c r="H120" s="218" t="s">
        <v>315</v>
      </c>
      <c r="I120" s="689">
        <f>S106</f>
        <v>3200</v>
      </c>
      <c r="J120" s="689"/>
      <c r="K120" s="689"/>
      <c r="L120" s="689"/>
      <c r="M120" s="689"/>
      <c r="N120" s="689"/>
      <c r="O120" s="689"/>
      <c r="P120" s="689"/>
      <c r="Q120" s="689"/>
      <c r="R120" s="689"/>
      <c r="V120" s="185"/>
    </row>
    <row r="121" spans="1:22" ht="18" customHeight="1">
      <c r="A121" s="184"/>
      <c r="G121" s="211"/>
      <c r="H121" s="218"/>
      <c r="J121" s="28"/>
      <c r="K121" s="28"/>
      <c r="L121" s="28"/>
      <c r="M121" s="28"/>
      <c r="N121" s="28"/>
      <c r="O121" s="28"/>
      <c r="P121" s="28"/>
      <c r="Q121" s="28"/>
      <c r="R121" s="28"/>
      <c r="V121" s="185"/>
    </row>
    <row r="122" spans="1:22" ht="18" customHeight="1">
      <c r="A122" s="184"/>
      <c r="D122" s="28" t="s">
        <v>127</v>
      </c>
      <c r="E122" s="692">
        <f>E119*(G119/(G120*I120))*(L119+O119)*R119</f>
        <v>38.801239062500002</v>
      </c>
      <c r="F122" s="692"/>
      <c r="G122" s="47"/>
      <c r="H122" s="28"/>
      <c r="I122" s="28"/>
      <c r="J122" s="28"/>
      <c r="K122" s="28"/>
      <c r="L122" s="28"/>
      <c r="M122" s="28"/>
      <c r="N122" s="28"/>
      <c r="O122" s="28"/>
      <c r="P122" s="28"/>
      <c r="Q122" s="28"/>
      <c r="R122" s="28"/>
      <c r="V122" s="185"/>
    </row>
    <row r="123" spans="1:22" ht="18" customHeight="1">
      <c r="A123" s="184"/>
      <c r="D123" s="28"/>
      <c r="E123" s="218"/>
      <c r="F123" s="218"/>
      <c r="G123" s="47"/>
      <c r="H123" s="28"/>
      <c r="I123" s="28"/>
      <c r="J123" s="28"/>
      <c r="K123" s="28"/>
      <c r="L123" s="28"/>
      <c r="M123" s="28"/>
      <c r="N123" s="28"/>
      <c r="O123" s="28"/>
      <c r="P123" s="28"/>
      <c r="Q123" s="28"/>
      <c r="R123" s="28"/>
      <c r="V123" s="185"/>
    </row>
    <row r="124" spans="1:22" ht="18" customHeight="1">
      <c r="A124" s="184"/>
      <c r="V124" s="185"/>
    </row>
    <row r="125" spans="1:22" ht="18" customHeight="1">
      <c r="A125" s="194"/>
      <c r="B125" s="195"/>
      <c r="C125" s="195"/>
      <c r="D125" s="195"/>
      <c r="E125" s="195"/>
      <c r="F125" s="195"/>
      <c r="G125" s="195"/>
      <c r="H125" s="195"/>
      <c r="I125" s="195"/>
      <c r="J125" s="195"/>
      <c r="K125" s="195"/>
      <c r="L125" s="195"/>
      <c r="M125" s="195"/>
      <c r="N125" s="195"/>
      <c r="O125" s="195"/>
      <c r="P125" s="195"/>
      <c r="Q125" s="224"/>
      <c r="R125" s="182"/>
      <c r="S125" s="225"/>
      <c r="T125" s="195"/>
      <c r="U125" s="195"/>
      <c r="V125" s="134"/>
    </row>
    <row r="126" spans="1:22" ht="18" customHeight="1">
      <c r="A126" s="135"/>
      <c r="B126" s="273"/>
      <c r="C126" s="273"/>
      <c r="D126" s="273"/>
      <c r="E126" s="273"/>
      <c r="F126" s="273"/>
      <c r="G126" s="273"/>
      <c r="H126" s="273"/>
      <c r="I126" s="273"/>
      <c r="J126" s="273"/>
      <c r="K126" s="273"/>
      <c r="L126" s="273"/>
      <c r="M126" s="273"/>
      <c r="N126" s="273"/>
      <c r="O126" s="273"/>
      <c r="P126" s="273"/>
      <c r="Q126" s="274"/>
      <c r="R126" s="138"/>
      <c r="S126" s="275"/>
      <c r="T126" s="273"/>
      <c r="U126" s="273"/>
      <c r="V126" s="276"/>
    </row>
    <row r="127" spans="1:22" ht="18" customHeight="1">
      <c r="A127" s="193" t="s">
        <v>828</v>
      </c>
      <c r="H127" s="28"/>
      <c r="I127" s="28"/>
      <c r="J127" s="28"/>
      <c r="K127" s="28"/>
      <c r="L127" s="28"/>
      <c r="M127" s="28"/>
      <c r="N127" s="28"/>
      <c r="O127" s="27"/>
      <c r="P127" s="27"/>
      <c r="Q127" s="28"/>
      <c r="T127" s="14"/>
      <c r="U127" s="14"/>
      <c r="V127" s="185"/>
    </row>
    <row r="128" spans="1:22" ht="18" customHeight="1">
      <c r="A128" s="184"/>
      <c r="B128" s="689" t="s">
        <v>473</v>
      </c>
      <c r="C128" s="689"/>
      <c r="D128" s="684" t="s">
        <v>827</v>
      </c>
      <c r="E128" s="708">
        <v>100</v>
      </c>
      <c r="F128" s="708"/>
      <c r="G128" s="689" t="s">
        <v>372</v>
      </c>
      <c r="H128" s="689" t="s">
        <v>420</v>
      </c>
      <c r="I128" s="689"/>
      <c r="J128" s="689" t="s">
        <v>347</v>
      </c>
      <c r="K128" s="689" t="s">
        <v>689</v>
      </c>
      <c r="L128" s="689"/>
      <c r="M128" s="689" t="s">
        <v>674</v>
      </c>
      <c r="N128" s="689" t="s">
        <v>411</v>
      </c>
      <c r="O128" s="27"/>
      <c r="P128" s="27"/>
      <c r="Q128" s="28"/>
      <c r="T128" s="14"/>
      <c r="U128" s="14"/>
      <c r="V128" s="185"/>
    </row>
    <row r="129" spans="1:22" ht="18" customHeight="1">
      <c r="A129" s="96"/>
      <c r="B129" s="689"/>
      <c r="C129" s="689"/>
      <c r="D129" s="689"/>
      <c r="E129" s="689">
        <v>1.3</v>
      </c>
      <c r="F129" s="689"/>
      <c r="G129" s="689"/>
      <c r="H129" s="689"/>
      <c r="I129" s="689"/>
      <c r="J129" s="689"/>
      <c r="K129" s="689"/>
      <c r="L129" s="689"/>
      <c r="M129" s="689"/>
      <c r="N129" s="689"/>
      <c r="O129" s="14"/>
      <c r="P129" s="14"/>
      <c r="Q129" s="14"/>
      <c r="R129" s="14"/>
      <c r="S129" s="14"/>
      <c r="T129" s="14"/>
      <c r="U129" s="14"/>
      <c r="V129" s="185"/>
    </row>
    <row r="130" spans="1:22" ht="18" customHeight="1">
      <c r="A130" s="96"/>
      <c r="B130" s="14"/>
      <c r="C130" s="14"/>
      <c r="D130" s="14"/>
      <c r="E130" s="14"/>
      <c r="F130" s="28"/>
      <c r="G130" s="14"/>
      <c r="H130" s="14"/>
      <c r="I130" s="102"/>
      <c r="J130" s="47"/>
      <c r="K130" s="47"/>
      <c r="L130" s="14"/>
      <c r="M130" s="14"/>
      <c r="N130" s="14"/>
      <c r="O130" s="14"/>
      <c r="P130" s="14"/>
      <c r="Q130" s="14"/>
      <c r="R130" s="14"/>
      <c r="S130" s="14"/>
      <c r="T130" s="14"/>
      <c r="U130" s="14"/>
      <c r="V130" s="185"/>
    </row>
    <row r="131" spans="1:22" ht="18" customHeight="1">
      <c r="A131" s="96"/>
      <c r="B131" s="14"/>
      <c r="C131" s="14"/>
      <c r="D131" s="684" t="s">
        <v>827</v>
      </c>
      <c r="E131" s="708">
        <v>100</v>
      </c>
      <c r="F131" s="708"/>
      <c r="G131" s="689" t="s">
        <v>372</v>
      </c>
      <c r="H131" s="689">
        <f>J92</f>
        <v>5</v>
      </c>
      <c r="I131" s="689"/>
      <c r="J131" s="689" t="s">
        <v>347</v>
      </c>
      <c r="K131" s="692">
        <f>S109</f>
        <v>1.45652618</v>
      </c>
      <c r="L131" s="689"/>
      <c r="M131" s="689" t="s">
        <v>674</v>
      </c>
      <c r="N131" s="689">
        <f>S107</f>
        <v>1</v>
      </c>
      <c r="O131" s="14"/>
      <c r="P131" s="14"/>
      <c r="Q131" s="14"/>
      <c r="R131" s="14"/>
      <c r="S131" s="14"/>
      <c r="T131" s="14"/>
      <c r="U131" s="14"/>
      <c r="V131" s="185"/>
    </row>
    <row r="132" spans="1:22" ht="18" customHeight="1">
      <c r="A132" s="184"/>
      <c r="D132" s="689"/>
      <c r="E132" s="689">
        <v>1.3</v>
      </c>
      <c r="F132" s="689"/>
      <c r="G132" s="689"/>
      <c r="H132" s="689"/>
      <c r="I132" s="689"/>
      <c r="J132" s="689"/>
      <c r="K132" s="689"/>
      <c r="L132" s="689"/>
      <c r="M132" s="689"/>
      <c r="N132" s="689"/>
      <c r="O132" s="14"/>
      <c r="P132" s="14"/>
      <c r="Q132" s="14"/>
      <c r="R132" s="14"/>
      <c r="S132" s="14"/>
      <c r="T132" s="14"/>
      <c r="U132" s="14"/>
      <c r="V132" s="185"/>
    </row>
    <row r="133" spans="1:22" ht="18" customHeight="1">
      <c r="A133" s="96"/>
      <c r="E133" s="199"/>
      <c r="G133" s="27"/>
      <c r="H133" s="27"/>
      <c r="I133" s="27"/>
      <c r="J133" s="120"/>
      <c r="K133" s="27"/>
      <c r="L133" s="120"/>
      <c r="M133" s="27"/>
      <c r="N133" s="120"/>
      <c r="O133" s="27"/>
      <c r="P133" s="120"/>
      <c r="Q133" s="296"/>
      <c r="V133" s="185"/>
    </row>
    <row r="134" spans="1:22" ht="18" customHeight="1">
      <c r="A134" s="184"/>
      <c r="D134" s="30" t="s">
        <v>827</v>
      </c>
      <c r="E134" s="795">
        <f>(E131/E132)*(H131+K131)*N131</f>
        <v>496.65585999999996</v>
      </c>
      <c r="F134" s="795"/>
      <c r="G134" s="27"/>
      <c r="H134" s="242"/>
      <c r="I134" s="245"/>
      <c r="J134" s="301"/>
      <c r="K134" s="245"/>
      <c r="L134" s="301"/>
      <c r="M134" s="245"/>
      <c r="N134" s="301"/>
      <c r="O134" s="245"/>
      <c r="P134" s="301"/>
      <c r="Q134" s="461"/>
      <c r="V134" s="185"/>
    </row>
    <row r="135" spans="1:22" ht="18" customHeight="1">
      <c r="A135" s="184"/>
      <c r="G135" s="27"/>
      <c r="H135" s="204"/>
      <c r="I135" s="204"/>
      <c r="V135" s="185"/>
    </row>
    <row r="136" spans="1:22" ht="18" customHeight="1">
      <c r="A136" s="258"/>
      <c r="B136" s="232"/>
      <c r="C136" s="232"/>
      <c r="D136" s="232"/>
      <c r="E136" s="232"/>
      <c r="F136" s="232"/>
      <c r="G136" s="232"/>
      <c r="H136" s="232"/>
      <c r="I136" s="232"/>
      <c r="J136" s="232"/>
      <c r="K136" s="232"/>
      <c r="L136" s="232"/>
      <c r="M136" s="232"/>
      <c r="N136" s="232"/>
      <c r="O136" s="232"/>
      <c r="P136" s="232"/>
      <c r="Q136" s="232"/>
      <c r="R136" s="232"/>
      <c r="S136" s="232"/>
      <c r="T136" s="232"/>
      <c r="U136" s="232"/>
      <c r="V136" s="233"/>
    </row>
    <row r="137" spans="1:22" ht="18" customHeight="1">
      <c r="A137" s="231"/>
      <c r="B137" s="232"/>
      <c r="C137" s="232"/>
      <c r="D137" s="232"/>
      <c r="E137" s="232"/>
      <c r="F137" s="232"/>
      <c r="G137" s="232"/>
      <c r="H137" s="232"/>
      <c r="I137" s="232"/>
      <c r="J137" s="232"/>
      <c r="K137" s="232"/>
      <c r="L137" s="232"/>
      <c r="M137" s="232"/>
      <c r="N137" s="232"/>
      <c r="O137" s="232"/>
      <c r="P137" s="232"/>
      <c r="Q137" s="232"/>
      <c r="R137" s="232"/>
      <c r="S137" s="232"/>
      <c r="T137" s="232"/>
      <c r="U137" s="232"/>
      <c r="V137" s="233"/>
    </row>
    <row r="138" spans="1:22" ht="18" customHeight="1">
      <c r="A138" s="184"/>
      <c r="D138" s="211"/>
      <c r="E138" s="211"/>
      <c r="F138" s="27"/>
      <c r="G138" s="211"/>
      <c r="H138" s="211"/>
      <c r="V138" s="185"/>
    </row>
    <row r="139" spans="1:22" ht="18" customHeight="1">
      <c r="A139" s="184"/>
      <c r="B139" s="27"/>
      <c r="C139" s="27"/>
      <c r="D139" s="27"/>
      <c r="E139" s="28"/>
      <c r="F139" s="27"/>
      <c r="G139" s="28"/>
      <c r="H139" s="27"/>
      <c r="I139" s="28"/>
      <c r="J139" s="27"/>
      <c r="K139" s="27"/>
      <c r="L139" s="27"/>
      <c r="M139" s="27"/>
      <c r="V139" s="185"/>
    </row>
    <row r="140" spans="1:22" ht="18" customHeight="1">
      <c r="A140" s="184"/>
      <c r="C140" s="27"/>
      <c r="D140" s="245"/>
      <c r="E140" s="221"/>
      <c r="F140" s="245"/>
      <c r="G140" s="222"/>
      <c r="H140" s="245"/>
      <c r="I140" s="245"/>
      <c r="J140" s="245"/>
      <c r="K140" s="245"/>
      <c r="L140" s="245"/>
      <c r="M140" s="27"/>
      <c r="V140" s="185"/>
    </row>
    <row r="141" spans="1:22" ht="18" customHeight="1">
      <c r="A141" s="184"/>
      <c r="C141" s="27"/>
      <c r="D141" s="204"/>
      <c r="E141" s="204"/>
      <c r="G141" s="18"/>
      <c r="V141" s="185"/>
    </row>
    <row r="142" spans="1:22" ht="18" customHeight="1">
      <c r="A142" s="96"/>
      <c r="B142" s="14"/>
      <c r="C142" s="14"/>
      <c r="D142" s="14"/>
      <c r="E142" s="14"/>
      <c r="F142" s="14"/>
      <c r="G142" s="14"/>
      <c r="H142" s="14"/>
      <c r="I142" s="14"/>
      <c r="J142" s="14"/>
      <c r="K142" s="14"/>
      <c r="L142" s="14"/>
      <c r="M142" s="14"/>
      <c r="N142" s="14"/>
      <c r="O142" s="14"/>
      <c r="P142" s="14"/>
      <c r="Q142" s="120"/>
      <c r="R142" s="28"/>
      <c r="S142" s="525"/>
      <c r="T142" s="14"/>
      <c r="U142" s="14"/>
      <c r="V142" s="381"/>
    </row>
    <row r="143" spans="1:22" ht="18" customHeight="1">
      <c r="A143" s="193" t="s">
        <v>829</v>
      </c>
      <c r="B143" s="197"/>
      <c r="C143" s="197"/>
      <c r="D143" s="197"/>
      <c r="E143" s="14"/>
      <c r="F143" s="14"/>
      <c r="G143" s="14"/>
      <c r="H143" s="14"/>
      <c r="I143" s="14"/>
      <c r="J143" s="14"/>
      <c r="K143" s="14"/>
      <c r="L143" s="14"/>
      <c r="M143" s="14"/>
      <c r="N143" s="14"/>
      <c r="O143" s="14"/>
      <c r="P143" s="14"/>
      <c r="Q143" s="120"/>
      <c r="R143" s="28"/>
      <c r="S143" s="525"/>
      <c r="T143" s="14"/>
      <c r="U143" s="14"/>
      <c r="V143" s="381"/>
    </row>
    <row r="144" spans="1:22" ht="18" customHeight="1">
      <c r="A144" s="193"/>
      <c r="B144" s="197"/>
      <c r="C144" s="197"/>
      <c r="D144" s="197"/>
      <c r="E144" s="14"/>
      <c r="F144" s="14"/>
      <c r="G144" s="14"/>
      <c r="H144" s="14"/>
      <c r="I144" s="14"/>
      <c r="J144" s="14"/>
      <c r="K144" s="14"/>
      <c r="L144" s="14"/>
      <c r="M144" s="14"/>
      <c r="N144" s="14"/>
      <c r="O144" s="14"/>
      <c r="P144" s="14"/>
      <c r="Q144" s="120"/>
      <c r="R144" s="28"/>
      <c r="S144" s="525"/>
      <c r="T144" s="14"/>
      <c r="U144" s="14"/>
      <c r="V144" s="381"/>
    </row>
    <row r="145" spans="1:22" ht="18" customHeight="1">
      <c r="A145" s="96"/>
      <c r="B145" s="197" t="s">
        <v>826</v>
      </c>
      <c r="C145" s="197"/>
      <c r="D145" s="14"/>
      <c r="E145" s="14"/>
      <c r="F145" s="14"/>
      <c r="G145" s="14"/>
      <c r="H145" s="14"/>
      <c r="I145" s="14"/>
      <c r="J145" s="14"/>
      <c r="K145" s="14"/>
      <c r="L145" s="14"/>
      <c r="M145" s="14"/>
      <c r="N145" s="14"/>
      <c r="O145" s="14"/>
      <c r="P145" s="14"/>
      <c r="Q145" s="120"/>
      <c r="R145" s="28"/>
      <c r="S145" s="525"/>
      <c r="T145" s="14"/>
      <c r="U145" s="14"/>
      <c r="V145" s="381"/>
    </row>
    <row r="146" spans="1:22" ht="18" customHeight="1">
      <c r="A146" s="96"/>
      <c r="B146" s="14"/>
      <c r="C146" s="14"/>
      <c r="D146" s="14"/>
      <c r="E146" s="14"/>
      <c r="F146" s="244" t="s">
        <v>475</v>
      </c>
      <c r="G146" s="28" t="str">
        <f>IF(E147&gt;H147, "&gt;","&lt;")</f>
        <v>&gt;</v>
      </c>
      <c r="H146" s="14" t="s">
        <v>477</v>
      </c>
      <c r="I146" s="14"/>
      <c r="J146" s="14"/>
      <c r="K146" s="14"/>
      <c r="L146" s="14" t="s">
        <v>830</v>
      </c>
      <c r="M146" s="14"/>
      <c r="N146" s="14"/>
      <c r="O146" s="14"/>
      <c r="P146" s="14"/>
      <c r="Q146" s="120"/>
      <c r="R146" s="28"/>
      <c r="S146" s="525"/>
      <c r="T146" s="14"/>
      <c r="U146" s="14"/>
      <c r="V146" s="381"/>
    </row>
    <row r="147" spans="1:22" ht="18" customHeight="1">
      <c r="A147" s="96"/>
      <c r="B147" s="14"/>
      <c r="C147" s="14"/>
      <c r="D147" s="14"/>
      <c r="E147" s="692">
        <f>J93</f>
        <v>900</v>
      </c>
      <c r="F147" s="692"/>
      <c r="G147" s="28" t="str">
        <f>G146</f>
        <v>&gt;</v>
      </c>
      <c r="H147" s="692">
        <f>E122</f>
        <v>38.801239062500002</v>
      </c>
      <c r="I147" s="692"/>
      <c r="J147" s="14"/>
      <c r="K147" s="14"/>
      <c r="L147" s="14"/>
      <c r="M147" s="14"/>
      <c r="N147" s="14"/>
      <c r="O147" s="14"/>
      <c r="P147" s="14"/>
      <c r="Q147" s="120"/>
      <c r="R147" s="28"/>
      <c r="S147" s="525"/>
      <c r="T147" s="14"/>
      <c r="U147" s="14"/>
      <c r="V147" s="381"/>
    </row>
    <row r="148" spans="1:22" ht="18" customHeight="1">
      <c r="A148" s="184"/>
      <c r="D148" s="211"/>
      <c r="E148" s="218"/>
      <c r="F148" s="199" t="s">
        <v>831</v>
      </c>
      <c r="G148" s="211"/>
      <c r="H148" s="281" t="s">
        <v>832</v>
      </c>
      <c r="J148" s="28" t="s">
        <v>833</v>
      </c>
      <c r="K148" s="18" t="str">
        <f>IF(G147="&gt;", "Satisfied", "Not Satisfied")</f>
        <v>Satisfied</v>
      </c>
      <c r="P148" s="14"/>
      <c r="Q148" s="120"/>
      <c r="R148" s="28"/>
      <c r="S148" s="525"/>
      <c r="T148" s="14"/>
      <c r="U148" s="14"/>
      <c r="V148" s="381"/>
    </row>
    <row r="149" spans="1:22" ht="18" customHeight="1">
      <c r="A149" s="96"/>
      <c r="B149" s="197" t="s">
        <v>828</v>
      </c>
      <c r="C149" s="197"/>
      <c r="D149" s="14"/>
      <c r="E149" s="14"/>
      <c r="F149" s="14"/>
      <c r="G149" s="14"/>
      <c r="H149" s="14"/>
      <c r="I149" s="14"/>
      <c r="J149" s="14"/>
      <c r="K149" s="14"/>
      <c r="L149" s="14"/>
      <c r="M149" s="14"/>
      <c r="N149" s="14"/>
      <c r="O149" s="14"/>
      <c r="P149" s="14"/>
      <c r="Q149" s="120"/>
      <c r="R149" s="28"/>
      <c r="S149" s="525"/>
      <c r="T149" s="14"/>
      <c r="U149" s="14"/>
      <c r="V149" s="381"/>
    </row>
    <row r="150" spans="1:22" ht="18" customHeight="1">
      <c r="A150" s="96"/>
      <c r="B150" s="14"/>
      <c r="C150" s="14"/>
      <c r="D150" s="14"/>
      <c r="E150" s="14"/>
      <c r="F150" s="244" t="s">
        <v>475</v>
      </c>
      <c r="G150" s="28" t="str">
        <f>IF(E151&gt;H151, "&gt;","&lt;")</f>
        <v>&gt;</v>
      </c>
      <c r="H150" s="14" t="s">
        <v>477</v>
      </c>
      <c r="I150" s="14"/>
      <c r="J150" s="14"/>
      <c r="K150" s="14"/>
      <c r="L150" s="14" t="s">
        <v>834</v>
      </c>
      <c r="M150" s="14"/>
      <c r="N150" s="14"/>
      <c r="O150" s="14"/>
      <c r="P150" s="14"/>
      <c r="Q150" s="120"/>
      <c r="R150" s="28"/>
      <c r="S150" s="525"/>
      <c r="T150" s="14"/>
      <c r="U150" s="14"/>
      <c r="V150" s="381"/>
    </row>
    <row r="151" spans="1:22" ht="18" customHeight="1">
      <c r="A151" s="96"/>
      <c r="B151" s="14"/>
      <c r="C151" s="14"/>
      <c r="D151" s="14"/>
      <c r="E151" s="692">
        <f>J93</f>
        <v>900</v>
      </c>
      <c r="F151" s="692"/>
      <c r="G151" s="28" t="str">
        <f>G150</f>
        <v>&gt;</v>
      </c>
      <c r="H151" s="692">
        <f>E134</f>
        <v>496.65585999999996</v>
      </c>
      <c r="I151" s="692"/>
      <c r="J151" s="14"/>
      <c r="K151" s="14"/>
      <c r="L151" s="14"/>
      <c r="M151" s="14"/>
      <c r="N151" s="14"/>
      <c r="O151" s="14"/>
      <c r="P151" s="14"/>
      <c r="Q151" s="120"/>
      <c r="R151" s="28"/>
      <c r="S151" s="525"/>
      <c r="T151" s="14"/>
      <c r="U151" s="14"/>
      <c r="V151" s="381"/>
    </row>
    <row r="152" spans="1:22" ht="18" customHeight="1">
      <c r="A152" s="184"/>
      <c r="D152" s="211"/>
      <c r="E152" s="14"/>
      <c r="F152" s="199" t="s">
        <v>831</v>
      </c>
      <c r="G152" s="211"/>
      <c r="H152" s="281" t="s">
        <v>828</v>
      </c>
      <c r="J152" s="28" t="s">
        <v>833</v>
      </c>
      <c r="K152" s="18" t="str">
        <f>IF(G151="&gt;", "Satisfied", "Not Satisfied")</f>
        <v>Satisfied</v>
      </c>
      <c r="P152" s="14"/>
      <c r="Q152" s="120"/>
      <c r="R152" s="28"/>
      <c r="S152" s="525"/>
      <c r="T152" s="14"/>
      <c r="U152" s="14"/>
      <c r="V152" s="381"/>
    </row>
    <row r="153" spans="1:22" ht="18" customHeight="1">
      <c r="A153" s="184"/>
      <c r="H153" s="28"/>
      <c r="I153" s="28"/>
      <c r="J153" s="28"/>
      <c r="K153" s="28"/>
      <c r="L153" s="28"/>
      <c r="M153" s="28"/>
      <c r="N153" s="28"/>
      <c r="O153" s="28"/>
      <c r="P153" s="14"/>
      <c r="Q153" s="120"/>
      <c r="R153" s="28"/>
      <c r="S153" s="525"/>
      <c r="T153" s="14"/>
      <c r="U153" s="14"/>
      <c r="V153" s="381"/>
    </row>
    <row r="154" spans="1:22" ht="18" customHeight="1">
      <c r="A154" s="96"/>
      <c r="B154" s="14"/>
      <c r="C154" s="14"/>
      <c r="D154" s="14"/>
      <c r="E154" s="14"/>
      <c r="F154" s="244" t="s">
        <v>478</v>
      </c>
      <c r="G154" s="14"/>
      <c r="H154" s="18" t="str">
        <f>IF(AND(G146="&gt;",G150="&gt;"),"Suitably Dimentioned",IF(AND(G146="&gt;",G150="&gt;"),"Over Dimentioned",IF(G146="&lt;","Under Dimentioned","")))</f>
        <v>Suitably Dimentioned</v>
      </c>
      <c r="I154" s="18"/>
      <c r="J154" s="18"/>
      <c r="K154" s="18"/>
      <c r="L154" s="18"/>
      <c r="M154" s="18"/>
      <c r="N154" s="14"/>
      <c r="O154" s="14"/>
      <c r="P154" s="14"/>
      <c r="Q154" s="120"/>
      <c r="R154" s="28"/>
      <c r="S154" s="525"/>
      <c r="T154" s="14"/>
      <c r="U154" s="14"/>
      <c r="V154" s="381"/>
    </row>
    <row r="155" spans="1:22" ht="18" customHeight="1">
      <c r="A155" s="96"/>
      <c r="B155" s="14"/>
      <c r="C155" s="14"/>
      <c r="D155" s="14"/>
      <c r="E155" s="14"/>
      <c r="F155" s="14"/>
      <c r="G155" s="14"/>
      <c r="H155" s="14"/>
      <c r="I155" s="14"/>
      <c r="J155" s="14"/>
      <c r="K155" s="14"/>
      <c r="L155" s="14"/>
      <c r="M155" s="14"/>
      <c r="N155" s="14"/>
      <c r="O155" s="14"/>
      <c r="P155" s="14"/>
      <c r="Q155" s="120"/>
      <c r="R155" s="28"/>
      <c r="S155" s="525"/>
      <c r="T155" s="14"/>
      <c r="U155" s="14"/>
      <c r="V155" s="381"/>
    </row>
    <row r="156" spans="1:22" ht="18" customHeight="1">
      <c r="A156" s="96"/>
      <c r="B156" s="14"/>
      <c r="C156" s="14"/>
      <c r="D156" s="14"/>
      <c r="E156" s="14"/>
      <c r="F156" s="14"/>
      <c r="G156" s="14"/>
      <c r="H156" s="14"/>
      <c r="I156" s="14"/>
      <c r="J156" s="14"/>
      <c r="K156" s="14"/>
      <c r="L156" s="14"/>
      <c r="M156" s="14"/>
      <c r="N156" s="14"/>
      <c r="O156" s="14"/>
      <c r="P156" s="14"/>
      <c r="Q156" s="120"/>
      <c r="R156" s="28"/>
      <c r="S156" s="525"/>
      <c r="T156" s="14"/>
      <c r="U156" s="14"/>
      <c r="V156" s="381"/>
    </row>
    <row r="157" spans="1:22" ht="18" customHeight="1">
      <c r="A157" s="96"/>
      <c r="B157" s="14"/>
      <c r="C157" s="14"/>
      <c r="D157" s="14"/>
      <c r="E157" s="14"/>
      <c r="F157" s="14"/>
      <c r="G157" s="14"/>
      <c r="H157" s="14"/>
      <c r="I157" s="14"/>
      <c r="J157" s="14"/>
      <c r="K157" s="14"/>
      <c r="L157" s="14"/>
      <c r="M157" s="14"/>
      <c r="N157" s="14"/>
      <c r="O157" s="14"/>
      <c r="P157" s="14"/>
      <c r="Q157" s="120"/>
      <c r="R157" s="28"/>
      <c r="S157" s="525"/>
      <c r="T157" s="14"/>
      <c r="U157" s="14"/>
      <c r="V157" s="381"/>
    </row>
    <row r="158" spans="1:22" ht="18" customHeight="1">
      <c r="A158" s="96"/>
      <c r="B158" s="14"/>
      <c r="C158" s="14"/>
      <c r="D158" s="14"/>
      <c r="E158" s="14"/>
      <c r="F158" s="14"/>
      <c r="G158" s="14"/>
      <c r="H158" s="14"/>
      <c r="I158" s="14"/>
      <c r="J158" s="14"/>
      <c r="K158" s="14"/>
      <c r="L158" s="14"/>
      <c r="M158" s="14"/>
      <c r="N158" s="14"/>
      <c r="O158" s="14"/>
      <c r="P158" s="14"/>
      <c r="Q158" s="120"/>
      <c r="R158" s="28"/>
      <c r="S158" s="525"/>
      <c r="T158" s="14"/>
      <c r="U158" s="14"/>
      <c r="V158" s="381"/>
    </row>
    <row r="159" spans="1:22" ht="18" customHeight="1">
      <c r="A159" s="96"/>
      <c r="B159" s="14"/>
      <c r="C159" s="14"/>
      <c r="D159" s="14"/>
      <c r="E159" s="14"/>
      <c r="F159" s="14"/>
      <c r="G159" s="14"/>
      <c r="H159" s="14"/>
      <c r="I159" s="14"/>
      <c r="J159" s="14"/>
      <c r="K159" s="14"/>
      <c r="L159" s="14"/>
      <c r="M159" s="14"/>
      <c r="N159" s="14"/>
      <c r="O159" s="14"/>
      <c r="P159" s="14"/>
      <c r="Q159" s="120"/>
      <c r="R159" s="28"/>
      <c r="S159" s="525"/>
      <c r="T159" s="14"/>
      <c r="U159" s="14"/>
      <c r="V159" s="381"/>
    </row>
    <row r="160" spans="1:22" ht="18" customHeight="1">
      <c r="A160" s="96"/>
      <c r="B160" s="14"/>
      <c r="C160" s="14"/>
      <c r="D160" s="14"/>
      <c r="E160" s="14"/>
      <c r="F160" s="14"/>
      <c r="G160" s="14"/>
      <c r="H160" s="14"/>
      <c r="I160" s="14"/>
      <c r="J160" s="14"/>
      <c r="K160" s="14"/>
      <c r="L160" s="14"/>
      <c r="M160" s="14"/>
      <c r="N160" s="14"/>
      <c r="O160" s="14"/>
      <c r="P160" s="14"/>
      <c r="Q160" s="120"/>
      <c r="R160" s="28"/>
      <c r="S160" s="525"/>
      <c r="T160" s="14"/>
      <c r="U160" s="14"/>
      <c r="V160" s="381"/>
    </row>
    <row r="161" spans="1:23" ht="18" customHeight="1">
      <c r="A161" s="96"/>
      <c r="B161" s="14"/>
      <c r="C161" s="14"/>
      <c r="D161" s="14"/>
      <c r="E161" s="14"/>
      <c r="F161" s="14"/>
      <c r="G161" s="14"/>
      <c r="H161" s="14"/>
      <c r="I161" s="14"/>
      <c r="J161" s="14"/>
      <c r="K161" s="14"/>
      <c r="L161" s="14"/>
      <c r="M161" s="14"/>
      <c r="N161" s="14"/>
      <c r="O161" s="14"/>
      <c r="P161" s="14"/>
      <c r="Q161" s="120"/>
      <c r="R161" s="28"/>
      <c r="S161" s="525"/>
      <c r="T161" s="14"/>
      <c r="U161" s="14"/>
      <c r="V161" s="381"/>
    </row>
    <row r="162" spans="1:23" ht="18" customHeight="1">
      <c r="A162" s="96"/>
      <c r="B162" s="14"/>
      <c r="C162" s="14"/>
      <c r="D162" s="14"/>
      <c r="E162" s="14"/>
      <c r="F162" s="14"/>
      <c r="G162" s="14"/>
      <c r="H162" s="14"/>
      <c r="I162" s="14"/>
      <c r="J162" s="14"/>
      <c r="K162" s="14"/>
      <c r="L162" s="14"/>
      <c r="M162" s="14"/>
      <c r="N162" s="14"/>
      <c r="O162" s="14"/>
      <c r="P162" s="14"/>
      <c r="Q162" s="120"/>
      <c r="R162" s="28"/>
      <c r="S162" s="525"/>
      <c r="T162" s="14"/>
      <c r="U162" s="14"/>
      <c r="V162" s="381"/>
    </row>
    <row r="163" spans="1:23" ht="18" customHeight="1">
      <c r="A163" s="96"/>
      <c r="B163" s="14"/>
      <c r="C163" s="14"/>
      <c r="D163" s="14"/>
      <c r="E163" s="14"/>
      <c r="F163" s="14"/>
      <c r="G163" s="14"/>
      <c r="H163" s="14"/>
      <c r="I163" s="14"/>
      <c r="J163" s="14"/>
      <c r="K163" s="14"/>
      <c r="L163" s="14"/>
      <c r="M163" s="14"/>
      <c r="N163" s="14"/>
      <c r="O163" s="14"/>
      <c r="P163" s="14"/>
      <c r="Q163" s="120"/>
      <c r="R163" s="28"/>
      <c r="S163" s="525"/>
      <c r="T163" s="14"/>
      <c r="U163" s="14"/>
      <c r="V163" s="381"/>
    </row>
    <row r="164" spans="1:23" ht="18" customHeight="1">
      <c r="A164" s="96"/>
      <c r="B164" s="14"/>
      <c r="C164" s="14"/>
      <c r="D164" s="14"/>
      <c r="E164" s="14"/>
      <c r="F164" s="14"/>
      <c r="G164" s="14"/>
      <c r="H164" s="14"/>
      <c r="I164" s="14"/>
      <c r="J164" s="14"/>
      <c r="K164" s="14"/>
      <c r="L164" s="14"/>
      <c r="M164" s="14"/>
      <c r="N164" s="14"/>
      <c r="O164" s="14"/>
      <c r="P164" s="14"/>
      <c r="Q164" s="120"/>
      <c r="R164" s="28"/>
      <c r="S164" s="525"/>
      <c r="T164" s="14"/>
      <c r="U164" s="14"/>
      <c r="V164" s="381"/>
    </row>
    <row r="165" spans="1:23" ht="18" customHeight="1">
      <c r="A165" s="194"/>
      <c r="B165" s="195"/>
      <c r="C165" s="195"/>
      <c r="D165" s="195"/>
      <c r="E165" s="195"/>
      <c r="F165" s="195"/>
      <c r="G165" s="195"/>
      <c r="H165" s="195"/>
      <c r="I165" s="195"/>
      <c r="J165" s="195"/>
      <c r="K165" s="195"/>
      <c r="L165" s="195"/>
      <c r="M165" s="195"/>
      <c r="N165" s="195"/>
      <c r="O165" s="195"/>
      <c r="P165" s="195"/>
      <c r="Q165" s="224"/>
      <c r="R165" s="182"/>
      <c r="S165" s="225"/>
      <c r="T165" s="195"/>
      <c r="U165" s="195"/>
      <c r="V165" s="134"/>
    </row>
    <row r="166" spans="1:23" ht="18" hidden="1" customHeight="1">
      <c r="A166" s="226"/>
      <c r="B166" s="227"/>
      <c r="C166" s="227"/>
      <c r="D166" s="227"/>
      <c r="E166" s="227"/>
      <c r="F166" s="227"/>
      <c r="G166" s="227"/>
      <c r="H166" s="227"/>
      <c r="I166" s="227"/>
      <c r="J166" s="227"/>
      <c r="K166" s="227"/>
      <c r="L166" s="227"/>
      <c r="M166" s="227"/>
      <c r="N166" s="227"/>
      <c r="O166" s="227"/>
      <c r="P166" s="227"/>
      <c r="Q166" s="227"/>
      <c r="R166" s="227"/>
      <c r="S166" s="227"/>
      <c r="T166" s="227"/>
      <c r="U166" s="227"/>
      <c r="V166" s="228"/>
    </row>
    <row r="167" spans="1:23" ht="18" hidden="1" customHeight="1">
      <c r="A167" s="184"/>
      <c r="B167" s="854" t="str">
        <f>B87</f>
        <v>T2</v>
      </c>
      <c r="C167" s="831"/>
      <c r="D167" s="854" t="str">
        <f>D87</f>
        <v>Core1</v>
      </c>
      <c r="E167" s="831"/>
      <c r="F167" s="455"/>
      <c r="H167" s="684" t="s">
        <v>711</v>
      </c>
      <c r="I167" s="684"/>
      <c r="J167" s="684"/>
      <c r="K167" s="684"/>
      <c r="L167" s="684"/>
      <c r="M167" s="684"/>
      <c r="P167" s="186"/>
      <c r="S167" s="187" t="s">
        <v>387</v>
      </c>
      <c r="T167" s="854" t="str">
        <f>T87</f>
        <v>7SS522</v>
      </c>
      <c r="U167" s="831"/>
      <c r="V167" s="185"/>
    </row>
    <row r="168" spans="1:23" ht="18" hidden="1" customHeight="1">
      <c r="A168" s="456"/>
      <c r="F168" s="455"/>
      <c r="T168" s="854" t="str">
        <f>T88</f>
        <v>6MU85</v>
      </c>
      <c r="U168" s="831"/>
      <c r="V168" s="185"/>
    </row>
    <row r="169" spans="1:23" ht="18" hidden="1" customHeight="1">
      <c r="A169" s="184"/>
      <c r="H169" s="708" t="s">
        <v>390</v>
      </c>
      <c r="I169" s="708"/>
      <c r="J169" s="708" t="s">
        <v>391</v>
      </c>
      <c r="K169" s="708"/>
      <c r="L169" s="789" t="s">
        <v>392</v>
      </c>
      <c r="M169" s="789"/>
      <c r="T169" s="854">
        <f>T89</f>
        <v>0</v>
      </c>
      <c r="U169" s="831"/>
      <c r="V169" s="185"/>
    </row>
    <row r="170" spans="1:23" ht="18" hidden="1" customHeight="1">
      <c r="A170" s="184"/>
      <c r="B170" s="47" t="s">
        <v>393</v>
      </c>
      <c r="H170" s="854">
        <f>H90</f>
        <v>2000</v>
      </c>
      <c r="I170" s="831"/>
      <c r="J170" s="854">
        <f>J90</f>
        <v>3200</v>
      </c>
      <c r="K170" s="831"/>
      <c r="L170" s="863">
        <f>L90</f>
        <v>0</v>
      </c>
      <c r="M170" s="864"/>
      <c r="N170" s="191" t="s">
        <v>342</v>
      </c>
      <c r="O170" s="256">
        <f>O90</f>
        <v>1</v>
      </c>
      <c r="P170" s="27" t="s">
        <v>8</v>
      </c>
      <c r="R170" s="255"/>
      <c r="S170" s="255"/>
      <c r="V170" s="185"/>
    </row>
    <row r="171" spans="1:23" ht="18" hidden="1" customHeight="1">
      <c r="A171" s="184"/>
      <c r="B171" s="47" t="s">
        <v>394</v>
      </c>
      <c r="L171" s="854" t="str">
        <f>J91</f>
        <v>PX</v>
      </c>
      <c r="M171" s="831"/>
      <c r="V171" s="185"/>
    </row>
    <row r="172" spans="1:23" ht="18" hidden="1" customHeight="1">
      <c r="A172" s="184"/>
      <c r="B172" s="47" t="s">
        <v>396</v>
      </c>
      <c r="K172" s="120" t="s">
        <v>497</v>
      </c>
      <c r="L172" s="1224"/>
      <c r="M172" s="1225"/>
      <c r="N172" s="192" t="s">
        <v>333</v>
      </c>
      <c r="V172" s="185"/>
    </row>
    <row r="173" spans="1:23" ht="18" hidden="1" customHeight="1">
      <c r="A173" s="184"/>
      <c r="B173" s="47" t="s">
        <v>398</v>
      </c>
      <c r="K173" s="120" t="s">
        <v>498</v>
      </c>
      <c r="L173" s="1075"/>
      <c r="M173" s="1076"/>
      <c r="N173" s="14" t="s">
        <v>305</v>
      </c>
      <c r="U173" s="18"/>
      <c r="V173" s="185"/>
      <c r="W173" s="30" t="e">
        <f>H238</f>
        <v>#DIV/0!</v>
      </c>
    </row>
    <row r="174" spans="1:23" ht="18" hidden="1" customHeight="1">
      <c r="A174" s="184"/>
      <c r="B174" s="14" t="s">
        <v>401</v>
      </c>
      <c r="K174" s="120" t="s">
        <v>402</v>
      </c>
      <c r="L174" s="1075"/>
      <c r="M174" s="1076"/>
      <c r="N174" s="14" t="s">
        <v>403</v>
      </c>
      <c r="V174" s="185"/>
    </row>
    <row r="175" spans="1:23" ht="18" hidden="1" customHeight="1">
      <c r="A175" s="184"/>
      <c r="V175" s="185"/>
    </row>
    <row r="176" spans="1:23" ht="18" hidden="1" customHeight="1">
      <c r="A176" s="193" t="s">
        <v>404</v>
      </c>
      <c r="V176" s="185"/>
    </row>
    <row r="177" spans="1:22" ht="18" hidden="1" customHeight="1">
      <c r="A177" s="184"/>
      <c r="V177" s="185"/>
    </row>
    <row r="178" spans="1:22" ht="18" hidden="1" customHeight="1">
      <c r="A178" s="184"/>
      <c r="B178" s="135" t="s">
        <v>405</v>
      </c>
      <c r="C178" s="273"/>
      <c r="D178" s="139" t="str">
        <f>T167</f>
        <v>7SS522</v>
      </c>
      <c r="E178" s="227"/>
      <c r="F178" s="227"/>
      <c r="G178" s="227"/>
      <c r="H178" s="138"/>
      <c r="I178" s="260" t="s">
        <v>127</v>
      </c>
      <c r="J178" s="696">
        <f>J98</f>
        <v>0.1</v>
      </c>
      <c r="K178" s="722"/>
      <c r="L178" s="3" t="s">
        <v>157</v>
      </c>
      <c r="N178" s="197"/>
      <c r="V178" s="185"/>
    </row>
    <row r="179" spans="1:22" ht="18" hidden="1" customHeight="1">
      <c r="A179" s="184"/>
      <c r="B179" s="96" t="s">
        <v>405</v>
      </c>
      <c r="C179" s="14"/>
      <c r="D179" s="47" t="str">
        <f>T168</f>
        <v>6MU85</v>
      </c>
      <c r="E179" s="14"/>
      <c r="G179" s="199"/>
      <c r="H179" s="27"/>
      <c r="I179" s="101" t="s">
        <v>127</v>
      </c>
      <c r="J179" s="696">
        <f>J99</f>
        <v>0.1</v>
      </c>
      <c r="K179" s="722"/>
      <c r="L179" s="202" t="s">
        <v>157</v>
      </c>
      <c r="N179" s="28"/>
      <c r="O179" s="27"/>
      <c r="P179" s="28"/>
      <c r="Q179" s="102"/>
      <c r="R179" s="28"/>
      <c r="S179" s="27"/>
      <c r="T179" s="28"/>
      <c r="V179" s="185"/>
    </row>
    <row r="180" spans="1:22" ht="18" hidden="1" customHeight="1">
      <c r="A180" s="184"/>
      <c r="B180" s="96" t="s">
        <v>405</v>
      </c>
      <c r="C180" s="14"/>
      <c r="D180" s="47">
        <f>T169</f>
        <v>0</v>
      </c>
      <c r="E180" s="14"/>
      <c r="G180" s="199"/>
      <c r="H180" s="27"/>
      <c r="I180" s="101" t="s">
        <v>127</v>
      </c>
      <c r="J180" s="696">
        <f>J100</f>
        <v>0</v>
      </c>
      <c r="K180" s="722"/>
      <c r="L180" s="202" t="s">
        <v>157</v>
      </c>
      <c r="N180" s="27"/>
      <c r="O180" s="27"/>
      <c r="P180" s="27"/>
      <c r="Q180" s="102"/>
      <c r="R180" s="27"/>
      <c r="S180" s="27"/>
      <c r="T180" s="27"/>
      <c r="V180" s="185"/>
    </row>
    <row r="181" spans="1:22" ht="18" hidden="1" customHeight="1">
      <c r="A181" s="184"/>
      <c r="B181" s="184" t="s">
        <v>412</v>
      </c>
      <c r="C181" s="14"/>
      <c r="D181" s="14"/>
      <c r="E181" s="14"/>
      <c r="H181" s="27"/>
      <c r="I181" s="101" t="s">
        <v>127</v>
      </c>
      <c r="J181" s="696">
        <f>J101</f>
        <v>1.25652618</v>
      </c>
      <c r="K181" s="722"/>
      <c r="L181" s="297" t="s">
        <v>157</v>
      </c>
      <c r="N181" s="27"/>
      <c r="O181" s="27"/>
      <c r="P181" s="204"/>
      <c r="R181" s="192"/>
      <c r="S181" s="27"/>
      <c r="T181" s="27"/>
      <c r="V181" s="185"/>
    </row>
    <row r="182" spans="1:22" ht="18" hidden="1" customHeight="1">
      <c r="A182" s="184"/>
      <c r="B182" s="1" t="s">
        <v>413</v>
      </c>
      <c r="C182" s="2"/>
      <c r="D182" s="2"/>
      <c r="E182" s="2"/>
      <c r="F182" s="196"/>
      <c r="G182" s="196"/>
      <c r="H182" s="224" t="s">
        <v>512</v>
      </c>
      <c r="I182" s="183" t="s">
        <v>127</v>
      </c>
      <c r="J182" s="722">
        <f>SUM(J178:J181)</f>
        <v>1.45652618</v>
      </c>
      <c r="K182" s="958"/>
      <c r="L182" s="3" t="s">
        <v>157</v>
      </c>
      <c r="V182" s="185"/>
    </row>
    <row r="183" spans="1:22" ht="18" hidden="1" customHeight="1">
      <c r="A183" s="184"/>
      <c r="B183" s="47"/>
      <c r="C183" s="47"/>
      <c r="D183" s="47"/>
      <c r="E183" s="47"/>
      <c r="H183" s="27"/>
      <c r="I183" s="28"/>
      <c r="J183" s="199"/>
      <c r="L183" s="47"/>
      <c r="O183" s="27"/>
      <c r="P183" s="211"/>
      <c r="Q183" s="27"/>
      <c r="R183" s="204"/>
      <c r="S183" s="27"/>
      <c r="V183" s="185"/>
    </row>
    <row r="184" spans="1:22" ht="18" hidden="1" customHeight="1">
      <c r="A184" s="184"/>
      <c r="B184" s="47"/>
      <c r="C184" s="47"/>
      <c r="D184" s="47"/>
      <c r="E184" s="47"/>
      <c r="H184" s="27"/>
      <c r="I184" s="28"/>
      <c r="J184" s="199"/>
      <c r="L184" s="47"/>
      <c r="O184" s="27"/>
      <c r="P184" s="211"/>
      <c r="Q184" s="27"/>
      <c r="R184" s="204"/>
      <c r="S184" s="27"/>
      <c r="V184" s="185"/>
    </row>
    <row r="185" spans="1:22" ht="18" hidden="1" customHeight="1">
      <c r="A185" s="168"/>
      <c r="B185" s="5"/>
      <c r="C185" s="47" t="s">
        <v>1013</v>
      </c>
      <c r="D185" s="14"/>
      <c r="E185" s="14"/>
      <c r="F185" s="14"/>
      <c r="G185" s="14"/>
      <c r="H185" s="279"/>
      <c r="I185" s="120"/>
      <c r="J185" s="279"/>
      <c r="K185" s="279"/>
      <c r="L185" s="14"/>
      <c r="M185" s="14"/>
      <c r="N185" s="14"/>
      <c r="O185" s="14"/>
      <c r="P185" s="14"/>
      <c r="Q185" s="120" t="s">
        <v>1014</v>
      </c>
      <c r="R185" s="102" t="s">
        <v>127</v>
      </c>
      <c r="S185" s="854">
        <f>S105</f>
        <v>50000</v>
      </c>
      <c r="T185" s="831"/>
      <c r="U185" s="47" t="s">
        <v>8</v>
      </c>
      <c r="V185" s="185"/>
    </row>
    <row r="186" spans="1:22" ht="18" hidden="1" customHeight="1">
      <c r="A186" s="168"/>
      <c r="B186" s="5"/>
      <c r="C186" s="47" t="s">
        <v>654</v>
      </c>
      <c r="D186" s="14"/>
      <c r="E186" s="14"/>
      <c r="F186" s="18"/>
      <c r="G186" s="18"/>
      <c r="H186" s="279"/>
      <c r="I186" s="120"/>
      <c r="J186" s="279"/>
      <c r="K186" s="279"/>
      <c r="L186" s="14"/>
      <c r="M186" s="14"/>
      <c r="N186" s="14"/>
      <c r="O186" s="14"/>
      <c r="P186" s="14"/>
      <c r="Q186" s="120" t="s">
        <v>423</v>
      </c>
      <c r="R186" s="102" t="s">
        <v>127</v>
      </c>
      <c r="S186" s="689">
        <f>L170</f>
        <v>0</v>
      </c>
      <c r="T186" s="689"/>
      <c r="U186" s="14" t="s">
        <v>8</v>
      </c>
      <c r="V186" s="185"/>
    </row>
    <row r="187" spans="1:22" ht="18" hidden="1" customHeight="1">
      <c r="A187" s="168"/>
      <c r="B187" s="5"/>
      <c r="C187" s="47" t="s">
        <v>1015</v>
      </c>
      <c r="E187" s="14"/>
      <c r="F187" s="18"/>
      <c r="G187" s="18"/>
      <c r="H187" s="279"/>
      <c r="I187" s="120"/>
      <c r="J187" s="279"/>
      <c r="K187" s="279"/>
      <c r="L187" s="14"/>
      <c r="M187" s="14"/>
      <c r="N187" s="14"/>
      <c r="O187" s="14"/>
      <c r="P187" s="14"/>
      <c r="Q187" s="120" t="s">
        <v>411</v>
      </c>
      <c r="R187" s="28" t="s">
        <v>127</v>
      </c>
      <c r="S187" s="689">
        <f>O170</f>
        <v>1</v>
      </c>
      <c r="T187" s="689"/>
      <c r="U187" s="14" t="s">
        <v>8</v>
      </c>
      <c r="V187" s="185"/>
    </row>
    <row r="188" spans="1:22" ht="18" hidden="1" customHeight="1">
      <c r="A188" s="168"/>
      <c r="B188" s="5"/>
      <c r="C188" s="47" t="s">
        <v>1016</v>
      </c>
      <c r="D188" s="14"/>
      <c r="E188" s="14"/>
      <c r="F188" s="18"/>
      <c r="G188" s="18"/>
      <c r="H188" s="279"/>
      <c r="I188" s="120"/>
      <c r="J188" s="279"/>
      <c r="K188" s="279"/>
      <c r="L188" s="14"/>
      <c r="M188" s="14"/>
      <c r="N188" s="14"/>
      <c r="O188" s="14"/>
      <c r="P188" s="14"/>
      <c r="Q188" s="120" t="s">
        <v>512</v>
      </c>
      <c r="R188" s="102" t="s">
        <v>127</v>
      </c>
      <c r="S188" s="692">
        <f>J182</f>
        <v>1.45652618</v>
      </c>
      <c r="T188" s="689"/>
      <c r="U188" s="14" t="s">
        <v>157</v>
      </c>
      <c r="V188" s="185"/>
    </row>
    <row r="189" spans="1:22" ht="18" hidden="1" customHeight="1">
      <c r="A189" s="168"/>
      <c r="B189" s="5"/>
      <c r="C189" s="47" t="s">
        <v>1017</v>
      </c>
      <c r="D189" s="14"/>
      <c r="E189" s="14"/>
      <c r="F189" s="18"/>
      <c r="G189" s="18"/>
      <c r="H189" s="279"/>
      <c r="I189" s="120"/>
      <c r="J189" s="279"/>
      <c r="K189" s="279"/>
      <c r="L189" s="14"/>
      <c r="M189" s="14"/>
      <c r="N189" s="14"/>
      <c r="O189" s="14"/>
      <c r="P189" s="14"/>
      <c r="Q189" s="120" t="s">
        <v>689</v>
      </c>
      <c r="R189" s="28" t="s">
        <v>127</v>
      </c>
      <c r="S189" s="692">
        <f>J182/S187*S187</f>
        <v>1.45652618</v>
      </c>
      <c r="T189" s="692"/>
      <c r="U189" s="192" t="s">
        <v>333</v>
      </c>
      <c r="V189" s="185"/>
    </row>
    <row r="190" spans="1:22" ht="18" hidden="1" customHeight="1">
      <c r="A190" s="299"/>
      <c r="B190" s="279"/>
      <c r="C190" s="47" t="s">
        <v>1018</v>
      </c>
      <c r="Q190" s="14" t="s">
        <v>687</v>
      </c>
      <c r="R190" s="28" t="s">
        <v>127</v>
      </c>
      <c r="S190" s="689">
        <v>0.5</v>
      </c>
      <c r="T190" s="689"/>
      <c r="V190" s="300"/>
    </row>
    <row r="191" spans="1:22" ht="18" hidden="1" customHeight="1">
      <c r="A191" s="184"/>
      <c r="V191" s="185"/>
    </row>
    <row r="192" spans="1:22" ht="18" hidden="1" customHeight="1">
      <c r="A192" s="96"/>
      <c r="B192" s="14"/>
      <c r="C192" s="14"/>
      <c r="D192" s="14"/>
      <c r="E192" s="14"/>
      <c r="F192" s="14"/>
      <c r="G192" s="14"/>
      <c r="H192" s="14"/>
      <c r="I192" s="14"/>
      <c r="J192" s="14"/>
      <c r="K192" s="14"/>
      <c r="L192" s="14"/>
      <c r="M192" s="14"/>
      <c r="N192" s="14"/>
      <c r="O192" s="14"/>
      <c r="P192" s="28"/>
      <c r="Q192" s="120"/>
      <c r="R192" s="14"/>
      <c r="S192" s="14"/>
      <c r="T192" s="14"/>
      <c r="U192" s="14"/>
      <c r="V192" s="185"/>
    </row>
    <row r="193" spans="1:22" ht="18" hidden="1" customHeight="1">
      <c r="A193" s="193" t="s">
        <v>755</v>
      </c>
      <c r="B193" s="14"/>
      <c r="C193" s="14"/>
      <c r="D193" s="14"/>
      <c r="E193" s="14"/>
      <c r="F193" s="14"/>
      <c r="G193" s="14"/>
      <c r="H193" s="14"/>
      <c r="K193" s="14"/>
      <c r="T193" s="14"/>
      <c r="U193" s="14"/>
      <c r="V193" s="185"/>
    </row>
    <row r="194" spans="1:22" ht="18" hidden="1" customHeight="1">
      <c r="A194" s="96"/>
      <c r="B194" s="14"/>
      <c r="C194" s="14"/>
      <c r="D194" s="14"/>
      <c r="E194" s="14"/>
      <c r="F194" s="14"/>
      <c r="G194" s="14"/>
      <c r="H194" s="14"/>
      <c r="K194" s="14"/>
      <c r="T194" s="14"/>
      <c r="U194" s="14"/>
      <c r="V194" s="185"/>
    </row>
    <row r="195" spans="1:22" ht="18" hidden="1" customHeight="1">
      <c r="A195" s="193" t="s">
        <v>826</v>
      </c>
      <c r="H195" s="28"/>
      <c r="I195" s="28"/>
      <c r="J195" s="28"/>
      <c r="K195" s="28"/>
      <c r="T195" s="14"/>
      <c r="U195" s="14"/>
      <c r="V195" s="185"/>
    </row>
    <row r="196" spans="1:22" ht="18" hidden="1" customHeight="1">
      <c r="A196" s="184"/>
      <c r="B196" s="689" t="s">
        <v>473</v>
      </c>
      <c r="C196" s="689"/>
      <c r="D196" s="689" t="s">
        <v>827</v>
      </c>
      <c r="E196" s="689" t="s">
        <v>687</v>
      </c>
      <c r="F196" s="689" t="s">
        <v>315</v>
      </c>
      <c r="G196" s="708" t="s">
        <v>1014</v>
      </c>
      <c r="H196" s="708"/>
      <c r="I196" s="708"/>
      <c r="J196" s="708"/>
      <c r="K196" s="689" t="s">
        <v>372</v>
      </c>
      <c r="L196" s="689" t="s">
        <v>420</v>
      </c>
      <c r="M196" s="689"/>
      <c r="N196" s="689" t="s">
        <v>347</v>
      </c>
      <c r="O196" s="689" t="s">
        <v>689</v>
      </c>
      <c r="P196" s="689"/>
      <c r="Q196" s="689" t="s">
        <v>674</v>
      </c>
      <c r="R196" s="689" t="s">
        <v>411</v>
      </c>
      <c r="T196" s="14"/>
      <c r="U196" s="14"/>
      <c r="V196" s="185"/>
    </row>
    <row r="197" spans="1:22" ht="18" hidden="1" customHeight="1">
      <c r="A197" s="96"/>
      <c r="B197" s="689"/>
      <c r="C197" s="689"/>
      <c r="D197" s="689"/>
      <c r="E197" s="689"/>
      <c r="F197" s="689"/>
      <c r="G197" s="211">
        <v>1.3</v>
      </c>
      <c r="H197" s="218" t="s">
        <v>315</v>
      </c>
      <c r="I197" s="689" t="s">
        <v>423</v>
      </c>
      <c r="J197" s="689"/>
      <c r="K197" s="689"/>
      <c r="L197" s="689"/>
      <c r="M197" s="689"/>
      <c r="N197" s="689"/>
      <c r="O197" s="689"/>
      <c r="P197" s="689"/>
      <c r="Q197" s="689"/>
      <c r="R197" s="689"/>
      <c r="T197" s="14"/>
      <c r="U197" s="14"/>
      <c r="V197" s="185"/>
    </row>
    <row r="198" spans="1:22" ht="18" hidden="1" customHeight="1">
      <c r="A198" s="184"/>
      <c r="D198" s="211"/>
      <c r="E198" s="211"/>
      <c r="F198" s="27"/>
      <c r="S198" s="14"/>
      <c r="T198" s="14"/>
      <c r="U198" s="14"/>
      <c r="V198" s="185"/>
    </row>
    <row r="199" spans="1:22" ht="18" hidden="1" customHeight="1">
      <c r="A199" s="184"/>
      <c r="B199" s="14"/>
      <c r="C199" s="14"/>
      <c r="D199" s="689" t="s">
        <v>127</v>
      </c>
      <c r="E199" s="689">
        <f>S190</f>
        <v>0.5</v>
      </c>
      <c r="F199" s="689" t="s">
        <v>315</v>
      </c>
      <c r="G199" s="708">
        <f>S185</f>
        <v>50000</v>
      </c>
      <c r="H199" s="708"/>
      <c r="I199" s="708"/>
      <c r="J199" s="708"/>
      <c r="K199" s="689" t="s">
        <v>372</v>
      </c>
      <c r="L199" s="689">
        <f>L172</f>
        <v>0</v>
      </c>
      <c r="M199" s="689"/>
      <c r="N199" s="689" t="s">
        <v>347</v>
      </c>
      <c r="O199" s="692">
        <f>S189</f>
        <v>1.45652618</v>
      </c>
      <c r="P199" s="689"/>
      <c r="Q199" s="689" t="s">
        <v>674</v>
      </c>
      <c r="R199" s="689">
        <f>S187</f>
        <v>1</v>
      </c>
      <c r="S199" s="14"/>
      <c r="T199" s="14"/>
      <c r="U199" s="14"/>
      <c r="V199" s="185"/>
    </row>
    <row r="200" spans="1:22" ht="18" hidden="1" customHeight="1">
      <c r="A200" s="184"/>
      <c r="B200" s="14"/>
      <c r="C200" s="14"/>
      <c r="D200" s="689"/>
      <c r="E200" s="689"/>
      <c r="F200" s="689"/>
      <c r="G200" s="211">
        <v>1.3</v>
      </c>
      <c r="H200" s="218" t="s">
        <v>315</v>
      </c>
      <c r="I200" s="689">
        <f>S186</f>
        <v>0</v>
      </c>
      <c r="J200" s="689"/>
      <c r="K200" s="689"/>
      <c r="L200" s="689"/>
      <c r="M200" s="689"/>
      <c r="N200" s="689"/>
      <c r="O200" s="689"/>
      <c r="P200" s="689"/>
      <c r="Q200" s="689"/>
      <c r="R200" s="689"/>
      <c r="V200" s="185"/>
    </row>
    <row r="201" spans="1:22" ht="18" hidden="1" customHeight="1">
      <c r="A201" s="184"/>
      <c r="G201" s="211"/>
      <c r="H201" s="218"/>
      <c r="J201" s="28"/>
      <c r="K201" s="28"/>
      <c r="L201" s="28"/>
      <c r="M201" s="28"/>
      <c r="N201" s="28"/>
      <c r="O201" s="28"/>
      <c r="P201" s="28"/>
      <c r="Q201" s="28"/>
      <c r="R201" s="28"/>
      <c r="V201" s="185"/>
    </row>
    <row r="202" spans="1:22" ht="18" hidden="1" customHeight="1">
      <c r="A202" s="184"/>
      <c r="D202" s="28" t="s">
        <v>127</v>
      </c>
      <c r="E202" s="692" t="e">
        <f>E199*(G199/(G200*I200))*(L199+O199)*R199</f>
        <v>#DIV/0!</v>
      </c>
      <c r="F202" s="692"/>
      <c r="G202" s="47"/>
      <c r="H202" s="28"/>
      <c r="I202" s="28"/>
      <c r="J202" s="28"/>
      <c r="K202" s="28"/>
      <c r="L202" s="28"/>
      <c r="M202" s="28"/>
      <c r="N202" s="28"/>
      <c r="O202" s="28"/>
      <c r="P202" s="28"/>
      <c r="Q202" s="28"/>
      <c r="R202" s="28"/>
      <c r="V202" s="185"/>
    </row>
    <row r="203" spans="1:22" ht="18" hidden="1" customHeight="1">
      <c r="A203" s="184"/>
      <c r="D203" s="28"/>
      <c r="E203" s="218"/>
      <c r="F203" s="218"/>
      <c r="G203" s="47"/>
      <c r="H203" s="28"/>
      <c r="I203" s="28"/>
      <c r="J203" s="28"/>
      <c r="K203" s="28"/>
      <c r="L203" s="28"/>
      <c r="M203" s="28"/>
      <c r="N203" s="28"/>
      <c r="O203" s="28"/>
      <c r="P203" s="28"/>
      <c r="Q203" s="28"/>
      <c r="R203" s="28"/>
      <c r="V203" s="185"/>
    </row>
    <row r="204" spans="1:22" ht="18" hidden="1" customHeight="1">
      <c r="A204" s="184"/>
      <c r="D204" s="28"/>
      <c r="E204" s="218"/>
      <c r="F204" s="218"/>
      <c r="G204" s="47"/>
      <c r="H204" s="28"/>
      <c r="I204" s="28"/>
      <c r="J204" s="28"/>
      <c r="K204" s="28"/>
      <c r="L204" s="28"/>
      <c r="M204" s="28"/>
      <c r="N204" s="28"/>
      <c r="O204" s="28"/>
      <c r="P204" s="28"/>
      <c r="Q204" s="28"/>
      <c r="R204" s="28"/>
      <c r="V204" s="185"/>
    </row>
    <row r="205" spans="1:22" ht="18" hidden="1" customHeight="1">
      <c r="A205" s="184"/>
      <c r="D205" s="28"/>
      <c r="E205" s="218"/>
      <c r="F205" s="218"/>
      <c r="G205" s="47"/>
      <c r="H205" s="28"/>
      <c r="I205" s="28"/>
      <c r="J205" s="28"/>
      <c r="K205" s="28"/>
      <c r="L205" s="28"/>
      <c r="M205" s="28"/>
      <c r="N205" s="28"/>
      <c r="O205" s="28"/>
      <c r="P205" s="28"/>
      <c r="Q205" s="28"/>
      <c r="R205" s="28"/>
      <c r="V205" s="185"/>
    </row>
    <row r="206" spans="1:22" ht="18" hidden="1" customHeight="1">
      <c r="A206" s="184"/>
      <c r="D206" s="28"/>
      <c r="E206" s="218"/>
      <c r="F206" s="218"/>
      <c r="G206" s="47"/>
      <c r="H206" s="28"/>
      <c r="I206" s="28"/>
      <c r="J206" s="28"/>
      <c r="K206" s="28"/>
      <c r="L206" s="28"/>
      <c r="M206" s="28"/>
      <c r="N206" s="28"/>
      <c r="O206" s="28"/>
      <c r="P206" s="28"/>
      <c r="Q206" s="28"/>
      <c r="R206" s="28"/>
      <c r="V206" s="185"/>
    </row>
    <row r="207" spans="1:22" ht="18" hidden="1" customHeight="1">
      <c r="A207" s="184"/>
      <c r="E207" s="244"/>
      <c r="G207" s="18"/>
      <c r="V207" s="185"/>
    </row>
    <row r="208" spans="1:22" ht="18" hidden="1" customHeight="1">
      <c r="A208" s="184"/>
      <c r="V208" s="185"/>
    </row>
    <row r="209" spans="1:22" ht="18" hidden="1" customHeight="1">
      <c r="A209" s="194"/>
      <c r="B209" s="195"/>
      <c r="C209" s="195"/>
      <c r="D209" s="195"/>
      <c r="E209" s="195"/>
      <c r="F209" s="195"/>
      <c r="G209" s="195"/>
      <c r="H209" s="195"/>
      <c r="I209" s="195"/>
      <c r="J209" s="195"/>
      <c r="K209" s="195"/>
      <c r="L209" s="195"/>
      <c r="M209" s="195"/>
      <c r="N209" s="195"/>
      <c r="O209" s="195"/>
      <c r="P209" s="195"/>
      <c r="Q209" s="224"/>
      <c r="R209" s="182"/>
      <c r="S209" s="225"/>
      <c r="T209" s="195"/>
      <c r="U209" s="195"/>
      <c r="V209" s="134" t="s">
        <v>552</v>
      </c>
    </row>
    <row r="210" spans="1:22" ht="18" hidden="1" customHeight="1">
      <c r="A210" s="135"/>
      <c r="B210" s="273"/>
      <c r="C210" s="273"/>
      <c r="D210" s="273"/>
      <c r="E210" s="273"/>
      <c r="F210" s="273"/>
      <c r="G210" s="273"/>
      <c r="H210" s="273"/>
      <c r="I210" s="273"/>
      <c r="J210" s="273"/>
      <c r="K210" s="273"/>
      <c r="L210" s="273"/>
      <c r="M210" s="273"/>
      <c r="N210" s="273"/>
      <c r="O210" s="273"/>
      <c r="P210" s="273"/>
      <c r="Q210" s="274"/>
      <c r="R210" s="138"/>
      <c r="S210" s="275"/>
      <c r="T210" s="273"/>
      <c r="U210" s="273"/>
      <c r="V210" s="276"/>
    </row>
    <row r="211" spans="1:22" ht="18" hidden="1" customHeight="1">
      <c r="A211" s="193" t="s">
        <v>828</v>
      </c>
      <c r="H211" s="28"/>
      <c r="I211" s="28"/>
      <c r="J211" s="28"/>
      <c r="K211" s="28"/>
      <c r="L211" s="28"/>
      <c r="M211" s="28"/>
      <c r="N211" s="28"/>
      <c r="O211" s="27"/>
      <c r="P211" s="27"/>
      <c r="Q211" s="28"/>
      <c r="T211" s="14"/>
      <c r="U211" s="14"/>
      <c r="V211" s="185"/>
    </row>
    <row r="212" spans="1:22" ht="18" hidden="1" customHeight="1">
      <c r="A212" s="184"/>
      <c r="B212" s="689" t="s">
        <v>473</v>
      </c>
      <c r="C212" s="689"/>
      <c r="D212" s="689" t="s">
        <v>1019</v>
      </c>
      <c r="E212" s="708">
        <v>100</v>
      </c>
      <c r="F212" s="708"/>
      <c r="G212" s="689" t="s">
        <v>372</v>
      </c>
      <c r="H212" s="689" t="s">
        <v>420</v>
      </c>
      <c r="I212" s="689"/>
      <c r="J212" s="689" t="s">
        <v>347</v>
      </c>
      <c r="K212" s="689" t="s">
        <v>689</v>
      </c>
      <c r="L212" s="689"/>
      <c r="M212" s="689" t="s">
        <v>674</v>
      </c>
      <c r="N212" s="689" t="s">
        <v>411</v>
      </c>
      <c r="O212" s="27"/>
      <c r="P212" s="27"/>
      <c r="Q212" s="28"/>
      <c r="T212" s="14"/>
      <c r="U212" s="14"/>
      <c r="V212" s="185"/>
    </row>
    <row r="213" spans="1:22" ht="18" hidden="1" customHeight="1">
      <c r="A213" s="96"/>
      <c r="B213" s="689"/>
      <c r="C213" s="689"/>
      <c r="D213" s="689"/>
      <c r="E213" s="689">
        <v>1.3</v>
      </c>
      <c r="F213" s="689"/>
      <c r="G213" s="689"/>
      <c r="H213" s="689"/>
      <c r="I213" s="689"/>
      <c r="J213" s="689"/>
      <c r="K213" s="689"/>
      <c r="L213" s="689"/>
      <c r="M213" s="689"/>
      <c r="N213" s="689"/>
      <c r="O213" s="14"/>
      <c r="P213" s="14"/>
      <c r="Q213" s="14"/>
      <c r="R213" s="14"/>
      <c r="S213" s="14"/>
      <c r="T213" s="14"/>
      <c r="U213" s="14"/>
      <c r="V213" s="185"/>
    </row>
    <row r="214" spans="1:22" ht="18" hidden="1" customHeight="1">
      <c r="A214" s="96"/>
      <c r="B214" s="14"/>
      <c r="C214" s="14"/>
      <c r="D214" s="14"/>
      <c r="E214" s="14"/>
      <c r="F214" s="28"/>
      <c r="G214" s="14"/>
      <c r="H214" s="14"/>
      <c r="I214" s="102"/>
      <c r="J214" s="47"/>
      <c r="K214" s="47"/>
      <c r="L214" s="14"/>
      <c r="M214" s="14"/>
      <c r="N214" s="14"/>
      <c r="O214" s="14"/>
      <c r="P214" s="14"/>
      <c r="Q214" s="14"/>
      <c r="R214" s="14"/>
      <c r="S214" s="14"/>
      <c r="T214" s="14"/>
      <c r="U214" s="14"/>
      <c r="V214" s="185"/>
    </row>
    <row r="215" spans="1:22" ht="18" hidden="1" customHeight="1">
      <c r="A215" s="96"/>
      <c r="B215" s="14"/>
      <c r="C215" s="14"/>
      <c r="D215" s="689" t="s">
        <v>1019</v>
      </c>
      <c r="E215" s="708">
        <v>100</v>
      </c>
      <c r="F215" s="708"/>
      <c r="G215" s="689" t="s">
        <v>372</v>
      </c>
      <c r="H215" s="689">
        <f>L172</f>
        <v>0</v>
      </c>
      <c r="I215" s="689"/>
      <c r="J215" s="689" t="s">
        <v>347</v>
      </c>
      <c r="K215" s="692">
        <f>S189</f>
        <v>1.45652618</v>
      </c>
      <c r="L215" s="689"/>
      <c r="M215" s="689" t="s">
        <v>674</v>
      </c>
      <c r="N215" s="689">
        <f>S187</f>
        <v>1</v>
      </c>
      <c r="O215" s="14"/>
      <c r="P215" s="14"/>
      <c r="Q215" s="14"/>
      <c r="R215" s="14"/>
      <c r="S215" s="14"/>
      <c r="T215" s="14"/>
      <c r="U215" s="14"/>
      <c r="V215" s="185"/>
    </row>
    <row r="216" spans="1:22" ht="18" hidden="1" customHeight="1">
      <c r="A216" s="184"/>
      <c r="D216" s="689"/>
      <c r="E216" s="689">
        <v>1.3</v>
      </c>
      <c r="F216" s="689"/>
      <c r="G216" s="689"/>
      <c r="H216" s="689"/>
      <c r="I216" s="689"/>
      <c r="J216" s="689"/>
      <c r="K216" s="689"/>
      <c r="L216" s="689"/>
      <c r="M216" s="689"/>
      <c r="N216" s="689"/>
      <c r="O216" s="14"/>
      <c r="P216" s="14"/>
      <c r="Q216" s="14"/>
      <c r="R216" s="14"/>
      <c r="S216" s="14"/>
      <c r="T216" s="14"/>
      <c r="U216" s="14"/>
      <c r="V216" s="185"/>
    </row>
    <row r="217" spans="1:22" ht="18" hidden="1" customHeight="1">
      <c r="A217" s="96"/>
      <c r="E217" s="199"/>
      <c r="G217" s="27"/>
      <c r="H217" s="27"/>
      <c r="I217" s="27"/>
      <c r="J217" s="120"/>
      <c r="K217" s="27"/>
      <c r="L217" s="120"/>
      <c r="M217" s="27"/>
      <c r="N217" s="120"/>
      <c r="O217" s="27"/>
      <c r="P217" s="120"/>
      <c r="Q217" s="296"/>
      <c r="V217" s="185"/>
    </row>
    <row r="218" spans="1:22" ht="18" hidden="1" customHeight="1">
      <c r="A218" s="184"/>
      <c r="D218" s="14" t="s">
        <v>1019</v>
      </c>
      <c r="E218" s="795">
        <f>(E215/E216)*(H215+K215)*N215</f>
        <v>112.04047538461538</v>
      </c>
      <c r="F218" s="795"/>
      <c r="G218" s="27"/>
      <c r="H218" s="242"/>
      <c r="I218" s="245"/>
      <c r="J218" s="301"/>
      <c r="K218" s="245"/>
      <c r="L218" s="301"/>
      <c r="M218" s="245"/>
      <c r="N218" s="301"/>
      <c r="O218" s="245"/>
      <c r="P218" s="301"/>
      <c r="Q218" s="461"/>
      <c r="V218" s="185"/>
    </row>
    <row r="219" spans="1:22" ht="18" hidden="1" customHeight="1">
      <c r="A219" s="184"/>
      <c r="G219" s="27"/>
      <c r="H219" s="204"/>
      <c r="I219" s="204"/>
      <c r="V219" s="185"/>
    </row>
    <row r="220" spans="1:22" ht="18" hidden="1" customHeight="1">
      <c r="A220" s="258"/>
      <c r="B220" s="232"/>
      <c r="C220" s="232"/>
      <c r="D220" s="232"/>
      <c r="E220" s="232"/>
      <c r="F220" s="232"/>
      <c r="G220" s="232"/>
      <c r="H220" s="232"/>
      <c r="I220" s="232"/>
      <c r="J220" s="232"/>
      <c r="K220" s="232"/>
      <c r="L220" s="232"/>
      <c r="M220" s="232"/>
      <c r="N220" s="232"/>
      <c r="O220" s="232"/>
      <c r="P220" s="232"/>
      <c r="Q220" s="232"/>
      <c r="R220" s="232"/>
      <c r="S220" s="232"/>
      <c r="T220" s="232"/>
      <c r="U220" s="232"/>
      <c r="V220" s="233"/>
    </row>
    <row r="221" spans="1:22" ht="18" hidden="1" customHeight="1">
      <c r="A221" s="231"/>
      <c r="B221" s="232"/>
      <c r="C221" s="232"/>
      <c r="D221" s="232"/>
      <c r="E221" s="232"/>
      <c r="F221" s="232"/>
      <c r="G221" s="232"/>
      <c r="H221" s="232"/>
      <c r="I221" s="232"/>
      <c r="J221" s="232"/>
      <c r="K221" s="232"/>
      <c r="L221" s="232"/>
      <c r="M221" s="232"/>
      <c r="N221" s="232"/>
      <c r="O221" s="232"/>
      <c r="P221" s="232"/>
      <c r="Q221" s="232"/>
      <c r="R221" s="232"/>
      <c r="S221" s="232"/>
      <c r="T221" s="232"/>
      <c r="U221" s="232"/>
      <c r="V221" s="233"/>
    </row>
    <row r="222" spans="1:22" ht="18" hidden="1" customHeight="1">
      <c r="A222" s="184"/>
      <c r="D222" s="211"/>
      <c r="E222" s="211"/>
      <c r="F222" s="27"/>
      <c r="G222" s="211"/>
      <c r="H222" s="211"/>
      <c r="V222" s="185"/>
    </row>
    <row r="223" spans="1:22" ht="18" hidden="1" customHeight="1">
      <c r="A223" s="184"/>
      <c r="B223" s="27"/>
      <c r="C223" s="27"/>
      <c r="D223" s="27"/>
      <c r="E223" s="28"/>
      <c r="F223" s="27"/>
      <c r="G223" s="28"/>
      <c r="H223" s="27"/>
      <c r="I223" s="28"/>
      <c r="J223" s="27"/>
      <c r="K223" s="27"/>
      <c r="L223" s="27"/>
      <c r="M223" s="27"/>
      <c r="V223" s="185"/>
    </row>
    <row r="224" spans="1:22" ht="18" hidden="1" customHeight="1">
      <c r="A224" s="184"/>
      <c r="C224" s="27"/>
      <c r="D224" s="245"/>
      <c r="E224" s="221"/>
      <c r="F224" s="245"/>
      <c r="G224" s="222"/>
      <c r="H224" s="245"/>
      <c r="I224" s="245"/>
      <c r="J224" s="245"/>
      <c r="K224" s="245"/>
      <c r="L224" s="245"/>
      <c r="M224" s="27"/>
      <c r="V224" s="185"/>
    </row>
    <row r="225" spans="1:22" ht="18" hidden="1" customHeight="1">
      <c r="A225" s="184"/>
      <c r="C225" s="27"/>
      <c r="D225" s="204"/>
      <c r="E225" s="204"/>
      <c r="G225" s="18"/>
      <c r="V225" s="185"/>
    </row>
    <row r="226" spans="1:22" ht="18" hidden="1" customHeight="1">
      <c r="A226" s="96"/>
      <c r="B226" s="14"/>
      <c r="C226" s="14"/>
      <c r="D226" s="14"/>
      <c r="E226" s="14"/>
      <c r="F226" s="14"/>
      <c r="G226" s="14"/>
      <c r="H226" s="14"/>
      <c r="I226" s="14"/>
      <c r="J226" s="14"/>
      <c r="K226" s="14"/>
      <c r="L226" s="14"/>
      <c r="M226" s="14"/>
      <c r="N226" s="14"/>
      <c r="O226" s="14"/>
      <c r="P226" s="14"/>
      <c r="Q226" s="120"/>
      <c r="R226" s="28"/>
      <c r="S226" s="525"/>
      <c r="T226" s="14"/>
      <c r="U226" s="14"/>
      <c r="V226" s="381"/>
    </row>
    <row r="227" spans="1:22" ht="18" hidden="1" customHeight="1">
      <c r="A227" s="193" t="s">
        <v>829</v>
      </c>
      <c r="B227" s="197"/>
      <c r="C227" s="197"/>
      <c r="D227" s="197"/>
      <c r="E227" s="14"/>
      <c r="F227" s="14"/>
      <c r="G227" s="14"/>
      <c r="H227" s="14"/>
      <c r="I227" s="14"/>
      <c r="J227" s="14"/>
      <c r="K227" s="14"/>
      <c r="L227" s="14"/>
      <c r="M227" s="14"/>
      <c r="N227" s="14"/>
      <c r="O227" s="14"/>
      <c r="P227" s="14"/>
      <c r="Q227" s="120"/>
      <c r="R227" s="28"/>
      <c r="S227" s="525"/>
      <c r="T227" s="14"/>
      <c r="U227" s="14"/>
      <c r="V227" s="381"/>
    </row>
    <row r="228" spans="1:22" ht="18" hidden="1" customHeight="1">
      <c r="A228" s="193"/>
      <c r="B228" s="197"/>
      <c r="C228" s="197"/>
      <c r="D228" s="197"/>
      <c r="E228" s="14"/>
      <c r="F228" s="14"/>
      <c r="G228" s="14"/>
      <c r="H228" s="14"/>
      <c r="I228" s="14"/>
      <c r="J228" s="14"/>
      <c r="K228" s="14"/>
      <c r="L228" s="14"/>
      <c r="M228" s="14"/>
      <c r="N228" s="14"/>
      <c r="O228" s="14"/>
      <c r="P228" s="14"/>
      <c r="Q228" s="120"/>
      <c r="R228" s="28"/>
      <c r="S228" s="525"/>
      <c r="T228" s="14"/>
      <c r="U228" s="14"/>
      <c r="V228" s="381"/>
    </row>
    <row r="229" spans="1:22" ht="18" hidden="1" customHeight="1">
      <c r="A229" s="96"/>
      <c r="B229" s="197" t="s">
        <v>826</v>
      </c>
      <c r="C229" s="197"/>
      <c r="D229" s="14"/>
      <c r="E229" s="14"/>
      <c r="F229" s="14"/>
      <c r="G229" s="14"/>
      <c r="H229" s="14"/>
      <c r="I229" s="14"/>
      <c r="J229" s="14"/>
      <c r="K229" s="14"/>
      <c r="L229" s="14"/>
      <c r="M229" s="14"/>
      <c r="N229" s="14"/>
      <c r="O229" s="14"/>
      <c r="P229" s="14"/>
      <c r="Q229" s="120"/>
      <c r="R229" s="28"/>
      <c r="S229" s="525"/>
      <c r="T229" s="14"/>
      <c r="U229" s="14"/>
      <c r="V229" s="381"/>
    </row>
    <row r="230" spans="1:22" ht="18" hidden="1" customHeight="1">
      <c r="A230" s="96"/>
      <c r="B230" s="14"/>
      <c r="C230" s="14"/>
      <c r="D230" s="14"/>
      <c r="E230" s="14"/>
      <c r="F230" s="244" t="s">
        <v>475</v>
      </c>
      <c r="G230" s="28" t="e">
        <f>IF(E231&gt;H231, "&gt;","&lt;")</f>
        <v>#DIV/0!</v>
      </c>
      <c r="H230" s="14" t="s">
        <v>477</v>
      </c>
      <c r="I230" s="14"/>
      <c r="J230" s="14"/>
      <c r="K230" s="14"/>
      <c r="L230" s="14" t="s">
        <v>830</v>
      </c>
      <c r="M230" s="14"/>
      <c r="N230" s="14"/>
      <c r="O230" s="14"/>
      <c r="P230" s="14"/>
      <c r="Q230" s="120"/>
      <c r="R230" s="28"/>
      <c r="S230" s="525"/>
      <c r="T230" s="14"/>
      <c r="U230" s="14"/>
      <c r="V230" s="381"/>
    </row>
    <row r="231" spans="1:22" ht="18" hidden="1" customHeight="1">
      <c r="A231" s="96"/>
      <c r="B231" s="14"/>
      <c r="C231" s="14"/>
      <c r="D231" s="14"/>
      <c r="E231" s="692">
        <f>L173</f>
        <v>0</v>
      </c>
      <c r="F231" s="692"/>
      <c r="G231" s="28" t="e">
        <f>G230</f>
        <v>#DIV/0!</v>
      </c>
      <c r="H231" s="692" t="e">
        <f>E202</f>
        <v>#DIV/0!</v>
      </c>
      <c r="I231" s="692"/>
      <c r="J231" s="14"/>
      <c r="K231" s="14"/>
      <c r="L231" s="14"/>
      <c r="M231" s="14"/>
      <c r="N231" s="14"/>
      <c r="O231" s="14"/>
      <c r="P231" s="14"/>
      <c r="Q231" s="120"/>
      <c r="R231" s="28"/>
      <c r="S231" s="525"/>
      <c r="T231" s="14"/>
      <c r="U231" s="14"/>
      <c r="V231" s="381"/>
    </row>
    <row r="232" spans="1:22" ht="18" hidden="1" customHeight="1">
      <c r="A232" s="184"/>
      <c r="D232" s="211"/>
      <c r="E232" s="218"/>
      <c r="F232" s="199" t="s">
        <v>831</v>
      </c>
      <c r="G232" s="211"/>
      <c r="H232" s="281" t="s">
        <v>832</v>
      </c>
      <c r="J232" s="28" t="s">
        <v>833</v>
      </c>
      <c r="K232" s="18" t="e">
        <f>IF(G231="&gt;", "Satisfied", "Not Satisfied")</f>
        <v>#DIV/0!</v>
      </c>
      <c r="P232" s="14"/>
      <c r="Q232" s="120"/>
      <c r="R232" s="28"/>
      <c r="S232" s="525"/>
      <c r="T232" s="14"/>
      <c r="U232" s="14"/>
      <c r="V232" s="381"/>
    </row>
    <row r="233" spans="1:22" ht="18" hidden="1" customHeight="1">
      <c r="A233" s="96"/>
      <c r="B233" s="197" t="s">
        <v>828</v>
      </c>
      <c r="C233" s="197"/>
      <c r="D233" s="14"/>
      <c r="E233" s="14"/>
      <c r="F233" s="14"/>
      <c r="G233" s="14"/>
      <c r="H233" s="14"/>
      <c r="I233" s="14"/>
      <c r="J233" s="14"/>
      <c r="K233" s="14"/>
      <c r="L233" s="14"/>
      <c r="M233" s="14"/>
      <c r="N233" s="14"/>
      <c r="O233" s="14"/>
      <c r="P233" s="14"/>
      <c r="Q233" s="120"/>
      <c r="R233" s="28"/>
      <c r="S233" s="525"/>
      <c r="T233" s="14"/>
      <c r="U233" s="14"/>
      <c r="V233" s="381"/>
    </row>
    <row r="234" spans="1:22" ht="18" hidden="1" customHeight="1">
      <c r="A234" s="96"/>
      <c r="B234" s="14"/>
      <c r="C234" s="14"/>
      <c r="D234" s="14"/>
      <c r="E234" s="14"/>
      <c r="F234" s="244" t="s">
        <v>475</v>
      </c>
      <c r="G234" s="28" t="str">
        <f>IF(E235&gt;H235, "&gt;","&lt;")</f>
        <v>&lt;</v>
      </c>
      <c r="H234" s="14" t="s">
        <v>477</v>
      </c>
      <c r="I234" s="14"/>
      <c r="J234" s="14"/>
      <c r="K234" s="14"/>
      <c r="L234" s="14" t="s">
        <v>834</v>
      </c>
      <c r="M234" s="14"/>
      <c r="N234" s="14"/>
      <c r="O234" s="14"/>
      <c r="P234" s="14"/>
      <c r="Q234" s="120"/>
      <c r="R234" s="28"/>
      <c r="S234" s="525"/>
      <c r="T234" s="14"/>
      <c r="U234" s="14"/>
      <c r="V234" s="381"/>
    </row>
    <row r="235" spans="1:22" ht="18" hidden="1" customHeight="1">
      <c r="A235" s="96"/>
      <c r="B235" s="14"/>
      <c r="C235" s="14"/>
      <c r="D235" s="14"/>
      <c r="E235" s="692">
        <f>L173</f>
        <v>0</v>
      </c>
      <c r="F235" s="692"/>
      <c r="G235" s="28" t="str">
        <f>G234</f>
        <v>&lt;</v>
      </c>
      <c r="H235" s="692">
        <f>E218</f>
        <v>112.04047538461538</v>
      </c>
      <c r="I235" s="692"/>
      <c r="J235" s="14"/>
      <c r="K235" s="14"/>
      <c r="L235" s="14"/>
      <c r="M235" s="14"/>
      <c r="N235" s="14"/>
      <c r="O235" s="14"/>
      <c r="P235" s="14"/>
      <c r="Q235" s="120"/>
      <c r="R235" s="28"/>
      <c r="S235" s="525"/>
      <c r="T235" s="14"/>
      <c r="U235" s="14"/>
      <c r="V235" s="381"/>
    </row>
    <row r="236" spans="1:22" ht="18" hidden="1" customHeight="1">
      <c r="A236" s="184"/>
      <c r="D236" s="211"/>
      <c r="E236" s="14"/>
      <c r="F236" s="199" t="s">
        <v>831</v>
      </c>
      <c r="G236" s="211"/>
      <c r="H236" s="281" t="s">
        <v>828</v>
      </c>
      <c r="J236" s="28" t="s">
        <v>833</v>
      </c>
      <c r="K236" s="18" t="str">
        <f>IF(G235="&lt;", "Satisfied", "Not Satisfied")</f>
        <v>Satisfied</v>
      </c>
      <c r="P236" s="14"/>
      <c r="Q236" s="120"/>
      <c r="R236" s="28"/>
      <c r="S236" s="525"/>
      <c r="T236" s="14"/>
      <c r="U236" s="14"/>
      <c r="V236" s="381"/>
    </row>
    <row r="237" spans="1:22" ht="18" hidden="1" customHeight="1">
      <c r="A237" s="184"/>
      <c r="H237" s="28"/>
      <c r="I237" s="28"/>
      <c r="J237" s="28"/>
      <c r="K237" s="28"/>
      <c r="L237" s="28"/>
      <c r="M237" s="28"/>
      <c r="N237" s="28"/>
      <c r="O237" s="28"/>
      <c r="P237" s="14"/>
      <c r="Q237" s="120"/>
      <c r="R237" s="28"/>
      <c r="S237" s="525"/>
      <c r="T237" s="14"/>
      <c r="U237" s="14"/>
      <c r="V237" s="381"/>
    </row>
    <row r="238" spans="1:22" ht="18" hidden="1" customHeight="1">
      <c r="A238" s="96"/>
      <c r="B238" s="14"/>
      <c r="C238" s="14"/>
      <c r="D238" s="14"/>
      <c r="E238" s="14"/>
      <c r="F238" s="244" t="s">
        <v>478</v>
      </c>
      <c r="G238" s="14"/>
      <c r="H238" s="18" t="e">
        <f>IF(AND(G230="&gt;",G234="&lt;"),"Suitably Dimentioned",IF(AND(G230="&gt;",G234="&gt;"),"Over Dimentioned",IF(G230="&lt;","Under Dimentioned","")))</f>
        <v>#DIV/0!</v>
      </c>
      <c r="I238" s="18"/>
      <c r="J238" s="18"/>
      <c r="K238" s="18"/>
      <c r="L238" s="18"/>
      <c r="M238" s="18"/>
      <c r="N238" s="14"/>
      <c r="O238" s="14"/>
      <c r="P238" s="14"/>
      <c r="Q238" s="120"/>
      <c r="R238" s="28"/>
      <c r="S238" s="525"/>
      <c r="T238" s="14"/>
      <c r="U238" s="14"/>
      <c r="V238" s="381"/>
    </row>
    <row r="239" spans="1:22" ht="18" hidden="1" customHeight="1">
      <c r="A239" s="96"/>
      <c r="B239" s="14"/>
      <c r="C239" s="14"/>
      <c r="D239" s="14"/>
      <c r="E239" s="14"/>
      <c r="F239" s="14"/>
      <c r="G239" s="14"/>
      <c r="H239" s="14"/>
      <c r="I239" s="14"/>
      <c r="J239" s="14"/>
      <c r="K239" s="14"/>
      <c r="L239" s="14"/>
      <c r="M239" s="14"/>
      <c r="N239" s="14"/>
      <c r="O239" s="14"/>
      <c r="P239" s="14"/>
      <c r="Q239" s="120"/>
      <c r="R239" s="28"/>
      <c r="S239" s="525"/>
      <c r="T239" s="14"/>
      <c r="U239" s="14"/>
      <c r="V239" s="381"/>
    </row>
    <row r="240" spans="1:22" ht="18" hidden="1" customHeight="1">
      <c r="A240" s="96"/>
      <c r="B240" s="14"/>
      <c r="C240" s="14"/>
      <c r="D240" s="14"/>
      <c r="E240" s="14"/>
      <c r="F240" s="14"/>
      <c r="G240" s="14"/>
      <c r="H240" s="14"/>
      <c r="I240" s="14"/>
      <c r="J240" s="14"/>
      <c r="K240" s="14"/>
      <c r="L240" s="14"/>
      <c r="M240" s="14"/>
      <c r="N240" s="14"/>
      <c r="O240" s="14"/>
      <c r="P240" s="14"/>
      <c r="Q240" s="120"/>
      <c r="R240" s="28"/>
      <c r="S240" s="525"/>
      <c r="T240" s="14"/>
      <c r="U240" s="14"/>
      <c r="V240" s="381"/>
    </row>
    <row r="241" spans="1:22" ht="18" hidden="1" customHeight="1">
      <c r="A241" s="96"/>
      <c r="B241" s="14"/>
      <c r="C241" s="14"/>
      <c r="D241" s="14"/>
      <c r="E241" s="14"/>
      <c r="F241" s="14"/>
      <c r="G241" s="14"/>
      <c r="H241" s="14"/>
      <c r="I241" s="14"/>
      <c r="J241" s="14"/>
      <c r="K241" s="14"/>
      <c r="L241" s="14"/>
      <c r="M241" s="14"/>
      <c r="N241" s="14"/>
      <c r="O241" s="14"/>
      <c r="P241" s="14"/>
      <c r="Q241" s="120"/>
      <c r="R241" s="28"/>
      <c r="S241" s="525"/>
      <c r="T241" s="14"/>
      <c r="U241" s="14"/>
      <c r="V241" s="381"/>
    </row>
    <row r="242" spans="1:22" ht="18" hidden="1" customHeight="1">
      <c r="A242" s="96"/>
      <c r="B242" s="14"/>
      <c r="C242" s="14"/>
      <c r="D242" s="14"/>
      <c r="E242" s="14"/>
      <c r="F242" s="14"/>
      <c r="G242" s="14"/>
      <c r="H242" s="14"/>
      <c r="I242" s="14"/>
      <c r="J242" s="14"/>
      <c r="K242" s="14"/>
      <c r="L242" s="14"/>
      <c r="M242" s="14"/>
      <c r="N242" s="14"/>
      <c r="O242" s="14"/>
      <c r="P242" s="14"/>
      <c r="Q242" s="120"/>
      <c r="R242" s="28"/>
      <c r="S242" s="525"/>
      <c r="T242" s="14"/>
      <c r="U242" s="14"/>
      <c r="V242" s="381"/>
    </row>
    <row r="243" spans="1:22" ht="18" hidden="1" customHeight="1">
      <c r="A243" s="96"/>
      <c r="B243" s="14"/>
      <c r="C243" s="14"/>
      <c r="D243" s="14"/>
      <c r="E243" s="14"/>
      <c r="F243" s="14"/>
      <c r="G243" s="14"/>
      <c r="H243" s="14"/>
      <c r="I243" s="14"/>
      <c r="J243" s="14"/>
      <c r="K243" s="14"/>
      <c r="L243" s="14"/>
      <c r="M243" s="14"/>
      <c r="N243" s="14"/>
      <c r="O243" s="14"/>
      <c r="P243" s="14"/>
      <c r="Q243" s="120"/>
      <c r="R243" s="28"/>
      <c r="S243" s="525"/>
      <c r="T243" s="14"/>
      <c r="U243" s="14"/>
      <c r="V243" s="381"/>
    </row>
    <row r="244" spans="1:22" ht="18" hidden="1" customHeight="1">
      <c r="A244" s="96"/>
      <c r="B244" s="14"/>
      <c r="C244" s="14"/>
      <c r="D244" s="14"/>
      <c r="E244" s="14"/>
      <c r="F244" s="14"/>
      <c r="G244" s="14"/>
      <c r="H244" s="14"/>
      <c r="I244" s="14"/>
      <c r="J244" s="14"/>
      <c r="K244" s="14"/>
      <c r="L244" s="14"/>
      <c r="M244" s="14"/>
      <c r="N244" s="14"/>
      <c r="O244" s="14"/>
      <c r="P244" s="14"/>
      <c r="Q244" s="120"/>
      <c r="R244" s="28"/>
      <c r="S244" s="525"/>
      <c r="T244" s="14"/>
      <c r="U244" s="14"/>
      <c r="V244" s="381"/>
    </row>
    <row r="245" spans="1:22" ht="18" hidden="1" customHeight="1">
      <c r="A245" s="96"/>
      <c r="B245" s="14"/>
      <c r="C245" s="14"/>
      <c r="D245" s="14"/>
      <c r="E245" s="14"/>
      <c r="F245" s="14"/>
      <c r="G245" s="14"/>
      <c r="H245" s="14"/>
      <c r="I245" s="14"/>
      <c r="J245" s="14"/>
      <c r="K245" s="14"/>
      <c r="L245" s="14"/>
      <c r="M245" s="14"/>
      <c r="N245" s="14"/>
      <c r="O245" s="14"/>
      <c r="P245" s="14"/>
      <c r="Q245" s="120"/>
      <c r="R245" s="28"/>
      <c r="S245" s="525"/>
      <c r="T245" s="14"/>
      <c r="U245" s="14"/>
      <c r="V245" s="381"/>
    </row>
    <row r="246" spans="1:22" ht="18" hidden="1" customHeight="1">
      <c r="A246" s="96"/>
      <c r="B246" s="14"/>
      <c r="C246" s="14"/>
      <c r="D246" s="14"/>
      <c r="E246" s="14"/>
      <c r="F246" s="14"/>
      <c r="G246" s="14"/>
      <c r="H246" s="14"/>
      <c r="I246" s="14"/>
      <c r="J246" s="14"/>
      <c r="K246" s="14"/>
      <c r="L246" s="14"/>
      <c r="M246" s="14"/>
      <c r="N246" s="14"/>
      <c r="O246" s="14"/>
      <c r="P246" s="14"/>
      <c r="Q246" s="120"/>
      <c r="R246" s="28"/>
      <c r="S246" s="525"/>
      <c r="T246" s="14"/>
      <c r="U246" s="14"/>
      <c r="V246" s="381"/>
    </row>
    <row r="247" spans="1:22" ht="18" hidden="1" customHeight="1">
      <c r="A247" s="96"/>
      <c r="B247" s="14"/>
      <c r="C247" s="14"/>
      <c r="D247" s="14"/>
      <c r="E247" s="14"/>
      <c r="F247" s="14"/>
      <c r="G247" s="14"/>
      <c r="H247" s="14"/>
      <c r="I247" s="14"/>
      <c r="J247" s="14"/>
      <c r="K247" s="14"/>
      <c r="L247" s="14"/>
      <c r="M247" s="14"/>
      <c r="N247" s="14"/>
      <c r="O247" s="14"/>
      <c r="P247" s="14"/>
      <c r="Q247" s="120"/>
      <c r="R247" s="28"/>
      <c r="S247" s="525"/>
      <c r="T247" s="14"/>
      <c r="U247" s="14"/>
      <c r="V247" s="381"/>
    </row>
    <row r="248" spans="1:22" ht="18" hidden="1" customHeight="1">
      <c r="A248" s="96"/>
      <c r="B248" s="14"/>
      <c r="C248" s="14"/>
      <c r="D248" s="14"/>
      <c r="E248" s="14"/>
      <c r="F248" s="14"/>
      <c r="G248" s="14"/>
      <c r="H248" s="14"/>
      <c r="I248" s="14"/>
      <c r="J248" s="14"/>
      <c r="K248" s="14"/>
      <c r="L248" s="14"/>
      <c r="M248" s="14"/>
      <c r="N248" s="14"/>
      <c r="O248" s="14"/>
      <c r="P248" s="14"/>
      <c r="Q248" s="120"/>
      <c r="R248" s="28"/>
      <c r="S248" s="525"/>
      <c r="T248" s="14"/>
      <c r="U248" s="14"/>
      <c r="V248" s="381"/>
    </row>
    <row r="249" spans="1:22" ht="18" hidden="1" customHeight="1">
      <c r="A249" s="96"/>
      <c r="B249" s="14"/>
      <c r="C249" s="14"/>
      <c r="D249" s="14"/>
      <c r="E249" s="14"/>
      <c r="F249" s="14"/>
      <c r="G249" s="14"/>
      <c r="H249" s="14"/>
      <c r="I249" s="14"/>
      <c r="J249" s="14"/>
      <c r="K249" s="14"/>
      <c r="L249" s="14"/>
      <c r="M249" s="14"/>
      <c r="N249" s="14"/>
      <c r="O249" s="14"/>
      <c r="P249" s="14"/>
      <c r="Q249" s="120"/>
      <c r="R249" s="28"/>
      <c r="S249" s="525"/>
      <c r="T249" s="14"/>
      <c r="U249" s="14"/>
      <c r="V249" s="381"/>
    </row>
    <row r="250" spans="1:22" ht="18" hidden="1" customHeight="1">
      <c r="A250" s="96"/>
      <c r="B250" s="14"/>
      <c r="C250" s="14"/>
      <c r="D250" s="14"/>
      <c r="E250" s="14"/>
      <c r="F250" s="14"/>
      <c r="G250" s="14"/>
      <c r="H250" s="14"/>
      <c r="I250" s="14"/>
      <c r="J250" s="14"/>
      <c r="K250" s="14"/>
      <c r="L250" s="14"/>
      <c r="M250" s="14"/>
      <c r="N250" s="14"/>
      <c r="O250" s="14"/>
      <c r="P250" s="14"/>
      <c r="Q250" s="120"/>
      <c r="R250" s="28"/>
      <c r="S250" s="525"/>
      <c r="T250" s="14"/>
      <c r="U250" s="14"/>
      <c r="V250" s="381"/>
    </row>
    <row r="251" spans="1:22" ht="18" hidden="1" customHeight="1">
      <c r="A251" s="96"/>
      <c r="B251" s="14"/>
      <c r="C251" s="14"/>
      <c r="D251" s="14"/>
      <c r="E251" s="14"/>
      <c r="F251" s="14"/>
      <c r="G251" s="14"/>
      <c r="H251" s="14"/>
      <c r="I251" s="14"/>
      <c r="J251" s="14"/>
      <c r="K251" s="14"/>
      <c r="L251" s="14"/>
      <c r="M251" s="14"/>
      <c r="N251" s="14"/>
      <c r="O251" s="14"/>
      <c r="P251" s="14"/>
      <c r="Q251" s="120"/>
      <c r="R251" s="28"/>
      <c r="S251" s="525"/>
      <c r="T251" s="14"/>
      <c r="U251" s="14"/>
      <c r="V251" s="381"/>
    </row>
    <row r="252" spans="1:22" ht="18" hidden="1" customHeight="1">
      <c r="A252" s="96"/>
      <c r="B252" s="14"/>
      <c r="C252" s="14"/>
      <c r="D252" s="14"/>
      <c r="E252" s="14"/>
      <c r="F252" s="14"/>
      <c r="G252" s="14"/>
      <c r="H252" s="14"/>
      <c r="I252" s="14"/>
      <c r="J252" s="14"/>
      <c r="K252" s="14"/>
      <c r="L252" s="14"/>
      <c r="M252" s="14"/>
      <c r="N252" s="14"/>
      <c r="O252" s="14"/>
      <c r="P252" s="14"/>
      <c r="Q252" s="120"/>
      <c r="R252" s="28"/>
      <c r="S252" s="525"/>
      <c r="T252" s="14"/>
      <c r="U252" s="14"/>
      <c r="V252" s="381"/>
    </row>
    <row r="253" spans="1:22" ht="18" hidden="1" customHeight="1">
      <c r="A253" s="194"/>
      <c r="B253" s="195"/>
      <c r="C253" s="195"/>
      <c r="D253" s="195"/>
      <c r="E253" s="195"/>
      <c r="F253" s="195"/>
      <c r="G253" s="195"/>
      <c r="H253" s="195"/>
      <c r="I253" s="195"/>
      <c r="J253" s="195"/>
      <c r="K253" s="195"/>
      <c r="L253" s="195"/>
      <c r="M253" s="195"/>
      <c r="N253" s="195"/>
      <c r="O253" s="195"/>
      <c r="P253" s="195"/>
      <c r="Q253" s="224"/>
      <c r="R253" s="182"/>
      <c r="S253" s="225"/>
      <c r="T253" s="195"/>
      <c r="U253" s="195"/>
      <c r="V253" s="134" t="s">
        <v>552</v>
      </c>
    </row>
    <row r="254" spans="1:22" ht="18" customHeight="1">
      <c r="A254" s="226"/>
      <c r="B254" s="227"/>
      <c r="C254" s="227"/>
      <c r="D254" s="227"/>
      <c r="E254" s="227"/>
      <c r="F254" s="227"/>
      <c r="G254" s="227"/>
      <c r="H254" s="227"/>
      <c r="I254" s="227"/>
      <c r="J254" s="227"/>
      <c r="K254" s="227"/>
      <c r="L254" s="227"/>
      <c r="M254" s="227"/>
      <c r="N254" s="227"/>
      <c r="O254" s="227"/>
      <c r="P254" s="227"/>
      <c r="Q254" s="227"/>
      <c r="R254" s="227"/>
      <c r="S254" s="227"/>
      <c r="T254" s="227"/>
      <c r="U254" s="227"/>
      <c r="V254" s="228"/>
    </row>
    <row r="255" spans="1:22" ht="18" customHeight="1">
      <c r="A255" s="184"/>
      <c r="V255" s="185"/>
    </row>
    <row r="256" spans="1:22" ht="18" customHeight="1">
      <c r="A256" s="194" t="s">
        <v>532</v>
      </c>
      <c r="B256" s="273"/>
      <c r="C256" s="273"/>
      <c r="D256" s="274"/>
      <c r="E256" s="274"/>
      <c r="F256" s="537"/>
      <c r="G256" s="537"/>
      <c r="H256" s="273"/>
      <c r="I256" s="273"/>
      <c r="J256" s="273"/>
      <c r="K256" s="273"/>
      <c r="L256" s="273"/>
      <c r="M256" s="273"/>
      <c r="N256" s="273"/>
      <c r="O256" s="273"/>
      <c r="P256" s="138"/>
      <c r="Q256" s="274"/>
      <c r="R256" s="139"/>
      <c r="S256" s="2"/>
      <c r="T256" s="195"/>
      <c r="U256" s="273"/>
      <c r="V256" s="521"/>
    </row>
    <row r="257" spans="1:22" ht="18" customHeight="1">
      <c r="A257" s="955" t="s">
        <v>85</v>
      </c>
      <c r="B257" s="956"/>
      <c r="C257" s="957"/>
      <c r="D257" s="955" t="s">
        <v>86</v>
      </c>
      <c r="E257" s="956"/>
      <c r="F257" s="957"/>
      <c r="G257" s="955" t="s">
        <v>87</v>
      </c>
      <c r="H257" s="957"/>
      <c r="I257" s="955" t="s">
        <v>88</v>
      </c>
      <c r="J257" s="957"/>
      <c r="K257" s="955" t="s">
        <v>502</v>
      </c>
      <c r="L257" s="957"/>
      <c r="M257" s="868" t="s">
        <v>503</v>
      </c>
      <c r="N257" s="868"/>
      <c r="O257" s="868" t="s">
        <v>504</v>
      </c>
      <c r="P257" s="868"/>
      <c r="Q257" s="955" t="s">
        <v>505</v>
      </c>
      <c r="R257" s="957"/>
      <c r="S257" s="955" t="s">
        <v>93</v>
      </c>
      <c r="T257" s="956"/>
      <c r="U257" s="956"/>
      <c r="V257" s="957"/>
    </row>
    <row r="258" spans="1:22" ht="18" customHeight="1">
      <c r="A258" s="1125"/>
      <c r="B258" s="983"/>
      <c r="C258" s="1126"/>
      <c r="D258" s="1125"/>
      <c r="E258" s="983"/>
      <c r="F258" s="1126"/>
      <c r="G258" s="1125"/>
      <c r="H258" s="1126"/>
      <c r="I258" s="1125"/>
      <c r="J258" s="1126"/>
      <c r="K258" s="1125"/>
      <c r="L258" s="1126"/>
      <c r="M258" s="868"/>
      <c r="N258" s="868"/>
      <c r="O258" s="868"/>
      <c r="P258" s="868"/>
      <c r="Q258" s="1125"/>
      <c r="R258" s="1126"/>
      <c r="S258" s="1125"/>
      <c r="T258" s="983"/>
      <c r="U258" s="983"/>
      <c r="V258" s="1126"/>
    </row>
    <row r="259" spans="1:22" ht="18" customHeight="1">
      <c r="A259" s="1125"/>
      <c r="B259" s="983"/>
      <c r="C259" s="1126"/>
      <c r="D259" s="1125"/>
      <c r="E259" s="983"/>
      <c r="F259" s="1126"/>
      <c r="G259" s="1125"/>
      <c r="H259" s="1126"/>
      <c r="I259" s="1125"/>
      <c r="J259" s="1126"/>
      <c r="K259" s="1125"/>
      <c r="L259" s="1126"/>
      <c r="M259" s="868"/>
      <c r="N259" s="868"/>
      <c r="O259" s="868"/>
      <c r="P259" s="868"/>
      <c r="Q259" s="1125"/>
      <c r="R259" s="1126"/>
      <c r="S259" s="1125"/>
      <c r="T259" s="983"/>
      <c r="U259" s="983"/>
      <c r="V259" s="1126"/>
    </row>
    <row r="260" spans="1:22" ht="18" customHeight="1">
      <c r="A260" s="1047"/>
      <c r="B260" s="1048"/>
      <c r="C260" s="1049"/>
      <c r="D260" s="1047"/>
      <c r="E260" s="1048"/>
      <c r="F260" s="1049"/>
      <c r="G260" s="1047"/>
      <c r="H260" s="1049"/>
      <c r="I260" s="1047"/>
      <c r="J260" s="1049"/>
      <c r="K260" s="1047"/>
      <c r="L260" s="1049"/>
      <c r="M260" s="868"/>
      <c r="N260" s="868"/>
      <c r="O260" s="868"/>
      <c r="P260" s="868"/>
      <c r="Q260" s="1047"/>
      <c r="R260" s="1049"/>
      <c r="S260" s="1047"/>
      <c r="T260" s="1048"/>
      <c r="U260" s="1048"/>
      <c r="V260" s="1049"/>
    </row>
    <row r="261" spans="1:22" ht="18" customHeight="1">
      <c r="A261" s="765" t="str">
        <f>B7</f>
        <v>T2</v>
      </c>
      <c r="B261" s="765" t="str">
        <f>D7</f>
        <v>Core1</v>
      </c>
      <c r="C261" s="765"/>
      <c r="D261" s="870">
        <f>H10</f>
        <v>2000</v>
      </c>
      <c r="E261" s="870"/>
      <c r="F261" s="871">
        <f>O10</f>
        <v>1</v>
      </c>
      <c r="G261" s="961">
        <f>'CT-VT Burdens'!S21</f>
        <v>120</v>
      </c>
      <c r="H261" s="959">
        <f>'CT-VT Burdens'!S10</f>
        <v>6</v>
      </c>
      <c r="I261" s="874" t="str">
        <f>H11</f>
        <v>PX</v>
      </c>
      <c r="J261" s="874"/>
      <c r="K261" s="869">
        <f>H12</f>
        <v>3.5</v>
      </c>
      <c r="L261" s="869"/>
      <c r="M261" s="869">
        <f>H13</f>
        <v>500</v>
      </c>
      <c r="N261" s="869"/>
      <c r="O261" s="870">
        <f>H14</f>
        <v>20</v>
      </c>
      <c r="P261" s="870"/>
      <c r="Q261" s="879" t="str">
        <f>CONCATENATE(T7," ",T8," ",T9," ",T10)</f>
        <v xml:space="preserve">7SS522 6MU85  </v>
      </c>
      <c r="R261" s="879"/>
      <c r="S261" s="878" t="str">
        <f>H74</f>
        <v>Suitably Dimentioned</v>
      </c>
      <c r="T261" s="878"/>
      <c r="U261" s="878"/>
      <c r="V261" s="878"/>
    </row>
    <row r="262" spans="1:22" ht="18" customHeight="1">
      <c r="A262" s="765"/>
      <c r="B262" s="765"/>
      <c r="C262" s="765"/>
      <c r="D262" s="870">
        <f>J10</f>
        <v>3200</v>
      </c>
      <c r="E262" s="870"/>
      <c r="F262" s="872"/>
      <c r="G262" s="961"/>
      <c r="H262" s="959"/>
      <c r="I262" s="874"/>
      <c r="J262" s="874"/>
      <c r="K262" s="875">
        <f>J92</f>
        <v>5</v>
      </c>
      <c r="L262" s="869"/>
      <c r="M262" s="875">
        <f>J93</f>
        <v>900</v>
      </c>
      <c r="N262" s="869"/>
      <c r="O262" s="870">
        <f>J94</f>
        <v>10</v>
      </c>
      <c r="P262" s="870"/>
      <c r="Q262" s="879"/>
      <c r="R262" s="879"/>
      <c r="S262" s="877" t="str">
        <f>H154</f>
        <v>Suitably Dimentioned</v>
      </c>
      <c r="T262" s="878"/>
      <c r="U262" s="878"/>
      <c r="V262" s="878"/>
    </row>
    <row r="263" spans="1:22" ht="18" customHeight="1">
      <c r="A263" s="765"/>
      <c r="B263" s="765"/>
      <c r="C263" s="765"/>
      <c r="D263" s="870" t="s">
        <v>6</v>
      </c>
      <c r="E263" s="870"/>
      <c r="F263" s="873"/>
      <c r="G263" s="961"/>
      <c r="H263" s="959"/>
      <c r="I263" s="874"/>
      <c r="J263" s="874"/>
      <c r="K263" s="869" t="s">
        <v>6</v>
      </c>
      <c r="L263" s="869"/>
      <c r="M263" s="869" t="s">
        <v>6</v>
      </c>
      <c r="N263" s="869"/>
      <c r="O263" s="870" t="s">
        <v>6</v>
      </c>
      <c r="P263" s="870"/>
      <c r="Q263" s="879"/>
      <c r="R263" s="879"/>
      <c r="S263" s="878" t="s">
        <v>6</v>
      </c>
      <c r="T263" s="878"/>
      <c r="U263" s="878"/>
      <c r="V263" s="878"/>
    </row>
    <row r="264" spans="1:22" ht="18" customHeight="1">
      <c r="A264" s="184"/>
      <c r="V264" s="185"/>
    </row>
    <row r="265" spans="1:22" ht="18" customHeight="1">
      <c r="A265" s="184"/>
      <c r="V265" s="185"/>
    </row>
    <row r="266" spans="1:22" ht="18" customHeight="1">
      <c r="A266" s="184"/>
      <c r="V266" s="185"/>
    </row>
    <row r="267" spans="1:22" ht="18" customHeight="1">
      <c r="A267" s="184"/>
      <c r="V267" s="185"/>
    </row>
    <row r="268" spans="1:22" ht="18" customHeight="1">
      <c r="A268" s="184"/>
      <c r="V268" s="185"/>
    </row>
    <row r="269" spans="1:22" ht="18" customHeight="1">
      <c r="A269" s="184"/>
      <c r="V269" s="185"/>
    </row>
    <row r="270" spans="1:22" ht="18" customHeight="1">
      <c r="A270" s="184"/>
      <c r="V270" s="185"/>
    </row>
    <row r="271" spans="1:22" ht="18" customHeight="1">
      <c r="A271" s="184"/>
      <c r="V271" s="185"/>
    </row>
    <row r="272" spans="1:22" ht="18" customHeight="1">
      <c r="A272" s="184"/>
      <c r="V272" s="185"/>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sheetData>
  <mergeCells count="273">
    <mergeCell ref="Q261:R263"/>
    <mergeCell ref="O257:P260"/>
    <mergeCell ref="Q257:R260"/>
    <mergeCell ref="S257:V260"/>
    <mergeCell ref="A261:A263"/>
    <mergeCell ref="B261:C263"/>
    <mergeCell ref="D261:E261"/>
    <mergeCell ref="F261:F263"/>
    <mergeCell ref="G261:G263"/>
    <mergeCell ref="D263:E263"/>
    <mergeCell ref="K263:L263"/>
    <mergeCell ref="M263:N263"/>
    <mergeCell ref="O263:P263"/>
    <mergeCell ref="S263:V263"/>
    <mergeCell ref="S261:V261"/>
    <mergeCell ref="D262:E262"/>
    <mergeCell ref="K262:L262"/>
    <mergeCell ref="M262:N262"/>
    <mergeCell ref="O262:P262"/>
    <mergeCell ref="S262:V262"/>
    <mergeCell ref="H261:H263"/>
    <mergeCell ref="I261:J263"/>
    <mergeCell ref="K261:L261"/>
    <mergeCell ref="M261:N261"/>
    <mergeCell ref="O261:P261"/>
    <mergeCell ref="K215:L216"/>
    <mergeCell ref="M215:M216"/>
    <mergeCell ref="N215:N216"/>
    <mergeCell ref="E216:F216"/>
    <mergeCell ref="E218:F218"/>
    <mergeCell ref="E231:F231"/>
    <mergeCell ref="H231:I231"/>
    <mergeCell ref="K257:L260"/>
    <mergeCell ref="M257:N260"/>
    <mergeCell ref="D215:D216"/>
    <mergeCell ref="E215:F215"/>
    <mergeCell ref="G215:G216"/>
    <mergeCell ref="H215:I216"/>
    <mergeCell ref="J215:J216"/>
    <mergeCell ref="E235:F235"/>
    <mergeCell ref="H235:I235"/>
    <mergeCell ref="A257:C260"/>
    <mergeCell ref="D257:F260"/>
    <mergeCell ref="G257:H260"/>
    <mergeCell ref="I257:J260"/>
    <mergeCell ref="E202:F202"/>
    <mergeCell ref="B212:C213"/>
    <mergeCell ref="D212:D213"/>
    <mergeCell ref="E212:F212"/>
    <mergeCell ref="G212:G213"/>
    <mergeCell ref="H212:I213"/>
    <mergeCell ref="L199:M200"/>
    <mergeCell ref="N199:N200"/>
    <mergeCell ref="O199:P200"/>
    <mergeCell ref="J212:J213"/>
    <mergeCell ref="K212:L213"/>
    <mergeCell ref="M212:M213"/>
    <mergeCell ref="N212:N213"/>
    <mergeCell ref="E213:F213"/>
    <mergeCell ref="Q199:Q200"/>
    <mergeCell ref="R199:R200"/>
    <mergeCell ref="I200:J200"/>
    <mergeCell ref="N196:N197"/>
    <mergeCell ref="O196:P197"/>
    <mergeCell ref="Q196:Q197"/>
    <mergeCell ref="R196:R197"/>
    <mergeCell ref="I197:J197"/>
    <mergeCell ref="D199:D200"/>
    <mergeCell ref="E199:E200"/>
    <mergeCell ref="F199:F200"/>
    <mergeCell ref="G199:J199"/>
    <mergeCell ref="K199:K200"/>
    <mergeCell ref="S188:T188"/>
    <mergeCell ref="S189:T189"/>
    <mergeCell ref="S190:T190"/>
    <mergeCell ref="B196:C197"/>
    <mergeCell ref="D196:D197"/>
    <mergeCell ref="E196:E197"/>
    <mergeCell ref="F196:F197"/>
    <mergeCell ref="G196:J196"/>
    <mergeCell ref="K196:K197"/>
    <mergeCell ref="L196:M197"/>
    <mergeCell ref="J180:K180"/>
    <mergeCell ref="J181:K181"/>
    <mergeCell ref="J182:K182"/>
    <mergeCell ref="S185:T185"/>
    <mergeCell ref="S186:T186"/>
    <mergeCell ref="S187:T187"/>
    <mergeCell ref="L171:M171"/>
    <mergeCell ref="L172:M172"/>
    <mergeCell ref="L173:M173"/>
    <mergeCell ref="L174:M174"/>
    <mergeCell ref="J178:K178"/>
    <mergeCell ref="J179:K179"/>
    <mergeCell ref="T168:U168"/>
    <mergeCell ref="H169:I169"/>
    <mergeCell ref="J169:K169"/>
    <mergeCell ref="L169:M169"/>
    <mergeCell ref="T169:U169"/>
    <mergeCell ref="H170:I170"/>
    <mergeCell ref="J170:K170"/>
    <mergeCell ref="L170:M170"/>
    <mergeCell ref="E151:F151"/>
    <mergeCell ref="H151:I151"/>
    <mergeCell ref="D131:D132"/>
    <mergeCell ref="E131:F131"/>
    <mergeCell ref="G131:G132"/>
    <mergeCell ref="H131:I132"/>
    <mergeCell ref="J131:J132"/>
    <mergeCell ref="B167:C167"/>
    <mergeCell ref="D167:E167"/>
    <mergeCell ref="H167:M167"/>
    <mergeCell ref="T167:U167"/>
    <mergeCell ref="K131:L132"/>
    <mergeCell ref="M131:M132"/>
    <mergeCell ref="N131:N132"/>
    <mergeCell ref="E132:F132"/>
    <mergeCell ref="E134:F134"/>
    <mergeCell ref="E147:F147"/>
    <mergeCell ref="H147:I147"/>
    <mergeCell ref="E122:F122"/>
    <mergeCell ref="B128:C129"/>
    <mergeCell ref="D128:D129"/>
    <mergeCell ref="E128:F128"/>
    <mergeCell ref="G128:G129"/>
    <mergeCell ref="H128:I129"/>
    <mergeCell ref="L119:M120"/>
    <mergeCell ref="N119:N120"/>
    <mergeCell ref="O119:P120"/>
    <mergeCell ref="J128:J129"/>
    <mergeCell ref="K128:L129"/>
    <mergeCell ref="M128:M129"/>
    <mergeCell ref="N128:N129"/>
    <mergeCell ref="E129:F129"/>
    <mergeCell ref="Q119:Q120"/>
    <mergeCell ref="R119:R120"/>
    <mergeCell ref="I120:J120"/>
    <mergeCell ref="N116:N117"/>
    <mergeCell ref="O116:P117"/>
    <mergeCell ref="Q116:Q117"/>
    <mergeCell ref="R116:R117"/>
    <mergeCell ref="I117:J117"/>
    <mergeCell ref="D119:D120"/>
    <mergeCell ref="E119:E120"/>
    <mergeCell ref="F119:F120"/>
    <mergeCell ref="G119:J119"/>
    <mergeCell ref="K119:K120"/>
    <mergeCell ref="S109:T109"/>
    <mergeCell ref="S110:T110"/>
    <mergeCell ref="B116:C117"/>
    <mergeCell ref="D116:D117"/>
    <mergeCell ref="E116:E117"/>
    <mergeCell ref="F116:F117"/>
    <mergeCell ref="G116:J116"/>
    <mergeCell ref="K116:K117"/>
    <mergeCell ref="L116:M117"/>
    <mergeCell ref="S106:T106"/>
    <mergeCell ref="S107:T107"/>
    <mergeCell ref="J91:K91"/>
    <mergeCell ref="J92:K92"/>
    <mergeCell ref="J93:K93"/>
    <mergeCell ref="J94:K94"/>
    <mergeCell ref="J98:K98"/>
    <mergeCell ref="J99:K99"/>
    <mergeCell ref="S108:T108"/>
    <mergeCell ref="H90:I90"/>
    <mergeCell ref="J90:K90"/>
    <mergeCell ref="L90:M90"/>
    <mergeCell ref="E71:F71"/>
    <mergeCell ref="H71:I71"/>
    <mergeCell ref="J100:K100"/>
    <mergeCell ref="J101:K101"/>
    <mergeCell ref="J102:K102"/>
    <mergeCell ref="S105:T105"/>
    <mergeCell ref="T87:U87"/>
    <mergeCell ref="N51:N52"/>
    <mergeCell ref="E52:F52"/>
    <mergeCell ref="E54:F54"/>
    <mergeCell ref="E67:F67"/>
    <mergeCell ref="H67:I67"/>
    <mergeCell ref="T88:U88"/>
    <mergeCell ref="H89:I89"/>
    <mergeCell ref="J89:K89"/>
    <mergeCell ref="L89:M89"/>
    <mergeCell ref="T89:U89"/>
    <mergeCell ref="D51:D52"/>
    <mergeCell ref="E51:F51"/>
    <mergeCell ref="G51:G52"/>
    <mergeCell ref="H51:I52"/>
    <mergeCell ref="J51:J52"/>
    <mergeCell ref="K51:L52"/>
    <mergeCell ref="B87:C87"/>
    <mergeCell ref="D87:E87"/>
    <mergeCell ref="H87:M87"/>
    <mergeCell ref="M51:M52"/>
    <mergeCell ref="B48:C49"/>
    <mergeCell ref="D48:D49"/>
    <mergeCell ref="E48:F48"/>
    <mergeCell ref="G48:G49"/>
    <mergeCell ref="H48:I49"/>
    <mergeCell ref="J48:J49"/>
    <mergeCell ref="N39:N40"/>
    <mergeCell ref="O39:P40"/>
    <mergeCell ref="Q39:Q40"/>
    <mergeCell ref="K48:L49"/>
    <mergeCell ref="M48:M49"/>
    <mergeCell ref="N48:N49"/>
    <mergeCell ref="E49:F49"/>
    <mergeCell ref="R39:R40"/>
    <mergeCell ref="I40:J40"/>
    <mergeCell ref="E42:F42"/>
    <mergeCell ref="D39:D40"/>
    <mergeCell ref="E39:E40"/>
    <mergeCell ref="F39:F40"/>
    <mergeCell ref="G39:J39"/>
    <mergeCell ref="K39:K40"/>
    <mergeCell ref="L39:M40"/>
    <mergeCell ref="L36:M37"/>
    <mergeCell ref="N36:N37"/>
    <mergeCell ref="O36:P37"/>
    <mergeCell ref="Q36:Q37"/>
    <mergeCell ref="R36:R37"/>
    <mergeCell ref="I37:J37"/>
    <mergeCell ref="B36:C37"/>
    <mergeCell ref="D36:D37"/>
    <mergeCell ref="E36:E37"/>
    <mergeCell ref="F36:F37"/>
    <mergeCell ref="G36:J36"/>
    <mergeCell ref="K36:K37"/>
    <mergeCell ref="S25:T25"/>
    <mergeCell ref="S26:T26"/>
    <mergeCell ref="S27:T27"/>
    <mergeCell ref="S28:T28"/>
    <mergeCell ref="S29:T29"/>
    <mergeCell ref="S30:T30"/>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1 G207 G225">
    <cfRule type="cellIs" dxfId="22" priority="8" stopIfTrue="1" operator="equal">
      <formula>"Under Dimentioned"</formula>
    </cfRule>
  </conditionalFormatting>
  <conditionalFormatting sqref="H74">
    <cfRule type="cellIs" dxfId="21" priority="5" stopIfTrue="1" operator="equal">
      <formula>"Under Dimentioned"</formula>
    </cfRule>
    <cfRule type="cellIs" dxfId="20" priority="6" stopIfTrue="1" operator="equal">
      <formula>"Over Dimentioned"</formula>
    </cfRule>
  </conditionalFormatting>
  <conditionalFormatting sqref="H154 H238">
    <cfRule type="containsText" dxfId="19" priority="7" operator="containsText" text="Under Dimentioned">
      <formula>NOT(ISERROR(SEARCH("Under Dimentioned",H154)))</formula>
    </cfRule>
  </conditionalFormatting>
  <conditionalFormatting sqref="H154">
    <cfRule type="cellIs" dxfId="18" priority="3" stopIfTrue="1" operator="equal">
      <formula>"Under Dimentioned"</formula>
    </cfRule>
    <cfRule type="cellIs" dxfId="17" priority="4" stopIfTrue="1" operator="equal">
      <formula>"Over Dimentioned"</formula>
    </cfRule>
  </conditionalFormatting>
  <conditionalFormatting sqref="H238">
    <cfRule type="cellIs" dxfId="16" priority="1" stopIfTrue="1" operator="equal">
      <formula>"Under Dimentioned"</formula>
    </cfRule>
    <cfRule type="cellIs" dxfId="15" priority="2" stopIfTrue="1" operator="equal">
      <formula>"Over Dimentioned"</formula>
    </cfRule>
  </conditionalFormatting>
  <dataValidations count="2">
    <dataValidation type="list" allowBlank="1" showInputMessage="1" showErrorMessage="1" sqref="D7:E7" xr:uid="{261D8A3C-3440-4F8F-B521-A2A5A822789D}">
      <formula1>"Core1,Core2,Core3,Core4"</formula1>
    </dataValidation>
    <dataValidation type="list" allowBlank="1" showInputMessage="1" showErrorMessage="1" sqref="D87 D167" xr:uid="{9EA60EE3-EA74-4F30-BED4-71449A35B446}">
      <formula1>"Core1,Core2,Core3"</formula1>
    </dataValidation>
  </dataValidations>
  <printOptions horizontalCentered="1" verticalCentered="1"/>
  <pageMargins left="0.5" right="0.5" top="0.5" bottom="0.5" header="0" footer="0"/>
  <pageSetup paperSize="9" scale="90" orientation="portrait" r:id="rId1"/>
  <headerFooter alignWithMargins="0"/>
  <rowBreaks count="4" manualBreakCount="4">
    <brk id="45" max="21" man="1"/>
    <brk id="85" max="21" man="1"/>
    <brk id="125" max="21" man="1"/>
    <brk id="165" max="21"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F4CB-7206-4EC7-8735-375C932F2CED}">
  <sheetPr>
    <tabColor rgb="FF00B050"/>
  </sheetPr>
  <dimension ref="A1:AE175"/>
  <sheetViews>
    <sheetView showZeros="0" view="pageBreakPreview" topLeftCell="A86" zoomScale="115" zoomScaleNormal="100" zoomScaleSheetLayoutView="115" workbookViewId="0">
      <selection activeCell="H349" sqref="H34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24"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1025</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955</v>
      </c>
      <c r="C7" s="782"/>
      <c r="D7" s="781" t="s">
        <v>109</v>
      </c>
      <c r="E7" s="782"/>
      <c r="F7" s="255"/>
      <c r="H7" s="684" t="s">
        <v>565</v>
      </c>
      <c r="I7" s="684"/>
      <c r="J7" s="684"/>
      <c r="K7" s="684"/>
      <c r="L7" s="684"/>
      <c r="M7" s="684"/>
      <c r="P7" s="186"/>
      <c r="R7" s="255"/>
      <c r="S7" s="187" t="s">
        <v>387</v>
      </c>
      <c r="T7" s="1216" t="s">
        <v>508</v>
      </c>
      <c r="U7" s="1247"/>
      <c r="V7" s="185"/>
    </row>
    <row r="8" spans="1:24" ht="18" customHeight="1">
      <c r="A8" s="184"/>
      <c r="B8" s="538"/>
      <c r="C8" s="538"/>
      <c r="D8" s="547"/>
      <c r="E8" s="547"/>
      <c r="F8" s="255"/>
      <c r="T8" s="1216" t="s">
        <v>956</v>
      </c>
      <c r="U8" s="1247"/>
      <c r="V8" s="185"/>
    </row>
    <row r="9" spans="1:24" ht="18" customHeight="1">
      <c r="A9" s="184"/>
      <c r="H9" s="789" t="s">
        <v>390</v>
      </c>
      <c r="I9" s="789"/>
      <c r="J9" s="790" t="s">
        <v>391</v>
      </c>
      <c r="K9" s="790"/>
      <c r="L9" s="790" t="s">
        <v>392</v>
      </c>
      <c r="M9" s="790"/>
      <c r="T9" s="1216" t="s">
        <v>896</v>
      </c>
      <c r="U9" s="1247"/>
      <c r="V9" s="185"/>
    </row>
    <row r="10" spans="1:24" ht="18" customHeight="1">
      <c r="A10" s="184"/>
      <c r="B10" s="47" t="s">
        <v>393</v>
      </c>
      <c r="H10" s="791">
        <v>2800</v>
      </c>
      <c r="I10" s="792"/>
      <c r="J10" s="781">
        <v>3200</v>
      </c>
      <c r="K10" s="782"/>
      <c r="L10" s="781" t="s">
        <v>6</v>
      </c>
      <c r="M10" s="782"/>
      <c r="N10" s="191" t="s">
        <v>342</v>
      </c>
      <c r="O10" s="125">
        <v>1</v>
      </c>
      <c r="P10" s="27" t="s">
        <v>8</v>
      </c>
      <c r="T10" s="1216"/>
      <c r="U10" s="1247"/>
      <c r="V10" s="185"/>
    </row>
    <row r="11" spans="1:24" ht="18" customHeight="1">
      <c r="A11" s="184"/>
      <c r="B11" s="47" t="s">
        <v>394</v>
      </c>
      <c r="H11" s="781" t="s">
        <v>708</v>
      </c>
      <c r="I11" s="782"/>
      <c r="T11" s="1248"/>
      <c r="U11" s="1248"/>
      <c r="V11" s="185"/>
    </row>
    <row r="12" spans="1:24" ht="18" customHeight="1">
      <c r="A12" s="184"/>
      <c r="B12" s="47" t="s">
        <v>396</v>
      </c>
      <c r="G12" s="120" t="s">
        <v>497</v>
      </c>
      <c r="H12" s="781">
        <v>4</v>
      </c>
      <c r="I12" s="782"/>
      <c r="J12" s="192" t="s">
        <v>333</v>
      </c>
      <c r="T12" s="295"/>
      <c r="U12" s="18"/>
      <c r="V12" s="185"/>
    </row>
    <row r="13" spans="1:24" ht="18" customHeight="1">
      <c r="A13" s="184"/>
      <c r="B13" s="30" t="s">
        <v>568</v>
      </c>
      <c r="G13" s="120" t="s">
        <v>569</v>
      </c>
      <c r="H13" s="781">
        <v>5</v>
      </c>
      <c r="I13" s="782"/>
      <c r="T13" s="295"/>
      <c r="U13" s="18"/>
      <c r="V13" s="185"/>
      <c r="W13" s="30" t="str">
        <f>J46</f>
        <v>Suitably Dimensioned</v>
      </c>
    </row>
    <row r="14" spans="1:24" ht="18" customHeight="1">
      <c r="A14" s="184"/>
      <c r="B14" s="47" t="s">
        <v>562</v>
      </c>
      <c r="G14" s="120" t="s">
        <v>493</v>
      </c>
      <c r="H14" s="781">
        <v>25</v>
      </c>
      <c r="I14" s="782"/>
      <c r="J14" s="14"/>
      <c r="T14" s="295"/>
      <c r="U14" s="18"/>
      <c r="V14" s="185"/>
    </row>
    <row r="15" spans="1:24" ht="18" customHeight="1">
      <c r="A15" s="272"/>
      <c r="H15" s="255"/>
      <c r="I15" s="255"/>
      <c r="J15" s="14"/>
      <c r="T15" s="295"/>
      <c r="U15" s="18"/>
      <c r="V15" s="185"/>
    </row>
    <row r="16" spans="1:24" ht="18" customHeight="1">
      <c r="A16" s="193" t="s">
        <v>404</v>
      </c>
      <c r="V16" s="185"/>
    </row>
    <row r="17" spans="1:31" ht="18" customHeight="1">
      <c r="A17" s="184"/>
      <c r="V17" s="185"/>
    </row>
    <row r="18" spans="1:31" ht="18" customHeight="1">
      <c r="A18" s="184"/>
      <c r="B18" s="135" t="s">
        <v>405</v>
      </c>
      <c r="C18" s="273"/>
      <c r="D18" s="139" t="str">
        <f>T7</f>
        <v>REC670</v>
      </c>
      <c r="E18" s="227"/>
      <c r="F18" s="227"/>
      <c r="G18" s="227"/>
      <c r="H18" s="138"/>
      <c r="I18" s="260" t="s">
        <v>127</v>
      </c>
      <c r="J18" s="1104">
        <f>'CT-VT Burdens'!Q104</f>
        <v>0.02</v>
      </c>
      <c r="K18" s="1193"/>
      <c r="L18" s="3" t="s">
        <v>157</v>
      </c>
      <c r="N18" s="197" t="s">
        <v>510</v>
      </c>
      <c r="V18" s="185"/>
      <c r="AC18" s="14" t="s">
        <v>570</v>
      </c>
      <c r="AE18" s="14" t="s">
        <v>571</v>
      </c>
    </row>
    <row r="19" spans="1:31" ht="18" customHeight="1">
      <c r="A19" s="184"/>
      <c r="B19" s="96" t="s">
        <v>405</v>
      </c>
      <c r="D19" s="296" t="str">
        <f>T8</f>
        <v>CP-L96A</v>
      </c>
      <c r="I19" s="177" t="s">
        <v>127</v>
      </c>
      <c r="J19" s="1106">
        <f>'CT-VT Burdens'!Q152</f>
        <v>1</v>
      </c>
      <c r="K19" s="1107"/>
      <c r="L19" s="198" t="s">
        <v>157</v>
      </c>
      <c r="P19" s="244"/>
      <c r="V19" s="185"/>
    </row>
    <row r="20" spans="1:31" ht="18" customHeight="1">
      <c r="A20" s="184"/>
      <c r="B20" s="96" t="s">
        <v>405</v>
      </c>
      <c r="C20" s="14"/>
      <c r="D20" s="47" t="str">
        <f>T9</f>
        <v>IDM+</v>
      </c>
      <c r="E20" s="14"/>
      <c r="G20" s="199"/>
      <c r="H20" s="27"/>
      <c r="I20" s="101" t="s">
        <v>127</v>
      </c>
      <c r="J20" s="1108">
        <f>'CT-VT Burdens'!Q149</f>
        <v>5.8000000000000003E-2</v>
      </c>
      <c r="K20" s="788"/>
      <c r="L20" s="202" t="s">
        <v>157</v>
      </c>
      <c r="N20" s="120" t="s">
        <v>491</v>
      </c>
      <c r="O20" s="27" t="s">
        <v>127</v>
      </c>
      <c r="P20" s="27" t="s">
        <v>511</v>
      </c>
      <c r="Q20" s="27" t="s">
        <v>315</v>
      </c>
      <c r="R20" s="27" t="s">
        <v>511</v>
      </c>
      <c r="S20" s="27" t="s">
        <v>315</v>
      </c>
      <c r="T20" s="27" t="s">
        <v>420</v>
      </c>
      <c r="V20" s="185"/>
    </row>
    <row r="21" spans="1:31" ht="18" customHeight="1">
      <c r="A21" s="184"/>
      <c r="B21" s="96" t="s">
        <v>405</v>
      </c>
      <c r="C21" s="14"/>
      <c r="D21" s="47">
        <f>T10</f>
        <v>0</v>
      </c>
      <c r="E21" s="14"/>
      <c r="G21" s="199"/>
      <c r="H21" s="27"/>
      <c r="I21" s="101" t="s">
        <v>127</v>
      </c>
      <c r="J21" s="1108"/>
      <c r="K21" s="788"/>
      <c r="L21" s="202" t="s">
        <v>157</v>
      </c>
      <c r="O21" s="27" t="s">
        <v>127</v>
      </c>
      <c r="P21" s="27">
        <f>O10</f>
        <v>1</v>
      </c>
      <c r="Q21" s="27" t="s">
        <v>315</v>
      </c>
      <c r="R21" s="27">
        <f>O10</f>
        <v>1</v>
      </c>
      <c r="S21" s="27" t="s">
        <v>315</v>
      </c>
      <c r="T21" s="27">
        <f>H12</f>
        <v>4</v>
      </c>
      <c r="V21" s="185"/>
    </row>
    <row r="22" spans="1:31" ht="18" customHeight="1">
      <c r="A22" s="184"/>
      <c r="B22" s="184" t="s">
        <v>412</v>
      </c>
      <c r="C22" s="14"/>
      <c r="D22" s="47"/>
      <c r="E22" s="14"/>
      <c r="H22" s="27"/>
      <c r="I22" s="101" t="s">
        <v>127</v>
      </c>
      <c r="J22" s="1109">
        <f>'CT-VT Burdens'!S24</f>
        <v>1.0770224400000001</v>
      </c>
      <c r="K22" s="1110"/>
      <c r="L22" s="297" t="s">
        <v>157</v>
      </c>
      <c r="O22" s="27" t="s">
        <v>127</v>
      </c>
      <c r="P22" s="795">
        <f>P21*R21*T21</f>
        <v>4</v>
      </c>
      <c r="Q22" s="684"/>
      <c r="R22" s="27" t="s">
        <v>157</v>
      </c>
      <c r="S22" s="27"/>
      <c r="T22" s="27"/>
      <c r="V22" s="185"/>
    </row>
    <row r="23" spans="1:31" ht="18" customHeight="1">
      <c r="A23" s="184"/>
      <c r="B23" s="1" t="s">
        <v>413</v>
      </c>
      <c r="C23" s="2"/>
      <c r="D23" s="2"/>
      <c r="E23" s="2"/>
      <c r="F23" s="196"/>
      <c r="G23" s="196"/>
      <c r="H23" s="224" t="s">
        <v>512</v>
      </c>
      <c r="I23" s="183" t="s">
        <v>127</v>
      </c>
      <c r="J23" s="722">
        <f>SUM(J18:K22)</f>
        <v>2.1550224400000002</v>
      </c>
      <c r="K23" s="958"/>
      <c r="L23" s="3" t="s">
        <v>157</v>
      </c>
      <c r="O23" s="27"/>
      <c r="P23" s="211"/>
      <c r="Q23" s="211"/>
      <c r="R23" s="192"/>
      <c r="V23" s="185"/>
    </row>
    <row r="24" spans="1:31" ht="18" customHeight="1">
      <c r="A24" s="184"/>
      <c r="B24" s="47"/>
      <c r="C24" s="47"/>
      <c r="D24" s="47"/>
      <c r="E24" s="47"/>
      <c r="H24" s="27"/>
      <c r="I24" s="28"/>
      <c r="J24" s="199"/>
      <c r="L24" s="47"/>
      <c r="O24" s="27"/>
      <c r="P24" s="211"/>
      <c r="Q24" s="211"/>
      <c r="R24" s="192"/>
      <c r="V24" s="185"/>
    </row>
    <row r="25" spans="1:31" ht="18" customHeight="1">
      <c r="A25" s="184"/>
      <c r="B25" s="47" t="s">
        <v>545</v>
      </c>
      <c r="C25" s="47"/>
      <c r="D25" s="47"/>
      <c r="E25" s="47"/>
      <c r="H25" s="27"/>
      <c r="I25" s="28"/>
      <c r="J25" s="199"/>
      <c r="L25" s="47"/>
      <c r="N25" s="120" t="s">
        <v>423</v>
      </c>
      <c r="O25" s="28" t="s">
        <v>127</v>
      </c>
      <c r="P25" s="1251">
        <f>H10</f>
        <v>2800</v>
      </c>
      <c r="Q25" s="1251"/>
      <c r="R25" s="192" t="s">
        <v>8</v>
      </c>
      <c r="V25" s="185"/>
    </row>
    <row r="26" spans="1:31" ht="18" customHeight="1">
      <c r="A26" s="184"/>
      <c r="B26" s="47" t="s">
        <v>547</v>
      </c>
      <c r="C26" s="47"/>
      <c r="D26" s="47"/>
      <c r="E26" s="47"/>
      <c r="H26" s="27"/>
      <c r="I26" s="28"/>
      <c r="J26" s="199"/>
      <c r="L26" s="47"/>
      <c r="N26" s="120" t="s">
        <v>572</v>
      </c>
      <c r="O26" s="28" t="s">
        <v>127</v>
      </c>
      <c r="P26" s="1251">
        <f>H12</f>
        <v>4</v>
      </c>
      <c r="Q26" s="1251"/>
      <c r="R26" s="304" t="s">
        <v>157</v>
      </c>
      <c r="V26" s="185"/>
    </row>
    <row r="27" spans="1:31" ht="18" customHeight="1">
      <c r="A27" s="184"/>
      <c r="B27" s="47" t="s">
        <v>548</v>
      </c>
      <c r="C27" s="47"/>
      <c r="D27" s="47"/>
      <c r="E27" s="47"/>
      <c r="H27" s="27"/>
      <c r="I27" s="28"/>
      <c r="J27" s="199"/>
      <c r="L27" s="47"/>
      <c r="N27" s="120" t="s">
        <v>573</v>
      </c>
      <c r="O27" s="28" t="s">
        <v>127</v>
      </c>
      <c r="P27" s="1072">
        <f>J23</f>
        <v>2.1550224400000002</v>
      </c>
      <c r="Q27" s="1251"/>
      <c r="R27" s="304" t="s">
        <v>157</v>
      </c>
      <c r="V27" s="185"/>
    </row>
    <row r="28" spans="1:31" ht="18" customHeight="1">
      <c r="A28" s="184"/>
      <c r="B28" s="47" t="s">
        <v>549</v>
      </c>
      <c r="C28" s="47"/>
      <c r="D28" s="47"/>
      <c r="E28" s="47"/>
      <c r="H28" s="27"/>
      <c r="I28" s="28"/>
      <c r="J28" s="199"/>
      <c r="L28" s="47"/>
      <c r="N28" s="120" t="s">
        <v>511</v>
      </c>
      <c r="O28" s="28" t="s">
        <v>127</v>
      </c>
      <c r="P28" s="1251">
        <f>O10</f>
        <v>1</v>
      </c>
      <c r="Q28" s="1251"/>
      <c r="R28" s="192" t="s">
        <v>8</v>
      </c>
      <c r="V28" s="185"/>
    </row>
    <row r="29" spans="1:31" ht="18" customHeight="1">
      <c r="A29" s="184"/>
      <c r="B29" s="47" t="s">
        <v>574</v>
      </c>
      <c r="C29" s="47"/>
      <c r="D29" s="47"/>
      <c r="E29" s="47"/>
      <c r="H29" s="27"/>
      <c r="I29" s="28"/>
      <c r="J29" s="199"/>
      <c r="L29" s="47"/>
      <c r="N29" s="120" t="s">
        <v>495</v>
      </c>
      <c r="O29" s="28" t="s">
        <v>127</v>
      </c>
      <c r="P29" s="1251">
        <v>10</v>
      </c>
      <c r="Q29" s="1251"/>
      <c r="R29" s="192"/>
      <c r="V29" s="185"/>
    </row>
    <row r="30" spans="1:31" ht="18" customHeight="1">
      <c r="A30" s="184"/>
      <c r="B30" s="296" t="s">
        <v>576</v>
      </c>
      <c r="C30" s="47"/>
      <c r="D30" s="47"/>
      <c r="E30" s="47"/>
      <c r="H30" s="27"/>
      <c r="I30" s="28"/>
      <c r="J30" s="199"/>
      <c r="L30" s="47"/>
      <c r="O30" s="28" t="s">
        <v>127</v>
      </c>
      <c r="P30" s="1072">
        <v>25</v>
      </c>
      <c r="Q30" s="1072"/>
      <c r="R30" s="192"/>
      <c r="S30" s="14"/>
      <c r="V30" s="185"/>
    </row>
    <row r="31" spans="1:31" ht="18" customHeight="1">
      <c r="A31" s="184"/>
      <c r="B31" s="47" t="s">
        <v>578</v>
      </c>
      <c r="C31" s="47"/>
      <c r="D31" s="47"/>
      <c r="E31" s="47"/>
      <c r="H31" s="27"/>
      <c r="I31" s="28"/>
      <c r="J31" s="199"/>
      <c r="L31" s="47"/>
      <c r="O31" s="27"/>
      <c r="P31" s="211"/>
      <c r="Q31" s="211"/>
      <c r="R31" s="192"/>
      <c r="V31" s="185"/>
    </row>
    <row r="32" spans="1:31" ht="18" hidden="1" customHeight="1">
      <c r="A32" s="184"/>
      <c r="B32" s="47"/>
      <c r="C32" s="47" t="s">
        <v>579</v>
      </c>
      <c r="D32" s="47"/>
      <c r="E32" s="47"/>
      <c r="H32" s="27"/>
      <c r="I32" s="28"/>
      <c r="J32" s="199"/>
      <c r="L32" s="47"/>
      <c r="O32" s="27"/>
      <c r="P32" s="211"/>
      <c r="Q32" s="305" t="s">
        <v>580</v>
      </c>
      <c r="R32" s="102" t="s">
        <v>127</v>
      </c>
      <c r="S32" s="781">
        <v>20</v>
      </c>
      <c r="T32" s="782"/>
      <c r="V32" s="97" t="s">
        <v>129</v>
      </c>
    </row>
    <row r="33" spans="1:22" ht="18" hidden="1" customHeight="1">
      <c r="A33" s="184"/>
      <c r="B33" s="47"/>
      <c r="C33" s="47"/>
      <c r="D33" s="47"/>
      <c r="E33" s="47"/>
      <c r="H33" s="27"/>
      <c r="I33" s="28"/>
      <c r="J33" s="199"/>
      <c r="L33" s="47"/>
      <c r="O33" s="27"/>
      <c r="P33" s="211"/>
      <c r="Q33" s="211"/>
      <c r="R33" s="192"/>
      <c r="V33" s="185"/>
    </row>
    <row r="34" spans="1:22" ht="18" customHeight="1">
      <c r="A34" s="184"/>
      <c r="B34" s="47"/>
      <c r="C34" s="47" t="s">
        <v>581</v>
      </c>
      <c r="D34" s="47"/>
      <c r="E34" s="47"/>
      <c r="H34" s="27"/>
      <c r="I34" s="28" t="s">
        <v>127</v>
      </c>
      <c r="J34" s="281" t="s">
        <v>582</v>
      </c>
      <c r="L34" s="47"/>
      <c r="O34" s="27"/>
      <c r="P34" s="28" t="s">
        <v>347</v>
      </c>
      <c r="Q34" s="14" t="s">
        <v>583</v>
      </c>
      <c r="R34" s="192"/>
      <c r="V34" s="185"/>
    </row>
    <row r="35" spans="1:22" ht="18" customHeight="1">
      <c r="A35" s="184"/>
      <c r="I35" s="28" t="s">
        <v>127</v>
      </c>
      <c r="J35" s="795">
        <f>J23</f>
        <v>2.1550224400000002</v>
      </c>
      <c r="K35" s="684"/>
      <c r="L35" s="28"/>
      <c r="M35" s="795"/>
      <c r="N35" s="684"/>
      <c r="V35" s="185"/>
    </row>
    <row r="36" spans="1:22" ht="18" customHeight="1">
      <c r="A36" s="184"/>
      <c r="F36" s="244"/>
      <c r="H36" s="120" t="s">
        <v>105</v>
      </c>
      <c r="I36" s="27" t="s">
        <v>127</v>
      </c>
      <c r="J36" s="27" t="s">
        <v>569</v>
      </c>
      <c r="K36" s="27" t="s">
        <v>554</v>
      </c>
      <c r="L36" s="120" t="s">
        <v>491</v>
      </c>
      <c r="M36" s="28" t="s">
        <v>347</v>
      </c>
      <c r="N36" s="120" t="s">
        <v>493</v>
      </c>
      <c r="O36" s="28" t="s">
        <v>539</v>
      </c>
      <c r="P36" s="120" t="s">
        <v>491</v>
      </c>
      <c r="Q36" s="28" t="s">
        <v>347</v>
      </c>
      <c r="R36" s="120" t="s">
        <v>512</v>
      </c>
      <c r="S36" s="296" t="s">
        <v>350</v>
      </c>
      <c r="V36" s="185"/>
    </row>
    <row r="37" spans="1:22" ht="18" customHeight="1">
      <c r="A37" s="184"/>
      <c r="I37" s="27" t="s">
        <v>127</v>
      </c>
      <c r="J37" s="245">
        <f>H13</f>
        <v>5</v>
      </c>
      <c r="K37" s="245" t="s">
        <v>554</v>
      </c>
      <c r="L37" s="301">
        <f>P22</f>
        <v>4</v>
      </c>
      <c r="M37" s="245" t="s">
        <v>347</v>
      </c>
      <c r="N37" s="242">
        <f>H14</f>
        <v>25</v>
      </c>
      <c r="O37" s="245" t="s">
        <v>539</v>
      </c>
      <c r="P37" s="301">
        <f>P22</f>
        <v>4</v>
      </c>
      <c r="Q37" s="245" t="s">
        <v>347</v>
      </c>
      <c r="R37" s="301">
        <f>J23</f>
        <v>2.1550224400000002</v>
      </c>
      <c r="S37" s="296" t="s">
        <v>350</v>
      </c>
      <c r="V37" s="185"/>
    </row>
    <row r="38" spans="1:22" ht="18" customHeight="1">
      <c r="A38" s="184"/>
      <c r="I38" s="27" t="s">
        <v>127</v>
      </c>
      <c r="J38" s="1111">
        <f>J37*((L37+N37)/(P37+R37))</f>
        <v>23.557996971331917</v>
      </c>
      <c r="K38" s="1111"/>
      <c r="L38" s="242"/>
      <c r="M38" s="242"/>
      <c r="N38" s="242"/>
      <c r="O38" s="242"/>
      <c r="P38" s="242"/>
      <c r="Q38" s="242"/>
      <c r="R38" s="242"/>
      <c r="V38" s="185"/>
    </row>
    <row r="39" spans="1:22" ht="18" customHeight="1">
      <c r="A39" s="184"/>
      <c r="I39" s="28"/>
      <c r="J39" s="211"/>
      <c r="K39" s="27"/>
      <c r="V39" s="185"/>
    </row>
    <row r="40" spans="1:22" ht="18" customHeight="1">
      <c r="A40" s="96" t="s">
        <v>584</v>
      </c>
      <c r="I40" s="28"/>
      <c r="J40" s="211"/>
      <c r="K40" s="27"/>
      <c r="V40" s="185"/>
    </row>
    <row r="41" spans="1:22" ht="18" customHeight="1">
      <c r="A41" s="184"/>
      <c r="B41" s="28">
        <v>1</v>
      </c>
      <c r="D41" s="14"/>
      <c r="H41" s="120" t="s">
        <v>492</v>
      </c>
      <c r="I41" s="28" t="s">
        <v>476</v>
      </c>
      <c r="J41" s="47" t="s">
        <v>104</v>
      </c>
      <c r="S41" s="14" t="s">
        <v>585</v>
      </c>
      <c r="V41" s="185"/>
    </row>
    <row r="42" spans="1:22" ht="18" customHeight="1">
      <c r="A42" s="184"/>
      <c r="G42" s="684">
        <f>H14</f>
        <v>25</v>
      </c>
      <c r="H42" s="684"/>
      <c r="I42" s="27" t="str">
        <f>IF(G42&gt;J42,"&gt;","&lt;")</f>
        <v>&gt;</v>
      </c>
      <c r="J42" s="795">
        <f>J35</f>
        <v>2.1550224400000002</v>
      </c>
      <c r="K42" s="684"/>
      <c r="S42" s="186" t="str">
        <f>IF(G42&gt;J42,"Satisfied","Not satisfied")</f>
        <v>Satisfied</v>
      </c>
      <c r="V42" s="185"/>
    </row>
    <row r="43" spans="1:22" ht="18" customHeight="1">
      <c r="A43" s="184"/>
      <c r="D43" s="14"/>
      <c r="H43" s="120"/>
      <c r="I43" s="27"/>
      <c r="R43" s="14"/>
      <c r="V43" s="185"/>
    </row>
    <row r="44" spans="1:22" ht="18" customHeight="1">
      <c r="A44" s="184"/>
      <c r="B44" s="28">
        <v>2</v>
      </c>
      <c r="D44" s="14"/>
      <c r="H44" s="244" t="s">
        <v>586</v>
      </c>
      <c r="I44" s="28" t="s">
        <v>476</v>
      </c>
      <c r="J44" s="14" t="s">
        <v>105</v>
      </c>
      <c r="K44" s="14"/>
      <c r="S44" s="14" t="s">
        <v>587</v>
      </c>
      <c r="V44" s="185"/>
    </row>
    <row r="45" spans="1:22" ht="18" customHeight="1">
      <c r="A45" s="184"/>
      <c r="D45" s="14"/>
      <c r="G45" s="795">
        <f>P30</f>
        <v>25</v>
      </c>
      <c r="H45" s="795"/>
      <c r="I45" s="27" t="str">
        <f>IF(G45&gt;J45,"&gt;","&lt;")</f>
        <v>&gt;</v>
      </c>
      <c r="J45" s="795">
        <f>J38</f>
        <v>23.557996971331917</v>
      </c>
      <c r="K45" s="795"/>
      <c r="R45" s="14"/>
      <c r="S45" s="186" t="str">
        <f>IF(G45&gt;J45,"Satisfied","Not satisfied")</f>
        <v>Satisfied</v>
      </c>
      <c r="V45" s="185"/>
    </row>
    <row r="46" spans="1:22" ht="18" customHeight="1">
      <c r="A46" s="184"/>
      <c r="D46" s="47"/>
      <c r="H46" s="244" t="s">
        <v>478</v>
      </c>
      <c r="J46" s="18" t="str">
        <f>IF(AND(I42="&gt;",I45="&gt;")=TRUE,"Suitably Dimensioned","Not suitable")</f>
        <v>Suitably Dimensioned</v>
      </c>
      <c r="O46" s="27"/>
      <c r="P46" s="211"/>
      <c r="Q46" s="211"/>
      <c r="R46" s="192"/>
      <c r="V46" s="185"/>
    </row>
    <row r="47" spans="1:22" ht="18" customHeight="1">
      <c r="A47" s="194"/>
      <c r="B47" s="195"/>
      <c r="C47" s="195"/>
      <c r="D47" s="195"/>
      <c r="E47" s="195"/>
      <c r="F47" s="195"/>
      <c r="G47" s="195"/>
      <c r="H47" s="195"/>
      <c r="I47" s="195"/>
      <c r="J47" s="195"/>
      <c r="K47" s="195"/>
      <c r="L47" s="195"/>
      <c r="M47" s="195"/>
      <c r="N47" s="195"/>
      <c r="O47" s="195"/>
      <c r="P47" s="195"/>
      <c r="Q47" s="224"/>
      <c r="R47" s="182"/>
      <c r="S47" s="225"/>
      <c r="T47" s="195"/>
      <c r="U47" s="195"/>
      <c r="V47" s="134"/>
    </row>
    <row r="48" spans="1:22" ht="18" customHeight="1">
      <c r="A48" s="226"/>
      <c r="B48" s="227"/>
      <c r="C48" s="227"/>
      <c r="D48" s="227"/>
      <c r="E48" s="227"/>
      <c r="F48" s="227"/>
      <c r="G48" s="227"/>
      <c r="H48" s="227"/>
      <c r="I48" s="227"/>
      <c r="J48" s="227"/>
      <c r="K48" s="227"/>
      <c r="L48" s="227"/>
      <c r="M48" s="227"/>
      <c r="N48" s="227"/>
      <c r="O48" s="227"/>
      <c r="P48" s="227"/>
      <c r="Q48" s="227"/>
      <c r="R48" s="227"/>
      <c r="S48" s="227"/>
      <c r="T48" s="227"/>
      <c r="U48" s="227"/>
      <c r="V48" s="228"/>
    </row>
    <row r="49" spans="1:23" ht="18" customHeight="1">
      <c r="A49" s="184"/>
      <c r="B49" s="835" t="str">
        <f>B7</f>
        <v>T2</v>
      </c>
      <c r="C49" s="836"/>
      <c r="D49" s="835" t="str">
        <f>D7</f>
        <v>Core3</v>
      </c>
      <c r="E49" s="836"/>
      <c r="F49" s="255"/>
      <c r="H49" s="684" t="str">
        <f>H7</f>
        <v>(Metering + Ammeter)</v>
      </c>
      <c r="I49" s="684"/>
      <c r="J49" s="684"/>
      <c r="K49" s="684"/>
      <c r="L49" s="684"/>
      <c r="M49" s="684"/>
      <c r="P49" s="186"/>
      <c r="R49" s="255"/>
      <c r="S49" s="187" t="s">
        <v>387</v>
      </c>
      <c r="T49" s="1216" t="str">
        <f>T7</f>
        <v>REC670</v>
      </c>
      <c r="U49" s="1247"/>
      <c r="V49" s="185"/>
    </row>
    <row r="50" spans="1:23" ht="18" customHeight="1">
      <c r="A50" s="184"/>
      <c r="B50" s="838">
        <f>B8</f>
        <v>0</v>
      </c>
      <c r="C50" s="838"/>
      <c r="D50" s="585"/>
      <c r="E50" s="585"/>
      <c r="F50" s="255"/>
      <c r="T50" s="1216" t="str">
        <f>T8</f>
        <v>CP-L96A</v>
      </c>
      <c r="U50" s="1247"/>
      <c r="V50" s="185"/>
    </row>
    <row r="51" spans="1:23" ht="18" customHeight="1">
      <c r="A51" s="184"/>
      <c r="H51" s="708" t="s">
        <v>390</v>
      </c>
      <c r="I51" s="708"/>
      <c r="J51" s="789" t="s">
        <v>391</v>
      </c>
      <c r="K51" s="789"/>
      <c r="L51" s="790" t="s">
        <v>392</v>
      </c>
      <c r="M51" s="790"/>
      <c r="T51" s="1216" t="str">
        <f>T9</f>
        <v>IDM+</v>
      </c>
      <c r="U51" s="1247"/>
      <c r="V51" s="185"/>
    </row>
    <row r="52" spans="1:23" ht="18" customHeight="1">
      <c r="A52" s="184"/>
      <c r="B52" s="47" t="s">
        <v>393</v>
      </c>
      <c r="H52" s="835">
        <f>H10</f>
        <v>2800</v>
      </c>
      <c r="I52" s="836"/>
      <c r="J52" s="843">
        <f>J10</f>
        <v>3200</v>
      </c>
      <c r="K52" s="844"/>
      <c r="L52" s="835" t="str">
        <f>L10</f>
        <v>-</v>
      </c>
      <c r="M52" s="836"/>
      <c r="N52" s="191" t="s">
        <v>342</v>
      </c>
      <c r="O52" s="488">
        <f>O10</f>
        <v>1</v>
      </c>
      <c r="P52" s="27" t="s">
        <v>8</v>
      </c>
      <c r="T52" s="1216"/>
      <c r="U52" s="1247"/>
      <c r="V52" s="185"/>
    </row>
    <row r="53" spans="1:23" ht="18" customHeight="1">
      <c r="A53" s="184"/>
      <c r="B53" s="47" t="s">
        <v>394</v>
      </c>
      <c r="H53" s="14"/>
      <c r="I53" s="14"/>
      <c r="J53" s="835" t="str">
        <f>H11</f>
        <v>0.5FS5</v>
      </c>
      <c r="K53" s="836"/>
      <c r="L53" s="14"/>
      <c r="M53" s="14"/>
      <c r="V53" s="185"/>
    </row>
    <row r="54" spans="1:23" ht="18" customHeight="1">
      <c r="A54" s="184"/>
      <c r="B54" s="47" t="s">
        <v>396</v>
      </c>
      <c r="I54" s="120" t="s">
        <v>497</v>
      </c>
      <c r="J54" s="781">
        <v>5</v>
      </c>
      <c r="K54" s="782"/>
      <c r="L54" s="192" t="s">
        <v>333</v>
      </c>
      <c r="T54" s="295"/>
      <c r="U54" s="18"/>
      <c r="V54" s="185"/>
    </row>
    <row r="55" spans="1:23" ht="18" customHeight="1">
      <c r="A55" s="184"/>
      <c r="B55" s="30" t="s">
        <v>568</v>
      </c>
      <c r="I55" s="120" t="s">
        <v>569</v>
      </c>
      <c r="J55" s="781">
        <v>5</v>
      </c>
      <c r="K55" s="782"/>
      <c r="T55" s="295"/>
      <c r="U55" s="18"/>
      <c r="V55" s="185"/>
      <c r="W55" s="30" t="str">
        <f>J87</f>
        <v>Suitably Dimensioned</v>
      </c>
    </row>
    <row r="56" spans="1:23" ht="18" customHeight="1">
      <c r="A56" s="184"/>
      <c r="B56" s="47" t="s">
        <v>562</v>
      </c>
      <c r="I56" s="120" t="s">
        <v>493</v>
      </c>
      <c r="J56" s="781">
        <v>30</v>
      </c>
      <c r="K56" s="782"/>
      <c r="L56" s="14" t="s">
        <v>157</v>
      </c>
      <c r="T56" s="295"/>
      <c r="U56" s="18"/>
      <c r="V56" s="185"/>
    </row>
    <row r="57" spans="1:23" ht="18" customHeight="1">
      <c r="A57" s="184"/>
      <c r="V57" s="185"/>
    </row>
    <row r="58" spans="1:23" ht="18" customHeight="1">
      <c r="A58" s="193" t="s">
        <v>404</v>
      </c>
      <c r="V58" s="185"/>
    </row>
    <row r="59" spans="1:23" ht="18" customHeight="1">
      <c r="A59" s="184"/>
      <c r="V59" s="185"/>
    </row>
    <row r="60" spans="1:23" ht="18" customHeight="1">
      <c r="A60" s="184"/>
      <c r="B60" s="135" t="s">
        <v>405</v>
      </c>
      <c r="C60" s="273"/>
      <c r="D60" s="139" t="str">
        <f>D18</f>
        <v>REC670</v>
      </c>
      <c r="E60" s="227"/>
      <c r="F60" s="227"/>
      <c r="G60" s="227"/>
      <c r="H60" s="138"/>
      <c r="I60" s="260" t="s">
        <v>127</v>
      </c>
      <c r="J60" s="1213">
        <f t="shared" ref="J60:J65" si="0">J18</f>
        <v>0.02</v>
      </c>
      <c r="K60" s="1252"/>
      <c r="L60" s="3" t="s">
        <v>157</v>
      </c>
      <c r="N60" s="197" t="s">
        <v>510</v>
      </c>
      <c r="V60" s="185"/>
    </row>
    <row r="61" spans="1:23" ht="18" customHeight="1">
      <c r="A61" s="184"/>
      <c r="B61" s="96" t="s">
        <v>405</v>
      </c>
      <c r="D61" s="296" t="str">
        <f>D19</f>
        <v>CP-L96A</v>
      </c>
      <c r="I61" s="177" t="s">
        <v>127</v>
      </c>
      <c r="J61" s="1119">
        <f t="shared" si="0"/>
        <v>1</v>
      </c>
      <c r="K61" s="989"/>
      <c r="L61" s="198" t="s">
        <v>157</v>
      </c>
      <c r="P61" s="244"/>
      <c r="V61" s="185"/>
    </row>
    <row r="62" spans="1:23" ht="18" customHeight="1">
      <c r="A62" s="184"/>
      <c r="B62" s="96" t="s">
        <v>405</v>
      </c>
      <c r="C62" s="14"/>
      <c r="D62" s="47" t="str">
        <f>D20</f>
        <v>IDM+</v>
      </c>
      <c r="E62" s="14"/>
      <c r="G62" s="199"/>
      <c r="H62" s="27"/>
      <c r="I62" s="101" t="s">
        <v>127</v>
      </c>
      <c r="J62" s="696">
        <f t="shared" si="0"/>
        <v>5.8000000000000003E-2</v>
      </c>
      <c r="K62" s="820"/>
      <c r="L62" s="202" t="s">
        <v>157</v>
      </c>
      <c r="N62" s="120" t="s">
        <v>491</v>
      </c>
      <c r="O62" s="27" t="s">
        <v>127</v>
      </c>
      <c r="P62" s="27" t="s">
        <v>511</v>
      </c>
      <c r="Q62" s="27" t="s">
        <v>315</v>
      </c>
      <c r="R62" s="27" t="s">
        <v>511</v>
      </c>
      <c r="S62" s="27" t="s">
        <v>315</v>
      </c>
      <c r="T62" s="27" t="s">
        <v>420</v>
      </c>
      <c r="V62" s="185"/>
    </row>
    <row r="63" spans="1:23" ht="18" customHeight="1">
      <c r="A63" s="184"/>
      <c r="B63" s="96" t="s">
        <v>405</v>
      </c>
      <c r="C63" s="14"/>
      <c r="D63" s="47">
        <f>T10</f>
        <v>0</v>
      </c>
      <c r="E63" s="14"/>
      <c r="G63" s="199"/>
      <c r="H63" s="27"/>
      <c r="I63" s="101" t="s">
        <v>127</v>
      </c>
      <c r="J63" s="696">
        <f t="shared" si="0"/>
        <v>0</v>
      </c>
      <c r="K63" s="820"/>
      <c r="L63" s="202" t="s">
        <v>157</v>
      </c>
      <c r="O63" s="27" t="s">
        <v>127</v>
      </c>
      <c r="P63" s="27">
        <f>O52</f>
        <v>1</v>
      </c>
      <c r="Q63" s="27" t="s">
        <v>315</v>
      </c>
      <c r="R63" s="27">
        <f>O52</f>
        <v>1</v>
      </c>
      <c r="S63" s="27" t="s">
        <v>315</v>
      </c>
      <c r="T63" s="27">
        <f>J54</f>
        <v>5</v>
      </c>
      <c r="V63" s="185"/>
    </row>
    <row r="64" spans="1:23" ht="18" customHeight="1">
      <c r="A64" s="184"/>
      <c r="B64" s="184" t="s">
        <v>412</v>
      </c>
      <c r="C64" s="14"/>
      <c r="D64" s="47"/>
      <c r="E64" s="14"/>
      <c r="H64" s="27"/>
      <c r="I64" s="101" t="s">
        <v>127</v>
      </c>
      <c r="J64" s="1120">
        <f t="shared" si="0"/>
        <v>1.0770224400000001</v>
      </c>
      <c r="K64" s="987"/>
      <c r="L64" s="297" t="s">
        <v>157</v>
      </c>
      <c r="O64" s="27" t="s">
        <v>127</v>
      </c>
      <c r="P64" s="795">
        <f>P63*R63*T63</f>
        <v>5</v>
      </c>
      <c r="Q64" s="684"/>
      <c r="R64" s="27" t="s">
        <v>157</v>
      </c>
      <c r="S64" s="27"/>
      <c r="T64" s="27"/>
      <c r="V64" s="185"/>
    </row>
    <row r="65" spans="1:22" ht="18" customHeight="1">
      <c r="A65" s="184"/>
      <c r="B65" s="1" t="s">
        <v>413</v>
      </c>
      <c r="C65" s="2"/>
      <c r="D65" s="2"/>
      <c r="E65" s="2"/>
      <c r="F65" s="196"/>
      <c r="G65" s="196"/>
      <c r="H65" s="224" t="s">
        <v>512</v>
      </c>
      <c r="I65" s="183" t="s">
        <v>127</v>
      </c>
      <c r="J65" s="722">
        <f t="shared" si="0"/>
        <v>2.1550224400000002</v>
      </c>
      <c r="K65" s="958"/>
      <c r="L65" s="3" t="s">
        <v>157</v>
      </c>
      <c r="O65" s="27"/>
      <c r="P65" s="211"/>
      <c r="Q65" s="211"/>
      <c r="R65" s="192"/>
      <c r="V65" s="185"/>
    </row>
    <row r="66" spans="1:22" ht="18" customHeight="1">
      <c r="A66" s="184"/>
      <c r="B66" s="47"/>
      <c r="C66" s="47"/>
      <c r="D66" s="47"/>
      <c r="E66" s="47"/>
      <c r="H66" s="27"/>
      <c r="I66" s="28"/>
      <c r="J66" s="218"/>
      <c r="K66" s="27"/>
      <c r="L66" s="47"/>
      <c r="O66" s="27"/>
      <c r="P66" s="211"/>
      <c r="Q66" s="211"/>
      <c r="R66" s="192"/>
      <c r="V66" s="185"/>
    </row>
    <row r="67" spans="1:22" ht="18" customHeight="1">
      <c r="A67" s="184"/>
      <c r="B67" s="47" t="s">
        <v>545</v>
      </c>
      <c r="C67" s="47"/>
      <c r="D67" s="47"/>
      <c r="E67" s="47"/>
      <c r="H67" s="27"/>
      <c r="I67" s="28"/>
      <c r="J67" s="199"/>
      <c r="L67" s="47"/>
      <c r="N67" s="120" t="s">
        <v>423</v>
      </c>
      <c r="O67" s="28" t="s">
        <v>127</v>
      </c>
      <c r="P67" s="1251">
        <f>J52</f>
        <v>3200</v>
      </c>
      <c r="Q67" s="1251"/>
      <c r="R67" s="192" t="s">
        <v>8</v>
      </c>
      <c r="V67" s="185"/>
    </row>
    <row r="68" spans="1:22" ht="18" customHeight="1">
      <c r="A68" s="184"/>
      <c r="B68" s="47" t="s">
        <v>547</v>
      </c>
      <c r="C68" s="47"/>
      <c r="D68" s="47"/>
      <c r="E68" s="47"/>
      <c r="H68" s="27"/>
      <c r="I68" s="28"/>
      <c r="J68" s="199"/>
      <c r="L68" s="47"/>
      <c r="N68" s="120" t="s">
        <v>572</v>
      </c>
      <c r="O68" s="28" t="s">
        <v>127</v>
      </c>
      <c r="P68" s="1251">
        <f>J54</f>
        <v>5</v>
      </c>
      <c r="Q68" s="1251"/>
      <c r="R68" s="304" t="s">
        <v>157</v>
      </c>
      <c r="V68" s="185"/>
    </row>
    <row r="69" spans="1:22" ht="18" customHeight="1">
      <c r="A69" s="184"/>
      <c r="B69" s="47" t="s">
        <v>548</v>
      </c>
      <c r="C69" s="47"/>
      <c r="D69" s="47"/>
      <c r="E69" s="47"/>
      <c r="H69" s="27"/>
      <c r="I69" s="28"/>
      <c r="J69" s="199"/>
      <c r="L69" s="47"/>
      <c r="N69" s="120" t="s">
        <v>573</v>
      </c>
      <c r="O69" s="28" t="s">
        <v>127</v>
      </c>
      <c r="P69" s="1072">
        <f>J65</f>
        <v>2.1550224400000002</v>
      </c>
      <c r="Q69" s="1251"/>
      <c r="R69" s="304" t="s">
        <v>157</v>
      </c>
      <c r="V69" s="185"/>
    </row>
    <row r="70" spans="1:22" ht="18" customHeight="1">
      <c r="A70" s="184"/>
      <c r="B70" s="47" t="s">
        <v>549</v>
      </c>
      <c r="C70" s="47"/>
      <c r="D70" s="47"/>
      <c r="E70" s="47"/>
      <c r="H70" s="27"/>
      <c r="I70" s="28"/>
      <c r="J70" s="199"/>
      <c r="L70" s="47"/>
      <c r="N70" s="120" t="s">
        <v>511</v>
      </c>
      <c r="O70" s="28" t="s">
        <v>127</v>
      </c>
      <c r="P70" s="1251">
        <f>O52</f>
        <v>1</v>
      </c>
      <c r="Q70" s="1251"/>
      <c r="R70" s="192" t="s">
        <v>8</v>
      </c>
      <c r="V70" s="185"/>
    </row>
    <row r="71" spans="1:22" ht="18" customHeight="1">
      <c r="A71" s="184"/>
      <c r="B71" s="47" t="s">
        <v>574</v>
      </c>
      <c r="C71" s="47"/>
      <c r="D71" s="47"/>
      <c r="E71" s="47"/>
      <c r="H71" s="27"/>
      <c r="I71" s="28"/>
      <c r="J71" s="199"/>
      <c r="L71" s="47"/>
      <c r="N71" s="120" t="s">
        <v>495</v>
      </c>
      <c r="O71" s="28" t="s">
        <v>127</v>
      </c>
      <c r="P71" s="1251">
        <v>10</v>
      </c>
      <c r="Q71" s="1251"/>
      <c r="R71" s="192"/>
      <c r="V71" s="185"/>
    </row>
    <row r="72" spans="1:22" ht="18" customHeight="1">
      <c r="A72" s="184"/>
      <c r="B72" s="47" t="s">
        <v>577</v>
      </c>
      <c r="C72" s="47"/>
      <c r="D72" s="47"/>
      <c r="E72" s="47"/>
      <c r="H72" s="27"/>
      <c r="I72" s="28"/>
      <c r="J72" s="199"/>
      <c r="L72" s="47"/>
      <c r="O72" s="28" t="s">
        <v>127</v>
      </c>
      <c r="P72" s="1072">
        <v>25</v>
      </c>
      <c r="Q72" s="1072"/>
      <c r="R72" s="192" t="s">
        <v>129</v>
      </c>
      <c r="S72" s="14" t="s">
        <v>170</v>
      </c>
      <c r="V72" s="185"/>
    </row>
    <row r="73" spans="1:22" ht="18" hidden="1" customHeight="1">
      <c r="A73" s="184"/>
      <c r="B73" s="47"/>
      <c r="C73" s="47"/>
      <c r="D73" s="47"/>
      <c r="E73" s="47"/>
      <c r="H73" s="27"/>
      <c r="I73" s="28"/>
      <c r="J73" s="218"/>
      <c r="K73" s="27"/>
      <c r="L73" s="47"/>
      <c r="O73" s="27"/>
      <c r="P73" s="211"/>
      <c r="Q73" s="211"/>
      <c r="R73" s="192"/>
      <c r="V73" s="185"/>
    </row>
    <row r="74" spans="1:22" ht="18" customHeight="1">
      <c r="A74" s="184"/>
      <c r="B74" s="47"/>
      <c r="C74" s="47" t="s">
        <v>579</v>
      </c>
      <c r="D74" s="47"/>
      <c r="E74" s="47"/>
      <c r="H74" s="27"/>
      <c r="I74" s="28"/>
      <c r="J74" s="199"/>
      <c r="L74" s="47"/>
      <c r="O74" s="27"/>
      <c r="P74" s="211"/>
      <c r="Q74" s="305" t="s">
        <v>580</v>
      </c>
      <c r="R74" s="102" t="s">
        <v>127</v>
      </c>
      <c r="S74" s="775">
        <v>25</v>
      </c>
      <c r="T74" s="776"/>
      <c r="V74" s="185" t="s">
        <v>129</v>
      </c>
    </row>
    <row r="75" spans="1:22" ht="18" customHeight="1">
      <c r="A75" s="184"/>
      <c r="B75" s="47"/>
      <c r="C75" s="47" t="s">
        <v>581</v>
      </c>
      <c r="D75" s="47"/>
      <c r="E75" s="47"/>
      <c r="H75" s="27"/>
      <c r="I75" s="28" t="s">
        <v>127</v>
      </c>
      <c r="J75" s="281" t="s">
        <v>582</v>
      </c>
      <c r="L75" s="47"/>
      <c r="O75" s="27"/>
      <c r="P75" s="28" t="s">
        <v>347</v>
      </c>
      <c r="Q75" s="14" t="s">
        <v>583</v>
      </c>
      <c r="R75" s="192"/>
      <c r="V75" s="185"/>
    </row>
    <row r="76" spans="1:22" ht="18" customHeight="1">
      <c r="A76" s="184"/>
      <c r="I76" s="28" t="s">
        <v>127</v>
      </c>
      <c r="J76" s="795">
        <f>J65</f>
        <v>2.1550224400000002</v>
      </c>
      <c r="K76" s="684"/>
      <c r="L76" s="28"/>
      <c r="M76" s="795"/>
      <c r="N76" s="684"/>
      <c r="V76" s="185"/>
    </row>
    <row r="77" spans="1:22" ht="18" customHeight="1">
      <c r="A77" s="184"/>
      <c r="I77" s="28"/>
      <c r="J77" s="204"/>
      <c r="V77" s="185"/>
    </row>
    <row r="78" spans="1:22" ht="18" customHeight="1">
      <c r="A78" s="184"/>
      <c r="F78" s="244"/>
      <c r="H78" s="120" t="s">
        <v>105</v>
      </c>
      <c r="I78" s="27" t="s">
        <v>127</v>
      </c>
      <c r="J78" s="27" t="s">
        <v>569</v>
      </c>
      <c r="K78" s="27" t="s">
        <v>554</v>
      </c>
      <c r="L78" s="120" t="s">
        <v>491</v>
      </c>
      <c r="M78" s="28" t="s">
        <v>347</v>
      </c>
      <c r="N78" s="120" t="s">
        <v>493</v>
      </c>
      <c r="O78" s="28" t="s">
        <v>539</v>
      </c>
      <c r="P78" s="120" t="s">
        <v>491</v>
      </c>
      <c r="Q78" s="28" t="s">
        <v>347</v>
      </c>
      <c r="R78" s="120" t="s">
        <v>512</v>
      </c>
      <c r="S78" s="296" t="s">
        <v>350</v>
      </c>
      <c r="V78" s="185"/>
    </row>
    <row r="79" spans="1:22" ht="18" customHeight="1">
      <c r="A79" s="184"/>
      <c r="I79" s="27" t="s">
        <v>127</v>
      </c>
      <c r="J79" s="245">
        <f>J55</f>
        <v>5</v>
      </c>
      <c r="K79" s="245" t="s">
        <v>554</v>
      </c>
      <c r="L79" s="301">
        <f>P64</f>
        <v>5</v>
      </c>
      <c r="M79" s="245" t="s">
        <v>347</v>
      </c>
      <c r="N79" s="242">
        <f>J56</f>
        <v>30</v>
      </c>
      <c r="O79" s="245" t="s">
        <v>539</v>
      </c>
      <c r="P79" s="301">
        <f>P64</f>
        <v>5</v>
      </c>
      <c r="Q79" s="245" t="s">
        <v>347</v>
      </c>
      <c r="R79" s="301">
        <f>J65</f>
        <v>2.1550224400000002</v>
      </c>
      <c r="S79" s="296" t="s">
        <v>350</v>
      </c>
      <c r="V79" s="185"/>
    </row>
    <row r="80" spans="1:22" ht="18" customHeight="1">
      <c r="A80" s="184"/>
      <c r="I80" s="27" t="s">
        <v>127</v>
      </c>
      <c r="J80" s="1111">
        <f>J79*((L79+N79)/(P79+R79))</f>
        <v>24.458343976905823</v>
      </c>
      <c r="K80" s="1111"/>
      <c r="L80" s="242"/>
      <c r="M80" s="242"/>
      <c r="N80" s="242"/>
      <c r="O80" s="242"/>
      <c r="P80" s="242"/>
      <c r="Q80" s="242"/>
      <c r="R80" s="242"/>
      <c r="V80" s="185"/>
    </row>
    <row r="81" spans="1:22" ht="18" customHeight="1">
      <c r="A81" s="96" t="s">
        <v>584</v>
      </c>
      <c r="I81" s="28"/>
      <c r="J81" s="211"/>
      <c r="K81" s="27"/>
      <c r="V81" s="185"/>
    </row>
    <row r="82" spans="1:22" ht="18" customHeight="1">
      <c r="A82" s="184"/>
      <c r="B82" s="28">
        <v>1</v>
      </c>
      <c r="D82" s="14"/>
      <c r="H82" s="120" t="s">
        <v>492</v>
      </c>
      <c r="I82" s="28" t="s">
        <v>476</v>
      </c>
      <c r="J82" s="47" t="s">
        <v>104</v>
      </c>
      <c r="S82" s="14" t="s">
        <v>585</v>
      </c>
      <c r="V82" s="185"/>
    </row>
    <row r="83" spans="1:22" ht="18" customHeight="1">
      <c r="A83" s="184"/>
      <c r="G83" s="684">
        <f>J56</f>
        <v>30</v>
      </c>
      <c r="H83" s="684"/>
      <c r="I83" s="27" t="str">
        <f>IF(G83&gt;J83,"&gt;","&lt;")</f>
        <v>&gt;</v>
      </c>
      <c r="J83" s="795">
        <f>J76</f>
        <v>2.1550224400000002</v>
      </c>
      <c r="K83" s="684"/>
      <c r="S83" s="186" t="str">
        <f>IF(G83&gt;J83,"Satisfied","Not satisfied")</f>
        <v>Satisfied</v>
      </c>
      <c r="V83" s="185"/>
    </row>
    <row r="84" spans="1:22" ht="18" customHeight="1">
      <c r="A84" s="184"/>
      <c r="D84" s="14"/>
      <c r="H84" s="120"/>
      <c r="I84" s="27"/>
      <c r="R84" s="14"/>
      <c r="V84" s="185"/>
    </row>
    <row r="85" spans="1:22" ht="18" customHeight="1">
      <c r="A85" s="184"/>
      <c r="B85" s="28">
        <v>2</v>
      </c>
      <c r="D85" s="14"/>
      <c r="H85" s="244" t="s">
        <v>586</v>
      </c>
      <c r="I85" s="28" t="s">
        <v>476</v>
      </c>
      <c r="J85" s="14" t="s">
        <v>105</v>
      </c>
      <c r="K85" s="14"/>
      <c r="S85" s="14" t="s">
        <v>587</v>
      </c>
      <c r="V85" s="185"/>
    </row>
    <row r="86" spans="1:22" ht="18" customHeight="1">
      <c r="A86" s="184"/>
      <c r="D86" s="14"/>
      <c r="G86" s="795">
        <f>P72</f>
        <v>25</v>
      </c>
      <c r="H86" s="795"/>
      <c r="I86" s="27" t="str">
        <f>IF(G86&gt;J86,"&gt;","&lt;")</f>
        <v>&gt;</v>
      </c>
      <c r="J86" s="795">
        <f>J80</f>
        <v>24.458343976905823</v>
      </c>
      <c r="K86" s="795"/>
      <c r="R86" s="14"/>
      <c r="S86" s="186" t="str">
        <f>IF(G86&gt;J86,"Satisfied","Not satisfied")</f>
        <v>Satisfied</v>
      </c>
      <c r="V86" s="185"/>
    </row>
    <row r="87" spans="1:22" ht="18" customHeight="1">
      <c r="A87" s="184"/>
      <c r="D87" s="47"/>
      <c r="H87" s="244" t="s">
        <v>478</v>
      </c>
      <c r="J87" s="18" t="str">
        <f>IF(AND(I83="&gt;",I86="&gt;")=TRUE,"Suitably Dimensioned","Not suitable")</f>
        <v>Suitably Dimensioned</v>
      </c>
      <c r="O87" s="27"/>
      <c r="P87" s="211"/>
      <c r="Q87" s="211"/>
      <c r="R87" s="192"/>
      <c r="V87" s="185"/>
    </row>
    <row r="88" spans="1:22" ht="18" customHeight="1">
      <c r="A88" s="290"/>
      <c r="B88" s="196"/>
      <c r="C88" s="196"/>
      <c r="D88" s="2"/>
      <c r="E88" s="196"/>
      <c r="F88" s="196"/>
      <c r="G88" s="196"/>
      <c r="H88" s="306"/>
      <c r="I88" s="196"/>
      <c r="J88" s="195"/>
      <c r="K88" s="196"/>
      <c r="L88" s="196"/>
      <c r="M88" s="196"/>
      <c r="N88" s="196"/>
      <c r="O88" s="307"/>
      <c r="P88" s="308"/>
      <c r="Q88" s="308"/>
      <c r="R88" s="309"/>
      <c r="S88" s="196"/>
      <c r="T88" s="196"/>
      <c r="U88" s="196"/>
      <c r="V88" s="291"/>
    </row>
    <row r="89" spans="1:22" ht="18" hidden="1" customHeight="1">
      <c r="A89" s="184"/>
      <c r="D89" s="47"/>
      <c r="H89" s="244"/>
      <c r="J89" s="14"/>
      <c r="O89" s="27"/>
      <c r="P89" s="211"/>
      <c r="Q89" s="211"/>
      <c r="R89" s="192"/>
      <c r="V89" s="185"/>
    </row>
    <row r="90" spans="1:22" s="14" customFormat="1" ht="18" hidden="1" customHeight="1">
      <c r="A90" s="194"/>
      <c r="B90" s="195"/>
      <c r="C90" s="195"/>
      <c r="D90" s="195"/>
      <c r="E90" s="195"/>
      <c r="F90" s="195"/>
      <c r="G90" s="195"/>
      <c r="H90" s="195"/>
      <c r="I90" s="195"/>
      <c r="J90" s="195"/>
      <c r="K90" s="195"/>
      <c r="L90" s="195"/>
      <c r="M90" s="195"/>
      <c r="N90" s="195"/>
      <c r="O90" s="195"/>
      <c r="P90" s="195"/>
      <c r="Q90" s="224"/>
      <c r="R90" s="182"/>
      <c r="S90" s="225"/>
      <c r="T90" s="195"/>
      <c r="U90" s="195"/>
      <c r="V90" s="134"/>
    </row>
    <row r="91" spans="1:22" ht="18" hidden="1" customHeight="1">
      <c r="A91" s="226"/>
      <c r="B91" s="227"/>
      <c r="C91" s="227"/>
      <c r="D91" s="227"/>
      <c r="E91" s="227"/>
      <c r="F91" s="227"/>
      <c r="G91" s="227"/>
      <c r="H91" s="227"/>
      <c r="I91" s="227"/>
      <c r="J91" s="227"/>
      <c r="K91" s="227"/>
      <c r="L91" s="227"/>
      <c r="M91" s="227"/>
      <c r="N91" s="227"/>
      <c r="O91" s="227"/>
      <c r="P91" s="227"/>
      <c r="Q91" s="227"/>
      <c r="R91" s="227"/>
      <c r="S91" s="227"/>
      <c r="T91" s="227"/>
      <c r="U91" s="227"/>
      <c r="V91" s="228"/>
    </row>
    <row r="92" spans="1:22" ht="18" hidden="1" customHeight="1">
      <c r="A92" s="184"/>
      <c r="B92" s="854" t="str">
        <f>B49</f>
        <v>T2</v>
      </c>
      <c r="C92" s="831"/>
      <c r="D92" s="855" t="str">
        <f>D49</f>
        <v>Core3</v>
      </c>
      <c r="E92" s="856"/>
      <c r="F92" s="255"/>
      <c r="H92" s="684" t="str">
        <f>H49</f>
        <v>(Metering + Ammeter)</v>
      </c>
      <c r="I92" s="684"/>
      <c r="J92" s="684"/>
      <c r="K92" s="684"/>
      <c r="L92" s="684"/>
      <c r="M92" s="684"/>
      <c r="P92" s="186"/>
      <c r="V92" s="185"/>
    </row>
    <row r="93" spans="1:22" ht="18" hidden="1" customHeight="1">
      <c r="A93" s="184"/>
      <c r="B93" s="853">
        <f>B50</f>
        <v>0</v>
      </c>
      <c r="C93" s="853"/>
      <c r="D93" s="857"/>
      <c r="E93" s="858"/>
      <c r="F93" s="255"/>
      <c r="V93" s="185"/>
    </row>
    <row r="94" spans="1:22" ht="18" hidden="1" customHeight="1">
      <c r="A94" s="184"/>
      <c r="H94" s="708" t="s">
        <v>390</v>
      </c>
      <c r="I94" s="708"/>
      <c r="J94" s="708" t="s">
        <v>391</v>
      </c>
      <c r="K94" s="708"/>
      <c r="L94" s="789" t="s">
        <v>392</v>
      </c>
      <c r="M94" s="789"/>
      <c r="V94" s="185"/>
    </row>
    <row r="95" spans="1:22" ht="18" hidden="1" customHeight="1">
      <c r="A95" s="184"/>
      <c r="B95" s="47" t="s">
        <v>393</v>
      </c>
      <c r="H95" s="854">
        <f>H52</f>
        <v>2800</v>
      </c>
      <c r="I95" s="831"/>
      <c r="J95" s="854">
        <f>J52</f>
        <v>3200</v>
      </c>
      <c r="K95" s="831"/>
      <c r="L95" s="863" t="str">
        <f>L52</f>
        <v>-</v>
      </c>
      <c r="M95" s="864"/>
      <c r="N95" s="191" t="s">
        <v>342</v>
      </c>
      <c r="O95" s="256">
        <f>O52</f>
        <v>1</v>
      </c>
      <c r="P95" s="27" t="s">
        <v>8</v>
      </c>
      <c r="V95" s="185"/>
    </row>
    <row r="96" spans="1:22" ht="18" hidden="1" customHeight="1">
      <c r="A96" s="184"/>
      <c r="B96" s="47" t="s">
        <v>394</v>
      </c>
      <c r="H96" s="14"/>
      <c r="I96" s="14"/>
      <c r="K96" s="14"/>
      <c r="L96" s="854" t="str">
        <f>J53</f>
        <v>0.5FS5</v>
      </c>
      <c r="M96" s="831"/>
      <c r="N96" s="14"/>
      <c r="V96" s="185"/>
    </row>
    <row r="97" spans="1:23" ht="18" hidden="1" customHeight="1">
      <c r="A97" s="184"/>
      <c r="B97" s="47" t="s">
        <v>396</v>
      </c>
      <c r="I97" s="120"/>
      <c r="K97" s="120" t="s">
        <v>497</v>
      </c>
      <c r="L97" s="781" t="s">
        <v>6</v>
      </c>
      <c r="M97" s="782"/>
      <c r="N97" s="192" t="s">
        <v>333</v>
      </c>
      <c r="T97" s="295"/>
      <c r="U97" s="18"/>
      <c r="V97" s="185"/>
    </row>
    <row r="98" spans="1:23" ht="18" hidden="1" customHeight="1">
      <c r="A98" s="184"/>
      <c r="B98" s="30" t="s">
        <v>568</v>
      </c>
      <c r="I98" s="120"/>
      <c r="K98" s="120" t="s">
        <v>569</v>
      </c>
      <c r="L98" s="781" t="s">
        <v>6</v>
      </c>
      <c r="M98" s="782"/>
      <c r="T98" s="295"/>
      <c r="U98" s="18"/>
      <c r="V98" s="185"/>
      <c r="W98" s="30" t="e">
        <f>J127</f>
        <v>#VALUE!</v>
      </c>
    </row>
    <row r="99" spans="1:23" ht="18" hidden="1" customHeight="1">
      <c r="A99" s="184"/>
      <c r="B99" s="47" t="s">
        <v>562</v>
      </c>
      <c r="I99" s="120"/>
      <c r="K99" s="120" t="s">
        <v>493</v>
      </c>
      <c r="L99" s="781" t="s">
        <v>6</v>
      </c>
      <c r="M99" s="782"/>
      <c r="N99" s="14" t="s">
        <v>157</v>
      </c>
      <c r="T99" s="295"/>
      <c r="U99" s="18"/>
      <c r="V99" s="185"/>
    </row>
    <row r="100" spans="1:23" ht="18" hidden="1" customHeight="1">
      <c r="A100" s="184"/>
      <c r="V100" s="185"/>
    </row>
    <row r="101" spans="1:23" ht="18" hidden="1" customHeight="1">
      <c r="A101" s="193" t="s">
        <v>404</v>
      </c>
      <c r="V101" s="185"/>
    </row>
    <row r="102" spans="1:23" ht="18" hidden="1" customHeight="1">
      <c r="A102" s="184"/>
      <c r="V102" s="185"/>
    </row>
    <row r="103" spans="1:23" ht="18" hidden="1" customHeight="1">
      <c r="A103" s="184"/>
      <c r="B103" s="135" t="s">
        <v>405</v>
      </c>
      <c r="C103" s="273"/>
      <c r="D103" s="139" t="str">
        <f>D60</f>
        <v>REC670</v>
      </c>
      <c r="E103" s="227"/>
      <c r="F103" s="227"/>
      <c r="G103" s="227"/>
      <c r="H103" s="138"/>
      <c r="I103" s="260" t="s">
        <v>127</v>
      </c>
      <c r="J103" s="722">
        <f t="shared" ref="J103:J108" si="1">J60</f>
        <v>0.02</v>
      </c>
      <c r="K103" s="958"/>
      <c r="L103" s="3" t="s">
        <v>157</v>
      </c>
      <c r="N103" s="197" t="s">
        <v>510</v>
      </c>
      <c r="V103" s="185"/>
    </row>
    <row r="104" spans="1:23" ht="18" hidden="1" customHeight="1">
      <c r="A104" s="184"/>
      <c r="B104" s="96" t="s">
        <v>405</v>
      </c>
      <c r="D104" s="296" t="str">
        <f>D61</f>
        <v>CP-L96A</v>
      </c>
      <c r="I104" s="177" t="s">
        <v>127</v>
      </c>
      <c r="J104" s="1119">
        <f t="shared" si="1"/>
        <v>1</v>
      </c>
      <c r="K104" s="989"/>
      <c r="L104" s="198" t="s">
        <v>157</v>
      </c>
      <c r="P104" s="244"/>
      <c r="V104" s="185"/>
    </row>
    <row r="105" spans="1:23" ht="18" hidden="1" customHeight="1">
      <c r="A105" s="184"/>
      <c r="B105" s="96" t="s">
        <v>405</v>
      </c>
      <c r="C105" s="14"/>
      <c r="D105" s="47" t="str">
        <f>D62</f>
        <v>IDM+</v>
      </c>
      <c r="E105" s="14"/>
      <c r="G105" s="199"/>
      <c r="H105" s="27"/>
      <c r="I105" s="101" t="s">
        <v>127</v>
      </c>
      <c r="J105" s="696">
        <f t="shared" si="1"/>
        <v>5.8000000000000003E-2</v>
      </c>
      <c r="K105" s="820"/>
      <c r="L105" s="202" t="s">
        <v>157</v>
      </c>
      <c r="N105" s="120" t="s">
        <v>491</v>
      </c>
      <c r="O105" s="27" t="s">
        <v>127</v>
      </c>
      <c r="P105" s="27" t="s">
        <v>511</v>
      </c>
      <c r="Q105" s="27" t="s">
        <v>315</v>
      </c>
      <c r="R105" s="27" t="s">
        <v>511</v>
      </c>
      <c r="S105" s="27" t="s">
        <v>315</v>
      </c>
      <c r="T105" s="27" t="s">
        <v>420</v>
      </c>
      <c r="V105" s="185"/>
    </row>
    <row r="106" spans="1:23" ht="18" hidden="1" customHeight="1">
      <c r="A106" s="184"/>
      <c r="B106" s="96" t="s">
        <v>405</v>
      </c>
      <c r="C106" s="14"/>
      <c r="D106" s="47">
        <f>T10</f>
        <v>0</v>
      </c>
      <c r="E106" s="14"/>
      <c r="G106" s="199"/>
      <c r="H106" s="27"/>
      <c r="I106" s="101" t="s">
        <v>127</v>
      </c>
      <c r="J106" s="696">
        <f t="shared" si="1"/>
        <v>0</v>
      </c>
      <c r="K106" s="820"/>
      <c r="L106" s="202" t="s">
        <v>157</v>
      </c>
      <c r="O106" s="27" t="s">
        <v>127</v>
      </c>
      <c r="P106" s="27">
        <f>O95</f>
        <v>1</v>
      </c>
      <c r="Q106" s="27" t="s">
        <v>315</v>
      </c>
      <c r="R106" s="27">
        <f>O95</f>
        <v>1</v>
      </c>
      <c r="S106" s="27" t="s">
        <v>315</v>
      </c>
      <c r="T106" s="27" t="str">
        <f>L97</f>
        <v>-</v>
      </c>
      <c r="V106" s="185"/>
    </row>
    <row r="107" spans="1:23" ht="18" hidden="1" customHeight="1">
      <c r="A107" s="184"/>
      <c r="B107" s="184" t="s">
        <v>412</v>
      </c>
      <c r="C107" s="14"/>
      <c r="D107" s="47"/>
      <c r="E107" s="14"/>
      <c r="H107" s="27"/>
      <c r="I107" s="101" t="s">
        <v>127</v>
      </c>
      <c r="J107" s="1120">
        <f t="shared" si="1"/>
        <v>1.0770224400000001</v>
      </c>
      <c r="K107" s="987"/>
      <c r="L107" s="297" t="s">
        <v>157</v>
      </c>
      <c r="O107" s="27" t="s">
        <v>127</v>
      </c>
      <c r="P107" s="795" t="e">
        <f>P106*R106*T106</f>
        <v>#VALUE!</v>
      </c>
      <c r="Q107" s="684"/>
      <c r="R107" s="27" t="s">
        <v>157</v>
      </c>
      <c r="S107" s="27"/>
      <c r="T107" s="27"/>
      <c r="V107" s="185"/>
    </row>
    <row r="108" spans="1:23" ht="18" hidden="1" customHeight="1">
      <c r="A108" s="184"/>
      <c r="B108" s="1" t="s">
        <v>413</v>
      </c>
      <c r="C108" s="2"/>
      <c r="D108" s="2"/>
      <c r="E108" s="2"/>
      <c r="F108" s="196"/>
      <c r="G108" s="196"/>
      <c r="H108" s="224" t="s">
        <v>512</v>
      </c>
      <c r="I108" s="183" t="s">
        <v>127</v>
      </c>
      <c r="J108" s="766">
        <f t="shared" si="1"/>
        <v>2.1550224400000002</v>
      </c>
      <c r="K108" s="958"/>
      <c r="L108" s="3" t="s">
        <v>157</v>
      </c>
      <c r="O108" s="27"/>
      <c r="P108" s="211"/>
      <c r="Q108" s="211"/>
      <c r="R108" s="192"/>
      <c r="V108" s="185"/>
    </row>
    <row r="109" spans="1:23" ht="18" hidden="1" customHeight="1">
      <c r="A109" s="184"/>
      <c r="V109" s="185"/>
    </row>
    <row r="110" spans="1:23" ht="18" hidden="1" customHeight="1">
      <c r="A110" s="184"/>
      <c r="B110" s="47"/>
      <c r="C110" s="47" t="s">
        <v>579</v>
      </c>
      <c r="D110" s="47"/>
      <c r="E110" s="47"/>
      <c r="H110" s="27"/>
      <c r="I110" s="28"/>
      <c r="J110" s="199"/>
      <c r="L110" s="47"/>
      <c r="O110" s="27"/>
      <c r="P110" s="211"/>
      <c r="Q110" s="305" t="s">
        <v>580</v>
      </c>
      <c r="R110" s="102" t="s">
        <v>127</v>
      </c>
      <c r="S110" s="775">
        <f>S74</f>
        <v>25</v>
      </c>
      <c r="T110" s="776"/>
      <c r="V110" s="185"/>
    </row>
    <row r="111" spans="1:23" ht="18" hidden="1" customHeight="1">
      <c r="A111" s="184"/>
      <c r="B111" s="47"/>
      <c r="C111" s="47"/>
      <c r="D111" s="47"/>
      <c r="E111" s="47"/>
      <c r="H111" s="27"/>
      <c r="I111" s="28"/>
      <c r="J111" s="199"/>
      <c r="L111" s="47"/>
      <c r="O111" s="27"/>
      <c r="P111" s="211"/>
      <c r="Q111" s="211"/>
      <c r="R111" s="192"/>
      <c r="V111" s="185"/>
    </row>
    <row r="112" spans="1:23" ht="18" hidden="1" customHeight="1">
      <c r="A112" s="184"/>
      <c r="B112" s="47"/>
      <c r="C112" s="47" t="s">
        <v>581</v>
      </c>
      <c r="D112" s="47"/>
      <c r="E112" s="47"/>
      <c r="H112" s="27"/>
      <c r="I112" s="28" t="s">
        <v>127</v>
      </c>
      <c r="J112" s="281" t="s">
        <v>588</v>
      </c>
      <c r="L112" s="47"/>
      <c r="M112" s="28" t="s">
        <v>347</v>
      </c>
      <c r="N112" s="14" t="s">
        <v>589</v>
      </c>
      <c r="O112" s="27"/>
      <c r="P112" s="211"/>
      <c r="Q112" s="211"/>
      <c r="R112" s="192"/>
      <c r="V112" s="185"/>
    </row>
    <row r="113" spans="1:22" ht="18" hidden="1" customHeight="1">
      <c r="A113" s="184"/>
      <c r="I113" s="28" t="s">
        <v>127</v>
      </c>
      <c r="J113" s="795" t="e">
        <f>P107</f>
        <v>#VALUE!</v>
      </c>
      <c r="K113" s="684"/>
      <c r="L113" s="28" t="s">
        <v>347</v>
      </c>
      <c r="M113" s="795">
        <f>J108</f>
        <v>2.1550224400000002</v>
      </c>
      <c r="N113" s="684"/>
      <c r="V113" s="185"/>
    </row>
    <row r="114" spans="1:22" ht="18" hidden="1" customHeight="1">
      <c r="A114" s="184"/>
      <c r="I114" s="28" t="s">
        <v>127</v>
      </c>
      <c r="J114" s="795" t="e">
        <f>J113+M113</f>
        <v>#VALUE!</v>
      </c>
      <c r="K114" s="684"/>
      <c r="V114" s="185"/>
    </row>
    <row r="115" spans="1:22" ht="18" hidden="1" customHeight="1">
      <c r="A115" s="184"/>
      <c r="V115" s="185"/>
    </row>
    <row r="116" spans="1:22" ht="18" hidden="1" customHeight="1">
      <c r="A116" s="184"/>
      <c r="F116" s="244"/>
      <c r="H116" s="120" t="s">
        <v>105</v>
      </c>
      <c r="I116" s="27" t="s">
        <v>127</v>
      </c>
      <c r="J116" s="27" t="s">
        <v>569</v>
      </c>
      <c r="K116" s="27" t="s">
        <v>554</v>
      </c>
      <c r="L116" s="120" t="s">
        <v>491</v>
      </c>
      <c r="M116" s="28" t="s">
        <v>347</v>
      </c>
      <c r="N116" s="120" t="s">
        <v>493</v>
      </c>
      <c r="O116" s="28" t="s">
        <v>539</v>
      </c>
      <c r="P116" s="120" t="s">
        <v>491</v>
      </c>
      <c r="Q116" s="28" t="s">
        <v>347</v>
      </c>
      <c r="R116" s="120" t="s">
        <v>512</v>
      </c>
      <c r="S116" s="296" t="s">
        <v>350</v>
      </c>
      <c r="V116" s="185"/>
    </row>
    <row r="117" spans="1:22" ht="18" hidden="1" customHeight="1">
      <c r="A117" s="184"/>
      <c r="I117" s="27" t="s">
        <v>127</v>
      </c>
      <c r="J117" s="245" t="str">
        <f>L98</f>
        <v>-</v>
      </c>
      <c r="K117" s="245" t="s">
        <v>554</v>
      </c>
      <c r="L117" s="301" t="e">
        <f>P107</f>
        <v>#VALUE!</v>
      </c>
      <c r="M117" s="245" t="s">
        <v>347</v>
      </c>
      <c r="N117" s="242" t="str">
        <f>L99</f>
        <v>-</v>
      </c>
      <c r="O117" s="245" t="s">
        <v>539</v>
      </c>
      <c r="P117" s="301" t="e">
        <f>P107</f>
        <v>#VALUE!</v>
      </c>
      <c r="Q117" s="245" t="s">
        <v>347</v>
      </c>
      <c r="R117" s="301">
        <f>J108</f>
        <v>2.1550224400000002</v>
      </c>
      <c r="S117" s="296" t="s">
        <v>350</v>
      </c>
      <c r="V117" s="185"/>
    </row>
    <row r="118" spans="1:22" ht="18" hidden="1" customHeight="1">
      <c r="A118" s="184"/>
      <c r="I118" s="27" t="s">
        <v>127</v>
      </c>
      <c r="J118" s="1111" t="e">
        <f>J117*((L117+N117)/(P117+R117))</f>
        <v>#VALUE!</v>
      </c>
      <c r="K118" s="1111"/>
      <c r="L118" s="242"/>
      <c r="M118" s="242"/>
      <c r="N118" s="242"/>
      <c r="O118" s="242"/>
      <c r="P118" s="242"/>
      <c r="Q118" s="242"/>
      <c r="R118" s="242"/>
      <c r="V118" s="185"/>
    </row>
    <row r="119" spans="1:22" ht="18" hidden="1" customHeight="1">
      <c r="A119" s="184"/>
      <c r="I119" s="28"/>
      <c r="J119" s="211"/>
      <c r="K119" s="27"/>
      <c r="V119" s="185"/>
    </row>
    <row r="120" spans="1:22" ht="18" hidden="1" customHeight="1">
      <c r="A120" s="96" t="s">
        <v>584</v>
      </c>
      <c r="I120" s="28"/>
      <c r="J120" s="211"/>
      <c r="K120" s="27"/>
      <c r="V120" s="185"/>
    </row>
    <row r="121" spans="1:22" ht="18" hidden="1" customHeight="1">
      <c r="A121" s="184"/>
      <c r="B121" s="28">
        <v>1</v>
      </c>
      <c r="D121" s="14"/>
      <c r="H121" s="120" t="s">
        <v>492</v>
      </c>
      <c r="I121" s="28" t="s">
        <v>476</v>
      </c>
      <c r="J121" s="47" t="s">
        <v>104</v>
      </c>
      <c r="S121" s="14" t="s">
        <v>585</v>
      </c>
      <c r="V121" s="185"/>
    </row>
    <row r="122" spans="1:22" ht="18" hidden="1" customHeight="1">
      <c r="A122" s="184"/>
      <c r="G122" s="684" t="str">
        <f>L99</f>
        <v>-</v>
      </c>
      <c r="H122" s="684"/>
      <c r="I122" s="27" t="e">
        <f>IF(G122&gt;J122,"&gt;","&lt;")</f>
        <v>#VALUE!</v>
      </c>
      <c r="J122" s="795" t="e">
        <f>J114</f>
        <v>#VALUE!</v>
      </c>
      <c r="K122" s="684"/>
      <c r="S122" s="186" t="e">
        <f>IF(G122&gt;J122,"Satisfied","Not satisfied")</f>
        <v>#VALUE!</v>
      </c>
      <c r="V122" s="185"/>
    </row>
    <row r="123" spans="1:22" ht="18" hidden="1" customHeight="1">
      <c r="A123" s="184"/>
      <c r="D123" s="14"/>
      <c r="H123" s="120"/>
      <c r="I123" s="27"/>
      <c r="R123" s="14"/>
      <c r="V123" s="185"/>
    </row>
    <row r="124" spans="1:22" ht="18" hidden="1" customHeight="1">
      <c r="A124" s="184"/>
      <c r="B124" s="28">
        <v>2</v>
      </c>
      <c r="D124" s="14"/>
      <c r="H124" s="244" t="s">
        <v>586</v>
      </c>
      <c r="I124" s="28" t="s">
        <v>476</v>
      </c>
      <c r="J124" s="14" t="s">
        <v>105</v>
      </c>
      <c r="K124" s="14"/>
      <c r="S124" s="14" t="s">
        <v>587</v>
      </c>
      <c r="V124" s="185"/>
    </row>
    <row r="125" spans="1:22" ht="18" hidden="1" customHeight="1">
      <c r="A125" s="184"/>
      <c r="D125" s="14"/>
      <c r="G125" s="795">
        <f>S110</f>
        <v>25</v>
      </c>
      <c r="H125" s="795"/>
      <c r="I125" s="27" t="e">
        <f>IF(G125&gt;J125,"&gt;","&lt;")</f>
        <v>#VALUE!</v>
      </c>
      <c r="J125" s="795" t="e">
        <f>J118</f>
        <v>#VALUE!</v>
      </c>
      <c r="K125" s="795"/>
      <c r="R125" s="14"/>
      <c r="S125" s="186" t="e">
        <f>IF(G125&gt;J125,"Satisfied","Not satisfied")</f>
        <v>#VALUE!</v>
      </c>
      <c r="V125" s="185"/>
    </row>
    <row r="126" spans="1:22" ht="18" hidden="1" customHeight="1">
      <c r="A126" s="184"/>
      <c r="D126" s="47"/>
      <c r="I126" s="27"/>
      <c r="O126" s="27"/>
      <c r="P126" s="211"/>
      <c r="Q126" s="211"/>
      <c r="R126" s="192"/>
      <c r="V126" s="185"/>
    </row>
    <row r="127" spans="1:22" ht="18" hidden="1" customHeight="1">
      <c r="A127" s="184"/>
      <c r="D127" s="47"/>
      <c r="H127" s="244" t="s">
        <v>478</v>
      </c>
      <c r="J127" s="18" t="e">
        <f>IF(AND(I122="&gt;",I125="&gt;")=TRUE,"Suitably Dimentioned","Not suitable")</f>
        <v>#VALUE!</v>
      </c>
      <c r="O127" s="27"/>
      <c r="P127" s="211"/>
      <c r="Q127" s="211"/>
      <c r="R127" s="192"/>
      <c r="V127" s="185"/>
    </row>
    <row r="128" spans="1:22" ht="18" hidden="1" customHeight="1">
      <c r="A128" s="184"/>
      <c r="D128" s="47"/>
      <c r="H128" s="244"/>
      <c r="J128" s="18"/>
      <c r="O128" s="27"/>
      <c r="P128" s="211"/>
      <c r="Q128" s="211"/>
      <c r="R128" s="192"/>
      <c r="V128" s="185"/>
    </row>
    <row r="129" spans="1:22" ht="18" hidden="1" customHeight="1">
      <c r="A129" s="184"/>
      <c r="D129" s="47"/>
      <c r="H129" s="244"/>
      <c r="J129" s="18"/>
      <c r="O129" s="27"/>
      <c r="P129" s="211"/>
      <c r="Q129" s="211"/>
      <c r="R129" s="192"/>
      <c r="V129" s="185"/>
    </row>
    <row r="130" spans="1:22" ht="18" hidden="1" customHeight="1">
      <c r="A130" s="184"/>
      <c r="D130" s="47"/>
      <c r="H130" s="244"/>
      <c r="J130" s="18"/>
      <c r="O130" s="27"/>
      <c r="P130" s="211"/>
      <c r="Q130" s="211"/>
      <c r="R130" s="192"/>
      <c r="V130" s="185"/>
    </row>
    <row r="131" spans="1:22" ht="18" hidden="1" customHeight="1">
      <c r="A131" s="184"/>
      <c r="D131" s="47"/>
      <c r="H131" s="244"/>
      <c r="J131" s="18"/>
      <c r="O131" s="27"/>
      <c r="P131" s="211"/>
      <c r="Q131" s="211"/>
      <c r="R131" s="192"/>
      <c r="V131" s="185"/>
    </row>
    <row r="132" spans="1:22" ht="18" hidden="1" customHeight="1">
      <c r="A132" s="184"/>
      <c r="D132" s="47"/>
      <c r="H132" s="244"/>
      <c r="J132" s="18"/>
      <c r="O132" s="27"/>
      <c r="P132" s="211"/>
      <c r="Q132" s="211"/>
      <c r="R132" s="192"/>
      <c r="V132" s="185"/>
    </row>
    <row r="133" spans="1:22" ht="18" hidden="1" customHeight="1">
      <c r="A133" s="184"/>
      <c r="B133" s="47"/>
      <c r="C133" s="47"/>
      <c r="D133" s="47"/>
      <c r="E133" s="47"/>
      <c r="H133" s="27"/>
      <c r="I133" s="28"/>
      <c r="J133" s="199"/>
      <c r="L133" s="47"/>
      <c r="O133" s="27"/>
      <c r="P133" s="211"/>
      <c r="Q133" s="211"/>
      <c r="R133" s="192"/>
      <c r="V133" s="185"/>
    </row>
    <row r="134" spans="1:22" s="14" customFormat="1" ht="18" hidden="1" customHeight="1">
      <c r="A134" s="194"/>
      <c r="B134" s="195"/>
      <c r="C134" s="195"/>
      <c r="D134" s="195"/>
      <c r="E134" s="195"/>
      <c r="F134" s="195"/>
      <c r="G134" s="195"/>
      <c r="H134" s="195"/>
      <c r="I134" s="195"/>
      <c r="J134" s="195"/>
      <c r="K134" s="195"/>
      <c r="L134" s="195"/>
      <c r="M134" s="195"/>
      <c r="N134" s="195"/>
      <c r="O134" s="195"/>
      <c r="P134" s="195"/>
      <c r="Q134" s="224"/>
      <c r="R134" s="182"/>
      <c r="S134" s="225"/>
      <c r="T134" s="195"/>
      <c r="U134" s="195"/>
      <c r="V134" s="134" t="s">
        <v>552</v>
      </c>
    </row>
    <row r="135" spans="1:22" ht="18" hidden="1" customHeight="1">
      <c r="A135" s="226"/>
      <c r="B135" s="227"/>
      <c r="C135" s="227"/>
      <c r="D135" s="227"/>
      <c r="E135" s="227"/>
      <c r="F135" s="227"/>
      <c r="G135" s="227"/>
      <c r="H135" s="227"/>
      <c r="I135" s="227"/>
      <c r="J135" s="227"/>
      <c r="K135" s="227"/>
      <c r="L135" s="227"/>
      <c r="M135" s="227"/>
      <c r="N135" s="227"/>
      <c r="O135" s="227"/>
      <c r="P135" s="227"/>
      <c r="Q135" s="227"/>
      <c r="R135" s="227"/>
      <c r="S135" s="227"/>
      <c r="T135" s="227"/>
      <c r="U135" s="227"/>
      <c r="V135" s="228"/>
    </row>
    <row r="136" spans="1:22" ht="18" customHeight="1">
      <c r="A136" s="262" t="s">
        <v>532</v>
      </c>
      <c r="B136" s="14"/>
      <c r="C136" s="14"/>
      <c r="D136" s="120"/>
      <c r="E136" s="120"/>
      <c r="F136" s="18"/>
      <c r="G136" s="18"/>
      <c r="H136" s="14"/>
      <c r="I136" s="14"/>
      <c r="J136" s="14"/>
      <c r="K136" s="14"/>
      <c r="L136" s="14"/>
      <c r="M136" s="14"/>
      <c r="N136" s="14"/>
      <c r="O136" s="14"/>
      <c r="P136" s="28"/>
      <c r="Q136" s="120"/>
      <c r="R136" s="47"/>
      <c r="S136" s="206"/>
      <c r="T136" s="259"/>
      <c r="U136" s="14"/>
      <c r="V136" s="97"/>
    </row>
    <row r="137" spans="1:22" ht="18" customHeight="1">
      <c r="A137" s="955" t="s">
        <v>85</v>
      </c>
      <c r="B137" s="956"/>
      <c r="C137" s="957"/>
      <c r="D137" s="955" t="s">
        <v>86</v>
      </c>
      <c r="E137" s="956"/>
      <c r="F137" s="957"/>
      <c r="G137" s="955" t="s">
        <v>87</v>
      </c>
      <c r="H137" s="957"/>
      <c r="I137" s="955" t="s">
        <v>88</v>
      </c>
      <c r="J137" s="957"/>
      <c r="K137" s="955" t="s">
        <v>502</v>
      </c>
      <c r="L137" s="957"/>
      <c r="M137" s="955" t="s">
        <v>102</v>
      </c>
      <c r="N137" s="957"/>
      <c r="O137" s="955"/>
      <c r="P137" s="957"/>
      <c r="Q137" s="955" t="s">
        <v>505</v>
      </c>
      <c r="R137" s="957"/>
      <c r="S137" s="955" t="s">
        <v>93</v>
      </c>
      <c r="T137" s="956"/>
      <c r="U137" s="956"/>
      <c r="V137" s="957"/>
    </row>
    <row r="138" spans="1:22" ht="18" customHeight="1">
      <c r="A138" s="1125"/>
      <c r="B138" s="983"/>
      <c r="C138" s="1126"/>
      <c r="D138" s="1125"/>
      <c r="E138" s="983"/>
      <c r="F138" s="1126"/>
      <c r="G138" s="1125"/>
      <c r="H138" s="1126"/>
      <c r="I138" s="1125"/>
      <c r="J138" s="1126"/>
      <c r="K138" s="1125"/>
      <c r="L138" s="1126"/>
      <c r="M138" s="1125"/>
      <c r="N138" s="1126"/>
      <c r="O138" s="1125"/>
      <c r="P138" s="1126"/>
      <c r="Q138" s="1125"/>
      <c r="R138" s="1126"/>
      <c r="S138" s="1125"/>
      <c r="T138" s="983"/>
      <c r="U138" s="983"/>
      <c r="V138" s="1126"/>
    </row>
    <row r="139" spans="1:22" ht="18" customHeight="1">
      <c r="A139" s="1125"/>
      <c r="B139" s="983"/>
      <c r="C139" s="1126"/>
      <c r="D139" s="1125"/>
      <c r="E139" s="983"/>
      <c r="F139" s="1126"/>
      <c r="G139" s="1125"/>
      <c r="H139" s="1126"/>
      <c r="I139" s="1125"/>
      <c r="J139" s="1126"/>
      <c r="K139" s="1125"/>
      <c r="L139" s="1126"/>
      <c r="M139" s="1125"/>
      <c r="N139" s="1126"/>
      <c r="O139" s="1125"/>
      <c r="P139" s="1126"/>
      <c r="Q139" s="1125"/>
      <c r="R139" s="1126"/>
      <c r="S139" s="1125"/>
      <c r="T139" s="983"/>
      <c r="U139" s="983"/>
      <c r="V139" s="1126"/>
    </row>
    <row r="140" spans="1:22" ht="18" customHeight="1">
      <c r="A140" s="1047"/>
      <c r="B140" s="1048"/>
      <c r="C140" s="1049"/>
      <c r="D140" s="1047"/>
      <c r="E140" s="1048"/>
      <c r="F140" s="1049"/>
      <c r="G140" s="1047"/>
      <c r="H140" s="1049"/>
      <c r="I140" s="1047"/>
      <c r="J140" s="1049"/>
      <c r="K140" s="1047"/>
      <c r="L140" s="1049"/>
      <c r="M140" s="1047"/>
      <c r="N140" s="1049"/>
      <c r="O140" s="1047"/>
      <c r="P140" s="1049"/>
      <c r="Q140" s="1047"/>
      <c r="R140" s="1049"/>
      <c r="S140" s="1047"/>
      <c r="T140" s="1048"/>
      <c r="U140" s="1048"/>
      <c r="V140" s="1049"/>
    </row>
    <row r="141" spans="1:22" ht="18" customHeight="1">
      <c r="A141" s="765" t="str">
        <f>B92</f>
        <v>T2</v>
      </c>
      <c r="B141" s="765" t="str">
        <f>D92</f>
        <v>Core3</v>
      </c>
      <c r="C141" s="765"/>
      <c r="D141" s="870">
        <f>H95</f>
        <v>2800</v>
      </c>
      <c r="E141" s="870"/>
      <c r="F141" s="871">
        <f>O95</f>
        <v>1</v>
      </c>
      <c r="G141" s="961">
        <f>'CT-VT Burdens'!S21</f>
        <v>120</v>
      </c>
      <c r="H141" s="959">
        <f>'CT-VT Burdens'!S10</f>
        <v>6</v>
      </c>
      <c r="I141" s="874" t="str">
        <f>L96</f>
        <v>0.5FS5</v>
      </c>
      <c r="J141" s="874"/>
      <c r="K141" s="869">
        <f>H12</f>
        <v>4</v>
      </c>
      <c r="L141" s="869"/>
      <c r="M141" s="869">
        <f>H14</f>
        <v>25</v>
      </c>
      <c r="N141" s="869"/>
      <c r="O141" s="870" t="s">
        <v>6</v>
      </c>
      <c r="P141" s="870"/>
      <c r="Q141" s="879" t="str">
        <f>CONCATENATE(T7," ",T8," ",T9," ",T10)</f>
        <v xml:space="preserve">REC670 CP-L96A IDM+ </v>
      </c>
      <c r="R141" s="879"/>
      <c r="S141" s="878" t="str">
        <f>J46</f>
        <v>Suitably Dimensioned</v>
      </c>
      <c r="T141" s="878"/>
      <c r="U141" s="878"/>
      <c r="V141" s="878"/>
    </row>
    <row r="142" spans="1:22" ht="18" customHeight="1">
      <c r="A142" s="765"/>
      <c r="B142" s="765"/>
      <c r="C142" s="765"/>
      <c r="D142" s="870">
        <f>J95</f>
        <v>3200</v>
      </c>
      <c r="E142" s="870"/>
      <c r="F142" s="872"/>
      <c r="G142" s="961"/>
      <c r="H142" s="959"/>
      <c r="I142" s="874"/>
      <c r="J142" s="874"/>
      <c r="K142" s="875">
        <f>J54</f>
        <v>5</v>
      </c>
      <c r="L142" s="869"/>
      <c r="M142" s="875">
        <f>J56</f>
        <v>30</v>
      </c>
      <c r="N142" s="869"/>
      <c r="O142" s="870" t="s">
        <v>6</v>
      </c>
      <c r="P142" s="870"/>
      <c r="Q142" s="879"/>
      <c r="R142" s="879"/>
      <c r="S142" s="877" t="str">
        <f>J87</f>
        <v>Suitably Dimensioned</v>
      </c>
      <c r="T142" s="878"/>
      <c r="U142" s="878"/>
      <c r="V142" s="878"/>
    </row>
    <row r="143" spans="1:22" ht="18" customHeight="1">
      <c r="A143" s="765"/>
      <c r="B143" s="765"/>
      <c r="C143" s="765"/>
      <c r="D143" s="870" t="s">
        <v>6</v>
      </c>
      <c r="E143" s="870"/>
      <c r="F143" s="873"/>
      <c r="G143" s="961"/>
      <c r="H143" s="959"/>
      <c r="I143" s="874"/>
      <c r="J143" s="874"/>
      <c r="K143" s="869" t="s">
        <v>6</v>
      </c>
      <c r="L143" s="869"/>
      <c r="M143" s="869" t="s">
        <v>6</v>
      </c>
      <c r="N143" s="869"/>
      <c r="O143" s="870" t="s">
        <v>6</v>
      </c>
      <c r="P143" s="870"/>
      <c r="Q143" s="879"/>
      <c r="R143" s="879"/>
      <c r="S143" s="878" t="s">
        <v>6</v>
      </c>
      <c r="T143" s="878"/>
      <c r="U143" s="878"/>
      <c r="V143" s="878"/>
    </row>
    <row r="144" spans="1:22" ht="18" customHeight="1">
      <c r="A144" s="265"/>
      <c r="B144" s="239"/>
      <c r="C144" s="239"/>
      <c r="D144" s="239"/>
      <c r="E144" s="239"/>
      <c r="F144" s="239"/>
      <c r="G144" s="239"/>
      <c r="H144" s="239"/>
      <c r="I144" s="239"/>
      <c r="J144" s="93"/>
      <c r="K144" s="93"/>
      <c r="L144" s="239"/>
      <c r="M144" s="239"/>
      <c r="N144" s="239"/>
      <c r="O144" s="239"/>
      <c r="P144" s="239"/>
      <c r="Q144" s="239"/>
      <c r="R144" s="239"/>
      <c r="S144" s="239"/>
      <c r="T144" s="239"/>
      <c r="U144" s="103"/>
      <c r="V144" s="310"/>
    </row>
    <row r="145" spans="1:22" ht="18" customHeight="1">
      <c r="A145" s="265"/>
      <c r="B145" s="239"/>
      <c r="C145" s="239"/>
      <c r="D145" s="239"/>
      <c r="E145" s="239"/>
      <c r="F145" s="239"/>
      <c r="G145" s="239"/>
      <c r="H145" s="239"/>
      <c r="I145" s="239"/>
      <c r="J145" s="93"/>
      <c r="K145" s="93"/>
      <c r="L145" s="239"/>
      <c r="M145" s="239"/>
      <c r="N145" s="239"/>
      <c r="O145" s="239"/>
      <c r="P145" s="239"/>
      <c r="Q145" s="239"/>
      <c r="R145" s="239"/>
      <c r="S145" s="239"/>
      <c r="T145" s="239"/>
      <c r="U145" s="103"/>
      <c r="V145" s="310"/>
    </row>
    <row r="146" spans="1:22" ht="18" customHeight="1">
      <c r="A146" s="265"/>
      <c r="B146" s="239"/>
      <c r="C146" s="239"/>
      <c r="D146" s="239"/>
      <c r="E146" s="239"/>
      <c r="F146" s="239"/>
      <c r="G146" s="239"/>
      <c r="H146" s="239"/>
      <c r="I146" s="239"/>
      <c r="J146" s="93"/>
      <c r="K146" s="93"/>
      <c r="L146" s="239"/>
      <c r="M146" s="239"/>
      <c r="N146" s="239"/>
      <c r="O146" s="239"/>
      <c r="P146" s="239"/>
      <c r="Q146" s="239"/>
      <c r="R146" s="239"/>
      <c r="S146" s="239"/>
      <c r="T146" s="239"/>
      <c r="U146" s="103"/>
      <c r="V146" s="310"/>
    </row>
    <row r="147" spans="1:22" ht="18" customHeight="1">
      <c r="A147" s="265"/>
      <c r="B147" s="239"/>
      <c r="C147" s="239"/>
      <c r="D147" s="239"/>
      <c r="E147" s="239"/>
      <c r="F147" s="239"/>
      <c r="G147" s="239"/>
      <c r="H147" s="239"/>
      <c r="I147" s="239"/>
      <c r="J147" s="93"/>
      <c r="K147" s="93"/>
      <c r="L147" s="239"/>
      <c r="M147" s="239"/>
      <c r="N147" s="239"/>
      <c r="O147" s="239"/>
      <c r="P147" s="239"/>
      <c r="Q147" s="239"/>
      <c r="R147" s="239"/>
      <c r="S147" s="239"/>
      <c r="T147" s="239"/>
      <c r="U147" s="103"/>
      <c r="V147" s="310"/>
    </row>
    <row r="148" spans="1:22" ht="18" customHeight="1">
      <c r="A148" s="265"/>
      <c r="B148" s="239"/>
      <c r="C148" s="239"/>
      <c r="D148" s="239"/>
      <c r="E148" s="239"/>
      <c r="F148" s="239"/>
      <c r="G148" s="239"/>
      <c r="H148" s="239"/>
      <c r="I148" s="239"/>
      <c r="J148" s="93"/>
      <c r="K148" s="93"/>
      <c r="L148" s="239"/>
      <c r="M148" s="239"/>
      <c r="N148" s="239"/>
      <c r="O148" s="239"/>
      <c r="P148" s="239"/>
      <c r="Q148" s="239"/>
      <c r="R148" s="239"/>
      <c r="S148" s="239"/>
      <c r="T148" s="239"/>
      <c r="U148" s="103"/>
      <c r="V148" s="310"/>
    </row>
    <row r="149" spans="1:22" ht="18" customHeight="1">
      <c r="A149" s="265"/>
      <c r="B149" s="239"/>
      <c r="C149" s="239"/>
      <c r="D149" s="239"/>
      <c r="E149" s="239"/>
      <c r="F149" s="239"/>
      <c r="G149" s="239"/>
      <c r="H149" s="239"/>
      <c r="I149" s="239"/>
      <c r="J149" s="93"/>
      <c r="K149" s="93"/>
      <c r="L149" s="239"/>
      <c r="M149" s="239"/>
      <c r="N149" s="239"/>
      <c r="O149" s="239"/>
      <c r="P149" s="239"/>
      <c r="Q149" s="239"/>
      <c r="R149" s="239"/>
      <c r="S149" s="239"/>
      <c r="T149" s="239"/>
      <c r="U149" s="103"/>
      <c r="V149" s="310"/>
    </row>
    <row r="150" spans="1:22" ht="18" customHeight="1">
      <c r="A150" s="265"/>
      <c r="B150" s="239"/>
      <c r="C150" s="239"/>
      <c r="D150" s="239"/>
      <c r="E150" s="239"/>
      <c r="F150" s="239"/>
      <c r="G150" s="239"/>
      <c r="H150" s="239"/>
      <c r="I150" s="239"/>
      <c r="J150" s="93"/>
      <c r="K150" s="93"/>
      <c r="L150" s="239"/>
      <c r="M150" s="239"/>
      <c r="N150" s="239"/>
      <c r="O150" s="239"/>
      <c r="P150" s="239"/>
      <c r="Q150" s="239"/>
      <c r="R150" s="239"/>
      <c r="S150" s="239"/>
      <c r="T150" s="239"/>
      <c r="U150" s="103"/>
      <c r="V150" s="310"/>
    </row>
    <row r="151" spans="1:22" ht="18" customHeight="1">
      <c r="A151" s="265"/>
      <c r="B151" s="239"/>
      <c r="C151" s="239"/>
      <c r="D151" s="239"/>
      <c r="E151" s="239"/>
      <c r="F151" s="239"/>
      <c r="G151" s="239"/>
      <c r="H151" s="239"/>
      <c r="I151" s="239"/>
      <c r="J151" s="93"/>
      <c r="K151" s="93"/>
      <c r="L151" s="239"/>
      <c r="M151" s="239"/>
      <c r="N151" s="239"/>
      <c r="O151" s="239"/>
      <c r="P151" s="239"/>
      <c r="Q151" s="239"/>
      <c r="R151" s="239"/>
      <c r="S151" s="239"/>
      <c r="T151" s="239"/>
      <c r="U151" s="103"/>
      <c r="V151" s="310"/>
    </row>
    <row r="152" spans="1:22" ht="18" customHeight="1">
      <c r="A152" s="265"/>
      <c r="B152" s="239"/>
      <c r="C152" s="239"/>
      <c r="D152" s="239"/>
      <c r="E152" s="239"/>
      <c r="F152" s="239"/>
      <c r="G152" s="239"/>
      <c r="H152" s="239"/>
      <c r="I152" s="239"/>
      <c r="J152" s="93"/>
      <c r="K152" s="93"/>
      <c r="L152" s="239"/>
      <c r="M152" s="239"/>
      <c r="N152" s="239"/>
      <c r="O152" s="239"/>
      <c r="P152" s="239"/>
      <c r="Q152" s="239"/>
      <c r="R152" s="239"/>
      <c r="S152" s="239"/>
      <c r="T152" s="239"/>
      <c r="U152" s="103"/>
      <c r="V152" s="310"/>
    </row>
    <row r="153" spans="1:22" ht="18" customHeight="1">
      <c r="A153" s="265"/>
      <c r="B153" s="239"/>
      <c r="C153" s="239"/>
      <c r="D153" s="239"/>
      <c r="E153" s="239"/>
      <c r="F153" s="239"/>
      <c r="G153" s="239"/>
      <c r="H153" s="239"/>
      <c r="I153" s="239"/>
      <c r="J153" s="93"/>
      <c r="K153" s="93"/>
      <c r="L153" s="239"/>
      <c r="M153" s="239"/>
      <c r="N153" s="239"/>
      <c r="O153" s="239"/>
      <c r="P153" s="239"/>
      <c r="Q153" s="239"/>
      <c r="R153" s="239"/>
      <c r="S153" s="239"/>
      <c r="T153" s="239"/>
      <c r="U153" s="103"/>
      <c r="V153" s="310"/>
    </row>
    <row r="154" spans="1:22" ht="18" customHeight="1">
      <c r="A154" s="265"/>
      <c r="B154" s="239"/>
      <c r="C154" s="239"/>
      <c r="D154" s="239"/>
      <c r="E154" s="239"/>
      <c r="F154" s="239"/>
      <c r="G154" s="239"/>
      <c r="H154" s="239"/>
      <c r="I154" s="239"/>
      <c r="J154" s="93"/>
      <c r="K154" s="93"/>
      <c r="L154" s="239"/>
      <c r="M154" s="239"/>
      <c r="N154" s="239"/>
      <c r="O154" s="239"/>
      <c r="P154" s="239"/>
      <c r="Q154" s="239"/>
      <c r="R154" s="239"/>
      <c r="S154" s="239"/>
      <c r="T154" s="239"/>
      <c r="U154" s="103"/>
      <c r="V154" s="310"/>
    </row>
    <row r="155" spans="1:22" ht="18" customHeight="1">
      <c r="A155" s="265"/>
      <c r="B155" s="239"/>
      <c r="C155" s="239"/>
      <c r="D155" s="239"/>
      <c r="E155" s="239"/>
      <c r="F155" s="239"/>
      <c r="G155" s="239"/>
      <c r="H155" s="239"/>
      <c r="I155" s="239"/>
      <c r="J155" s="93"/>
      <c r="K155" s="93"/>
      <c r="L155" s="239"/>
      <c r="M155" s="239"/>
      <c r="N155" s="239"/>
      <c r="O155" s="239"/>
      <c r="P155" s="239"/>
      <c r="Q155" s="239"/>
      <c r="R155" s="239"/>
      <c r="S155" s="239"/>
      <c r="T155" s="239"/>
      <c r="U155" s="103"/>
      <c r="V155" s="310"/>
    </row>
    <row r="156" spans="1:22" ht="18" customHeight="1">
      <c r="A156" s="265"/>
      <c r="B156" s="239"/>
      <c r="C156" s="239"/>
      <c r="D156" s="239"/>
      <c r="E156" s="239"/>
      <c r="F156" s="239"/>
      <c r="G156" s="239"/>
      <c r="H156" s="239"/>
      <c r="I156" s="239"/>
      <c r="J156" s="93"/>
      <c r="K156" s="93"/>
      <c r="L156" s="239"/>
      <c r="M156" s="239"/>
      <c r="N156" s="239"/>
      <c r="O156" s="239"/>
      <c r="P156" s="239"/>
      <c r="Q156" s="239"/>
      <c r="R156" s="239"/>
      <c r="S156" s="239"/>
      <c r="T156" s="239"/>
      <c r="U156" s="103"/>
      <c r="V156" s="310"/>
    </row>
    <row r="157" spans="1:22" ht="18" customHeight="1">
      <c r="A157" s="265"/>
      <c r="B157" s="239"/>
      <c r="C157" s="239"/>
      <c r="D157" s="239"/>
      <c r="E157" s="239"/>
      <c r="F157" s="239"/>
      <c r="G157" s="239"/>
      <c r="H157" s="239"/>
      <c r="I157" s="239"/>
      <c r="J157" s="93"/>
      <c r="K157" s="93"/>
      <c r="L157" s="239"/>
      <c r="M157" s="239"/>
      <c r="N157" s="239"/>
      <c r="O157" s="239"/>
      <c r="P157" s="239"/>
      <c r="Q157" s="239"/>
      <c r="R157" s="239"/>
      <c r="S157" s="239"/>
      <c r="T157" s="239"/>
      <c r="U157" s="103"/>
      <c r="V157" s="310"/>
    </row>
    <row r="158" spans="1:22" ht="18" customHeight="1">
      <c r="A158" s="265"/>
      <c r="B158" s="239"/>
      <c r="C158" s="239"/>
      <c r="D158" s="239"/>
      <c r="E158" s="239"/>
      <c r="F158" s="239"/>
      <c r="G158" s="239"/>
      <c r="H158" s="239"/>
      <c r="I158" s="239"/>
      <c r="J158" s="93"/>
      <c r="K158" s="93"/>
      <c r="L158" s="239"/>
      <c r="M158" s="239"/>
      <c r="N158" s="239"/>
      <c r="O158" s="239"/>
      <c r="P158" s="239"/>
      <c r="Q158" s="239"/>
      <c r="R158" s="239"/>
      <c r="S158" s="239"/>
      <c r="T158" s="239"/>
      <c r="U158" s="103"/>
      <c r="V158" s="310"/>
    </row>
    <row r="159" spans="1:22" ht="18" customHeight="1">
      <c r="A159" s="265"/>
      <c r="B159" s="239"/>
      <c r="C159" s="239"/>
      <c r="D159" s="239"/>
      <c r="E159" s="239"/>
      <c r="F159" s="239"/>
      <c r="G159" s="239"/>
      <c r="H159" s="239"/>
      <c r="I159" s="239"/>
      <c r="J159" s="93"/>
      <c r="K159" s="93"/>
      <c r="L159" s="239"/>
      <c r="M159" s="239"/>
      <c r="N159" s="239"/>
      <c r="O159" s="239"/>
      <c r="P159" s="239"/>
      <c r="Q159" s="239"/>
      <c r="R159" s="239"/>
      <c r="S159" s="239"/>
      <c r="T159" s="239"/>
      <c r="U159" s="103"/>
      <c r="V159" s="310"/>
    </row>
    <row r="160" spans="1:22" ht="18" customHeight="1">
      <c r="A160" s="265"/>
      <c r="B160" s="239"/>
      <c r="C160" s="239"/>
      <c r="D160" s="239"/>
      <c r="E160" s="239"/>
      <c r="F160" s="239"/>
      <c r="G160" s="239"/>
      <c r="H160" s="239"/>
      <c r="I160" s="239"/>
      <c r="J160" s="93"/>
      <c r="K160" s="93"/>
      <c r="L160" s="239"/>
      <c r="M160" s="239"/>
      <c r="N160" s="239"/>
      <c r="O160" s="239"/>
      <c r="P160" s="239"/>
      <c r="Q160" s="239"/>
      <c r="R160" s="239"/>
      <c r="S160" s="239"/>
      <c r="T160" s="239"/>
      <c r="U160" s="103"/>
      <c r="V160" s="310"/>
    </row>
    <row r="161" spans="1:22" ht="18" customHeight="1">
      <c r="A161" s="265"/>
      <c r="B161" s="239"/>
      <c r="C161" s="239"/>
      <c r="D161" s="239"/>
      <c r="E161" s="239"/>
      <c r="F161" s="239"/>
      <c r="G161" s="239"/>
      <c r="H161" s="239"/>
      <c r="I161" s="239"/>
      <c r="J161" s="93"/>
      <c r="K161" s="93"/>
      <c r="L161" s="239"/>
      <c r="M161" s="239"/>
      <c r="N161" s="239"/>
      <c r="O161" s="239"/>
      <c r="P161" s="239"/>
      <c r="Q161" s="239"/>
      <c r="R161" s="239"/>
      <c r="S161" s="239"/>
      <c r="T161" s="239"/>
      <c r="U161" s="103"/>
      <c r="V161" s="310"/>
    </row>
    <row r="162" spans="1:22" ht="18" customHeight="1">
      <c r="A162" s="265"/>
      <c r="B162" s="239"/>
      <c r="C162" s="239"/>
      <c r="D162" s="239"/>
      <c r="E162" s="239"/>
      <c r="F162" s="239"/>
      <c r="G162" s="239"/>
      <c r="H162" s="239"/>
      <c r="I162" s="239"/>
      <c r="J162" s="93"/>
      <c r="K162" s="93"/>
      <c r="L162" s="239"/>
      <c r="M162" s="239"/>
      <c r="N162" s="239"/>
      <c r="O162" s="239"/>
      <c r="P162" s="239"/>
      <c r="Q162" s="239"/>
      <c r="R162" s="239"/>
      <c r="S162" s="239"/>
      <c r="T162" s="239"/>
      <c r="U162" s="103"/>
      <c r="V162" s="310"/>
    </row>
    <row r="163" spans="1:22" ht="18" customHeight="1">
      <c r="A163" s="265"/>
      <c r="B163" s="239"/>
      <c r="C163" s="239"/>
      <c r="D163" s="239"/>
      <c r="E163" s="239"/>
      <c r="F163" s="239"/>
      <c r="G163" s="239"/>
      <c r="H163" s="239"/>
      <c r="I163" s="239"/>
      <c r="J163" s="93"/>
      <c r="K163" s="93"/>
      <c r="L163" s="239"/>
      <c r="M163" s="239"/>
      <c r="N163" s="239"/>
      <c r="O163" s="239"/>
      <c r="P163" s="239"/>
      <c r="Q163" s="239"/>
      <c r="R163" s="239"/>
      <c r="S163" s="239"/>
      <c r="T163" s="239"/>
      <c r="U163" s="103"/>
      <c r="V163" s="310"/>
    </row>
    <row r="164" spans="1:22" ht="18" customHeight="1">
      <c r="A164" s="265"/>
      <c r="B164" s="239"/>
      <c r="C164" s="239"/>
      <c r="D164" s="239"/>
      <c r="E164" s="239"/>
      <c r="F164" s="239"/>
      <c r="G164" s="239"/>
      <c r="H164" s="239"/>
      <c r="I164" s="239"/>
      <c r="J164" s="93"/>
      <c r="K164" s="93"/>
      <c r="L164" s="239"/>
      <c r="M164" s="239"/>
      <c r="N164" s="239"/>
      <c r="O164" s="239"/>
      <c r="P164" s="239"/>
      <c r="Q164" s="239"/>
      <c r="R164" s="239"/>
      <c r="S164" s="239"/>
      <c r="T164" s="239"/>
      <c r="U164" s="103"/>
      <c r="V164" s="310"/>
    </row>
    <row r="165" spans="1:22" ht="18" customHeight="1">
      <c r="A165" s="265"/>
      <c r="B165" s="239"/>
      <c r="C165" s="239"/>
      <c r="D165" s="239"/>
      <c r="E165" s="239"/>
      <c r="F165" s="239"/>
      <c r="G165" s="239"/>
      <c r="H165" s="239"/>
      <c r="I165" s="239"/>
      <c r="J165" s="93"/>
      <c r="K165" s="93"/>
      <c r="L165" s="239"/>
      <c r="M165" s="239"/>
      <c r="N165" s="239"/>
      <c r="O165" s="239"/>
      <c r="P165" s="239"/>
      <c r="Q165" s="239"/>
      <c r="R165" s="239"/>
      <c r="S165" s="239"/>
      <c r="T165" s="239"/>
      <c r="U165" s="103"/>
      <c r="V165" s="310"/>
    </row>
    <row r="166" spans="1:22" ht="18" customHeight="1">
      <c r="A166" s="265"/>
      <c r="B166" s="239"/>
      <c r="C166" s="239"/>
      <c r="D166" s="239"/>
      <c r="E166" s="239"/>
      <c r="F166" s="239"/>
      <c r="G166" s="239"/>
      <c r="H166" s="239"/>
      <c r="I166" s="239"/>
      <c r="J166" s="93"/>
      <c r="K166" s="93"/>
      <c r="L166" s="239"/>
      <c r="M166" s="239"/>
      <c r="N166" s="239"/>
      <c r="O166" s="239"/>
      <c r="P166" s="239"/>
      <c r="Q166" s="239"/>
      <c r="R166" s="239"/>
      <c r="S166" s="239"/>
      <c r="T166" s="239"/>
      <c r="U166" s="103"/>
      <c r="V166" s="310"/>
    </row>
    <row r="167" spans="1:22" ht="18" customHeight="1">
      <c r="A167" s="265"/>
      <c r="B167" s="239"/>
      <c r="C167" s="239"/>
      <c r="D167" s="239"/>
      <c r="E167" s="239"/>
      <c r="F167" s="239"/>
      <c r="G167" s="239"/>
      <c r="H167" s="239"/>
      <c r="I167" s="239"/>
      <c r="J167" s="93"/>
      <c r="K167" s="93"/>
      <c r="L167" s="239"/>
      <c r="M167" s="239"/>
      <c r="N167" s="239"/>
      <c r="O167" s="239"/>
      <c r="P167" s="239"/>
      <c r="Q167" s="239"/>
      <c r="R167" s="239"/>
      <c r="S167" s="239"/>
      <c r="T167" s="239"/>
      <c r="U167" s="103"/>
      <c r="V167" s="310"/>
    </row>
    <row r="168" spans="1:22" ht="18" customHeight="1">
      <c r="A168" s="265"/>
      <c r="B168" s="239"/>
      <c r="C168" s="239"/>
      <c r="D168" s="239"/>
      <c r="E168" s="239"/>
      <c r="F168" s="239"/>
      <c r="G168" s="239"/>
      <c r="H168" s="239"/>
      <c r="I168" s="239"/>
      <c r="J168" s="93"/>
      <c r="K168" s="93"/>
      <c r="L168" s="239"/>
      <c r="M168" s="239"/>
      <c r="N168" s="239"/>
      <c r="O168" s="239"/>
      <c r="P168" s="239"/>
      <c r="Q168" s="239"/>
      <c r="R168" s="239"/>
      <c r="S168" s="239"/>
      <c r="T168" s="239"/>
      <c r="U168" s="103"/>
      <c r="V168" s="310"/>
    </row>
    <row r="169" spans="1:22" ht="18" customHeight="1">
      <c r="A169" s="265"/>
      <c r="B169" s="239"/>
      <c r="C169" s="239"/>
      <c r="D169" s="239"/>
      <c r="E169" s="239"/>
      <c r="F169" s="239"/>
      <c r="G169" s="239"/>
      <c r="H169" s="239"/>
      <c r="I169" s="239"/>
      <c r="J169" s="93"/>
      <c r="K169" s="93"/>
      <c r="L169" s="239"/>
      <c r="M169" s="239"/>
      <c r="N169" s="239"/>
      <c r="O169" s="239"/>
      <c r="P169" s="239"/>
      <c r="Q169" s="239"/>
      <c r="R169" s="239"/>
      <c r="S169" s="239"/>
      <c r="T169" s="239"/>
      <c r="U169" s="103"/>
      <c r="V169" s="310"/>
    </row>
    <row r="170" spans="1:22" ht="18" customHeight="1">
      <c r="A170" s="265"/>
      <c r="B170" s="239"/>
      <c r="C170" s="239"/>
      <c r="D170" s="239"/>
      <c r="E170" s="239"/>
      <c r="F170" s="239"/>
      <c r="G170" s="239"/>
      <c r="H170" s="239"/>
      <c r="I170" s="239"/>
      <c r="J170" s="93"/>
      <c r="K170" s="93"/>
      <c r="L170" s="239"/>
      <c r="M170" s="239"/>
      <c r="N170" s="239"/>
      <c r="O170" s="239"/>
      <c r="P170" s="239"/>
      <c r="Q170" s="239"/>
      <c r="R170" s="239"/>
      <c r="S170" s="239"/>
      <c r="T170" s="239"/>
      <c r="U170" s="103"/>
      <c r="V170" s="310"/>
    </row>
    <row r="171" spans="1:22" ht="18" customHeight="1">
      <c r="A171" s="265"/>
      <c r="B171" s="239"/>
      <c r="C171" s="239"/>
      <c r="D171" s="239"/>
      <c r="E171" s="239"/>
      <c r="F171" s="239"/>
      <c r="G171" s="239"/>
      <c r="H171" s="239"/>
      <c r="I171" s="239"/>
      <c r="J171" s="93"/>
      <c r="K171" s="93"/>
      <c r="L171" s="239"/>
      <c r="M171" s="239"/>
      <c r="N171" s="239"/>
      <c r="O171" s="239"/>
      <c r="P171" s="239"/>
      <c r="Q171" s="239"/>
      <c r="R171" s="239"/>
      <c r="S171" s="239"/>
      <c r="T171" s="239"/>
      <c r="U171" s="103"/>
      <c r="V171" s="310"/>
    </row>
    <row r="172" spans="1:22" ht="18" customHeight="1">
      <c r="A172" s="265"/>
      <c r="B172" s="239"/>
      <c r="C172" s="239"/>
      <c r="D172" s="239"/>
      <c r="E172" s="239"/>
      <c r="F172" s="239"/>
      <c r="G172" s="239"/>
      <c r="H172" s="239"/>
      <c r="I172" s="239"/>
      <c r="J172" s="93"/>
      <c r="K172" s="93"/>
      <c r="L172" s="239"/>
      <c r="M172" s="239"/>
      <c r="N172" s="239"/>
      <c r="O172" s="239"/>
      <c r="P172" s="239"/>
      <c r="Q172" s="239"/>
      <c r="R172" s="239"/>
      <c r="S172" s="239"/>
      <c r="T172" s="239"/>
      <c r="U172" s="103"/>
      <c r="V172" s="310"/>
    </row>
    <row r="173" spans="1:22" ht="18" customHeight="1">
      <c r="A173" s="265"/>
      <c r="B173" s="239"/>
      <c r="C173" s="239"/>
      <c r="D173" s="239"/>
      <c r="E173" s="239"/>
      <c r="F173" s="239"/>
      <c r="G173" s="239"/>
      <c r="H173" s="239"/>
      <c r="I173" s="239"/>
      <c r="J173" s="93"/>
      <c r="K173" s="93"/>
      <c r="L173" s="239"/>
      <c r="M173" s="239"/>
      <c r="N173" s="239"/>
      <c r="O173" s="239"/>
      <c r="P173" s="239"/>
      <c r="Q173" s="239"/>
      <c r="R173" s="239"/>
      <c r="S173" s="239"/>
      <c r="T173" s="239"/>
      <c r="U173" s="103"/>
      <c r="V173" s="310"/>
    </row>
    <row r="174" spans="1:22" ht="18" customHeight="1">
      <c r="A174" s="184"/>
      <c r="V174" s="185"/>
    </row>
    <row r="175" spans="1:22" s="14" customFormat="1" ht="18" customHeight="1">
      <c r="A175" s="194"/>
      <c r="B175" s="195"/>
      <c r="C175" s="195"/>
      <c r="D175" s="195"/>
      <c r="E175" s="195"/>
      <c r="F175" s="195"/>
      <c r="G175" s="195"/>
      <c r="H175" s="195"/>
      <c r="I175" s="195"/>
      <c r="J175" s="195"/>
      <c r="K175" s="195"/>
      <c r="L175" s="195"/>
      <c r="M175" s="195"/>
      <c r="N175" s="195"/>
      <c r="O175" s="195"/>
      <c r="P175" s="195"/>
      <c r="Q175" s="224"/>
      <c r="R175" s="182"/>
      <c r="S175" s="225"/>
      <c r="T175" s="195"/>
      <c r="U175" s="195"/>
      <c r="V175" s="134"/>
    </row>
  </sheetData>
  <mergeCells count="156">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7"/>
    <mergeCell ref="D7:E7"/>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8:K38"/>
    <mergeCell ref="G42:H42"/>
    <mergeCell ref="J42:K42"/>
    <mergeCell ref="G45:H45"/>
    <mergeCell ref="J45:K45"/>
    <mergeCell ref="B49:C49"/>
    <mergeCell ref="D49:E49"/>
    <mergeCell ref="H49:M49"/>
    <mergeCell ref="P27:Q27"/>
    <mergeCell ref="P28:Q28"/>
    <mergeCell ref="P29:Q29"/>
    <mergeCell ref="P30:Q30"/>
    <mergeCell ref="H52:I52"/>
    <mergeCell ref="J52:K52"/>
    <mergeCell ref="L52:M52"/>
    <mergeCell ref="T52:U52"/>
    <mergeCell ref="J53:K53"/>
    <mergeCell ref="J54:K54"/>
    <mergeCell ref="T49:U49"/>
    <mergeCell ref="B50:C50"/>
    <mergeCell ref="T50:U50"/>
    <mergeCell ref="H51:I51"/>
    <mergeCell ref="J51:K51"/>
    <mergeCell ref="L51:M51"/>
    <mergeCell ref="T51:U51"/>
    <mergeCell ref="J64:K64"/>
    <mergeCell ref="P64:Q64"/>
    <mergeCell ref="J65:K65"/>
    <mergeCell ref="P67:Q67"/>
    <mergeCell ref="P68:Q68"/>
    <mergeCell ref="P69:Q69"/>
    <mergeCell ref="J55:K55"/>
    <mergeCell ref="J56:K56"/>
    <mergeCell ref="J60:K60"/>
    <mergeCell ref="J61:K61"/>
    <mergeCell ref="J62:K62"/>
    <mergeCell ref="J63:K63"/>
    <mergeCell ref="B92:C92"/>
    <mergeCell ref="D92:E93"/>
    <mergeCell ref="H92:M92"/>
    <mergeCell ref="B93:C93"/>
    <mergeCell ref="P70:Q70"/>
    <mergeCell ref="P71:Q71"/>
    <mergeCell ref="P72:Q72"/>
    <mergeCell ref="S74:T74"/>
    <mergeCell ref="J76:K76"/>
    <mergeCell ref="M76:N76"/>
    <mergeCell ref="H94:I94"/>
    <mergeCell ref="J94:K94"/>
    <mergeCell ref="L94:M94"/>
    <mergeCell ref="H95:I95"/>
    <mergeCell ref="J95:K95"/>
    <mergeCell ref="L95:M95"/>
    <mergeCell ref="J80:K80"/>
    <mergeCell ref="G83:H83"/>
    <mergeCell ref="J83:K83"/>
    <mergeCell ref="G86:H86"/>
    <mergeCell ref="J86:K86"/>
    <mergeCell ref="J105:K105"/>
    <mergeCell ref="J106:K106"/>
    <mergeCell ref="J107:K107"/>
    <mergeCell ref="P107:Q107"/>
    <mergeCell ref="J108:K108"/>
    <mergeCell ref="S110:T110"/>
    <mergeCell ref="L96:M96"/>
    <mergeCell ref="L97:M97"/>
    <mergeCell ref="L98:M98"/>
    <mergeCell ref="L99:M99"/>
    <mergeCell ref="J103:K103"/>
    <mergeCell ref="J104:K104"/>
    <mergeCell ref="Q141:R143"/>
    <mergeCell ref="G125:H125"/>
    <mergeCell ref="J125:K125"/>
    <mergeCell ref="A137:C140"/>
    <mergeCell ref="D137:F140"/>
    <mergeCell ref="G137:H140"/>
    <mergeCell ref="I137:J140"/>
    <mergeCell ref="K137:L140"/>
    <mergeCell ref="J113:K113"/>
    <mergeCell ref="M113:N113"/>
    <mergeCell ref="J114:K114"/>
    <mergeCell ref="J118:K118"/>
    <mergeCell ref="G122:H122"/>
    <mergeCell ref="J122:K122"/>
    <mergeCell ref="M137:N140"/>
    <mergeCell ref="S141:V141"/>
    <mergeCell ref="O137:P140"/>
    <mergeCell ref="Q137:R140"/>
    <mergeCell ref="S137:V140"/>
    <mergeCell ref="A141:A143"/>
    <mergeCell ref="B141:C143"/>
    <mergeCell ref="D141:E141"/>
    <mergeCell ref="F141:F143"/>
    <mergeCell ref="G141:G143"/>
    <mergeCell ref="H141:H143"/>
    <mergeCell ref="D142:E142"/>
    <mergeCell ref="K142:L142"/>
    <mergeCell ref="M142:N142"/>
    <mergeCell ref="O142:P142"/>
    <mergeCell ref="S142:V142"/>
    <mergeCell ref="D143:E143"/>
    <mergeCell ref="K143:L143"/>
    <mergeCell ref="M143:N143"/>
    <mergeCell ref="O143:P143"/>
    <mergeCell ref="S143:V143"/>
    <mergeCell ref="I141:J143"/>
    <mergeCell ref="K141:L141"/>
    <mergeCell ref="M141:N141"/>
    <mergeCell ref="O141:P141"/>
  </mergeCells>
  <conditionalFormatting sqref="I46:J46 I87:J89 I126:J132">
    <cfRule type="cellIs" dxfId="14" priority="2" stopIfTrue="1" operator="equal">
      <formula>"Not suitable"</formula>
    </cfRule>
  </conditionalFormatting>
  <conditionalFormatting sqref="S42 S45 S83 S86 S122 S125">
    <cfRule type="cellIs" dxfId="13" priority="1" stopIfTrue="1" operator="equal">
      <formula>"Not satisfied"</formula>
    </cfRule>
  </conditionalFormatting>
  <dataValidations disablePrompts="1" count="2">
    <dataValidation type="list" allowBlank="1" showInputMessage="1" showErrorMessage="1" sqref="D92 IZ92 SV92 ACR92 AMN92 AWJ92 BGF92 BQB92 BZX92 CJT92 CTP92 DDL92 DNH92 DXD92 EGZ92 EQV92 FAR92 FKN92 FUJ92 GEF92 GOB92 GXX92 HHT92 HRP92 IBL92 ILH92 IVD92 JEZ92 JOV92 JYR92 KIN92 KSJ92 LCF92 LMB92 LVX92 MFT92 MPP92 MZL92 NJH92 NTD92 OCZ92 OMV92 OWR92 PGN92 PQJ92 QAF92 QKB92 QTX92 RDT92 RNP92 RXL92 SHH92 SRD92 TAZ92 TKV92 TUR92 UEN92 UOJ92 UYF92 VIB92 VRX92 WBT92 WLP92 WVL92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D49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921F3059-586E-4E7C-B0AA-08DAE475207C}">
      <formula1>"Core1,Core2,Core3"</formula1>
    </dataValidation>
    <dataValidation type="list" allowBlank="1" showInputMessage="1" showErrorMessage="1" sqref="WVL983040:WVM983041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6:E65537 IZ65536:JA65537 SV65536:SW65537 ACR65536:ACS65537 AMN65536:AMO65537 AWJ65536:AWK65537 BGF65536:BGG65537 BQB65536:BQC65537 BZX65536:BZY65537 CJT65536:CJU65537 CTP65536:CTQ65537 DDL65536:DDM65537 DNH65536:DNI65537 DXD65536:DXE65537 EGZ65536:EHA65537 EQV65536:EQW65537 FAR65536:FAS65537 FKN65536:FKO65537 FUJ65536:FUK65537 GEF65536:GEG65537 GOB65536:GOC65537 GXX65536:GXY65537 HHT65536:HHU65537 HRP65536:HRQ65537 IBL65536:IBM65537 ILH65536:ILI65537 IVD65536:IVE65537 JEZ65536:JFA65537 JOV65536:JOW65537 JYR65536:JYS65537 KIN65536:KIO65537 KSJ65536:KSK65537 LCF65536:LCG65537 LMB65536:LMC65537 LVX65536:LVY65537 MFT65536:MFU65537 MPP65536:MPQ65537 MZL65536:MZM65537 NJH65536:NJI65537 NTD65536:NTE65537 OCZ65536:ODA65537 OMV65536:OMW65537 OWR65536:OWS65537 PGN65536:PGO65537 PQJ65536:PQK65537 QAF65536:QAG65537 QKB65536:QKC65537 QTX65536:QTY65537 RDT65536:RDU65537 RNP65536:RNQ65537 RXL65536:RXM65537 SHH65536:SHI65537 SRD65536:SRE65537 TAZ65536:TBA65537 TKV65536:TKW65537 TUR65536:TUS65537 UEN65536:UEO65537 UOJ65536:UOK65537 UYF65536:UYG65537 VIB65536:VIC65537 VRX65536:VRY65537 WBT65536:WBU65537 WLP65536:WLQ65537 WVL65536:WVM65537 D131072:E131073 IZ131072:JA131073 SV131072:SW131073 ACR131072:ACS131073 AMN131072:AMO131073 AWJ131072:AWK131073 BGF131072:BGG131073 BQB131072:BQC131073 BZX131072:BZY131073 CJT131072:CJU131073 CTP131072:CTQ131073 DDL131072:DDM131073 DNH131072:DNI131073 DXD131072:DXE131073 EGZ131072:EHA131073 EQV131072:EQW131073 FAR131072:FAS131073 FKN131072:FKO131073 FUJ131072:FUK131073 GEF131072:GEG131073 GOB131072:GOC131073 GXX131072:GXY131073 HHT131072:HHU131073 HRP131072:HRQ131073 IBL131072:IBM131073 ILH131072:ILI131073 IVD131072:IVE131073 JEZ131072:JFA131073 JOV131072:JOW131073 JYR131072:JYS131073 KIN131072:KIO131073 KSJ131072:KSK131073 LCF131072:LCG131073 LMB131072:LMC131073 LVX131072:LVY131073 MFT131072:MFU131073 MPP131072:MPQ131073 MZL131072:MZM131073 NJH131072:NJI131073 NTD131072:NTE131073 OCZ131072:ODA131073 OMV131072:OMW131073 OWR131072:OWS131073 PGN131072:PGO131073 PQJ131072:PQK131073 QAF131072:QAG131073 QKB131072:QKC131073 QTX131072:QTY131073 RDT131072:RDU131073 RNP131072:RNQ131073 RXL131072:RXM131073 SHH131072:SHI131073 SRD131072:SRE131073 TAZ131072:TBA131073 TKV131072:TKW131073 TUR131072:TUS131073 UEN131072:UEO131073 UOJ131072:UOK131073 UYF131072:UYG131073 VIB131072:VIC131073 VRX131072:VRY131073 WBT131072:WBU131073 WLP131072:WLQ131073 WVL131072:WVM131073 D196608:E196609 IZ196608:JA196609 SV196608:SW196609 ACR196608:ACS196609 AMN196608:AMO196609 AWJ196608:AWK196609 BGF196608:BGG196609 BQB196608:BQC196609 BZX196608:BZY196609 CJT196608:CJU196609 CTP196608:CTQ196609 DDL196608:DDM196609 DNH196608:DNI196609 DXD196608:DXE196609 EGZ196608:EHA196609 EQV196608:EQW196609 FAR196608:FAS196609 FKN196608:FKO196609 FUJ196608:FUK196609 GEF196608:GEG196609 GOB196608:GOC196609 GXX196608:GXY196609 HHT196608:HHU196609 HRP196608:HRQ196609 IBL196608:IBM196609 ILH196608:ILI196609 IVD196608:IVE196609 JEZ196608:JFA196609 JOV196608:JOW196609 JYR196608:JYS196609 KIN196608:KIO196609 KSJ196608:KSK196609 LCF196608:LCG196609 LMB196608:LMC196609 LVX196608:LVY196609 MFT196608:MFU196609 MPP196608:MPQ196609 MZL196608:MZM196609 NJH196608:NJI196609 NTD196608:NTE196609 OCZ196608:ODA196609 OMV196608:OMW196609 OWR196608:OWS196609 PGN196608:PGO196609 PQJ196608:PQK196609 QAF196608:QAG196609 QKB196608:QKC196609 QTX196608:QTY196609 RDT196608:RDU196609 RNP196608:RNQ196609 RXL196608:RXM196609 SHH196608:SHI196609 SRD196608:SRE196609 TAZ196608:TBA196609 TKV196608:TKW196609 TUR196608:TUS196609 UEN196608:UEO196609 UOJ196608:UOK196609 UYF196608:UYG196609 VIB196608:VIC196609 VRX196608:VRY196609 WBT196608:WBU196609 WLP196608:WLQ196609 WVL196608:WVM196609 D262144:E262145 IZ262144:JA262145 SV262144:SW262145 ACR262144:ACS262145 AMN262144:AMO262145 AWJ262144:AWK262145 BGF262144:BGG262145 BQB262144:BQC262145 BZX262144:BZY262145 CJT262144:CJU262145 CTP262144:CTQ262145 DDL262144:DDM262145 DNH262144:DNI262145 DXD262144:DXE262145 EGZ262144:EHA262145 EQV262144:EQW262145 FAR262144:FAS262145 FKN262144:FKO262145 FUJ262144:FUK262145 GEF262144:GEG262145 GOB262144:GOC262145 GXX262144:GXY262145 HHT262144:HHU262145 HRP262144:HRQ262145 IBL262144:IBM262145 ILH262144:ILI262145 IVD262144:IVE262145 JEZ262144:JFA262145 JOV262144:JOW262145 JYR262144:JYS262145 KIN262144:KIO262145 KSJ262144:KSK262145 LCF262144:LCG262145 LMB262144:LMC262145 LVX262144:LVY262145 MFT262144:MFU262145 MPP262144:MPQ262145 MZL262144:MZM262145 NJH262144:NJI262145 NTD262144:NTE262145 OCZ262144:ODA262145 OMV262144:OMW262145 OWR262144:OWS262145 PGN262144:PGO262145 PQJ262144:PQK262145 QAF262144:QAG262145 QKB262144:QKC262145 QTX262144:QTY262145 RDT262144:RDU262145 RNP262144:RNQ262145 RXL262144:RXM262145 SHH262144:SHI262145 SRD262144:SRE262145 TAZ262144:TBA262145 TKV262144:TKW262145 TUR262144:TUS262145 UEN262144:UEO262145 UOJ262144:UOK262145 UYF262144:UYG262145 VIB262144:VIC262145 VRX262144:VRY262145 WBT262144:WBU262145 WLP262144:WLQ262145 WVL262144:WVM262145 D327680:E327681 IZ327680:JA327681 SV327680:SW327681 ACR327680:ACS327681 AMN327680:AMO327681 AWJ327680:AWK327681 BGF327680:BGG327681 BQB327680:BQC327681 BZX327680:BZY327681 CJT327680:CJU327681 CTP327680:CTQ327681 DDL327680:DDM327681 DNH327680:DNI327681 DXD327680:DXE327681 EGZ327680:EHA327681 EQV327680:EQW327681 FAR327680:FAS327681 FKN327680:FKO327681 FUJ327680:FUK327681 GEF327680:GEG327681 GOB327680:GOC327681 GXX327680:GXY327681 HHT327680:HHU327681 HRP327680:HRQ327681 IBL327680:IBM327681 ILH327680:ILI327681 IVD327680:IVE327681 JEZ327680:JFA327681 JOV327680:JOW327681 JYR327680:JYS327681 KIN327680:KIO327681 KSJ327680:KSK327681 LCF327680:LCG327681 LMB327680:LMC327681 LVX327680:LVY327681 MFT327680:MFU327681 MPP327680:MPQ327681 MZL327680:MZM327681 NJH327680:NJI327681 NTD327680:NTE327681 OCZ327680:ODA327681 OMV327680:OMW327681 OWR327680:OWS327681 PGN327680:PGO327681 PQJ327680:PQK327681 QAF327680:QAG327681 QKB327680:QKC327681 QTX327680:QTY327681 RDT327680:RDU327681 RNP327680:RNQ327681 RXL327680:RXM327681 SHH327680:SHI327681 SRD327680:SRE327681 TAZ327680:TBA327681 TKV327680:TKW327681 TUR327680:TUS327681 UEN327680:UEO327681 UOJ327680:UOK327681 UYF327680:UYG327681 VIB327680:VIC327681 VRX327680:VRY327681 WBT327680:WBU327681 WLP327680:WLQ327681 WVL327680:WVM327681 D393216:E393217 IZ393216:JA393217 SV393216:SW393217 ACR393216:ACS393217 AMN393216:AMO393217 AWJ393216:AWK393217 BGF393216:BGG393217 BQB393216:BQC393217 BZX393216:BZY393217 CJT393216:CJU393217 CTP393216:CTQ393217 DDL393216:DDM393217 DNH393216:DNI393217 DXD393216:DXE393217 EGZ393216:EHA393217 EQV393216:EQW393217 FAR393216:FAS393217 FKN393216:FKO393217 FUJ393216:FUK393217 GEF393216:GEG393217 GOB393216:GOC393217 GXX393216:GXY393217 HHT393216:HHU393217 HRP393216:HRQ393217 IBL393216:IBM393217 ILH393216:ILI393217 IVD393216:IVE393217 JEZ393216:JFA393217 JOV393216:JOW393217 JYR393216:JYS393217 KIN393216:KIO393217 KSJ393216:KSK393217 LCF393216:LCG393217 LMB393216:LMC393217 LVX393216:LVY393217 MFT393216:MFU393217 MPP393216:MPQ393217 MZL393216:MZM393217 NJH393216:NJI393217 NTD393216:NTE393217 OCZ393216:ODA393217 OMV393216:OMW393217 OWR393216:OWS393217 PGN393216:PGO393217 PQJ393216:PQK393217 QAF393216:QAG393217 QKB393216:QKC393217 QTX393216:QTY393217 RDT393216:RDU393217 RNP393216:RNQ393217 RXL393216:RXM393217 SHH393216:SHI393217 SRD393216:SRE393217 TAZ393216:TBA393217 TKV393216:TKW393217 TUR393216:TUS393217 UEN393216:UEO393217 UOJ393216:UOK393217 UYF393216:UYG393217 VIB393216:VIC393217 VRX393216:VRY393217 WBT393216:WBU393217 WLP393216:WLQ393217 WVL393216:WVM393217 D458752:E458753 IZ458752:JA458753 SV458752:SW458753 ACR458752:ACS458753 AMN458752:AMO458753 AWJ458752:AWK458753 BGF458752:BGG458753 BQB458752:BQC458753 BZX458752:BZY458753 CJT458752:CJU458753 CTP458752:CTQ458753 DDL458752:DDM458753 DNH458752:DNI458753 DXD458752:DXE458753 EGZ458752:EHA458753 EQV458752:EQW458753 FAR458752:FAS458753 FKN458752:FKO458753 FUJ458752:FUK458753 GEF458752:GEG458753 GOB458752:GOC458753 GXX458752:GXY458753 HHT458752:HHU458753 HRP458752:HRQ458753 IBL458752:IBM458753 ILH458752:ILI458753 IVD458752:IVE458753 JEZ458752:JFA458753 JOV458752:JOW458753 JYR458752:JYS458753 KIN458752:KIO458753 KSJ458752:KSK458753 LCF458752:LCG458753 LMB458752:LMC458753 LVX458752:LVY458753 MFT458752:MFU458753 MPP458752:MPQ458753 MZL458752:MZM458753 NJH458752:NJI458753 NTD458752:NTE458753 OCZ458752:ODA458753 OMV458752:OMW458753 OWR458752:OWS458753 PGN458752:PGO458753 PQJ458752:PQK458753 QAF458752:QAG458753 QKB458752:QKC458753 QTX458752:QTY458753 RDT458752:RDU458753 RNP458752:RNQ458753 RXL458752:RXM458753 SHH458752:SHI458753 SRD458752:SRE458753 TAZ458752:TBA458753 TKV458752:TKW458753 TUR458752:TUS458753 UEN458752:UEO458753 UOJ458752:UOK458753 UYF458752:UYG458753 VIB458752:VIC458753 VRX458752:VRY458753 WBT458752:WBU458753 WLP458752:WLQ458753 WVL458752:WVM458753 D524288:E524289 IZ524288:JA524289 SV524288:SW524289 ACR524288:ACS524289 AMN524288:AMO524289 AWJ524288:AWK524289 BGF524288:BGG524289 BQB524288:BQC524289 BZX524288:BZY524289 CJT524288:CJU524289 CTP524288:CTQ524289 DDL524288:DDM524289 DNH524288:DNI524289 DXD524288:DXE524289 EGZ524288:EHA524289 EQV524288:EQW524289 FAR524288:FAS524289 FKN524288:FKO524289 FUJ524288:FUK524289 GEF524288:GEG524289 GOB524288:GOC524289 GXX524288:GXY524289 HHT524288:HHU524289 HRP524288:HRQ524289 IBL524288:IBM524289 ILH524288:ILI524289 IVD524288:IVE524289 JEZ524288:JFA524289 JOV524288:JOW524289 JYR524288:JYS524289 KIN524288:KIO524289 KSJ524288:KSK524289 LCF524288:LCG524289 LMB524288:LMC524289 LVX524288:LVY524289 MFT524288:MFU524289 MPP524288:MPQ524289 MZL524288:MZM524289 NJH524288:NJI524289 NTD524288:NTE524289 OCZ524288:ODA524289 OMV524288:OMW524289 OWR524288:OWS524289 PGN524288:PGO524289 PQJ524288:PQK524289 QAF524288:QAG524289 QKB524288:QKC524289 QTX524288:QTY524289 RDT524288:RDU524289 RNP524288:RNQ524289 RXL524288:RXM524289 SHH524288:SHI524289 SRD524288:SRE524289 TAZ524288:TBA524289 TKV524288:TKW524289 TUR524288:TUS524289 UEN524288:UEO524289 UOJ524288:UOK524289 UYF524288:UYG524289 VIB524288:VIC524289 VRX524288:VRY524289 WBT524288:WBU524289 WLP524288:WLQ524289 WVL524288:WVM524289 D589824:E589825 IZ589824:JA589825 SV589824:SW589825 ACR589824:ACS589825 AMN589824:AMO589825 AWJ589824:AWK589825 BGF589824:BGG589825 BQB589824:BQC589825 BZX589824:BZY589825 CJT589824:CJU589825 CTP589824:CTQ589825 DDL589824:DDM589825 DNH589824:DNI589825 DXD589824:DXE589825 EGZ589824:EHA589825 EQV589824:EQW589825 FAR589824:FAS589825 FKN589824:FKO589825 FUJ589824:FUK589825 GEF589824:GEG589825 GOB589824:GOC589825 GXX589824:GXY589825 HHT589824:HHU589825 HRP589824:HRQ589825 IBL589824:IBM589825 ILH589824:ILI589825 IVD589824:IVE589825 JEZ589824:JFA589825 JOV589824:JOW589825 JYR589824:JYS589825 KIN589824:KIO589825 KSJ589824:KSK589825 LCF589824:LCG589825 LMB589824:LMC589825 LVX589824:LVY589825 MFT589824:MFU589825 MPP589824:MPQ589825 MZL589824:MZM589825 NJH589824:NJI589825 NTD589824:NTE589825 OCZ589824:ODA589825 OMV589824:OMW589825 OWR589824:OWS589825 PGN589824:PGO589825 PQJ589824:PQK589825 QAF589824:QAG589825 QKB589824:QKC589825 QTX589824:QTY589825 RDT589824:RDU589825 RNP589824:RNQ589825 RXL589824:RXM589825 SHH589824:SHI589825 SRD589824:SRE589825 TAZ589824:TBA589825 TKV589824:TKW589825 TUR589824:TUS589825 UEN589824:UEO589825 UOJ589824:UOK589825 UYF589824:UYG589825 VIB589824:VIC589825 VRX589824:VRY589825 WBT589824:WBU589825 WLP589824:WLQ589825 WVL589824:WVM589825 D655360:E655361 IZ655360:JA655361 SV655360:SW655361 ACR655360:ACS655361 AMN655360:AMO655361 AWJ655360:AWK655361 BGF655360:BGG655361 BQB655360:BQC655361 BZX655360:BZY655361 CJT655360:CJU655361 CTP655360:CTQ655361 DDL655360:DDM655361 DNH655360:DNI655361 DXD655360:DXE655361 EGZ655360:EHA655361 EQV655360:EQW655361 FAR655360:FAS655361 FKN655360:FKO655361 FUJ655360:FUK655361 GEF655360:GEG655361 GOB655360:GOC655361 GXX655360:GXY655361 HHT655360:HHU655361 HRP655360:HRQ655361 IBL655360:IBM655361 ILH655360:ILI655361 IVD655360:IVE655361 JEZ655360:JFA655361 JOV655360:JOW655361 JYR655360:JYS655361 KIN655360:KIO655361 KSJ655360:KSK655361 LCF655360:LCG655361 LMB655360:LMC655361 LVX655360:LVY655361 MFT655360:MFU655361 MPP655360:MPQ655361 MZL655360:MZM655361 NJH655360:NJI655361 NTD655360:NTE655361 OCZ655360:ODA655361 OMV655360:OMW655361 OWR655360:OWS655361 PGN655360:PGO655361 PQJ655360:PQK655361 QAF655360:QAG655361 QKB655360:QKC655361 QTX655360:QTY655361 RDT655360:RDU655361 RNP655360:RNQ655361 RXL655360:RXM655361 SHH655360:SHI655361 SRD655360:SRE655361 TAZ655360:TBA655361 TKV655360:TKW655361 TUR655360:TUS655361 UEN655360:UEO655361 UOJ655360:UOK655361 UYF655360:UYG655361 VIB655360:VIC655361 VRX655360:VRY655361 WBT655360:WBU655361 WLP655360:WLQ655361 WVL655360:WVM655361 D720896:E720897 IZ720896:JA720897 SV720896:SW720897 ACR720896:ACS720897 AMN720896:AMO720897 AWJ720896:AWK720897 BGF720896:BGG720897 BQB720896:BQC720897 BZX720896:BZY720897 CJT720896:CJU720897 CTP720896:CTQ720897 DDL720896:DDM720897 DNH720896:DNI720897 DXD720896:DXE720897 EGZ720896:EHA720897 EQV720896:EQW720897 FAR720896:FAS720897 FKN720896:FKO720897 FUJ720896:FUK720897 GEF720896:GEG720897 GOB720896:GOC720897 GXX720896:GXY720897 HHT720896:HHU720897 HRP720896:HRQ720897 IBL720896:IBM720897 ILH720896:ILI720897 IVD720896:IVE720897 JEZ720896:JFA720897 JOV720896:JOW720897 JYR720896:JYS720897 KIN720896:KIO720897 KSJ720896:KSK720897 LCF720896:LCG720897 LMB720896:LMC720897 LVX720896:LVY720897 MFT720896:MFU720897 MPP720896:MPQ720897 MZL720896:MZM720897 NJH720896:NJI720897 NTD720896:NTE720897 OCZ720896:ODA720897 OMV720896:OMW720897 OWR720896:OWS720897 PGN720896:PGO720897 PQJ720896:PQK720897 QAF720896:QAG720897 QKB720896:QKC720897 QTX720896:QTY720897 RDT720896:RDU720897 RNP720896:RNQ720897 RXL720896:RXM720897 SHH720896:SHI720897 SRD720896:SRE720897 TAZ720896:TBA720897 TKV720896:TKW720897 TUR720896:TUS720897 UEN720896:UEO720897 UOJ720896:UOK720897 UYF720896:UYG720897 VIB720896:VIC720897 VRX720896:VRY720897 WBT720896:WBU720897 WLP720896:WLQ720897 WVL720896:WVM720897 D786432:E786433 IZ786432:JA786433 SV786432:SW786433 ACR786432:ACS786433 AMN786432:AMO786433 AWJ786432:AWK786433 BGF786432:BGG786433 BQB786432:BQC786433 BZX786432:BZY786433 CJT786432:CJU786433 CTP786432:CTQ786433 DDL786432:DDM786433 DNH786432:DNI786433 DXD786432:DXE786433 EGZ786432:EHA786433 EQV786432:EQW786433 FAR786432:FAS786433 FKN786432:FKO786433 FUJ786432:FUK786433 GEF786432:GEG786433 GOB786432:GOC786433 GXX786432:GXY786433 HHT786432:HHU786433 HRP786432:HRQ786433 IBL786432:IBM786433 ILH786432:ILI786433 IVD786432:IVE786433 JEZ786432:JFA786433 JOV786432:JOW786433 JYR786432:JYS786433 KIN786432:KIO786433 KSJ786432:KSK786433 LCF786432:LCG786433 LMB786432:LMC786433 LVX786432:LVY786433 MFT786432:MFU786433 MPP786432:MPQ786433 MZL786432:MZM786433 NJH786432:NJI786433 NTD786432:NTE786433 OCZ786432:ODA786433 OMV786432:OMW786433 OWR786432:OWS786433 PGN786432:PGO786433 PQJ786432:PQK786433 QAF786432:QAG786433 QKB786432:QKC786433 QTX786432:QTY786433 RDT786432:RDU786433 RNP786432:RNQ786433 RXL786432:RXM786433 SHH786432:SHI786433 SRD786432:SRE786433 TAZ786432:TBA786433 TKV786432:TKW786433 TUR786432:TUS786433 UEN786432:UEO786433 UOJ786432:UOK786433 UYF786432:UYG786433 VIB786432:VIC786433 VRX786432:VRY786433 WBT786432:WBU786433 WLP786432:WLQ786433 WVL786432:WVM786433 D851968:E851969 IZ851968:JA851969 SV851968:SW851969 ACR851968:ACS851969 AMN851968:AMO851969 AWJ851968:AWK851969 BGF851968:BGG851969 BQB851968:BQC851969 BZX851968:BZY851969 CJT851968:CJU851969 CTP851968:CTQ851969 DDL851968:DDM851969 DNH851968:DNI851969 DXD851968:DXE851969 EGZ851968:EHA851969 EQV851968:EQW851969 FAR851968:FAS851969 FKN851968:FKO851969 FUJ851968:FUK851969 GEF851968:GEG851969 GOB851968:GOC851969 GXX851968:GXY851969 HHT851968:HHU851969 HRP851968:HRQ851969 IBL851968:IBM851969 ILH851968:ILI851969 IVD851968:IVE851969 JEZ851968:JFA851969 JOV851968:JOW851969 JYR851968:JYS851969 KIN851968:KIO851969 KSJ851968:KSK851969 LCF851968:LCG851969 LMB851968:LMC851969 LVX851968:LVY851969 MFT851968:MFU851969 MPP851968:MPQ851969 MZL851968:MZM851969 NJH851968:NJI851969 NTD851968:NTE851969 OCZ851968:ODA851969 OMV851968:OMW851969 OWR851968:OWS851969 PGN851968:PGO851969 PQJ851968:PQK851969 QAF851968:QAG851969 QKB851968:QKC851969 QTX851968:QTY851969 RDT851968:RDU851969 RNP851968:RNQ851969 RXL851968:RXM851969 SHH851968:SHI851969 SRD851968:SRE851969 TAZ851968:TBA851969 TKV851968:TKW851969 TUR851968:TUS851969 UEN851968:UEO851969 UOJ851968:UOK851969 UYF851968:UYG851969 VIB851968:VIC851969 VRX851968:VRY851969 WBT851968:WBU851969 WLP851968:WLQ851969 WVL851968:WVM851969 D917504:E917505 IZ917504:JA917505 SV917504:SW917505 ACR917504:ACS917505 AMN917504:AMO917505 AWJ917504:AWK917505 BGF917504:BGG917505 BQB917504:BQC917505 BZX917504:BZY917505 CJT917504:CJU917505 CTP917504:CTQ917505 DDL917504:DDM917505 DNH917504:DNI917505 DXD917504:DXE917505 EGZ917504:EHA917505 EQV917504:EQW917505 FAR917504:FAS917505 FKN917504:FKO917505 FUJ917504:FUK917505 GEF917504:GEG917505 GOB917504:GOC917505 GXX917504:GXY917505 HHT917504:HHU917505 HRP917504:HRQ917505 IBL917504:IBM917505 ILH917504:ILI917505 IVD917504:IVE917505 JEZ917504:JFA917505 JOV917504:JOW917505 JYR917504:JYS917505 KIN917504:KIO917505 KSJ917504:KSK917505 LCF917504:LCG917505 LMB917504:LMC917505 LVX917504:LVY917505 MFT917504:MFU917505 MPP917504:MPQ917505 MZL917504:MZM917505 NJH917504:NJI917505 NTD917504:NTE917505 OCZ917504:ODA917505 OMV917504:OMW917505 OWR917504:OWS917505 PGN917504:PGO917505 PQJ917504:PQK917505 QAF917504:QAG917505 QKB917504:QKC917505 QTX917504:QTY917505 RDT917504:RDU917505 RNP917504:RNQ917505 RXL917504:RXM917505 SHH917504:SHI917505 SRD917504:SRE917505 TAZ917504:TBA917505 TKV917504:TKW917505 TUR917504:TUS917505 UEN917504:UEO917505 UOJ917504:UOK917505 UYF917504:UYG917505 VIB917504:VIC917505 VRX917504:VRY917505 WBT917504:WBU917505 WLP917504:WLQ917505 WVL917504:WVM917505 D983040:E983041 IZ983040:JA983041 SV983040:SW983041 ACR983040:ACS983041 AMN983040:AMO983041 AWJ983040:AWK983041 BGF983040:BGG983041 BQB983040:BQC983041 BZX983040:BZY983041 CJT983040:CJU983041 CTP983040:CTQ983041 DDL983040:DDM983041 DNH983040:DNI983041 DXD983040:DXE983041 EGZ983040:EHA983041 EQV983040:EQW983041 FAR983040:FAS983041 FKN983040:FKO983041 FUJ983040:FUK983041 GEF983040:GEG983041 GOB983040:GOC983041 GXX983040:GXY983041 HHT983040:HHU983041 HRP983040:HRQ983041 IBL983040:IBM983041 ILH983040:ILI983041 IVD983040:IVE983041 JEZ983040:JFA983041 JOV983040:JOW983041 JYR983040:JYS983041 KIN983040:KIO983041 KSJ983040:KSK983041 LCF983040:LCG983041 LMB983040:LMC983041 LVX983040:LVY983041 MFT983040:MFU983041 MPP983040:MPQ983041 MZL983040:MZM983041 NJH983040:NJI983041 NTD983040:NTE983041 OCZ983040:ODA983041 OMV983040:OMW983041 OWR983040:OWS983041 PGN983040:PGO983041 PQJ983040:PQK983041 QAF983040:QAG983041 QKB983040:QKC983041 QTX983040:QTY983041 RDT983040:RDU983041 RNP983040:RNQ983041 RXL983040:RXM983041 SHH983040:SHI983041 SRD983040:SRE983041 TAZ983040:TBA983041 TKV983040:TKW983041 TUR983040:TUS983041 UEN983040:UEO983041 UOJ983040:UOK983041 UYF983040:UYG983041 VIB983040:VIC983041 VRX983040:VRY983041 WBT983040:WBU983041 WLP983040:WLQ983041 D7:D8 E8" xr:uid="{B404AE6D-55EA-42B6-A128-4676C9F22D6B}">
      <formula1>"Core1,Core2,Core3,Core4,Core5"</formula1>
    </dataValidation>
  </dataValidations>
  <printOptions horizontalCentered="1" verticalCentered="1"/>
  <pageMargins left="0.5" right="0.5" top="0.5" bottom="0.5" header="0" footer="0"/>
  <pageSetup paperSize="9" scale="90" orientation="portrait" r:id="rId1"/>
  <headerFooter alignWithMargins="0"/>
  <rowBreaks count="2" manualBreakCount="2">
    <brk id="47" max="21" man="1"/>
    <brk id="88" max="21" man="1"/>
  </rowBreaks>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4"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465"/>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D22" s="27"/>
      <c r="E22" s="1065" t="s">
        <v>903</v>
      </c>
      <c r="F22" s="1065"/>
      <c r="G22" s="1065"/>
      <c r="H22" s="1065"/>
      <c r="I22" s="1065"/>
      <c r="J22" s="1065"/>
      <c r="K22" s="1065"/>
      <c r="L22" s="1065"/>
      <c r="M22" s="1065"/>
      <c r="N22" s="1065"/>
      <c r="O22" s="1065"/>
      <c r="P22" s="1065"/>
      <c r="Q22" s="1065"/>
      <c r="R22" s="1065"/>
      <c r="S22" s="27"/>
      <c r="T22" s="27"/>
      <c r="U22" s="27"/>
      <c r="V22" s="177"/>
      <c r="W22" s="27"/>
      <c r="X22" s="27"/>
    </row>
    <row r="23" spans="1:24" ht="18" customHeight="1">
      <c r="A23" s="69"/>
      <c r="B23" s="27"/>
      <c r="C23" s="27"/>
      <c r="D23" s="27"/>
      <c r="E23" s="1065"/>
      <c r="F23" s="1065"/>
      <c r="G23" s="1065"/>
      <c r="H23" s="1065"/>
      <c r="I23" s="1065"/>
      <c r="J23" s="1065"/>
      <c r="K23" s="1065"/>
      <c r="L23" s="1065"/>
      <c r="M23" s="1065"/>
      <c r="N23" s="1065"/>
      <c r="O23" s="1065"/>
      <c r="P23" s="1065"/>
      <c r="Q23" s="1065"/>
      <c r="R23" s="1065"/>
      <c r="S23" s="27"/>
      <c r="T23" s="27"/>
      <c r="U23" s="27"/>
      <c r="V23" s="177"/>
      <c r="W23" s="27"/>
      <c r="X23" s="27"/>
    </row>
    <row r="24" spans="1:24" ht="18" customHeight="1">
      <c r="A24" s="69"/>
      <c r="C24" s="178"/>
      <c r="D24" s="178"/>
      <c r="E24" s="1065"/>
      <c r="F24" s="1065"/>
      <c r="G24" s="1065"/>
      <c r="H24" s="1065"/>
      <c r="I24" s="1065"/>
      <c r="J24" s="1065"/>
      <c r="K24" s="1065"/>
      <c r="L24" s="1065"/>
      <c r="M24" s="1065"/>
      <c r="N24" s="1065"/>
      <c r="O24" s="1065"/>
      <c r="P24" s="1065"/>
      <c r="Q24" s="1065"/>
      <c r="R24" s="1065"/>
      <c r="S24" s="4"/>
      <c r="T24" s="4"/>
      <c r="U24" s="4"/>
      <c r="V24" s="71"/>
      <c r="W24" s="4"/>
      <c r="X24" s="4"/>
    </row>
    <row r="25" spans="1:24" ht="18" customHeight="1">
      <c r="A25" s="69"/>
      <c r="B25" s="26"/>
      <c r="C25" s="4"/>
      <c r="D25" s="73"/>
      <c r="E25" s="1065"/>
      <c r="F25" s="1065"/>
      <c r="G25" s="1065"/>
      <c r="H25" s="1065"/>
      <c r="I25" s="1065"/>
      <c r="J25" s="1065"/>
      <c r="K25" s="1065"/>
      <c r="L25" s="1065"/>
      <c r="M25" s="1065"/>
      <c r="N25" s="1065"/>
      <c r="O25" s="1065"/>
      <c r="P25" s="1065"/>
      <c r="Q25" s="1065"/>
      <c r="R25" s="1065"/>
      <c r="S25" s="4"/>
      <c r="T25" s="4"/>
      <c r="U25" s="4"/>
      <c r="V25" s="71"/>
      <c r="W25" s="4"/>
      <c r="X25" s="4"/>
    </row>
    <row r="26" spans="1:24" ht="18" customHeight="1">
      <c r="A26" s="69"/>
      <c r="O26" s="4"/>
      <c r="P26" s="4"/>
      <c r="Q26" s="4"/>
      <c r="R26" s="4"/>
      <c r="S26" s="4"/>
      <c r="T26" s="4"/>
      <c r="U26" s="4"/>
      <c r="V26" s="71"/>
      <c r="W26" s="4"/>
      <c r="X26" s="4"/>
    </row>
    <row r="27" spans="1:24" ht="18" customHeight="1">
      <c r="A27" s="69"/>
      <c r="B27" s="179"/>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codeName="Sheet53">
    <tabColor rgb="FF99CCFF"/>
  </sheetPr>
  <dimension ref="A1:Y44"/>
  <sheetViews>
    <sheetView view="pageBreakPreview" topLeftCell="A52"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1026</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8"/>
  <sheetViews>
    <sheetView showZeros="0" view="pageBreakPreview" zoomScale="85" zoomScaleNormal="100" zoomScaleSheetLayoutView="85" workbookViewId="0">
      <selection activeCell="X21" sqref="X21"/>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35"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35" ht="21"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35"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35" ht="18" customHeight="1">
      <c r="A5" s="880" t="str">
        <f>Title!A5</f>
        <v>Prep. By</v>
      </c>
      <c r="B5" s="943"/>
      <c r="C5" s="25" t="str">
        <f>Title!C5</f>
        <v>AP</v>
      </c>
      <c r="D5" s="880" t="str">
        <f>Title!D5</f>
        <v>Checked By</v>
      </c>
      <c r="E5" s="881"/>
      <c r="F5" s="943"/>
      <c r="G5" s="25" t="str">
        <f>Title!G5</f>
        <v>RB</v>
      </c>
      <c r="H5" s="1346" t="s">
        <v>1022</v>
      </c>
      <c r="I5" s="1347"/>
      <c r="J5" s="1347"/>
      <c r="K5" s="1347"/>
      <c r="L5" s="1347"/>
      <c r="M5" s="1347"/>
      <c r="N5" s="1348"/>
      <c r="O5" s="947" t="str">
        <f>Title!O5</f>
        <v>Contractor</v>
      </c>
      <c r="P5" s="948"/>
      <c r="Q5" s="949"/>
      <c r="R5" s="931" t="str">
        <f>Title!R5</f>
        <v>HITACHI</v>
      </c>
      <c r="S5" s="932"/>
      <c r="T5" s="932"/>
      <c r="U5" s="932"/>
      <c r="V5" s="933"/>
      <c r="W5" s="14"/>
      <c r="X5" s="14"/>
    </row>
    <row r="6" spans="1:35" ht="18" customHeight="1">
      <c r="A6" s="184"/>
      <c r="V6" s="185"/>
    </row>
    <row r="7" spans="1:35" ht="18" customHeight="1">
      <c r="A7" s="184"/>
      <c r="B7" s="781" t="s">
        <v>108</v>
      </c>
      <c r="C7" s="782"/>
      <c r="D7" s="743" t="s">
        <v>385</v>
      </c>
      <c r="E7" s="1291"/>
      <c r="V7" s="185"/>
    </row>
    <row r="8" spans="1:35" ht="18" customHeight="1">
      <c r="A8" s="184"/>
      <c r="V8" s="185"/>
    </row>
    <row r="9" spans="1:35" ht="18" customHeight="1">
      <c r="A9" s="184"/>
      <c r="B9" s="30" t="s">
        <v>774</v>
      </c>
      <c r="H9" s="188">
        <v>132</v>
      </c>
      <c r="I9" s="189" t="s">
        <v>775</v>
      </c>
      <c r="J9" s="191" t="s">
        <v>342</v>
      </c>
      <c r="K9" s="122">
        <v>0.11</v>
      </c>
      <c r="L9" s="189" t="s">
        <v>775</v>
      </c>
      <c r="M9" s="30" t="s">
        <v>163</v>
      </c>
      <c r="V9" s="185"/>
    </row>
    <row r="10" spans="1:35" ht="18" customHeight="1">
      <c r="A10" s="184"/>
      <c r="B10" s="30" t="s">
        <v>776</v>
      </c>
      <c r="H10" s="781" t="s">
        <v>795</v>
      </c>
      <c r="I10" s="782"/>
      <c r="V10" s="185"/>
    </row>
    <row r="11" spans="1:35" ht="18" customHeight="1">
      <c r="A11" s="184"/>
      <c r="B11" s="30" t="s">
        <v>562</v>
      </c>
      <c r="H11" s="781">
        <v>100</v>
      </c>
      <c r="I11" s="782"/>
      <c r="J11" s="30" t="s">
        <v>157</v>
      </c>
      <c r="V11" s="185"/>
      <c r="W11" s="30" t="str">
        <f>G40</f>
        <v>Suitably Dimensioned</v>
      </c>
    </row>
    <row r="12" spans="1:35" ht="18" customHeight="1">
      <c r="A12" s="184"/>
      <c r="V12" s="185"/>
    </row>
    <row r="13" spans="1:35" ht="18" customHeight="1">
      <c r="A13" s="184"/>
      <c r="V13" s="185"/>
    </row>
    <row r="14" spans="1:35" ht="18" customHeight="1">
      <c r="A14" s="184"/>
      <c r="C14" s="135" t="s">
        <v>405</v>
      </c>
      <c r="D14" s="273"/>
      <c r="E14" s="498" t="s">
        <v>388</v>
      </c>
      <c r="F14" s="384"/>
      <c r="G14" s="384"/>
      <c r="H14" s="384"/>
      <c r="I14" s="138"/>
      <c r="J14" s="260" t="s">
        <v>127</v>
      </c>
      <c r="K14" s="1108">
        <f>'CT-VT Burdens'!S104</f>
        <v>0.02</v>
      </c>
      <c r="L14" s="788"/>
      <c r="M14" s="3" t="s">
        <v>157</v>
      </c>
      <c r="O14" s="14"/>
      <c r="V14" s="185"/>
    </row>
    <row r="15" spans="1:35" ht="18" customHeight="1">
      <c r="A15" s="184"/>
      <c r="C15" s="96" t="s">
        <v>405</v>
      </c>
      <c r="D15" s="14"/>
      <c r="E15" s="30" t="s">
        <v>967</v>
      </c>
      <c r="F15" s="14"/>
      <c r="G15" s="14"/>
      <c r="H15" s="199"/>
      <c r="I15" s="27"/>
      <c r="J15" s="101" t="s">
        <v>127</v>
      </c>
      <c r="K15" s="1108">
        <f>'CT-VT Burdens'!S118</f>
        <v>0.1</v>
      </c>
      <c r="L15" s="788"/>
      <c r="M15" s="202" t="s">
        <v>157</v>
      </c>
      <c r="O15" s="14"/>
      <c r="V15" s="185"/>
      <c r="Y15" s="96" t="s">
        <v>405</v>
      </c>
      <c r="Z15" s="14"/>
      <c r="AA15" s="47" t="s">
        <v>778</v>
      </c>
      <c r="AB15" s="14"/>
      <c r="AD15" s="199"/>
      <c r="AE15" s="27"/>
      <c r="AF15" s="101" t="s">
        <v>127</v>
      </c>
      <c r="AG15" s="1108">
        <f>'CT-VT Burdens'!AO104</f>
        <v>0</v>
      </c>
      <c r="AH15" s="788"/>
      <c r="AI15" s="202" t="s">
        <v>157</v>
      </c>
    </row>
    <row r="16" spans="1:35" ht="18" customHeight="1">
      <c r="A16" s="184"/>
      <c r="C16" s="96" t="s">
        <v>405</v>
      </c>
      <c r="D16" s="14"/>
      <c r="E16" s="1251" t="s">
        <v>595</v>
      </c>
      <c r="F16" s="1286"/>
      <c r="H16" s="199"/>
      <c r="I16" s="27"/>
      <c r="J16" s="101" t="s">
        <v>127</v>
      </c>
      <c r="K16" s="1108">
        <f>'CT-VT Burdens'!S104</f>
        <v>0.02</v>
      </c>
      <c r="L16" s="788"/>
      <c r="M16" s="202" t="s">
        <v>157</v>
      </c>
      <c r="O16" s="14"/>
      <c r="V16" s="185"/>
      <c r="Y16" s="96" t="s">
        <v>405</v>
      </c>
      <c r="Z16" s="14"/>
      <c r="AA16" s="47" t="s">
        <v>194</v>
      </c>
      <c r="AB16" s="14"/>
      <c r="AD16" s="199"/>
      <c r="AE16" s="27"/>
      <c r="AF16" s="101" t="s">
        <v>127</v>
      </c>
      <c r="AG16" s="1108">
        <f>'CT-VT Burdens'!AO149</f>
        <v>0</v>
      </c>
      <c r="AH16" s="788"/>
      <c r="AI16" s="202" t="s">
        <v>157</v>
      </c>
    </row>
    <row r="17" spans="1:35" ht="18" customHeight="1">
      <c r="A17" s="184"/>
      <c r="C17" s="96" t="s">
        <v>405</v>
      </c>
      <c r="D17" s="14"/>
      <c r="E17" s="296" t="s">
        <v>508</v>
      </c>
      <c r="F17" s="14"/>
      <c r="H17" s="199"/>
      <c r="I17" s="28"/>
      <c r="J17" s="101" t="s">
        <v>127</v>
      </c>
      <c r="K17" s="1108">
        <f>'CT-VT Burdens'!S104</f>
        <v>0.02</v>
      </c>
      <c r="L17" s="788"/>
      <c r="M17" s="202" t="s">
        <v>157</v>
      </c>
      <c r="O17" s="14"/>
      <c r="V17" s="185"/>
      <c r="Y17" s="96" t="s">
        <v>405</v>
      </c>
      <c r="Z17" s="14"/>
      <c r="AA17" s="47" t="s">
        <v>779</v>
      </c>
      <c r="AB17" s="14"/>
      <c r="AD17" s="199"/>
      <c r="AE17" s="28" t="s">
        <v>129</v>
      </c>
      <c r="AF17" s="101" t="s">
        <v>127</v>
      </c>
      <c r="AG17" s="1108">
        <v>0.2</v>
      </c>
      <c r="AH17" s="788"/>
      <c r="AI17" s="202" t="s">
        <v>157</v>
      </c>
    </row>
    <row r="18" spans="1:35" ht="18" customHeight="1">
      <c r="A18" s="184"/>
      <c r="C18" s="184" t="s">
        <v>405</v>
      </c>
      <c r="D18" s="14"/>
      <c r="E18" s="296" t="s">
        <v>205</v>
      </c>
      <c r="F18" s="14"/>
      <c r="H18" s="199"/>
      <c r="I18" s="28"/>
      <c r="J18" s="177" t="s">
        <v>127</v>
      </c>
      <c r="K18" s="1108">
        <f>'CT-VT Burdens'!S119</f>
        <v>0.1</v>
      </c>
      <c r="L18" s="788"/>
      <c r="M18" s="202" t="s">
        <v>157</v>
      </c>
      <c r="O18" s="14"/>
      <c r="V18" s="185"/>
      <c r="Y18" s="96"/>
      <c r="Z18" s="14"/>
      <c r="AA18" s="47"/>
      <c r="AB18" s="14"/>
      <c r="AD18" s="199"/>
      <c r="AE18" s="28"/>
      <c r="AF18" s="101"/>
      <c r="AG18" s="200"/>
      <c r="AH18" s="201"/>
      <c r="AI18" s="202"/>
    </row>
    <row r="19" spans="1:35" ht="18" customHeight="1">
      <c r="A19" s="184"/>
      <c r="B19" s="117"/>
      <c r="C19" s="184" t="s">
        <v>405</v>
      </c>
      <c r="D19" s="14"/>
      <c r="E19" s="296" t="s">
        <v>509</v>
      </c>
      <c r="F19" s="14"/>
      <c r="H19" s="199"/>
      <c r="I19" s="28"/>
      <c r="J19" s="101" t="s">
        <v>127</v>
      </c>
      <c r="K19" s="1108">
        <f>'CT-VT Burdens'!S105</f>
        <v>0.15</v>
      </c>
      <c r="L19" s="788"/>
      <c r="M19" s="202" t="s">
        <v>157</v>
      </c>
      <c r="N19" s="14"/>
      <c r="O19" s="14"/>
      <c r="P19" s="28"/>
      <c r="Q19" s="199"/>
      <c r="R19" s="14"/>
      <c r="S19" s="14"/>
      <c r="T19" s="14"/>
      <c r="U19" s="14"/>
      <c r="V19" s="185"/>
      <c r="Y19" s="96" t="s">
        <v>405</v>
      </c>
      <c r="Z19" s="14"/>
      <c r="AA19" s="47" t="s">
        <v>780</v>
      </c>
      <c r="AB19" s="14"/>
      <c r="AD19" s="199"/>
      <c r="AE19" s="28" t="s">
        <v>129</v>
      </c>
      <c r="AF19" s="101" t="s">
        <v>127</v>
      </c>
      <c r="AG19" s="1108">
        <v>1</v>
      </c>
      <c r="AH19" s="788"/>
      <c r="AI19" s="202" t="s">
        <v>157</v>
      </c>
    </row>
    <row r="20" spans="1:35" ht="18" customHeight="1">
      <c r="A20" s="184"/>
      <c r="B20" s="117"/>
      <c r="C20" s="96" t="s">
        <v>405</v>
      </c>
      <c r="D20" s="14"/>
      <c r="E20" s="296"/>
      <c r="F20" s="14"/>
      <c r="H20" s="199"/>
      <c r="I20" s="28"/>
      <c r="J20" s="177" t="s">
        <v>127</v>
      </c>
      <c r="K20" s="1108"/>
      <c r="L20" s="1104"/>
      <c r="M20" s="202"/>
      <c r="N20" s="14"/>
      <c r="O20" s="14"/>
      <c r="P20" s="28"/>
      <c r="Q20" s="199"/>
      <c r="R20" s="14"/>
      <c r="S20" s="14"/>
      <c r="T20" s="14"/>
      <c r="U20" s="14"/>
      <c r="V20" s="185"/>
      <c r="Y20" s="14"/>
      <c r="Z20" s="14"/>
      <c r="AA20" s="47"/>
      <c r="AB20" s="14"/>
      <c r="AD20" s="199"/>
      <c r="AE20" s="28"/>
      <c r="AF20" s="28"/>
      <c r="AG20" s="553"/>
      <c r="AH20" s="554"/>
      <c r="AI20" s="47"/>
    </row>
    <row r="21" spans="1:35" ht="18" customHeight="1">
      <c r="A21" s="184"/>
      <c r="B21" s="117"/>
      <c r="C21" s="184" t="s">
        <v>1040</v>
      </c>
      <c r="D21" s="14"/>
      <c r="E21" s="296"/>
      <c r="F21" s="14"/>
      <c r="H21" s="199"/>
      <c r="I21" s="28"/>
      <c r="J21" s="177"/>
      <c r="K21" s="200"/>
      <c r="L21" s="639"/>
      <c r="M21" s="202"/>
      <c r="N21" s="14"/>
      <c r="O21" s="14"/>
      <c r="P21" s="28"/>
      <c r="Q21" s="199"/>
      <c r="R21" s="14"/>
      <c r="S21" s="14"/>
      <c r="T21" s="14"/>
      <c r="U21" s="14"/>
      <c r="V21" s="185"/>
      <c r="Y21" s="14"/>
      <c r="Z21" s="14"/>
      <c r="AA21" s="47"/>
      <c r="AB21" s="14"/>
      <c r="AD21" s="199"/>
      <c r="AE21" s="28"/>
      <c r="AF21" s="28"/>
      <c r="AG21" s="553"/>
      <c r="AH21" s="554"/>
      <c r="AI21" s="47"/>
    </row>
    <row r="22" spans="1:35" ht="18" customHeight="1">
      <c r="A22" s="184"/>
      <c r="C22" s="96" t="s">
        <v>781</v>
      </c>
      <c r="D22" s="14"/>
      <c r="E22" s="47"/>
      <c r="F22" s="14"/>
      <c r="H22" s="199"/>
      <c r="I22" s="27"/>
      <c r="J22" s="101" t="s">
        <v>127</v>
      </c>
      <c r="K22" s="696">
        <f>'CT-VT Burdens'!S90</f>
        <v>3.4519201599999998</v>
      </c>
      <c r="L22" s="820"/>
      <c r="M22" s="202" t="s">
        <v>157</v>
      </c>
      <c r="R22" s="14"/>
      <c r="S22" s="14"/>
      <c r="T22" s="14"/>
      <c r="U22" s="281"/>
      <c r="V22" s="185"/>
    </row>
    <row r="23" spans="1:35" ht="18" customHeight="1">
      <c r="A23" s="184"/>
      <c r="C23" s="184" t="s">
        <v>412</v>
      </c>
      <c r="D23" s="14"/>
      <c r="E23" s="14"/>
      <c r="F23" s="14"/>
      <c r="I23" s="27"/>
      <c r="J23" s="101" t="s">
        <v>127</v>
      </c>
      <c r="K23" s="696">
        <f>'CT-VT Burdens'!S69</f>
        <v>2.5889401199999997</v>
      </c>
      <c r="L23" s="813"/>
      <c r="M23" s="297" t="s">
        <v>157</v>
      </c>
      <c r="R23" s="14"/>
      <c r="S23" s="14"/>
      <c r="T23" s="14"/>
      <c r="U23" s="281"/>
      <c r="V23" s="185"/>
    </row>
    <row r="24" spans="1:35" ht="18" customHeight="1">
      <c r="A24" s="184"/>
      <c r="C24" s="1" t="s">
        <v>413</v>
      </c>
      <c r="D24" s="2"/>
      <c r="E24" s="2"/>
      <c r="F24" s="2"/>
      <c r="G24" s="196"/>
      <c r="H24" s="196"/>
      <c r="I24" s="224" t="s">
        <v>512</v>
      </c>
      <c r="J24" s="183" t="s">
        <v>127</v>
      </c>
      <c r="K24" s="1349">
        <f>K22+K23</f>
        <v>6.0408602799999995</v>
      </c>
      <c r="L24" s="1350"/>
      <c r="M24" s="3" t="s">
        <v>157</v>
      </c>
      <c r="R24" s="14"/>
      <c r="S24" s="14"/>
      <c r="T24" s="14"/>
      <c r="U24" s="281"/>
      <c r="V24" s="185"/>
    </row>
    <row r="25" spans="1:35" ht="18" customHeight="1">
      <c r="A25" s="184"/>
      <c r="R25" s="14"/>
      <c r="S25" s="14"/>
      <c r="T25" s="14"/>
      <c r="U25" s="14"/>
      <c r="V25" s="185"/>
    </row>
    <row r="26" spans="1:35" ht="18" customHeight="1">
      <c r="A26" s="184"/>
      <c r="R26" s="14"/>
      <c r="S26" s="14"/>
      <c r="T26" s="14"/>
      <c r="U26" s="186"/>
      <c r="V26" s="185"/>
    </row>
    <row r="27" spans="1:35" ht="18" customHeight="1">
      <c r="A27" s="184"/>
      <c r="B27" s="117" t="s">
        <v>782</v>
      </c>
      <c r="V27" s="185"/>
    </row>
    <row r="28" spans="1:35" ht="18" customHeight="1">
      <c r="A28" s="184"/>
      <c r="V28" s="185"/>
    </row>
    <row r="29" spans="1:35" ht="18" customHeight="1">
      <c r="A29" s="184"/>
      <c r="B29" s="14" t="s">
        <v>783</v>
      </c>
      <c r="C29" s="14"/>
      <c r="D29" s="120"/>
      <c r="J29" s="28" t="s">
        <v>127</v>
      </c>
      <c r="K29" s="47" t="s">
        <v>781</v>
      </c>
      <c r="M29" s="47"/>
      <c r="N29" s="47"/>
      <c r="P29" s="102" t="s">
        <v>342</v>
      </c>
      <c r="Q29" s="30" t="s">
        <v>784</v>
      </c>
      <c r="R29" s="14"/>
      <c r="V29" s="185"/>
    </row>
    <row r="30" spans="1:35" ht="18" customHeight="1">
      <c r="A30" s="184"/>
      <c r="B30" s="14"/>
      <c r="C30" s="14"/>
      <c r="D30" s="120"/>
      <c r="J30" s="28" t="s">
        <v>127</v>
      </c>
      <c r="K30" s="692">
        <f>K22</f>
        <v>3.4519201599999998</v>
      </c>
      <c r="L30" s="689"/>
      <c r="M30" s="102" t="s">
        <v>342</v>
      </c>
      <c r="N30" s="692">
        <f>K9/SQRT(3)*1000</f>
        <v>63.508529610858844</v>
      </c>
      <c r="O30" s="689"/>
      <c r="V30" s="185"/>
    </row>
    <row r="31" spans="1:35" ht="18" customHeight="1">
      <c r="A31" s="184"/>
      <c r="B31" s="14"/>
      <c r="C31" s="14"/>
      <c r="D31" s="120"/>
      <c r="J31" s="28" t="s">
        <v>127</v>
      </c>
      <c r="K31" s="688">
        <f>K30/N30</f>
        <v>5.4353646370829879E-2</v>
      </c>
      <c r="L31" s="688"/>
      <c r="M31" s="47" t="s">
        <v>8</v>
      </c>
      <c r="N31" s="47"/>
      <c r="O31" s="14"/>
      <c r="P31" s="28"/>
      <c r="Q31" s="14"/>
      <c r="R31" s="14"/>
      <c r="V31" s="185"/>
    </row>
    <row r="32" spans="1:35" ht="18" customHeight="1">
      <c r="A32" s="184"/>
      <c r="V32" s="185"/>
    </row>
    <row r="33" spans="1:22" ht="18" customHeight="1">
      <c r="A33" s="184"/>
      <c r="B33" s="14" t="s">
        <v>785</v>
      </c>
      <c r="C33" s="14"/>
      <c r="D33" s="14"/>
      <c r="E33" s="14"/>
      <c r="F33" s="14"/>
      <c r="G33" s="14"/>
      <c r="H33" s="14"/>
      <c r="I33" s="47"/>
      <c r="J33" s="28" t="s">
        <v>127</v>
      </c>
      <c r="K33" s="689" t="s">
        <v>786</v>
      </c>
      <c r="L33" s="689"/>
      <c r="M33" s="28" t="s">
        <v>315</v>
      </c>
      <c r="N33" s="47" t="s">
        <v>787</v>
      </c>
      <c r="O33" s="14"/>
      <c r="P33" s="28"/>
      <c r="Q33" s="466"/>
      <c r="V33" s="185"/>
    </row>
    <row r="34" spans="1:22" ht="18" customHeight="1">
      <c r="A34" s="184"/>
      <c r="J34" s="28" t="s">
        <v>127</v>
      </c>
      <c r="K34" s="684">
        <f>K31*K31</f>
        <v>2.9543188738052283E-3</v>
      </c>
      <c r="L34" s="684"/>
      <c r="M34" s="28" t="s">
        <v>315</v>
      </c>
      <c r="N34" s="795">
        <f>'CT-VT Burdens'!S69</f>
        <v>2.5889401199999997</v>
      </c>
      <c r="O34" s="795"/>
      <c r="V34" s="185"/>
    </row>
    <row r="35" spans="1:22" ht="18" customHeight="1">
      <c r="A35" s="184"/>
      <c r="J35" s="28" t="s">
        <v>127</v>
      </c>
      <c r="K35" s="1145">
        <f>K34*N34</f>
        <v>7.6485546596675716E-3</v>
      </c>
      <c r="L35" s="1145"/>
      <c r="M35" s="30" t="s">
        <v>157</v>
      </c>
      <c r="V35" s="185"/>
    </row>
    <row r="36" spans="1:22" ht="18" customHeight="1">
      <c r="A36" s="184"/>
      <c r="V36" s="185"/>
    </row>
    <row r="37" spans="1:22" ht="18" customHeight="1">
      <c r="A37" s="184"/>
      <c r="B37" s="14" t="s">
        <v>788</v>
      </c>
      <c r="C37" s="14"/>
      <c r="D37" s="14"/>
      <c r="E37" s="28"/>
      <c r="F37" s="14"/>
      <c r="G37" s="14"/>
      <c r="H37" s="102"/>
      <c r="I37" s="47"/>
      <c r="J37" s="47"/>
      <c r="K37" s="14"/>
      <c r="V37" s="185"/>
    </row>
    <row r="38" spans="1:22" ht="18" customHeight="1">
      <c r="A38" s="184"/>
      <c r="B38" s="14"/>
      <c r="C38" s="14"/>
      <c r="D38" s="257"/>
      <c r="E38" s="120" t="s">
        <v>789</v>
      </c>
      <c r="F38" s="27" t="str">
        <f>IF(D39&gt;=G39,"&gt;","&lt;")</f>
        <v>&gt;</v>
      </c>
      <c r="G38" s="281" t="s">
        <v>119</v>
      </c>
      <c r="H38" s="218"/>
      <c r="J38" s="28"/>
      <c r="K38" s="218"/>
      <c r="V38" s="185"/>
    </row>
    <row r="39" spans="1:22" ht="18" customHeight="1">
      <c r="A39" s="184"/>
      <c r="D39" s="684">
        <f>H11</f>
        <v>100</v>
      </c>
      <c r="E39" s="684"/>
      <c r="F39" s="27" t="str">
        <f>F38</f>
        <v>&gt;</v>
      </c>
      <c r="G39" s="1145">
        <f>K24</f>
        <v>6.0408602799999995</v>
      </c>
      <c r="H39" s="684"/>
      <c r="I39" s="14"/>
      <c r="J39" s="257"/>
      <c r="V39" s="185"/>
    </row>
    <row r="40" spans="1:22" ht="18" customHeight="1">
      <c r="A40" s="184"/>
      <c r="D40" s="199"/>
      <c r="E40" s="244" t="s">
        <v>790</v>
      </c>
      <c r="F40" s="27"/>
      <c r="G40" s="18" t="str">
        <f>IF(F38="&gt;","Suitably Dimensioned","Under Dimensioned")</f>
        <v>Suitably Dimensioned</v>
      </c>
      <c r="H40" s="27"/>
      <c r="I40" s="120"/>
      <c r="J40" s="27"/>
      <c r="K40" s="120"/>
      <c r="V40" s="185"/>
    </row>
    <row r="41" spans="1:22" ht="18" customHeight="1">
      <c r="A41" s="184"/>
      <c r="V41" s="185"/>
    </row>
    <row r="42" spans="1:22" ht="18" customHeight="1">
      <c r="A42" s="184"/>
      <c r="V42" s="185"/>
    </row>
    <row r="43" spans="1:22" ht="18" customHeight="1">
      <c r="A43" s="184"/>
      <c r="V43" s="185"/>
    </row>
    <row r="44" spans="1:22" ht="18" hidden="1" customHeight="1">
      <c r="A44" s="184"/>
      <c r="V44" s="185"/>
    </row>
    <row r="45" spans="1:22" ht="18" customHeight="1">
      <c r="A45" s="184"/>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1351"/>
      <c r="T46" s="1352"/>
      <c r="U46" s="195"/>
      <c r="V46" s="134"/>
    </row>
    <row r="47" spans="1:22"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2" ht="18" customHeight="1">
      <c r="A48" s="184"/>
      <c r="B48" s="781" t="str">
        <f>B7</f>
        <v>T1</v>
      </c>
      <c r="C48" s="782"/>
      <c r="D48" s="743" t="s">
        <v>506</v>
      </c>
      <c r="E48" s="1291"/>
      <c r="V48" s="185"/>
    </row>
    <row r="49" spans="1:23" ht="18" customHeight="1">
      <c r="A49" s="184"/>
      <c r="V49" s="185"/>
    </row>
    <row r="50" spans="1:23" ht="18" customHeight="1">
      <c r="A50" s="184"/>
      <c r="B50" s="30" t="s">
        <v>774</v>
      </c>
      <c r="H50" s="188">
        <v>132</v>
      </c>
      <c r="I50" s="189" t="s">
        <v>775</v>
      </c>
      <c r="J50" s="191" t="s">
        <v>342</v>
      </c>
      <c r="K50" s="122">
        <v>0.11</v>
      </c>
      <c r="L50" s="189" t="s">
        <v>775</v>
      </c>
      <c r="M50" s="30" t="s">
        <v>163</v>
      </c>
      <c r="V50" s="185"/>
    </row>
    <row r="51" spans="1:23" ht="18" customHeight="1">
      <c r="A51" s="184"/>
      <c r="B51" s="30" t="s">
        <v>776</v>
      </c>
      <c r="H51" s="781" t="s">
        <v>795</v>
      </c>
      <c r="I51" s="782"/>
      <c r="V51" s="185"/>
    </row>
    <row r="52" spans="1:23" ht="18" customHeight="1">
      <c r="A52" s="184"/>
      <c r="B52" s="30" t="s">
        <v>562</v>
      </c>
      <c r="H52" s="781">
        <f>H11</f>
        <v>100</v>
      </c>
      <c r="I52" s="782"/>
      <c r="J52" s="30" t="s">
        <v>157</v>
      </c>
      <c r="V52" s="185"/>
      <c r="W52" s="30" t="str">
        <f>G82</f>
        <v>Suitably Dimensioned</v>
      </c>
    </row>
    <row r="53" spans="1:23" ht="18" customHeight="1">
      <c r="A53" s="184"/>
      <c r="V53" s="185"/>
    </row>
    <row r="54" spans="1:23" ht="18" customHeight="1">
      <c r="A54" s="184"/>
      <c r="V54" s="185"/>
    </row>
    <row r="55" spans="1:23" ht="18" customHeight="1">
      <c r="A55" s="184"/>
      <c r="C55" s="135" t="s">
        <v>405</v>
      </c>
      <c r="D55" s="273"/>
      <c r="E55" s="498" t="s">
        <v>967</v>
      </c>
      <c r="F55" s="384"/>
      <c r="G55" s="384"/>
      <c r="H55" s="384"/>
      <c r="I55" s="138"/>
      <c r="J55" s="260" t="s">
        <v>127</v>
      </c>
      <c r="K55" s="1108">
        <f>'CT-VT Burdens'!S118</f>
        <v>0.1</v>
      </c>
      <c r="L55" s="788"/>
      <c r="M55" s="3" t="s">
        <v>157</v>
      </c>
      <c r="V55" s="185"/>
    </row>
    <row r="56" spans="1:23" ht="18" hidden="1" customHeight="1">
      <c r="A56" s="184"/>
      <c r="C56" s="96" t="s">
        <v>405</v>
      </c>
      <c r="D56" s="14"/>
      <c r="E56" s="296"/>
      <c r="F56" s="14"/>
      <c r="H56" s="199"/>
      <c r="I56" s="27"/>
      <c r="J56" s="101" t="s">
        <v>127</v>
      </c>
      <c r="K56" s="1108"/>
      <c r="L56" s="788"/>
      <c r="M56" s="202" t="s">
        <v>157</v>
      </c>
      <c r="V56" s="185"/>
    </row>
    <row r="57" spans="1:23" ht="18" customHeight="1">
      <c r="A57" s="184"/>
      <c r="C57" s="96" t="s">
        <v>405</v>
      </c>
      <c r="D57" s="14"/>
      <c r="E57" s="296" t="s">
        <v>956</v>
      </c>
      <c r="F57" s="14"/>
      <c r="H57" s="199"/>
      <c r="I57" s="27"/>
      <c r="J57" s="101" t="s">
        <v>127</v>
      </c>
      <c r="K57" s="1108">
        <f>'CT-VT Burdens'!Q152</f>
        <v>1</v>
      </c>
      <c r="L57" s="788"/>
      <c r="M57" s="202" t="s">
        <v>157</v>
      </c>
      <c r="V57" s="185"/>
    </row>
    <row r="58" spans="1:23" ht="18" customHeight="1">
      <c r="A58" s="184"/>
      <c r="C58" s="96" t="s">
        <v>405</v>
      </c>
      <c r="D58" s="14"/>
      <c r="E58" s="296" t="s">
        <v>179</v>
      </c>
      <c r="F58" s="14"/>
      <c r="H58" s="199"/>
      <c r="I58" s="28"/>
      <c r="J58" s="101" t="s">
        <v>127</v>
      </c>
      <c r="K58" s="1108">
        <f>'CT-VT Burdens'!S105</f>
        <v>0.15</v>
      </c>
      <c r="L58" s="788"/>
      <c r="M58" s="202" t="s">
        <v>157</v>
      </c>
      <c r="V58" s="185"/>
    </row>
    <row r="59" spans="1:23" ht="18" customHeight="1">
      <c r="A59" s="184"/>
      <c r="C59" s="96" t="s">
        <v>405</v>
      </c>
      <c r="D59" s="14"/>
      <c r="E59" s="296" t="s">
        <v>205</v>
      </c>
      <c r="F59" s="14"/>
      <c r="H59" s="199"/>
      <c r="I59" s="28"/>
      <c r="J59" s="177" t="s">
        <v>127</v>
      </c>
      <c r="K59" s="1108">
        <f>'CT-VT Burdens'!S119</f>
        <v>0.1</v>
      </c>
      <c r="L59" s="788"/>
      <c r="M59" s="202" t="s">
        <v>157</v>
      </c>
      <c r="V59" s="185"/>
    </row>
    <row r="60" spans="1:23" ht="18" customHeight="1">
      <c r="A60" s="184"/>
      <c r="C60" s="96" t="s">
        <v>405</v>
      </c>
      <c r="D60" s="14"/>
      <c r="E60" s="296"/>
      <c r="F60" s="14"/>
      <c r="H60" s="199"/>
      <c r="I60" s="28"/>
      <c r="J60" s="177" t="s">
        <v>127</v>
      </c>
      <c r="K60" s="1108"/>
      <c r="L60" s="1104"/>
      <c r="M60" s="202" t="s">
        <v>157</v>
      </c>
      <c r="V60" s="185"/>
    </row>
    <row r="61" spans="1:23" ht="18" customHeight="1">
      <c r="A61" s="184"/>
      <c r="C61" s="96" t="s">
        <v>405</v>
      </c>
      <c r="D61" s="14"/>
      <c r="E61" s="296"/>
      <c r="F61" s="14"/>
      <c r="H61" s="199"/>
      <c r="I61" s="28"/>
      <c r="J61" s="177" t="s">
        <v>127</v>
      </c>
      <c r="K61" s="1108"/>
      <c r="L61" s="1104"/>
      <c r="M61" s="202" t="s">
        <v>157</v>
      </c>
      <c r="V61" s="185"/>
    </row>
    <row r="62" spans="1:23" ht="18" hidden="1" customHeight="1">
      <c r="A62" s="184"/>
      <c r="C62" s="96" t="s">
        <v>405</v>
      </c>
      <c r="D62" s="14"/>
      <c r="E62" s="296" t="s">
        <v>248</v>
      </c>
      <c r="F62" s="14"/>
      <c r="H62" s="199"/>
      <c r="I62" s="28"/>
      <c r="J62" s="101"/>
      <c r="K62" s="1108"/>
      <c r="L62" s="1104"/>
      <c r="M62" s="202" t="s">
        <v>157</v>
      </c>
      <c r="V62" s="185"/>
    </row>
    <row r="63" spans="1:23" ht="18" customHeight="1">
      <c r="A63" s="184"/>
      <c r="B63" s="117"/>
      <c r="C63" s="96" t="s">
        <v>405</v>
      </c>
      <c r="D63" s="14"/>
      <c r="E63" s="47"/>
      <c r="F63" s="14"/>
      <c r="H63" s="199"/>
      <c r="I63" s="28"/>
      <c r="J63" s="101" t="s">
        <v>127</v>
      </c>
      <c r="K63" s="1108"/>
      <c r="L63" s="788"/>
      <c r="M63" s="202" t="s">
        <v>157</v>
      </c>
      <c r="N63" s="14"/>
      <c r="P63" s="28"/>
      <c r="Q63" s="199"/>
      <c r="R63" s="14"/>
      <c r="S63" s="14"/>
      <c r="T63" s="14"/>
      <c r="U63" s="14"/>
      <c r="V63" s="185"/>
    </row>
    <row r="64" spans="1:23" ht="18" customHeight="1">
      <c r="A64" s="184"/>
      <c r="C64" s="96" t="s">
        <v>781</v>
      </c>
      <c r="D64" s="14"/>
      <c r="E64" s="47"/>
      <c r="F64" s="14"/>
      <c r="H64" s="199"/>
      <c r="I64" s="27"/>
      <c r="J64" s="101" t="s">
        <v>127</v>
      </c>
      <c r="K64" s="696">
        <f>'CT-VT Burdens'!S90</f>
        <v>3.4519201599999998</v>
      </c>
      <c r="L64" s="820"/>
      <c r="M64" s="202" t="s">
        <v>157</v>
      </c>
      <c r="R64" s="14"/>
      <c r="S64" s="14"/>
      <c r="T64" s="14"/>
      <c r="U64" s="281"/>
      <c r="V64" s="185"/>
    </row>
    <row r="65" spans="1:22" ht="18" customHeight="1">
      <c r="A65" s="184"/>
      <c r="C65" s="184" t="s">
        <v>412</v>
      </c>
      <c r="D65" s="14"/>
      <c r="E65" s="14"/>
      <c r="F65" s="14"/>
      <c r="I65" s="27"/>
      <c r="J65" s="101" t="s">
        <v>127</v>
      </c>
      <c r="K65" s="1349">
        <f>'CT-VT Burdens'!S69</f>
        <v>2.5889401199999997</v>
      </c>
      <c r="L65" s="1350"/>
      <c r="M65" s="297" t="s">
        <v>157</v>
      </c>
      <c r="R65" s="14"/>
      <c r="S65" s="14"/>
      <c r="T65" s="14"/>
      <c r="U65" s="281"/>
      <c r="V65" s="185"/>
    </row>
    <row r="66" spans="1:22" ht="18" customHeight="1">
      <c r="A66" s="184"/>
      <c r="C66" s="1" t="s">
        <v>413</v>
      </c>
      <c r="D66" s="2"/>
      <c r="E66" s="2"/>
      <c r="F66" s="2"/>
      <c r="G66" s="196"/>
      <c r="H66" s="196"/>
      <c r="I66" s="224" t="s">
        <v>512</v>
      </c>
      <c r="J66" s="183" t="s">
        <v>127</v>
      </c>
      <c r="K66" s="1349">
        <f>K64+K65</f>
        <v>6.0408602799999995</v>
      </c>
      <c r="L66" s="1350"/>
      <c r="M66" s="3" t="s">
        <v>157</v>
      </c>
      <c r="R66" s="14"/>
      <c r="S66" s="14"/>
      <c r="T66" s="14"/>
      <c r="U66" s="281"/>
      <c r="V66" s="185"/>
    </row>
    <row r="67" spans="1:22" ht="18" customHeight="1">
      <c r="A67" s="96"/>
      <c r="B67" s="14"/>
      <c r="C67" s="120"/>
      <c r="D67" s="47"/>
      <c r="E67" s="47"/>
      <c r="F67" s="47"/>
      <c r="G67" s="47"/>
      <c r="H67" s="47"/>
      <c r="I67" s="47"/>
      <c r="J67" s="14"/>
      <c r="K67" s="28"/>
      <c r="L67" s="14"/>
      <c r="M67" s="14"/>
      <c r="N67" s="218"/>
      <c r="O67" s="14"/>
      <c r="P67" s="14"/>
      <c r="R67" s="14"/>
      <c r="S67" s="14"/>
      <c r="T67" s="14"/>
      <c r="U67" s="14"/>
      <c r="V67" s="185"/>
    </row>
    <row r="68" spans="1:22" ht="18" customHeight="1">
      <c r="A68" s="184"/>
      <c r="R68" s="14"/>
      <c r="S68" s="14"/>
      <c r="T68" s="14"/>
      <c r="U68" s="186"/>
      <c r="V68" s="185"/>
    </row>
    <row r="69" spans="1:22" ht="18" customHeight="1">
      <c r="A69" s="184"/>
      <c r="B69" s="117" t="s">
        <v>782</v>
      </c>
      <c r="V69" s="185"/>
    </row>
    <row r="70" spans="1:22" ht="18" customHeight="1">
      <c r="A70" s="184"/>
      <c r="V70" s="185"/>
    </row>
    <row r="71" spans="1:22" ht="18" customHeight="1">
      <c r="A71" s="184"/>
      <c r="B71" s="14" t="s">
        <v>783</v>
      </c>
      <c r="C71" s="14"/>
      <c r="D71" s="120"/>
      <c r="J71" s="28" t="s">
        <v>127</v>
      </c>
      <c r="K71" s="47" t="s">
        <v>781</v>
      </c>
      <c r="M71" s="47"/>
      <c r="N71" s="47"/>
      <c r="P71" s="102" t="s">
        <v>342</v>
      </c>
      <c r="Q71" s="30" t="s">
        <v>784</v>
      </c>
      <c r="R71" s="14"/>
      <c r="V71" s="185"/>
    </row>
    <row r="72" spans="1:22" ht="18" customHeight="1">
      <c r="A72" s="184"/>
      <c r="B72" s="14"/>
      <c r="C72" s="14"/>
      <c r="D72" s="120"/>
      <c r="J72" s="28" t="s">
        <v>127</v>
      </c>
      <c r="K72" s="692">
        <f>K64</f>
        <v>3.4519201599999998</v>
      </c>
      <c r="L72" s="689"/>
      <c r="M72" s="102" t="s">
        <v>342</v>
      </c>
      <c r="N72" s="692">
        <f>K50/SQRT(3)*1000</f>
        <v>63.508529610858844</v>
      </c>
      <c r="O72" s="689"/>
      <c r="V72" s="185"/>
    </row>
    <row r="73" spans="1:22" ht="18" customHeight="1">
      <c r="A73" s="184"/>
      <c r="B73" s="14"/>
      <c r="C73" s="14"/>
      <c r="D73" s="120"/>
      <c r="J73" s="28" t="s">
        <v>127</v>
      </c>
      <c r="K73" s="688">
        <f>K72/N72</f>
        <v>5.4353646370829879E-2</v>
      </c>
      <c r="L73" s="688"/>
      <c r="M73" s="47" t="s">
        <v>8</v>
      </c>
      <c r="N73" s="47"/>
      <c r="O73" s="14"/>
      <c r="P73" s="28"/>
      <c r="Q73" s="14"/>
      <c r="R73" s="14"/>
      <c r="V73" s="185"/>
    </row>
    <row r="74" spans="1:22" ht="18" customHeight="1">
      <c r="A74" s="184"/>
      <c r="V74" s="185"/>
    </row>
    <row r="75" spans="1:22" ht="18" customHeight="1">
      <c r="A75" s="184"/>
      <c r="B75" s="14" t="s">
        <v>785</v>
      </c>
      <c r="C75" s="14"/>
      <c r="D75" s="14"/>
      <c r="E75" s="14"/>
      <c r="F75" s="14"/>
      <c r="G75" s="14"/>
      <c r="H75" s="14"/>
      <c r="I75" s="47"/>
      <c r="J75" s="28" t="s">
        <v>127</v>
      </c>
      <c r="K75" s="689" t="s">
        <v>786</v>
      </c>
      <c r="L75" s="689"/>
      <c r="M75" s="28" t="s">
        <v>315</v>
      </c>
      <c r="N75" s="47" t="s">
        <v>787</v>
      </c>
      <c r="O75" s="14"/>
      <c r="P75" s="28"/>
      <c r="Q75" s="466"/>
      <c r="V75" s="185"/>
    </row>
    <row r="76" spans="1:22" ht="18" customHeight="1">
      <c r="A76" s="184"/>
      <c r="J76" s="28" t="s">
        <v>127</v>
      </c>
      <c r="K76" s="684">
        <f>K73*K73</f>
        <v>2.9543188738052283E-3</v>
      </c>
      <c r="L76" s="684"/>
      <c r="M76" s="28" t="s">
        <v>315</v>
      </c>
      <c r="N76" s="795">
        <f>N34</f>
        <v>2.5889401199999997</v>
      </c>
      <c r="O76" s="795"/>
      <c r="V76" s="185"/>
    </row>
    <row r="77" spans="1:22" ht="18" customHeight="1">
      <c r="A77" s="184"/>
      <c r="J77" s="28" t="s">
        <v>127</v>
      </c>
      <c r="K77" s="1145">
        <f>K76*N76</f>
        <v>7.6485546596675716E-3</v>
      </c>
      <c r="L77" s="1145"/>
      <c r="M77" s="30" t="s">
        <v>157</v>
      </c>
      <c r="V77" s="185"/>
    </row>
    <row r="78" spans="1:22" ht="18" customHeight="1">
      <c r="A78" s="184"/>
      <c r="V78" s="185"/>
    </row>
    <row r="79" spans="1:22" ht="18" customHeight="1">
      <c r="A79" s="184"/>
      <c r="B79" s="14" t="s">
        <v>788</v>
      </c>
      <c r="C79" s="14"/>
      <c r="D79" s="14"/>
      <c r="E79" s="28"/>
      <c r="F79" s="14"/>
      <c r="G79" s="14"/>
      <c r="H79" s="102"/>
      <c r="I79" s="47"/>
      <c r="J79" s="47"/>
      <c r="K79" s="14"/>
      <c r="V79" s="185"/>
    </row>
    <row r="80" spans="1:22" ht="18" customHeight="1">
      <c r="A80" s="184"/>
      <c r="B80" s="14"/>
      <c r="C80" s="14"/>
      <c r="D80" s="257"/>
      <c r="E80" s="120" t="s">
        <v>789</v>
      </c>
      <c r="F80" s="27" t="str">
        <f>IF(D81&gt;=G81,"&gt;","&lt;")</f>
        <v>&gt;</v>
      </c>
      <c r="G80" s="476" t="s">
        <v>119</v>
      </c>
      <c r="H80" s="218"/>
      <c r="J80" s="28"/>
      <c r="K80" s="218"/>
      <c r="V80" s="185"/>
    </row>
    <row r="81" spans="1:23" ht="18" customHeight="1">
      <c r="A81" s="184"/>
      <c r="D81" s="684">
        <f>H52</f>
        <v>100</v>
      </c>
      <c r="E81" s="684"/>
      <c r="F81" s="27" t="str">
        <f>F80</f>
        <v>&gt;</v>
      </c>
      <c r="G81" s="795">
        <f>K66</f>
        <v>6.0408602799999995</v>
      </c>
      <c r="H81" s="795"/>
      <c r="I81" s="14"/>
      <c r="J81" s="257"/>
      <c r="V81" s="185"/>
    </row>
    <row r="82" spans="1:23" ht="18" customHeight="1">
      <c r="A82" s="184"/>
      <c r="D82" s="199"/>
      <c r="E82" s="244" t="s">
        <v>790</v>
      </c>
      <c r="F82" s="27"/>
      <c r="G82" s="18" t="str">
        <f>IF(F80="&gt;","Suitably Dimensioned","Under Dimensioned")</f>
        <v>Suitably Dimensioned</v>
      </c>
      <c r="H82" s="27"/>
      <c r="I82" s="120"/>
      <c r="J82" s="27"/>
      <c r="K82" s="120"/>
      <c r="V82" s="185"/>
    </row>
    <row r="83" spans="1:23" ht="18" customHeight="1">
      <c r="A83" s="184"/>
      <c r="V83" s="185"/>
    </row>
    <row r="84" spans="1:23" ht="18" customHeight="1">
      <c r="A84" s="184"/>
      <c r="V84" s="185"/>
    </row>
    <row r="85" spans="1:23" ht="18" customHeight="1">
      <c r="A85" s="184"/>
      <c r="V85" s="185"/>
    </row>
    <row r="86" spans="1:23" ht="18" customHeight="1">
      <c r="A86" s="184"/>
      <c r="V86" s="185"/>
    </row>
    <row r="87" spans="1:23" ht="18" customHeight="1">
      <c r="A87" s="184"/>
      <c r="V87" s="185"/>
    </row>
    <row r="88" spans="1:23" s="14" customFormat="1" ht="18" customHeight="1">
      <c r="A88" s="194"/>
      <c r="B88" s="195"/>
      <c r="C88" s="195"/>
      <c r="D88" s="195"/>
      <c r="E88" s="195"/>
      <c r="F88" s="195"/>
      <c r="G88" s="195"/>
      <c r="H88" s="195"/>
      <c r="I88" s="195"/>
      <c r="J88" s="195"/>
      <c r="K88" s="195"/>
      <c r="L88" s="195"/>
      <c r="M88" s="195"/>
      <c r="N88" s="195"/>
      <c r="O88" s="195"/>
      <c r="P88" s="195"/>
      <c r="Q88" s="224"/>
      <c r="R88" s="182"/>
      <c r="S88" s="1351"/>
      <c r="T88" s="1352"/>
      <c r="U88" s="195"/>
      <c r="V88" s="134"/>
    </row>
    <row r="89" spans="1:23" ht="18" hidden="1"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hidden="1" customHeight="1">
      <c r="A90" s="184"/>
      <c r="B90" s="781" t="s">
        <v>108</v>
      </c>
      <c r="C90" s="782"/>
      <c r="D90" s="743" t="s">
        <v>109</v>
      </c>
      <c r="E90" s="1291"/>
      <c r="V90" s="185"/>
    </row>
    <row r="91" spans="1:23" ht="18" hidden="1" customHeight="1">
      <c r="A91" s="184"/>
      <c r="V91" s="185"/>
    </row>
    <row r="92" spans="1:23" ht="18" hidden="1" customHeight="1">
      <c r="A92" s="184"/>
      <c r="B92" s="30" t="s">
        <v>774</v>
      </c>
      <c r="H92" s="188">
        <v>400</v>
      </c>
      <c r="I92" s="189" t="s">
        <v>775</v>
      </c>
      <c r="J92" s="191" t="s">
        <v>342</v>
      </c>
      <c r="K92" s="122">
        <v>0.11</v>
      </c>
      <c r="L92" s="189" t="s">
        <v>775</v>
      </c>
      <c r="M92" s="30" t="s">
        <v>163</v>
      </c>
      <c r="V92" s="185"/>
    </row>
    <row r="93" spans="1:23" ht="18" hidden="1" customHeight="1">
      <c r="A93" s="184"/>
      <c r="B93" s="30" t="s">
        <v>776</v>
      </c>
      <c r="H93" s="781">
        <v>0.2</v>
      </c>
      <c r="I93" s="782"/>
      <c r="V93" s="185"/>
    </row>
    <row r="94" spans="1:23" ht="18" hidden="1" customHeight="1">
      <c r="A94" s="184"/>
      <c r="B94" s="30" t="s">
        <v>562</v>
      </c>
      <c r="H94" s="781">
        <v>50</v>
      </c>
      <c r="I94" s="782"/>
      <c r="J94" s="30" t="s">
        <v>157</v>
      </c>
      <c r="V94" s="185"/>
      <c r="W94" s="30" t="str">
        <f>G120</f>
        <v>Suitably Dimensioned</v>
      </c>
    </row>
    <row r="95" spans="1:23" ht="18" hidden="1" customHeight="1">
      <c r="A95" s="184"/>
      <c r="V95" s="185"/>
    </row>
    <row r="96" spans="1:23" ht="18" hidden="1" customHeight="1">
      <c r="A96" s="184"/>
      <c r="V96" s="185"/>
    </row>
    <row r="97" spans="1:22" ht="18" hidden="1" customHeight="1">
      <c r="A97" s="184"/>
      <c r="C97" s="135" t="s">
        <v>405</v>
      </c>
      <c r="D97" s="273"/>
      <c r="E97" s="139" t="s">
        <v>244</v>
      </c>
      <c r="F97" s="227"/>
      <c r="G97" s="227"/>
      <c r="H97" s="227"/>
      <c r="I97" s="138"/>
      <c r="J97" s="260" t="s">
        <v>127</v>
      </c>
      <c r="K97" s="1108">
        <f>'CT-VT Burdens'!Q142</f>
        <v>8.0000000000000002E-3</v>
      </c>
      <c r="L97" s="788"/>
      <c r="M97" s="3" t="s">
        <v>157</v>
      </c>
      <c r="V97" s="185"/>
    </row>
    <row r="98" spans="1:22" ht="18" hidden="1" customHeight="1">
      <c r="A98" s="184"/>
      <c r="C98" s="96" t="s">
        <v>405</v>
      </c>
      <c r="D98" s="14"/>
      <c r="E98" s="47"/>
      <c r="F98" s="14"/>
      <c r="H98" s="199"/>
      <c r="I98" s="27"/>
      <c r="J98" s="101" t="s">
        <v>127</v>
      </c>
      <c r="K98" s="1108"/>
      <c r="L98" s="788"/>
      <c r="M98" s="202" t="s">
        <v>157</v>
      </c>
      <c r="V98" s="185"/>
    </row>
    <row r="99" spans="1:22" ht="18" hidden="1" customHeight="1">
      <c r="A99" s="184"/>
      <c r="C99" s="96" t="s">
        <v>405</v>
      </c>
      <c r="D99" s="14"/>
      <c r="E99" s="47"/>
      <c r="F99" s="14"/>
      <c r="H99" s="199"/>
      <c r="I99" s="27"/>
      <c r="J99" s="101" t="s">
        <v>127</v>
      </c>
      <c r="K99" s="1108"/>
      <c r="L99" s="788"/>
      <c r="M99" s="202" t="s">
        <v>157</v>
      </c>
      <c r="V99" s="185"/>
    </row>
    <row r="100" spans="1:22" ht="18" hidden="1" customHeight="1">
      <c r="A100" s="184"/>
      <c r="C100" s="96" t="s">
        <v>405</v>
      </c>
      <c r="D100" s="14"/>
      <c r="E100" s="47"/>
      <c r="F100" s="14"/>
      <c r="H100" s="199"/>
      <c r="I100" s="27"/>
      <c r="J100" s="101" t="s">
        <v>127</v>
      </c>
      <c r="K100" s="1108"/>
      <c r="L100" s="788"/>
      <c r="M100" s="202" t="s">
        <v>157</v>
      </c>
      <c r="V100" s="185"/>
    </row>
    <row r="101" spans="1:22" ht="18" hidden="1" customHeight="1">
      <c r="A101" s="184"/>
      <c r="B101" s="117"/>
      <c r="C101" s="96" t="s">
        <v>405</v>
      </c>
      <c r="D101" s="14"/>
      <c r="E101" s="47"/>
      <c r="F101" s="14"/>
      <c r="H101" s="199"/>
      <c r="I101" s="27"/>
      <c r="J101" s="101" t="s">
        <v>127</v>
      </c>
      <c r="K101" s="1108"/>
      <c r="L101" s="788"/>
      <c r="M101" s="202" t="s">
        <v>157</v>
      </c>
      <c r="N101" s="14"/>
      <c r="O101" s="14"/>
      <c r="P101" s="28"/>
      <c r="Q101" s="199"/>
      <c r="R101" s="14"/>
      <c r="S101" s="14"/>
      <c r="T101" s="14"/>
      <c r="U101" s="14"/>
      <c r="V101" s="185"/>
    </row>
    <row r="102" spans="1:22" ht="18" hidden="1" customHeight="1">
      <c r="A102" s="184"/>
      <c r="C102" s="96" t="s">
        <v>781</v>
      </c>
      <c r="D102" s="14"/>
      <c r="E102" s="47"/>
      <c r="F102" s="14"/>
      <c r="H102" s="199"/>
      <c r="I102" s="27"/>
      <c r="J102" s="101" t="s">
        <v>127</v>
      </c>
      <c r="K102" s="696">
        <f>SUM(K97:L101)</f>
        <v>8.0000000000000002E-3</v>
      </c>
      <c r="L102" s="820"/>
      <c r="M102" s="202" t="s">
        <v>157</v>
      </c>
      <c r="R102" s="14"/>
      <c r="S102" s="14"/>
      <c r="T102" s="14"/>
      <c r="U102" s="281"/>
      <c r="V102" s="185"/>
    </row>
    <row r="103" spans="1:22" ht="18" hidden="1" customHeight="1">
      <c r="A103" s="184"/>
      <c r="C103" s="184" t="s">
        <v>412</v>
      </c>
      <c r="D103" s="14"/>
      <c r="E103" s="14"/>
      <c r="F103" s="14"/>
      <c r="I103" s="27"/>
      <c r="J103" s="101" t="s">
        <v>127</v>
      </c>
      <c r="K103" s="1349">
        <f>'CT-VT Burdens'!S69</f>
        <v>2.5889401199999997</v>
      </c>
      <c r="L103" s="1350"/>
      <c r="M103" s="297" t="s">
        <v>157</v>
      </c>
      <c r="R103" s="14"/>
      <c r="S103" s="14"/>
      <c r="T103" s="14"/>
      <c r="U103" s="281"/>
      <c r="V103" s="185"/>
    </row>
    <row r="104" spans="1:22" ht="18" hidden="1" customHeight="1">
      <c r="A104" s="184"/>
      <c r="C104" s="1" t="s">
        <v>413</v>
      </c>
      <c r="D104" s="2"/>
      <c r="E104" s="2"/>
      <c r="F104" s="2"/>
      <c r="G104" s="196"/>
      <c r="H104" s="196"/>
      <c r="I104" s="224" t="s">
        <v>512</v>
      </c>
      <c r="J104" s="183" t="s">
        <v>127</v>
      </c>
      <c r="K104" s="1349">
        <f>K102+K103</f>
        <v>2.5969401199999997</v>
      </c>
      <c r="L104" s="1350"/>
      <c r="M104" s="3" t="s">
        <v>157</v>
      </c>
      <c r="R104" s="14"/>
      <c r="S104" s="14"/>
      <c r="T104" s="14"/>
      <c r="U104" s="281"/>
      <c r="V104" s="185"/>
    </row>
    <row r="105" spans="1:22" ht="18" hidden="1" customHeight="1">
      <c r="A105" s="96"/>
      <c r="B105" s="14"/>
      <c r="C105" s="120"/>
      <c r="D105" s="47"/>
      <c r="E105" s="47"/>
      <c r="F105" s="47"/>
      <c r="G105" s="47"/>
      <c r="H105" s="47"/>
      <c r="I105" s="47"/>
      <c r="J105" s="14"/>
      <c r="K105" s="28"/>
      <c r="L105" s="14"/>
      <c r="M105" s="14"/>
      <c r="N105" s="218"/>
      <c r="O105" s="218"/>
      <c r="P105" s="14"/>
      <c r="R105" s="14"/>
      <c r="S105" s="14"/>
      <c r="T105" s="14"/>
      <c r="U105" s="14"/>
      <c r="V105" s="185"/>
    </row>
    <row r="106" spans="1:22" ht="18" hidden="1" customHeight="1">
      <c r="A106" s="184"/>
      <c r="P106" s="466"/>
      <c r="R106" s="14"/>
      <c r="S106" s="14"/>
      <c r="T106" s="14"/>
      <c r="U106" s="186"/>
      <c r="V106" s="185"/>
    </row>
    <row r="107" spans="1:22" ht="18" hidden="1" customHeight="1">
      <c r="A107" s="184"/>
      <c r="B107" s="117" t="s">
        <v>782</v>
      </c>
      <c r="V107" s="185"/>
    </row>
    <row r="108" spans="1:22" ht="18" hidden="1" customHeight="1">
      <c r="A108" s="184"/>
      <c r="V108" s="185"/>
    </row>
    <row r="109" spans="1:22" ht="18" hidden="1" customHeight="1">
      <c r="A109" s="184"/>
      <c r="B109" s="14" t="s">
        <v>783</v>
      </c>
      <c r="C109" s="14"/>
      <c r="D109" s="120"/>
      <c r="J109" s="28" t="s">
        <v>127</v>
      </c>
      <c r="K109" s="47" t="s">
        <v>781</v>
      </c>
      <c r="M109" s="47"/>
      <c r="N109" s="47"/>
      <c r="P109" s="102" t="s">
        <v>342</v>
      </c>
      <c r="Q109" s="30" t="s">
        <v>784</v>
      </c>
      <c r="R109" s="14"/>
      <c r="V109" s="185"/>
    </row>
    <row r="110" spans="1:22" ht="18" hidden="1" customHeight="1">
      <c r="A110" s="184"/>
      <c r="B110" s="14"/>
      <c r="C110" s="14"/>
      <c r="D110" s="120"/>
      <c r="J110" s="28" t="s">
        <v>127</v>
      </c>
      <c r="K110" s="692">
        <f>K102</f>
        <v>8.0000000000000002E-3</v>
      </c>
      <c r="L110" s="689"/>
      <c r="M110" s="102" t="s">
        <v>342</v>
      </c>
      <c r="N110" s="692">
        <f>K92/SQRT(3)*1000</f>
        <v>63.508529610858844</v>
      </c>
      <c r="O110" s="689"/>
      <c r="V110" s="185"/>
    </row>
    <row r="111" spans="1:22" ht="18" hidden="1" customHeight="1">
      <c r="A111" s="184"/>
      <c r="B111" s="14"/>
      <c r="C111" s="14"/>
      <c r="D111" s="120"/>
      <c r="J111" s="28" t="s">
        <v>127</v>
      </c>
      <c r="K111" s="688">
        <f>K110/N110</f>
        <v>1.259673314595547E-4</v>
      </c>
      <c r="L111" s="688"/>
      <c r="M111" s="47" t="s">
        <v>8</v>
      </c>
      <c r="N111" s="47"/>
      <c r="O111" s="14"/>
      <c r="P111" s="28"/>
      <c r="Q111" s="14"/>
      <c r="R111" s="14"/>
      <c r="V111" s="185"/>
    </row>
    <row r="112" spans="1:22" ht="18" hidden="1" customHeight="1">
      <c r="A112" s="184"/>
      <c r="V112" s="185"/>
    </row>
    <row r="113" spans="1:22" ht="18" hidden="1" customHeight="1">
      <c r="A113" s="184"/>
      <c r="B113" s="14" t="s">
        <v>785</v>
      </c>
      <c r="C113" s="14"/>
      <c r="D113" s="14"/>
      <c r="E113" s="14"/>
      <c r="F113" s="14"/>
      <c r="G113" s="14"/>
      <c r="H113" s="14"/>
      <c r="I113" s="47"/>
      <c r="J113" s="28" t="s">
        <v>127</v>
      </c>
      <c r="K113" s="689" t="s">
        <v>786</v>
      </c>
      <c r="L113" s="689"/>
      <c r="M113" s="28" t="s">
        <v>315</v>
      </c>
      <c r="N113" s="47" t="s">
        <v>787</v>
      </c>
      <c r="O113" s="14"/>
      <c r="P113" s="28"/>
      <c r="V113" s="185"/>
    </row>
    <row r="114" spans="1:22" ht="18" hidden="1" customHeight="1">
      <c r="A114" s="184"/>
      <c r="J114" s="28" t="s">
        <v>127</v>
      </c>
      <c r="K114" s="684">
        <f>K111*K111</f>
        <v>1.5867768595041319E-8</v>
      </c>
      <c r="L114" s="684"/>
      <c r="M114" s="28" t="s">
        <v>315</v>
      </c>
      <c r="N114" s="795">
        <f>N76</f>
        <v>2.5889401199999997</v>
      </c>
      <c r="O114" s="795"/>
      <c r="V114" s="185"/>
    </row>
    <row r="115" spans="1:22" ht="18" hidden="1" customHeight="1">
      <c r="A115" s="184"/>
      <c r="J115" s="28" t="s">
        <v>127</v>
      </c>
      <c r="K115" s="1145">
        <f>K114*N114</f>
        <v>4.1080702730578503E-8</v>
      </c>
      <c r="L115" s="1145"/>
      <c r="M115" s="30" t="s">
        <v>157</v>
      </c>
      <c r="V115" s="185"/>
    </row>
    <row r="116" spans="1:22" ht="18" hidden="1" customHeight="1">
      <c r="A116" s="184"/>
      <c r="V116" s="185"/>
    </row>
    <row r="117" spans="1:22" ht="18" hidden="1" customHeight="1">
      <c r="A117" s="184"/>
      <c r="B117" s="14" t="s">
        <v>788</v>
      </c>
      <c r="C117" s="14"/>
      <c r="D117" s="14"/>
      <c r="E117" s="28"/>
      <c r="F117" s="14"/>
      <c r="G117" s="14"/>
      <c r="H117" s="102"/>
      <c r="I117" s="47"/>
      <c r="J117" s="47"/>
      <c r="K117" s="14"/>
      <c r="V117" s="185"/>
    </row>
    <row r="118" spans="1:22" ht="18" hidden="1" customHeight="1">
      <c r="A118" s="184"/>
      <c r="B118" s="14"/>
      <c r="C118" s="14"/>
      <c r="D118" s="257"/>
      <c r="E118" s="120" t="s">
        <v>789</v>
      </c>
      <c r="F118" s="27" t="str">
        <f>IF(D119&gt;=G119,"&gt;","&lt;")</f>
        <v>&gt;</v>
      </c>
      <c r="G118" s="281" t="s">
        <v>119</v>
      </c>
      <c r="H118" s="218"/>
      <c r="J118" s="28"/>
      <c r="K118" s="218"/>
      <c r="V118" s="185"/>
    </row>
    <row r="119" spans="1:22" ht="18" hidden="1" customHeight="1">
      <c r="A119" s="184"/>
      <c r="D119" s="684">
        <f>H94</f>
        <v>50</v>
      </c>
      <c r="E119" s="684"/>
      <c r="F119" s="27" t="str">
        <f>F118</f>
        <v>&gt;</v>
      </c>
      <c r="G119" s="1145">
        <f>K104</f>
        <v>2.5969401199999997</v>
      </c>
      <c r="H119" s="684"/>
      <c r="I119" s="14"/>
      <c r="J119" s="257"/>
      <c r="V119" s="185"/>
    </row>
    <row r="120" spans="1:22" ht="18" hidden="1" customHeight="1">
      <c r="A120" s="184"/>
      <c r="D120" s="199"/>
      <c r="E120" s="244" t="s">
        <v>790</v>
      </c>
      <c r="F120" s="27"/>
      <c r="G120" s="18" t="str">
        <f>IF(F119="&gt;","Suitably Dimensioned","Under Dimensioned")</f>
        <v>Suitably Dimensioned</v>
      </c>
      <c r="H120" s="27"/>
      <c r="I120" s="120"/>
      <c r="J120" s="27"/>
      <c r="K120" s="120"/>
      <c r="V120" s="185"/>
    </row>
    <row r="121" spans="1:22" ht="18" hidden="1" customHeight="1">
      <c r="A121" s="184"/>
      <c r="D121" s="199"/>
      <c r="E121" s="244"/>
      <c r="F121" s="27"/>
      <c r="G121" s="18"/>
      <c r="H121" s="27"/>
      <c r="I121" s="120"/>
      <c r="J121" s="27"/>
      <c r="K121" s="120"/>
      <c r="V121" s="185"/>
    </row>
    <row r="122" spans="1:22" ht="18" hidden="1" customHeight="1">
      <c r="A122" s="184"/>
      <c r="D122" s="199"/>
      <c r="E122" s="244"/>
      <c r="F122" s="27"/>
      <c r="G122" s="18"/>
      <c r="H122" s="27"/>
      <c r="I122" s="120"/>
      <c r="J122" s="27"/>
      <c r="K122" s="120"/>
      <c r="V122" s="185"/>
    </row>
    <row r="123" spans="1:22" ht="18" hidden="1" customHeight="1">
      <c r="A123" s="184"/>
      <c r="D123" s="199"/>
      <c r="E123" s="244"/>
      <c r="F123" s="27"/>
      <c r="G123" s="18"/>
      <c r="H123" s="27"/>
      <c r="I123" s="120"/>
      <c r="J123" s="27"/>
      <c r="K123" s="120"/>
      <c r="V123" s="185"/>
    </row>
    <row r="124" spans="1:22" ht="18" hidden="1" customHeight="1">
      <c r="A124" s="184"/>
      <c r="V124" s="185"/>
    </row>
    <row r="125" spans="1:22" ht="18" hidden="1" customHeight="1">
      <c r="A125" s="184"/>
      <c r="V125" s="185"/>
    </row>
    <row r="126" spans="1:22" ht="18" hidden="1" customHeight="1">
      <c r="A126" s="184"/>
      <c r="V126" s="185"/>
    </row>
    <row r="127" spans="1:22" ht="18" hidden="1" customHeight="1">
      <c r="A127" s="184"/>
      <c r="V127" s="185"/>
    </row>
    <row r="128" spans="1:22" s="14" customFormat="1" ht="18" hidden="1" customHeight="1">
      <c r="A128" s="194"/>
      <c r="B128" s="195"/>
      <c r="C128" s="195"/>
      <c r="D128" s="195"/>
      <c r="E128" s="195"/>
      <c r="F128" s="195"/>
      <c r="G128" s="195"/>
      <c r="H128" s="195"/>
      <c r="I128" s="195"/>
      <c r="J128" s="195"/>
      <c r="K128" s="195"/>
      <c r="L128" s="195"/>
      <c r="M128" s="195"/>
      <c r="N128" s="195"/>
      <c r="O128" s="195"/>
      <c r="P128" s="195"/>
      <c r="Q128" s="224"/>
      <c r="R128" s="182"/>
      <c r="S128" s="225"/>
      <c r="T128" s="195"/>
      <c r="U128" s="195"/>
      <c r="V128" s="134"/>
    </row>
    <row r="129" spans="1:22" s="14" customFormat="1" ht="18" customHeight="1">
      <c r="A129" s="135"/>
      <c r="B129" s="273"/>
      <c r="C129" s="273"/>
      <c r="D129" s="273"/>
      <c r="E129" s="273"/>
      <c r="F129" s="273"/>
      <c r="G129" s="273"/>
      <c r="H129" s="273"/>
      <c r="I129" s="273"/>
      <c r="J129" s="273"/>
      <c r="K129" s="273"/>
      <c r="L129" s="273"/>
      <c r="M129" s="273"/>
      <c r="N129" s="273"/>
      <c r="O129" s="273"/>
      <c r="P129" s="273"/>
      <c r="Q129" s="274"/>
      <c r="R129" s="138"/>
      <c r="S129" s="275"/>
      <c r="T129" s="273"/>
      <c r="U129" s="273"/>
      <c r="V129" s="276"/>
    </row>
    <row r="130" spans="1:22" ht="18" customHeight="1">
      <c r="A130" s="96" t="s">
        <v>793</v>
      </c>
      <c r="V130" s="185"/>
    </row>
    <row r="131" spans="1:22" ht="18" customHeight="1">
      <c r="A131" s="853" t="s">
        <v>115</v>
      </c>
      <c r="B131" s="853"/>
      <c r="C131" s="853"/>
      <c r="D131" s="853"/>
      <c r="E131" s="853" t="s">
        <v>116</v>
      </c>
      <c r="F131" s="853"/>
      <c r="G131" s="853"/>
      <c r="H131" s="853"/>
      <c r="I131" s="853"/>
      <c r="J131" s="868" t="s">
        <v>117</v>
      </c>
      <c r="K131" s="868"/>
      <c r="L131" s="868" t="s">
        <v>88</v>
      </c>
      <c r="M131" s="868"/>
      <c r="N131" s="868" t="s">
        <v>100</v>
      </c>
      <c r="O131" s="868"/>
      <c r="P131" s="868"/>
      <c r="Q131" s="853" t="s">
        <v>794</v>
      </c>
      <c r="R131" s="853"/>
      <c r="S131" s="853"/>
      <c r="T131" s="853"/>
      <c r="U131" s="853"/>
      <c r="V131" s="853"/>
    </row>
    <row r="132" spans="1:22" ht="18" customHeight="1">
      <c r="A132" s="853"/>
      <c r="B132" s="853"/>
      <c r="C132" s="853"/>
      <c r="D132" s="853"/>
      <c r="E132" s="853"/>
      <c r="F132" s="853"/>
      <c r="G132" s="853"/>
      <c r="H132" s="853"/>
      <c r="I132" s="853"/>
      <c r="J132" s="868"/>
      <c r="K132" s="868"/>
      <c r="L132" s="868"/>
      <c r="M132" s="868"/>
      <c r="N132" s="868"/>
      <c r="O132" s="868"/>
      <c r="P132" s="868"/>
      <c r="Q132" s="853"/>
      <c r="R132" s="853"/>
      <c r="S132" s="853"/>
      <c r="T132" s="853"/>
      <c r="U132" s="853"/>
      <c r="V132" s="853"/>
    </row>
    <row r="133" spans="1:22" ht="18" customHeight="1">
      <c r="A133" s="853"/>
      <c r="B133" s="853"/>
      <c r="C133" s="853"/>
      <c r="D133" s="853"/>
      <c r="E133" s="1356"/>
      <c r="F133" s="1356"/>
      <c r="G133" s="853"/>
      <c r="H133" s="853"/>
      <c r="I133" s="853"/>
      <c r="J133" s="868"/>
      <c r="K133" s="868"/>
      <c r="L133" s="868"/>
      <c r="M133" s="868"/>
      <c r="N133" s="868"/>
      <c r="O133" s="868"/>
      <c r="P133" s="868"/>
      <c r="Q133" s="853"/>
      <c r="R133" s="853"/>
      <c r="S133" s="853"/>
      <c r="T133" s="853"/>
      <c r="U133" s="853"/>
      <c r="V133" s="853"/>
    </row>
    <row r="134" spans="1:22" ht="18" customHeight="1">
      <c r="A134" s="1353" t="str">
        <f>B7</f>
        <v>T1</v>
      </c>
      <c r="B134" s="1354"/>
      <c r="C134" s="876" t="str">
        <f>D7</f>
        <v>Core1</v>
      </c>
      <c r="D134" s="990"/>
      <c r="E134" s="342">
        <f>H9</f>
        <v>132</v>
      </c>
      <c r="F134" s="246" t="str">
        <f>I9</f>
        <v>/ √3</v>
      </c>
      <c r="G134" s="343" t="s">
        <v>342</v>
      </c>
      <c r="H134" s="243">
        <f>K9</f>
        <v>0.11</v>
      </c>
      <c r="I134" s="246" t="str">
        <f>L9</f>
        <v>/ √3</v>
      </c>
      <c r="J134" s="958">
        <f>'CT-VT Burdens'!S67</f>
        <v>120</v>
      </c>
      <c r="K134" s="1355">
        <f>'CT-VT Burdens'!S56</f>
        <v>2.5</v>
      </c>
      <c r="L134" s="958" t="str">
        <f>H10</f>
        <v>0.5/3P</v>
      </c>
      <c r="M134" s="958"/>
      <c r="N134" s="958">
        <f>H11</f>
        <v>100</v>
      </c>
      <c r="O134" s="958"/>
      <c r="P134" s="958"/>
      <c r="Q134" s="958" t="str">
        <f>G40</f>
        <v>Suitably Dimensioned</v>
      </c>
      <c r="R134" s="958"/>
      <c r="S134" s="958"/>
      <c r="T134" s="958"/>
      <c r="U134" s="958"/>
      <c r="V134" s="958"/>
    </row>
    <row r="135" spans="1:22" ht="18" customHeight="1">
      <c r="A135" s="685"/>
      <c r="B135" s="699"/>
      <c r="C135" s="958" t="str">
        <f>D48</f>
        <v>Core2</v>
      </c>
      <c r="D135" s="958"/>
      <c r="E135" s="342">
        <f>H50</f>
        <v>132</v>
      </c>
      <c r="F135" s="246" t="str">
        <f>I50</f>
        <v>/ √3</v>
      </c>
      <c r="G135" s="467" t="s">
        <v>342</v>
      </c>
      <c r="H135" s="243">
        <f>K50</f>
        <v>0.11</v>
      </c>
      <c r="I135" s="246" t="str">
        <f>L50</f>
        <v>/ √3</v>
      </c>
      <c r="J135" s="958"/>
      <c r="K135" s="1355"/>
      <c r="L135" s="958" t="str">
        <f>H51</f>
        <v>0.5/3P</v>
      </c>
      <c r="M135" s="958"/>
      <c r="N135" s="958">
        <f>H52</f>
        <v>100</v>
      </c>
      <c r="O135" s="958"/>
      <c r="P135" s="958"/>
      <c r="Q135" s="958" t="str">
        <f>G82</f>
        <v>Suitably Dimensioned</v>
      </c>
      <c r="R135" s="958"/>
      <c r="S135" s="958"/>
      <c r="T135" s="958"/>
      <c r="U135" s="958"/>
      <c r="V135" s="958"/>
    </row>
    <row r="136" spans="1:22" ht="18" customHeight="1">
      <c r="A136" s="1217"/>
      <c r="B136" s="1218"/>
      <c r="C136" s="958" t="s">
        <v>6</v>
      </c>
      <c r="D136" s="958"/>
      <c r="E136" s="342" t="s">
        <v>6</v>
      </c>
      <c r="F136" s="540" t="s">
        <v>6</v>
      </c>
      <c r="G136" s="551" t="s">
        <v>6</v>
      </c>
      <c r="H136" s="550" t="s">
        <v>6</v>
      </c>
      <c r="I136" s="540" t="s">
        <v>6</v>
      </c>
      <c r="J136" s="958"/>
      <c r="K136" s="1355"/>
      <c r="L136" s="751" t="s">
        <v>6</v>
      </c>
      <c r="M136" s="751"/>
      <c r="N136" s="751" t="s">
        <v>6</v>
      </c>
      <c r="O136" s="751"/>
      <c r="P136" s="751"/>
      <c r="Q136" s="958" t="s">
        <v>6</v>
      </c>
      <c r="R136" s="958"/>
      <c r="S136" s="958"/>
      <c r="T136" s="958"/>
      <c r="U136" s="958"/>
      <c r="V136" s="958"/>
    </row>
    <row r="137" spans="1:22" ht="18" customHeight="1">
      <c r="A137" s="184"/>
      <c r="V137" s="185"/>
    </row>
    <row r="138" spans="1:22" ht="18" customHeight="1">
      <c r="A138" s="184"/>
      <c r="V138" s="185"/>
    </row>
    <row r="139" spans="1:22" ht="18" customHeight="1">
      <c r="A139" s="184"/>
      <c r="V139" s="185"/>
    </row>
    <row r="140" spans="1:22" ht="18" customHeight="1">
      <c r="A140" s="184"/>
      <c r="V140" s="185"/>
    </row>
    <row r="141" spans="1:22" ht="18" customHeight="1">
      <c r="A141" s="184"/>
      <c r="V141" s="185"/>
    </row>
    <row r="142" spans="1:22" ht="18" customHeight="1">
      <c r="A142" s="184"/>
      <c r="V142" s="185"/>
    </row>
    <row r="143" spans="1:22" ht="18" customHeight="1">
      <c r="A143" s="184"/>
      <c r="V143" s="185"/>
    </row>
    <row r="144" spans="1:22" ht="18" customHeight="1">
      <c r="A144" s="184"/>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s="14" customFormat="1" ht="18" customHeight="1">
      <c r="A168" s="194"/>
      <c r="B168" s="195"/>
      <c r="C168" s="195"/>
      <c r="D168" s="195"/>
      <c r="E168" s="195"/>
      <c r="F168" s="195"/>
      <c r="G168" s="195"/>
      <c r="H168" s="195"/>
      <c r="I168" s="195"/>
      <c r="J168" s="195"/>
      <c r="K168" s="195"/>
      <c r="L168" s="195"/>
      <c r="M168" s="195"/>
      <c r="N168" s="195"/>
      <c r="O168" s="195"/>
      <c r="P168" s="195"/>
      <c r="Q168" s="224"/>
      <c r="R168" s="182"/>
      <c r="S168" s="1351"/>
      <c r="T168" s="1352"/>
      <c r="U168" s="195"/>
      <c r="V168" s="134"/>
    </row>
  </sheetData>
  <mergeCells count="115">
    <mergeCell ref="E16:F16"/>
    <mergeCell ref="K20:L20"/>
    <mergeCell ref="S168:T168"/>
    <mergeCell ref="L135:M135"/>
    <mergeCell ref="N135:P135"/>
    <mergeCell ref="Q135:V135"/>
    <mergeCell ref="C136:D136"/>
    <mergeCell ref="L136:M136"/>
    <mergeCell ref="N136:P136"/>
    <mergeCell ref="Q136:V136"/>
    <mergeCell ref="N131:P133"/>
    <mergeCell ref="Q131:V133"/>
    <mergeCell ref="K110:L110"/>
    <mergeCell ref="N110:O110"/>
    <mergeCell ref="K111:L111"/>
    <mergeCell ref="K113:L113"/>
    <mergeCell ref="K114:L114"/>
    <mergeCell ref="N114:O114"/>
    <mergeCell ref="K99:L99"/>
    <mergeCell ref="K100:L100"/>
    <mergeCell ref="K101:L101"/>
    <mergeCell ref="K102:L102"/>
    <mergeCell ref="K103:L103"/>
    <mergeCell ref="K104:L104"/>
    <mergeCell ref="A134:B136"/>
    <mergeCell ref="C134:D134"/>
    <mergeCell ref="J134:J136"/>
    <mergeCell ref="K134:K136"/>
    <mergeCell ref="L134:M134"/>
    <mergeCell ref="N134:P134"/>
    <mergeCell ref="Q134:V134"/>
    <mergeCell ref="C135:D135"/>
    <mergeCell ref="K115:L115"/>
    <mergeCell ref="D119:E119"/>
    <mergeCell ref="G119:H119"/>
    <mergeCell ref="A131:D133"/>
    <mergeCell ref="E131:I133"/>
    <mergeCell ref="J131:K133"/>
    <mergeCell ref="L131:M133"/>
    <mergeCell ref="B90:C90"/>
    <mergeCell ref="D90:E90"/>
    <mergeCell ref="H93:I93"/>
    <mergeCell ref="H94:I94"/>
    <mergeCell ref="K97:L97"/>
    <mergeCell ref="K98:L98"/>
    <mergeCell ref="K76:L76"/>
    <mergeCell ref="N76:O76"/>
    <mergeCell ref="K77:L77"/>
    <mergeCell ref="D81:E81"/>
    <mergeCell ref="G81:H81"/>
    <mergeCell ref="S88:T88"/>
    <mergeCell ref="K65:L65"/>
    <mergeCell ref="K66:L66"/>
    <mergeCell ref="K72:L72"/>
    <mergeCell ref="N72:O72"/>
    <mergeCell ref="K73:L73"/>
    <mergeCell ref="K75:L75"/>
    <mergeCell ref="K56:L56"/>
    <mergeCell ref="K57:L57"/>
    <mergeCell ref="K58:L58"/>
    <mergeCell ref="K59:L59"/>
    <mergeCell ref="K63:L63"/>
    <mergeCell ref="K64:L64"/>
    <mergeCell ref="K60:L60"/>
    <mergeCell ref="K61:L61"/>
    <mergeCell ref="K62:L62"/>
    <mergeCell ref="S46:T46"/>
    <mergeCell ref="B48:C48"/>
    <mergeCell ref="D48:E48"/>
    <mergeCell ref="H51:I51"/>
    <mergeCell ref="H52:I52"/>
    <mergeCell ref="K55:L55"/>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conditionalFormatting sqref="G40 G82 G120:G123">
    <cfRule type="cellIs" dxfId="12" priority="2" stopIfTrue="1" operator="equal">
      <formula>"Under Dimentioned"</formula>
    </cfRule>
  </conditionalFormatting>
  <dataValidations count="1">
    <dataValidation type="list" allowBlank="1" showInputMessage="1" showErrorMessage="1" sqref="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2 IZ65622 SV65622 ACR65622 AMN65622 AWJ65622 BGF65622 BQB65622 BZX65622 CJT65622 CTP65622 DDL65622 DNH65622 DXD65622 EGZ65622 EQV65622 FAR65622 FKN65622 FUJ65622 GEF65622 GOB65622 GXX65622 HHT65622 HRP65622 IBL65622 ILH65622 IVD65622 JEZ65622 JOV65622 JYR65622 KIN65622 KSJ65622 LCF65622 LMB65622 LVX65622 MFT65622 MPP65622 MZL65622 NJH65622 NTD65622 OCZ65622 OMV65622 OWR65622 PGN65622 PQJ65622 QAF65622 QKB65622 QTX65622 RDT65622 RNP65622 RXL65622 SHH65622 SRD65622 TAZ65622 TKV65622 TUR65622 UEN65622 UOJ65622 UYF65622 VIB65622 VRX65622 WBT65622 WLP65622 WVL65622 D131158 IZ131158 SV131158 ACR131158 AMN131158 AWJ131158 BGF131158 BQB131158 BZX131158 CJT131158 CTP131158 DDL131158 DNH131158 DXD131158 EGZ131158 EQV131158 FAR131158 FKN131158 FUJ131158 GEF131158 GOB131158 GXX131158 HHT131158 HRP131158 IBL131158 ILH131158 IVD131158 JEZ131158 JOV131158 JYR131158 KIN131158 KSJ131158 LCF131158 LMB131158 LVX131158 MFT131158 MPP131158 MZL131158 NJH131158 NTD131158 OCZ131158 OMV131158 OWR131158 PGN131158 PQJ131158 QAF131158 QKB131158 QTX131158 RDT131158 RNP131158 RXL131158 SHH131158 SRD131158 TAZ131158 TKV131158 TUR131158 UEN131158 UOJ131158 UYF131158 VIB131158 VRX131158 WBT131158 WLP131158 WVL131158 D196694 IZ196694 SV196694 ACR196694 AMN196694 AWJ196694 BGF196694 BQB196694 BZX196694 CJT196694 CTP196694 DDL196694 DNH196694 DXD196694 EGZ196694 EQV196694 FAR196694 FKN196694 FUJ196694 GEF196694 GOB196694 GXX196694 HHT196694 HRP196694 IBL196694 ILH196694 IVD196694 JEZ196694 JOV196694 JYR196694 KIN196694 KSJ196694 LCF196694 LMB196694 LVX196694 MFT196694 MPP196694 MZL196694 NJH196694 NTD196694 OCZ196694 OMV196694 OWR196694 PGN196694 PQJ196694 QAF196694 QKB196694 QTX196694 RDT196694 RNP196694 RXL196694 SHH196694 SRD196694 TAZ196694 TKV196694 TUR196694 UEN196694 UOJ196694 UYF196694 VIB196694 VRX196694 WBT196694 WLP196694 WVL196694 D262230 IZ262230 SV262230 ACR262230 AMN262230 AWJ262230 BGF262230 BQB262230 BZX262230 CJT262230 CTP262230 DDL262230 DNH262230 DXD262230 EGZ262230 EQV262230 FAR262230 FKN262230 FUJ262230 GEF262230 GOB262230 GXX262230 HHT262230 HRP262230 IBL262230 ILH262230 IVD262230 JEZ262230 JOV262230 JYR262230 KIN262230 KSJ262230 LCF262230 LMB262230 LVX262230 MFT262230 MPP262230 MZL262230 NJH262230 NTD262230 OCZ262230 OMV262230 OWR262230 PGN262230 PQJ262230 QAF262230 QKB262230 QTX262230 RDT262230 RNP262230 RXL262230 SHH262230 SRD262230 TAZ262230 TKV262230 TUR262230 UEN262230 UOJ262230 UYF262230 VIB262230 VRX262230 WBT262230 WLP262230 WVL262230 D327766 IZ327766 SV327766 ACR327766 AMN327766 AWJ327766 BGF327766 BQB327766 BZX327766 CJT327766 CTP327766 DDL327766 DNH327766 DXD327766 EGZ327766 EQV327766 FAR327766 FKN327766 FUJ327766 GEF327766 GOB327766 GXX327766 HHT327766 HRP327766 IBL327766 ILH327766 IVD327766 JEZ327766 JOV327766 JYR327766 KIN327766 KSJ327766 LCF327766 LMB327766 LVX327766 MFT327766 MPP327766 MZL327766 NJH327766 NTD327766 OCZ327766 OMV327766 OWR327766 PGN327766 PQJ327766 QAF327766 QKB327766 QTX327766 RDT327766 RNP327766 RXL327766 SHH327766 SRD327766 TAZ327766 TKV327766 TUR327766 UEN327766 UOJ327766 UYF327766 VIB327766 VRX327766 WBT327766 WLP327766 WVL327766 D393302 IZ393302 SV393302 ACR393302 AMN393302 AWJ393302 BGF393302 BQB393302 BZX393302 CJT393302 CTP393302 DDL393302 DNH393302 DXD393302 EGZ393302 EQV393302 FAR393302 FKN393302 FUJ393302 GEF393302 GOB393302 GXX393302 HHT393302 HRP393302 IBL393302 ILH393302 IVD393302 JEZ393302 JOV393302 JYR393302 KIN393302 KSJ393302 LCF393302 LMB393302 LVX393302 MFT393302 MPP393302 MZL393302 NJH393302 NTD393302 OCZ393302 OMV393302 OWR393302 PGN393302 PQJ393302 QAF393302 QKB393302 QTX393302 RDT393302 RNP393302 RXL393302 SHH393302 SRD393302 TAZ393302 TKV393302 TUR393302 UEN393302 UOJ393302 UYF393302 VIB393302 VRX393302 WBT393302 WLP393302 WVL393302 D458838 IZ458838 SV458838 ACR458838 AMN458838 AWJ458838 BGF458838 BQB458838 BZX458838 CJT458838 CTP458838 DDL458838 DNH458838 DXD458838 EGZ458838 EQV458838 FAR458838 FKN458838 FUJ458838 GEF458838 GOB458838 GXX458838 HHT458838 HRP458838 IBL458838 ILH458838 IVD458838 JEZ458838 JOV458838 JYR458838 KIN458838 KSJ458838 LCF458838 LMB458838 LVX458838 MFT458838 MPP458838 MZL458838 NJH458838 NTD458838 OCZ458838 OMV458838 OWR458838 PGN458838 PQJ458838 QAF458838 QKB458838 QTX458838 RDT458838 RNP458838 RXL458838 SHH458838 SRD458838 TAZ458838 TKV458838 TUR458838 UEN458838 UOJ458838 UYF458838 VIB458838 VRX458838 WBT458838 WLP458838 WVL458838 D524374 IZ524374 SV524374 ACR524374 AMN524374 AWJ524374 BGF524374 BQB524374 BZX524374 CJT524374 CTP524374 DDL524374 DNH524374 DXD524374 EGZ524374 EQV524374 FAR524374 FKN524374 FUJ524374 GEF524374 GOB524374 GXX524374 HHT524374 HRP524374 IBL524374 ILH524374 IVD524374 JEZ524374 JOV524374 JYR524374 KIN524374 KSJ524374 LCF524374 LMB524374 LVX524374 MFT524374 MPP524374 MZL524374 NJH524374 NTD524374 OCZ524374 OMV524374 OWR524374 PGN524374 PQJ524374 QAF524374 QKB524374 QTX524374 RDT524374 RNP524374 RXL524374 SHH524374 SRD524374 TAZ524374 TKV524374 TUR524374 UEN524374 UOJ524374 UYF524374 VIB524374 VRX524374 WBT524374 WLP524374 WVL524374 D589910 IZ589910 SV589910 ACR589910 AMN589910 AWJ589910 BGF589910 BQB589910 BZX589910 CJT589910 CTP589910 DDL589910 DNH589910 DXD589910 EGZ589910 EQV589910 FAR589910 FKN589910 FUJ589910 GEF589910 GOB589910 GXX589910 HHT589910 HRP589910 IBL589910 ILH589910 IVD589910 JEZ589910 JOV589910 JYR589910 KIN589910 KSJ589910 LCF589910 LMB589910 LVX589910 MFT589910 MPP589910 MZL589910 NJH589910 NTD589910 OCZ589910 OMV589910 OWR589910 PGN589910 PQJ589910 QAF589910 QKB589910 QTX589910 RDT589910 RNP589910 RXL589910 SHH589910 SRD589910 TAZ589910 TKV589910 TUR589910 UEN589910 UOJ589910 UYF589910 VIB589910 VRX589910 WBT589910 WLP589910 WVL589910 D655446 IZ655446 SV655446 ACR655446 AMN655446 AWJ655446 BGF655446 BQB655446 BZX655446 CJT655446 CTP655446 DDL655446 DNH655446 DXD655446 EGZ655446 EQV655446 FAR655446 FKN655446 FUJ655446 GEF655446 GOB655446 GXX655446 HHT655446 HRP655446 IBL655446 ILH655446 IVD655446 JEZ655446 JOV655446 JYR655446 KIN655446 KSJ655446 LCF655446 LMB655446 LVX655446 MFT655446 MPP655446 MZL655446 NJH655446 NTD655446 OCZ655446 OMV655446 OWR655446 PGN655446 PQJ655446 QAF655446 QKB655446 QTX655446 RDT655446 RNP655446 RXL655446 SHH655446 SRD655446 TAZ655446 TKV655446 TUR655446 UEN655446 UOJ655446 UYF655446 VIB655446 VRX655446 WBT655446 WLP655446 WVL655446 D720982 IZ720982 SV720982 ACR720982 AMN720982 AWJ720982 BGF720982 BQB720982 BZX720982 CJT720982 CTP720982 DDL720982 DNH720982 DXD720982 EGZ720982 EQV720982 FAR720982 FKN720982 FUJ720982 GEF720982 GOB720982 GXX720982 HHT720982 HRP720982 IBL720982 ILH720982 IVD720982 JEZ720982 JOV720982 JYR720982 KIN720982 KSJ720982 LCF720982 LMB720982 LVX720982 MFT720982 MPP720982 MZL720982 NJH720982 NTD720982 OCZ720982 OMV720982 OWR720982 PGN720982 PQJ720982 QAF720982 QKB720982 QTX720982 RDT720982 RNP720982 RXL720982 SHH720982 SRD720982 TAZ720982 TKV720982 TUR720982 UEN720982 UOJ720982 UYF720982 VIB720982 VRX720982 WBT720982 WLP720982 WVL720982 D786518 IZ786518 SV786518 ACR786518 AMN786518 AWJ786518 BGF786518 BQB786518 BZX786518 CJT786518 CTP786518 DDL786518 DNH786518 DXD786518 EGZ786518 EQV786518 FAR786518 FKN786518 FUJ786518 GEF786518 GOB786518 GXX786518 HHT786518 HRP786518 IBL786518 ILH786518 IVD786518 JEZ786518 JOV786518 JYR786518 KIN786518 KSJ786518 LCF786518 LMB786518 LVX786518 MFT786518 MPP786518 MZL786518 NJH786518 NTD786518 OCZ786518 OMV786518 OWR786518 PGN786518 PQJ786518 QAF786518 QKB786518 QTX786518 RDT786518 RNP786518 RXL786518 SHH786518 SRD786518 TAZ786518 TKV786518 TUR786518 UEN786518 UOJ786518 UYF786518 VIB786518 VRX786518 WBT786518 WLP786518 WVL786518 D852054 IZ852054 SV852054 ACR852054 AMN852054 AWJ852054 BGF852054 BQB852054 BZX852054 CJT852054 CTP852054 DDL852054 DNH852054 DXD852054 EGZ852054 EQV852054 FAR852054 FKN852054 FUJ852054 GEF852054 GOB852054 GXX852054 HHT852054 HRP852054 IBL852054 ILH852054 IVD852054 JEZ852054 JOV852054 JYR852054 KIN852054 KSJ852054 LCF852054 LMB852054 LVX852054 MFT852054 MPP852054 MZL852054 NJH852054 NTD852054 OCZ852054 OMV852054 OWR852054 PGN852054 PQJ852054 QAF852054 QKB852054 QTX852054 RDT852054 RNP852054 RXL852054 SHH852054 SRD852054 TAZ852054 TKV852054 TUR852054 UEN852054 UOJ852054 UYF852054 VIB852054 VRX852054 WBT852054 WLP852054 WVL852054 D917590 IZ917590 SV917590 ACR917590 AMN917590 AWJ917590 BGF917590 BQB917590 BZX917590 CJT917590 CTP917590 DDL917590 DNH917590 DXD917590 EGZ917590 EQV917590 FAR917590 FKN917590 FUJ917590 GEF917590 GOB917590 GXX917590 HHT917590 HRP917590 IBL917590 ILH917590 IVD917590 JEZ917590 JOV917590 JYR917590 KIN917590 KSJ917590 LCF917590 LMB917590 LVX917590 MFT917590 MPP917590 MZL917590 NJH917590 NTD917590 OCZ917590 OMV917590 OWR917590 PGN917590 PQJ917590 QAF917590 QKB917590 QTX917590 RDT917590 RNP917590 RXL917590 SHH917590 SRD917590 TAZ917590 TKV917590 TUR917590 UEN917590 UOJ917590 UYF917590 VIB917590 VRX917590 WBT917590 WLP917590 WVL917590 D983126 IZ983126 SV983126 ACR983126 AMN983126 AWJ983126 BGF983126 BQB983126 BZX983126 CJT983126 CTP983126 DDL983126 DNH983126 DXD983126 EGZ983126 EQV983126 FAR983126 FKN983126 FUJ983126 GEF983126 GOB983126 GXX983126 HHT983126 HRP983126 IBL983126 ILH983126 IVD983126 JEZ983126 JOV983126 JYR983126 KIN983126 KSJ983126 LCF983126 LMB983126 LVX983126 MFT983126 MPP983126 MZL983126 NJH983126 NTD983126 OCZ983126 OMV983126 OWR983126 PGN983126 PQJ983126 QAF983126 QKB983126 QTX983126 RDT983126 RNP983126 RXL983126 SHH983126 SRD983126 TAZ983126 TKV983126 TUR983126 UEN983126 UOJ983126 UYF983126 VIB983126 VRX983126 WBT983126 WLP983126 WVL98312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2 IZ65542 SV65542 ACR65542 AMN65542 AWJ65542 BGF65542 BQB65542 BZX65542 CJT65542 CTP65542 DDL65542 DNH65542 DXD65542 EGZ65542 EQV65542 FAR65542 FKN65542 FUJ65542 GEF65542 GOB65542 GXX65542 HHT65542 HRP65542 IBL65542 ILH65542 IVD65542 JEZ65542 JOV65542 JYR65542 KIN65542 KSJ65542 LCF65542 LMB65542 LVX65542 MFT65542 MPP65542 MZL65542 NJH65542 NTD65542 OCZ65542 OMV65542 OWR65542 PGN65542 PQJ65542 QAF65542 QKB65542 QTX65542 RDT65542 RNP65542 RXL65542 SHH65542 SRD65542 TAZ65542 TKV65542 TUR65542 UEN65542 UOJ65542 UYF65542 VIB65542 VRX65542 WBT65542 WLP65542 WVL65542 D131078 IZ131078 SV131078 ACR131078 AMN131078 AWJ131078 BGF131078 BQB131078 BZX131078 CJT131078 CTP131078 DDL131078 DNH131078 DXD131078 EGZ131078 EQV131078 FAR131078 FKN131078 FUJ131078 GEF131078 GOB131078 GXX131078 HHT131078 HRP131078 IBL131078 ILH131078 IVD131078 JEZ131078 JOV131078 JYR131078 KIN131078 KSJ131078 LCF131078 LMB131078 LVX131078 MFT131078 MPP131078 MZL131078 NJH131078 NTD131078 OCZ131078 OMV131078 OWR131078 PGN131078 PQJ131078 QAF131078 QKB131078 QTX131078 RDT131078 RNP131078 RXL131078 SHH131078 SRD131078 TAZ131078 TKV131078 TUR131078 UEN131078 UOJ131078 UYF131078 VIB131078 VRX131078 WBT131078 WLP131078 WVL131078 D196614 IZ196614 SV196614 ACR196614 AMN196614 AWJ196614 BGF196614 BQB196614 BZX196614 CJT196614 CTP196614 DDL196614 DNH196614 DXD196614 EGZ196614 EQV196614 FAR196614 FKN196614 FUJ196614 GEF196614 GOB196614 GXX196614 HHT196614 HRP196614 IBL196614 ILH196614 IVD196614 JEZ196614 JOV196614 JYR196614 KIN196614 KSJ196614 LCF196614 LMB196614 LVX196614 MFT196614 MPP196614 MZL196614 NJH196614 NTD196614 OCZ196614 OMV196614 OWR196614 PGN196614 PQJ196614 QAF196614 QKB196614 QTX196614 RDT196614 RNP196614 RXL196614 SHH196614 SRD196614 TAZ196614 TKV196614 TUR196614 UEN196614 UOJ196614 UYF196614 VIB196614 VRX196614 WBT196614 WLP196614 WVL196614 D262150 IZ262150 SV262150 ACR262150 AMN262150 AWJ262150 BGF262150 BQB262150 BZX262150 CJT262150 CTP262150 DDL262150 DNH262150 DXD262150 EGZ262150 EQV262150 FAR262150 FKN262150 FUJ262150 GEF262150 GOB262150 GXX262150 HHT262150 HRP262150 IBL262150 ILH262150 IVD262150 JEZ262150 JOV262150 JYR262150 KIN262150 KSJ262150 LCF262150 LMB262150 LVX262150 MFT262150 MPP262150 MZL262150 NJH262150 NTD262150 OCZ262150 OMV262150 OWR262150 PGN262150 PQJ262150 QAF262150 QKB262150 QTX262150 RDT262150 RNP262150 RXL262150 SHH262150 SRD262150 TAZ262150 TKV262150 TUR262150 UEN262150 UOJ262150 UYF262150 VIB262150 VRX262150 WBT262150 WLP262150 WVL262150 D327686 IZ327686 SV327686 ACR327686 AMN327686 AWJ327686 BGF327686 BQB327686 BZX327686 CJT327686 CTP327686 DDL327686 DNH327686 DXD327686 EGZ327686 EQV327686 FAR327686 FKN327686 FUJ327686 GEF327686 GOB327686 GXX327686 HHT327686 HRP327686 IBL327686 ILH327686 IVD327686 JEZ327686 JOV327686 JYR327686 KIN327686 KSJ327686 LCF327686 LMB327686 LVX327686 MFT327686 MPP327686 MZL327686 NJH327686 NTD327686 OCZ327686 OMV327686 OWR327686 PGN327686 PQJ327686 QAF327686 QKB327686 QTX327686 RDT327686 RNP327686 RXL327686 SHH327686 SRD327686 TAZ327686 TKV327686 TUR327686 UEN327686 UOJ327686 UYF327686 VIB327686 VRX327686 WBT327686 WLP327686 WVL327686 D393222 IZ393222 SV393222 ACR393222 AMN393222 AWJ393222 BGF393222 BQB393222 BZX393222 CJT393222 CTP393222 DDL393222 DNH393222 DXD393222 EGZ393222 EQV393222 FAR393222 FKN393222 FUJ393222 GEF393222 GOB393222 GXX393222 HHT393222 HRP393222 IBL393222 ILH393222 IVD393222 JEZ393222 JOV393222 JYR393222 KIN393222 KSJ393222 LCF393222 LMB393222 LVX393222 MFT393222 MPP393222 MZL393222 NJH393222 NTD393222 OCZ393222 OMV393222 OWR393222 PGN393222 PQJ393222 QAF393222 QKB393222 QTX393222 RDT393222 RNP393222 RXL393222 SHH393222 SRD393222 TAZ393222 TKV393222 TUR393222 UEN393222 UOJ393222 UYF393222 VIB393222 VRX393222 WBT393222 WLP393222 WVL393222 D458758 IZ458758 SV458758 ACR458758 AMN458758 AWJ458758 BGF458758 BQB458758 BZX458758 CJT458758 CTP458758 DDL458758 DNH458758 DXD458758 EGZ458758 EQV458758 FAR458758 FKN458758 FUJ458758 GEF458758 GOB458758 GXX458758 HHT458758 HRP458758 IBL458758 ILH458758 IVD458758 JEZ458758 JOV458758 JYR458758 KIN458758 KSJ458758 LCF458758 LMB458758 LVX458758 MFT458758 MPP458758 MZL458758 NJH458758 NTD458758 OCZ458758 OMV458758 OWR458758 PGN458758 PQJ458758 QAF458758 QKB458758 QTX458758 RDT458758 RNP458758 RXL458758 SHH458758 SRD458758 TAZ458758 TKV458758 TUR458758 UEN458758 UOJ458758 UYF458758 VIB458758 VRX458758 WBT458758 WLP458758 WVL458758 D524294 IZ524294 SV524294 ACR524294 AMN524294 AWJ524294 BGF524294 BQB524294 BZX524294 CJT524294 CTP524294 DDL524294 DNH524294 DXD524294 EGZ524294 EQV524294 FAR524294 FKN524294 FUJ524294 GEF524294 GOB524294 GXX524294 HHT524294 HRP524294 IBL524294 ILH524294 IVD524294 JEZ524294 JOV524294 JYR524294 KIN524294 KSJ524294 LCF524294 LMB524294 LVX524294 MFT524294 MPP524294 MZL524294 NJH524294 NTD524294 OCZ524294 OMV524294 OWR524294 PGN524294 PQJ524294 QAF524294 QKB524294 QTX524294 RDT524294 RNP524294 RXL524294 SHH524294 SRD524294 TAZ524294 TKV524294 TUR524294 UEN524294 UOJ524294 UYF524294 VIB524294 VRX524294 WBT524294 WLP524294 WVL524294 D589830 IZ589830 SV589830 ACR589830 AMN589830 AWJ589830 BGF589830 BQB589830 BZX589830 CJT589830 CTP589830 DDL589830 DNH589830 DXD589830 EGZ589830 EQV589830 FAR589830 FKN589830 FUJ589830 GEF589830 GOB589830 GXX589830 HHT589830 HRP589830 IBL589830 ILH589830 IVD589830 JEZ589830 JOV589830 JYR589830 KIN589830 KSJ589830 LCF589830 LMB589830 LVX589830 MFT589830 MPP589830 MZL589830 NJH589830 NTD589830 OCZ589830 OMV589830 OWR589830 PGN589830 PQJ589830 QAF589830 QKB589830 QTX589830 RDT589830 RNP589830 RXL589830 SHH589830 SRD589830 TAZ589830 TKV589830 TUR589830 UEN589830 UOJ589830 UYF589830 VIB589830 VRX589830 WBT589830 WLP589830 WVL589830 D655366 IZ655366 SV655366 ACR655366 AMN655366 AWJ655366 BGF655366 BQB655366 BZX655366 CJT655366 CTP655366 DDL655366 DNH655366 DXD655366 EGZ655366 EQV655366 FAR655366 FKN655366 FUJ655366 GEF655366 GOB655366 GXX655366 HHT655366 HRP655366 IBL655366 ILH655366 IVD655366 JEZ655366 JOV655366 JYR655366 KIN655366 KSJ655366 LCF655366 LMB655366 LVX655366 MFT655366 MPP655366 MZL655366 NJH655366 NTD655366 OCZ655366 OMV655366 OWR655366 PGN655366 PQJ655366 QAF655366 QKB655366 QTX655366 RDT655366 RNP655366 RXL655366 SHH655366 SRD655366 TAZ655366 TKV655366 TUR655366 UEN655366 UOJ655366 UYF655366 VIB655366 VRX655366 WBT655366 WLP655366 WVL655366 D720902 IZ720902 SV720902 ACR720902 AMN720902 AWJ720902 BGF720902 BQB720902 BZX720902 CJT720902 CTP720902 DDL720902 DNH720902 DXD720902 EGZ720902 EQV720902 FAR720902 FKN720902 FUJ720902 GEF720902 GOB720902 GXX720902 HHT720902 HRP720902 IBL720902 ILH720902 IVD720902 JEZ720902 JOV720902 JYR720902 KIN720902 KSJ720902 LCF720902 LMB720902 LVX720902 MFT720902 MPP720902 MZL720902 NJH720902 NTD720902 OCZ720902 OMV720902 OWR720902 PGN720902 PQJ720902 QAF720902 QKB720902 QTX720902 RDT720902 RNP720902 RXL720902 SHH720902 SRD720902 TAZ720902 TKV720902 TUR720902 UEN720902 UOJ720902 UYF720902 VIB720902 VRX720902 WBT720902 WLP720902 WVL720902 D786438 IZ786438 SV786438 ACR786438 AMN786438 AWJ786438 BGF786438 BQB786438 BZX786438 CJT786438 CTP786438 DDL786438 DNH786438 DXD786438 EGZ786438 EQV786438 FAR786438 FKN786438 FUJ786438 GEF786438 GOB786438 GXX786438 HHT786438 HRP786438 IBL786438 ILH786438 IVD786438 JEZ786438 JOV786438 JYR786438 KIN786438 KSJ786438 LCF786438 LMB786438 LVX786438 MFT786438 MPP786438 MZL786438 NJH786438 NTD786438 OCZ786438 OMV786438 OWR786438 PGN786438 PQJ786438 QAF786438 QKB786438 QTX786438 RDT786438 RNP786438 RXL786438 SHH786438 SRD786438 TAZ786438 TKV786438 TUR786438 UEN786438 UOJ786438 UYF786438 VIB786438 VRX786438 WBT786438 WLP786438 WVL786438 D851974 IZ851974 SV851974 ACR851974 AMN851974 AWJ851974 BGF851974 BQB851974 BZX851974 CJT851974 CTP851974 DDL851974 DNH851974 DXD851974 EGZ851974 EQV851974 FAR851974 FKN851974 FUJ851974 GEF851974 GOB851974 GXX851974 HHT851974 HRP851974 IBL851974 ILH851974 IVD851974 JEZ851974 JOV851974 JYR851974 KIN851974 KSJ851974 LCF851974 LMB851974 LVX851974 MFT851974 MPP851974 MZL851974 NJH851974 NTD851974 OCZ851974 OMV851974 OWR851974 PGN851974 PQJ851974 QAF851974 QKB851974 QTX851974 RDT851974 RNP851974 RXL851974 SHH851974 SRD851974 TAZ851974 TKV851974 TUR851974 UEN851974 UOJ851974 UYF851974 VIB851974 VRX851974 WBT851974 WLP851974 WVL851974 D917510 IZ917510 SV917510 ACR917510 AMN917510 AWJ917510 BGF917510 BQB917510 BZX917510 CJT917510 CTP917510 DDL917510 DNH917510 DXD917510 EGZ917510 EQV917510 FAR917510 FKN917510 FUJ917510 GEF917510 GOB917510 GXX917510 HHT917510 HRP917510 IBL917510 ILH917510 IVD917510 JEZ917510 JOV917510 JYR917510 KIN917510 KSJ917510 LCF917510 LMB917510 LVX917510 MFT917510 MPP917510 MZL917510 NJH917510 NTD917510 OCZ917510 OMV917510 OWR917510 PGN917510 PQJ917510 QAF917510 QKB917510 QTX917510 RDT917510 RNP917510 RXL917510 SHH917510 SRD917510 TAZ917510 TKV917510 TUR917510 UEN917510 UOJ917510 UYF917510 VIB917510 VRX917510 WBT917510 WLP917510 WVL917510 D983046 IZ983046 SV983046 ACR983046 AMN983046 AWJ983046 BGF983046 BQB983046 BZX983046 CJT983046 CTP983046 DDL983046 DNH983046 DXD983046 EGZ983046 EQV983046 FAR983046 FKN983046 FUJ983046 GEF983046 GOB983046 GXX983046 HHT983046 HRP983046 IBL983046 ILH983046 IVD983046 JEZ983046 JOV983046 JYR983046 KIN983046 KSJ983046 LCF983046 LMB983046 LVX983046 MFT983046 MPP983046 MZL983046 NJH983046 NTD983046 OCZ983046 OMV983046 OWR983046 PGN983046 PQJ983046 QAF983046 QKB983046 QTX983046 RDT983046 RNP983046 RXL983046 SHH983046 SRD983046 TAZ983046 TKV983046 TUR983046 UEN983046 UOJ983046 UYF983046 VIB983046 VRX983046 WBT983046 WLP983046 WVL983046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128"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B140-9389-4943-B508-CF1F39EEB954}">
  <sheetPr>
    <tabColor rgb="FF99CCFF"/>
  </sheetPr>
  <dimension ref="A1:Y44"/>
  <sheetViews>
    <sheetView view="pageBreakPreview" topLeftCell="A19" zoomScaleNormal="100" zoomScaleSheetLayoutView="100" workbookViewId="0">
      <selection activeCell="X21" sqref="X21"/>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1026</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765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C09C-6B1E-40AA-BD31-2F7128B5FA4A}">
  <sheetPr>
    <tabColor rgb="FFFFFF00"/>
  </sheetPr>
  <dimension ref="A1:AI170"/>
  <sheetViews>
    <sheetView showZeros="0" view="pageBreakPreview" topLeftCell="A85" zoomScaleNormal="100" zoomScaleSheetLayoutView="100" workbookViewId="0">
      <selection activeCell="X21" sqref="X21"/>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35"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35" ht="21" customHeight="1">
      <c r="A3" s="923"/>
      <c r="B3" s="924"/>
      <c r="C3" s="924"/>
      <c r="D3" s="924"/>
      <c r="E3" s="924"/>
      <c r="F3" s="924"/>
      <c r="G3" s="925"/>
      <c r="H3" s="937" t="str">
        <f>Title!H3</f>
        <v xml:space="preserve">132/33kV SUBSTATION DF4W    AT AL DHAFRA AREA </v>
      </c>
      <c r="I3" s="938"/>
      <c r="J3" s="938"/>
      <c r="K3" s="938"/>
      <c r="L3" s="938"/>
      <c r="M3" s="938"/>
      <c r="N3" s="939"/>
      <c r="O3" s="885" t="str">
        <f>Title!O3</f>
        <v>Document No.</v>
      </c>
      <c r="P3" s="886"/>
      <c r="Q3" s="887"/>
      <c r="R3" s="880" t="str">
        <f>Title!R3</f>
        <v>-</v>
      </c>
      <c r="S3" s="881"/>
      <c r="T3" s="881"/>
      <c r="U3" s="881"/>
      <c r="V3" s="943"/>
      <c r="W3" s="14"/>
      <c r="X3" s="14"/>
    </row>
    <row r="4" spans="1:35" ht="18" customHeight="1">
      <c r="A4" s="926"/>
      <c r="B4" s="927"/>
      <c r="C4" s="927"/>
      <c r="D4" s="927"/>
      <c r="E4" s="927"/>
      <c r="F4" s="927"/>
      <c r="G4" s="928"/>
      <c r="H4" s="940"/>
      <c r="I4" s="941"/>
      <c r="J4" s="941"/>
      <c r="K4" s="941"/>
      <c r="L4" s="941"/>
      <c r="M4" s="941"/>
      <c r="N4" s="942"/>
      <c r="O4" s="885" t="str">
        <f>Title!O4</f>
        <v>Revision No.</v>
      </c>
      <c r="P4" s="886"/>
      <c r="Q4" s="887"/>
      <c r="R4" s="931" t="str">
        <f>Title!R4</f>
        <v>A</v>
      </c>
      <c r="S4" s="932"/>
      <c r="T4" s="932"/>
      <c r="U4" s="932"/>
      <c r="V4" s="933"/>
      <c r="W4" s="14"/>
      <c r="X4" s="14"/>
    </row>
    <row r="5" spans="1:35" ht="18" customHeight="1">
      <c r="A5" s="880" t="str">
        <f>Title!A5</f>
        <v>Prep. By</v>
      </c>
      <c r="B5" s="943"/>
      <c r="C5" s="25" t="str">
        <f>Title!C5</f>
        <v>AP</v>
      </c>
      <c r="D5" s="880" t="str">
        <f>Title!D5</f>
        <v>Checked By</v>
      </c>
      <c r="E5" s="881"/>
      <c r="F5" s="943"/>
      <c r="G5" s="25" t="str">
        <f>Title!G5</f>
        <v>RB</v>
      </c>
      <c r="H5" s="1346" t="s">
        <v>1022</v>
      </c>
      <c r="I5" s="1347"/>
      <c r="J5" s="1347"/>
      <c r="K5" s="1347"/>
      <c r="L5" s="1347"/>
      <c r="M5" s="1347"/>
      <c r="N5" s="1348"/>
      <c r="O5" s="947" t="str">
        <f>Title!O5</f>
        <v>Contractor</v>
      </c>
      <c r="P5" s="948"/>
      <c r="Q5" s="949"/>
      <c r="R5" s="931" t="str">
        <f>Title!R5</f>
        <v>HITACHI</v>
      </c>
      <c r="S5" s="932"/>
      <c r="T5" s="932"/>
      <c r="U5" s="932"/>
      <c r="V5" s="933"/>
      <c r="W5" s="14"/>
      <c r="X5" s="14"/>
    </row>
    <row r="6" spans="1:35" ht="18" customHeight="1">
      <c r="A6" s="184"/>
      <c r="V6" s="185"/>
    </row>
    <row r="7" spans="1:35" ht="18" customHeight="1">
      <c r="A7" s="184"/>
      <c r="B7" s="781" t="s">
        <v>807</v>
      </c>
      <c r="C7" s="782"/>
      <c r="D7" s="743" t="s">
        <v>385</v>
      </c>
      <c r="E7" s="1291"/>
      <c r="V7" s="185"/>
    </row>
    <row r="8" spans="1:35" ht="18" customHeight="1">
      <c r="A8" s="184"/>
      <c r="V8" s="185"/>
    </row>
    <row r="9" spans="1:35" ht="18" customHeight="1">
      <c r="A9" s="184"/>
      <c r="B9" s="30" t="s">
        <v>774</v>
      </c>
      <c r="H9" s="188">
        <v>132</v>
      </c>
      <c r="I9" s="189" t="s">
        <v>775</v>
      </c>
      <c r="J9" s="191" t="s">
        <v>342</v>
      </c>
      <c r="K9" s="122">
        <v>0.11</v>
      </c>
      <c r="L9" s="189" t="s">
        <v>775</v>
      </c>
      <c r="M9" s="30" t="s">
        <v>163</v>
      </c>
      <c r="V9" s="185"/>
    </row>
    <row r="10" spans="1:35" ht="18" customHeight="1">
      <c r="A10" s="184"/>
      <c r="B10" s="30" t="s">
        <v>776</v>
      </c>
      <c r="H10" s="781" t="s">
        <v>795</v>
      </c>
      <c r="I10" s="782"/>
      <c r="V10" s="185"/>
    </row>
    <row r="11" spans="1:35" ht="18" customHeight="1">
      <c r="A11" s="184"/>
      <c r="B11" s="30" t="s">
        <v>562</v>
      </c>
      <c r="H11" s="781">
        <v>100</v>
      </c>
      <c r="I11" s="782"/>
      <c r="J11" s="30" t="s">
        <v>157</v>
      </c>
      <c r="V11" s="185"/>
      <c r="W11" s="30" t="str">
        <f>G40</f>
        <v>Suitably Dimensioned</v>
      </c>
    </row>
    <row r="12" spans="1:35" ht="18" customHeight="1">
      <c r="A12" s="184"/>
      <c r="V12" s="185"/>
    </row>
    <row r="13" spans="1:35" ht="18" customHeight="1">
      <c r="A13" s="184"/>
      <c r="V13" s="185"/>
    </row>
    <row r="14" spans="1:35" ht="18" customHeight="1">
      <c r="A14" s="184"/>
      <c r="C14" s="135" t="s">
        <v>405</v>
      </c>
      <c r="D14" s="273"/>
      <c r="E14" s="498" t="s">
        <v>388</v>
      </c>
      <c r="F14" s="384"/>
      <c r="G14" s="384"/>
      <c r="H14" s="384"/>
      <c r="I14" s="138"/>
      <c r="J14" s="260" t="s">
        <v>127</v>
      </c>
      <c r="K14" s="1108">
        <f>'CT-VT Burdens'!S104</f>
        <v>0.02</v>
      </c>
      <c r="L14" s="788"/>
      <c r="M14" s="3" t="s">
        <v>157</v>
      </c>
      <c r="O14" s="14"/>
      <c r="V14" s="185"/>
    </row>
    <row r="15" spans="1:35" ht="18" customHeight="1">
      <c r="A15" s="184"/>
      <c r="C15" s="96" t="s">
        <v>405</v>
      </c>
      <c r="D15" s="14"/>
      <c r="E15" s="30" t="s">
        <v>967</v>
      </c>
      <c r="F15" s="14"/>
      <c r="G15" s="14"/>
      <c r="H15" s="199"/>
      <c r="I15" s="27"/>
      <c r="J15" s="101" t="s">
        <v>127</v>
      </c>
      <c r="K15" s="1108">
        <f>'CT-VT Burdens'!S118</f>
        <v>0.1</v>
      </c>
      <c r="L15" s="788"/>
      <c r="M15" s="202" t="s">
        <v>157</v>
      </c>
      <c r="O15" s="14"/>
      <c r="V15" s="185"/>
      <c r="Y15" s="96" t="s">
        <v>405</v>
      </c>
      <c r="Z15" s="14"/>
      <c r="AA15" s="47" t="s">
        <v>778</v>
      </c>
      <c r="AB15" s="14"/>
      <c r="AD15" s="199"/>
      <c r="AE15" s="27"/>
      <c r="AF15" s="101" t="s">
        <v>127</v>
      </c>
      <c r="AG15" s="1108">
        <f>'CT-VT Burdens'!AO104</f>
        <v>0</v>
      </c>
      <c r="AH15" s="788"/>
      <c r="AI15" s="202" t="s">
        <v>157</v>
      </c>
    </row>
    <row r="16" spans="1:35" ht="18" customHeight="1">
      <c r="A16" s="184"/>
      <c r="C16" s="96" t="s">
        <v>405</v>
      </c>
      <c r="D16" s="14"/>
      <c r="E16" s="1251" t="s">
        <v>595</v>
      </c>
      <c r="F16" s="1286"/>
      <c r="H16" s="199"/>
      <c r="I16" s="27"/>
      <c r="J16" s="101" t="s">
        <v>127</v>
      </c>
      <c r="K16" s="1108">
        <f>'CT-VT Burdens'!S104</f>
        <v>0.02</v>
      </c>
      <c r="L16" s="788"/>
      <c r="M16" s="202" t="s">
        <v>157</v>
      </c>
      <c r="O16" s="14"/>
      <c r="V16" s="185"/>
      <c r="Y16" s="96" t="s">
        <v>405</v>
      </c>
      <c r="Z16" s="14"/>
      <c r="AA16" s="47" t="s">
        <v>194</v>
      </c>
      <c r="AB16" s="14"/>
      <c r="AD16" s="199"/>
      <c r="AE16" s="27"/>
      <c r="AF16" s="101" t="s">
        <v>127</v>
      </c>
      <c r="AG16" s="1108">
        <f>'CT-VT Burdens'!AO149</f>
        <v>0</v>
      </c>
      <c r="AH16" s="788"/>
      <c r="AI16" s="202" t="s">
        <v>157</v>
      </c>
    </row>
    <row r="17" spans="1:35" ht="18" customHeight="1">
      <c r="A17" s="184"/>
      <c r="C17" s="96" t="s">
        <v>405</v>
      </c>
      <c r="D17" s="14"/>
      <c r="E17" s="296" t="s">
        <v>508</v>
      </c>
      <c r="F17" s="14"/>
      <c r="H17" s="199"/>
      <c r="I17" s="28"/>
      <c r="J17" s="101" t="s">
        <v>127</v>
      </c>
      <c r="K17" s="1108">
        <f>'CT-VT Burdens'!S104</f>
        <v>0.02</v>
      </c>
      <c r="L17" s="788"/>
      <c r="M17" s="202" t="s">
        <v>157</v>
      </c>
      <c r="O17" s="14"/>
      <c r="V17" s="185"/>
      <c r="Y17" s="96" t="s">
        <v>405</v>
      </c>
      <c r="Z17" s="14"/>
      <c r="AA17" s="47" t="s">
        <v>779</v>
      </c>
      <c r="AB17" s="14"/>
      <c r="AD17" s="199"/>
      <c r="AE17" s="28" t="s">
        <v>129</v>
      </c>
      <c r="AF17" s="101" t="s">
        <v>127</v>
      </c>
      <c r="AG17" s="1108">
        <v>0.2</v>
      </c>
      <c r="AH17" s="788"/>
      <c r="AI17" s="202" t="s">
        <v>157</v>
      </c>
    </row>
    <row r="18" spans="1:35" ht="18" customHeight="1">
      <c r="A18" s="184"/>
      <c r="C18" s="184" t="s">
        <v>405</v>
      </c>
      <c r="D18" s="14"/>
      <c r="E18" s="296" t="s">
        <v>205</v>
      </c>
      <c r="F18" s="14"/>
      <c r="H18" s="199"/>
      <c r="I18" s="28"/>
      <c r="J18" s="177" t="s">
        <v>127</v>
      </c>
      <c r="K18" s="1108">
        <f>'CT-VT Burdens'!S119</f>
        <v>0.1</v>
      </c>
      <c r="L18" s="788"/>
      <c r="M18" s="202" t="s">
        <v>157</v>
      </c>
      <c r="O18" s="14"/>
      <c r="V18" s="185"/>
      <c r="Y18" s="96"/>
      <c r="Z18" s="14"/>
      <c r="AA18" s="47"/>
      <c r="AB18" s="14"/>
      <c r="AD18" s="199"/>
      <c r="AE18" s="28"/>
      <c r="AF18" s="101"/>
      <c r="AG18" s="200"/>
      <c r="AH18" s="201"/>
      <c r="AI18" s="202"/>
    </row>
    <row r="19" spans="1:35" ht="18" customHeight="1">
      <c r="A19" s="184"/>
      <c r="B19" s="117"/>
      <c r="C19" s="184" t="s">
        <v>405</v>
      </c>
      <c r="D19" s="14"/>
      <c r="E19" s="296"/>
      <c r="F19" s="14"/>
      <c r="H19" s="199"/>
      <c r="I19" s="28"/>
      <c r="J19" s="101" t="s">
        <v>127</v>
      </c>
      <c r="K19" s="1108"/>
      <c r="L19" s="788"/>
      <c r="M19" s="202" t="s">
        <v>157</v>
      </c>
      <c r="N19" s="14"/>
      <c r="O19" s="14"/>
      <c r="P19" s="28"/>
      <c r="Q19" s="199"/>
      <c r="R19" s="14"/>
      <c r="S19" s="14"/>
      <c r="T19" s="14"/>
      <c r="U19" s="14"/>
      <c r="V19" s="185"/>
      <c r="Y19" s="96" t="s">
        <v>405</v>
      </c>
      <c r="Z19" s="14"/>
      <c r="AA19" s="47" t="s">
        <v>780</v>
      </c>
      <c r="AB19" s="14"/>
      <c r="AD19" s="199"/>
      <c r="AE19" s="28" t="s">
        <v>129</v>
      </c>
      <c r="AF19" s="101" t="s">
        <v>127</v>
      </c>
      <c r="AG19" s="1108">
        <v>1</v>
      </c>
      <c r="AH19" s="788"/>
      <c r="AI19" s="202" t="s">
        <v>157</v>
      </c>
    </row>
    <row r="20" spans="1:35" ht="18" customHeight="1">
      <c r="A20" s="184"/>
      <c r="B20" s="117"/>
      <c r="C20" s="96" t="s">
        <v>405</v>
      </c>
      <c r="D20" s="14"/>
      <c r="E20" s="296"/>
      <c r="F20" s="14"/>
      <c r="H20" s="199"/>
      <c r="I20" s="28"/>
      <c r="J20" s="177" t="s">
        <v>127</v>
      </c>
      <c r="K20" s="1108"/>
      <c r="L20" s="1104"/>
      <c r="M20" s="202"/>
      <c r="N20" s="14"/>
      <c r="O20" s="14"/>
      <c r="P20" s="28"/>
      <c r="Q20" s="199"/>
      <c r="R20" s="14"/>
      <c r="S20" s="14"/>
      <c r="T20" s="14"/>
      <c r="U20" s="14"/>
      <c r="V20" s="185"/>
      <c r="Y20" s="14"/>
      <c r="Z20" s="14"/>
      <c r="AA20" s="47"/>
      <c r="AB20" s="14"/>
      <c r="AD20" s="199"/>
      <c r="AE20" s="28"/>
      <c r="AF20" s="28"/>
      <c r="AG20" s="553"/>
      <c r="AH20" s="554"/>
      <c r="AI20" s="47"/>
    </row>
    <row r="21" spans="1:35" ht="18" customHeight="1">
      <c r="A21" s="184"/>
      <c r="B21" s="117"/>
      <c r="C21" s="184" t="s">
        <v>1040</v>
      </c>
      <c r="D21" s="14"/>
      <c r="E21" s="296"/>
      <c r="F21" s="14"/>
      <c r="H21" s="199"/>
      <c r="I21" s="28"/>
      <c r="J21" s="177"/>
      <c r="K21" s="200"/>
      <c r="L21" s="639"/>
      <c r="M21" s="202"/>
      <c r="N21" s="14"/>
      <c r="O21" s="14"/>
      <c r="P21" s="28"/>
      <c r="Q21" s="199"/>
      <c r="R21" s="14"/>
      <c r="S21" s="14"/>
      <c r="T21" s="14"/>
      <c r="U21" s="14"/>
      <c r="V21" s="185"/>
      <c r="Y21" s="14"/>
      <c r="Z21" s="14"/>
      <c r="AA21" s="47"/>
      <c r="AB21" s="14"/>
      <c r="AD21" s="199"/>
      <c r="AE21" s="28"/>
      <c r="AF21" s="28"/>
      <c r="AG21" s="553"/>
      <c r="AH21" s="554"/>
      <c r="AI21" s="47"/>
    </row>
    <row r="22" spans="1:35" ht="18" customHeight="1">
      <c r="A22" s="184"/>
      <c r="C22" s="96" t="s">
        <v>781</v>
      </c>
      <c r="D22" s="14"/>
      <c r="E22" s="47"/>
      <c r="F22" s="14"/>
      <c r="H22" s="199"/>
      <c r="I22" s="27"/>
      <c r="J22" s="101" t="s">
        <v>127</v>
      </c>
      <c r="K22" s="696">
        <f>'CT-VT Burdens'!S90</f>
        <v>3.4519201599999998</v>
      </c>
      <c r="L22" s="820"/>
      <c r="M22" s="202" t="s">
        <v>157</v>
      </c>
      <c r="R22" s="14"/>
      <c r="S22" s="14"/>
      <c r="T22" s="14"/>
      <c r="U22" s="281"/>
      <c r="V22" s="185"/>
    </row>
    <row r="23" spans="1:35" ht="18" customHeight="1">
      <c r="A23" s="184"/>
      <c r="C23" s="184" t="s">
        <v>412</v>
      </c>
      <c r="D23" s="14"/>
      <c r="E23" s="14"/>
      <c r="F23" s="14"/>
      <c r="I23" s="27"/>
      <c r="J23" s="101" t="s">
        <v>127</v>
      </c>
      <c r="K23" s="696">
        <f>'CT-VT Burdens'!S69</f>
        <v>2.5889401199999997</v>
      </c>
      <c r="L23" s="813"/>
      <c r="M23" s="297" t="s">
        <v>157</v>
      </c>
      <c r="R23" s="14"/>
      <c r="S23" s="14"/>
      <c r="T23" s="14"/>
      <c r="U23" s="281"/>
      <c r="V23" s="185"/>
    </row>
    <row r="24" spans="1:35" ht="18" customHeight="1">
      <c r="A24" s="184"/>
      <c r="C24" s="1" t="s">
        <v>413</v>
      </c>
      <c r="D24" s="2"/>
      <c r="E24" s="2"/>
      <c r="F24" s="2"/>
      <c r="G24" s="196"/>
      <c r="H24" s="196"/>
      <c r="I24" s="224" t="s">
        <v>512</v>
      </c>
      <c r="J24" s="183" t="s">
        <v>127</v>
      </c>
      <c r="K24" s="1349">
        <f>K22+K23</f>
        <v>6.0408602799999995</v>
      </c>
      <c r="L24" s="1350"/>
      <c r="M24" s="3" t="s">
        <v>157</v>
      </c>
      <c r="R24" s="14"/>
      <c r="S24" s="14"/>
      <c r="T24" s="14"/>
      <c r="U24" s="281"/>
      <c r="V24" s="185"/>
    </row>
    <row r="25" spans="1:35" ht="18" customHeight="1">
      <c r="A25" s="184"/>
      <c r="R25" s="14"/>
      <c r="S25" s="14"/>
      <c r="T25" s="14"/>
      <c r="U25" s="14"/>
      <c r="V25" s="185"/>
    </row>
    <row r="26" spans="1:35" ht="18" customHeight="1">
      <c r="A26" s="184"/>
      <c r="R26" s="14"/>
      <c r="S26" s="14"/>
      <c r="T26" s="14"/>
      <c r="U26" s="186"/>
      <c r="V26" s="185"/>
    </row>
    <row r="27" spans="1:35" ht="18" customHeight="1">
      <c r="A27" s="184"/>
      <c r="B27" s="117" t="s">
        <v>782</v>
      </c>
      <c r="V27" s="185"/>
    </row>
    <row r="28" spans="1:35" ht="18" customHeight="1">
      <c r="A28" s="184"/>
      <c r="V28" s="185"/>
    </row>
    <row r="29" spans="1:35" ht="18" customHeight="1">
      <c r="A29" s="184"/>
      <c r="B29" s="14" t="s">
        <v>783</v>
      </c>
      <c r="C29" s="14"/>
      <c r="D29" s="120"/>
      <c r="J29" s="28" t="s">
        <v>127</v>
      </c>
      <c r="K29" s="47" t="s">
        <v>781</v>
      </c>
      <c r="M29" s="47"/>
      <c r="N29" s="47"/>
      <c r="P29" s="102" t="s">
        <v>342</v>
      </c>
      <c r="Q29" s="30" t="s">
        <v>784</v>
      </c>
      <c r="R29" s="14"/>
      <c r="V29" s="185"/>
    </row>
    <row r="30" spans="1:35" ht="18" customHeight="1">
      <c r="A30" s="184"/>
      <c r="B30" s="14"/>
      <c r="C30" s="14"/>
      <c r="D30" s="120"/>
      <c r="J30" s="28" t="s">
        <v>127</v>
      </c>
      <c r="K30" s="692">
        <f>K22</f>
        <v>3.4519201599999998</v>
      </c>
      <c r="L30" s="689"/>
      <c r="M30" s="102" t="s">
        <v>342</v>
      </c>
      <c r="N30" s="692">
        <f>K9/SQRT(3)*1000</f>
        <v>63.508529610858844</v>
      </c>
      <c r="O30" s="689"/>
      <c r="V30" s="185"/>
    </row>
    <row r="31" spans="1:35" ht="18" customHeight="1">
      <c r="A31" s="184"/>
      <c r="B31" s="14"/>
      <c r="C31" s="14"/>
      <c r="D31" s="120"/>
      <c r="J31" s="28" t="s">
        <v>127</v>
      </c>
      <c r="K31" s="688">
        <f>K30/N30</f>
        <v>5.4353646370829879E-2</v>
      </c>
      <c r="L31" s="688"/>
      <c r="M31" s="47" t="s">
        <v>8</v>
      </c>
      <c r="N31" s="47"/>
      <c r="O31" s="14"/>
      <c r="P31" s="28"/>
      <c r="Q31" s="14"/>
      <c r="R31" s="14"/>
      <c r="V31" s="185"/>
    </row>
    <row r="32" spans="1:35" ht="18" customHeight="1">
      <c r="A32" s="184"/>
      <c r="V32" s="185"/>
    </row>
    <row r="33" spans="1:22" ht="18" customHeight="1">
      <c r="A33" s="184"/>
      <c r="B33" s="14" t="s">
        <v>785</v>
      </c>
      <c r="C33" s="14"/>
      <c r="D33" s="14"/>
      <c r="E33" s="14"/>
      <c r="F33" s="14"/>
      <c r="G33" s="14"/>
      <c r="H33" s="14"/>
      <c r="I33" s="47"/>
      <c r="J33" s="28" t="s">
        <v>127</v>
      </c>
      <c r="K33" s="689" t="s">
        <v>786</v>
      </c>
      <c r="L33" s="689"/>
      <c r="M33" s="28" t="s">
        <v>315</v>
      </c>
      <c r="N33" s="47" t="s">
        <v>787</v>
      </c>
      <c r="O33" s="14"/>
      <c r="P33" s="28"/>
      <c r="Q33" s="466"/>
      <c r="V33" s="185"/>
    </row>
    <row r="34" spans="1:22" ht="18" customHeight="1">
      <c r="A34" s="184"/>
      <c r="J34" s="28" t="s">
        <v>127</v>
      </c>
      <c r="K34" s="684">
        <f>K31*K31</f>
        <v>2.9543188738052283E-3</v>
      </c>
      <c r="L34" s="684"/>
      <c r="M34" s="28" t="s">
        <v>315</v>
      </c>
      <c r="N34" s="795">
        <f>'CT-VT Burdens'!S69</f>
        <v>2.5889401199999997</v>
      </c>
      <c r="O34" s="795"/>
      <c r="V34" s="185"/>
    </row>
    <row r="35" spans="1:22" ht="18" customHeight="1">
      <c r="A35" s="184"/>
      <c r="J35" s="28" t="s">
        <v>127</v>
      </c>
      <c r="K35" s="1145">
        <f>K34*N34</f>
        <v>7.6485546596675716E-3</v>
      </c>
      <c r="L35" s="1145"/>
      <c r="M35" s="30" t="s">
        <v>157</v>
      </c>
      <c r="V35" s="185"/>
    </row>
    <row r="36" spans="1:22" ht="18" customHeight="1">
      <c r="A36" s="184"/>
      <c r="V36" s="185"/>
    </row>
    <row r="37" spans="1:22" ht="18" customHeight="1">
      <c r="A37" s="184"/>
      <c r="B37" s="14" t="s">
        <v>788</v>
      </c>
      <c r="C37" s="14"/>
      <c r="D37" s="14"/>
      <c r="E37" s="28"/>
      <c r="F37" s="14"/>
      <c r="G37" s="14"/>
      <c r="H37" s="102"/>
      <c r="I37" s="47"/>
      <c r="J37" s="47"/>
      <c r="K37" s="14"/>
      <c r="V37" s="185"/>
    </row>
    <row r="38" spans="1:22" ht="18" customHeight="1">
      <c r="A38" s="184"/>
      <c r="B38" s="14"/>
      <c r="C38" s="14"/>
      <c r="D38" s="257"/>
      <c r="E38" s="120" t="s">
        <v>789</v>
      </c>
      <c r="F38" s="27" t="str">
        <f>IF(D39&gt;=G39,"&gt;","&lt;")</f>
        <v>&gt;</v>
      </c>
      <c r="G38" s="281" t="s">
        <v>119</v>
      </c>
      <c r="H38" s="218"/>
      <c r="J38" s="28"/>
      <c r="K38" s="218"/>
      <c r="V38" s="185"/>
    </row>
    <row r="39" spans="1:22" ht="18" customHeight="1">
      <c r="A39" s="184"/>
      <c r="D39" s="684">
        <f>H11</f>
        <v>100</v>
      </c>
      <c r="E39" s="684"/>
      <c r="F39" s="27" t="str">
        <f>F38</f>
        <v>&gt;</v>
      </c>
      <c r="G39" s="1145">
        <f>K24</f>
        <v>6.0408602799999995</v>
      </c>
      <c r="H39" s="684"/>
      <c r="I39" s="14"/>
      <c r="J39" s="257"/>
      <c r="V39" s="185"/>
    </row>
    <row r="40" spans="1:22" ht="18" customHeight="1">
      <c r="A40" s="184"/>
      <c r="D40" s="199"/>
      <c r="E40" s="244" t="s">
        <v>790</v>
      </c>
      <c r="F40" s="27"/>
      <c r="G40" s="18" t="str">
        <f>IF(F38="&gt;","Suitably Dimensioned","Under Dimensioned")</f>
        <v>Suitably Dimensioned</v>
      </c>
      <c r="H40" s="27"/>
      <c r="I40" s="120"/>
      <c r="J40" s="27"/>
      <c r="K40" s="120"/>
      <c r="V40" s="185"/>
    </row>
    <row r="41" spans="1:22" ht="18" customHeight="1">
      <c r="A41" s="184"/>
      <c r="V41" s="185"/>
    </row>
    <row r="42" spans="1:22" ht="18" customHeight="1">
      <c r="A42" s="184"/>
      <c r="V42" s="185"/>
    </row>
    <row r="43" spans="1:22" ht="18" customHeight="1">
      <c r="A43" s="184"/>
      <c r="V43" s="185"/>
    </row>
    <row r="44" spans="1:22" ht="18" customHeight="1">
      <c r="A44" s="184"/>
      <c r="V44" s="185"/>
    </row>
    <row r="45" spans="1:22" ht="18" customHeight="1">
      <c r="A45" s="184"/>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1351"/>
      <c r="T46" s="1352"/>
      <c r="U46" s="195"/>
      <c r="V46" s="134"/>
    </row>
    <row r="47" spans="1:22"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2" ht="18" customHeight="1">
      <c r="A48" s="184"/>
      <c r="B48" s="781" t="str">
        <f>B7</f>
        <v>T15</v>
      </c>
      <c r="C48" s="782"/>
      <c r="D48" s="743" t="s">
        <v>506</v>
      </c>
      <c r="E48" s="1291"/>
      <c r="V48" s="185"/>
    </row>
    <row r="49" spans="1:23" ht="18" customHeight="1">
      <c r="A49" s="184"/>
      <c r="V49" s="185"/>
    </row>
    <row r="50" spans="1:23" ht="18" customHeight="1">
      <c r="A50" s="184"/>
      <c r="B50" s="30" t="s">
        <v>774</v>
      </c>
      <c r="H50" s="188">
        <v>132</v>
      </c>
      <c r="I50" s="189" t="s">
        <v>775</v>
      </c>
      <c r="J50" s="191" t="s">
        <v>342</v>
      </c>
      <c r="K50" s="122">
        <v>0.11</v>
      </c>
      <c r="L50" s="189" t="s">
        <v>775</v>
      </c>
      <c r="M50" s="30" t="s">
        <v>163</v>
      </c>
      <c r="V50" s="185"/>
    </row>
    <row r="51" spans="1:23" ht="18" customHeight="1">
      <c r="A51" s="184"/>
      <c r="B51" s="30" t="s">
        <v>776</v>
      </c>
      <c r="H51" s="781" t="s">
        <v>795</v>
      </c>
      <c r="I51" s="782"/>
      <c r="V51" s="185"/>
    </row>
    <row r="52" spans="1:23" ht="18" customHeight="1">
      <c r="A52" s="184"/>
      <c r="B52" s="30" t="s">
        <v>562</v>
      </c>
      <c r="H52" s="781">
        <f>H11</f>
        <v>100</v>
      </c>
      <c r="I52" s="782"/>
      <c r="J52" s="30" t="s">
        <v>157</v>
      </c>
      <c r="V52" s="185"/>
      <c r="W52" s="30" t="str">
        <f>G82</f>
        <v>Suitably Dimensioned</v>
      </c>
    </row>
    <row r="53" spans="1:23" ht="18" customHeight="1">
      <c r="A53" s="184"/>
      <c r="V53" s="185"/>
    </row>
    <row r="54" spans="1:23" ht="18" customHeight="1">
      <c r="A54" s="184"/>
      <c r="V54" s="185"/>
    </row>
    <row r="55" spans="1:23" ht="18" hidden="1" customHeight="1">
      <c r="A55" s="184"/>
      <c r="C55" s="135" t="s">
        <v>405</v>
      </c>
      <c r="D55" s="273"/>
      <c r="E55" s="498" t="s">
        <v>967</v>
      </c>
      <c r="F55" s="384"/>
      <c r="G55" s="384"/>
      <c r="H55" s="384"/>
      <c r="I55" s="138"/>
      <c r="J55" s="260" t="s">
        <v>127</v>
      </c>
      <c r="K55" s="1108"/>
      <c r="L55" s="788"/>
      <c r="M55" s="3" t="s">
        <v>157</v>
      </c>
      <c r="V55" s="185"/>
    </row>
    <row r="56" spans="1:23" ht="18" hidden="1" customHeight="1">
      <c r="A56" s="184"/>
      <c r="C56" s="96" t="s">
        <v>405</v>
      </c>
      <c r="D56" s="14"/>
      <c r="E56" s="296"/>
      <c r="F56" s="14"/>
      <c r="H56" s="199"/>
      <c r="I56" s="27"/>
      <c r="J56" s="101" t="s">
        <v>127</v>
      </c>
      <c r="K56" s="1357"/>
      <c r="L56" s="1169"/>
      <c r="M56" s="202" t="s">
        <v>157</v>
      </c>
      <c r="V56" s="185"/>
    </row>
    <row r="57" spans="1:23" ht="18" customHeight="1">
      <c r="A57" s="184"/>
      <c r="C57" s="135" t="s">
        <v>405</v>
      </c>
      <c r="D57" s="273"/>
      <c r="E57" s="498" t="s">
        <v>956</v>
      </c>
      <c r="F57" s="273"/>
      <c r="G57" s="227"/>
      <c r="H57" s="640"/>
      <c r="I57" s="311"/>
      <c r="J57" s="260" t="s">
        <v>127</v>
      </c>
      <c r="K57" s="1108">
        <f>'CT-VT Burdens'!Q152</f>
        <v>1</v>
      </c>
      <c r="L57" s="788"/>
      <c r="M57" s="202" t="s">
        <v>157</v>
      </c>
      <c r="V57" s="185"/>
    </row>
    <row r="58" spans="1:23" ht="18" customHeight="1">
      <c r="A58" s="184"/>
      <c r="C58" s="96" t="s">
        <v>405</v>
      </c>
      <c r="D58" s="14"/>
      <c r="E58" s="296" t="s">
        <v>179</v>
      </c>
      <c r="F58" s="14"/>
      <c r="H58" s="199"/>
      <c r="I58" s="28"/>
      <c r="J58" s="101" t="s">
        <v>127</v>
      </c>
      <c r="K58" s="1108">
        <f>'CT-VT Burdens'!S105</f>
        <v>0.15</v>
      </c>
      <c r="L58" s="788"/>
      <c r="M58" s="202" t="s">
        <v>157</v>
      </c>
      <c r="V58" s="185"/>
    </row>
    <row r="59" spans="1:23" ht="18" customHeight="1">
      <c r="A59" s="184"/>
      <c r="C59" s="96" t="s">
        <v>405</v>
      </c>
      <c r="D59" s="14"/>
      <c r="E59" s="296" t="s">
        <v>205</v>
      </c>
      <c r="F59" s="14"/>
      <c r="H59" s="199"/>
      <c r="I59" s="28"/>
      <c r="J59" s="177" t="s">
        <v>127</v>
      </c>
      <c r="K59" s="1108">
        <f>'CT-VT Burdens'!S119</f>
        <v>0.1</v>
      </c>
      <c r="L59" s="788"/>
      <c r="M59" s="202" t="s">
        <v>157</v>
      </c>
      <c r="V59" s="185"/>
    </row>
    <row r="60" spans="1:23" ht="18" customHeight="1">
      <c r="A60" s="184"/>
      <c r="C60" s="96" t="s">
        <v>405</v>
      </c>
      <c r="D60" s="14"/>
      <c r="E60" s="296"/>
      <c r="F60" s="14"/>
      <c r="H60" s="199"/>
      <c r="I60" s="28"/>
      <c r="J60" s="177" t="s">
        <v>127</v>
      </c>
      <c r="K60" s="1108"/>
      <c r="L60" s="1104"/>
      <c r="M60" s="202" t="s">
        <v>157</v>
      </c>
      <c r="V60" s="185"/>
    </row>
    <row r="61" spans="1:23" ht="18" customHeight="1">
      <c r="A61" s="184"/>
      <c r="C61" s="96" t="s">
        <v>405</v>
      </c>
      <c r="D61" s="14"/>
      <c r="E61" s="296"/>
      <c r="F61" s="14"/>
      <c r="H61" s="199"/>
      <c r="I61" s="28"/>
      <c r="J61" s="177" t="s">
        <v>127</v>
      </c>
      <c r="K61" s="1108"/>
      <c r="L61" s="1104"/>
      <c r="M61" s="202" t="s">
        <v>157</v>
      </c>
      <c r="V61" s="185"/>
    </row>
    <row r="62" spans="1:23" ht="18" hidden="1" customHeight="1">
      <c r="A62" s="184"/>
      <c r="C62" s="96" t="s">
        <v>405</v>
      </c>
      <c r="D62" s="14"/>
      <c r="E62" s="296" t="s">
        <v>248</v>
      </c>
      <c r="F62" s="14"/>
      <c r="H62" s="199"/>
      <c r="I62" s="28"/>
      <c r="J62" s="101"/>
      <c r="K62" s="1108"/>
      <c r="L62" s="1104"/>
      <c r="M62" s="202" t="s">
        <v>157</v>
      </c>
      <c r="V62" s="185"/>
    </row>
    <row r="63" spans="1:23" ht="18" customHeight="1">
      <c r="A63" s="184"/>
      <c r="B63" s="117"/>
      <c r="C63" s="96" t="s">
        <v>405</v>
      </c>
      <c r="D63" s="14"/>
      <c r="E63" s="47"/>
      <c r="F63" s="14"/>
      <c r="H63" s="199"/>
      <c r="I63" s="28"/>
      <c r="J63" s="101" t="s">
        <v>127</v>
      </c>
      <c r="K63" s="1108"/>
      <c r="L63" s="788"/>
      <c r="M63" s="202" t="s">
        <v>157</v>
      </c>
      <c r="N63" s="14"/>
      <c r="P63" s="28"/>
      <c r="Q63" s="199"/>
      <c r="R63" s="14"/>
      <c r="S63" s="14"/>
      <c r="T63" s="14"/>
      <c r="U63" s="14"/>
      <c r="V63" s="185"/>
    </row>
    <row r="64" spans="1:23" ht="18" customHeight="1">
      <c r="A64" s="184"/>
      <c r="C64" s="96" t="s">
        <v>781</v>
      </c>
      <c r="D64" s="14"/>
      <c r="E64" s="47"/>
      <c r="F64" s="14"/>
      <c r="H64" s="199"/>
      <c r="I64" s="27"/>
      <c r="J64" s="101" t="s">
        <v>127</v>
      </c>
      <c r="K64" s="696">
        <f>'CT-VT Burdens'!S90</f>
        <v>3.4519201599999998</v>
      </c>
      <c r="L64" s="820"/>
      <c r="M64" s="202" t="s">
        <v>157</v>
      </c>
      <c r="R64" s="14"/>
      <c r="S64" s="14"/>
      <c r="T64" s="14"/>
      <c r="U64" s="281"/>
      <c r="V64" s="185"/>
    </row>
    <row r="65" spans="1:22" ht="18" customHeight="1">
      <c r="A65" s="184"/>
      <c r="C65" s="184" t="s">
        <v>412</v>
      </c>
      <c r="D65" s="14"/>
      <c r="E65" s="14"/>
      <c r="F65" s="14"/>
      <c r="I65" s="27"/>
      <c r="J65" s="101" t="s">
        <v>127</v>
      </c>
      <c r="K65" s="1349">
        <f>'CT-VT Burdens'!S69</f>
        <v>2.5889401199999997</v>
      </c>
      <c r="L65" s="1350"/>
      <c r="M65" s="297" t="s">
        <v>157</v>
      </c>
      <c r="R65" s="14"/>
      <c r="S65" s="14"/>
      <c r="T65" s="14"/>
      <c r="U65" s="281"/>
      <c r="V65" s="185"/>
    </row>
    <row r="66" spans="1:22" ht="18" customHeight="1">
      <c r="A66" s="184"/>
      <c r="C66" s="1" t="s">
        <v>413</v>
      </c>
      <c r="D66" s="2"/>
      <c r="E66" s="2"/>
      <c r="F66" s="2"/>
      <c r="G66" s="196"/>
      <c r="H66" s="196"/>
      <c r="I66" s="224" t="s">
        <v>512</v>
      </c>
      <c r="J66" s="183" t="s">
        <v>127</v>
      </c>
      <c r="K66" s="1349">
        <f>K64+K65</f>
        <v>6.0408602799999995</v>
      </c>
      <c r="L66" s="1350"/>
      <c r="M66" s="3" t="s">
        <v>157</v>
      </c>
      <c r="R66" s="14"/>
      <c r="S66" s="14"/>
      <c r="T66" s="14"/>
      <c r="U66" s="281"/>
      <c r="V66" s="185"/>
    </row>
    <row r="67" spans="1:22" ht="18" customHeight="1">
      <c r="A67" s="96"/>
      <c r="B67" s="14"/>
      <c r="C67" s="120"/>
      <c r="D67" s="47"/>
      <c r="E67" s="47"/>
      <c r="F67" s="47"/>
      <c r="G67" s="47"/>
      <c r="H67" s="47"/>
      <c r="I67" s="47"/>
      <c r="J67" s="14"/>
      <c r="K67" s="28"/>
      <c r="L67" s="14"/>
      <c r="M67" s="14"/>
      <c r="N67" s="218"/>
      <c r="O67" s="14"/>
      <c r="P67" s="14"/>
      <c r="R67" s="14"/>
      <c r="S67" s="14"/>
      <c r="T67" s="14"/>
      <c r="U67" s="14"/>
      <c r="V67" s="185"/>
    </row>
    <row r="68" spans="1:22" ht="18" customHeight="1">
      <c r="A68" s="184"/>
      <c r="R68" s="14"/>
      <c r="S68" s="14"/>
      <c r="T68" s="14"/>
      <c r="U68" s="186"/>
      <c r="V68" s="185"/>
    </row>
    <row r="69" spans="1:22" ht="18" customHeight="1">
      <c r="A69" s="184"/>
      <c r="B69" s="117" t="s">
        <v>782</v>
      </c>
      <c r="V69" s="185"/>
    </row>
    <row r="70" spans="1:22" ht="18" customHeight="1">
      <c r="A70" s="184"/>
      <c r="V70" s="185"/>
    </row>
    <row r="71" spans="1:22" ht="18" customHeight="1">
      <c r="A71" s="184"/>
      <c r="B71" s="14" t="s">
        <v>783</v>
      </c>
      <c r="C71" s="14"/>
      <c r="D71" s="120"/>
      <c r="J71" s="28" t="s">
        <v>127</v>
      </c>
      <c r="K71" s="47" t="s">
        <v>781</v>
      </c>
      <c r="M71" s="47"/>
      <c r="N71" s="47"/>
      <c r="P71" s="102" t="s">
        <v>342</v>
      </c>
      <c r="Q71" s="30" t="s">
        <v>784</v>
      </c>
      <c r="R71" s="14"/>
      <c r="V71" s="185"/>
    </row>
    <row r="72" spans="1:22" ht="18" customHeight="1">
      <c r="A72" s="184"/>
      <c r="B72" s="14"/>
      <c r="C72" s="14"/>
      <c r="D72" s="120"/>
      <c r="J72" s="28" t="s">
        <v>127</v>
      </c>
      <c r="K72" s="692">
        <f>K64</f>
        <v>3.4519201599999998</v>
      </c>
      <c r="L72" s="689"/>
      <c r="M72" s="102" t="s">
        <v>342</v>
      </c>
      <c r="N72" s="692">
        <f>K50/SQRT(3)*1000</f>
        <v>63.508529610858844</v>
      </c>
      <c r="O72" s="689"/>
      <c r="V72" s="185"/>
    </row>
    <row r="73" spans="1:22" ht="18" customHeight="1">
      <c r="A73" s="184"/>
      <c r="B73" s="14"/>
      <c r="C73" s="14"/>
      <c r="D73" s="120"/>
      <c r="J73" s="28" t="s">
        <v>127</v>
      </c>
      <c r="K73" s="688">
        <f>K72/N72</f>
        <v>5.4353646370829879E-2</v>
      </c>
      <c r="L73" s="688"/>
      <c r="M73" s="47" t="s">
        <v>8</v>
      </c>
      <c r="N73" s="47"/>
      <c r="O73" s="14"/>
      <c r="P73" s="28"/>
      <c r="Q73" s="14"/>
      <c r="R73" s="14"/>
      <c r="V73" s="185"/>
    </row>
    <row r="74" spans="1:22" ht="18" customHeight="1">
      <c r="A74" s="184"/>
      <c r="V74" s="185"/>
    </row>
    <row r="75" spans="1:22" ht="18" customHeight="1">
      <c r="A75" s="184"/>
      <c r="B75" s="14" t="s">
        <v>785</v>
      </c>
      <c r="C75" s="14"/>
      <c r="D75" s="14"/>
      <c r="E75" s="14"/>
      <c r="F75" s="14"/>
      <c r="G75" s="14"/>
      <c r="H75" s="14"/>
      <c r="I75" s="47"/>
      <c r="J75" s="28" t="s">
        <v>127</v>
      </c>
      <c r="K75" s="689" t="s">
        <v>786</v>
      </c>
      <c r="L75" s="689"/>
      <c r="M75" s="28" t="s">
        <v>315</v>
      </c>
      <c r="N75" s="47" t="s">
        <v>787</v>
      </c>
      <c r="O75" s="14"/>
      <c r="P75" s="28"/>
      <c r="Q75" s="466"/>
      <c r="V75" s="185"/>
    </row>
    <row r="76" spans="1:22" ht="18" customHeight="1">
      <c r="A76" s="184"/>
      <c r="J76" s="28" t="s">
        <v>127</v>
      </c>
      <c r="K76" s="684">
        <f>K73*K73</f>
        <v>2.9543188738052283E-3</v>
      </c>
      <c r="L76" s="684"/>
      <c r="M76" s="28" t="s">
        <v>315</v>
      </c>
      <c r="N76" s="795">
        <f>N34</f>
        <v>2.5889401199999997</v>
      </c>
      <c r="O76" s="795"/>
      <c r="V76" s="185"/>
    </row>
    <row r="77" spans="1:22" ht="18" customHeight="1">
      <c r="A77" s="184"/>
      <c r="J77" s="28" t="s">
        <v>127</v>
      </c>
      <c r="K77" s="1145">
        <f>K76*N76</f>
        <v>7.6485546596675716E-3</v>
      </c>
      <c r="L77" s="1145"/>
      <c r="M77" s="30" t="s">
        <v>157</v>
      </c>
      <c r="V77" s="185"/>
    </row>
    <row r="78" spans="1:22" ht="18" customHeight="1">
      <c r="A78" s="184"/>
      <c r="V78" s="185"/>
    </row>
    <row r="79" spans="1:22" ht="18" customHeight="1">
      <c r="A79" s="184"/>
      <c r="B79" s="14" t="s">
        <v>788</v>
      </c>
      <c r="C79" s="14"/>
      <c r="D79" s="14"/>
      <c r="E79" s="28"/>
      <c r="F79" s="14"/>
      <c r="G79" s="14"/>
      <c r="H79" s="102"/>
      <c r="I79" s="47"/>
      <c r="J79" s="47"/>
      <c r="K79" s="14"/>
      <c r="V79" s="185"/>
    </row>
    <row r="80" spans="1:22" ht="18" customHeight="1">
      <c r="A80" s="184"/>
      <c r="B80" s="14"/>
      <c r="C80" s="14"/>
      <c r="D80" s="257"/>
      <c r="E80" s="120" t="s">
        <v>789</v>
      </c>
      <c r="F80" s="27" t="str">
        <f>IF(D81&gt;=G81,"&gt;","&lt;")</f>
        <v>&gt;</v>
      </c>
      <c r="G80" s="476" t="s">
        <v>119</v>
      </c>
      <c r="H80" s="218"/>
      <c r="J80" s="28"/>
      <c r="K80" s="218"/>
      <c r="V80" s="185"/>
    </row>
    <row r="81" spans="1:23" ht="18" customHeight="1">
      <c r="A81" s="184"/>
      <c r="D81" s="684">
        <f>H52</f>
        <v>100</v>
      </c>
      <c r="E81" s="684"/>
      <c r="F81" s="27" t="str">
        <f>F80</f>
        <v>&gt;</v>
      </c>
      <c r="G81" s="795">
        <f>K66</f>
        <v>6.0408602799999995</v>
      </c>
      <c r="H81" s="795"/>
      <c r="I81" s="14"/>
      <c r="J81" s="257"/>
      <c r="V81" s="185"/>
    </row>
    <row r="82" spans="1:23" ht="18" customHeight="1">
      <c r="A82" s="184"/>
      <c r="D82" s="199"/>
      <c r="E82" s="244" t="s">
        <v>790</v>
      </c>
      <c r="F82" s="27"/>
      <c r="G82" s="18" t="str">
        <f>IF(F80="&gt;","Suitably Dimensioned","Under Dimensioned")</f>
        <v>Suitably Dimensioned</v>
      </c>
      <c r="H82" s="27"/>
      <c r="I82" s="120"/>
      <c r="J82" s="27"/>
      <c r="K82" s="120"/>
      <c r="V82" s="185"/>
    </row>
    <row r="83" spans="1:23" ht="18" customHeight="1">
      <c r="A83" s="184"/>
      <c r="V83" s="185"/>
    </row>
    <row r="84" spans="1:23" ht="18" customHeight="1">
      <c r="A84" s="184"/>
      <c r="V84" s="185"/>
    </row>
    <row r="85" spans="1:23" ht="18" customHeight="1">
      <c r="A85" s="184"/>
      <c r="V85" s="185"/>
    </row>
    <row r="86" spans="1:23" ht="17.399999999999999" customHeight="1">
      <c r="A86" s="184"/>
      <c r="V86" s="185"/>
    </row>
    <row r="87" spans="1:23" ht="18" customHeight="1">
      <c r="A87" s="184"/>
      <c r="V87" s="185"/>
    </row>
    <row r="88" spans="1:23" ht="18" customHeight="1">
      <c r="A88" s="184"/>
      <c r="V88" s="185"/>
    </row>
    <row r="89" spans="1:23" s="14" customFormat="1" ht="18" customHeight="1">
      <c r="A89" s="194"/>
      <c r="B89" s="195"/>
      <c r="C89" s="195"/>
      <c r="D89" s="195"/>
      <c r="E89" s="195"/>
      <c r="F89" s="195"/>
      <c r="G89" s="195"/>
      <c r="H89" s="195"/>
      <c r="I89" s="195"/>
      <c r="J89" s="195"/>
      <c r="K89" s="195"/>
      <c r="L89" s="195"/>
      <c r="M89" s="195"/>
      <c r="N89" s="195"/>
      <c r="O89" s="195"/>
      <c r="P89" s="195"/>
      <c r="Q89" s="224"/>
      <c r="R89" s="182"/>
      <c r="S89" s="1351"/>
      <c r="T89" s="1352"/>
      <c r="U89" s="195"/>
      <c r="V89" s="134"/>
    </row>
    <row r="90" spans="1:23" ht="18" hidden="1" customHeight="1">
      <c r="A90" s="226"/>
      <c r="B90" s="227"/>
      <c r="C90" s="227"/>
      <c r="D90" s="227"/>
      <c r="E90" s="227"/>
      <c r="F90" s="227"/>
      <c r="G90" s="227"/>
      <c r="H90" s="227"/>
      <c r="I90" s="227"/>
      <c r="J90" s="227"/>
      <c r="K90" s="227"/>
      <c r="L90" s="227"/>
      <c r="M90" s="227"/>
      <c r="N90" s="227"/>
      <c r="O90" s="227"/>
      <c r="P90" s="227"/>
      <c r="Q90" s="227"/>
      <c r="R90" s="227"/>
      <c r="S90" s="227"/>
      <c r="T90" s="227"/>
      <c r="U90" s="227"/>
      <c r="V90" s="228"/>
    </row>
    <row r="91" spans="1:23" ht="18" hidden="1" customHeight="1">
      <c r="A91" s="184"/>
      <c r="B91" s="781" t="s">
        <v>108</v>
      </c>
      <c r="C91" s="782"/>
      <c r="D91" s="743" t="s">
        <v>109</v>
      </c>
      <c r="E91" s="1291"/>
      <c r="V91" s="185"/>
    </row>
    <row r="92" spans="1:23" ht="18" hidden="1" customHeight="1">
      <c r="A92" s="184"/>
      <c r="V92" s="185"/>
    </row>
    <row r="93" spans="1:23" ht="18" hidden="1" customHeight="1">
      <c r="A93" s="184"/>
      <c r="B93" s="30" t="s">
        <v>774</v>
      </c>
      <c r="H93" s="188">
        <v>400</v>
      </c>
      <c r="I93" s="189" t="s">
        <v>775</v>
      </c>
      <c r="J93" s="191" t="s">
        <v>342</v>
      </c>
      <c r="K93" s="122">
        <v>0.11</v>
      </c>
      <c r="L93" s="189" t="s">
        <v>775</v>
      </c>
      <c r="M93" s="30" t="s">
        <v>163</v>
      </c>
      <c r="V93" s="185"/>
    </row>
    <row r="94" spans="1:23" ht="18" hidden="1" customHeight="1">
      <c r="A94" s="184"/>
      <c r="B94" s="30" t="s">
        <v>776</v>
      </c>
      <c r="H94" s="781">
        <v>0.2</v>
      </c>
      <c r="I94" s="782"/>
      <c r="V94" s="185"/>
    </row>
    <row r="95" spans="1:23" ht="18" hidden="1" customHeight="1">
      <c r="A95" s="184"/>
      <c r="B95" s="30" t="s">
        <v>562</v>
      </c>
      <c r="H95" s="781">
        <v>50</v>
      </c>
      <c r="I95" s="782"/>
      <c r="J95" s="30" t="s">
        <v>157</v>
      </c>
      <c r="V95" s="185"/>
      <c r="W95" s="30" t="str">
        <f>G121</f>
        <v>Suitably Dimensioned</v>
      </c>
    </row>
    <row r="96" spans="1:23" ht="18" hidden="1" customHeight="1">
      <c r="A96" s="184"/>
      <c r="V96" s="185"/>
    </row>
    <row r="97" spans="1:22" ht="18" hidden="1" customHeight="1">
      <c r="A97" s="184"/>
      <c r="V97" s="185"/>
    </row>
    <row r="98" spans="1:22" ht="18" hidden="1" customHeight="1">
      <c r="A98" s="184"/>
      <c r="C98" s="135" t="s">
        <v>405</v>
      </c>
      <c r="D98" s="273"/>
      <c r="E98" s="139" t="s">
        <v>244</v>
      </c>
      <c r="F98" s="227"/>
      <c r="G98" s="227"/>
      <c r="H98" s="227"/>
      <c r="I98" s="138"/>
      <c r="J98" s="260" t="s">
        <v>127</v>
      </c>
      <c r="K98" s="1108">
        <f>'CT-VT Burdens'!Q142</f>
        <v>8.0000000000000002E-3</v>
      </c>
      <c r="L98" s="788"/>
      <c r="M98" s="3" t="s">
        <v>157</v>
      </c>
      <c r="V98" s="185"/>
    </row>
    <row r="99" spans="1:22" ht="18" hidden="1" customHeight="1">
      <c r="A99" s="184"/>
      <c r="C99" s="96" t="s">
        <v>405</v>
      </c>
      <c r="D99" s="14"/>
      <c r="E99" s="47"/>
      <c r="F99" s="14"/>
      <c r="H99" s="199"/>
      <c r="I99" s="27"/>
      <c r="J99" s="101" t="s">
        <v>127</v>
      </c>
      <c r="K99" s="1108"/>
      <c r="L99" s="788"/>
      <c r="M99" s="202" t="s">
        <v>157</v>
      </c>
      <c r="V99" s="185"/>
    </row>
    <row r="100" spans="1:22" ht="18" hidden="1" customHeight="1">
      <c r="A100" s="184"/>
      <c r="C100" s="96" t="s">
        <v>405</v>
      </c>
      <c r="D100" s="14"/>
      <c r="E100" s="47"/>
      <c r="F100" s="14"/>
      <c r="H100" s="199"/>
      <c r="I100" s="27"/>
      <c r="J100" s="101" t="s">
        <v>127</v>
      </c>
      <c r="K100" s="1108"/>
      <c r="L100" s="788"/>
      <c r="M100" s="202" t="s">
        <v>157</v>
      </c>
      <c r="V100" s="185"/>
    </row>
    <row r="101" spans="1:22" ht="18" hidden="1" customHeight="1">
      <c r="A101" s="184"/>
      <c r="C101" s="96" t="s">
        <v>405</v>
      </c>
      <c r="D101" s="14"/>
      <c r="E101" s="47"/>
      <c r="F101" s="14"/>
      <c r="H101" s="199"/>
      <c r="I101" s="27"/>
      <c r="J101" s="101" t="s">
        <v>127</v>
      </c>
      <c r="K101" s="1108"/>
      <c r="L101" s="788"/>
      <c r="M101" s="202" t="s">
        <v>157</v>
      </c>
      <c r="V101" s="185"/>
    </row>
    <row r="102" spans="1:22" ht="18" hidden="1" customHeight="1">
      <c r="A102" s="184"/>
      <c r="B102" s="117"/>
      <c r="C102" s="96" t="s">
        <v>405</v>
      </c>
      <c r="D102" s="14"/>
      <c r="E102" s="47"/>
      <c r="F102" s="14"/>
      <c r="H102" s="199"/>
      <c r="I102" s="27"/>
      <c r="J102" s="101" t="s">
        <v>127</v>
      </c>
      <c r="K102" s="1108"/>
      <c r="L102" s="788"/>
      <c r="M102" s="202" t="s">
        <v>157</v>
      </c>
      <c r="N102" s="14"/>
      <c r="O102" s="14"/>
      <c r="P102" s="28"/>
      <c r="Q102" s="199"/>
      <c r="R102" s="14"/>
      <c r="S102" s="14"/>
      <c r="T102" s="14"/>
      <c r="U102" s="14"/>
      <c r="V102" s="185"/>
    </row>
    <row r="103" spans="1:22" ht="18" hidden="1" customHeight="1">
      <c r="A103" s="184"/>
      <c r="C103" s="96" t="s">
        <v>781</v>
      </c>
      <c r="D103" s="14"/>
      <c r="E103" s="47"/>
      <c r="F103" s="14"/>
      <c r="H103" s="199"/>
      <c r="I103" s="27"/>
      <c r="J103" s="101" t="s">
        <v>127</v>
      </c>
      <c r="K103" s="696">
        <f>SUM(K98:L102)</f>
        <v>8.0000000000000002E-3</v>
      </c>
      <c r="L103" s="820"/>
      <c r="M103" s="202" t="s">
        <v>157</v>
      </c>
      <c r="R103" s="14"/>
      <c r="S103" s="14"/>
      <c r="T103" s="14"/>
      <c r="U103" s="281"/>
      <c r="V103" s="185"/>
    </row>
    <row r="104" spans="1:22" ht="18" hidden="1" customHeight="1">
      <c r="A104" s="184"/>
      <c r="C104" s="184" t="s">
        <v>412</v>
      </c>
      <c r="D104" s="14"/>
      <c r="E104" s="14"/>
      <c r="F104" s="14"/>
      <c r="I104" s="27"/>
      <c r="J104" s="101" t="s">
        <v>127</v>
      </c>
      <c r="K104" s="1349">
        <f>'CT-VT Burdens'!S69</f>
        <v>2.5889401199999997</v>
      </c>
      <c r="L104" s="1350"/>
      <c r="M104" s="297" t="s">
        <v>157</v>
      </c>
      <c r="R104" s="14"/>
      <c r="S104" s="14"/>
      <c r="T104" s="14"/>
      <c r="U104" s="281"/>
      <c r="V104" s="185"/>
    </row>
    <row r="105" spans="1:22" ht="18" hidden="1" customHeight="1">
      <c r="A105" s="184"/>
      <c r="C105" s="1" t="s">
        <v>413</v>
      </c>
      <c r="D105" s="2"/>
      <c r="E105" s="2"/>
      <c r="F105" s="2"/>
      <c r="G105" s="196"/>
      <c r="H105" s="196"/>
      <c r="I105" s="224" t="s">
        <v>512</v>
      </c>
      <c r="J105" s="183" t="s">
        <v>127</v>
      </c>
      <c r="K105" s="1349">
        <f>K103+K104</f>
        <v>2.5969401199999997</v>
      </c>
      <c r="L105" s="1350"/>
      <c r="M105" s="3" t="s">
        <v>157</v>
      </c>
      <c r="R105" s="14"/>
      <c r="S105" s="14"/>
      <c r="T105" s="14"/>
      <c r="U105" s="281"/>
      <c r="V105" s="185"/>
    </row>
    <row r="106" spans="1:22" ht="18" hidden="1" customHeight="1">
      <c r="A106" s="96"/>
      <c r="B106" s="14"/>
      <c r="C106" s="120"/>
      <c r="D106" s="47"/>
      <c r="E106" s="47"/>
      <c r="F106" s="47"/>
      <c r="G106" s="47"/>
      <c r="H106" s="47"/>
      <c r="I106" s="47"/>
      <c r="J106" s="14"/>
      <c r="K106" s="28"/>
      <c r="L106" s="14"/>
      <c r="M106" s="14"/>
      <c r="N106" s="218"/>
      <c r="O106" s="218"/>
      <c r="P106" s="14"/>
      <c r="R106" s="14"/>
      <c r="S106" s="14"/>
      <c r="T106" s="14"/>
      <c r="U106" s="14"/>
      <c r="V106" s="185"/>
    </row>
    <row r="107" spans="1:22" ht="18" hidden="1" customHeight="1">
      <c r="A107" s="184"/>
      <c r="P107" s="466"/>
      <c r="R107" s="14"/>
      <c r="S107" s="14"/>
      <c r="T107" s="14"/>
      <c r="U107" s="186"/>
      <c r="V107" s="185"/>
    </row>
    <row r="108" spans="1:22" ht="18" hidden="1" customHeight="1">
      <c r="A108" s="184"/>
      <c r="B108" s="117" t="s">
        <v>782</v>
      </c>
      <c r="V108" s="185"/>
    </row>
    <row r="109" spans="1:22" ht="18" hidden="1" customHeight="1">
      <c r="A109" s="184"/>
      <c r="V109" s="185"/>
    </row>
    <row r="110" spans="1:22" ht="18" hidden="1" customHeight="1">
      <c r="A110" s="184"/>
      <c r="B110" s="14" t="s">
        <v>783</v>
      </c>
      <c r="C110" s="14"/>
      <c r="D110" s="120"/>
      <c r="J110" s="28" t="s">
        <v>127</v>
      </c>
      <c r="K110" s="47" t="s">
        <v>781</v>
      </c>
      <c r="M110" s="47"/>
      <c r="N110" s="47"/>
      <c r="P110" s="102" t="s">
        <v>342</v>
      </c>
      <c r="Q110" s="30" t="s">
        <v>784</v>
      </c>
      <c r="R110" s="14"/>
      <c r="V110" s="185"/>
    </row>
    <row r="111" spans="1:22" ht="18" hidden="1" customHeight="1">
      <c r="A111" s="184"/>
      <c r="B111" s="14"/>
      <c r="C111" s="14"/>
      <c r="D111" s="120"/>
      <c r="J111" s="28" t="s">
        <v>127</v>
      </c>
      <c r="K111" s="692">
        <f>K103</f>
        <v>8.0000000000000002E-3</v>
      </c>
      <c r="L111" s="689"/>
      <c r="M111" s="102" t="s">
        <v>342</v>
      </c>
      <c r="N111" s="692">
        <f>K93/SQRT(3)*1000</f>
        <v>63.508529610858844</v>
      </c>
      <c r="O111" s="689"/>
      <c r="V111" s="185"/>
    </row>
    <row r="112" spans="1:22" ht="18" hidden="1" customHeight="1">
      <c r="A112" s="184"/>
      <c r="B112" s="14"/>
      <c r="C112" s="14"/>
      <c r="D112" s="120"/>
      <c r="J112" s="28" t="s">
        <v>127</v>
      </c>
      <c r="K112" s="688">
        <f>K111/N111</f>
        <v>1.259673314595547E-4</v>
      </c>
      <c r="L112" s="688"/>
      <c r="M112" s="47" t="s">
        <v>8</v>
      </c>
      <c r="N112" s="47"/>
      <c r="O112" s="14"/>
      <c r="P112" s="28"/>
      <c r="Q112" s="14"/>
      <c r="R112" s="14"/>
      <c r="V112" s="185"/>
    </row>
    <row r="113" spans="1:22" ht="18" hidden="1" customHeight="1">
      <c r="A113" s="184"/>
      <c r="V113" s="185"/>
    </row>
    <row r="114" spans="1:22" ht="18" hidden="1" customHeight="1">
      <c r="A114" s="184"/>
      <c r="B114" s="14" t="s">
        <v>785</v>
      </c>
      <c r="C114" s="14"/>
      <c r="D114" s="14"/>
      <c r="E114" s="14"/>
      <c r="F114" s="14"/>
      <c r="G114" s="14"/>
      <c r="H114" s="14"/>
      <c r="I114" s="47"/>
      <c r="J114" s="28" t="s">
        <v>127</v>
      </c>
      <c r="K114" s="689" t="s">
        <v>786</v>
      </c>
      <c r="L114" s="689"/>
      <c r="M114" s="28" t="s">
        <v>315</v>
      </c>
      <c r="N114" s="47" t="s">
        <v>787</v>
      </c>
      <c r="O114" s="14"/>
      <c r="P114" s="28"/>
      <c r="V114" s="185"/>
    </row>
    <row r="115" spans="1:22" ht="18" hidden="1" customHeight="1">
      <c r="A115" s="184"/>
      <c r="J115" s="28" t="s">
        <v>127</v>
      </c>
      <c r="K115" s="684">
        <f>K112*K112</f>
        <v>1.5867768595041319E-8</v>
      </c>
      <c r="L115" s="684"/>
      <c r="M115" s="28" t="s">
        <v>315</v>
      </c>
      <c r="N115" s="795">
        <f>N76</f>
        <v>2.5889401199999997</v>
      </c>
      <c r="O115" s="795"/>
      <c r="V115" s="185"/>
    </row>
    <row r="116" spans="1:22" ht="18" hidden="1" customHeight="1">
      <c r="A116" s="184"/>
      <c r="J116" s="28" t="s">
        <v>127</v>
      </c>
      <c r="K116" s="1145">
        <f>K115*N115</f>
        <v>4.1080702730578503E-8</v>
      </c>
      <c r="L116" s="1145"/>
      <c r="M116" s="30" t="s">
        <v>157</v>
      </c>
      <c r="V116" s="185"/>
    </row>
    <row r="117" spans="1:22" ht="18" hidden="1" customHeight="1">
      <c r="A117" s="184"/>
      <c r="V117" s="185"/>
    </row>
    <row r="118" spans="1:22" ht="18" hidden="1" customHeight="1">
      <c r="A118" s="184"/>
      <c r="B118" s="14" t="s">
        <v>788</v>
      </c>
      <c r="C118" s="14"/>
      <c r="D118" s="14"/>
      <c r="E118" s="28"/>
      <c r="F118" s="14"/>
      <c r="G118" s="14"/>
      <c r="H118" s="102"/>
      <c r="I118" s="47"/>
      <c r="J118" s="47"/>
      <c r="K118" s="14"/>
      <c r="V118" s="185"/>
    </row>
    <row r="119" spans="1:22" ht="18" hidden="1" customHeight="1">
      <c r="A119" s="184"/>
      <c r="B119" s="14"/>
      <c r="C119" s="14"/>
      <c r="D119" s="257"/>
      <c r="E119" s="120" t="s">
        <v>789</v>
      </c>
      <c r="F119" s="27" t="str">
        <f>IF(D120&gt;=G120,"&gt;","&lt;")</f>
        <v>&gt;</v>
      </c>
      <c r="G119" s="281" t="s">
        <v>119</v>
      </c>
      <c r="H119" s="218"/>
      <c r="J119" s="28"/>
      <c r="K119" s="218"/>
      <c r="V119" s="185"/>
    </row>
    <row r="120" spans="1:22" ht="18" hidden="1" customHeight="1">
      <c r="A120" s="184"/>
      <c r="D120" s="684">
        <f>H95</f>
        <v>50</v>
      </c>
      <c r="E120" s="684"/>
      <c r="F120" s="27" t="str">
        <f>F119</f>
        <v>&gt;</v>
      </c>
      <c r="G120" s="1145">
        <f>K105</f>
        <v>2.5969401199999997</v>
      </c>
      <c r="H120" s="684"/>
      <c r="I120" s="14"/>
      <c r="J120" s="257"/>
      <c r="V120" s="185"/>
    </row>
    <row r="121" spans="1:22" ht="18" hidden="1" customHeight="1">
      <c r="A121" s="184"/>
      <c r="D121" s="199"/>
      <c r="E121" s="244" t="s">
        <v>790</v>
      </c>
      <c r="F121" s="27"/>
      <c r="G121" s="18" t="str">
        <f>IF(F120="&gt;","Suitably Dimensioned","Under Dimensioned")</f>
        <v>Suitably Dimensioned</v>
      </c>
      <c r="H121" s="27"/>
      <c r="I121" s="120"/>
      <c r="J121" s="27"/>
      <c r="K121" s="120"/>
      <c r="V121" s="185"/>
    </row>
    <row r="122" spans="1:22" ht="18" hidden="1" customHeight="1">
      <c r="A122" s="184"/>
      <c r="D122" s="199"/>
      <c r="E122" s="244"/>
      <c r="F122" s="27"/>
      <c r="G122" s="18"/>
      <c r="H122" s="27"/>
      <c r="I122" s="120"/>
      <c r="J122" s="27"/>
      <c r="K122" s="120"/>
      <c r="V122" s="185"/>
    </row>
    <row r="123" spans="1:22" ht="18" hidden="1" customHeight="1">
      <c r="A123" s="184"/>
      <c r="D123" s="199"/>
      <c r="E123" s="244"/>
      <c r="F123" s="27"/>
      <c r="G123" s="18"/>
      <c r="H123" s="27"/>
      <c r="I123" s="120"/>
      <c r="J123" s="27"/>
      <c r="K123" s="120"/>
      <c r="V123" s="185"/>
    </row>
    <row r="124" spans="1:22" ht="18" hidden="1" customHeight="1">
      <c r="A124" s="184"/>
      <c r="D124" s="199"/>
      <c r="E124" s="244"/>
      <c r="F124" s="27"/>
      <c r="G124" s="18"/>
      <c r="H124" s="27"/>
      <c r="I124" s="120"/>
      <c r="J124" s="27"/>
      <c r="K124" s="120"/>
      <c r="V124" s="185"/>
    </row>
    <row r="125" spans="1:22" ht="18" hidden="1" customHeight="1">
      <c r="A125" s="184"/>
      <c r="V125" s="185"/>
    </row>
    <row r="126" spans="1:22" ht="18" hidden="1" customHeight="1">
      <c r="A126" s="184"/>
      <c r="V126" s="185"/>
    </row>
    <row r="127" spans="1:22" ht="18" hidden="1" customHeight="1">
      <c r="A127" s="184"/>
      <c r="V127" s="185"/>
    </row>
    <row r="128" spans="1:22" ht="18" hidden="1" customHeight="1">
      <c r="A128" s="184"/>
      <c r="V128" s="185"/>
    </row>
    <row r="129" spans="1:22" s="14" customFormat="1" ht="18" hidden="1" customHeight="1">
      <c r="A129" s="194"/>
      <c r="B129" s="195"/>
      <c r="C129" s="195"/>
      <c r="D129" s="195"/>
      <c r="E129" s="195"/>
      <c r="F129" s="195"/>
      <c r="G129" s="195"/>
      <c r="H129" s="195"/>
      <c r="I129" s="195"/>
      <c r="J129" s="195"/>
      <c r="K129" s="195"/>
      <c r="L129" s="195"/>
      <c r="M129" s="195"/>
      <c r="N129" s="195"/>
      <c r="O129" s="195"/>
      <c r="P129" s="195"/>
      <c r="Q129" s="224"/>
      <c r="R129" s="182"/>
      <c r="S129" s="225"/>
      <c r="T129" s="195"/>
      <c r="U129" s="195"/>
      <c r="V129" s="134"/>
    </row>
    <row r="130" spans="1:22" s="14" customFormat="1" ht="18" customHeight="1">
      <c r="A130" s="135"/>
      <c r="B130" s="273"/>
      <c r="C130" s="273"/>
      <c r="D130" s="273"/>
      <c r="E130" s="273"/>
      <c r="F130" s="273"/>
      <c r="G130" s="273"/>
      <c r="H130" s="273"/>
      <c r="I130" s="273"/>
      <c r="J130" s="273"/>
      <c r="K130" s="273"/>
      <c r="L130" s="273"/>
      <c r="M130" s="273"/>
      <c r="N130" s="273"/>
      <c r="O130" s="273"/>
      <c r="P130" s="273"/>
      <c r="Q130" s="274"/>
      <c r="R130" s="138"/>
      <c r="S130" s="275"/>
      <c r="T130" s="273"/>
      <c r="U130" s="273"/>
      <c r="V130" s="276"/>
    </row>
    <row r="131" spans="1:22" ht="18" customHeight="1">
      <c r="A131" s="96" t="s">
        <v>793</v>
      </c>
      <c r="V131" s="185"/>
    </row>
    <row r="132" spans="1:22" ht="18" customHeight="1">
      <c r="A132" s="853" t="s">
        <v>115</v>
      </c>
      <c r="B132" s="853"/>
      <c r="C132" s="853"/>
      <c r="D132" s="853"/>
      <c r="E132" s="853" t="s">
        <v>116</v>
      </c>
      <c r="F132" s="853"/>
      <c r="G132" s="853"/>
      <c r="H132" s="853"/>
      <c r="I132" s="853"/>
      <c r="J132" s="868" t="s">
        <v>117</v>
      </c>
      <c r="K132" s="868"/>
      <c r="L132" s="868" t="s">
        <v>88</v>
      </c>
      <c r="M132" s="868"/>
      <c r="N132" s="868" t="s">
        <v>100</v>
      </c>
      <c r="O132" s="868"/>
      <c r="P132" s="868"/>
      <c r="Q132" s="853" t="s">
        <v>794</v>
      </c>
      <c r="R132" s="853"/>
      <c r="S132" s="853"/>
      <c r="T132" s="853"/>
      <c r="U132" s="853"/>
      <c r="V132" s="853"/>
    </row>
    <row r="133" spans="1:22" ht="18" customHeight="1">
      <c r="A133" s="853"/>
      <c r="B133" s="853"/>
      <c r="C133" s="853"/>
      <c r="D133" s="853"/>
      <c r="E133" s="853"/>
      <c r="F133" s="853"/>
      <c r="G133" s="853"/>
      <c r="H133" s="853"/>
      <c r="I133" s="853"/>
      <c r="J133" s="868"/>
      <c r="K133" s="868"/>
      <c r="L133" s="868"/>
      <c r="M133" s="868"/>
      <c r="N133" s="868"/>
      <c r="O133" s="868"/>
      <c r="P133" s="868"/>
      <c r="Q133" s="853"/>
      <c r="R133" s="853"/>
      <c r="S133" s="853"/>
      <c r="T133" s="853"/>
      <c r="U133" s="853"/>
      <c r="V133" s="853"/>
    </row>
    <row r="134" spans="1:22" ht="18" customHeight="1">
      <c r="A134" s="853"/>
      <c r="B134" s="853"/>
      <c r="C134" s="853"/>
      <c r="D134" s="853"/>
      <c r="E134" s="1356"/>
      <c r="F134" s="1356"/>
      <c r="G134" s="853"/>
      <c r="H134" s="853"/>
      <c r="I134" s="853"/>
      <c r="J134" s="868"/>
      <c r="K134" s="868"/>
      <c r="L134" s="868"/>
      <c r="M134" s="868"/>
      <c r="N134" s="868"/>
      <c r="O134" s="868"/>
      <c r="P134" s="868"/>
      <c r="Q134" s="853"/>
      <c r="R134" s="853"/>
      <c r="S134" s="853"/>
      <c r="T134" s="853"/>
      <c r="U134" s="853"/>
      <c r="V134" s="853"/>
    </row>
    <row r="135" spans="1:22" ht="18" customHeight="1">
      <c r="A135" s="1353" t="str">
        <f>B7</f>
        <v>T15</v>
      </c>
      <c r="B135" s="1354"/>
      <c r="C135" s="876" t="str">
        <f>D7</f>
        <v>Core1</v>
      </c>
      <c r="D135" s="990"/>
      <c r="E135" s="342">
        <f>H9</f>
        <v>132</v>
      </c>
      <c r="F135" s="246" t="str">
        <f>I9</f>
        <v>/ √3</v>
      </c>
      <c r="G135" s="343" t="s">
        <v>342</v>
      </c>
      <c r="H135" s="243">
        <f>K9</f>
        <v>0.11</v>
      </c>
      <c r="I135" s="246" t="str">
        <f>L9</f>
        <v>/ √3</v>
      </c>
      <c r="J135" s="958">
        <f>'CT-VT Burdens'!S88</f>
        <v>160</v>
      </c>
      <c r="K135" s="1355">
        <f>'CT-VT Burdens'!S56</f>
        <v>2.5</v>
      </c>
      <c r="L135" s="958" t="str">
        <f>H10</f>
        <v>0.5/3P</v>
      </c>
      <c r="M135" s="958"/>
      <c r="N135" s="958">
        <f>H11</f>
        <v>100</v>
      </c>
      <c r="O135" s="958"/>
      <c r="P135" s="958"/>
      <c r="Q135" s="958" t="str">
        <f>G40</f>
        <v>Suitably Dimensioned</v>
      </c>
      <c r="R135" s="958"/>
      <c r="S135" s="958"/>
      <c r="T135" s="958"/>
      <c r="U135" s="958"/>
      <c r="V135" s="958"/>
    </row>
    <row r="136" spans="1:22" ht="18" customHeight="1">
      <c r="A136" s="685"/>
      <c r="B136" s="699"/>
      <c r="C136" s="958" t="str">
        <f>D48</f>
        <v>Core2</v>
      </c>
      <c r="D136" s="958"/>
      <c r="E136" s="342">
        <f>H50</f>
        <v>132</v>
      </c>
      <c r="F136" s="246" t="str">
        <f>I50</f>
        <v>/ √3</v>
      </c>
      <c r="G136" s="467" t="s">
        <v>342</v>
      </c>
      <c r="H136" s="243">
        <f>K50</f>
        <v>0.11</v>
      </c>
      <c r="I136" s="246" t="str">
        <f>L50</f>
        <v>/ √3</v>
      </c>
      <c r="J136" s="958"/>
      <c r="K136" s="1355"/>
      <c r="L136" s="958" t="str">
        <f>H51</f>
        <v>0.5/3P</v>
      </c>
      <c r="M136" s="958"/>
      <c r="N136" s="958">
        <f>H52</f>
        <v>100</v>
      </c>
      <c r="O136" s="958"/>
      <c r="P136" s="958"/>
      <c r="Q136" s="958" t="str">
        <f>G82</f>
        <v>Suitably Dimensioned</v>
      </c>
      <c r="R136" s="958"/>
      <c r="S136" s="958"/>
      <c r="T136" s="958"/>
      <c r="U136" s="958"/>
      <c r="V136" s="958"/>
    </row>
    <row r="137" spans="1:22" ht="18" customHeight="1">
      <c r="A137" s="1217"/>
      <c r="B137" s="1218"/>
      <c r="C137" s="958" t="s">
        <v>6</v>
      </c>
      <c r="D137" s="958"/>
      <c r="E137" s="342" t="s">
        <v>6</v>
      </c>
      <c r="F137" s="540" t="s">
        <v>6</v>
      </c>
      <c r="G137" s="551" t="s">
        <v>6</v>
      </c>
      <c r="H137" s="550" t="s">
        <v>6</v>
      </c>
      <c r="I137" s="540" t="s">
        <v>6</v>
      </c>
      <c r="J137" s="958"/>
      <c r="K137" s="1355"/>
      <c r="L137" s="751" t="s">
        <v>6</v>
      </c>
      <c r="M137" s="751"/>
      <c r="N137" s="751" t="s">
        <v>6</v>
      </c>
      <c r="O137" s="751"/>
      <c r="P137" s="751"/>
      <c r="Q137" s="958" t="s">
        <v>6</v>
      </c>
      <c r="R137" s="958"/>
      <c r="S137" s="958"/>
      <c r="T137" s="958"/>
      <c r="U137" s="958"/>
      <c r="V137" s="958"/>
    </row>
    <row r="138" spans="1:22" ht="18" customHeight="1">
      <c r="A138" s="184"/>
      <c r="V138" s="185"/>
    </row>
    <row r="139" spans="1:22" ht="18" customHeight="1">
      <c r="A139" s="184"/>
      <c r="V139" s="185"/>
    </row>
    <row r="140" spans="1:22" ht="18" customHeight="1">
      <c r="A140" s="184"/>
      <c r="V140" s="185"/>
    </row>
    <row r="141" spans="1:22" ht="18" customHeight="1">
      <c r="A141" s="184"/>
      <c r="V141" s="185"/>
    </row>
    <row r="142" spans="1:22" ht="18" customHeight="1">
      <c r="A142" s="184"/>
      <c r="V142" s="185"/>
    </row>
    <row r="143" spans="1:22" ht="18" customHeight="1">
      <c r="A143" s="184"/>
      <c r="V143" s="185"/>
    </row>
    <row r="144" spans="1:22" ht="18" customHeight="1">
      <c r="A144" s="184"/>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s="14" customFormat="1" ht="18" customHeight="1">
      <c r="A170" s="194"/>
      <c r="B170" s="195"/>
      <c r="C170" s="195"/>
      <c r="D170" s="195"/>
      <c r="E170" s="195"/>
      <c r="F170" s="195"/>
      <c r="G170" s="195"/>
      <c r="H170" s="195"/>
      <c r="I170" s="195"/>
      <c r="J170" s="195"/>
      <c r="K170" s="195"/>
      <c r="L170" s="195"/>
      <c r="M170" s="195"/>
      <c r="N170" s="195"/>
      <c r="O170" s="195"/>
      <c r="P170" s="195"/>
      <c r="Q170" s="224"/>
      <c r="R170" s="182"/>
      <c r="S170" s="1351"/>
      <c r="T170" s="1352"/>
      <c r="U170" s="195"/>
      <c r="V170" s="134"/>
    </row>
  </sheetData>
  <mergeCells count="115">
    <mergeCell ref="S170:T170"/>
    <mergeCell ref="L136:M136"/>
    <mergeCell ref="N136:P136"/>
    <mergeCell ref="Q136:V136"/>
    <mergeCell ref="C137:D137"/>
    <mergeCell ref="L137:M137"/>
    <mergeCell ref="N137:P137"/>
    <mergeCell ref="Q137:V137"/>
    <mergeCell ref="N132:P134"/>
    <mergeCell ref="Q132:V134"/>
    <mergeCell ref="A135:B137"/>
    <mergeCell ref="C135:D135"/>
    <mergeCell ref="J135:J137"/>
    <mergeCell ref="K135:K137"/>
    <mergeCell ref="L135:M135"/>
    <mergeCell ref="N135:P135"/>
    <mergeCell ref="Q135:V135"/>
    <mergeCell ref="C136:D136"/>
    <mergeCell ref="K116:L116"/>
    <mergeCell ref="D120:E120"/>
    <mergeCell ref="G120:H120"/>
    <mergeCell ref="A132:D134"/>
    <mergeCell ref="E132:I134"/>
    <mergeCell ref="J132:K134"/>
    <mergeCell ref="L132:M134"/>
    <mergeCell ref="K111:L111"/>
    <mergeCell ref="N111:O111"/>
    <mergeCell ref="K112:L112"/>
    <mergeCell ref="K114:L114"/>
    <mergeCell ref="K115:L115"/>
    <mergeCell ref="N115:O115"/>
    <mergeCell ref="K100:L100"/>
    <mergeCell ref="K101:L101"/>
    <mergeCell ref="K102:L102"/>
    <mergeCell ref="K103:L103"/>
    <mergeCell ref="K104:L104"/>
    <mergeCell ref="K105:L105"/>
    <mergeCell ref="B91:C91"/>
    <mergeCell ref="D91:E91"/>
    <mergeCell ref="H94:I94"/>
    <mergeCell ref="H95:I95"/>
    <mergeCell ref="K98:L98"/>
    <mergeCell ref="K99:L99"/>
    <mergeCell ref="K76:L76"/>
    <mergeCell ref="N76:O76"/>
    <mergeCell ref="K77:L77"/>
    <mergeCell ref="D81:E81"/>
    <mergeCell ref="G81:H81"/>
    <mergeCell ref="S89:T89"/>
    <mergeCell ref="K65:L65"/>
    <mergeCell ref="K66:L66"/>
    <mergeCell ref="K72:L72"/>
    <mergeCell ref="N72:O72"/>
    <mergeCell ref="K73:L73"/>
    <mergeCell ref="K75:L75"/>
    <mergeCell ref="K59:L59"/>
    <mergeCell ref="K60:L60"/>
    <mergeCell ref="K61:L61"/>
    <mergeCell ref="K62:L62"/>
    <mergeCell ref="K63:L63"/>
    <mergeCell ref="K64:L64"/>
    <mergeCell ref="H51:I51"/>
    <mergeCell ref="H52:I52"/>
    <mergeCell ref="K55:L55"/>
    <mergeCell ref="K56:L56"/>
    <mergeCell ref="K57:L57"/>
    <mergeCell ref="K58:L58"/>
    <mergeCell ref="K35:L35"/>
    <mergeCell ref="D39:E39"/>
    <mergeCell ref="G39:H39"/>
    <mergeCell ref="S46:T46"/>
    <mergeCell ref="B48:C48"/>
    <mergeCell ref="D48:E48"/>
    <mergeCell ref="K24:L24"/>
    <mergeCell ref="K30:L30"/>
    <mergeCell ref="N30:O30"/>
    <mergeCell ref="K31:L31"/>
    <mergeCell ref="K33:L33"/>
    <mergeCell ref="K34:L34"/>
    <mergeCell ref="N34:O34"/>
    <mergeCell ref="K18:L18"/>
    <mergeCell ref="K19:L19"/>
    <mergeCell ref="AG19:AH19"/>
    <mergeCell ref="K20:L20"/>
    <mergeCell ref="K22:L22"/>
    <mergeCell ref="K23:L23"/>
    <mergeCell ref="AG15:AH15"/>
    <mergeCell ref="E16:F16"/>
    <mergeCell ref="K16:L16"/>
    <mergeCell ref="AG16:AH16"/>
    <mergeCell ref="K17:L17"/>
    <mergeCell ref="AG17:AH17"/>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2 G121:G124">
    <cfRule type="cellIs" dxfId="11" priority="1" stopIfTrue="1" operator="equal">
      <formula>"Under Dimentioned"</formula>
    </cfRule>
  </conditionalFormatting>
  <dataValidations count="1">
    <dataValidation type="list" allowBlank="1" showInputMessage="1" showErrorMessage="1" sqref="D91 IZ91 SV91 ACR91 AMN91 AWJ91 BGF91 BQB91 BZX91 CJT91 CTP91 DDL91 DNH91 DXD91 EGZ91 EQV91 FAR91 FKN91 FUJ91 GEF91 GOB91 GXX91 HHT91 HRP91 IBL91 ILH91 IVD91 JEZ91 JOV91 JYR91 KIN91 KSJ91 LCF91 LMB91 LVX91 MFT91 MPP91 MZL91 NJH91 NTD91 OCZ91 OMV91 OWR91 PGN91 PQJ91 QAF91 QKB91 QTX91 RDT91 RNP91 RXL91 SHH91 SRD91 TAZ91 TKV91 TUR91 UEN91 UOJ91 UYF91 VIB91 VRX91 WBT91 WLP91 WVL91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3A58C068-8210-4C29-BF13-DDEE3446BCB6}">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129"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656385"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codeName="Sheet54">
    <tabColor rgb="FF99CCFF"/>
  </sheetPr>
  <dimension ref="A1:Y45"/>
  <sheetViews>
    <sheetView view="pageBreakPreview" topLeftCell="A28" zoomScaleNormal="100" zoomScaleSheetLayoutView="100" workbookViewId="0">
      <selection activeCell="A32" sqref="A32:XFD32"/>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918</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81"/>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codeName="Sheet55">
    <tabColor rgb="FFFFFF00"/>
  </sheetPr>
  <dimension ref="A1:AI166"/>
  <sheetViews>
    <sheetView showZeros="0" view="pageBreakPreview" topLeftCell="A151" zoomScale="70" zoomScaleNormal="100" zoomScaleSheetLayoutView="70" workbookViewId="0">
      <selection activeCell="A123" sqref="A123:XFD12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35"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35" ht="21"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880" t="str">
        <f>Title!R3</f>
        <v>-</v>
      </c>
      <c r="S3" s="881"/>
      <c r="T3" s="881"/>
      <c r="U3" s="881"/>
      <c r="V3" s="943"/>
      <c r="W3" s="14"/>
      <c r="X3" s="14"/>
    </row>
    <row r="4" spans="1:35" ht="18" customHeight="1">
      <c r="A4" s="926"/>
      <c r="B4" s="927"/>
      <c r="C4" s="927"/>
      <c r="D4" s="927"/>
      <c r="E4" s="927"/>
      <c r="F4" s="927"/>
      <c r="G4" s="928"/>
      <c r="H4" s="1086"/>
      <c r="I4" s="1087"/>
      <c r="J4" s="1087"/>
      <c r="K4" s="1087"/>
      <c r="L4" s="1087"/>
      <c r="M4" s="1087"/>
      <c r="N4" s="1088"/>
      <c r="O4" s="885" t="str">
        <f>Title!O4</f>
        <v>Revision No.</v>
      </c>
      <c r="P4" s="886"/>
      <c r="Q4" s="887"/>
      <c r="R4" s="931" t="str">
        <f>Title!R4</f>
        <v>A</v>
      </c>
      <c r="S4" s="932"/>
      <c r="T4" s="932"/>
      <c r="U4" s="932"/>
      <c r="V4" s="933"/>
      <c r="W4" s="14"/>
      <c r="X4" s="14"/>
    </row>
    <row r="5" spans="1:35" ht="18" customHeight="1">
      <c r="A5" s="880" t="str">
        <f>Title!A5</f>
        <v>Prep. By</v>
      </c>
      <c r="B5" s="943"/>
      <c r="C5" s="25" t="str">
        <f>Title!C5</f>
        <v>AP</v>
      </c>
      <c r="D5" s="880" t="str">
        <f>Title!D5</f>
        <v>Checked By</v>
      </c>
      <c r="E5" s="881"/>
      <c r="F5" s="943"/>
      <c r="G5" s="25" t="str">
        <f>Title!G5</f>
        <v>RB</v>
      </c>
      <c r="H5" s="1346" t="s">
        <v>914</v>
      </c>
      <c r="I5" s="1347"/>
      <c r="J5" s="1347"/>
      <c r="K5" s="1347"/>
      <c r="L5" s="1347"/>
      <c r="M5" s="1347"/>
      <c r="N5" s="1348"/>
      <c r="O5" s="947" t="str">
        <f>Title!O5</f>
        <v>Contractor</v>
      </c>
      <c r="P5" s="948"/>
      <c r="Q5" s="949"/>
      <c r="R5" s="931" t="str">
        <f>Title!R5</f>
        <v>HITACHI</v>
      </c>
      <c r="S5" s="932"/>
      <c r="T5" s="932"/>
      <c r="U5" s="932"/>
      <c r="V5" s="933"/>
      <c r="W5" s="14"/>
      <c r="X5" s="14"/>
    </row>
    <row r="6" spans="1:35" ht="18" customHeight="1">
      <c r="A6" s="184"/>
      <c r="V6" s="185"/>
    </row>
    <row r="7" spans="1:35" ht="18" customHeight="1">
      <c r="A7" s="184"/>
      <c r="B7" s="781" t="s">
        <v>108</v>
      </c>
      <c r="C7" s="782"/>
      <c r="D7" s="743" t="s">
        <v>385</v>
      </c>
      <c r="E7" s="1291"/>
      <c r="V7" s="185"/>
    </row>
    <row r="8" spans="1:35" ht="18" customHeight="1">
      <c r="A8" s="184"/>
      <c r="V8" s="185"/>
    </row>
    <row r="9" spans="1:35" ht="18" customHeight="1">
      <c r="A9" s="184"/>
      <c r="B9" s="30" t="s">
        <v>774</v>
      </c>
      <c r="H9" s="188">
        <v>400</v>
      </c>
      <c r="I9" s="189" t="s">
        <v>775</v>
      </c>
      <c r="J9" s="191" t="s">
        <v>342</v>
      </c>
      <c r="K9" s="122">
        <v>0.11</v>
      </c>
      <c r="L9" s="189" t="s">
        <v>775</v>
      </c>
      <c r="M9" s="30" t="s">
        <v>163</v>
      </c>
      <c r="V9" s="185"/>
    </row>
    <row r="10" spans="1:35" ht="18" customHeight="1">
      <c r="A10" s="184"/>
      <c r="B10" s="30" t="s">
        <v>776</v>
      </c>
      <c r="H10" s="781" t="s">
        <v>795</v>
      </c>
      <c r="I10" s="782"/>
      <c r="V10" s="185"/>
    </row>
    <row r="11" spans="1:35" ht="18" customHeight="1">
      <c r="A11" s="184"/>
      <c r="B11" s="30" t="s">
        <v>562</v>
      </c>
      <c r="H11" s="781">
        <v>50</v>
      </c>
      <c r="I11" s="782"/>
      <c r="J11" s="30" t="s">
        <v>157</v>
      </c>
      <c r="V11" s="185"/>
      <c r="W11" s="30" t="str">
        <f>G40</f>
        <v>Suitably Dimensioned</v>
      </c>
    </row>
    <row r="12" spans="1:35" ht="18" customHeight="1">
      <c r="A12" s="184"/>
      <c r="V12" s="185"/>
    </row>
    <row r="13" spans="1:35" ht="18" customHeight="1">
      <c r="A13" s="184"/>
      <c r="V13" s="185"/>
    </row>
    <row r="14" spans="1:35" ht="18" customHeight="1">
      <c r="A14" s="184"/>
      <c r="C14" s="135" t="s">
        <v>405</v>
      </c>
      <c r="D14" s="273"/>
      <c r="E14" s="498" t="s">
        <v>388</v>
      </c>
      <c r="F14" s="384"/>
      <c r="G14" s="384"/>
      <c r="H14" s="384"/>
      <c r="I14" s="138"/>
      <c r="J14" s="260" t="s">
        <v>127</v>
      </c>
      <c r="K14" s="1108">
        <f>'CT-VT Burdens'!Q104</f>
        <v>0.02</v>
      </c>
      <c r="L14" s="788"/>
      <c r="M14" s="3" t="s">
        <v>157</v>
      </c>
      <c r="O14" s="14"/>
      <c r="V14" s="185"/>
    </row>
    <row r="15" spans="1:35" ht="18" customHeight="1">
      <c r="A15" s="184"/>
      <c r="C15" s="96" t="s">
        <v>405</v>
      </c>
      <c r="D15" s="14"/>
      <c r="E15" s="296" t="s">
        <v>885</v>
      </c>
      <c r="F15" s="14"/>
      <c r="H15" s="199"/>
      <c r="I15" s="27"/>
      <c r="J15" s="101" t="s">
        <v>127</v>
      </c>
      <c r="K15" s="1108">
        <f>'CT-VT Burdens'!Q160</f>
        <v>0.02</v>
      </c>
      <c r="L15" s="788"/>
      <c r="M15" s="202" t="s">
        <v>157</v>
      </c>
      <c r="O15" s="14"/>
      <c r="V15" s="185"/>
      <c r="Y15" s="96" t="s">
        <v>405</v>
      </c>
      <c r="Z15" s="14"/>
      <c r="AA15" s="47" t="s">
        <v>778</v>
      </c>
      <c r="AB15" s="14"/>
      <c r="AD15" s="199"/>
      <c r="AE15" s="27"/>
      <c r="AF15" s="101" t="s">
        <v>127</v>
      </c>
      <c r="AG15" s="1108">
        <f>'CT-VT Burdens'!AO104</f>
        <v>0</v>
      </c>
      <c r="AH15" s="788"/>
      <c r="AI15" s="202" t="s">
        <v>157</v>
      </c>
    </row>
    <row r="16" spans="1:35" ht="18" customHeight="1">
      <c r="A16" s="184"/>
      <c r="C16" s="96" t="s">
        <v>405</v>
      </c>
      <c r="D16" s="14"/>
      <c r="E16" s="296" t="s">
        <v>893</v>
      </c>
      <c r="F16" s="14"/>
      <c r="H16" s="199"/>
      <c r="I16" s="27"/>
      <c r="J16" s="101" t="s">
        <v>127</v>
      </c>
      <c r="K16" s="1108">
        <f>'CT-VT Burdens'!Q104</f>
        <v>0.02</v>
      </c>
      <c r="L16" s="788"/>
      <c r="M16" s="202" t="s">
        <v>157</v>
      </c>
      <c r="O16" s="14"/>
      <c r="V16" s="185"/>
      <c r="Y16" s="96" t="s">
        <v>405</v>
      </c>
      <c r="Z16" s="14"/>
      <c r="AA16" s="47" t="s">
        <v>194</v>
      </c>
      <c r="AB16" s="14"/>
      <c r="AD16" s="199"/>
      <c r="AE16" s="27"/>
      <c r="AF16" s="101" t="s">
        <v>127</v>
      </c>
      <c r="AG16" s="1108">
        <f>'CT-VT Burdens'!AO149</f>
        <v>0</v>
      </c>
      <c r="AH16" s="788"/>
      <c r="AI16" s="202" t="s">
        <v>157</v>
      </c>
    </row>
    <row r="17" spans="1:35" ht="18" customHeight="1">
      <c r="A17" s="184"/>
      <c r="C17" s="96" t="s">
        <v>405</v>
      </c>
      <c r="D17" s="14"/>
      <c r="E17" s="296" t="s">
        <v>508</v>
      </c>
      <c r="F17" s="14"/>
      <c r="H17" s="199"/>
      <c r="I17" s="28"/>
      <c r="J17" s="101" t="s">
        <v>127</v>
      </c>
      <c r="K17" s="1108">
        <f>'CT-VT Burdens'!Q104</f>
        <v>0.02</v>
      </c>
      <c r="L17" s="788"/>
      <c r="M17" s="202" t="s">
        <v>157</v>
      </c>
      <c r="O17" s="14"/>
      <c r="V17" s="185"/>
      <c r="Y17" s="96" t="s">
        <v>405</v>
      </c>
      <c r="Z17" s="14"/>
      <c r="AA17" s="47" t="s">
        <v>779</v>
      </c>
      <c r="AB17" s="14"/>
      <c r="AD17" s="199"/>
      <c r="AE17" s="28" t="s">
        <v>129</v>
      </c>
      <c r="AF17" s="101" t="s">
        <v>127</v>
      </c>
      <c r="AG17" s="1108">
        <v>0.2</v>
      </c>
      <c r="AH17" s="788"/>
      <c r="AI17" s="202" t="s">
        <v>157</v>
      </c>
    </row>
    <row r="18" spans="1:35" ht="18" customHeight="1">
      <c r="A18" s="184"/>
      <c r="C18" s="96" t="s">
        <v>405</v>
      </c>
      <c r="D18" s="14"/>
      <c r="E18" s="296" t="s">
        <v>894</v>
      </c>
      <c r="F18" s="14"/>
      <c r="H18" s="199"/>
      <c r="I18" s="28"/>
      <c r="J18" s="101"/>
      <c r="K18" s="1108">
        <f>'CT-VT Burdens'!Q149</f>
        <v>5.8000000000000003E-2</v>
      </c>
      <c r="L18" s="788"/>
      <c r="M18" s="202" t="s">
        <v>157</v>
      </c>
      <c r="O18" s="14"/>
      <c r="V18" s="185"/>
      <c r="Y18" s="96"/>
      <c r="Z18" s="14"/>
      <c r="AA18" s="47"/>
      <c r="AB18" s="14"/>
      <c r="AD18" s="199"/>
      <c r="AE18" s="28"/>
      <c r="AF18" s="101"/>
      <c r="AG18" s="200"/>
      <c r="AH18" s="201"/>
      <c r="AI18" s="202"/>
    </row>
    <row r="19" spans="1:35" ht="18" customHeight="1">
      <c r="A19" s="184"/>
      <c r="B19" s="117"/>
      <c r="C19" s="96" t="s">
        <v>405</v>
      </c>
      <c r="D19" s="14"/>
      <c r="E19" s="296" t="s">
        <v>893</v>
      </c>
      <c r="F19" s="14"/>
      <c r="H19" s="199"/>
      <c r="I19" s="28"/>
      <c r="J19" s="101" t="s">
        <v>127</v>
      </c>
      <c r="K19" s="1108">
        <f>'CT-VT Burdens'!Q104</f>
        <v>0.02</v>
      </c>
      <c r="L19" s="788"/>
      <c r="M19" s="202" t="s">
        <v>157</v>
      </c>
      <c r="N19" s="14"/>
      <c r="O19" s="14"/>
      <c r="P19" s="28"/>
      <c r="Q19" s="199"/>
      <c r="R19" s="14"/>
      <c r="S19" s="14"/>
      <c r="T19" s="14"/>
      <c r="U19" s="14"/>
      <c r="V19" s="185"/>
      <c r="Y19" s="96" t="s">
        <v>405</v>
      </c>
      <c r="Z19" s="14"/>
      <c r="AA19" s="47" t="s">
        <v>780</v>
      </c>
      <c r="AB19" s="14"/>
      <c r="AD19" s="199"/>
      <c r="AE19" s="28" t="s">
        <v>129</v>
      </c>
      <c r="AF19" s="101" t="s">
        <v>127</v>
      </c>
      <c r="AG19" s="1108">
        <v>1</v>
      </c>
      <c r="AH19" s="788"/>
      <c r="AI19" s="202" t="s">
        <v>157</v>
      </c>
    </row>
    <row r="20" spans="1:35" ht="18" customHeight="1">
      <c r="A20" s="184"/>
      <c r="B20" s="117"/>
      <c r="C20" s="96" t="s">
        <v>405</v>
      </c>
      <c r="D20" s="14"/>
      <c r="E20" s="296" t="s">
        <v>179</v>
      </c>
      <c r="F20" s="14"/>
      <c r="H20" s="199"/>
      <c r="I20" s="28"/>
      <c r="J20" s="101"/>
      <c r="K20" s="1108">
        <f>'CT-VT Burdens'!Q105</f>
        <v>0.01</v>
      </c>
      <c r="L20" s="1104"/>
      <c r="M20" s="202"/>
      <c r="N20" s="14"/>
      <c r="O20" s="14"/>
      <c r="P20" s="28"/>
      <c r="Q20" s="199"/>
      <c r="R20" s="14"/>
      <c r="S20" s="14"/>
      <c r="T20" s="14"/>
      <c r="U20" s="14"/>
      <c r="V20" s="185"/>
      <c r="Y20" s="14"/>
      <c r="Z20" s="14"/>
      <c r="AA20" s="47"/>
      <c r="AB20" s="14"/>
      <c r="AD20" s="199"/>
      <c r="AE20" s="28"/>
      <c r="AF20" s="28"/>
      <c r="AG20" s="553"/>
      <c r="AH20" s="554"/>
      <c r="AI20" s="47"/>
    </row>
    <row r="21" spans="1:35" ht="18" customHeight="1">
      <c r="A21" s="184"/>
      <c r="B21" s="117"/>
      <c r="C21" s="96" t="s">
        <v>405</v>
      </c>
      <c r="D21" s="14"/>
      <c r="E21" s="296" t="s">
        <v>882</v>
      </c>
      <c r="F21" s="14"/>
      <c r="H21" s="199"/>
      <c r="I21" s="28"/>
      <c r="J21" s="101"/>
      <c r="K21" s="1108">
        <f>'CT-VT Burdens'!Q159</f>
        <v>0.1</v>
      </c>
      <c r="L21" s="1104"/>
      <c r="M21" s="202"/>
      <c r="N21" s="14"/>
      <c r="O21" s="14"/>
      <c r="P21" s="28"/>
      <c r="Q21" s="199"/>
      <c r="R21" s="14"/>
      <c r="S21" s="14"/>
      <c r="T21" s="14"/>
      <c r="U21" s="14"/>
      <c r="V21" s="185"/>
      <c r="Y21" s="14"/>
      <c r="Z21" s="14"/>
      <c r="AA21" s="47"/>
      <c r="AB21" s="14"/>
      <c r="AD21" s="199"/>
      <c r="AE21" s="28"/>
      <c r="AF21" s="28"/>
      <c r="AG21" s="553"/>
      <c r="AH21" s="554"/>
      <c r="AI21" s="47"/>
    </row>
    <row r="22" spans="1:35" ht="18" customHeight="1">
      <c r="A22" s="184"/>
      <c r="C22" s="96" t="s">
        <v>781</v>
      </c>
      <c r="D22" s="14"/>
      <c r="E22" s="47"/>
      <c r="F22" s="14"/>
      <c r="H22" s="199"/>
      <c r="I22" s="27"/>
      <c r="J22" s="101" t="s">
        <v>127</v>
      </c>
      <c r="K22" s="696">
        <f>SUM(K14:L21)</f>
        <v>0.26800000000000002</v>
      </c>
      <c r="L22" s="820"/>
      <c r="M22" s="202" t="s">
        <v>157</v>
      </c>
      <c r="R22" s="14"/>
      <c r="S22" s="14"/>
      <c r="T22" s="14"/>
      <c r="U22" s="281"/>
      <c r="V22" s="185"/>
    </row>
    <row r="23" spans="1:35" ht="18" customHeight="1">
      <c r="A23" s="184"/>
      <c r="C23" s="184" t="s">
        <v>412</v>
      </c>
      <c r="D23" s="14"/>
      <c r="E23" s="14"/>
      <c r="F23" s="14"/>
      <c r="I23" s="27"/>
      <c r="J23" s="101" t="s">
        <v>127</v>
      </c>
      <c r="K23" s="1349">
        <f>'CT-VT Burdens'!S69</f>
        <v>2.5889401199999997</v>
      </c>
      <c r="L23" s="1350"/>
      <c r="M23" s="297" t="s">
        <v>157</v>
      </c>
      <c r="R23" s="14"/>
      <c r="S23" s="14"/>
      <c r="T23" s="14"/>
      <c r="U23" s="281"/>
      <c r="V23" s="185"/>
    </row>
    <row r="24" spans="1:35" ht="18" customHeight="1">
      <c r="A24" s="184"/>
      <c r="C24" s="1" t="s">
        <v>413</v>
      </c>
      <c r="D24" s="2"/>
      <c r="E24" s="2"/>
      <c r="F24" s="2"/>
      <c r="G24" s="196"/>
      <c r="H24" s="196"/>
      <c r="I24" s="224" t="s">
        <v>512</v>
      </c>
      <c r="J24" s="183" t="s">
        <v>127</v>
      </c>
      <c r="K24" s="1349">
        <f>K22+K23</f>
        <v>2.85694012</v>
      </c>
      <c r="L24" s="1350"/>
      <c r="M24" s="3" t="s">
        <v>157</v>
      </c>
      <c r="R24" s="14"/>
      <c r="S24" s="14"/>
      <c r="T24" s="14"/>
      <c r="U24" s="281"/>
      <c r="V24" s="185"/>
    </row>
    <row r="25" spans="1:35" ht="18" customHeight="1">
      <c r="A25" s="184"/>
      <c r="R25" s="14"/>
      <c r="S25" s="14"/>
      <c r="T25" s="14"/>
      <c r="U25" s="14"/>
      <c r="V25" s="185"/>
    </row>
    <row r="26" spans="1:35" ht="18" customHeight="1">
      <c r="A26" s="184"/>
      <c r="R26" s="14"/>
      <c r="S26" s="14"/>
      <c r="T26" s="14"/>
      <c r="U26" s="186"/>
      <c r="V26" s="185"/>
    </row>
    <row r="27" spans="1:35" ht="18" customHeight="1">
      <c r="A27" s="184"/>
      <c r="B27" s="117" t="s">
        <v>782</v>
      </c>
      <c r="V27" s="185"/>
    </row>
    <row r="28" spans="1:35" ht="18" customHeight="1">
      <c r="A28" s="184"/>
      <c r="V28" s="185"/>
    </row>
    <row r="29" spans="1:35" ht="18" customHeight="1">
      <c r="A29" s="184"/>
      <c r="B29" s="14" t="s">
        <v>783</v>
      </c>
      <c r="C29" s="14"/>
      <c r="D29" s="120"/>
      <c r="J29" s="28" t="s">
        <v>127</v>
      </c>
      <c r="K29" s="47" t="s">
        <v>781</v>
      </c>
      <c r="M29" s="47"/>
      <c r="N29" s="47"/>
      <c r="P29" s="102" t="s">
        <v>342</v>
      </c>
      <c r="Q29" s="30" t="s">
        <v>784</v>
      </c>
      <c r="R29" s="14"/>
      <c r="V29" s="185"/>
    </row>
    <row r="30" spans="1:35" ht="18" customHeight="1">
      <c r="A30" s="184"/>
      <c r="B30" s="14"/>
      <c r="C30" s="14"/>
      <c r="D30" s="120"/>
      <c r="J30" s="28" t="s">
        <v>127</v>
      </c>
      <c r="K30" s="692">
        <f>K22</f>
        <v>0.26800000000000002</v>
      </c>
      <c r="L30" s="689"/>
      <c r="M30" s="102" t="s">
        <v>342</v>
      </c>
      <c r="N30" s="692">
        <f>K9/SQRT(3)*1000</f>
        <v>63.508529610858844</v>
      </c>
      <c r="O30" s="689"/>
      <c r="V30" s="185"/>
    </row>
    <row r="31" spans="1:35" ht="18" customHeight="1">
      <c r="A31" s="184"/>
      <c r="B31" s="14"/>
      <c r="C31" s="14"/>
      <c r="D31" s="120"/>
      <c r="J31" s="28" t="s">
        <v>127</v>
      </c>
      <c r="K31" s="688">
        <f>K30/N30</f>
        <v>4.2199056038950827E-3</v>
      </c>
      <c r="L31" s="688"/>
      <c r="M31" s="47" t="s">
        <v>8</v>
      </c>
      <c r="N31" s="47"/>
      <c r="O31" s="14"/>
      <c r="P31" s="28"/>
      <c r="Q31" s="14"/>
      <c r="R31" s="14"/>
      <c r="V31" s="185"/>
    </row>
    <row r="32" spans="1:35" ht="18" customHeight="1">
      <c r="A32" s="184"/>
      <c r="V32" s="185"/>
    </row>
    <row r="33" spans="1:22" ht="18" customHeight="1">
      <c r="A33" s="184"/>
      <c r="B33" s="14" t="s">
        <v>785</v>
      </c>
      <c r="C33" s="14"/>
      <c r="D33" s="14"/>
      <c r="E33" s="14"/>
      <c r="F33" s="14"/>
      <c r="G33" s="14"/>
      <c r="H33" s="14"/>
      <c r="I33" s="47"/>
      <c r="J33" s="28" t="s">
        <v>127</v>
      </c>
      <c r="K33" s="689" t="s">
        <v>786</v>
      </c>
      <c r="L33" s="689"/>
      <c r="M33" s="28" t="s">
        <v>315</v>
      </c>
      <c r="N33" s="47" t="s">
        <v>787</v>
      </c>
      <c r="O33" s="14"/>
      <c r="P33" s="28"/>
      <c r="Q33" s="466"/>
      <c r="V33" s="185"/>
    </row>
    <row r="34" spans="1:22" ht="18" customHeight="1">
      <c r="A34" s="184"/>
      <c r="J34" s="28" t="s">
        <v>127</v>
      </c>
      <c r="K34" s="684">
        <f>K31*K31</f>
        <v>1.7807603305785122E-5</v>
      </c>
      <c r="L34" s="684"/>
      <c r="M34" s="28" t="s">
        <v>315</v>
      </c>
      <c r="N34" s="795">
        <f>'CT-VT Burdens'!S69</f>
        <v>2.5889401199999997</v>
      </c>
      <c r="O34" s="795"/>
      <c r="V34" s="185"/>
    </row>
    <row r="35" spans="1:22" ht="18" customHeight="1">
      <c r="A35" s="184"/>
      <c r="J35" s="28" t="s">
        <v>127</v>
      </c>
      <c r="K35" s="1145">
        <f>K34*N34</f>
        <v>4.6102818639391722E-5</v>
      </c>
      <c r="L35" s="1145"/>
      <c r="M35" s="30" t="s">
        <v>157</v>
      </c>
      <c r="V35" s="185"/>
    </row>
    <row r="36" spans="1:22" ht="18" customHeight="1">
      <c r="A36" s="184"/>
      <c r="V36" s="185"/>
    </row>
    <row r="37" spans="1:22" ht="18" customHeight="1">
      <c r="A37" s="184"/>
      <c r="B37" s="14" t="s">
        <v>788</v>
      </c>
      <c r="C37" s="14"/>
      <c r="D37" s="14"/>
      <c r="E37" s="28"/>
      <c r="F37" s="14"/>
      <c r="G37" s="14"/>
      <c r="H37" s="102"/>
      <c r="I37" s="47"/>
      <c r="J37" s="47"/>
      <c r="K37" s="14"/>
      <c r="V37" s="185"/>
    </row>
    <row r="38" spans="1:22" ht="18" customHeight="1">
      <c r="A38" s="184"/>
      <c r="B38" s="14"/>
      <c r="C38" s="14"/>
      <c r="D38" s="257"/>
      <c r="E38" s="120" t="s">
        <v>789</v>
      </c>
      <c r="F38" s="27" t="str">
        <f>IF(D39&gt;=G39,"&gt;","&lt;")</f>
        <v>&gt;</v>
      </c>
      <c r="G38" s="281" t="s">
        <v>119</v>
      </c>
      <c r="H38" s="218"/>
      <c r="J38" s="28"/>
      <c r="K38" s="218"/>
      <c r="V38" s="185"/>
    </row>
    <row r="39" spans="1:22" ht="18" customHeight="1">
      <c r="A39" s="184"/>
      <c r="D39" s="684">
        <f>H11</f>
        <v>50</v>
      </c>
      <c r="E39" s="684"/>
      <c r="F39" s="27" t="str">
        <f>F38</f>
        <v>&gt;</v>
      </c>
      <c r="G39" s="1145">
        <f>K24</f>
        <v>2.85694012</v>
      </c>
      <c r="H39" s="684"/>
      <c r="I39" s="14"/>
      <c r="J39" s="257"/>
      <c r="V39" s="185"/>
    </row>
    <row r="40" spans="1:22" ht="18" customHeight="1">
      <c r="A40" s="184"/>
      <c r="D40" s="199"/>
      <c r="E40" s="244" t="s">
        <v>790</v>
      </c>
      <c r="F40" s="27"/>
      <c r="G40" s="18" t="str">
        <f>IF(F38="&gt;","Suitably Dimensioned","Under Dimensioned")</f>
        <v>Suitably Dimensioned</v>
      </c>
      <c r="H40" s="27"/>
      <c r="I40" s="120"/>
      <c r="J40" s="27"/>
      <c r="K40" s="120"/>
      <c r="V40" s="185"/>
    </row>
    <row r="41" spans="1:22" ht="18" customHeight="1">
      <c r="A41" s="184"/>
      <c r="V41" s="185"/>
    </row>
    <row r="42" spans="1:22" ht="18" customHeight="1">
      <c r="A42" s="184"/>
      <c r="V42" s="185"/>
    </row>
    <row r="43" spans="1:22" ht="18" customHeight="1">
      <c r="A43" s="184"/>
      <c r="V43" s="185"/>
    </row>
    <row r="44" spans="1:22" ht="18" customHeight="1">
      <c r="A44" s="184"/>
      <c r="V44" s="185"/>
    </row>
    <row r="45" spans="1:22" s="14" customFormat="1" ht="18" customHeight="1">
      <c r="A45" s="194"/>
      <c r="B45" s="195"/>
      <c r="C45" s="195"/>
      <c r="D45" s="195"/>
      <c r="E45" s="195"/>
      <c r="F45" s="195"/>
      <c r="G45" s="195"/>
      <c r="H45" s="195"/>
      <c r="I45" s="195"/>
      <c r="J45" s="195"/>
      <c r="K45" s="195"/>
      <c r="L45" s="195"/>
      <c r="M45" s="195"/>
      <c r="N45" s="195"/>
      <c r="O45" s="195"/>
      <c r="P45" s="195"/>
      <c r="Q45" s="224"/>
      <c r="R45" s="182"/>
      <c r="S45" s="1351"/>
      <c r="T45" s="1352"/>
      <c r="U45" s="195"/>
      <c r="V45" s="134"/>
    </row>
    <row r="46" spans="1:22" ht="18" customHeight="1">
      <c r="A46" s="226"/>
      <c r="B46" s="227"/>
      <c r="C46" s="227"/>
      <c r="D46" s="227"/>
      <c r="E46" s="227"/>
      <c r="F46" s="227"/>
      <c r="G46" s="227"/>
      <c r="H46" s="227"/>
      <c r="I46" s="227"/>
      <c r="J46" s="227"/>
      <c r="K46" s="227"/>
      <c r="L46" s="227"/>
      <c r="M46" s="227"/>
      <c r="N46" s="227"/>
      <c r="O46" s="227"/>
      <c r="P46" s="227"/>
      <c r="Q46" s="227"/>
      <c r="R46" s="227"/>
      <c r="S46" s="227"/>
      <c r="T46" s="227"/>
      <c r="U46" s="227"/>
      <c r="V46" s="228"/>
    </row>
    <row r="47" spans="1:22" ht="18" customHeight="1">
      <c r="A47" s="184"/>
      <c r="B47" s="781" t="str">
        <f>B7</f>
        <v>T1</v>
      </c>
      <c r="C47" s="782"/>
      <c r="D47" s="743" t="s">
        <v>506</v>
      </c>
      <c r="E47" s="1291"/>
      <c r="V47" s="185"/>
    </row>
    <row r="48" spans="1:22" ht="18" customHeight="1">
      <c r="A48" s="184"/>
      <c r="V48" s="185"/>
    </row>
    <row r="49" spans="1:23" ht="18" customHeight="1">
      <c r="A49" s="184"/>
      <c r="B49" s="30" t="s">
        <v>774</v>
      </c>
      <c r="H49" s="188">
        <v>400</v>
      </c>
      <c r="I49" s="189" t="s">
        <v>775</v>
      </c>
      <c r="J49" s="191" t="s">
        <v>342</v>
      </c>
      <c r="K49" s="122">
        <v>0.11</v>
      </c>
      <c r="L49" s="189" t="s">
        <v>775</v>
      </c>
      <c r="M49" s="30" t="s">
        <v>163</v>
      </c>
      <c r="V49" s="185"/>
    </row>
    <row r="50" spans="1:23" ht="18" customHeight="1">
      <c r="A50" s="184"/>
      <c r="B50" s="30" t="s">
        <v>776</v>
      </c>
      <c r="H50" s="781" t="s">
        <v>901</v>
      </c>
      <c r="I50" s="782"/>
      <c r="V50" s="185"/>
    </row>
    <row r="51" spans="1:23" ht="18" customHeight="1">
      <c r="A51" s="184"/>
      <c r="B51" s="30" t="s">
        <v>562</v>
      </c>
      <c r="H51" s="781">
        <v>50</v>
      </c>
      <c r="I51" s="782"/>
      <c r="J51" s="30" t="s">
        <v>157</v>
      </c>
      <c r="V51" s="185"/>
      <c r="W51" s="30" t="str">
        <f>G81</f>
        <v>Suitably Dimensioned</v>
      </c>
    </row>
    <row r="52" spans="1:23" ht="18" customHeight="1">
      <c r="A52" s="184"/>
      <c r="V52" s="185"/>
    </row>
    <row r="53" spans="1:23" ht="18" customHeight="1">
      <c r="A53" s="184"/>
      <c r="V53" s="185"/>
    </row>
    <row r="54" spans="1:23" ht="18" customHeight="1">
      <c r="A54" s="184"/>
      <c r="C54" s="135" t="s">
        <v>405</v>
      </c>
      <c r="D54" s="273"/>
      <c r="E54" s="498" t="s">
        <v>244</v>
      </c>
      <c r="F54" s="384"/>
      <c r="G54" s="384"/>
      <c r="H54" s="384"/>
      <c r="I54" s="138"/>
      <c r="J54" s="260" t="s">
        <v>127</v>
      </c>
      <c r="K54" s="1108">
        <f>'CT-VT Burdens'!Q142</f>
        <v>8.0000000000000002E-3</v>
      </c>
      <c r="L54" s="788"/>
      <c r="M54" s="3" t="s">
        <v>157</v>
      </c>
      <c r="V54" s="185"/>
    </row>
    <row r="55" spans="1:23" ht="18" customHeight="1">
      <c r="A55" s="184"/>
      <c r="C55" s="96" t="s">
        <v>405</v>
      </c>
      <c r="D55" s="14"/>
      <c r="E55" s="296"/>
      <c r="F55" s="14"/>
      <c r="H55" s="199"/>
      <c r="I55" s="27"/>
      <c r="J55" s="101" t="s">
        <v>127</v>
      </c>
      <c r="K55" s="1108"/>
      <c r="L55" s="788"/>
      <c r="M55" s="202" t="s">
        <v>157</v>
      </c>
      <c r="V55" s="185"/>
    </row>
    <row r="56" spans="1:23" ht="18" customHeight="1">
      <c r="A56" s="184"/>
      <c r="C56" s="96" t="s">
        <v>405</v>
      </c>
      <c r="D56" s="14"/>
      <c r="E56" s="296"/>
      <c r="F56" s="14"/>
      <c r="H56" s="199"/>
      <c r="I56" s="27"/>
      <c r="J56" s="101" t="s">
        <v>127</v>
      </c>
      <c r="K56" s="1108"/>
      <c r="L56" s="788"/>
      <c r="M56" s="202" t="s">
        <v>157</v>
      </c>
      <c r="V56" s="185"/>
    </row>
    <row r="57" spans="1:23" ht="18" customHeight="1">
      <c r="A57" s="184"/>
      <c r="C57" s="96" t="s">
        <v>405</v>
      </c>
      <c r="D57" s="14"/>
      <c r="E57" s="296"/>
      <c r="F57" s="14"/>
      <c r="H57" s="199"/>
      <c r="I57" s="28"/>
      <c r="J57" s="101" t="s">
        <v>127</v>
      </c>
      <c r="K57" s="1108"/>
      <c r="L57" s="788"/>
      <c r="M57" s="202" t="s">
        <v>157</v>
      </c>
      <c r="V57" s="185"/>
    </row>
    <row r="58" spans="1:23" ht="18" customHeight="1">
      <c r="A58" s="184"/>
      <c r="C58" s="96" t="s">
        <v>405</v>
      </c>
      <c r="D58" s="14"/>
      <c r="E58" s="296"/>
      <c r="F58" s="14"/>
      <c r="H58" s="199"/>
      <c r="I58" s="28"/>
      <c r="J58" s="177" t="s">
        <v>127</v>
      </c>
      <c r="K58" s="1108"/>
      <c r="L58" s="788"/>
      <c r="M58" s="202" t="s">
        <v>157</v>
      </c>
      <c r="V58" s="185"/>
    </row>
    <row r="59" spans="1:23" ht="18" customHeight="1">
      <c r="A59" s="184"/>
      <c r="C59" s="96" t="s">
        <v>405</v>
      </c>
      <c r="D59" s="14"/>
      <c r="E59" s="296"/>
      <c r="F59" s="14"/>
      <c r="H59" s="199"/>
      <c r="I59" s="28"/>
      <c r="J59" s="177" t="s">
        <v>127</v>
      </c>
      <c r="K59" s="1108"/>
      <c r="L59" s="1104"/>
      <c r="M59" s="202" t="s">
        <v>157</v>
      </c>
      <c r="V59" s="185"/>
    </row>
    <row r="60" spans="1:23" ht="18" customHeight="1">
      <c r="A60" s="184"/>
      <c r="C60" s="96" t="s">
        <v>405</v>
      </c>
      <c r="D60" s="14"/>
      <c r="E60" s="296"/>
      <c r="F60" s="14"/>
      <c r="H60" s="199"/>
      <c r="I60" s="28"/>
      <c r="J60" s="177" t="s">
        <v>127</v>
      </c>
      <c r="K60" s="1108"/>
      <c r="L60" s="1104"/>
      <c r="M60" s="202" t="s">
        <v>157</v>
      </c>
      <c r="V60" s="185"/>
    </row>
    <row r="61" spans="1:23" ht="18" hidden="1" customHeight="1">
      <c r="A61" s="184"/>
      <c r="C61" s="96" t="s">
        <v>405</v>
      </c>
      <c r="D61" s="14"/>
      <c r="E61" s="296" t="s">
        <v>248</v>
      </c>
      <c r="F61" s="14"/>
      <c r="H61" s="199"/>
      <c r="I61" s="28"/>
      <c r="J61" s="101"/>
      <c r="K61" s="1108"/>
      <c r="L61" s="1104"/>
      <c r="M61" s="202" t="s">
        <v>157</v>
      </c>
      <c r="V61" s="185"/>
    </row>
    <row r="62" spans="1:23" ht="18" customHeight="1">
      <c r="A62" s="184"/>
      <c r="B62" s="117"/>
      <c r="C62" s="96" t="s">
        <v>405</v>
      </c>
      <c r="D62" s="14"/>
      <c r="E62" s="47"/>
      <c r="F62" s="14"/>
      <c r="H62" s="199"/>
      <c r="I62" s="28"/>
      <c r="J62" s="101" t="s">
        <v>127</v>
      </c>
      <c r="K62" s="1108"/>
      <c r="L62" s="788"/>
      <c r="M62" s="202" t="s">
        <v>157</v>
      </c>
      <c r="N62" s="14"/>
      <c r="P62" s="28"/>
      <c r="Q62" s="199"/>
      <c r="R62" s="14"/>
      <c r="S62" s="14"/>
      <c r="T62" s="14"/>
      <c r="U62" s="14"/>
      <c r="V62" s="185"/>
    </row>
    <row r="63" spans="1:23" ht="18" customHeight="1">
      <c r="A63" s="184"/>
      <c r="C63" s="96" t="s">
        <v>781</v>
      </c>
      <c r="D63" s="14"/>
      <c r="E63" s="47"/>
      <c r="F63" s="14"/>
      <c r="H63" s="199"/>
      <c r="I63" s="27"/>
      <c r="J63" s="101" t="s">
        <v>127</v>
      </c>
      <c r="K63" s="696">
        <f>SUM(K54:L62)</f>
        <v>8.0000000000000002E-3</v>
      </c>
      <c r="L63" s="820"/>
      <c r="M63" s="202" t="s">
        <v>157</v>
      </c>
      <c r="R63" s="14"/>
      <c r="S63" s="14"/>
      <c r="T63" s="14"/>
      <c r="U63" s="281"/>
      <c r="V63" s="185"/>
    </row>
    <row r="64" spans="1:23" ht="18" customHeight="1">
      <c r="A64" s="184"/>
      <c r="C64" s="184" t="s">
        <v>412</v>
      </c>
      <c r="D64" s="14"/>
      <c r="E64" s="14"/>
      <c r="F64" s="14"/>
      <c r="I64" s="27"/>
      <c r="J64" s="101" t="s">
        <v>127</v>
      </c>
      <c r="K64" s="1349">
        <f>'CT-VT Burdens'!S69</f>
        <v>2.5889401199999997</v>
      </c>
      <c r="L64" s="1350"/>
      <c r="M64" s="297" t="s">
        <v>157</v>
      </c>
      <c r="R64" s="14"/>
      <c r="S64" s="14"/>
      <c r="T64" s="14"/>
      <c r="U64" s="281"/>
      <c r="V64" s="185"/>
    </row>
    <row r="65" spans="1:22" ht="18" customHeight="1">
      <c r="A65" s="184"/>
      <c r="C65" s="1" t="s">
        <v>413</v>
      </c>
      <c r="D65" s="2"/>
      <c r="E65" s="2"/>
      <c r="F65" s="2"/>
      <c r="G65" s="196"/>
      <c r="H65" s="196"/>
      <c r="I65" s="224" t="s">
        <v>512</v>
      </c>
      <c r="J65" s="183" t="s">
        <v>127</v>
      </c>
      <c r="K65" s="1349">
        <f>K63+K64</f>
        <v>2.5969401199999997</v>
      </c>
      <c r="L65" s="1350"/>
      <c r="M65" s="3" t="s">
        <v>157</v>
      </c>
      <c r="R65" s="14"/>
      <c r="S65" s="14"/>
      <c r="T65" s="14"/>
      <c r="U65" s="281"/>
      <c r="V65" s="185"/>
    </row>
    <row r="66" spans="1:22" ht="18" customHeight="1">
      <c r="A66" s="96"/>
      <c r="B66" s="14"/>
      <c r="C66" s="120"/>
      <c r="D66" s="47"/>
      <c r="E66" s="47"/>
      <c r="F66" s="47"/>
      <c r="G66" s="47"/>
      <c r="H66" s="47"/>
      <c r="I66" s="47"/>
      <c r="J66" s="14"/>
      <c r="K66" s="28"/>
      <c r="L66" s="14"/>
      <c r="M66" s="14"/>
      <c r="N66" s="218"/>
      <c r="O66" s="14"/>
      <c r="P66" s="14"/>
      <c r="R66" s="14"/>
      <c r="S66" s="14"/>
      <c r="T66" s="14"/>
      <c r="U66" s="14"/>
      <c r="V66" s="185"/>
    </row>
    <row r="67" spans="1:22" ht="18" customHeight="1">
      <c r="A67" s="184"/>
      <c r="R67" s="14"/>
      <c r="S67" s="14"/>
      <c r="T67" s="14"/>
      <c r="U67" s="186"/>
      <c r="V67" s="185"/>
    </row>
    <row r="68" spans="1:22" ht="18" customHeight="1">
      <c r="A68" s="184"/>
      <c r="B68" s="117" t="s">
        <v>782</v>
      </c>
      <c r="V68" s="185"/>
    </row>
    <row r="69" spans="1:22" ht="18" customHeight="1">
      <c r="A69" s="184"/>
      <c r="V69" s="185"/>
    </row>
    <row r="70" spans="1:22" ht="18" customHeight="1">
      <c r="A70" s="184"/>
      <c r="B70" s="14" t="s">
        <v>783</v>
      </c>
      <c r="C70" s="14"/>
      <c r="D70" s="120"/>
      <c r="J70" s="28" t="s">
        <v>127</v>
      </c>
      <c r="K70" s="47" t="s">
        <v>781</v>
      </c>
      <c r="M70" s="47"/>
      <c r="N70" s="47"/>
      <c r="P70" s="102" t="s">
        <v>342</v>
      </c>
      <c r="Q70" s="30" t="s">
        <v>784</v>
      </c>
      <c r="R70" s="14"/>
      <c r="V70" s="185"/>
    </row>
    <row r="71" spans="1:22" ht="18" customHeight="1">
      <c r="A71" s="184"/>
      <c r="B71" s="14"/>
      <c r="C71" s="14"/>
      <c r="D71" s="120"/>
      <c r="J71" s="28" t="s">
        <v>127</v>
      </c>
      <c r="K71" s="692">
        <f>K63</f>
        <v>8.0000000000000002E-3</v>
      </c>
      <c r="L71" s="689"/>
      <c r="M71" s="102" t="s">
        <v>342</v>
      </c>
      <c r="N71" s="692">
        <f>K49/SQRT(3)*1000</f>
        <v>63.508529610858844</v>
      </c>
      <c r="O71" s="689"/>
      <c r="V71" s="185"/>
    </row>
    <row r="72" spans="1:22" ht="18" customHeight="1">
      <c r="A72" s="184"/>
      <c r="B72" s="14"/>
      <c r="C72" s="14"/>
      <c r="D72" s="120"/>
      <c r="J72" s="28" t="s">
        <v>127</v>
      </c>
      <c r="K72" s="688">
        <f>K71/N71</f>
        <v>1.259673314595547E-4</v>
      </c>
      <c r="L72" s="688"/>
      <c r="M72" s="47" t="s">
        <v>8</v>
      </c>
      <c r="N72" s="47"/>
      <c r="O72" s="14"/>
      <c r="P72" s="28"/>
      <c r="Q72" s="14"/>
      <c r="R72" s="14"/>
      <c r="V72" s="185"/>
    </row>
    <row r="73" spans="1:22" ht="18" customHeight="1">
      <c r="A73" s="184"/>
      <c r="V73" s="185"/>
    </row>
    <row r="74" spans="1:22" ht="18" customHeight="1">
      <c r="A74" s="184"/>
      <c r="B74" s="14" t="s">
        <v>785</v>
      </c>
      <c r="C74" s="14"/>
      <c r="D74" s="14"/>
      <c r="E74" s="14"/>
      <c r="F74" s="14"/>
      <c r="G74" s="14"/>
      <c r="H74" s="14"/>
      <c r="I74" s="47"/>
      <c r="J74" s="28" t="s">
        <v>127</v>
      </c>
      <c r="K74" s="689" t="s">
        <v>786</v>
      </c>
      <c r="L74" s="689"/>
      <c r="M74" s="28" t="s">
        <v>315</v>
      </c>
      <c r="N74" s="47" t="s">
        <v>787</v>
      </c>
      <c r="O74" s="14"/>
      <c r="P74" s="28"/>
      <c r="Q74" s="466"/>
      <c r="V74" s="185"/>
    </row>
    <row r="75" spans="1:22" ht="18" customHeight="1">
      <c r="A75" s="184"/>
      <c r="J75" s="28" t="s">
        <v>127</v>
      </c>
      <c r="K75" s="684">
        <f>K72*K72</f>
        <v>1.5867768595041319E-8</v>
      </c>
      <c r="L75" s="684"/>
      <c r="M75" s="28" t="s">
        <v>315</v>
      </c>
      <c r="N75" s="795">
        <f>N34</f>
        <v>2.5889401199999997</v>
      </c>
      <c r="O75" s="795"/>
      <c r="V75" s="185"/>
    </row>
    <row r="76" spans="1:22" ht="18" customHeight="1">
      <c r="A76" s="184"/>
      <c r="J76" s="28" t="s">
        <v>127</v>
      </c>
      <c r="K76" s="1145">
        <f>K75*N75</f>
        <v>4.1080702730578503E-8</v>
      </c>
      <c r="L76" s="1145"/>
      <c r="M76" s="30" t="s">
        <v>157</v>
      </c>
      <c r="V76" s="185"/>
    </row>
    <row r="77" spans="1:22" ht="18" customHeight="1">
      <c r="A77" s="184"/>
      <c r="V77" s="185"/>
    </row>
    <row r="78" spans="1:22" ht="18" customHeight="1">
      <c r="A78" s="184"/>
      <c r="B78" s="14" t="s">
        <v>788</v>
      </c>
      <c r="C78" s="14"/>
      <c r="D78" s="14"/>
      <c r="E78" s="28"/>
      <c r="F78" s="14"/>
      <c r="G78" s="14"/>
      <c r="H78" s="102"/>
      <c r="I78" s="47"/>
      <c r="J78" s="47"/>
      <c r="K78" s="14"/>
      <c r="V78" s="185"/>
    </row>
    <row r="79" spans="1:22" ht="18" customHeight="1">
      <c r="A79" s="184"/>
      <c r="B79" s="14"/>
      <c r="C79" s="14"/>
      <c r="D79" s="257"/>
      <c r="E79" s="120" t="s">
        <v>789</v>
      </c>
      <c r="F79" s="27" t="str">
        <f>IF(D80&gt;=G80,"&gt;","&lt;")</f>
        <v>&gt;</v>
      </c>
      <c r="G79" s="476" t="s">
        <v>119</v>
      </c>
      <c r="H79" s="218"/>
      <c r="J79" s="28"/>
      <c r="K79" s="218"/>
      <c r="V79" s="185"/>
    </row>
    <row r="80" spans="1:22" ht="18" customHeight="1">
      <c r="A80" s="184"/>
      <c r="D80" s="684">
        <f>H51</f>
        <v>50</v>
      </c>
      <c r="E80" s="684"/>
      <c r="F80" s="27" t="str">
        <f>F79</f>
        <v>&gt;</v>
      </c>
      <c r="G80" s="795">
        <f>K65</f>
        <v>2.5969401199999997</v>
      </c>
      <c r="H80" s="795"/>
      <c r="I80" s="14"/>
      <c r="J80" s="257"/>
      <c r="V80" s="185"/>
    </row>
    <row r="81" spans="1:23" ht="18" customHeight="1">
      <c r="A81" s="184"/>
      <c r="D81" s="199"/>
      <c r="E81" s="244" t="s">
        <v>790</v>
      </c>
      <c r="F81" s="27"/>
      <c r="G81" s="18" t="str">
        <f>IF(F79="&gt;","Suitably Dimensioned","Under Dimensioned")</f>
        <v>Suitably Dimensioned</v>
      </c>
      <c r="H81" s="27"/>
      <c r="I81" s="120"/>
      <c r="J81" s="27"/>
      <c r="K81" s="120"/>
      <c r="V81" s="185"/>
    </row>
    <row r="82" spans="1:23" ht="18" customHeight="1">
      <c r="A82" s="184"/>
      <c r="V82" s="185"/>
    </row>
    <row r="83" spans="1:23" ht="18" customHeight="1">
      <c r="A83" s="184"/>
      <c r="V83" s="185"/>
    </row>
    <row r="84" spans="1:23" ht="18" customHeight="1">
      <c r="A84" s="184"/>
      <c r="V84" s="185"/>
    </row>
    <row r="85" spans="1:23" ht="18" customHeight="1">
      <c r="A85" s="184"/>
      <c r="V85" s="185"/>
    </row>
    <row r="86" spans="1:23" s="14" customFormat="1" ht="18" customHeight="1">
      <c r="A86" s="194"/>
      <c r="B86" s="195"/>
      <c r="C86" s="195"/>
      <c r="D86" s="195"/>
      <c r="E86" s="195"/>
      <c r="F86" s="195"/>
      <c r="G86" s="195"/>
      <c r="H86" s="195"/>
      <c r="I86" s="195"/>
      <c r="J86" s="195"/>
      <c r="K86" s="195"/>
      <c r="L86" s="195"/>
      <c r="M86" s="195"/>
      <c r="N86" s="195"/>
      <c r="O86" s="195"/>
      <c r="P86" s="195"/>
      <c r="Q86" s="224"/>
      <c r="R86" s="182"/>
      <c r="S86" s="1351"/>
      <c r="T86" s="1352"/>
      <c r="U86" s="195"/>
      <c r="V86" s="134"/>
    </row>
    <row r="87" spans="1:23" ht="18" customHeight="1">
      <c r="A87" s="226"/>
      <c r="B87" s="227"/>
      <c r="C87" s="227"/>
      <c r="D87" s="227"/>
      <c r="E87" s="227"/>
      <c r="F87" s="227"/>
      <c r="G87" s="227"/>
      <c r="H87" s="227"/>
      <c r="I87" s="227"/>
      <c r="J87" s="227"/>
      <c r="K87" s="227"/>
      <c r="L87" s="227"/>
      <c r="M87" s="227"/>
      <c r="N87" s="227"/>
      <c r="O87" s="227"/>
      <c r="P87" s="227"/>
      <c r="Q87" s="227"/>
      <c r="R87" s="227"/>
      <c r="S87" s="227"/>
      <c r="T87" s="227"/>
      <c r="U87" s="227"/>
      <c r="V87" s="228"/>
    </row>
    <row r="88" spans="1:23" ht="18" customHeight="1">
      <c r="A88" s="184"/>
      <c r="B88" s="781" t="s">
        <v>108</v>
      </c>
      <c r="C88" s="782"/>
      <c r="D88" s="743" t="s">
        <v>109</v>
      </c>
      <c r="E88" s="1291"/>
      <c r="V88" s="185"/>
    </row>
    <row r="89" spans="1:23" ht="18" customHeight="1">
      <c r="A89" s="184"/>
      <c r="V89" s="185"/>
    </row>
    <row r="90" spans="1:23" ht="18" customHeight="1">
      <c r="A90" s="184"/>
      <c r="B90" s="30" t="s">
        <v>774</v>
      </c>
      <c r="H90" s="188">
        <v>400</v>
      </c>
      <c r="I90" s="189" t="s">
        <v>775</v>
      </c>
      <c r="J90" s="191" t="s">
        <v>342</v>
      </c>
      <c r="K90" s="122">
        <v>0.11</v>
      </c>
      <c r="L90" s="189" t="s">
        <v>775</v>
      </c>
      <c r="M90" s="30" t="s">
        <v>163</v>
      </c>
      <c r="V90" s="185"/>
    </row>
    <row r="91" spans="1:23" ht="18" customHeight="1">
      <c r="A91" s="184"/>
      <c r="B91" s="30" t="s">
        <v>776</v>
      </c>
      <c r="H91" s="781" t="s">
        <v>901</v>
      </c>
      <c r="I91" s="782"/>
      <c r="V91" s="185"/>
    </row>
    <row r="92" spans="1:23" ht="18" customHeight="1">
      <c r="A92" s="184"/>
      <c r="B92" s="30" t="s">
        <v>562</v>
      </c>
      <c r="H92" s="781">
        <v>50</v>
      </c>
      <c r="I92" s="782"/>
      <c r="J92" s="30" t="s">
        <v>157</v>
      </c>
      <c r="V92" s="185"/>
      <c r="W92" s="30" t="str">
        <f>G118</f>
        <v>Suitably Dimensioned</v>
      </c>
    </row>
    <row r="93" spans="1:23" ht="18" customHeight="1">
      <c r="A93" s="184"/>
      <c r="V93" s="185"/>
    </row>
    <row r="94" spans="1:23" ht="18" customHeight="1">
      <c r="A94" s="184"/>
      <c r="V94" s="185"/>
    </row>
    <row r="95" spans="1:23" ht="18" customHeight="1">
      <c r="A95" s="184"/>
      <c r="C95" s="135" t="s">
        <v>405</v>
      </c>
      <c r="D95" s="273"/>
      <c r="E95" s="139" t="s">
        <v>244</v>
      </c>
      <c r="F95" s="227"/>
      <c r="G95" s="227"/>
      <c r="H95" s="227"/>
      <c r="I95" s="138"/>
      <c r="J95" s="260" t="s">
        <v>127</v>
      </c>
      <c r="K95" s="1108">
        <f>'CT-VT Burdens'!Q142</f>
        <v>8.0000000000000002E-3</v>
      </c>
      <c r="L95" s="788"/>
      <c r="M95" s="3" t="s">
        <v>157</v>
      </c>
      <c r="V95" s="185"/>
    </row>
    <row r="96" spans="1:23" ht="18" customHeight="1">
      <c r="A96" s="184"/>
      <c r="C96" s="96" t="s">
        <v>405</v>
      </c>
      <c r="D96" s="14"/>
      <c r="E96" s="47"/>
      <c r="F96" s="14"/>
      <c r="H96" s="199"/>
      <c r="I96" s="27"/>
      <c r="J96" s="101" t="s">
        <v>127</v>
      </c>
      <c r="K96" s="1108"/>
      <c r="L96" s="788"/>
      <c r="M96" s="202" t="s">
        <v>157</v>
      </c>
      <c r="V96" s="185"/>
    </row>
    <row r="97" spans="1:22" ht="18" customHeight="1">
      <c r="A97" s="184"/>
      <c r="C97" s="96" t="s">
        <v>405</v>
      </c>
      <c r="D97" s="14"/>
      <c r="E97" s="47"/>
      <c r="F97" s="14"/>
      <c r="H97" s="199"/>
      <c r="I97" s="27"/>
      <c r="J97" s="101" t="s">
        <v>127</v>
      </c>
      <c r="K97" s="1108"/>
      <c r="L97" s="788"/>
      <c r="M97" s="202" t="s">
        <v>157</v>
      </c>
      <c r="V97" s="185"/>
    </row>
    <row r="98" spans="1:22" ht="18" customHeight="1">
      <c r="A98" s="184"/>
      <c r="C98" s="96" t="s">
        <v>405</v>
      </c>
      <c r="D98" s="14"/>
      <c r="E98" s="47"/>
      <c r="F98" s="14"/>
      <c r="H98" s="199"/>
      <c r="I98" s="27"/>
      <c r="J98" s="101" t="s">
        <v>127</v>
      </c>
      <c r="K98" s="1108"/>
      <c r="L98" s="788"/>
      <c r="M98" s="202" t="s">
        <v>157</v>
      </c>
      <c r="V98" s="185"/>
    </row>
    <row r="99" spans="1:22" ht="18" customHeight="1">
      <c r="A99" s="184"/>
      <c r="B99" s="117"/>
      <c r="C99" s="96" t="s">
        <v>405</v>
      </c>
      <c r="D99" s="14"/>
      <c r="E99" s="47"/>
      <c r="F99" s="14"/>
      <c r="H99" s="199"/>
      <c r="I99" s="27"/>
      <c r="J99" s="101" t="s">
        <v>127</v>
      </c>
      <c r="K99" s="1108"/>
      <c r="L99" s="788"/>
      <c r="M99" s="202" t="s">
        <v>157</v>
      </c>
      <c r="N99" s="14"/>
      <c r="O99" s="14"/>
      <c r="P99" s="28"/>
      <c r="Q99" s="199"/>
      <c r="R99" s="14"/>
      <c r="S99" s="14"/>
      <c r="T99" s="14"/>
      <c r="U99" s="14"/>
      <c r="V99" s="185"/>
    </row>
    <row r="100" spans="1:22" ht="18" customHeight="1">
      <c r="A100" s="184"/>
      <c r="C100" s="96" t="s">
        <v>781</v>
      </c>
      <c r="D100" s="14"/>
      <c r="E100" s="47"/>
      <c r="F100" s="14"/>
      <c r="H100" s="199"/>
      <c r="I100" s="27"/>
      <c r="J100" s="101" t="s">
        <v>127</v>
      </c>
      <c r="K100" s="696">
        <f>SUM(K95:L99)</f>
        <v>8.0000000000000002E-3</v>
      </c>
      <c r="L100" s="820"/>
      <c r="M100" s="202" t="s">
        <v>157</v>
      </c>
      <c r="R100" s="14"/>
      <c r="S100" s="14"/>
      <c r="T100" s="14"/>
      <c r="U100" s="281"/>
      <c r="V100" s="185"/>
    </row>
    <row r="101" spans="1:22" ht="18" customHeight="1">
      <c r="A101" s="184"/>
      <c r="C101" s="184" t="s">
        <v>412</v>
      </c>
      <c r="D101" s="14"/>
      <c r="E101" s="14"/>
      <c r="F101" s="14"/>
      <c r="I101" s="27"/>
      <c r="J101" s="101" t="s">
        <v>127</v>
      </c>
      <c r="K101" s="1349">
        <f>'CT-VT Burdens'!S69</f>
        <v>2.5889401199999997</v>
      </c>
      <c r="L101" s="1350"/>
      <c r="M101" s="297" t="s">
        <v>157</v>
      </c>
      <c r="R101" s="14"/>
      <c r="S101" s="14"/>
      <c r="T101" s="14"/>
      <c r="U101" s="281"/>
      <c r="V101" s="185"/>
    </row>
    <row r="102" spans="1:22" ht="18" customHeight="1">
      <c r="A102" s="184"/>
      <c r="C102" s="1" t="s">
        <v>413</v>
      </c>
      <c r="D102" s="2"/>
      <c r="E102" s="2"/>
      <c r="F102" s="2"/>
      <c r="G102" s="196"/>
      <c r="H102" s="196"/>
      <c r="I102" s="224" t="s">
        <v>512</v>
      </c>
      <c r="J102" s="183" t="s">
        <v>127</v>
      </c>
      <c r="K102" s="1349">
        <f>K100+K101</f>
        <v>2.5969401199999997</v>
      </c>
      <c r="L102" s="1350"/>
      <c r="M102" s="3" t="s">
        <v>157</v>
      </c>
      <c r="R102" s="14"/>
      <c r="S102" s="14"/>
      <c r="T102" s="14"/>
      <c r="U102" s="281"/>
      <c r="V102" s="185"/>
    </row>
    <row r="103" spans="1:22" ht="18" customHeight="1">
      <c r="A103" s="96"/>
      <c r="B103" s="14"/>
      <c r="C103" s="120"/>
      <c r="D103" s="47"/>
      <c r="E103" s="47"/>
      <c r="F103" s="47"/>
      <c r="G103" s="47"/>
      <c r="H103" s="47"/>
      <c r="I103" s="47"/>
      <c r="J103" s="14"/>
      <c r="K103" s="28"/>
      <c r="L103" s="14"/>
      <c r="M103" s="14"/>
      <c r="N103" s="218"/>
      <c r="O103" s="218"/>
      <c r="P103" s="14"/>
      <c r="R103" s="14"/>
      <c r="S103" s="14"/>
      <c r="T103" s="14"/>
      <c r="U103" s="14"/>
      <c r="V103" s="185"/>
    </row>
    <row r="104" spans="1:22" ht="18" customHeight="1">
      <c r="A104" s="184"/>
      <c r="P104" s="466"/>
      <c r="R104" s="14"/>
      <c r="S104" s="14"/>
      <c r="T104" s="14"/>
      <c r="U104" s="186"/>
      <c r="V104" s="185"/>
    </row>
    <row r="105" spans="1:22" ht="18" customHeight="1">
      <c r="A105" s="184"/>
      <c r="B105" s="117" t="s">
        <v>782</v>
      </c>
      <c r="V105" s="185"/>
    </row>
    <row r="106" spans="1:22" ht="18" customHeight="1">
      <c r="A106" s="184"/>
      <c r="V106" s="185"/>
    </row>
    <row r="107" spans="1:22" ht="18" customHeight="1">
      <c r="A107" s="184"/>
      <c r="B107" s="14" t="s">
        <v>783</v>
      </c>
      <c r="C107" s="14"/>
      <c r="D107" s="120"/>
      <c r="J107" s="28" t="s">
        <v>127</v>
      </c>
      <c r="K107" s="47" t="s">
        <v>781</v>
      </c>
      <c r="M107" s="47"/>
      <c r="N107" s="47"/>
      <c r="P107" s="102" t="s">
        <v>342</v>
      </c>
      <c r="Q107" s="30" t="s">
        <v>784</v>
      </c>
      <c r="R107" s="14"/>
      <c r="V107" s="185"/>
    </row>
    <row r="108" spans="1:22" ht="18" customHeight="1">
      <c r="A108" s="184"/>
      <c r="B108" s="14"/>
      <c r="C108" s="14"/>
      <c r="D108" s="120"/>
      <c r="J108" s="28" t="s">
        <v>127</v>
      </c>
      <c r="K108" s="692">
        <f>K100</f>
        <v>8.0000000000000002E-3</v>
      </c>
      <c r="L108" s="689"/>
      <c r="M108" s="102" t="s">
        <v>342</v>
      </c>
      <c r="N108" s="692">
        <f>K90/SQRT(3)*1000</f>
        <v>63.508529610858844</v>
      </c>
      <c r="O108" s="689"/>
      <c r="V108" s="185"/>
    </row>
    <row r="109" spans="1:22" ht="18" customHeight="1">
      <c r="A109" s="184"/>
      <c r="B109" s="14"/>
      <c r="C109" s="14"/>
      <c r="D109" s="120"/>
      <c r="J109" s="28" t="s">
        <v>127</v>
      </c>
      <c r="K109" s="688">
        <f>K108/N108</f>
        <v>1.259673314595547E-4</v>
      </c>
      <c r="L109" s="688"/>
      <c r="M109" s="47" t="s">
        <v>8</v>
      </c>
      <c r="N109" s="47"/>
      <c r="O109" s="14"/>
      <c r="P109" s="28"/>
      <c r="Q109" s="14"/>
      <c r="R109" s="14"/>
      <c r="V109" s="185"/>
    </row>
    <row r="110" spans="1:22" ht="18" customHeight="1">
      <c r="A110" s="184"/>
      <c r="V110" s="185"/>
    </row>
    <row r="111" spans="1:22" ht="18" customHeight="1">
      <c r="A111" s="184"/>
      <c r="B111" s="14" t="s">
        <v>785</v>
      </c>
      <c r="C111" s="14"/>
      <c r="D111" s="14"/>
      <c r="E111" s="14"/>
      <c r="F111" s="14"/>
      <c r="G111" s="14"/>
      <c r="H111" s="14"/>
      <c r="I111" s="47"/>
      <c r="J111" s="28" t="s">
        <v>127</v>
      </c>
      <c r="K111" s="689" t="s">
        <v>786</v>
      </c>
      <c r="L111" s="689"/>
      <c r="M111" s="28" t="s">
        <v>315</v>
      </c>
      <c r="N111" s="47" t="s">
        <v>787</v>
      </c>
      <c r="O111" s="14"/>
      <c r="P111" s="28"/>
      <c r="V111" s="185"/>
    </row>
    <row r="112" spans="1:22" ht="18" customHeight="1">
      <c r="A112" s="184"/>
      <c r="J112" s="28" t="s">
        <v>127</v>
      </c>
      <c r="K112" s="684">
        <f>K109*K109</f>
        <v>1.5867768595041319E-8</v>
      </c>
      <c r="L112" s="684"/>
      <c r="M112" s="28" t="s">
        <v>315</v>
      </c>
      <c r="N112" s="795">
        <f>N75</f>
        <v>2.5889401199999997</v>
      </c>
      <c r="O112" s="795"/>
      <c r="V112" s="185"/>
    </row>
    <row r="113" spans="1:22" ht="18" customHeight="1">
      <c r="A113" s="184"/>
      <c r="J113" s="28" t="s">
        <v>127</v>
      </c>
      <c r="K113" s="1145">
        <f>K112*N112</f>
        <v>4.1080702730578503E-8</v>
      </c>
      <c r="L113" s="1145"/>
      <c r="M113" s="30" t="s">
        <v>157</v>
      </c>
      <c r="V113" s="185"/>
    </row>
    <row r="114" spans="1:22" ht="18" customHeight="1">
      <c r="A114" s="184"/>
      <c r="V114" s="185"/>
    </row>
    <row r="115" spans="1:22" ht="18" customHeight="1">
      <c r="A115" s="184"/>
      <c r="B115" s="14" t="s">
        <v>788</v>
      </c>
      <c r="C115" s="14"/>
      <c r="D115" s="14"/>
      <c r="E115" s="28"/>
      <c r="F115" s="14"/>
      <c r="G115" s="14"/>
      <c r="H115" s="102"/>
      <c r="I115" s="47"/>
      <c r="J115" s="47"/>
      <c r="K115" s="14"/>
      <c r="V115" s="185"/>
    </row>
    <row r="116" spans="1:22" ht="18" customHeight="1">
      <c r="A116" s="184"/>
      <c r="B116" s="14"/>
      <c r="C116" s="14"/>
      <c r="D116" s="257"/>
      <c r="E116" s="120" t="s">
        <v>789</v>
      </c>
      <c r="F116" s="27" t="str">
        <f>IF(D117&gt;=G117,"&gt;","&lt;")</f>
        <v>&gt;</v>
      </c>
      <c r="G116" s="281" t="s">
        <v>119</v>
      </c>
      <c r="H116" s="218"/>
      <c r="J116" s="28"/>
      <c r="K116" s="218"/>
      <c r="V116" s="185"/>
    </row>
    <row r="117" spans="1:22" ht="18" customHeight="1">
      <c r="A117" s="184"/>
      <c r="D117" s="684">
        <f>H92</f>
        <v>50</v>
      </c>
      <c r="E117" s="684"/>
      <c r="F117" s="27" t="str">
        <f>F116</f>
        <v>&gt;</v>
      </c>
      <c r="G117" s="1145">
        <f>K102</f>
        <v>2.5969401199999997</v>
      </c>
      <c r="H117" s="684"/>
      <c r="I117" s="14"/>
      <c r="J117" s="257"/>
      <c r="V117" s="185"/>
    </row>
    <row r="118" spans="1:22" ht="18" customHeight="1">
      <c r="A118" s="184"/>
      <c r="D118" s="199"/>
      <c r="E118" s="244" t="s">
        <v>790</v>
      </c>
      <c r="F118" s="27"/>
      <c r="G118" s="18" t="str">
        <f>IF(F117="&gt;","Suitably Dimensioned","Under Dimensioned")</f>
        <v>Suitably Dimensioned</v>
      </c>
      <c r="H118" s="27"/>
      <c r="I118" s="120"/>
      <c r="J118" s="27"/>
      <c r="K118" s="120"/>
      <c r="V118" s="185"/>
    </row>
    <row r="119" spans="1:22" ht="18" customHeight="1">
      <c r="A119" s="184"/>
      <c r="D119" s="199"/>
      <c r="E119" s="244"/>
      <c r="F119" s="27"/>
      <c r="G119" s="18"/>
      <c r="H119" s="27"/>
      <c r="I119" s="120"/>
      <c r="J119" s="27"/>
      <c r="K119" s="120"/>
      <c r="V119" s="185"/>
    </row>
    <row r="120" spans="1:22" ht="18" customHeight="1">
      <c r="A120" s="184"/>
      <c r="D120" s="199"/>
      <c r="E120" s="244"/>
      <c r="F120" s="27"/>
      <c r="G120" s="18"/>
      <c r="H120" s="27"/>
      <c r="I120" s="120"/>
      <c r="J120" s="27"/>
      <c r="K120" s="120"/>
      <c r="V120" s="185"/>
    </row>
    <row r="121" spans="1:22" ht="18" customHeight="1">
      <c r="A121" s="184"/>
      <c r="D121" s="199"/>
      <c r="E121" s="244"/>
      <c r="F121" s="27"/>
      <c r="G121" s="18"/>
      <c r="H121" s="27"/>
      <c r="I121" s="120"/>
      <c r="J121" s="27"/>
      <c r="K121" s="120"/>
      <c r="V121" s="185"/>
    </row>
    <row r="122" spans="1:22" ht="18" customHeight="1">
      <c r="A122" s="184"/>
      <c r="D122" s="199"/>
      <c r="E122" s="244"/>
      <c r="F122" s="27"/>
      <c r="G122" s="18"/>
      <c r="H122" s="27"/>
      <c r="I122" s="120"/>
      <c r="J122" s="27"/>
      <c r="K122" s="120"/>
      <c r="V122" s="185"/>
    </row>
    <row r="123" spans="1:22" ht="18" customHeight="1">
      <c r="A123" s="184"/>
      <c r="V123" s="185"/>
    </row>
    <row r="124" spans="1:22" ht="18" customHeight="1">
      <c r="A124" s="184"/>
      <c r="V124" s="185"/>
    </row>
    <row r="125" spans="1:22" ht="18" customHeight="1">
      <c r="A125" s="184"/>
      <c r="V125" s="185"/>
    </row>
    <row r="126" spans="1:22" s="14" customFormat="1" ht="18" customHeight="1">
      <c r="A126" s="194"/>
      <c r="B126" s="195"/>
      <c r="C126" s="195"/>
      <c r="D126" s="195"/>
      <c r="E126" s="195"/>
      <c r="F126" s="195"/>
      <c r="G126" s="195"/>
      <c r="H126" s="195"/>
      <c r="I126" s="195"/>
      <c r="J126" s="195"/>
      <c r="K126" s="195"/>
      <c r="L126" s="195"/>
      <c r="M126" s="195"/>
      <c r="N126" s="195"/>
      <c r="O126" s="195"/>
      <c r="P126" s="195"/>
      <c r="Q126" s="224"/>
      <c r="R126" s="182"/>
      <c r="S126" s="225"/>
      <c r="T126" s="195"/>
      <c r="U126" s="195"/>
      <c r="V126" s="134"/>
    </row>
    <row r="127" spans="1:22" s="14" customFormat="1" ht="18" customHeight="1">
      <c r="A127" s="135"/>
      <c r="B127" s="273"/>
      <c r="C127" s="273"/>
      <c r="D127" s="273"/>
      <c r="E127" s="273"/>
      <c r="F127" s="273"/>
      <c r="G127" s="273"/>
      <c r="H127" s="273"/>
      <c r="I127" s="273"/>
      <c r="J127" s="273"/>
      <c r="K127" s="273"/>
      <c r="L127" s="273"/>
      <c r="M127" s="273"/>
      <c r="N127" s="273"/>
      <c r="O127" s="273"/>
      <c r="P127" s="273"/>
      <c r="Q127" s="274"/>
      <c r="R127" s="138"/>
      <c r="S127" s="275"/>
      <c r="T127" s="273"/>
      <c r="U127" s="273"/>
      <c r="V127" s="276"/>
    </row>
    <row r="128" spans="1:22" ht="18" customHeight="1">
      <c r="A128" s="96" t="s">
        <v>793</v>
      </c>
      <c r="V128" s="185"/>
    </row>
    <row r="129" spans="1:22" ht="18" customHeight="1">
      <c r="A129" s="853" t="s">
        <v>115</v>
      </c>
      <c r="B129" s="853"/>
      <c r="C129" s="853"/>
      <c r="D129" s="853"/>
      <c r="E129" s="853" t="s">
        <v>116</v>
      </c>
      <c r="F129" s="853"/>
      <c r="G129" s="853"/>
      <c r="H129" s="853"/>
      <c r="I129" s="853"/>
      <c r="J129" s="868" t="s">
        <v>117</v>
      </c>
      <c r="K129" s="868"/>
      <c r="L129" s="868" t="s">
        <v>88</v>
      </c>
      <c r="M129" s="868"/>
      <c r="N129" s="868" t="s">
        <v>100</v>
      </c>
      <c r="O129" s="868"/>
      <c r="P129" s="868"/>
      <c r="Q129" s="853" t="s">
        <v>794</v>
      </c>
      <c r="R129" s="853"/>
      <c r="S129" s="853"/>
      <c r="T129" s="853"/>
      <c r="U129" s="853"/>
      <c r="V129" s="853"/>
    </row>
    <row r="130" spans="1:22" ht="18" customHeight="1">
      <c r="A130" s="853"/>
      <c r="B130" s="853"/>
      <c r="C130" s="853"/>
      <c r="D130" s="853"/>
      <c r="E130" s="853"/>
      <c r="F130" s="853"/>
      <c r="G130" s="853"/>
      <c r="H130" s="853"/>
      <c r="I130" s="853"/>
      <c r="J130" s="868"/>
      <c r="K130" s="868"/>
      <c r="L130" s="868"/>
      <c r="M130" s="868"/>
      <c r="N130" s="868"/>
      <c r="O130" s="868"/>
      <c r="P130" s="868"/>
      <c r="Q130" s="853"/>
      <c r="R130" s="853"/>
      <c r="S130" s="853"/>
      <c r="T130" s="853"/>
      <c r="U130" s="853"/>
      <c r="V130" s="853"/>
    </row>
    <row r="131" spans="1:22" ht="18" customHeight="1">
      <c r="A131" s="853"/>
      <c r="B131" s="853"/>
      <c r="C131" s="853"/>
      <c r="D131" s="853"/>
      <c r="E131" s="1356"/>
      <c r="F131" s="1356"/>
      <c r="G131" s="853"/>
      <c r="H131" s="853"/>
      <c r="I131" s="853"/>
      <c r="J131" s="868"/>
      <c r="K131" s="868"/>
      <c r="L131" s="868"/>
      <c r="M131" s="868"/>
      <c r="N131" s="868"/>
      <c r="O131" s="868"/>
      <c r="P131" s="868"/>
      <c r="Q131" s="853"/>
      <c r="R131" s="853"/>
      <c r="S131" s="853"/>
      <c r="T131" s="853"/>
      <c r="U131" s="853"/>
      <c r="V131" s="853"/>
    </row>
    <row r="132" spans="1:22" ht="18" customHeight="1">
      <c r="A132" s="1353" t="str">
        <f>B7</f>
        <v>T1</v>
      </c>
      <c r="B132" s="1354"/>
      <c r="C132" s="876" t="str">
        <f>D7</f>
        <v>Core1</v>
      </c>
      <c r="D132" s="990"/>
      <c r="E132" s="342">
        <f>H9</f>
        <v>400</v>
      </c>
      <c r="F132" s="246" t="str">
        <f>I9</f>
        <v>/ √3</v>
      </c>
      <c r="G132" s="343" t="s">
        <v>342</v>
      </c>
      <c r="H132" s="243">
        <f>K9</f>
        <v>0.11</v>
      </c>
      <c r="I132" s="246" t="str">
        <f>L9</f>
        <v>/ √3</v>
      </c>
      <c r="J132" s="958">
        <f>'CT-VT Burdens'!S67</f>
        <v>120</v>
      </c>
      <c r="K132" s="1355">
        <f>'CT-VT Burdens'!S56</f>
        <v>2.5</v>
      </c>
      <c r="L132" s="958" t="str">
        <f>H10</f>
        <v>0.5/3P</v>
      </c>
      <c r="M132" s="958"/>
      <c r="N132" s="958">
        <f>H11</f>
        <v>50</v>
      </c>
      <c r="O132" s="958"/>
      <c r="P132" s="958"/>
      <c r="Q132" s="958" t="str">
        <f>G40</f>
        <v>Suitably Dimensioned</v>
      </c>
      <c r="R132" s="958"/>
      <c r="S132" s="958"/>
      <c r="T132" s="958"/>
      <c r="U132" s="958"/>
      <c r="V132" s="958"/>
    </row>
    <row r="133" spans="1:22" ht="18" customHeight="1">
      <c r="A133" s="685"/>
      <c r="B133" s="699"/>
      <c r="C133" s="958" t="str">
        <f>D47</f>
        <v>Core2</v>
      </c>
      <c r="D133" s="958"/>
      <c r="E133" s="342">
        <f>H49</f>
        <v>400</v>
      </c>
      <c r="F133" s="246" t="str">
        <f>I49</f>
        <v>/ √3</v>
      </c>
      <c r="G133" s="467" t="s">
        <v>342</v>
      </c>
      <c r="H133" s="243">
        <f>K49</f>
        <v>0.11</v>
      </c>
      <c r="I133" s="246" t="str">
        <f>L49</f>
        <v>/ √3</v>
      </c>
      <c r="J133" s="958"/>
      <c r="K133" s="1355"/>
      <c r="L133" s="958" t="str">
        <f>H50</f>
        <v>0.2S</v>
      </c>
      <c r="M133" s="958"/>
      <c r="N133" s="958">
        <f>H51</f>
        <v>50</v>
      </c>
      <c r="O133" s="958"/>
      <c r="P133" s="958"/>
      <c r="Q133" s="958" t="str">
        <f>G81</f>
        <v>Suitably Dimensioned</v>
      </c>
      <c r="R133" s="958"/>
      <c r="S133" s="958"/>
      <c r="T133" s="958"/>
      <c r="U133" s="958"/>
      <c r="V133" s="958"/>
    </row>
    <row r="134" spans="1:22" ht="18" customHeight="1">
      <c r="A134" s="1217"/>
      <c r="B134" s="1218"/>
      <c r="C134" s="958" t="str">
        <f>D88</f>
        <v>Core3</v>
      </c>
      <c r="D134" s="958"/>
      <c r="E134" s="342">
        <f>H90</f>
        <v>400</v>
      </c>
      <c r="F134" s="540" t="str">
        <f>I90</f>
        <v>/ √3</v>
      </c>
      <c r="G134" s="551" t="s">
        <v>342</v>
      </c>
      <c r="H134" s="550">
        <f>K90</f>
        <v>0.11</v>
      </c>
      <c r="I134" s="540" t="str">
        <f>L90</f>
        <v>/ √3</v>
      </c>
      <c r="J134" s="958"/>
      <c r="K134" s="1355"/>
      <c r="L134" s="751" t="str">
        <f>H91</f>
        <v>0.2S</v>
      </c>
      <c r="M134" s="751"/>
      <c r="N134" s="751">
        <f>H92</f>
        <v>50</v>
      </c>
      <c r="O134" s="751"/>
      <c r="P134" s="751"/>
      <c r="Q134" s="958" t="str">
        <f>G118</f>
        <v>Suitably Dimensioned</v>
      </c>
      <c r="R134" s="958"/>
      <c r="S134" s="958"/>
      <c r="T134" s="958"/>
      <c r="U134" s="958"/>
      <c r="V134" s="958"/>
    </row>
    <row r="135" spans="1:22" ht="18" customHeight="1">
      <c r="A135" s="184"/>
      <c r="V135" s="185"/>
    </row>
    <row r="136" spans="1:22" ht="18" customHeight="1">
      <c r="A136" s="184"/>
      <c r="V136" s="185"/>
    </row>
    <row r="137" spans="1:22" ht="18" customHeight="1">
      <c r="A137" s="184"/>
      <c r="V137" s="185"/>
    </row>
    <row r="138" spans="1:22" ht="18" customHeight="1">
      <c r="A138" s="184"/>
      <c r="V138" s="185"/>
    </row>
    <row r="139" spans="1:22" ht="18" customHeight="1">
      <c r="A139" s="184"/>
      <c r="V139" s="185"/>
    </row>
    <row r="140" spans="1:22" ht="18" customHeight="1">
      <c r="A140" s="184"/>
      <c r="V140" s="185"/>
    </row>
    <row r="141" spans="1:22" ht="18" customHeight="1">
      <c r="A141" s="184"/>
      <c r="V141" s="185"/>
    </row>
    <row r="142" spans="1:22" ht="18" customHeight="1">
      <c r="A142" s="184"/>
      <c r="V142" s="185"/>
    </row>
    <row r="143" spans="1:22" ht="18" customHeight="1">
      <c r="A143" s="184"/>
      <c r="V143" s="185"/>
    </row>
    <row r="144" spans="1:22" ht="18" customHeight="1">
      <c r="A144" s="184"/>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s="14" customFormat="1" ht="18" customHeight="1">
      <c r="A166" s="194"/>
      <c r="B166" s="195"/>
      <c r="C166" s="195"/>
      <c r="D166" s="195"/>
      <c r="E166" s="195"/>
      <c r="F166" s="195"/>
      <c r="G166" s="195"/>
      <c r="H166" s="195"/>
      <c r="I166" s="195"/>
      <c r="J166" s="195"/>
      <c r="K166" s="195"/>
      <c r="L166" s="195"/>
      <c r="M166" s="195"/>
      <c r="N166" s="195"/>
      <c r="O166" s="195"/>
      <c r="P166" s="195"/>
      <c r="Q166" s="224"/>
      <c r="R166" s="182"/>
      <c r="S166" s="1351"/>
      <c r="T166" s="1352"/>
      <c r="U166" s="195"/>
      <c r="V166" s="134"/>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S45:T45"/>
    <mergeCell ref="B47:C47"/>
    <mergeCell ref="D47:E47"/>
    <mergeCell ref="H50:I50"/>
    <mergeCell ref="H51:I51"/>
    <mergeCell ref="K54:L54"/>
    <mergeCell ref="K31:L31"/>
    <mergeCell ref="K33:L33"/>
    <mergeCell ref="K34:L34"/>
    <mergeCell ref="N34:O34"/>
    <mergeCell ref="K35:L35"/>
    <mergeCell ref="D39:E39"/>
    <mergeCell ref="G39:H39"/>
    <mergeCell ref="K61:L61"/>
    <mergeCell ref="K62:L62"/>
    <mergeCell ref="K63:L63"/>
    <mergeCell ref="K64:L64"/>
    <mergeCell ref="K65:L65"/>
    <mergeCell ref="K71:L71"/>
    <mergeCell ref="K55:L55"/>
    <mergeCell ref="K56:L56"/>
    <mergeCell ref="K57:L57"/>
    <mergeCell ref="K58:L58"/>
    <mergeCell ref="K59:L59"/>
    <mergeCell ref="K60:L60"/>
    <mergeCell ref="B88:C88"/>
    <mergeCell ref="D88:E88"/>
    <mergeCell ref="H91:I91"/>
    <mergeCell ref="N71:O71"/>
    <mergeCell ref="K72:L72"/>
    <mergeCell ref="K74:L74"/>
    <mergeCell ref="K75:L75"/>
    <mergeCell ref="N75:O75"/>
    <mergeCell ref="K76:L76"/>
    <mergeCell ref="H92:I92"/>
    <mergeCell ref="K95:L95"/>
    <mergeCell ref="K96:L96"/>
    <mergeCell ref="K97:L97"/>
    <mergeCell ref="K98:L98"/>
    <mergeCell ref="K99:L99"/>
    <mergeCell ref="D80:E80"/>
    <mergeCell ref="G80:H80"/>
    <mergeCell ref="S86:T86"/>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A132:B134"/>
    <mergeCell ref="C132:D132"/>
    <mergeCell ref="J132:J134"/>
    <mergeCell ref="K132:K134"/>
    <mergeCell ref="L132:M132"/>
    <mergeCell ref="N132:P132"/>
    <mergeCell ref="A129:D131"/>
    <mergeCell ref="E129:I131"/>
    <mergeCell ref="J129:K131"/>
    <mergeCell ref="L129:M131"/>
    <mergeCell ref="N129:P131"/>
    <mergeCell ref="S166:T166"/>
    <mergeCell ref="Q132:V132"/>
    <mergeCell ref="C133:D133"/>
    <mergeCell ref="L133:M133"/>
    <mergeCell ref="N133:P133"/>
    <mergeCell ref="Q133:V133"/>
    <mergeCell ref="C134:D134"/>
    <mergeCell ref="L134:M134"/>
    <mergeCell ref="N134:P134"/>
    <mergeCell ref="Q134:V134"/>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codeName="Sheet56">
    <tabColor rgb="FF99CCFF"/>
  </sheetPr>
  <dimension ref="A1:Y44"/>
  <sheetViews>
    <sheetView view="pageBreakPreview" zoomScaleNormal="100" zoomScaleSheetLayoutView="100" workbookViewId="0">
      <selection activeCell="E26" sqref="E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64"/>
      <c r="B1" s="66"/>
      <c r="C1" s="66"/>
      <c r="D1" s="66"/>
      <c r="E1" s="66"/>
      <c r="F1" s="66"/>
      <c r="G1" s="66"/>
      <c r="H1" s="66"/>
      <c r="I1" s="66"/>
      <c r="J1" s="66"/>
      <c r="K1" s="66"/>
      <c r="L1" s="66"/>
      <c r="M1" s="66"/>
      <c r="N1" s="66"/>
      <c r="O1" s="66"/>
      <c r="P1" s="66"/>
      <c r="Q1" s="66"/>
      <c r="R1" s="66"/>
      <c r="S1" s="66"/>
      <c r="T1" s="66"/>
      <c r="U1" s="66"/>
      <c r="V1" s="165"/>
      <c r="W1" s="4"/>
      <c r="X1" s="4"/>
    </row>
    <row r="2" spans="1:24" ht="18" customHeight="1">
      <c r="A2" s="166"/>
      <c r="B2" s="167"/>
      <c r="C2" s="167"/>
      <c r="D2" s="167"/>
      <c r="E2" s="167"/>
      <c r="F2" s="167"/>
      <c r="G2" s="4"/>
      <c r="H2" s="4"/>
      <c r="I2" s="4"/>
      <c r="J2" s="4"/>
      <c r="K2" s="4"/>
      <c r="L2" s="4"/>
      <c r="M2" s="4"/>
      <c r="N2" s="4"/>
      <c r="O2" s="4"/>
      <c r="P2" s="4"/>
      <c r="Q2" s="4"/>
      <c r="R2" s="4"/>
      <c r="S2" s="4"/>
      <c r="T2" s="4"/>
      <c r="U2" s="4"/>
      <c r="V2" s="71"/>
      <c r="W2" s="4"/>
      <c r="X2" s="4"/>
    </row>
    <row r="3" spans="1:24" ht="18" customHeight="1">
      <c r="A3" s="168"/>
      <c r="B3" s="4"/>
      <c r="C3" s="4"/>
      <c r="D3" s="4"/>
      <c r="E3" s="4"/>
      <c r="F3" s="4"/>
      <c r="G3" s="4"/>
      <c r="H3" s="4"/>
      <c r="I3" s="4"/>
      <c r="J3" s="4"/>
      <c r="K3" s="4"/>
      <c r="L3" s="4"/>
      <c r="M3" s="4"/>
      <c r="N3" s="4"/>
      <c r="O3" s="4"/>
      <c r="P3" s="4"/>
      <c r="Q3" s="4"/>
      <c r="R3" s="4"/>
      <c r="S3" s="4"/>
      <c r="T3" s="4"/>
      <c r="U3" s="4"/>
      <c r="V3" s="71"/>
      <c r="W3" s="4"/>
      <c r="X3" s="4"/>
    </row>
    <row r="4" spans="1:24" ht="18" customHeight="1">
      <c r="A4" s="169"/>
      <c r="B4" s="68"/>
      <c r="C4" s="68"/>
      <c r="D4" s="68"/>
      <c r="E4" s="68"/>
      <c r="F4" s="68"/>
      <c r="G4" s="68"/>
      <c r="H4" s="68"/>
      <c r="I4" s="68"/>
      <c r="J4" s="68"/>
      <c r="K4" s="68"/>
      <c r="L4" s="68"/>
      <c r="M4" s="68"/>
      <c r="N4" s="68"/>
      <c r="O4" s="68"/>
      <c r="P4" s="68"/>
      <c r="Q4" s="68"/>
      <c r="R4" s="68"/>
      <c r="S4" s="68"/>
      <c r="T4" s="68"/>
      <c r="U4" s="68"/>
      <c r="V4" s="170"/>
      <c r="W4" s="68"/>
      <c r="X4" s="68"/>
    </row>
    <row r="5" spans="1:24" ht="18" customHeight="1">
      <c r="A5" s="169"/>
      <c r="B5" s="68"/>
      <c r="C5" s="68"/>
      <c r="D5" s="68"/>
      <c r="E5" s="68"/>
      <c r="F5" s="68"/>
      <c r="G5" s="68"/>
      <c r="H5" s="68"/>
      <c r="I5" s="68"/>
      <c r="J5" s="68"/>
      <c r="K5" s="68"/>
      <c r="L5" s="68"/>
      <c r="M5" s="68"/>
      <c r="N5" s="68"/>
      <c r="O5" s="68"/>
      <c r="P5" s="68"/>
      <c r="Q5" s="68"/>
      <c r="R5" s="68"/>
      <c r="S5" s="68"/>
      <c r="T5" s="68"/>
      <c r="U5" s="68"/>
      <c r="V5" s="170"/>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71"/>
      <c r="B10" s="80"/>
      <c r="C10" s="80"/>
      <c r="D10" s="80"/>
      <c r="E10" s="80"/>
      <c r="F10" s="80"/>
      <c r="G10" s="80"/>
      <c r="H10" s="80"/>
      <c r="I10" s="80"/>
      <c r="J10" s="80"/>
      <c r="K10" s="80"/>
      <c r="L10" s="80"/>
      <c r="M10" s="80"/>
      <c r="N10" s="80"/>
      <c r="O10" s="80"/>
      <c r="P10" s="80"/>
      <c r="Q10" s="80"/>
      <c r="R10" s="80"/>
      <c r="S10" s="80"/>
      <c r="T10" s="80"/>
      <c r="U10" s="80"/>
      <c r="V10" s="172"/>
      <c r="W10" s="80"/>
      <c r="X10" s="80"/>
    </row>
    <row r="11" spans="1:24" ht="18" customHeight="1">
      <c r="A11" s="171"/>
      <c r="B11" s="26"/>
      <c r="C11" s="4"/>
      <c r="D11" s="73"/>
      <c r="E11" s="4"/>
      <c r="F11" s="80"/>
      <c r="G11" s="80"/>
      <c r="H11" s="173"/>
      <c r="I11" s="80"/>
      <c r="J11" s="80"/>
      <c r="K11" s="80"/>
      <c r="L11" s="80"/>
      <c r="M11" s="80"/>
      <c r="N11" s="80"/>
      <c r="O11" s="80"/>
      <c r="P11" s="80"/>
      <c r="Q11" s="80"/>
      <c r="R11" s="80"/>
      <c r="S11" s="80"/>
      <c r="T11" s="80"/>
      <c r="U11" s="80"/>
      <c r="V11" s="172"/>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69"/>
      <c r="B15" s="68"/>
      <c r="C15" s="68"/>
      <c r="D15" s="68"/>
      <c r="E15" s="68"/>
      <c r="F15" s="68"/>
      <c r="G15" s="68"/>
      <c r="H15" s="68"/>
      <c r="I15" s="68"/>
      <c r="J15" s="68"/>
      <c r="K15" s="68"/>
      <c r="L15" s="68"/>
      <c r="M15" s="68"/>
      <c r="N15" s="68"/>
      <c r="O15" s="68"/>
      <c r="P15" s="68"/>
      <c r="Q15" s="68"/>
      <c r="R15" s="68"/>
      <c r="S15" s="68"/>
      <c r="T15" s="68"/>
      <c r="U15" s="68"/>
      <c r="V15" s="170"/>
      <c r="W15" s="68"/>
      <c r="X15" s="68"/>
    </row>
    <row r="16" spans="1:24" ht="18" customHeight="1">
      <c r="A16" s="169"/>
      <c r="B16" s="68"/>
      <c r="C16" s="68"/>
      <c r="D16" s="68"/>
      <c r="E16" s="68"/>
      <c r="F16" s="68"/>
      <c r="G16" s="68"/>
      <c r="H16" s="68"/>
      <c r="I16" s="68"/>
      <c r="J16" s="68"/>
      <c r="K16" s="68"/>
      <c r="L16" s="68"/>
      <c r="M16" s="68"/>
      <c r="N16" s="68"/>
      <c r="O16" s="68"/>
      <c r="P16" s="68"/>
      <c r="Q16" s="68"/>
      <c r="R16" s="68"/>
      <c r="S16" s="68"/>
      <c r="T16" s="68"/>
      <c r="U16" s="68"/>
      <c r="V16" s="170"/>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74"/>
      <c r="B18" s="95"/>
      <c r="C18" s="95"/>
      <c r="D18" s="95"/>
      <c r="E18" s="95"/>
      <c r="F18" s="95"/>
      <c r="G18" s="95"/>
      <c r="H18" s="95"/>
      <c r="I18" s="95"/>
      <c r="J18" s="95"/>
      <c r="K18" s="95"/>
      <c r="L18" s="95"/>
      <c r="M18" s="95"/>
      <c r="N18" s="95"/>
      <c r="O18" s="95"/>
      <c r="P18" s="95"/>
      <c r="Q18" s="95"/>
      <c r="R18" s="95"/>
      <c r="S18" s="95"/>
      <c r="T18" s="95"/>
      <c r="U18" s="95"/>
      <c r="V18" s="175"/>
      <c r="W18" s="95"/>
      <c r="X18" s="95"/>
    </row>
    <row r="19" spans="1:24" ht="18" customHeight="1">
      <c r="A19" s="168"/>
      <c r="V19" s="176"/>
    </row>
    <row r="20" spans="1:24" ht="18" customHeight="1">
      <c r="A20" s="169"/>
      <c r="V20" s="176"/>
    </row>
    <row r="21" spans="1:24" ht="18" customHeight="1">
      <c r="A21" s="69"/>
      <c r="B21" s="26"/>
      <c r="C21" s="4"/>
      <c r="D21" s="73"/>
      <c r="E21" s="77"/>
      <c r="U21" s="4"/>
      <c r="V21" s="71"/>
      <c r="W21" s="4"/>
      <c r="X21" s="4"/>
    </row>
    <row r="22" spans="1:24" ht="18" customHeight="1">
      <c r="A22" s="69"/>
      <c r="C22" s="27"/>
      <c r="E22" s="1253" t="s">
        <v>919</v>
      </c>
      <c r="F22" s="1253"/>
      <c r="G22" s="1253"/>
      <c r="H22" s="1253"/>
      <c r="I22" s="1253"/>
      <c r="J22" s="1253"/>
      <c r="K22" s="1253"/>
      <c r="L22" s="1253"/>
      <c r="M22" s="1253"/>
      <c r="N22" s="1253"/>
      <c r="O22" s="1253"/>
      <c r="P22" s="1253"/>
      <c r="Q22" s="1253"/>
      <c r="R22" s="1253"/>
      <c r="S22" s="27"/>
      <c r="T22" s="27"/>
      <c r="U22" s="27"/>
      <c r="V22" s="177"/>
      <c r="W22" s="27"/>
      <c r="X22" s="27"/>
    </row>
    <row r="23" spans="1:24" ht="18" customHeight="1">
      <c r="A23" s="69"/>
      <c r="B23" s="27"/>
      <c r="C23" s="27"/>
      <c r="D23" s="27"/>
      <c r="E23" s="1253"/>
      <c r="F23" s="1253"/>
      <c r="G23" s="1253"/>
      <c r="H23" s="1253"/>
      <c r="I23" s="1253"/>
      <c r="J23" s="1253"/>
      <c r="K23" s="1253"/>
      <c r="L23" s="1253"/>
      <c r="M23" s="1253"/>
      <c r="N23" s="1253"/>
      <c r="O23" s="1253"/>
      <c r="P23" s="1253"/>
      <c r="Q23" s="1253"/>
      <c r="R23" s="1253"/>
      <c r="S23" s="27"/>
      <c r="T23" s="27"/>
      <c r="U23" s="27"/>
      <c r="V23" s="177"/>
      <c r="W23" s="27"/>
      <c r="X23" s="27"/>
    </row>
    <row r="24" spans="1:24" ht="18" customHeight="1">
      <c r="A24" s="69"/>
      <c r="C24" s="178"/>
      <c r="D24" s="178"/>
      <c r="E24" s="1253"/>
      <c r="F24" s="1253"/>
      <c r="G24" s="1253"/>
      <c r="H24" s="1253"/>
      <c r="I24" s="1253"/>
      <c r="J24" s="1253"/>
      <c r="K24" s="1253"/>
      <c r="L24" s="1253"/>
      <c r="M24" s="1253"/>
      <c r="N24" s="1253"/>
      <c r="O24" s="1253"/>
      <c r="P24" s="1253"/>
      <c r="Q24" s="1253"/>
      <c r="R24" s="1253"/>
      <c r="S24" s="4"/>
      <c r="T24" s="4"/>
      <c r="U24" s="4"/>
      <c r="V24" s="71"/>
      <c r="W24" s="4"/>
      <c r="X24" s="4"/>
    </row>
    <row r="25" spans="1:24" ht="18" customHeight="1">
      <c r="A25" s="69"/>
      <c r="B25" s="26"/>
      <c r="C25" s="4"/>
      <c r="D25" s="73"/>
      <c r="E25" s="1253"/>
      <c r="F25" s="1253"/>
      <c r="G25" s="1253"/>
      <c r="H25" s="1253"/>
      <c r="I25" s="1253"/>
      <c r="J25" s="1253"/>
      <c r="K25" s="1253"/>
      <c r="L25" s="1253"/>
      <c r="M25" s="1253"/>
      <c r="N25" s="1253"/>
      <c r="O25" s="1253"/>
      <c r="P25" s="1253"/>
      <c r="Q25" s="1253"/>
      <c r="R25" s="1253"/>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79"/>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80"/>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81"/>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codeName="Sheet57">
    <tabColor rgb="FFFFFF00"/>
  </sheetPr>
  <dimension ref="A1:AI177"/>
  <sheetViews>
    <sheetView showZeros="0" view="pageBreakPreview" topLeftCell="A27" zoomScaleNormal="100" zoomScaleSheetLayoutView="100" workbookViewId="0">
      <selection activeCell="K9" sqref="K9"/>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35"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35" ht="21"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880" t="str">
        <f>Title!R3</f>
        <v>-</v>
      </c>
      <c r="S3" s="881"/>
      <c r="T3" s="881"/>
      <c r="U3" s="881"/>
      <c r="V3" s="943"/>
      <c r="W3" s="14"/>
      <c r="X3" s="14"/>
    </row>
    <row r="4" spans="1:35" ht="18" customHeight="1">
      <c r="A4" s="926"/>
      <c r="B4" s="927"/>
      <c r="C4" s="927"/>
      <c r="D4" s="927"/>
      <c r="E4" s="927"/>
      <c r="F4" s="927"/>
      <c r="G4" s="928"/>
      <c r="H4" s="1086"/>
      <c r="I4" s="1087"/>
      <c r="J4" s="1087"/>
      <c r="K4" s="1087"/>
      <c r="L4" s="1087"/>
      <c r="M4" s="1087"/>
      <c r="N4" s="1088"/>
      <c r="O4" s="885" t="str">
        <f>Title!O4</f>
        <v>Revision No.</v>
      </c>
      <c r="P4" s="886"/>
      <c r="Q4" s="887"/>
      <c r="R4" s="931" t="str">
        <f>Title!R4</f>
        <v>A</v>
      </c>
      <c r="S4" s="932"/>
      <c r="T4" s="932"/>
      <c r="U4" s="932"/>
      <c r="V4" s="933"/>
      <c r="W4" s="14"/>
      <c r="X4" s="14"/>
    </row>
    <row r="5" spans="1:35" ht="18" customHeight="1">
      <c r="A5" s="880" t="str">
        <f>Title!A5</f>
        <v>Prep. By</v>
      </c>
      <c r="B5" s="943"/>
      <c r="C5" s="25" t="str">
        <f>Title!C5</f>
        <v>AP</v>
      </c>
      <c r="D5" s="880" t="str">
        <f>Title!D5</f>
        <v>Checked By</v>
      </c>
      <c r="E5" s="881"/>
      <c r="F5" s="943"/>
      <c r="G5" s="25" t="str">
        <f>Title!G5</f>
        <v>RB</v>
      </c>
      <c r="H5" s="1346" t="s">
        <v>926</v>
      </c>
      <c r="I5" s="1347"/>
      <c r="J5" s="1347"/>
      <c r="K5" s="1347"/>
      <c r="L5" s="1347"/>
      <c r="M5" s="1347"/>
      <c r="N5" s="1348"/>
      <c r="O5" s="947" t="str">
        <f>Title!O5</f>
        <v>Contractor</v>
      </c>
      <c r="P5" s="948"/>
      <c r="Q5" s="949"/>
      <c r="R5" s="931" t="str">
        <f>Title!R5</f>
        <v>HITACHI</v>
      </c>
      <c r="S5" s="932"/>
      <c r="T5" s="932"/>
      <c r="U5" s="932"/>
      <c r="V5" s="933"/>
      <c r="W5" s="14"/>
      <c r="X5" s="14"/>
    </row>
    <row r="6" spans="1:35" ht="18" customHeight="1">
      <c r="A6" s="184"/>
      <c r="V6" s="185"/>
    </row>
    <row r="7" spans="1:35" ht="18" customHeight="1">
      <c r="A7" s="184"/>
      <c r="B7" s="781" t="s">
        <v>108</v>
      </c>
      <c r="C7" s="782"/>
      <c r="D7" s="743" t="s">
        <v>385</v>
      </c>
      <c r="E7" s="1291"/>
      <c r="V7" s="185"/>
    </row>
    <row r="8" spans="1:35" ht="18" customHeight="1">
      <c r="A8" s="184"/>
      <c r="V8" s="185"/>
    </row>
    <row r="9" spans="1:35" ht="18" customHeight="1">
      <c r="A9" s="184"/>
      <c r="B9" s="30" t="s">
        <v>774</v>
      </c>
      <c r="H9" s="188">
        <v>400</v>
      </c>
      <c r="I9" s="189" t="s">
        <v>775</v>
      </c>
      <c r="J9" s="191" t="s">
        <v>342</v>
      </c>
      <c r="K9" s="122">
        <v>0.11</v>
      </c>
      <c r="L9" s="189" t="s">
        <v>775</v>
      </c>
      <c r="M9" s="30" t="s">
        <v>163</v>
      </c>
      <c r="V9" s="185"/>
    </row>
    <row r="10" spans="1:35" ht="18" customHeight="1">
      <c r="A10" s="184"/>
      <c r="B10" s="30" t="s">
        <v>776</v>
      </c>
      <c r="H10" s="781" t="s">
        <v>811</v>
      </c>
      <c r="I10" s="782"/>
      <c r="V10" s="185"/>
    </row>
    <row r="11" spans="1:35" ht="18" customHeight="1">
      <c r="A11" s="184"/>
      <c r="B11" s="30" t="s">
        <v>562</v>
      </c>
      <c r="H11" s="781">
        <v>50</v>
      </c>
      <c r="I11" s="782"/>
      <c r="J11" s="30" t="s">
        <v>157</v>
      </c>
      <c r="V11" s="185"/>
      <c r="W11" s="30" t="str">
        <f>G41</f>
        <v>Suitably Dimensioned</v>
      </c>
    </row>
    <row r="12" spans="1:35" ht="18" customHeight="1">
      <c r="A12" s="184"/>
      <c r="V12" s="185"/>
    </row>
    <row r="13" spans="1:35" ht="18" customHeight="1">
      <c r="A13" s="184"/>
      <c r="V13" s="185"/>
    </row>
    <row r="14" spans="1:35" ht="18" customHeight="1">
      <c r="A14" s="184"/>
      <c r="C14" s="135" t="s">
        <v>405</v>
      </c>
      <c r="D14" s="273"/>
      <c r="E14" s="498" t="s">
        <v>893</v>
      </c>
      <c r="F14" s="384"/>
      <c r="G14" s="384"/>
      <c r="H14" s="384"/>
      <c r="I14" s="138"/>
      <c r="J14" s="260" t="s">
        <v>127</v>
      </c>
      <c r="K14" s="1108">
        <f>'CT-VT Burdens'!Q104</f>
        <v>0.02</v>
      </c>
      <c r="L14" s="788"/>
      <c r="M14" s="3" t="s">
        <v>157</v>
      </c>
      <c r="O14" s="14"/>
      <c r="V14" s="185"/>
    </row>
    <row r="15" spans="1:35" ht="18" customHeight="1">
      <c r="A15" s="184"/>
      <c r="C15" s="96" t="s">
        <v>405</v>
      </c>
      <c r="D15" s="14"/>
      <c r="E15" s="296" t="s">
        <v>911</v>
      </c>
      <c r="F15" s="14"/>
      <c r="H15" s="199"/>
      <c r="I15" s="27"/>
      <c r="J15" s="101" t="s">
        <v>127</v>
      </c>
      <c r="K15" s="1108"/>
      <c r="L15" s="788"/>
      <c r="M15" s="202" t="s">
        <v>157</v>
      </c>
      <c r="O15" s="14"/>
      <c r="V15" s="185"/>
      <c r="Y15" s="96" t="s">
        <v>405</v>
      </c>
      <c r="Z15" s="14"/>
      <c r="AA15" s="47" t="s">
        <v>778</v>
      </c>
      <c r="AB15" s="14"/>
      <c r="AD15" s="199"/>
      <c r="AE15" s="27"/>
      <c r="AF15" s="101" t="s">
        <v>127</v>
      </c>
      <c r="AG15" s="1108">
        <f>'CT-VT Burdens'!AO104</f>
        <v>0</v>
      </c>
      <c r="AH15" s="788"/>
      <c r="AI15" s="202" t="s">
        <v>157</v>
      </c>
    </row>
    <row r="16" spans="1:35" ht="18" customHeight="1">
      <c r="A16" s="184"/>
      <c r="C16" s="96" t="s">
        <v>405</v>
      </c>
      <c r="D16" s="14"/>
      <c r="E16" s="296" t="s">
        <v>893</v>
      </c>
      <c r="F16" s="14"/>
      <c r="H16" s="199"/>
      <c r="I16" s="27"/>
      <c r="J16" s="101" t="s">
        <v>127</v>
      </c>
      <c r="K16" s="1108">
        <f>'CT-VT Burdens'!Q104</f>
        <v>0.02</v>
      </c>
      <c r="L16" s="788"/>
      <c r="M16" s="202" t="s">
        <v>157</v>
      </c>
      <c r="O16" s="14"/>
      <c r="V16" s="185"/>
      <c r="Y16" s="96" t="s">
        <v>405</v>
      </c>
      <c r="Z16" s="14"/>
      <c r="AA16" s="47" t="s">
        <v>194</v>
      </c>
      <c r="AB16" s="14"/>
      <c r="AD16" s="199"/>
      <c r="AE16" s="27"/>
      <c r="AF16" s="101" t="s">
        <v>127</v>
      </c>
      <c r="AG16" s="1108">
        <f>'CT-VT Burdens'!AO149</f>
        <v>0</v>
      </c>
      <c r="AH16" s="788"/>
      <c r="AI16" s="202" t="s">
        <v>157</v>
      </c>
    </row>
    <row r="17" spans="1:35" ht="18" customHeight="1">
      <c r="A17" s="184"/>
      <c r="C17" s="96" t="s">
        <v>405</v>
      </c>
      <c r="D17" s="14"/>
      <c r="E17" s="296" t="s">
        <v>898</v>
      </c>
      <c r="F17" s="14"/>
      <c r="H17" s="199"/>
      <c r="I17" s="28"/>
      <c r="J17" s="101" t="s">
        <v>127</v>
      </c>
      <c r="K17" s="1108">
        <f>'CT-VT Burdens'!Q161</f>
        <v>0.04</v>
      </c>
      <c r="L17" s="788"/>
      <c r="M17" s="202" t="s">
        <v>157</v>
      </c>
      <c r="O17" s="14"/>
      <c r="V17" s="185"/>
      <c r="Y17" s="96" t="s">
        <v>405</v>
      </c>
      <c r="Z17" s="14"/>
      <c r="AA17" s="47" t="s">
        <v>779</v>
      </c>
      <c r="AB17" s="14"/>
      <c r="AD17" s="199"/>
      <c r="AE17" s="28" t="s">
        <v>129</v>
      </c>
      <c r="AF17" s="101" t="s">
        <v>127</v>
      </c>
      <c r="AG17" s="1108">
        <v>0.2</v>
      </c>
      <c r="AH17" s="788"/>
      <c r="AI17" s="202" t="s">
        <v>157</v>
      </c>
    </row>
    <row r="18" spans="1:35" ht="18" customHeight="1">
      <c r="A18" s="184"/>
      <c r="C18" s="96" t="s">
        <v>405</v>
      </c>
      <c r="D18" s="14"/>
      <c r="E18" s="296" t="s">
        <v>508</v>
      </c>
      <c r="F18" s="14"/>
      <c r="H18" s="199"/>
      <c r="I18" s="28"/>
      <c r="J18" s="177" t="s">
        <v>127</v>
      </c>
      <c r="K18" s="1108">
        <f>'CT-VT Burdens'!Q104</f>
        <v>0.02</v>
      </c>
      <c r="L18" s="788"/>
      <c r="M18" s="202" t="s">
        <v>157</v>
      </c>
      <c r="O18" s="14"/>
      <c r="V18" s="185"/>
      <c r="Y18" s="96"/>
      <c r="Z18" s="14"/>
      <c r="AA18" s="47"/>
      <c r="AB18" s="14"/>
      <c r="AD18" s="199"/>
      <c r="AE18" s="28"/>
      <c r="AF18" s="101"/>
      <c r="AG18" s="200"/>
      <c r="AH18" s="201"/>
      <c r="AI18" s="202"/>
    </row>
    <row r="19" spans="1:35" ht="18" customHeight="1">
      <c r="A19" s="184"/>
      <c r="B19" s="117"/>
      <c r="C19" s="184" t="s">
        <v>405</v>
      </c>
      <c r="D19" s="14"/>
      <c r="E19" s="296" t="s">
        <v>912</v>
      </c>
      <c r="H19" s="199"/>
      <c r="I19" s="28"/>
      <c r="J19" s="101" t="s">
        <v>127</v>
      </c>
      <c r="K19" s="1108">
        <f>'CT-VT Burdens'!Q149</f>
        <v>5.8000000000000003E-2</v>
      </c>
      <c r="L19" s="788"/>
      <c r="M19" s="202" t="s">
        <v>157</v>
      </c>
      <c r="N19" s="14"/>
      <c r="O19" s="14"/>
      <c r="P19" s="28"/>
      <c r="Q19" s="199"/>
      <c r="R19" s="14"/>
      <c r="S19" s="14"/>
      <c r="T19" s="14"/>
      <c r="U19" s="14"/>
      <c r="V19" s="185"/>
      <c r="Y19" s="96" t="s">
        <v>405</v>
      </c>
      <c r="Z19" s="14"/>
      <c r="AA19" s="47" t="s">
        <v>780</v>
      </c>
      <c r="AB19" s="14"/>
      <c r="AD19" s="199"/>
      <c r="AE19" s="28" t="s">
        <v>129</v>
      </c>
      <c r="AF19" s="101" t="s">
        <v>127</v>
      </c>
      <c r="AG19" s="1108">
        <v>1</v>
      </c>
      <c r="AH19" s="788"/>
      <c r="AI19" s="202" t="s">
        <v>157</v>
      </c>
    </row>
    <row r="20" spans="1:35" ht="18" customHeight="1">
      <c r="A20" s="184"/>
      <c r="B20" s="117"/>
      <c r="C20" s="184" t="s">
        <v>405</v>
      </c>
      <c r="D20" s="14"/>
      <c r="E20" s="296" t="s">
        <v>913</v>
      </c>
      <c r="H20" s="199"/>
      <c r="I20" s="28"/>
      <c r="J20" s="101"/>
      <c r="K20" s="1108"/>
      <c r="L20" s="1104"/>
      <c r="M20" s="202"/>
      <c r="N20" s="14"/>
      <c r="O20" s="14"/>
      <c r="P20" s="28"/>
      <c r="Q20" s="199"/>
      <c r="R20" s="14"/>
      <c r="S20" s="14"/>
      <c r="T20" s="14"/>
      <c r="U20" s="14"/>
      <c r="V20" s="185"/>
      <c r="Y20" s="14"/>
      <c r="Z20" s="14"/>
      <c r="AA20" s="47"/>
      <c r="AB20" s="14"/>
      <c r="AD20" s="199"/>
      <c r="AE20" s="28"/>
      <c r="AF20" s="28"/>
      <c r="AG20" s="553"/>
      <c r="AH20" s="554"/>
      <c r="AI20" s="47"/>
    </row>
    <row r="21" spans="1:35" ht="18" customHeight="1">
      <c r="A21" s="184"/>
      <c r="B21" s="117"/>
      <c r="C21" s="184" t="s">
        <v>405</v>
      </c>
      <c r="D21" s="14"/>
      <c r="E21" s="296" t="s">
        <v>179</v>
      </c>
      <c r="H21" s="199"/>
      <c r="I21" s="28"/>
      <c r="J21" s="101"/>
      <c r="K21" s="1108">
        <f>'CT-VT Burdens'!Q105</f>
        <v>0.01</v>
      </c>
      <c r="L21" s="1104"/>
      <c r="M21" s="202"/>
      <c r="N21" s="14"/>
      <c r="O21" s="14"/>
      <c r="P21" s="28"/>
      <c r="Q21" s="199"/>
      <c r="R21" s="14"/>
      <c r="S21" s="14"/>
      <c r="T21" s="14"/>
      <c r="U21" s="14"/>
      <c r="V21" s="185"/>
      <c r="Y21" s="14"/>
      <c r="Z21" s="14"/>
      <c r="AA21" s="47"/>
      <c r="AB21" s="14"/>
      <c r="AD21" s="199"/>
      <c r="AE21" s="28"/>
      <c r="AF21" s="28"/>
      <c r="AG21" s="553"/>
      <c r="AH21" s="554"/>
      <c r="AI21" s="47"/>
    </row>
    <row r="22" spans="1:35" ht="18" customHeight="1">
      <c r="A22" s="184"/>
      <c r="B22" s="117"/>
      <c r="C22" s="184" t="s">
        <v>405</v>
      </c>
      <c r="D22" s="14"/>
      <c r="E22" s="296" t="s">
        <v>882</v>
      </c>
      <c r="H22" s="199"/>
      <c r="I22" s="28"/>
      <c r="J22" s="101"/>
      <c r="K22" s="1108">
        <f>'CT-VT Burdens'!Q159</f>
        <v>0.1</v>
      </c>
      <c r="L22" s="1104"/>
      <c r="M22" s="202"/>
      <c r="N22" s="14"/>
      <c r="O22" s="14"/>
      <c r="P22" s="28"/>
      <c r="Q22" s="199"/>
      <c r="R22" s="14"/>
      <c r="S22" s="14"/>
      <c r="T22" s="14"/>
      <c r="U22" s="14"/>
      <c r="V22" s="185"/>
      <c r="Y22" s="14"/>
      <c r="Z22" s="14"/>
      <c r="AA22" s="47"/>
      <c r="AB22" s="14"/>
      <c r="AD22" s="199"/>
      <c r="AE22" s="28"/>
      <c r="AF22" s="28"/>
      <c r="AG22" s="553"/>
      <c r="AH22" s="554"/>
      <c r="AI22" s="47"/>
    </row>
    <row r="23" spans="1:35" ht="18" customHeight="1">
      <c r="A23" s="184"/>
      <c r="C23" s="96" t="s">
        <v>781</v>
      </c>
      <c r="D23" s="14"/>
      <c r="E23" s="47"/>
      <c r="F23" s="14"/>
      <c r="H23" s="199"/>
      <c r="I23" s="27"/>
      <c r="J23" s="101" t="s">
        <v>127</v>
      </c>
      <c r="K23" s="696">
        <f>SUM(K14:L22)</f>
        <v>0.26800000000000002</v>
      </c>
      <c r="L23" s="820"/>
      <c r="M23" s="202" t="s">
        <v>157</v>
      </c>
      <c r="R23" s="14"/>
      <c r="S23" s="14"/>
      <c r="T23" s="14"/>
      <c r="U23" s="281"/>
      <c r="V23" s="185"/>
    </row>
    <row r="24" spans="1:35" ht="18" customHeight="1">
      <c r="A24" s="184"/>
      <c r="C24" s="184" t="s">
        <v>412</v>
      </c>
      <c r="D24" s="14"/>
      <c r="E24" s="14"/>
      <c r="F24" s="14"/>
      <c r="I24" s="27"/>
      <c r="J24" s="101" t="s">
        <v>127</v>
      </c>
      <c r="K24" s="1349">
        <f>'CT-VT Burdens'!S69</f>
        <v>2.5889401199999997</v>
      </c>
      <c r="L24" s="1350"/>
      <c r="M24" s="297" t="s">
        <v>157</v>
      </c>
      <c r="R24" s="14"/>
      <c r="S24" s="14"/>
      <c r="T24" s="14"/>
      <c r="U24" s="281"/>
      <c r="V24" s="185"/>
    </row>
    <row r="25" spans="1:35" ht="18" customHeight="1">
      <c r="A25" s="184"/>
      <c r="C25" s="1" t="s">
        <v>413</v>
      </c>
      <c r="D25" s="2"/>
      <c r="E25" s="2"/>
      <c r="F25" s="2"/>
      <c r="G25" s="196"/>
      <c r="H25" s="196"/>
      <c r="I25" s="224" t="s">
        <v>512</v>
      </c>
      <c r="J25" s="183" t="s">
        <v>127</v>
      </c>
      <c r="K25" s="1349">
        <f>K23+K24</f>
        <v>2.85694012</v>
      </c>
      <c r="L25" s="1350"/>
      <c r="M25" s="3" t="s">
        <v>157</v>
      </c>
      <c r="R25" s="14"/>
      <c r="S25" s="14"/>
      <c r="T25" s="14"/>
      <c r="U25" s="281"/>
      <c r="V25" s="185"/>
    </row>
    <row r="26" spans="1:35" ht="18" customHeight="1">
      <c r="A26" s="184"/>
      <c r="R26" s="14"/>
      <c r="S26" s="14"/>
      <c r="T26" s="14"/>
      <c r="U26" s="14"/>
      <c r="V26" s="185"/>
    </row>
    <row r="27" spans="1:35" ht="18" customHeight="1">
      <c r="A27" s="184"/>
      <c r="R27" s="14"/>
      <c r="S27" s="14"/>
      <c r="T27" s="14"/>
      <c r="U27" s="186"/>
      <c r="V27" s="185"/>
    </row>
    <row r="28" spans="1:35" ht="18" customHeight="1">
      <c r="A28" s="184"/>
      <c r="B28" s="117" t="s">
        <v>782</v>
      </c>
      <c r="V28" s="185"/>
    </row>
    <row r="29" spans="1:35" ht="18" customHeight="1">
      <c r="A29" s="184"/>
      <c r="V29" s="185"/>
    </row>
    <row r="30" spans="1:35" ht="18" customHeight="1">
      <c r="A30" s="184"/>
      <c r="B30" s="14" t="s">
        <v>783</v>
      </c>
      <c r="C30" s="14"/>
      <c r="D30" s="120"/>
      <c r="J30" s="28" t="s">
        <v>127</v>
      </c>
      <c r="K30" s="47" t="s">
        <v>781</v>
      </c>
      <c r="M30" s="47"/>
      <c r="N30" s="47"/>
      <c r="P30" s="102" t="s">
        <v>342</v>
      </c>
      <c r="Q30" s="30" t="s">
        <v>784</v>
      </c>
      <c r="R30" s="14"/>
      <c r="V30" s="185"/>
    </row>
    <row r="31" spans="1:35" ht="18" customHeight="1">
      <c r="A31" s="184"/>
      <c r="B31" s="14"/>
      <c r="C31" s="14"/>
      <c r="D31" s="120"/>
      <c r="J31" s="28" t="s">
        <v>127</v>
      </c>
      <c r="K31" s="692">
        <f>K23</f>
        <v>0.26800000000000002</v>
      </c>
      <c r="L31" s="689"/>
      <c r="M31" s="102" t="s">
        <v>342</v>
      </c>
      <c r="N31" s="692">
        <f>K9/SQRT(3)*1000</f>
        <v>63.508529610858844</v>
      </c>
      <c r="O31" s="689"/>
      <c r="V31" s="185"/>
    </row>
    <row r="32" spans="1:35" ht="18" customHeight="1">
      <c r="A32" s="184"/>
      <c r="B32" s="14"/>
      <c r="C32" s="14"/>
      <c r="D32" s="120"/>
      <c r="J32" s="28" t="s">
        <v>127</v>
      </c>
      <c r="K32" s="688">
        <f>K31/N31</f>
        <v>4.2199056038950827E-3</v>
      </c>
      <c r="L32" s="688"/>
      <c r="M32" s="47" t="s">
        <v>8</v>
      </c>
      <c r="N32" s="47"/>
      <c r="O32" s="14"/>
      <c r="P32" s="28"/>
      <c r="Q32" s="14"/>
      <c r="R32" s="14"/>
      <c r="V32" s="185"/>
    </row>
    <row r="33" spans="1:22" ht="18" customHeight="1">
      <c r="A33" s="184"/>
      <c r="V33" s="185"/>
    </row>
    <row r="34" spans="1:22" ht="18" customHeight="1">
      <c r="A34" s="184"/>
      <c r="B34" s="14" t="s">
        <v>785</v>
      </c>
      <c r="C34" s="14"/>
      <c r="D34" s="14"/>
      <c r="E34" s="14"/>
      <c r="F34" s="14"/>
      <c r="G34" s="14"/>
      <c r="H34" s="14"/>
      <c r="I34" s="47"/>
      <c r="J34" s="28" t="s">
        <v>127</v>
      </c>
      <c r="K34" s="689" t="s">
        <v>786</v>
      </c>
      <c r="L34" s="689"/>
      <c r="M34" s="28" t="s">
        <v>315</v>
      </c>
      <c r="N34" s="47" t="s">
        <v>787</v>
      </c>
      <c r="O34" s="14"/>
      <c r="P34" s="28"/>
      <c r="Q34" s="466"/>
      <c r="V34" s="185"/>
    </row>
    <row r="35" spans="1:22" ht="18" customHeight="1">
      <c r="A35" s="184"/>
      <c r="J35" s="28" t="s">
        <v>127</v>
      </c>
      <c r="K35" s="684">
        <f>K32*K32</f>
        <v>1.7807603305785122E-5</v>
      </c>
      <c r="L35" s="684"/>
      <c r="M35" s="28" t="s">
        <v>315</v>
      </c>
      <c r="N35" s="795">
        <f>'CT-VT Burdens'!S69</f>
        <v>2.5889401199999997</v>
      </c>
      <c r="O35" s="795"/>
      <c r="V35" s="185"/>
    </row>
    <row r="36" spans="1:22" ht="18" customHeight="1">
      <c r="A36" s="184"/>
      <c r="J36" s="28" t="s">
        <v>127</v>
      </c>
      <c r="K36" s="684">
        <f>K35*N35</f>
        <v>4.6102818639391722E-5</v>
      </c>
      <c r="L36" s="684"/>
      <c r="M36" s="27" t="s">
        <v>157</v>
      </c>
      <c r="V36" s="185"/>
    </row>
    <row r="37" spans="1:22" ht="18" customHeight="1">
      <c r="A37" s="184"/>
      <c r="V37" s="185"/>
    </row>
    <row r="38" spans="1:22" ht="18" customHeight="1">
      <c r="A38" s="184"/>
      <c r="B38" s="14" t="s">
        <v>788</v>
      </c>
      <c r="C38" s="14"/>
      <c r="D38" s="14"/>
      <c r="E38" s="28"/>
      <c r="F38" s="14"/>
      <c r="G38" s="14"/>
      <c r="H38" s="102"/>
      <c r="I38" s="47"/>
      <c r="J38" s="47"/>
      <c r="K38" s="14"/>
      <c r="M38" s="1358"/>
      <c r="N38" s="1358"/>
      <c r="O38" s="1358"/>
      <c r="V38" s="185"/>
    </row>
    <row r="39" spans="1:22" ht="18" customHeight="1">
      <c r="A39" s="184"/>
      <c r="B39" s="14"/>
      <c r="C39" s="14"/>
      <c r="D39" s="257"/>
      <c r="E39" s="120" t="s">
        <v>789</v>
      </c>
      <c r="F39" s="27" t="str">
        <f>IF(D40&gt;=G40,"&gt;","&lt;")</f>
        <v>&gt;</v>
      </c>
      <c r="G39" s="281" t="s">
        <v>119</v>
      </c>
      <c r="H39" s="218"/>
      <c r="J39" s="28"/>
      <c r="K39" s="218"/>
      <c r="V39" s="185"/>
    </row>
    <row r="40" spans="1:22" ht="18" customHeight="1">
      <c r="A40" s="184"/>
      <c r="D40" s="684">
        <f>H11</f>
        <v>50</v>
      </c>
      <c r="E40" s="684"/>
      <c r="F40" s="27" t="str">
        <f>F39</f>
        <v>&gt;</v>
      </c>
      <c r="G40" s="1145">
        <f>K25</f>
        <v>2.85694012</v>
      </c>
      <c r="H40" s="684"/>
      <c r="I40" s="14"/>
      <c r="J40" s="257"/>
      <c r="V40" s="185"/>
    </row>
    <row r="41" spans="1:22" ht="18" customHeight="1">
      <c r="A41" s="184"/>
      <c r="D41" s="199"/>
      <c r="E41" s="244" t="s">
        <v>790</v>
      </c>
      <c r="F41" s="27"/>
      <c r="G41" s="18" t="str">
        <f>IF(F39="&gt;","Suitably Dimensioned","Under Dimensioned")</f>
        <v>Suitably Dimensioned</v>
      </c>
      <c r="H41" s="27"/>
      <c r="I41" s="120"/>
      <c r="J41" s="27"/>
      <c r="K41" s="120"/>
      <c r="V41" s="185"/>
    </row>
    <row r="42" spans="1:22" ht="18" customHeight="1">
      <c r="A42" s="184"/>
      <c r="V42" s="185"/>
    </row>
    <row r="43" spans="1:22" ht="18" hidden="1" customHeight="1">
      <c r="A43" s="184"/>
      <c r="V43" s="185"/>
    </row>
    <row r="44" spans="1:22" ht="18" hidden="1" customHeight="1">
      <c r="A44" s="184"/>
      <c r="V44" s="185"/>
    </row>
    <row r="45" spans="1:22" ht="18" hidden="1" customHeight="1">
      <c r="A45" s="184"/>
      <c r="V45" s="185"/>
    </row>
    <row r="46" spans="1:22" ht="18" hidden="1" customHeight="1">
      <c r="A46" s="184"/>
      <c r="V46" s="185"/>
    </row>
    <row r="47" spans="1:22" ht="18" hidden="1" customHeight="1">
      <c r="A47" s="184"/>
      <c r="V47" s="185"/>
    </row>
    <row r="48" spans="1:22" s="14" customFormat="1" ht="18" hidden="1" customHeight="1">
      <c r="A48" s="194"/>
      <c r="B48" s="195"/>
      <c r="C48" s="195"/>
      <c r="D48" s="195"/>
      <c r="E48" s="195"/>
      <c r="F48" s="195"/>
      <c r="G48" s="195"/>
      <c r="H48" s="195"/>
      <c r="I48" s="195"/>
      <c r="J48" s="195"/>
      <c r="K48" s="195"/>
      <c r="L48" s="195"/>
      <c r="M48" s="195"/>
      <c r="N48" s="195"/>
      <c r="O48" s="195"/>
      <c r="P48" s="195"/>
      <c r="Q48" s="224"/>
      <c r="R48" s="182"/>
      <c r="S48" s="1351"/>
      <c r="T48" s="1352"/>
      <c r="U48" s="195"/>
      <c r="V48" s="134"/>
    </row>
    <row r="49" spans="1:23" ht="18" hidden="1" customHeight="1">
      <c r="A49" s="226"/>
      <c r="B49" s="227"/>
      <c r="C49" s="227"/>
      <c r="D49" s="227"/>
      <c r="E49" s="227"/>
      <c r="F49" s="227"/>
      <c r="G49" s="227"/>
      <c r="H49" s="227"/>
      <c r="I49" s="227"/>
      <c r="J49" s="227"/>
      <c r="K49" s="227"/>
      <c r="L49" s="227"/>
      <c r="M49" s="227"/>
      <c r="N49" s="227"/>
      <c r="O49" s="227"/>
      <c r="P49" s="227"/>
      <c r="Q49" s="227"/>
      <c r="R49" s="227"/>
      <c r="S49" s="227"/>
      <c r="T49" s="227"/>
      <c r="U49" s="227"/>
      <c r="V49" s="228"/>
    </row>
    <row r="50" spans="1:23" ht="18" hidden="1" customHeight="1">
      <c r="A50" s="184"/>
      <c r="B50" s="781" t="str">
        <f>B7</f>
        <v>T1</v>
      </c>
      <c r="C50" s="782"/>
      <c r="D50" s="743" t="s">
        <v>506</v>
      </c>
      <c r="E50" s="1291"/>
      <c r="V50" s="185"/>
    </row>
    <row r="51" spans="1:23" ht="18" hidden="1" customHeight="1">
      <c r="A51" s="184"/>
      <c r="V51" s="185"/>
    </row>
    <row r="52" spans="1:23" ht="18" hidden="1" customHeight="1">
      <c r="A52" s="184"/>
      <c r="B52" s="30" t="s">
        <v>774</v>
      </c>
      <c r="H52" s="188">
        <v>33</v>
      </c>
      <c r="I52" s="189" t="s">
        <v>775</v>
      </c>
      <c r="J52" s="191" t="s">
        <v>342</v>
      </c>
      <c r="K52" s="122">
        <v>0.11</v>
      </c>
      <c r="L52" s="189" t="s">
        <v>775</v>
      </c>
      <c r="M52" s="30" t="s">
        <v>163</v>
      </c>
      <c r="V52" s="185"/>
    </row>
    <row r="53" spans="1:23" ht="18" hidden="1" customHeight="1">
      <c r="A53" s="184"/>
      <c r="B53" s="30" t="s">
        <v>776</v>
      </c>
      <c r="H53" s="781">
        <v>0.2</v>
      </c>
      <c r="I53" s="782"/>
      <c r="V53" s="185"/>
    </row>
    <row r="54" spans="1:23" ht="18" hidden="1" customHeight="1">
      <c r="A54" s="184"/>
      <c r="B54" s="30" t="s">
        <v>562</v>
      </c>
      <c r="H54" s="781">
        <v>10</v>
      </c>
      <c r="I54" s="782"/>
      <c r="J54" s="30" t="s">
        <v>157</v>
      </c>
      <c r="V54" s="185"/>
      <c r="W54" s="30" t="str">
        <f>G84</f>
        <v>Suitably Dimensioned</v>
      </c>
    </row>
    <row r="55" spans="1:23" ht="18" hidden="1" customHeight="1">
      <c r="A55" s="184"/>
      <c r="V55" s="185"/>
    </row>
    <row r="56" spans="1:23" ht="18" hidden="1" customHeight="1">
      <c r="A56" s="184"/>
      <c r="V56" s="185"/>
    </row>
    <row r="57" spans="1:23" ht="18" hidden="1" customHeight="1">
      <c r="A57" s="184"/>
      <c r="C57" s="135" t="s">
        <v>405</v>
      </c>
      <c r="D57" s="273"/>
      <c r="E57" s="498" t="s">
        <v>194</v>
      </c>
      <c r="F57" s="384"/>
      <c r="G57" s="384"/>
      <c r="H57" s="384"/>
      <c r="I57" s="138"/>
      <c r="J57" s="260" t="s">
        <v>127</v>
      </c>
      <c r="K57" s="1108">
        <f>'CT-VT Burdens'!Q142</f>
        <v>8.0000000000000002E-3</v>
      </c>
      <c r="L57" s="788"/>
      <c r="M57" s="3" t="s">
        <v>157</v>
      </c>
      <c r="V57" s="185"/>
    </row>
    <row r="58" spans="1:23" ht="18" hidden="1" customHeight="1">
      <c r="A58" s="184"/>
      <c r="C58" s="96" t="s">
        <v>405</v>
      </c>
      <c r="D58" s="14"/>
      <c r="E58" s="296" t="s">
        <v>791</v>
      </c>
      <c r="F58" s="14"/>
      <c r="H58" s="199"/>
      <c r="I58" s="27"/>
      <c r="J58" s="101" t="s">
        <v>127</v>
      </c>
      <c r="K58" s="1108">
        <f>'CT-VT Burdens'!S157</f>
        <v>3.75</v>
      </c>
      <c r="L58" s="788"/>
      <c r="M58" s="202" t="s">
        <v>157</v>
      </c>
      <c r="V58" s="185"/>
    </row>
    <row r="59" spans="1:23" ht="18" hidden="1" customHeight="1">
      <c r="A59" s="184"/>
      <c r="C59" s="96" t="s">
        <v>405</v>
      </c>
      <c r="D59" s="14"/>
      <c r="E59" s="296" t="s">
        <v>665</v>
      </c>
      <c r="F59" s="14"/>
      <c r="H59" s="199"/>
      <c r="I59" s="27"/>
      <c r="J59" s="101" t="s">
        <v>127</v>
      </c>
      <c r="K59" s="1108"/>
      <c r="L59" s="788"/>
      <c r="M59" s="202" t="s">
        <v>157</v>
      </c>
      <c r="V59" s="185"/>
    </row>
    <row r="60" spans="1:23" ht="18" hidden="1" customHeight="1">
      <c r="A60" s="184"/>
      <c r="C60" s="96" t="s">
        <v>405</v>
      </c>
      <c r="D60" s="14"/>
      <c r="E60" s="296" t="s">
        <v>194</v>
      </c>
      <c r="F60" s="14"/>
      <c r="H60" s="199"/>
      <c r="I60" s="28"/>
      <c r="J60" s="101" t="s">
        <v>127</v>
      </c>
      <c r="K60" s="1108"/>
      <c r="L60" s="788"/>
      <c r="M60" s="202" t="s">
        <v>157</v>
      </c>
      <c r="V60" s="185"/>
    </row>
    <row r="61" spans="1:23" ht="18" hidden="1" customHeight="1">
      <c r="A61" s="184"/>
      <c r="C61" s="96" t="s">
        <v>405</v>
      </c>
      <c r="D61" s="14"/>
      <c r="E61" s="296" t="s">
        <v>792</v>
      </c>
      <c r="F61" s="14"/>
      <c r="H61" s="199"/>
      <c r="I61" s="28"/>
      <c r="J61" s="177" t="s">
        <v>127</v>
      </c>
      <c r="K61" s="1108"/>
      <c r="L61" s="788"/>
      <c r="M61" s="202" t="s">
        <v>157</v>
      </c>
      <c r="V61" s="185"/>
    </row>
    <row r="62" spans="1:23" ht="18" hidden="1" customHeight="1">
      <c r="A62" s="184"/>
      <c r="C62" s="96" t="s">
        <v>405</v>
      </c>
      <c r="D62" s="14"/>
      <c r="E62" s="296" t="s">
        <v>508</v>
      </c>
      <c r="F62" s="14"/>
      <c r="H62" s="199"/>
      <c r="I62" s="28"/>
      <c r="J62" s="177" t="s">
        <v>127</v>
      </c>
      <c r="K62" s="1108"/>
      <c r="L62" s="1104"/>
      <c r="M62" s="202" t="s">
        <v>157</v>
      </c>
      <c r="V62" s="185"/>
    </row>
    <row r="63" spans="1:23" ht="18" hidden="1" customHeight="1">
      <c r="A63" s="184"/>
      <c r="C63" s="96" t="s">
        <v>405</v>
      </c>
      <c r="D63" s="14"/>
      <c r="E63" s="296" t="s">
        <v>509</v>
      </c>
      <c r="F63" s="14"/>
      <c r="H63" s="199"/>
      <c r="I63" s="28"/>
      <c r="J63" s="101"/>
      <c r="K63" s="1108"/>
      <c r="L63" s="1104"/>
      <c r="M63" s="202" t="s">
        <v>157</v>
      </c>
      <c r="V63" s="185"/>
    </row>
    <row r="64" spans="1:23" ht="18" hidden="1" customHeight="1">
      <c r="A64" s="184"/>
      <c r="C64" s="96" t="s">
        <v>405</v>
      </c>
      <c r="D64" s="14"/>
      <c r="E64" s="296" t="s">
        <v>248</v>
      </c>
      <c r="F64" s="14"/>
      <c r="H64" s="199"/>
      <c r="I64" s="28"/>
      <c r="J64" s="101"/>
      <c r="K64" s="1108"/>
      <c r="L64" s="1104"/>
      <c r="M64" s="202" t="s">
        <v>157</v>
      </c>
      <c r="V64" s="185"/>
    </row>
    <row r="65" spans="1:22" ht="18" hidden="1" customHeight="1">
      <c r="A65" s="184"/>
      <c r="B65" s="117"/>
      <c r="C65" s="96" t="s">
        <v>405</v>
      </c>
      <c r="D65" s="14"/>
      <c r="E65" s="47"/>
      <c r="F65" s="14"/>
      <c r="H65" s="199"/>
      <c r="I65" s="28"/>
      <c r="J65" s="101" t="s">
        <v>127</v>
      </c>
      <c r="K65" s="1108"/>
      <c r="L65" s="788"/>
      <c r="M65" s="202" t="s">
        <v>157</v>
      </c>
      <c r="N65" s="14"/>
      <c r="P65" s="28"/>
      <c r="Q65" s="199"/>
      <c r="R65" s="14"/>
      <c r="S65" s="14"/>
      <c r="T65" s="14"/>
      <c r="U65" s="14"/>
      <c r="V65" s="185"/>
    </row>
    <row r="66" spans="1:22" ht="18" hidden="1" customHeight="1">
      <c r="A66" s="184"/>
      <c r="C66" s="96" t="s">
        <v>781</v>
      </c>
      <c r="D66" s="14"/>
      <c r="E66" s="47"/>
      <c r="F66" s="14"/>
      <c r="H66" s="199"/>
      <c r="I66" s="27"/>
      <c r="J66" s="101" t="s">
        <v>127</v>
      </c>
      <c r="K66" s="696">
        <f>SUM(K57:L65)</f>
        <v>3.758</v>
      </c>
      <c r="L66" s="820"/>
      <c r="M66" s="202" t="s">
        <v>157</v>
      </c>
      <c r="R66" s="14"/>
      <c r="S66" s="14"/>
      <c r="T66" s="14"/>
      <c r="U66" s="281"/>
      <c r="V66" s="185"/>
    </row>
    <row r="67" spans="1:22" ht="18" hidden="1" customHeight="1">
      <c r="A67" s="184"/>
      <c r="C67" s="184" t="s">
        <v>412</v>
      </c>
      <c r="D67" s="14"/>
      <c r="E67" s="14"/>
      <c r="F67" s="14"/>
      <c r="I67" s="27"/>
      <c r="J67" s="101" t="s">
        <v>127</v>
      </c>
      <c r="K67" s="1349">
        <f>'CT-VT Burdens'!S69</f>
        <v>2.5889401199999997</v>
      </c>
      <c r="L67" s="1350"/>
      <c r="M67" s="297" t="s">
        <v>157</v>
      </c>
      <c r="R67" s="14"/>
      <c r="S67" s="14"/>
      <c r="T67" s="14"/>
      <c r="U67" s="281"/>
      <c r="V67" s="185"/>
    </row>
    <row r="68" spans="1:22" ht="18" hidden="1" customHeight="1">
      <c r="A68" s="184"/>
      <c r="C68" s="1" t="s">
        <v>413</v>
      </c>
      <c r="D68" s="2"/>
      <c r="E68" s="2"/>
      <c r="F68" s="2"/>
      <c r="G68" s="196"/>
      <c r="H68" s="196"/>
      <c r="I68" s="224" t="s">
        <v>512</v>
      </c>
      <c r="J68" s="183" t="s">
        <v>127</v>
      </c>
      <c r="K68" s="1349">
        <f>K66+K67</f>
        <v>6.3469401199999993</v>
      </c>
      <c r="L68" s="1350"/>
      <c r="M68" s="3" t="s">
        <v>157</v>
      </c>
      <c r="R68" s="14"/>
      <c r="S68" s="14"/>
      <c r="T68" s="14"/>
      <c r="U68" s="281"/>
      <c r="V68" s="185"/>
    </row>
    <row r="69" spans="1:22" ht="18" hidden="1" customHeight="1">
      <c r="A69" s="96"/>
      <c r="B69" s="14"/>
      <c r="C69" s="120"/>
      <c r="D69" s="47"/>
      <c r="E69" s="47"/>
      <c r="F69" s="47"/>
      <c r="G69" s="47"/>
      <c r="H69" s="47"/>
      <c r="I69" s="47"/>
      <c r="J69" s="14"/>
      <c r="K69" s="28"/>
      <c r="L69" s="14"/>
      <c r="M69" s="14"/>
      <c r="N69" s="218"/>
      <c r="O69" s="14"/>
      <c r="P69" s="14"/>
      <c r="R69" s="14"/>
      <c r="S69" s="14"/>
      <c r="T69" s="14"/>
      <c r="U69" s="14"/>
      <c r="V69" s="185"/>
    </row>
    <row r="70" spans="1:22" ht="18" hidden="1" customHeight="1">
      <c r="A70" s="184"/>
      <c r="R70" s="14"/>
      <c r="S70" s="14"/>
      <c r="T70" s="14"/>
      <c r="U70" s="186"/>
      <c r="V70" s="185"/>
    </row>
    <row r="71" spans="1:22" ht="18" hidden="1" customHeight="1">
      <c r="A71" s="184"/>
      <c r="B71" s="117" t="s">
        <v>782</v>
      </c>
      <c r="V71" s="185"/>
    </row>
    <row r="72" spans="1:22" ht="18" hidden="1" customHeight="1">
      <c r="A72" s="184"/>
      <c r="V72" s="185"/>
    </row>
    <row r="73" spans="1:22" ht="18" hidden="1" customHeight="1">
      <c r="A73" s="184"/>
      <c r="B73" s="14" t="s">
        <v>783</v>
      </c>
      <c r="C73" s="14"/>
      <c r="D73" s="120"/>
      <c r="J73" s="28" t="s">
        <v>127</v>
      </c>
      <c r="K73" s="47" t="s">
        <v>781</v>
      </c>
      <c r="M73" s="47"/>
      <c r="N73" s="47"/>
      <c r="P73" s="102" t="s">
        <v>342</v>
      </c>
      <c r="Q73" s="30" t="s">
        <v>784</v>
      </c>
      <c r="R73" s="14"/>
      <c r="V73" s="185"/>
    </row>
    <row r="74" spans="1:22" ht="18" hidden="1" customHeight="1">
      <c r="A74" s="184"/>
      <c r="B74" s="14"/>
      <c r="C74" s="14"/>
      <c r="D74" s="120"/>
      <c r="J74" s="28" t="s">
        <v>127</v>
      </c>
      <c r="K74" s="692">
        <f>K66</f>
        <v>3.758</v>
      </c>
      <c r="L74" s="689"/>
      <c r="M74" s="102" t="s">
        <v>342</v>
      </c>
      <c r="N74" s="692">
        <f>K52/SQRT(3)*1000</f>
        <v>63.508529610858844</v>
      </c>
      <c r="O74" s="689"/>
      <c r="V74" s="185"/>
    </row>
    <row r="75" spans="1:22" ht="18" hidden="1" customHeight="1">
      <c r="A75" s="184"/>
      <c r="B75" s="14"/>
      <c r="C75" s="14"/>
      <c r="D75" s="120"/>
      <c r="J75" s="28" t="s">
        <v>127</v>
      </c>
      <c r="K75" s="688">
        <f>K74/N74</f>
        <v>5.917315395312582E-2</v>
      </c>
      <c r="L75" s="688"/>
      <c r="M75" s="47" t="s">
        <v>8</v>
      </c>
      <c r="N75" s="47"/>
      <c r="O75" s="14"/>
      <c r="P75" s="28"/>
      <c r="Q75" s="14"/>
      <c r="R75" s="14"/>
      <c r="V75" s="185"/>
    </row>
    <row r="76" spans="1:22" ht="18" hidden="1" customHeight="1">
      <c r="A76" s="184"/>
      <c r="V76" s="185"/>
    </row>
    <row r="77" spans="1:22" ht="18" hidden="1" customHeight="1">
      <c r="A77" s="184"/>
      <c r="B77" s="14" t="s">
        <v>785</v>
      </c>
      <c r="C77" s="14"/>
      <c r="D77" s="14"/>
      <c r="E77" s="14"/>
      <c r="F77" s="14"/>
      <c r="G77" s="14"/>
      <c r="H77" s="14"/>
      <c r="I77" s="47"/>
      <c r="J77" s="28" t="s">
        <v>127</v>
      </c>
      <c r="K77" s="689" t="s">
        <v>786</v>
      </c>
      <c r="L77" s="689"/>
      <c r="M77" s="28" t="s">
        <v>315</v>
      </c>
      <c r="N77" s="47" t="s">
        <v>787</v>
      </c>
      <c r="O77" s="14"/>
      <c r="P77" s="28"/>
      <c r="Q77" s="466"/>
      <c r="V77" s="185"/>
    </row>
    <row r="78" spans="1:22" ht="18" hidden="1" customHeight="1">
      <c r="A78" s="184"/>
      <c r="J78" s="28" t="s">
        <v>127</v>
      </c>
      <c r="K78" s="684">
        <f>K75*K75</f>
        <v>3.5014621487603299E-3</v>
      </c>
      <c r="L78" s="684"/>
      <c r="M78" s="28" t="s">
        <v>315</v>
      </c>
      <c r="N78" s="795">
        <f>N35</f>
        <v>2.5889401199999997</v>
      </c>
      <c r="O78" s="795"/>
      <c r="V78" s="185"/>
    </row>
    <row r="79" spans="1:22" ht="18" hidden="1" customHeight="1">
      <c r="A79" s="184"/>
      <c r="J79" s="28" t="s">
        <v>127</v>
      </c>
      <c r="K79" s="1145">
        <f>K78*N78</f>
        <v>9.0650758355870255E-3</v>
      </c>
      <c r="L79" s="1145"/>
      <c r="M79" s="30" t="s">
        <v>157</v>
      </c>
      <c r="V79" s="185"/>
    </row>
    <row r="80" spans="1:22" ht="18" hidden="1" customHeight="1">
      <c r="A80" s="184"/>
      <c r="V80" s="185"/>
    </row>
    <row r="81" spans="1:22" ht="18" hidden="1" customHeight="1">
      <c r="A81" s="184"/>
      <c r="B81" s="14" t="s">
        <v>788</v>
      </c>
      <c r="C81" s="14"/>
      <c r="D81" s="14"/>
      <c r="E81" s="28"/>
      <c r="F81" s="14"/>
      <c r="G81" s="14"/>
      <c r="H81" s="102"/>
      <c r="I81" s="47"/>
      <c r="J81" s="47"/>
      <c r="K81" s="14"/>
      <c r="V81" s="185"/>
    </row>
    <row r="82" spans="1:22" ht="18" hidden="1" customHeight="1">
      <c r="A82" s="184"/>
      <c r="B82" s="14"/>
      <c r="C82" s="14"/>
      <c r="D82" s="257"/>
      <c r="E82" s="120" t="s">
        <v>789</v>
      </c>
      <c r="F82" s="27" t="str">
        <f>IF(D83&gt;=G83,"&gt;","&lt;")</f>
        <v>&gt;</v>
      </c>
      <c r="G82" s="476" t="s">
        <v>119</v>
      </c>
      <c r="H82" s="218"/>
      <c r="J82" s="28"/>
      <c r="K82" s="218"/>
      <c r="V82" s="185"/>
    </row>
    <row r="83" spans="1:22" ht="18" hidden="1" customHeight="1">
      <c r="A83" s="184"/>
      <c r="D83" s="684">
        <f>H54</f>
        <v>10</v>
      </c>
      <c r="E83" s="684"/>
      <c r="F83" s="27" t="str">
        <f>F82</f>
        <v>&gt;</v>
      </c>
      <c r="G83" s="1145">
        <f>K68</f>
        <v>6.3469401199999993</v>
      </c>
      <c r="H83" s="684"/>
      <c r="I83" s="14"/>
      <c r="J83" s="257"/>
      <c r="V83" s="185"/>
    </row>
    <row r="84" spans="1:22" ht="18" hidden="1" customHeight="1">
      <c r="A84" s="184"/>
      <c r="D84" s="199"/>
      <c r="E84" s="244" t="s">
        <v>790</v>
      </c>
      <c r="F84" s="27"/>
      <c r="G84" s="18" t="str">
        <f>IF(F82="&gt;","Suitably Dimensioned","Under Dimensioned")</f>
        <v>Suitably Dimensioned</v>
      </c>
      <c r="H84" s="27"/>
      <c r="I84" s="120"/>
      <c r="J84" s="27"/>
      <c r="K84" s="120"/>
      <c r="V84" s="185"/>
    </row>
    <row r="85" spans="1:22" ht="18" hidden="1" customHeight="1">
      <c r="A85" s="184"/>
      <c r="V85" s="185"/>
    </row>
    <row r="86" spans="1:22" ht="18" hidden="1" customHeight="1">
      <c r="A86" s="184"/>
      <c r="V86" s="185"/>
    </row>
    <row r="87" spans="1:22" ht="18" hidden="1" customHeight="1">
      <c r="A87" s="184"/>
      <c r="V87" s="185"/>
    </row>
    <row r="88" spans="1:22" ht="18" hidden="1" customHeight="1">
      <c r="A88" s="184"/>
      <c r="V88" s="185"/>
    </row>
    <row r="89" spans="1:22" ht="18" hidden="1" customHeight="1">
      <c r="A89" s="184"/>
      <c r="V89" s="185"/>
    </row>
    <row r="90" spans="1:22" ht="18" hidden="1" customHeight="1">
      <c r="A90" s="184"/>
      <c r="V90" s="185"/>
    </row>
    <row r="91" spans="1:22" ht="18" hidden="1" customHeight="1">
      <c r="A91" s="184"/>
      <c r="V91" s="185"/>
    </row>
    <row r="92" spans="1:22" ht="18" hidden="1" customHeight="1">
      <c r="A92" s="184"/>
      <c r="V92" s="185"/>
    </row>
    <row r="93" spans="1:22" ht="18" customHeight="1">
      <c r="A93" s="184"/>
      <c r="V93" s="185"/>
    </row>
    <row r="94" spans="1:22" s="14" customFormat="1" ht="18" customHeight="1">
      <c r="A94" s="194"/>
      <c r="B94" s="195"/>
      <c r="C94" s="195"/>
      <c r="D94" s="195"/>
      <c r="E94" s="195"/>
      <c r="F94" s="195"/>
      <c r="G94" s="195"/>
      <c r="H94" s="195"/>
      <c r="I94" s="195"/>
      <c r="J94" s="195"/>
      <c r="K94" s="195"/>
      <c r="L94" s="195"/>
      <c r="M94" s="195"/>
      <c r="N94" s="195"/>
      <c r="O94" s="195"/>
      <c r="P94" s="195"/>
      <c r="Q94" s="224"/>
      <c r="R94" s="182"/>
      <c r="S94" s="1351"/>
      <c r="T94" s="1352"/>
      <c r="U94" s="195"/>
      <c r="V94" s="134"/>
    </row>
    <row r="95" spans="1:22" ht="18" hidden="1" customHeight="1">
      <c r="A95" s="226"/>
      <c r="B95" s="227"/>
      <c r="C95" s="227"/>
      <c r="D95" s="227"/>
      <c r="E95" s="227"/>
      <c r="F95" s="227"/>
      <c r="G95" s="227"/>
      <c r="H95" s="227"/>
      <c r="I95" s="227"/>
      <c r="J95" s="227"/>
      <c r="K95" s="227"/>
      <c r="L95" s="227"/>
      <c r="M95" s="227"/>
      <c r="N95" s="227"/>
      <c r="O95" s="227"/>
      <c r="P95" s="227"/>
      <c r="Q95" s="227"/>
      <c r="R95" s="227"/>
      <c r="S95" s="227"/>
      <c r="T95" s="227"/>
      <c r="U95" s="227"/>
      <c r="V95" s="228"/>
    </row>
    <row r="96" spans="1:22" ht="18" hidden="1" customHeight="1">
      <c r="A96" s="184"/>
      <c r="B96" s="781"/>
      <c r="C96" s="782"/>
      <c r="D96" s="743"/>
      <c r="E96" s="1291"/>
      <c r="V96" s="185"/>
    </row>
    <row r="97" spans="1:23" ht="18" hidden="1" customHeight="1">
      <c r="A97" s="184"/>
      <c r="V97" s="185"/>
    </row>
    <row r="98" spans="1:23" ht="18" hidden="1" customHeight="1">
      <c r="A98" s="184"/>
      <c r="B98" s="30" t="s">
        <v>774</v>
      </c>
      <c r="H98" s="188"/>
      <c r="I98" s="189"/>
      <c r="J98" s="191" t="s">
        <v>342</v>
      </c>
      <c r="K98" s="122"/>
      <c r="L98" s="189"/>
      <c r="M98" s="30" t="s">
        <v>163</v>
      </c>
      <c r="V98" s="185"/>
    </row>
    <row r="99" spans="1:23" ht="18" hidden="1" customHeight="1">
      <c r="A99" s="184"/>
      <c r="B99" s="30" t="s">
        <v>776</v>
      </c>
      <c r="H99" s="781"/>
      <c r="I99" s="782"/>
      <c r="V99" s="185"/>
    </row>
    <row r="100" spans="1:23" ht="18" hidden="1" customHeight="1">
      <c r="A100" s="184"/>
      <c r="B100" s="30" t="s">
        <v>562</v>
      </c>
      <c r="H100" s="781"/>
      <c r="I100" s="782"/>
      <c r="J100" s="30" t="s">
        <v>157</v>
      </c>
      <c r="V100" s="185"/>
      <c r="W100" s="30" t="e">
        <f>G126</f>
        <v>#DIV/0!</v>
      </c>
    </row>
    <row r="101" spans="1:23" ht="18" hidden="1" customHeight="1">
      <c r="A101" s="184"/>
      <c r="V101" s="185"/>
    </row>
    <row r="102" spans="1:23" ht="18" hidden="1" customHeight="1">
      <c r="A102" s="184"/>
      <c r="V102" s="185"/>
    </row>
    <row r="103" spans="1:23" ht="18" hidden="1" customHeight="1">
      <c r="A103" s="184"/>
      <c r="C103" s="135" t="s">
        <v>405</v>
      </c>
      <c r="D103" s="273"/>
      <c r="E103" s="139"/>
      <c r="F103" s="227"/>
      <c r="G103" s="227"/>
      <c r="H103" s="227"/>
      <c r="I103" s="138"/>
      <c r="J103" s="260" t="s">
        <v>127</v>
      </c>
      <c r="K103" s="1108"/>
      <c r="L103" s="788"/>
      <c r="M103" s="3" t="s">
        <v>157</v>
      </c>
      <c r="V103" s="185"/>
    </row>
    <row r="104" spans="1:23" ht="18" hidden="1" customHeight="1">
      <c r="A104" s="184"/>
      <c r="C104" s="96" t="s">
        <v>405</v>
      </c>
      <c r="D104" s="14"/>
      <c r="E104" s="47"/>
      <c r="F104" s="14"/>
      <c r="H104" s="199"/>
      <c r="I104" s="27"/>
      <c r="J104" s="101" t="s">
        <v>127</v>
      </c>
      <c r="K104" s="1108"/>
      <c r="L104" s="788"/>
      <c r="M104" s="202" t="s">
        <v>157</v>
      </c>
      <c r="V104" s="185"/>
    </row>
    <row r="105" spans="1:23" ht="18" hidden="1" customHeight="1">
      <c r="A105" s="184"/>
      <c r="C105" s="96" t="s">
        <v>405</v>
      </c>
      <c r="D105" s="14"/>
      <c r="E105" s="47"/>
      <c r="F105" s="14"/>
      <c r="H105" s="199"/>
      <c r="I105" s="27"/>
      <c r="J105" s="101" t="s">
        <v>127</v>
      </c>
      <c r="K105" s="1108"/>
      <c r="L105" s="788"/>
      <c r="M105" s="202" t="s">
        <v>157</v>
      </c>
      <c r="V105" s="185"/>
    </row>
    <row r="106" spans="1:23" ht="18" hidden="1" customHeight="1">
      <c r="A106" s="184"/>
      <c r="C106" s="96" t="s">
        <v>405</v>
      </c>
      <c r="D106" s="14"/>
      <c r="E106" s="47"/>
      <c r="F106" s="14"/>
      <c r="H106" s="199"/>
      <c r="I106" s="27"/>
      <c r="J106" s="101" t="s">
        <v>127</v>
      </c>
      <c r="K106" s="1108"/>
      <c r="L106" s="788"/>
      <c r="M106" s="202" t="s">
        <v>157</v>
      </c>
      <c r="V106" s="185"/>
    </row>
    <row r="107" spans="1:23" ht="18" hidden="1" customHeight="1">
      <c r="A107" s="184"/>
      <c r="B107" s="117"/>
      <c r="C107" s="96" t="s">
        <v>405</v>
      </c>
      <c r="D107" s="14"/>
      <c r="E107" s="47"/>
      <c r="F107" s="14"/>
      <c r="H107" s="199"/>
      <c r="I107" s="27"/>
      <c r="J107" s="101" t="s">
        <v>127</v>
      </c>
      <c r="K107" s="1108">
        <v>4</v>
      </c>
      <c r="L107" s="788"/>
      <c r="M107" s="202" t="s">
        <v>157</v>
      </c>
      <c r="N107" s="14"/>
      <c r="O107" s="14"/>
      <c r="P107" s="28"/>
      <c r="Q107" s="199"/>
      <c r="R107" s="14"/>
      <c r="S107" s="14"/>
      <c r="T107" s="14"/>
      <c r="U107" s="14"/>
      <c r="V107" s="185"/>
    </row>
    <row r="108" spans="1:23" ht="18" hidden="1" customHeight="1">
      <c r="A108" s="184"/>
      <c r="C108" s="96" t="s">
        <v>781</v>
      </c>
      <c r="D108" s="14"/>
      <c r="E108" s="47"/>
      <c r="F108" s="14"/>
      <c r="H108" s="199"/>
      <c r="I108" s="27"/>
      <c r="J108" s="101" t="s">
        <v>127</v>
      </c>
      <c r="K108" s="696">
        <f>SUM(K103:L107)</f>
        <v>4</v>
      </c>
      <c r="L108" s="820"/>
      <c r="M108" s="202" t="s">
        <v>157</v>
      </c>
      <c r="R108" s="14"/>
      <c r="S108" s="14"/>
      <c r="T108" s="14"/>
      <c r="U108" s="281"/>
      <c r="V108" s="185"/>
    </row>
    <row r="109" spans="1:23" ht="18" hidden="1" customHeight="1">
      <c r="A109" s="184"/>
      <c r="C109" s="184" t="s">
        <v>412</v>
      </c>
      <c r="D109" s="14"/>
      <c r="E109" s="14"/>
      <c r="F109" s="14"/>
      <c r="I109" s="27"/>
      <c r="J109" s="101" t="s">
        <v>127</v>
      </c>
      <c r="K109" s="1349" t="e">
        <f>K121</f>
        <v>#DIV/0!</v>
      </c>
      <c r="L109" s="1350"/>
      <c r="M109" s="297" t="s">
        <v>157</v>
      </c>
      <c r="R109" s="14"/>
      <c r="S109" s="14"/>
      <c r="T109" s="14"/>
      <c r="U109" s="281"/>
      <c r="V109" s="185"/>
    </row>
    <row r="110" spans="1:23" ht="18" hidden="1" customHeight="1">
      <c r="A110" s="184"/>
      <c r="C110" s="1" t="s">
        <v>413</v>
      </c>
      <c r="D110" s="2"/>
      <c r="E110" s="2"/>
      <c r="F110" s="2"/>
      <c r="G110" s="196"/>
      <c r="H110" s="196"/>
      <c r="I110" s="224" t="s">
        <v>512</v>
      </c>
      <c r="J110" s="183" t="s">
        <v>127</v>
      </c>
      <c r="K110" s="1349" t="e">
        <f>K108+K109</f>
        <v>#DIV/0!</v>
      </c>
      <c r="L110" s="1350"/>
      <c r="M110" s="3" t="s">
        <v>157</v>
      </c>
      <c r="R110" s="14"/>
      <c r="S110" s="14"/>
      <c r="T110" s="14"/>
      <c r="U110" s="281"/>
      <c r="V110" s="185"/>
    </row>
    <row r="111" spans="1:23" ht="18" hidden="1" customHeight="1">
      <c r="A111" s="96"/>
      <c r="B111" s="14"/>
      <c r="C111" s="120"/>
      <c r="D111" s="47"/>
      <c r="E111" s="47"/>
      <c r="F111" s="47"/>
      <c r="G111" s="47"/>
      <c r="H111" s="47"/>
      <c r="I111" s="47"/>
      <c r="J111" s="14"/>
      <c r="K111" s="28"/>
      <c r="L111" s="14"/>
      <c r="M111" s="14"/>
      <c r="N111" s="218"/>
      <c r="O111" s="218"/>
      <c r="P111" s="14"/>
      <c r="R111" s="14"/>
      <c r="S111" s="14"/>
      <c r="T111" s="14"/>
      <c r="U111" s="14"/>
      <c r="V111" s="185"/>
    </row>
    <row r="112" spans="1:23" ht="18" hidden="1" customHeight="1">
      <c r="A112" s="184"/>
      <c r="P112" s="466"/>
      <c r="R112" s="14"/>
      <c r="S112" s="14"/>
      <c r="T112" s="14"/>
      <c r="U112" s="186"/>
      <c r="V112" s="185"/>
    </row>
    <row r="113" spans="1:22" ht="18" hidden="1" customHeight="1">
      <c r="A113" s="184"/>
      <c r="B113" s="117" t="s">
        <v>782</v>
      </c>
      <c r="V113" s="185"/>
    </row>
    <row r="114" spans="1:22" ht="18" hidden="1" customHeight="1">
      <c r="A114" s="184"/>
      <c r="V114" s="185"/>
    </row>
    <row r="115" spans="1:22" ht="18" hidden="1" customHeight="1">
      <c r="A115" s="184"/>
      <c r="B115" s="14" t="s">
        <v>783</v>
      </c>
      <c r="C115" s="14"/>
      <c r="D115" s="120"/>
      <c r="J115" s="28" t="s">
        <v>127</v>
      </c>
      <c r="K115" s="47" t="s">
        <v>781</v>
      </c>
      <c r="M115" s="47"/>
      <c r="N115" s="47"/>
      <c r="P115" s="102" t="s">
        <v>342</v>
      </c>
      <c r="Q115" s="30" t="s">
        <v>784</v>
      </c>
      <c r="R115" s="14"/>
      <c r="V115" s="185"/>
    </row>
    <row r="116" spans="1:22" ht="18" hidden="1" customHeight="1">
      <c r="A116" s="184"/>
      <c r="B116" s="14"/>
      <c r="C116" s="14"/>
      <c r="D116" s="120"/>
      <c r="J116" s="28" t="s">
        <v>127</v>
      </c>
      <c r="K116" s="692">
        <f>K108</f>
        <v>4</v>
      </c>
      <c r="L116" s="689"/>
      <c r="M116" s="102" t="s">
        <v>342</v>
      </c>
      <c r="N116" s="692">
        <f>K98/SQRT(3)*1000</f>
        <v>0</v>
      </c>
      <c r="O116" s="689"/>
      <c r="V116" s="185"/>
    </row>
    <row r="117" spans="1:22" ht="18" hidden="1" customHeight="1">
      <c r="A117" s="184"/>
      <c r="B117" s="14"/>
      <c r="C117" s="14"/>
      <c r="D117" s="120"/>
      <c r="J117" s="28" t="s">
        <v>127</v>
      </c>
      <c r="K117" s="688" t="e">
        <f>K116/N116</f>
        <v>#DIV/0!</v>
      </c>
      <c r="L117" s="688"/>
      <c r="M117" s="47" t="s">
        <v>8</v>
      </c>
      <c r="N117" s="47"/>
      <c r="O117" s="14"/>
      <c r="P117" s="28"/>
      <c r="Q117" s="14"/>
      <c r="R117" s="14"/>
      <c r="V117" s="185"/>
    </row>
    <row r="118" spans="1:22" ht="18" hidden="1" customHeight="1">
      <c r="A118" s="184"/>
      <c r="V118" s="185"/>
    </row>
    <row r="119" spans="1:22" ht="18" hidden="1" customHeight="1">
      <c r="A119" s="184"/>
      <c r="B119" s="14" t="s">
        <v>785</v>
      </c>
      <c r="C119" s="14"/>
      <c r="D119" s="14"/>
      <c r="E119" s="14"/>
      <c r="F119" s="14"/>
      <c r="G119" s="14"/>
      <c r="H119" s="14"/>
      <c r="I119" s="47"/>
      <c r="J119" s="28" t="s">
        <v>127</v>
      </c>
      <c r="K119" s="689" t="s">
        <v>786</v>
      </c>
      <c r="L119" s="689"/>
      <c r="M119" s="28" t="s">
        <v>315</v>
      </c>
      <c r="N119" s="47" t="s">
        <v>787</v>
      </c>
      <c r="O119" s="14"/>
      <c r="P119" s="28"/>
      <c r="V119" s="185"/>
    </row>
    <row r="120" spans="1:22" ht="18" hidden="1" customHeight="1">
      <c r="A120" s="184"/>
      <c r="J120" s="28" t="s">
        <v>127</v>
      </c>
      <c r="K120" s="684" t="e">
        <f>K117*K117</f>
        <v>#DIV/0!</v>
      </c>
      <c r="L120" s="684"/>
      <c r="M120" s="28" t="s">
        <v>315</v>
      </c>
      <c r="N120" s="795">
        <f>N78</f>
        <v>2.5889401199999997</v>
      </c>
      <c r="O120" s="795"/>
      <c r="V120" s="185"/>
    </row>
    <row r="121" spans="1:22" ht="18" hidden="1" customHeight="1">
      <c r="A121" s="184"/>
      <c r="J121" s="28" t="s">
        <v>127</v>
      </c>
      <c r="K121" s="1145" t="e">
        <f>K120*N120</f>
        <v>#DIV/0!</v>
      </c>
      <c r="L121" s="1145"/>
      <c r="M121" s="30" t="s">
        <v>157</v>
      </c>
      <c r="V121" s="185"/>
    </row>
    <row r="122" spans="1:22" ht="18" hidden="1" customHeight="1">
      <c r="A122" s="184"/>
      <c r="V122" s="185"/>
    </row>
    <row r="123" spans="1:22" ht="18" hidden="1" customHeight="1">
      <c r="A123" s="184"/>
      <c r="B123" s="14" t="s">
        <v>788</v>
      </c>
      <c r="C123" s="14"/>
      <c r="D123" s="14"/>
      <c r="E123" s="28"/>
      <c r="F123" s="14"/>
      <c r="G123" s="14"/>
      <c r="H123" s="102"/>
      <c r="I123" s="47"/>
      <c r="J123" s="47"/>
      <c r="K123" s="14"/>
      <c r="V123" s="185"/>
    </row>
    <row r="124" spans="1:22" ht="18" hidden="1" customHeight="1">
      <c r="A124" s="184"/>
      <c r="B124" s="14"/>
      <c r="C124" s="14"/>
      <c r="D124" s="257"/>
      <c r="E124" s="120" t="s">
        <v>789</v>
      </c>
      <c r="F124" s="27" t="e">
        <f>IF(D125&gt;=G125,"&gt;","&lt;")</f>
        <v>#DIV/0!</v>
      </c>
      <c r="G124" s="281" t="s">
        <v>119</v>
      </c>
      <c r="H124" s="218"/>
      <c r="J124" s="28"/>
      <c r="K124" s="218"/>
      <c r="V124" s="185"/>
    </row>
    <row r="125" spans="1:22" ht="18" hidden="1" customHeight="1">
      <c r="A125" s="184"/>
      <c r="D125" s="684">
        <f>H100</f>
        <v>0</v>
      </c>
      <c r="E125" s="684"/>
      <c r="F125" s="27" t="e">
        <f>F124</f>
        <v>#DIV/0!</v>
      </c>
      <c r="G125" s="1145" t="e">
        <f>K110</f>
        <v>#DIV/0!</v>
      </c>
      <c r="H125" s="684"/>
      <c r="I125" s="14"/>
      <c r="J125" s="257"/>
      <c r="V125" s="185"/>
    </row>
    <row r="126" spans="1:22" ht="18" hidden="1" customHeight="1">
      <c r="A126" s="184"/>
      <c r="D126" s="199"/>
      <c r="E126" s="244" t="s">
        <v>790</v>
      </c>
      <c r="F126" s="27"/>
      <c r="G126" s="18" t="e">
        <f>IF(F125="&gt;","Suitably Dimensioned","Under Dimensioned")</f>
        <v>#DIV/0!</v>
      </c>
      <c r="H126" s="27"/>
      <c r="I126" s="120"/>
      <c r="J126" s="27"/>
      <c r="K126" s="120"/>
      <c r="V126" s="185"/>
    </row>
    <row r="127" spans="1:22" ht="18" hidden="1" customHeight="1">
      <c r="A127" s="184"/>
      <c r="D127" s="199"/>
      <c r="E127" s="244"/>
      <c r="F127" s="27"/>
      <c r="G127" s="18"/>
      <c r="H127" s="27"/>
      <c r="I127" s="120"/>
      <c r="J127" s="27"/>
      <c r="K127" s="120"/>
      <c r="V127" s="185"/>
    </row>
    <row r="128" spans="1:22" ht="18" hidden="1" customHeight="1">
      <c r="A128" s="184"/>
      <c r="D128" s="199"/>
      <c r="E128" s="244"/>
      <c r="F128" s="27"/>
      <c r="G128" s="18"/>
      <c r="H128" s="27"/>
      <c r="I128" s="120"/>
      <c r="J128" s="27"/>
      <c r="K128" s="120"/>
      <c r="V128" s="185"/>
    </row>
    <row r="129" spans="1:22" ht="18" hidden="1" customHeight="1">
      <c r="A129" s="184"/>
      <c r="D129" s="199"/>
      <c r="E129" s="244"/>
      <c r="F129" s="27"/>
      <c r="G129" s="18"/>
      <c r="H129" s="27"/>
      <c r="I129" s="120"/>
      <c r="J129" s="27"/>
      <c r="K129" s="120"/>
      <c r="V129" s="185"/>
    </row>
    <row r="130" spans="1:22" ht="18" hidden="1" customHeight="1">
      <c r="A130" s="184"/>
      <c r="D130" s="199"/>
      <c r="E130" s="244"/>
      <c r="F130" s="27"/>
      <c r="G130" s="18"/>
      <c r="H130" s="27"/>
      <c r="I130" s="120"/>
      <c r="J130" s="27"/>
      <c r="K130" s="120"/>
      <c r="V130" s="185"/>
    </row>
    <row r="131" spans="1:22" ht="18" hidden="1" customHeight="1">
      <c r="A131" s="184"/>
      <c r="D131" s="199"/>
      <c r="E131" s="244"/>
      <c r="F131" s="27"/>
      <c r="G131" s="18"/>
      <c r="H131" s="27"/>
      <c r="I131" s="120"/>
      <c r="J131" s="27"/>
      <c r="K131" s="120"/>
      <c r="V131" s="185"/>
    </row>
    <row r="132" spans="1:22" ht="18" hidden="1" customHeight="1">
      <c r="A132" s="184"/>
      <c r="V132" s="185"/>
    </row>
    <row r="133" spans="1:22" ht="18" hidden="1" customHeight="1">
      <c r="A133" s="184"/>
      <c r="V133" s="185"/>
    </row>
    <row r="134" spans="1:22" ht="18" hidden="1" customHeight="1">
      <c r="A134" s="184"/>
      <c r="V134" s="185"/>
    </row>
    <row r="135" spans="1:22" ht="18" hidden="1" customHeight="1">
      <c r="A135" s="184"/>
      <c r="V135" s="185"/>
    </row>
    <row r="136" spans="1:22" ht="18" hidden="1" customHeight="1">
      <c r="A136" s="184"/>
      <c r="V136" s="185"/>
    </row>
    <row r="137" spans="1:22" ht="18" hidden="1" customHeight="1">
      <c r="A137" s="184"/>
      <c r="V137" s="185"/>
    </row>
    <row r="138" spans="1:22" s="14" customFormat="1" ht="18" hidden="1" customHeight="1">
      <c r="A138" s="194"/>
      <c r="B138" s="195"/>
      <c r="C138" s="195"/>
      <c r="D138" s="195"/>
      <c r="E138" s="195"/>
      <c r="F138" s="195"/>
      <c r="G138" s="195"/>
      <c r="H138" s="195"/>
      <c r="I138" s="195"/>
      <c r="J138" s="195"/>
      <c r="K138" s="195"/>
      <c r="L138" s="195"/>
      <c r="M138" s="195"/>
      <c r="N138" s="195"/>
      <c r="O138" s="195"/>
      <c r="P138" s="195"/>
      <c r="Q138" s="224"/>
      <c r="R138" s="182"/>
      <c r="S138" s="225"/>
      <c r="T138" s="195"/>
      <c r="U138" s="195"/>
      <c r="V138" s="134"/>
    </row>
    <row r="139" spans="1:22" s="14" customFormat="1" ht="18" customHeight="1">
      <c r="A139" s="135"/>
      <c r="B139" s="273"/>
      <c r="C139" s="273"/>
      <c r="D139" s="273"/>
      <c r="E139" s="273"/>
      <c r="F139" s="273"/>
      <c r="G139" s="273"/>
      <c r="H139" s="273"/>
      <c r="I139" s="273"/>
      <c r="J139" s="273"/>
      <c r="K139" s="273"/>
      <c r="L139" s="273"/>
      <c r="M139" s="273"/>
      <c r="N139" s="273"/>
      <c r="O139" s="273"/>
      <c r="P139" s="273"/>
      <c r="Q139" s="274"/>
      <c r="R139" s="138"/>
      <c r="S139" s="275"/>
      <c r="T139" s="273"/>
      <c r="U139" s="273"/>
      <c r="V139" s="276"/>
    </row>
    <row r="140" spans="1:22" ht="18" customHeight="1">
      <c r="A140" s="96" t="s">
        <v>793</v>
      </c>
      <c r="V140" s="185"/>
    </row>
    <row r="141" spans="1:22" ht="18" customHeight="1">
      <c r="A141" s="853" t="s">
        <v>115</v>
      </c>
      <c r="B141" s="853"/>
      <c r="C141" s="853"/>
      <c r="D141" s="853"/>
      <c r="E141" s="853" t="s">
        <v>116</v>
      </c>
      <c r="F141" s="853"/>
      <c r="G141" s="853"/>
      <c r="H141" s="853"/>
      <c r="I141" s="853"/>
      <c r="J141" s="868" t="s">
        <v>117</v>
      </c>
      <c r="K141" s="868"/>
      <c r="L141" s="868" t="s">
        <v>88</v>
      </c>
      <c r="M141" s="868"/>
      <c r="N141" s="868" t="s">
        <v>100</v>
      </c>
      <c r="O141" s="868"/>
      <c r="P141" s="868"/>
      <c r="Q141" s="853" t="s">
        <v>794</v>
      </c>
      <c r="R141" s="853"/>
      <c r="S141" s="853"/>
      <c r="T141" s="853"/>
      <c r="U141" s="853"/>
      <c r="V141" s="853"/>
    </row>
    <row r="142" spans="1:22" ht="18" customHeight="1">
      <c r="A142" s="853"/>
      <c r="B142" s="853"/>
      <c r="C142" s="853"/>
      <c r="D142" s="853"/>
      <c r="E142" s="853"/>
      <c r="F142" s="853"/>
      <c r="G142" s="853"/>
      <c r="H142" s="853"/>
      <c r="I142" s="853"/>
      <c r="J142" s="868"/>
      <c r="K142" s="868"/>
      <c r="L142" s="868"/>
      <c r="M142" s="868"/>
      <c r="N142" s="868"/>
      <c r="O142" s="868"/>
      <c r="P142" s="868"/>
      <c r="Q142" s="853"/>
      <c r="R142" s="853"/>
      <c r="S142" s="853"/>
      <c r="T142" s="853"/>
      <c r="U142" s="853"/>
      <c r="V142" s="853"/>
    </row>
    <row r="143" spans="1:22" ht="18" customHeight="1">
      <c r="A143" s="853"/>
      <c r="B143" s="853"/>
      <c r="C143" s="853"/>
      <c r="D143" s="853"/>
      <c r="E143" s="1356"/>
      <c r="F143" s="1356"/>
      <c r="G143" s="853"/>
      <c r="H143" s="853"/>
      <c r="I143" s="853"/>
      <c r="J143" s="868"/>
      <c r="K143" s="868"/>
      <c r="L143" s="868"/>
      <c r="M143" s="868"/>
      <c r="N143" s="868"/>
      <c r="O143" s="868"/>
      <c r="P143" s="868"/>
      <c r="Q143" s="853"/>
      <c r="R143" s="853"/>
      <c r="S143" s="853"/>
      <c r="T143" s="853"/>
      <c r="U143" s="853"/>
      <c r="V143" s="853"/>
    </row>
    <row r="144" spans="1:22" ht="18" customHeight="1">
      <c r="A144" s="1353" t="str">
        <f>B7</f>
        <v>T1</v>
      </c>
      <c r="B144" s="1354"/>
      <c r="C144" s="876" t="str">
        <f>D7</f>
        <v>Core1</v>
      </c>
      <c r="D144" s="990"/>
      <c r="E144" s="342">
        <f>H9</f>
        <v>400</v>
      </c>
      <c r="F144" s="246" t="str">
        <f>I9</f>
        <v>/ √3</v>
      </c>
      <c r="G144" s="343" t="s">
        <v>342</v>
      </c>
      <c r="H144" s="243">
        <f>K9</f>
        <v>0.11</v>
      </c>
      <c r="I144" s="246" t="str">
        <f>L9</f>
        <v>/ √3</v>
      </c>
      <c r="J144" s="958">
        <f>'CT-VT Burdens'!S67</f>
        <v>120</v>
      </c>
      <c r="K144" s="1355">
        <f>'CT-VT Burdens'!S56</f>
        <v>2.5</v>
      </c>
      <c r="L144" s="958" t="str">
        <f>H10</f>
        <v>3P</v>
      </c>
      <c r="M144" s="958"/>
      <c r="N144" s="958">
        <f>H11</f>
        <v>50</v>
      </c>
      <c r="O144" s="958"/>
      <c r="P144" s="958"/>
      <c r="Q144" s="958" t="str">
        <f>G41</f>
        <v>Suitably Dimensioned</v>
      </c>
      <c r="R144" s="958"/>
      <c r="S144" s="958"/>
      <c r="T144" s="958"/>
      <c r="U144" s="958"/>
      <c r="V144" s="958"/>
    </row>
    <row r="145" spans="1:22" ht="18" customHeight="1">
      <c r="A145" s="685"/>
      <c r="B145" s="699"/>
      <c r="C145" s="958" t="s">
        <v>6</v>
      </c>
      <c r="D145" s="958"/>
      <c r="E145" s="819" t="s">
        <v>6</v>
      </c>
      <c r="F145" s="820"/>
      <c r="G145" s="467" t="s">
        <v>6</v>
      </c>
      <c r="H145" s="812" t="s">
        <v>6</v>
      </c>
      <c r="I145" s="813"/>
      <c r="J145" s="958"/>
      <c r="K145" s="1355"/>
      <c r="L145" s="958" t="s">
        <v>6</v>
      </c>
      <c r="M145" s="958"/>
      <c r="N145" s="958" t="s">
        <v>6</v>
      </c>
      <c r="O145" s="958"/>
      <c r="P145" s="958"/>
      <c r="Q145" s="958" t="s">
        <v>6</v>
      </c>
      <c r="R145" s="958"/>
      <c r="S145" s="958"/>
      <c r="T145" s="958"/>
      <c r="U145" s="958"/>
      <c r="V145" s="958"/>
    </row>
    <row r="146" spans="1:22" ht="18" customHeight="1">
      <c r="A146" s="1217"/>
      <c r="B146" s="1218"/>
      <c r="C146" s="958" t="s">
        <v>6</v>
      </c>
      <c r="D146" s="958"/>
      <c r="E146" s="819" t="s">
        <v>6</v>
      </c>
      <c r="F146" s="820"/>
      <c r="G146" s="467" t="s">
        <v>6</v>
      </c>
      <c r="H146" s="812" t="s">
        <v>6</v>
      </c>
      <c r="I146" s="813"/>
      <c r="J146" s="958"/>
      <c r="K146" s="1355"/>
      <c r="L146" s="958" t="s">
        <v>6</v>
      </c>
      <c r="M146" s="958"/>
      <c r="N146" s="958" t="s">
        <v>6</v>
      </c>
      <c r="O146" s="958"/>
      <c r="P146" s="958"/>
      <c r="Q146" s="958" t="s">
        <v>6</v>
      </c>
      <c r="R146" s="958"/>
      <c r="S146" s="958"/>
      <c r="T146" s="958"/>
      <c r="U146" s="958"/>
      <c r="V146" s="958"/>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ht="18" customHeight="1">
      <c r="A170" s="184"/>
      <c r="V170" s="185"/>
    </row>
    <row r="171" spans="1:22" ht="18" customHeight="1">
      <c r="A171" s="184"/>
      <c r="V171" s="185"/>
    </row>
    <row r="172" spans="1:22" ht="18" customHeight="1">
      <c r="A172" s="184"/>
      <c r="V172" s="185"/>
    </row>
    <row r="173" spans="1:22" ht="18" customHeight="1">
      <c r="A173" s="184"/>
      <c r="V173" s="185"/>
    </row>
    <row r="174" spans="1:22" ht="18" customHeight="1">
      <c r="A174" s="184"/>
      <c r="V174" s="185"/>
    </row>
    <row r="175" spans="1:22" ht="18" customHeight="1">
      <c r="A175" s="184"/>
      <c r="V175" s="185"/>
    </row>
    <row r="176" spans="1:22" ht="18" customHeight="1">
      <c r="A176" s="184"/>
      <c r="V176" s="185"/>
    </row>
    <row r="177" spans="1:22" s="14" customFormat="1" ht="18" customHeight="1">
      <c r="A177" s="194"/>
      <c r="B177" s="195"/>
      <c r="C177" s="195"/>
      <c r="D177" s="195"/>
      <c r="E177" s="195"/>
      <c r="F177" s="195"/>
      <c r="G177" s="195"/>
      <c r="H177" s="195"/>
      <c r="I177" s="195"/>
      <c r="J177" s="195"/>
      <c r="K177" s="195"/>
      <c r="L177" s="195"/>
      <c r="M177" s="195"/>
      <c r="N177" s="195"/>
      <c r="O177" s="195"/>
      <c r="P177" s="195"/>
      <c r="Q177" s="224"/>
      <c r="R177" s="182"/>
      <c r="S177" s="1351"/>
      <c r="T177" s="1352"/>
      <c r="U177" s="195"/>
      <c r="V177" s="134"/>
    </row>
  </sheetData>
  <mergeCells count="121">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H100:I100"/>
    <mergeCell ref="K103:L103"/>
    <mergeCell ref="K104:L104"/>
    <mergeCell ref="K105:L105"/>
    <mergeCell ref="K106:L106"/>
    <mergeCell ref="K107:L107"/>
    <mergeCell ref="D83:E83"/>
    <mergeCell ref="G83:H83"/>
    <mergeCell ref="S94:T94"/>
    <mergeCell ref="B96:C96"/>
    <mergeCell ref="D96:E96"/>
    <mergeCell ref="H99:I99"/>
    <mergeCell ref="N74:O74"/>
    <mergeCell ref="K75:L75"/>
    <mergeCell ref="K77:L77"/>
    <mergeCell ref="K78:L78"/>
    <mergeCell ref="N78:O78"/>
    <mergeCell ref="K79:L79"/>
    <mergeCell ref="K64:L64"/>
    <mergeCell ref="K65:L65"/>
    <mergeCell ref="K66:L66"/>
    <mergeCell ref="K67:L67"/>
    <mergeCell ref="K68:L68"/>
    <mergeCell ref="K74:L74"/>
    <mergeCell ref="K58:L58"/>
    <mergeCell ref="K59:L59"/>
    <mergeCell ref="K60:L60"/>
    <mergeCell ref="K61:L61"/>
    <mergeCell ref="K62:L62"/>
    <mergeCell ref="K63:L63"/>
    <mergeCell ref="S48:T48"/>
    <mergeCell ref="B50:C50"/>
    <mergeCell ref="D50:E50"/>
    <mergeCell ref="H53:I53"/>
    <mergeCell ref="H54:I54"/>
    <mergeCell ref="K57:L57"/>
    <mergeCell ref="K32:L32"/>
    <mergeCell ref="K34:L34"/>
    <mergeCell ref="K35:L35"/>
    <mergeCell ref="N35:O35"/>
    <mergeCell ref="K36:L36"/>
    <mergeCell ref="D40:E40"/>
    <mergeCell ref="G40:H40"/>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codeName="Sheet60">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931" t="str">
        <f>Title!R3</f>
        <v>-</v>
      </c>
      <c r="S3" s="932"/>
      <c r="T3" s="932"/>
      <c r="U3" s="932"/>
      <c r="V3" s="933"/>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796</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81" t="s">
        <v>797</v>
      </c>
      <c r="C7" s="782"/>
      <c r="D7" s="1099" t="s">
        <v>385</v>
      </c>
      <c r="E7" s="1100"/>
      <c r="V7" s="185"/>
    </row>
    <row r="8" spans="1:24" ht="18" customHeight="1">
      <c r="A8" s="184"/>
      <c r="B8" s="781" t="s">
        <v>798</v>
      </c>
      <c r="C8" s="782"/>
      <c r="D8" s="1359"/>
      <c r="E8" s="1360"/>
      <c r="V8" s="185"/>
    </row>
    <row r="9" spans="1:24" ht="18" customHeight="1">
      <c r="A9" s="184"/>
      <c r="B9" s="781" t="s">
        <v>799</v>
      </c>
      <c r="C9" s="782"/>
      <c r="D9" s="1097"/>
      <c r="E9" s="1098"/>
      <c r="V9" s="185"/>
    </row>
    <row r="10" spans="1:24" ht="18" customHeight="1">
      <c r="A10" s="184"/>
      <c r="V10" s="185"/>
    </row>
    <row r="11" spans="1:24" ht="18" customHeight="1">
      <c r="A11" s="184"/>
      <c r="B11" s="30" t="s">
        <v>774</v>
      </c>
      <c r="H11" s="188">
        <v>33</v>
      </c>
      <c r="I11" s="189" t="s">
        <v>775</v>
      </c>
      <c r="J11" s="191" t="s">
        <v>342</v>
      </c>
      <c r="K11" s="122">
        <v>0.11</v>
      </c>
      <c r="L11" s="189" t="s">
        <v>775</v>
      </c>
      <c r="M11" s="30" t="s">
        <v>163</v>
      </c>
      <c r="V11" s="185"/>
    </row>
    <row r="12" spans="1:24" ht="18" customHeight="1">
      <c r="A12" s="184"/>
      <c r="B12" s="30" t="s">
        <v>776</v>
      </c>
      <c r="H12" s="781">
        <v>0.2</v>
      </c>
      <c r="I12" s="782"/>
      <c r="V12" s="185"/>
    </row>
    <row r="13" spans="1:24" ht="18" customHeight="1">
      <c r="A13" s="184"/>
      <c r="B13" s="30" t="s">
        <v>562</v>
      </c>
      <c r="H13" s="781">
        <v>100</v>
      </c>
      <c r="I13" s="782"/>
      <c r="J13" s="30" t="s">
        <v>157</v>
      </c>
      <c r="V13" s="185"/>
      <c r="W13" s="30" t="str">
        <f>G39</f>
        <v>Suitably Dimensioned</v>
      </c>
    </row>
    <row r="14" spans="1:24" ht="18" customHeight="1">
      <c r="A14" s="184"/>
      <c r="V14" s="185"/>
    </row>
    <row r="15" spans="1:24" ht="18" customHeight="1">
      <c r="A15" s="184"/>
      <c r="V15" s="185"/>
    </row>
    <row r="16" spans="1:24" ht="18" customHeight="1">
      <c r="A16" s="184"/>
      <c r="C16" s="135" t="s">
        <v>405</v>
      </c>
      <c r="D16" s="273"/>
      <c r="E16" s="498" t="s">
        <v>800</v>
      </c>
      <c r="F16" s="227"/>
      <c r="G16" s="227"/>
      <c r="H16" s="227"/>
      <c r="I16" s="138"/>
      <c r="J16" s="260" t="s">
        <v>127</v>
      </c>
      <c r="K16" s="1108">
        <f>'CT-VT Burdens'!S142*10</f>
        <v>27</v>
      </c>
      <c r="L16" s="788"/>
      <c r="M16" s="3" t="s">
        <v>157</v>
      </c>
      <c r="V16" s="185"/>
    </row>
    <row r="17" spans="1:22" ht="18" customHeight="1">
      <c r="A17" s="184"/>
      <c r="C17" s="96" t="s">
        <v>405</v>
      </c>
      <c r="D17" s="14"/>
      <c r="E17" s="296"/>
      <c r="F17" s="14"/>
      <c r="H17" s="199"/>
      <c r="I17" s="27"/>
      <c r="J17" s="101" t="s">
        <v>127</v>
      </c>
      <c r="K17" s="1108"/>
      <c r="L17" s="788"/>
      <c r="M17" s="202" t="s">
        <v>157</v>
      </c>
      <c r="V17" s="185"/>
    </row>
    <row r="18" spans="1:22" ht="18" customHeight="1">
      <c r="A18" s="184"/>
      <c r="C18" s="96" t="s">
        <v>405</v>
      </c>
      <c r="D18" s="14"/>
      <c r="E18" s="296"/>
      <c r="F18" s="14"/>
      <c r="H18" s="199"/>
      <c r="I18" s="27"/>
      <c r="J18" s="101" t="s">
        <v>127</v>
      </c>
      <c r="K18" s="1108"/>
      <c r="L18" s="788"/>
      <c r="M18" s="202" t="s">
        <v>157</v>
      </c>
      <c r="V18" s="185"/>
    </row>
    <row r="19" spans="1:22" ht="18" customHeight="1">
      <c r="A19" s="184"/>
      <c r="C19" s="96" t="s">
        <v>405</v>
      </c>
      <c r="D19" s="14"/>
      <c r="E19" s="47"/>
      <c r="F19" s="14"/>
      <c r="H19" s="199"/>
      <c r="I19" s="27"/>
      <c r="J19" s="101" t="s">
        <v>127</v>
      </c>
      <c r="K19" s="1108"/>
      <c r="L19" s="788"/>
      <c r="M19" s="202" t="s">
        <v>157</v>
      </c>
      <c r="V19" s="185"/>
    </row>
    <row r="20" spans="1:22" ht="18" customHeight="1">
      <c r="A20" s="184"/>
      <c r="B20" s="117"/>
      <c r="C20" s="96" t="s">
        <v>405</v>
      </c>
      <c r="D20" s="14"/>
      <c r="E20" s="47"/>
      <c r="F20" s="14"/>
      <c r="H20" s="199"/>
      <c r="I20" s="27"/>
      <c r="J20" s="101" t="s">
        <v>127</v>
      </c>
      <c r="K20" s="1108"/>
      <c r="L20" s="788"/>
      <c r="M20" s="202" t="s">
        <v>157</v>
      </c>
      <c r="N20" s="14"/>
      <c r="O20" s="14"/>
      <c r="P20" s="28"/>
      <c r="Q20" s="199"/>
      <c r="R20" s="14"/>
      <c r="S20" s="14"/>
      <c r="T20" s="14"/>
      <c r="U20" s="14"/>
      <c r="V20" s="185"/>
    </row>
    <row r="21" spans="1:22" ht="18" customHeight="1">
      <c r="A21" s="184"/>
      <c r="C21" s="96" t="s">
        <v>781</v>
      </c>
      <c r="D21" s="14"/>
      <c r="E21" s="47"/>
      <c r="F21" s="14"/>
      <c r="H21" s="199"/>
      <c r="I21" s="27"/>
      <c r="J21" s="101" t="s">
        <v>127</v>
      </c>
      <c r="K21" s="696">
        <f>SUM(K16:L20)</f>
        <v>27</v>
      </c>
      <c r="L21" s="820"/>
      <c r="M21" s="202" t="s">
        <v>157</v>
      </c>
      <c r="R21" s="14"/>
      <c r="S21" s="14"/>
      <c r="T21" s="14"/>
      <c r="U21" s="281"/>
      <c r="V21" s="185"/>
    </row>
    <row r="22" spans="1:22" ht="18" customHeight="1">
      <c r="A22" s="184"/>
      <c r="C22" s="184" t="s">
        <v>412</v>
      </c>
      <c r="D22" s="14"/>
      <c r="E22" s="14"/>
      <c r="F22" s="14"/>
      <c r="I22" s="27"/>
      <c r="J22" s="101" t="s">
        <v>127</v>
      </c>
      <c r="K22" s="1349">
        <f>'CT-VT Burdens'!S69*10</f>
        <v>25.889401199999998</v>
      </c>
      <c r="L22" s="1350"/>
      <c r="M22" s="297" t="s">
        <v>157</v>
      </c>
      <c r="R22" s="14"/>
      <c r="S22" s="14"/>
      <c r="T22" s="14"/>
      <c r="U22" s="281"/>
      <c r="V22" s="185"/>
    </row>
    <row r="23" spans="1:22" ht="18" customHeight="1">
      <c r="A23" s="184"/>
      <c r="C23" s="1" t="s">
        <v>413</v>
      </c>
      <c r="D23" s="2"/>
      <c r="E23" s="2"/>
      <c r="F23" s="2"/>
      <c r="G23" s="196"/>
      <c r="H23" s="196"/>
      <c r="I23" s="224" t="s">
        <v>512</v>
      </c>
      <c r="J23" s="183" t="s">
        <v>127</v>
      </c>
      <c r="K23" s="1349">
        <f>K21+K22</f>
        <v>52.889401199999995</v>
      </c>
      <c r="L23" s="1350"/>
      <c r="M23" s="3" t="s">
        <v>157</v>
      </c>
      <c r="R23" s="14"/>
      <c r="S23" s="14"/>
      <c r="T23" s="14"/>
      <c r="U23" s="281"/>
      <c r="V23" s="185"/>
    </row>
    <row r="24" spans="1:22" ht="18" customHeight="1">
      <c r="A24" s="96"/>
      <c r="B24" s="14"/>
      <c r="C24" s="120"/>
      <c r="D24" s="47"/>
      <c r="E24" s="47"/>
      <c r="F24" s="47"/>
      <c r="G24" s="47"/>
      <c r="H24" s="47"/>
      <c r="I24" s="47"/>
      <c r="J24" s="14"/>
      <c r="K24" s="28"/>
      <c r="L24" s="14"/>
      <c r="M24" s="14"/>
      <c r="N24" s="218"/>
      <c r="O24" s="218"/>
      <c r="P24" s="14"/>
      <c r="R24" s="14"/>
      <c r="S24" s="14"/>
      <c r="T24" s="14"/>
      <c r="U24" s="14"/>
      <c r="V24" s="185"/>
    </row>
    <row r="25" spans="1:22" ht="18" customHeight="1">
      <c r="A25" s="184"/>
      <c r="P25" s="466"/>
      <c r="R25" s="14"/>
      <c r="S25" s="14"/>
      <c r="T25" s="14"/>
      <c r="U25" s="186"/>
      <c r="V25" s="185"/>
    </row>
    <row r="26" spans="1:22" ht="18" customHeight="1">
      <c r="A26" s="184"/>
      <c r="B26" s="116" t="s">
        <v>782</v>
      </c>
      <c r="V26" s="185"/>
    </row>
    <row r="27" spans="1:22" ht="18" customHeight="1">
      <c r="A27" s="184"/>
      <c r="V27" s="185"/>
    </row>
    <row r="28" spans="1:22" ht="18" customHeight="1">
      <c r="A28" s="184"/>
      <c r="B28" s="14" t="s">
        <v>783</v>
      </c>
      <c r="C28" s="14"/>
      <c r="D28" s="120"/>
      <c r="J28" s="28" t="s">
        <v>127</v>
      </c>
      <c r="K28" s="47" t="s">
        <v>781</v>
      </c>
      <c r="M28" s="47"/>
      <c r="N28" s="47"/>
      <c r="P28" s="102" t="s">
        <v>342</v>
      </c>
      <c r="Q28" s="30" t="s">
        <v>784</v>
      </c>
      <c r="R28" s="14"/>
      <c r="V28" s="185"/>
    </row>
    <row r="29" spans="1:22" ht="18" customHeight="1">
      <c r="A29" s="184"/>
      <c r="B29" s="14"/>
      <c r="C29" s="14"/>
      <c r="D29" s="120"/>
      <c r="J29" s="28" t="s">
        <v>127</v>
      </c>
      <c r="K29" s="692">
        <f>K21</f>
        <v>27</v>
      </c>
      <c r="L29" s="689"/>
      <c r="M29" s="102" t="s">
        <v>342</v>
      </c>
      <c r="N29" s="692">
        <f>K11/SQRT(3)*1000</f>
        <v>63.508529610858844</v>
      </c>
      <c r="O29" s="689"/>
      <c r="V29" s="185"/>
    </row>
    <row r="30" spans="1:22" ht="18" customHeight="1">
      <c r="A30" s="184"/>
      <c r="B30" s="14"/>
      <c r="C30" s="14"/>
      <c r="D30" s="120"/>
      <c r="J30" s="28" t="s">
        <v>127</v>
      </c>
      <c r="K30" s="688">
        <f>K29/N29</f>
        <v>0.42513974367599711</v>
      </c>
      <c r="L30" s="688"/>
      <c r="M30" s="47" t="s">
        <v>8</v>
      </c>
      <c r="N30" s="47"/>
      <c r="O30" s="14"/>
      <c r="P30" s="28"/>
      <c r="Q30" s="14"/>
      <c r="R30" s="14"/>
      <c r="V30" s="185"/>
    </row>
    <row r="31" spans="1:22" ht="18" customHeight="1">
      <c r="A31" s="184"/>
      <c r="V31" s="185"/>
    </row>
    <row r="32" spans="1:22" ht="18" customHeight="1">
      <c r="A32" s="184"/>
      <c r="B32" s="14" t="s">
        <v>785</v>
      </c>
      <c r="C32" s="14"/>
      <c r="D32" s="14"/>
      <c r="E32" s="14"/>
      <c r="F32" s="14"/>
      <c r="G32" s="14"/>
      <c r="H32" s="14"/>
      <c r="I32" s="47"/>
      <c r="J32" s="28" t="s">
        <v>127</v>
      </c>
      <c r="K32" s="689" t="s">
        <v>786</v>
      </c>
      <c r="L32" s="689"/>
      <c r="M32" s="28" t="s">
        <v>315</v>
      </c>
      <c r="N32" s="47" t="s">
        <v>787</v>
      </c>
      <c r="O32" s="14"/>
      <c r="P32" s="28"/>
      <c r="V32" s="185"/>
    </row>
    <row r="33" spans="1:22" ht="18" customHeight="1">
      <c r="A33" s="184"/>
      <c r="J33" s="28" t="s">
        <v>127</v>
      </c>
      <c r="K33" s="684">
        <f>K30*K30</f>
        <v>0.18074380165289253</v>
      </c>
      <c r="L33" s="684"/>
      <c r="M33" s="28" t="s">
        <v>315</v>
      </c>
      <c r="N33" s="795">
        <f>'CT-VT Burdens'!S69</f>
        <v>2.5889401199999997</v>
      </c>
      <c r="O33" s="795"/>
      <c r="V33" s="185"/>
    </row>
    <row r="34" spans="1:22" ht="18" customHeight="1">
      <c r="A34" s="184"/>
      <c r="J34" s="28" t="s">
        <v>127</v>
      </c>
      <c r="K34" s="1145">
        <f>K33*N33</f>
        <v>0.46793487954049573</v>
      </c>
      <c r="L34" s="1145"/>
      <c r="M34" s="30" t="s">
        <v>157</v>
      </c>
      <c r="V34" s="185"/>
    </row>
    <row r="35" spans="1:22" ht="18" customHeight="1">
      <c r="A35" s="184"/>
      <c r="V35" s="185"/>
    </row>
    <row r="36" spans="1:22" ht="18" customHeight="1">
      <c r="A36" s="184"/>
      <c r="B36" s="14" t="s">
        <v>788</v>
      </c>
      <c r="C36" s="14"/>
      <c r="D36" s="14"/>
      <c r="E36" s="28"/>
      <c r="F36" s="14"/>
      <c r="G36" s="14"/>
      <c r="H36" s="102"/>
      <c r="I36" s="47"/>
      <c r="J36" s="47"/>
      <c r="K36" s="14"/>
      <c r="V36" s="185"/>
    </row>
    <row r="37" spans="1:22" ht="18" customHeight="1">
      <c r="A37" s="184"/>
      <c r="B37" s="14"/>
      <c r="C37" s="14"/>
      <c r="D37" s="257"/>
      <c r="E37" s="120" t="s">
        <v>789</v>
      </c>
      <c r="F37" s="27" t="str">
        <f>IF(D38&gt;=G38,"&gt;","&lt;")</f>
        <v>&gt;</v>
      </c>
      <c r="G37" s="281" t="s">
        <v>119</v>
      </c>
      <c r="H37" s="218"/>
      <c r="J37" s="28"/>
      <c r="K37" s="218"/>
      <c r="V37" s="185"/>
    </row>
    <row r="38" spans="1:22" ht="18" customHeight="1">
      <c r="A38" s="184"/>
      <c r="D38" s="684">
        <f>H13</f>
        <v>100</v>
      </c>
      <c r="E38" s="684"/>
      <c r="F38" s="27" t="str">
        <f>F37</f>
        <v>&gt;</v>
      </c>
      <c r="G38" s="1145">
        <f>K23</f>
        <v>52.889401199999995</v>
      </c>
      <c r="H38" s="684"/>
      <c r="I38" s="14"/>
      <c r="J38" s="257"/>
      <c r="V38" s="185"/>
    </row>
    <row r="39" spans="1:22" ht="18" customHeight="1">
      <c r="A39" s="184"/>
      <c r="D39" s="199"/>
      <c r="E39" s="244" t="s">
        <v>790</v>
      </c>
      <c r="F39" s="27"/>
      <c r="G39" s="18" t="str">
        <f>IF(F37="&gt;","Suitably Dimensioned","Under Dimensioned")</f>
        <v>Suitably Dimensioned</v>
      </c>
      <c r="H39" s="27"/>
      <c r="I39" s="120"/>
      <c r="J39" s="27"/>
      <c r="K39" s="120"/>
      <c r="V39" s="185"/>
    </row>
    <row r="40" spans="1:22" ht="18" customHeight="1">
      <c r="A40" s="184"/>
      <c r="V40" s="185"/>
    </row>
    <row r="41" spans="1:22" ht="18" customHeight="1">
      <c r="A41" s="184"/>
      <c r="V41" s="185"/>
    </row>
    <row r="42" spans="1:22" ht="18" customHeight="1">
      <c r="A42" s="184"/>
      <c r="V42" s="185"/>
    </row>
    <row r="43" spans="1:22" ht="18" customHeight="1">
      <c r="A43" s="184"/>
      <c r="V43" s="185"/>
    </row>
    <row r="44" spans="1:22" ht="18" customHeight="1">
      <c r="A44" s="184"/>
      <c r="V44" s="185"/>
    </row>
    <row r="45" spans="1:22" ht="18" customHeight="1">
      <c r="A45" s="184"/>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1351"/>
      <c r="T46" s="1352"/>
      <c r="U46" s="195"/>
      <c r="V46" s="134"/>
    </row>
    <row r="47" spans="1:22"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2" ht="18" customHeight="1">
      <c r="A48" s="184"/>
      <c r="B48" s="781" t="str">
        <f>B7</f>
        <v>T15/T25</v>
      </c>
      <c r="C48" s="782"/>
      <c r="D48" s="1099" t="s">
        <v>506</v>
      </c>
      <c r="E48" s="1100"/>
      <c r="V48" s="185"/>
    </row>
    <row r="49" spans="1:23" ht="18" customHeight="1">
      <c r="A49" s="184"/>
      <c r="B49" s="781" t="str">
        <f>B8</f>
        <v>T16/T26</v>
      </c>
      <c r="C49" s="782"/>
      <c r="D49" s="1359"/>
      <c r="E49" s="1360"/>
      <c r="V49" s="185"/>
    </row>
    <row r="50" spans="1:23" ht="18" customHeight="1">
      <c r="A50" s="184"/>
      <c r="B50" s="781" t="str">
        <f>B9</f>
        <v>T17/T27</v>
      </c>
      <c r="C50" s="782"/>
      <c r="D50" s="1097"/>
      <c r="E50" s="1098"/>
      <c r="V50" s="185"/>
    </row>
    <row r="51" spans="1:23" ht="18" customHeight="1">
      <c r="A51" s="184"/>
      <c r="V51" s="185"/>
    </row>
    <row r="52" spans="1:23" ht="18" customHeight="1">
      <c r="A52" s="184"/>
      <c r="B52" s="30" t="s">
        <v>774</v>
      </c>
      <c r="H52" s="188">
        <v>33</v>
      </c>
      <c r="I52" s="189" t="s">
        <v>775</v>
      </c>
      <c r="J52" s="191" t="s">
        <v>342</v>
      </c>
      <c r="K52" s="122">
        <v>0.11</v>
      </c>
      <c r="L52" s="189" t="s">
        <v>775</v>
      </c>
      <c r="M52" s="30" t="s">
        <v>163</v>
      </c>
      <c r="V52" s="185"/>
    </row>
    <row r="53" spans="1:23" ht="18" customHeight="1">
      <c r="A53" s="184"/>
      <c r="B53" s="30" t="s">
        <v>776</v>
      </c>
      <c r="H53" s="781" t="s">
        <v>777</v>
      </c>
      <c r="I53" s="782"/>
      <c r="V53" s="185"/>
    </row>
    <row r="54" spans="1:23" ht="18" customHeight="1">
      <c r="A54" s="184"/>
      <c r="B54" s="30" t="s">
        <v>562</v>
      </c>
      <c r="H54" s="781">
        <v>100</v>
      </c>
      <c r="I54" s="782"/>
      <c r="J54" s="30" t="s">
        <v>157</v>
      </c>
      <c r="V54" s="185"/>
      <c r="W54" s="30" t="str">
        <f>G80</f>
        <v>Suitably Dimensioned</v>
      </c>
    </row>
    <row r="55" spans="1:23" ht="18" customHeight="1">
      <c r="A55" s="184"/>
      <c r="V55" s="185"/>
    </row>
    <row r="56" spans="1:23" ht="18" customHeight="1">
      <c r="A56" s="184"/>
      <c r="V56" s="185"/>
    </row>
    <row r="57" spans="1:23" ht="18" customHeight="1">
      <c r="A57" s="184"/>
      <c r="C57" s="135" t="s">
        <v>405</v>
      </c>
      <c r="D57" s="273"/>
      <c r="E57" s="498" t="s">
        <v>801</v>
      </c>
      <c r="F57" s="227"/>
      <c r="G57" s="227"/>
      <c r="H57" s="227"/>
      <c r="I57" s="138"/>
      <c r="J57" s="260" t="s">
        <v>127</v>
      </c>
      <c r="K57" s="1108">
        <f>'CT-VT Burdens'!S142*10</f>
        <v>27</v>
      </c>
      <c r="L57" s="788"/>
      <c r="M57" s="3" t="s">
        <v>157</v>
      </c>
      <c r="V57" s="185"/>
    </row>
    <row r="58" spans="1:23" ht="18" customHeight="1">
      <c r="A58" s="184"/>
      <c r="C58" s="96" t="s">
        <v>405</v>
      </c>
      <c r="D58" s="14"/>
      <c r="E58" s="296" t="s">
        <v>260</v>
      </c>
      <c r="F58" s="14"/>
      <c r="H58" s="199"/>
      <c r="I58" s="27"/>
      <c r="J58" s="101" t="s">
        <v>127</v>
      </c>
      <c r="K58" s="1108">
        <f>'CT-VT Burdens'!S157</f>
        <v>3.75</v>
      </c>
      <c r="L58" s="788"/>
      <c r="M58" s="202" t="s">
        <v>157</v>
      </c>
      <c r="V58" s="185"/>
    </row>
    <row r="59" spans="1:23" ht="18" customHeight="1">
      <c r="A59" s="184"/>
      <c r="C59" s="96" t="s">
        <v>405</v>
      </c>
      <c r="D59" s="14"/>
      <c r="E59" s="296" t="s">
        <v>802</v>
      </c>
      <c r="F59" s="14"/>
      <c r="H59" s="199"/>
      <c r="I59" s="27"/>
      <c r="J59" s="101" t="s">
        <v>127</v>
      </c>
      <c r="K59" s="1108">
        <f>'CT-VT Burdens'!S133</f>
        <v>0.1</v>
      </c>
      <c r="L59" s="788"/>
      <c r="M59" s="202" t="s">
        <v>157</v>
      </c>
      <c r="V59" s="185"/>
    </row>
    <row r="60" spans="1:23" ht="18" customHeight="1">
      <c r="A60" s="184"/>
      <c r="C60" s="96" t="s">
        <v>405</v>
      </c>
      <c r="D60" s="14"/>
      <c r="E60" s="296" t="s">
        <v>803</v>
      </c>
      <c r="F60" s="14"/>
      <c r="H60" s="199"/>
      <c r="I60" s="27"/>
      <c r="J60" s="101" t="s">
        <v>127</v>
      </c>
      <c r="K60" s="1108">
        <f>'CT-VT Burdens'!S104</f>
        <v>0.02</v>
      </c>
      <c r="L60" s="788"/>
      <c r="M60" s="202" t="s">
        <v>157</v>
      </c>
      <c r="V60" s="185"/>
    </row>
    <row r="61" spans="1:23" ht="18" customHeight="1">
      <c r="A61" s="184"/>
      <c r="B61" s="117"/>
      <c r="C61" s="96" t="s">
        <v>405</v>
      </c>
      <c r="D61" s="14"/>
      <c r="E61" s="47"/>
      <c r="F61" s="14"/>
      <c r="H61" s="199"/>
      <c r="I61" s="27"/>
      <c r="J61" s="101" t="s">
        <v>127</v>
      </c>
      <c r="K61" s="1108"/>
      <c r="L61" s="788"/>
      <c r="M61" s="202" t="s">
        <v>157</v>
      </c>
      <c r="N61" s="14"/>
      <c r="O61" s="14"/>
      <c r="P61" s="28"/>
      <c r="Q61" s="199"/>
      <c r="R61" s="14"/>
      <c r="S61" s="14"/>
      <c r="T61" s="14"/>
      <c r="U61" s="14"/>
      <c r="V61" s="185"/>
    </row>
    <row r="62" spans="1:23" ht="18" customHeight="1">
      <c r="A62" s="184"/>
      <c r="C62" s="96" t="s">
        <v>781</v>
      </c>
      <c r="D62" s="14"/>
      <c r="E62" s="47"/>
      <c r="F62" s="14"/>
      <c r="H62" s="199"/>
      <c r="I62" s="27"/>
      <c r="J62" s="101" t="s">
        <v>127</v>
      </c>
      <c r="K62" s="696">
        <f>SUM(K57:L61)</f>
        <v>30.87</v>
      </c>
      <c r="L62" s="820"/>
      <c r="M62" s="202" t="s">
        <v>157</v>
      </c>
      <c r="R62" s="14"/>
      <c r="S62" s="14"/>
      <c r="T62" s="14"/>
      <c r="U62" s="281"/>
      <c r="V62" s="185"/>
    </row>
    <row r="63" spans="1:23" ht="18" customHeight="1">
      <c r="A63" s="184"/>
      <c r="C63" s="184" t="s">
        <v>412</v>
      </c>
      <c r="D63" s="14"/>
      <c r="E63" s="14"/>
      <c r="F63" s="14"/>
      <c r="I63" s="27"/>
      <c r="J63" s="101" t="s">
        <v>127</v>
      </c>
      <c r="K63" s="1349">
        <f>'CT-VT Burdens'!S69*10</f>
        <v>25.889401199999998</v>
      </c>
      <c r="L63" s="1350"/>
      <c r="M63" s="297" t="s">
        <v>157</v>
      </c>
      <c r="R63" s="14"/>
      <c r="S63" s="14"/>
      <c r="T63" s="14"/>
      <c r="U63" s="281"/>
      <c r="V63" s="185"/>
    </row>
    <row r="64" spans="1:23" ht="18" customHeight="1">
      <c r="A64" s="184"/>
      <c r="C64" s="1" t="s">
        <v>413</v>
      </c>
      <c r="D64" s="2"/>
      <c r="E64" s="2"/>
      <c r="F64" s="2"/>
      <c r="G64" s="196"/>
      <c r="H64" s="196"/>
      <c r="I64" s="224" t="s">
        <v>512</v>
      </c>
      <c r="J64" s="183" t="s">
        <v>127</v>
      </c>
      <c r="K64" s="1349">
        <f>K62+K63</f>
        <v>56.759401199999999</v>
      </c>
      <c r="L64" s="1350"/>
      <c r="M64" s="3" t="s">
        <v>157</v>
      </c>
      <c r="R64" s="14"/>
      <c r="S64" s="14"/>
      <c r="T64" s="14"/>
      <c r="U64" s="281"/>
      <c r="V64" s="185"/>
    </row>
    <row r="65" spans="1:22" ht="18" customHeight="1">
      <c r="A65" s="96"/>
      <c r="B65" s="14"/>
      <c r="C65" s="120"/>
      <c r="D65" s="47"/>
      <c r="E65" s="47"/>
      <c r="F65" s="47"/>
      <c r="G65" s="47"/>
      <c r="H65" s="47"/>
      <c r="I65" s="47"/>
      <c r="J65" s="14"/>
      <c r="K65" s="28"/>
      <c r="L65" s="14"/>
      <c r="M65" s="14"/>
      <c r="N65" s="218"/>
      <c r="O65" s="218"/>
      <c r="P65" s="14"/>
      <c r="R65" s="14"/>
      <c r="S65" s="14"/>
      <c r="T65" s="14"/>
      <c r="U65" s="14"/>
      <c r="V65" s="185"/>
    </row>
    <row r="66" spans="1:22" ht="18" customHeight="1">
      <c r="A66" s="184"/>
      <c r="P66" s="466"/>
      <c r="R66" s="14"/>
      <c r="S66" s="14"/>
      <c r="T66" s="14"/>
      <c r="U66" s="186"/>
      <c r="V66" s="185"/>
    </row>
    <row r="67" spans="1:22" ht="18" customHeight="1">
      <c r="A67" s="184"/>
      <c r="B67" s="117" t="s">
        <v>782</v>
      </c>
      <c r="V67" s="185"/>
    </row>
    <row r="68" spans="1:22" ht="18" customHeight="1">
      <c r="A68" s="184"/>
      <c r="V68" s="185"/>
    </row>
    <row r="69" spans="1:22" ht="18" customHeight="1">
      <c r="A69" s="184"/>
      <c r="B69" s="14" t="s">
        <v>783</v>
      </c>
      <c r="C69" s="14"/>
      <c r="D69" s="120"/>
      <c r="J69" s="28" t="s">
        <v>127</v>
      </c>
      <c r="K69" s="47" t="s">
        <v>781</v>
      </c>
      <c r="M69" s="47"/>
      <c r="N69" s="47"/>
      <c r="P69" s="102" t="s">
        <v>342</v>
      </c>
      <c r="Q69" s="30" t="s">
        <v>784</v>
      </c>
      <c r="R69" s="14"/>
      <c r="V69" s="185"/>
    </row>
    <row r="70" spans="1:22" ht="18" customHeight="1">
      <c r="A70" s="184"/>
      <c r="B70" s="14"/>
      <c r="C70" s="14"/>
      <c r="D70" s="120"/>
      <c r="J70" s="28" t="s">
        <v>127</v>
      </c>
      <c r="K70" s="692">
        <f>K62</f>
        <v>30.87</v>
      </c>
      <c r="L70" s="689"/>
      <c r="M70" s="102" t="s">
        <v>342</v>
      </c>
      <c r="N70" s="692">
        <f>K52/SQRT(3)*1000</f>
        <v>63.508529610858844</v>
      </c>
      <c r="O70" s="689"/>
      <c r="V70" s="185"/>
    </row>
    <row r="71" spans="1:22" ht="18" customHeight="1">
      <c r="A71" s="184"/>
      <c r="B71" s="14"/>
      <c r="C71" s="14"/>
      <c r="D71" s="120"/>
      <c r="J71" s="28" t="s">
        <v>127</v>
      </c>
      <c r="K71" s="688">
        <f>K70/N70</f>
        <v>0.48607644026955671</v>
      </c>
      <c r="L71" s="688"/>
      <c r="M71" s="47" t="s">
        <v>8</v>
      </c>
      <c r="N71" s="47"/>
      <c r="O71" s="14"/>
      <c r="P71" s="28"/>
      <c r="Q71" s="14"/>
      <c r="R71" s="14"/>
      <c r="V71" s="185"/>
    </row>
    <row r="72" spans="1:22" ht="18" customHeight="1">
      <c r="A72" s="184"/>
      <c r="V72" s="185"/>
    </row>
    <row r="73" spans="1:22" ht="18" customHeight="1">
      <c r="A73" s="184"/>
      <c r="B73" s="14" t="s">
        <v>785</v>
      </c>
      <c r="C73" s="14"/>
      <c r="D73" s="14"/>
      <c r="E73" s="14"/>
      <c r="F73" s="14"/>
      <c r="G73" s="14"/>
      <c r="H73" s="14"/>
      <c r="I73" s="47"/>
      <c r="J73" s="28" t="s">
        <v>127</v>
      </c>
      <c r="K73" s="689" t="s">
        <v>786</v>
      </c>
      <c r="L73" s="689"/>
      <c r="M73" s="28" t="s">
        <v>315</v>
      </c>
      <c r="N73" s="47" t="s">
        <v>787</v>
      </c>
      <c r="O73" s="14"/>
      <c r="P73" s="28"/>
      <c r="V73" s="185"/>
    </row>
    <row r="74" spans="1:22" ht="18" customHeight="1">
      <c r="A74" s="184"/>
      <c r="J74" s="28" t="s">
        <v>127</v>
      </c>
      <c r="K74" s="684">
        <f>K71*K71</f>
        <v>0.23627030578512392</v>
      </c>
      <c r="L74" s="684"/>
      <c r="M74" s="28" t="s">
        <v>315</v>
      </c>
      <c r="N74" s="795">
        <f>N33</f>
        <v>2.5889401199999997</v>
      </c>
      <c r="O74" s="795"/>
      <c r="V74" s="185"/>
    </row>
    <row r="75" spans="1:22" ht="18" customHeight="1">
      <c r="A75" s="184"/>
      <c r="J75" s="28" t="s">
        <v>127</v>
      </c>
      <c r="K75" s="1145">
        <f>K74*N74</f>
        <v>0.61168967381177541</v>
      </c>
      <c r="L75" s="1145"/>
      <c r="M75" s="30" t="s">
        <v>157</v>
      </c>
      <c r="V75" s="185"/>
    </row>
    <row r="76" spans="1:22" ht="18" customHeight="1">
      <c r="A76" s="184"/>
      <c r="V76" s="185"/>
    </row>
    <row r="77" spans="1:22" ht="18" customHeight="1">
      <c r="A77" s="184"/>
      <c r="B77" s="14" t="s">
        <v>788</v>
      </c>
      <c r="C77" s="14"/>
      <c r="D77" s="14"/>
      <c r="E77" s="28"/>
      <c r="F77" s="14"/>
      <c r="G77" s="14"/>
      <c r="H77" s="102"/>
      <c r="I77" s="47"/>
      <c r="J77" s="47"/>
      <c r="K77" s="14"/>
      <c r="V77" s="185"/>
    </row>
    <row r="78" spans="1:22" ht="18" customHeight="1">
      <c r="A78" s="184"/>
      <c r="B78" s="14"/>
      <c r="C78" s="14"/>
      <c r="D78" s="257"/>
      <c r="E78" s="120" t="s">
        <v>789</v>
      </c>
      <c r="F78" s="27" t="str">
        <f>IF(D79&gt;=G79,"&gt;","&lt;")</f>
        <v>&gt;</v>
      </c>
      <c r="G78" s="281" t="s">
        <v>119</v>
      </c>
      <c r="H78" s="218"/>
      <c r="J78" s="28"/>
      <c r="K78" s="218"/>
      <c r="V78" s="185"/>
    </row>
    <row r="79" spans="1:22" ht="18" customHeight="1">
      <c r="A79" s="184"/>
      <c r="D79" s="684">
        <f>H54</f>
        <v>100</v>
      </c>
      <c r="E79" s="684"/>
      <c r="F79" s="27" t="str">
        <f>F78</f>
        <v>&gt;</v>
      </c>
      <c r="G79" s="1145">
        <f>K64</f>
        <v>56.759401199999999</v>
      </c>
      <c r="H79" s="684"/>
      <c r="I79" s="14"/>
      <c r="J79" s="257"/>
      <c r="V79" s="185"/>
    </row>
    <row r="80" spans="1:22" ht="18" customHeight="1">
      <c r="A80" s="184"/>
      <c r="D80" s="199"/>
      <c r="E80" s="244" t="s">
        <v>790</v>
      </c>
      <c r="F80" s="27"/>
      <c r="G80" s="18" t="str">
        <f>IF(F78="&gt;","Suitably Dimensioned","Under Dimensioned")</f>
        <v>Suitably Dimensioned</v>
      </c>
      <c r="H80" s="27"/>
      <c r="I80" s="120"/>
      <c r="J80" s="27"/>
      <c r="K80" s="120"/>
      <c r="V80" s="185"/>
    </row>
    <row r="81" spans="1:23" ht="18" customHeight="1">
      <c r="A81" s="184"/>
      <c r="D81" s="199"/>
      <c r="E81" s="244"/>
      <c r="F81" s="27"/>
      <c r="G81" s="18"/>
      <c r="H81" s="27"/>
      <c r="I81" s="120"/>
      <c r="J81" s="27"/>
      <c r="K81" s="120"/>
      <c r="V81" s="185"/>
    </row>
    <row r="82" spans="1:23" ht="18" customHeight="1">
      <c r="A82" s="184"/>
      <c r="D82" s="199"/>
      <c r="E82" s="244"/>
      <c r="F82" s="27"/>
      <c r="G82" s="18"/>
      <c r="H82" s="27"/>
      <c r="I82" s="120"/>
      <c r="J82" s="27"/>
      <c r="K82" s="120"/>
      <c r="V82" s="185"/>
    </row>
    <row r="83" spans="1:23" ht="18" customHeight="1">
      <c r="A83" s="184"/>
      <c r="D83" s="199"/>
      <c r="E83" s="244"/>
      <c r="F83" s="27"/>
      <c r="G83" s="18"/>
      <c r="H83" s="27"/>
      <c r="I83" s="120"/>
      <c r="J83" s="27"/>
      <c r="K83" s="120"/>
      <c r="V83" s="185"/>
    </row>
    <row r="84" spans="1:23" ht="18" customHeight="1">
      <c r="A84" s="184"/>
      <c r="D84" s="199"/>
      <c r="E84" s="244"/>
      <c r="F84" s="27"/>
      <c r="G84" s="18"/>
      <c r="H84" s="27"/>
      <c r="I84" s="120"/>
      <c r="J84" s="27"/>
      <c r="K84" s="120"/>
      <c r="V84" s="185"/>
    </row>
    <row r="85" spans="1:23" ht="18.600000000000001" customHeight="1">
      <c r="A85" s="184"/>
      <c r="D85" s="199"/>
      <c r="E85" s="244"/>
      <c r="F85" s="27"/>
      <c r="G85" s="18"/>
      <c r="H85" s="27"/>
      <c r="I85" s="120"/>
      <c r="J85" s="27"/>
      <c r="K85" s="120"/>
      <c r="V85" s="185"/>
    </row>
    <row r="86" spans="1:23" ht="18" customHeight="1">
      <c r="A86" s="184"/>
      <c r="V86" s="185"/>
    </row>
    <row r="87" spans="1:23" s="14" customFormat="1" ht="18" customHeight="1">
      <c r="A87" s="194"/>
      <c r="B87" s="195"/>
      <c r="C87" s="195"/>
      <c r="D87" s="195"/>
      <c r="E87" s="195"/>
      <c r="F87" s="195"/>
      <c r="G87" s="195"/>
      <c r="H87" s="195"/>
      <c r="I87" s="195"/>
      <c r="J87" s="195"/>
      <c r="K87" s="195"/>
      <c r="L87" s="195"/>
      <c r="M87" s="195"/>
      <c r="N87" s="195"/>
      <c r="O87" s="195"/>
      <c r="P87" s="195"/>
      <c r="Q87" s="224"/>
      <c r="R87" s="182"/>
      <c r="S87" s="1351"/>
      <c r="T87" s="1352"/>
      <c r="U87" s="195"/>
      <c r="V87" s="134"/>
    </row>
    <row r="88" spans="1:23" ht="18"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customHeight="1">
      <c r="A89" s="184"/>
      <c r="B89" s="781" t="str">
        <f>B48</f>
        <v>T15/T25</v>
      </c>
      <c r="C89" s="782"/>
      <c r="D89" s="1099" t="s">
        <v>109</v>
      </c>
      <c r="E89" s="1100"/>
      <c r="V89" s="185"/>
    </row>
    <row r="90" spans="1:23" ht="18" customHeight="1">
      <c r="A90" s="184"/>
      <c r="B90" s="781" t="str">
        <f>B49</f>
        <v>T16/T26</v>
      </c>
      <c r="C90" s="782"/>
      <c r="D90" s="1359"/>
      <c r="E90" s="1360"/>
      <c r="V90" s="185"/>
    </row>
    <row r="91" spans="1:23" ht="18" customHeight="1">
      <c r="A91" s="184"/>
      <c r="B91" s="781" t="str">
        <f>B50</f>
        <v>T17/T27</v>
      </c>
      <c r="C91" s="782"/>
      <c r="D91" s="1097"/>
      <c r="E91" s="1098"/>
      <c r="V91" s="185"/>
    </row>
    <row r="92" spans="1:23" ht="18" customHeight="1">
      <c r="A92" s="184"/>
      <c r="V92" s="185"/>
    </row>
    <row r="93" spans="1:23" ht="18" customHeight="1">
      <c r="A93" s="184"/>
      <c r="V93" s="185"/>
    </row>
    <row r="94" spans="1:23" ht="18" customHeight="1">
      <c r="A94" s="184"/>
      <c r="B94" s="30" t="s">
        <v>774</v>
      </c>
      <c r="H94" s="188">
        <v>33</v>
      </c>
      <c r="I94" s="189" t="s">
        <v>775</v>
      </c>
      <c r="J94" s="191" t="s">
        <v>342</v>
      </c>
      <c r="K94" s="122">
        <v>0.11</v>
      </c>
      <c r="L94" s="189" t="s">
        <v>775</v>
      </c>
      <c r="M94" s="30" t="s">
        <v>163</v>
      </c>
      <c r="V94" s="185"/>
    </row>
    <row r="95" spans="1:23" ht="18" customHeight="1">
      <c r="A95" s="184"/>
      <c r="B95" s="30" t="s">
        <v>776</v>
      </c>
      <c r="H95" s="781" t="s">
        <v>777</v>
      </c>
      <c r="I95" s="782"/>
      <c r="V95" s="185"/>
    </row>
    <row r="96" spans="1:23" ht="18" customHeight="1">
      <c r="A96" s="184"/>
      <c r="B96" s="30" t="s">
        <v>562</v>
      </c>
      <c r="H96" s="781">
        <v>100</v>
      </c>
      <c r="I96" s="782"/>
      <c r="J96" s="30" t="s">
        <v>157</v>
      </c>
      <c r="V96" s="185"/>
      <c r="W96" s="30" t="str">
        <f>G122</f>
        <v>Suitably Dimensioned</v>
      </c>
    </row>
    <row r="97" spans="1:22" ht="18" customHeight="1">
      <c r="A97" s="184"/>
      <c r="V97" s="185"/>
    </row>
    <row r="98" spans="1:22" ht="18" customHeight="1">
      <c r="A98" s="184"/>
      <c r="V98" s="185"/>
    </row>
    <row r="99" spans="1:22" ht="18" customHeight="1">
      <c r="A99" s="184"/>
      <c r="C99" s="135" t="s">
        <v>405</v>
      </c>
      <c r="D99" s="273"/>
      <c r="E99" s="498" t="s">
        <v>232</v>
      </c>
      <c r="F99" s="227"/>
      <c r="G99" s="227"/>
      <c r="H99" s="227"/>
      <c r="I99" s="138"/>
      <c r="J99" s="260" t="s">
        <v>127</v>
      </c>
      <c r="K99" s="1108">
        <f>'CT-VT Burdens'!S133*12</f>
        <v>1.2000000000000002</v>
      </c>
      <c r="L99" s="788"/>
      <c r="M99" s="3" t="s">
        <v>157</v>
      </c>
      <c r="V99" s="185"/>
    </row>
    <row r="100" spans="1:22" ht="18" customHeight="1">
      <c r="A100" s="184"/>
      <c r="C100" s="96" t="s">
        <v>405</v>
      </c>
      <c r="D100" s="14"/>
      <c r="E100" s="296" t="s">
        <v>804</v>
      </c>
      <c r="F100" s="14"/>
      <c r="H100" s="199"/>
      <c r="I100" s="27"/>
      <c r="J100" s="101" t="s">
        <v>127</v>
      </c>
      <c r="K100" s="1108">
        <f>'CT-VT Burdens'!S149*2</f>
        <v>0.75600000000000001</v>
      </c>
      <c r="L100" s="788"/>
      <c r="M100" s="202" t="s">
        <v>157</v>
      </c>
      <c r="V100" s="185"/>
    </row>
    <row r="101" spans="1:22" ht="18" customHeight="1">
      <c r="A101" s="184"/>
      <c r="C101" s="96" t="s">
        <v>405</v>
      </c>
      <c r="D101" s="14"/>
      <c r="E101" s="296" t="s">
        <v>560</v>
      </c>
      <c r="F101" s="14"/>
      <c r="H101" s="199"/>
      <c r="I101" s="27"/>
      <c r="J101" s="101" t="s">
        <v>127</v>
      </c>
      <c r="K101" s="1108">
        <f>'CT-VT Burdens'!S132*16</f>
        <v>1.6</v>
      </c>
      <c r="L101" s="788"/>
      <c r="M101" s="202" t="s">
        <v>157</v>
      </c>
      <c r="V101" s="185"/>
    </row>
    <row r="102" spans="1:22" ht="18" customHeight="1">
      <c r="A102" s="184"/>
      <c r="C102" s="96" t="s">
        <v>405</v>
      </c>
      <c r="D102" s="14"/>
      <c r="E102" s="296" t="s">
        <v>805</v>
      </c>
      <c r="F102" s="14"/>
      <c r="H102" s="199"/>
      <c r="I102" s="27"/>
      <c r="J102" s="101" t="s">
        <v>127</v>
      </c>
      <c r="K102" s="1108">
        <f>'CT-VT Burdens'!S104*12</f>
        <v>0.24</v>
      </c>
      <c r="L102" s="788"/>
      <c r="M102" s="202" t="s">
        <v>157</v>
      </c>
      <c r="V102" s="185"/>
    </row>
    <row r="103" spans="1:22" ht="18" customHeight="1">
      <c r="A103" s="184"/>
      <c r="B103" s="117"/>
      <c r="C103" s="96" t="s">
        <v>405</v>
      </c>
      <c r="D103" s="14"/>
      <c r="E103" s="47"/>
      <c r="F103" s="14"/>
      <c r="H103" s="199"/>
      <c r="I103" s="27"/>
      <c r="J103" s="101" t="s">
        <v>127</v>
      </c>
      <c r="K103" s="1108"/>
      <c r="L103" s="788"/>
      <c r="M103" s="202" t="s">
        <v>157</v>
      </c>
      <c r="N103" s="14"/>
      <c r="O103" s="14"/>
      <c r="P103" s="28"/>
      <c r="Q103" s="199"/>
      <c r="R103" s="14"/>
      <c r="S103" s="14"/>
      <c r="T103" s="14"/>
      <c r="U103" s="14"/>
      <c r="V103" s="185"/>
    </row>
    <row r="104" spans="1:22" ht="18" customHeight="1">
      <c r="A104" s="184"/>
      <c r="C104" s="96" t="s">
        <v>781</v>
      </c>
      <c r="D104" s="14"/>
      <c r="E104" s="47"/>
      <c r="F104" s="14"/>
      <c r="H104" s="199"/>
      <c r="I104" s="27"/>
      <c r="J104" s="101" t="s">
        <v>127</v>
      </c>
      <c r="K104" s="696">
        <f>SUM(K99:L103)</f>
        <v>3.7960000000000003</v>
      </c>
      <c r="L104" s="820"/>
      <c r="M104" s="202" t="s">
        <v>157</v>
      </c>
      <c r="R104" s="14"/>
      <c r="S104" s="14"/>
      <c r="T104" s="14"/>
      <c r="U104" s="281"/>
      <c r="V104" s="185"/>
    </row>
    <row r="105" spans="1:22" ht="18" customHeight="1">
      <c r="A105" s="184"/>
      <c r="C105" s="184" t="s">
        <v>412</v>
      </c>
      <c r="D105" s="14"/>
      <c r="E105" s="14"/>
      <c r="F105" s="14"/>
      <c r="I105" s="27"/>
      <c r="J105" s="101" t="s">
        <v>127</v>
      </c>
      <c r="K105" s="1349">
        <f>'CT-VT Burdens'!S69*10</f>
        <v>25.889401199999998</v>
      </c>
      <c r="L105" s="1350"/>
      <c r="M105" s="297" t="s">
        <v>157</v>
      </c>
      <c r="R105" s="14"/>
      <c r="S105" s="14"/>
      <c r="T105" s="14"/>
      <c r="U105" s="281"/>
      <c r="V105" s="185"/>
    </row>
    <row r="106" spans="1:22" ht="18" customHeight="1">
      <c r="A106" s="184"/>
      <c r="C106" s="1" t="s">
        <v>413</v>
      </c>
      <c r="D106" s="2"/>
      <c r="E106" s="2"/>
      <c r="F106" s="2"/>
      <c r="G106" s="196"/>
      <c r="H106" s="196"/>
      <c r="I106" s="224" t="s">
        <v>512</v>
      </c>
      <c r="J106" s="183" t="s">
        <v>127</v>
      </c>
      <c r="K106" s="1349">
        <f>K104+K105</f>
        <v>29.685401199999998</v>
      </c>
      <c r="L106" s="1350"/>
      <c r="M106" s="3" t="s">
        <v>157</v>
      </c>
      <c r="R106" s="14"/>
      <c r="S106" s="14"/>
      <c r="T106" s="14"/>
      <c r="U106" s="281"/>
      <c r="V106" s="185"/>
    </row>
    <row r="107" spans="1:22" ht="18" customHeight="1">
      <c r="A107" s="96"/>
      <c r="B107" s="14"/>
      <c r="C107" s="120"/>
      <c r="D107" s="47"/>
      <c r="E107" s="47"/>
      <c r="F107" s="47"/>
      <c r="G107" s="47"/>
      <c r="H107" s="47"/>
      <c r="I107" s="47"/>
      <c r="J107" s="14"/>
      <c r="K107" s="28"/>
      <c r="L107" s="14"/>
      <c r="M107" s="14"/>
      <c r="N107" s="218"/>
      <c r="O107" s="218"/>
      <c r="P107" s="14"/>
      <c r="R107" s="14"/>
      <c r="S107" s="14"/>
      <c r="T107" s="14"/>
      <c r="U107" s="14"/>
      <c r="V107" s="185"/>
    </row>
    <row r="108" spans="1:22" ht="18" customHeight="1">
      <c r="A108" s="184"/>
      <c r="R108" s="14"/>
      <c r="S108" s="14"/>
      <c r="T108" s="14"/>
      <c r="U108" s="186"/>
      <c r="V108" s="185"/>
    </row>
    <row r="109" spans="1:22" ht="18" customHeight="1">
      <c r="A109" s="184"/>
      <c r="B109" s="117" t="s">
        <v>782</v>
      </c>
      <c r="V109" s="185"/>
    </row>
    <row r="110" spans="1:22" ht="18" customHeight="1">
      <c r="A110" s="184"/>
      <c r="V110" s="185"/>
    </row>
    <row r="111" spans="1:22" ht="18" customHeight="1">
      <c r="A111" s="184"/>
      <c r="B111" s="14" t="s">
        <v>783</v>
      </c>
      <c r="C111" s="14"/>
      <c r="D111" s="120"/>
      <c r="J111" s="28" t="s">
        <v>127</v>
      </c>
      <c r="K111" s="47" t="s">
        <v>781</v>
      </c>
      <c r="M111" s="47"/>
      <c r="N111" s="47"/>
      <c r="P111" s="102" t="s">
        <v>342</v>
      </c>
      <c r="Q111" s="30" t="s">
        <v>784</v>
      </c>
      <c r="R111" s="14"/>
      <c r="V111" s="185"/>
    </row>
    <row r="112" spans="1:22" ht="18" customHeight="1">
      <c r="A112" s="184"/>
      <c r="B112" s="14"/>
      <c r="C112" s="14"/>
      <c r="D112" s="120"/>
      <c r="J112" s="28" t="s">
        <v>127</v>
      </c>
      <c r="K112" s="692">
        <f>K104</f>
        <v>3.7960000000000003</v>
      </c>
      <c r="L112" s="689"/>
      <c r="M112" s="102" t="s">
        <v>342</v>
      </c>
      <c r="N112" s="692">
        <f>K94/SQRT(3)*1000</f>
        <v>63.508529610858844</v>
      </c>
      <c r="O112" s="689"/>
      <c r="V112" s="185"/>
    </row>
    <row r="113" spans="1:22" ht="18" customHeight="1">
      <c r="A113" s="184"/>
      <c r="B113" s="14"/>
      <c r="C113" s="14"/>
      <c r="D113" s="120"/>
      <c r="J113" s="28" t="s">
        <v>127</v>
      </c>
      <c r="K113" s="688">
        <f>K112/N112</f>
        <v>5.9771498777558704E-2</v>
      </c>
      <c r="L113" s="688"/>
      <c r="M113" s="47" t="s">
        <v>8</v>
      </c>
      <c r="N113" s="47"/>
      <c r="O113" s="14"/>
      <c r="P113" s="28"/>
      <c r="Q113" s="14"/>
      <c r="R113" s="14"/>
      <c r="V113" s="185"/>
    </row>
    <row r="114" spans="1:22" ht="18" customHeight="1">
      <c r="A114" s="184"/>
      <c r="V114" s="185"/>
    </row>
    <row r="115" spans="1:22" ht="18" customHeight="1">
      <c r="A115" s="184"/>
      <c r="B115" s="14" t="s">
        <v>785</v>
      </c>
      <c r="C115" s="14"/>
      <c r="D115" s="14"/>
      <c r="E115" s="14"/>
      <c r="F115" s="14"/>
      <c r="G115" s="14"/>
      <c r="H115" s="14"/>
      <c r="I115" s="47"/>
      <c r="J115" s="28" t="s">
        <v>127</v>
      </c>
      <c r="K115" s="689" t="s">
        <v>786</v>
      </c>
      <c r="L115" s="689"/>
      <c r="M115" s="28" t="s">
        <v>315</v>
      </c>
      <c r="N115" s="47" t="s">
        <v>787</v>
      </c>
      <c r="O115" s="14"/>
      <c r="P115" s="28"/>
      <c r="Q115" s="466"/>
      <c r="V115" s="185"/>
    </row>
    <row r="116" spans="1:22" ht="18" customHeight="1">
      <c r="A116" s="184"/>
      <c r="J116" s="28" t="s">
        <v>127</v>
      </c>
      <c r="K116" s="684">
        <f>K113*K113</f>
        <v>3.5726320661157015E-3</v>
      </c>
      <c r="L116" s="684"/>
      <c r="M116" s="28" t="s">
        <v>315</v>
      </c>
      <c r="N116" s="795">
        <f>N74</f>
        <v>2.5889401199999997</v>
      </c>
      <c r="O116" s="795"/>
      <c r="V116" s="185"/>
    </row>
    <row r="117" spans="1:22" ht="18" customHeight="1">
      <c r="A117" s="184"/>
      <c r="J117" s="28" t="s">
        <v>127</v>
      </c>
      <c r="K117" s="1145">
        <f>K116*N116</f>
        <v>9.2493304899654311E-3</v>
      </c>
      <c r="L117" s="1145"/>
      <c r="M117" s="30" t="s">
        <v>157</v>
      </c>
      <c r="V117" s="185"/>
    </row>
    <row r="118" spans="1:22" ht="18" customHeight="1">
      <c r="A118" s="184"/>
      <c r="V118" s="185"/>
    </row>
    <row r="119" spans="1:22" ht="18" customHeight="1">
      <c r="A119" s="184"/>
      <c r="B119" s="14" t="s">
        <v>788</v>
      </c>
      <c r="C119" s="14"/>
      <c r="D119" s="14"/>
      <c r="E119" s="28"/>
      <c r="F119" s="14"/>
      <c r="G119" s="14"/>
      <c r="H119" s="102"/>
      <c r="I119" s="47"/>
      <c r="J119" s="47"/>
      <c r="K119" s="14"/>
      <c r="V119" s="185"/>
    </row>
    <row r="120" spans="1:22" ht="18" customHeight="1">
      <c r="A120" s="184"/>
      <c r="B120" s="14"/>
      <c r="C120" s="14"/>
      <c r="D120" s="257"/>
      <c r="E120" s="120" t="s">
        <v>789</v>
      </c>
      <c r="F120" s="27" t="str">
        <f>IF(D121&gt;=G121,"&gt;","&lt;")</f>
        <v>&gt;</v>
      </c>
      <c r="G120" s="281" t="s">
        <v>119</v>
      </c>
      <c r="H120" s="218"/>
      <c r="J120" s="28"/>
      <c r="K120" s="218"/>
      <c r="V120" s="185"/>
    </row>
    <row r="121" spans="1:22" ht="18" customHeight="1">
      <c r="A121" s="184"/>
      <c r="D121" s="684">
        <f>H96</f>
        <v>100</v>
      </c>
      <c r="E121" s="684"/>
      <c r="F121" s="27" t="str">
        <f>F120</f>
        <v>&gt;</v>
      </c>
      <c r="G121" s="1145">
        <f>K106</f>
        <v>29.685401199999998</v>
      </c>
      <c r="H121" s="684"/>
      <c r="I121" s="14"/>
      <c r="J121" s="257"/>
      <c r="V121" s="185"/>
    </row>
    <row r="122" spans="1:22" ht="18" customHeight="1">
      <c r="A122" s="184"/>
      <c r="D122" s="199"/>
      <c r="E122" s="244" t="s">
        <v>790</v>
      </c>
      <c r="F122" s="27"/>
      <c r="G122" s="18" t="str">
        <f>IF(F120="&gt;","Suitably Dimensioned","Under Dimensioned")</f>
        <v>Suitably Dimensioned</v>
      </c>
      <c r="H122" s="27"/>
      <c r="I122" s="120"/>
      <c r="J122" s="27"/>
      <c r="K122" s="120"/>
      <c r="V122" s="185"/>
    </row>
    <row r="123" spans="1:22" ht="18" customHeight="1">
      <c r="A123" s="184"/>
      <c r="D123" s="199"/>
      <c r="E123" s="244"/>
      <c r="F123" s="27"/>
      <c r="G123" s="18"/>
      <c r="H123" s="27"/>
      <c r="I123" s="120"/>
      <c r="J123" s="27"/>
      <c r="K123" s="120"/>
      <c r="V123" s="185"/>
    </row>
    <row r="124" spans="1:22" ht="18" customHeight="1">
      <c r="A124" s="184"/>
      <c r="D124" s="199"/>
      <c r="E124" s="244"/>
      <c r="F124" s="27"/>
      <c r="G124" s="18"/>
      <c r="H124" s="27"/>
      <c r="I124" s="120"/>
      <c r="J124" s="27"/>
      <c r="K124" s="120"/>
      <c r="V124" s="185"/>
    </row>
    <row r="125" spans="1:22" ht="18" customHeight="1">
      <c r="A125" s="184"/>
      <c r="D125" s="199"/>
      <c r="E125" s="244"/>
      <c r="F125" s="27"/>
      <c r="G125" s="18"/>
      <c r="H125" s="27"/>
      <c r="I125" s="120"/>
      <c r="J125" s="27"/>
      <c r="K125" s="120"/>
      <c r="V125" s="185"/>
    </row>
    <row r="126" spans="1:22" ht="18" customHeight="1">
      <c r="A126" s="184"/>
      <c r="D126" s="199"/>
      <c r="E126" s="244"/>
      <c r="F126" s="27"/>
      <c r="G126" s="18"/>
      <c r="H126" s="27"/>
      <c r="I126" s="120"/>
      <c r="J126" s="27"/>
      <c r="K126" s="120"/>
      <c r="V126" s="185"/>
    </row>
    <row r="127" spans="1:22" ht="18" customHeight="1">
      <c r="A127" s="184"/>
      <c r="V127" s="185"/>
    </row>
    <row r="128" spans="1:22" s="14" customFormat="1" ht="18" customHeight="1">
      <c r="A128" s="194"/>
      <c r="B128" s="195"/>
      <c r="C128" s="195"/>
      <c r="D128" s="195"/>
      <c r="E128" s="195"/>
      <c r="F128" s="195"/>
      <c r="G128" s="195"/>
      <c r="H128" s="195"/>
      <c r="I128" s="195"/>
      <c r="J128" s="195"/>
      <c r="K128" s="195"/>
      <c r="L128" s="195"/>
      <c r="M128" s="195"/>
      <c r="N128" s="195"/>
      <c r="O128" s="195"/>
      <c r="P128" s="195"/>
      <c r="Q128" s="224"/>
      <c r="R128" s="182"/>
      <c r="S128" s="1351"/>
      <c r="T128" s="1352"/>
      <c r="U128" s="195"/>
      <c r="V128" s="134"/>
    </row>
    <row r="129" spans="1:22" s="14" customFormat="1" ht="18" customHeight="1">
      <c r="A129" s="135"/>
      <c r="B129" s="273"/>
      <c r="C129" s="273"/>
      <c r="D129" s="273"/>
      <c r="E129" s="273"/>
      <c r="F129" s="273"/>
      <c r="G129" s="273"/>
      <c r="H129" s="273"/>
      <c r="I129" s="273"/>
      <c r="J129" s="273"/>
      <c r="K129" s="273"/>
      <c r="L129" s="273"/>
      <c r="M129" s="273"/>
      <c r="N129" s="273"/>
      <c r="O129" s="273"/>
      <c r="P129" s="273"/>
      <c r="Q129" s="274"/>
      <c r="R129" s="138"/>
      <c r="S129" s="275"/>
      <c r="T129" s="273"/>
      <c r="U129" s="273"/>
      <c r="V129" s="276"/>
    </row>
    <row r="130" spans="1:22" ht="18" customHeight="1">
      <c r="A130" s="96" t="s">
        <v>806</v>
      </c>
      <c r="V130" s="185"/>
    </row>
    <row r="131" spans="1:22" ht="18" customHeight="1">
      <c r="A131" s="853" t="s">
        <v>115</v>
      </c>
      <c r="B131" s="853"/>
      <c r="C131" s="853"/>
      <c r="D131" s="853"/>
      <c r="E131" s="853" t="s">
        <v>116</v>
      </c>
      <c r="F131" s="853"/>
      <c r="G131" s="853"/>
      <c r="H131" s="853"/>
      <c r="I131" s="853"/>
      <c r="J131" s="868" t="s">
        <v>117</v>
      </c>
      <c r="K131" s="868"/>
      <c r="L131" s="868" t="s">
        <v>88</v>
      </c>
      <c r="M131" s="868"/>
      <c r="N131" s="868" t="s">
        <v>100</v>
      </c>
      <c r="O131" s="868"/>
      <c r="P131" s="868"/>
      <c r="Q131" s="853" t="s">
        <v>794</v>
      </c>
      <c r="R131" s="853"/>
      <c r="S131" s="853"/>
      <c r="T131" s="853"/>
      <c r="U131" s="853"/>
      <c r="V131" s="853"/>
    </row>
    <row r="132" spans="1:22" ht="18" customHeight="1">
      <c r="A132" s="853"/>
      <c r="B132" s="853"/>
      <c r="C132" s="853"/>
      <c r="D132" s="853"/>
      <c r="E132" s="853"/>
      <c r="F132" s="853"/>
      <c r="G132" s="853"/>
      <c r="H132" s="853"/>
      <c r="I132" s="853"/>
      <c r="J132" s="868"/>
      <c r="K132" s="868"/>
      <c r="L132" s="868"/>
      <c r="M132" s="868"/>
      <c r="N132" s="868"/>
      <c r="O132" s="868"/>
      <c r="P132" s="868"/>
      <c r="Q132" s="853"/>
      <c r="R132" s="853"/>
      <c r="S132" s="853"/>
      <c r="T132" s="853"/>
      <c r="U132" s="853"/>
      <c r="V132" s="853"/>
    </row>
    <row r="133" spans="1:22" ht="18" customHeight="1">
      <c r="A133" s="853"/>
      <c r="B133" s="853"/>
      <c r="C133" s="853"/>
      <c r="D133" s="853"/>
      <c r="E133" s="1356"/>
      <c r="F133" s="1356"/>
      <c r="G133" s="853"/>
      <c r="H133" s="853"/>
      <c r="I133" s="853"/>
      <c r="J133" s="868"/>
      <c r="K133" s="868"/>
      <c r="L133" s="868"/>
      <c r="M133" s="868"/>
      <c r="N133" s="868"/>
      <c r="O133" s="868"/>
      <c r="P133" s="868"/>
      <c r="Q133" s="853"/>
      <c r="R133" s="853"/>
      <c r="S133" s="853"/>
      <c r="T133" s="853"/>
      <c r="U133" s="853"/>
      <c r="V133" s="853"/>
    </row>
    <row r="134" spans="1:22" ht="18" customHeight="1">
      <c r="A134" s="1361" t="str">
        <f>B7&amp;","&amp;B8&amp;","&amp;B9</f>
        <v>T15/T25,T16/T26,T17/T27</v>
      </c>
      <c r="B134" s="1362"/>
      <c r="C134" s="876" t="str">
        <f>D7</f>
        <v>Core1</v>
      </c>
      <c r="D134" s="990"/>
      <c r="E134" s="342">
        <f>H11</f>
        <v>33</v>
      </c>
      <c r="F134" s="246" t="str">
        <f>I11</f>
        <v>/ √3</v>
      </c>
      <c r="G134" s="343" t="s">
        <v>342</v>
      </c>
      <c r="H134" s="243">
        <f>K11</f>
        <v>0.11</v>
      </c>
      <c r="I134" s="246" t="str">
        <f>L11</f>
        <v>/ √3</v>
      </c>
      <c r="J134" s="1363">
        <f>'CT-VT Burdens'!S67</f>
        <v>120</v>
      </c>
      <c r="K134" s="1038">
        <f>'CT-VT Burdens'!S56</f>
        <v>2.5</v>
      </c>
      <c r="L134" s="958">
        <f>H12</f>
        <v>0.2</v>
      </c>
      <c r="M134" s="958"/>
      <c r="N134" s="958">
        <f>H13</f>
        <v>100</v>
      </c>
      <c r="O134" s="958"/>
      <c r="P134" s="958"/>
      <c r="Q134" s="958" t="str">
        <f>G39</f>
        <v>Suitably Dimensioned</v>
      </c>
      <c r="R134" s="958"/>
      <c r="S134" s="958"/>
      <c r="T134" s="958"/>
      <c r="U134" s="958"/>
      <c r="V134" s="958"/>
    </row>
    <row r="135" spans="1:22" ht="18" customHeight="1">
      <c r="A135" s="698"/>
      <c r="B135" s="767"/>
      <c r="C135" s="958" t="str">
        <f>D48</f>
        <v>Core2</v>
      </c>
      <c r="D135" s="958"/>
      <c r="E135" s="342">
        <f>H52</f>
        <v>33</v>
      </c>
      <c r="F135" s="246" t="str">
        <f>I52</f>
        <v>/ √3</v>
      </c>
      <c r="G135" s="467" t="s">
        <v>342</v>
      </c>
      <c r="H135" s="243">
        <f>K52</f>
        <v>0.11</v>
      </c>
      <c r="I135" s="246" t="str">
        <f>L52</f>
        <v>/ √3</v>
      </c>
      <c r="J135" s="1363"/>
      <c r="K135" s="958"/>
      <c r="L135" s="958" t="str">
        <f>H53</f>
        <v>0.2/3P</v>
      </c>
      <c r="M135" s="958"/>
      <c r="N135" s="958">
        <f>H54</f>
        <v>100</v>
      </c>
      <c r="O135" s="958"/>
      <c r="P135" s="958"/>
      <c r="Q135" s="958" t="str">
        <f>G80</f>
        <v>Suitably Dimensioned</v>
      </c>
      <c r="R135" s="958"/>
      <c r="S135" s="958"/>
      <c r="T135" s="958"/>
      <c r="U135" s="958"/>
      <c r="V135" s="958"/>
    </row>
    <row r="136" spans="1:22" ht="18" customHeight="1">
      <c r="A136" s="768"/>
      <c r="B136" s="770"/>
      <c r="C136" s="958" t="str">
        <f>D89</f>
        <v>Core3</v>
      </c>
      <c r="D136" s="958"/>
      <c r="E136" s="342">
        <f>H94</f>
        <v>33</v>
      </c>
      <c r="F136" s="246" t="str">
        <f>I94</f>
        <v>/ √3</v>
      </c>
      <c r="G136" s="467" t="s">
        <v>342</v>
      </c>
      <c r="H136" s="243">
        <f>K94</f>
        <v>0.11</v>
      </c>
      <c r="I136" s="246" t="str">
        <f>L94</f>
        <v>/ √3</v>
      </c>
      <c r="J136" s="1363"/>
      <c r="K136" s="958"/>
      <c r="L136" s="958" t="str">
        <f>H95</f>
        <v>0.2/3P</v>
      </c>
      <c r="M136" s="958"/>
      <c r="N136" s="958">
        <f>H96</f>
        <v>100</v>
      </c>
      <c r="O136" s="958"/>
      <c r="P136" s="958"/>
      <c r="Q136" s="958" t="str">
        <f>G122</f>
        <v>Suitably Dimensioned</v>
      </c>
      <c r="R136" s="958"/>
      <c r="S136" s="958"/>
      <c r="T136" s="958"/>
      <c r="U136" s="958"/>
      <c r="V136" s="958"/>
    </row>
    <row r="137" spans="1:22" ht="18" customHeight="1">
      <c r="A137" s="184"/>
      <c r="V137" s="185"/>
    </row>
    <row r="138" spans="1:22" ht="18" customHeight="1">
      <c r="A138" s="184"/>
      <c r="V138" s="185"/>
    </row>
    <row r="139" spans="1:22" ht="18" customHeight="1">
      <c r="A139" s="184"/>
      <c r="V139" s="185"/>
    </row>
    <row r="140" spans="1:22" ht="18" customHeight="1">
      <c r="A140" s="184"/>
      <c r="V140" s="185"/>
    </row>
    <row r="141" spans="1:22" ht="18" customHeight="1">
      <c r="A141" s="184"/>
      <c r="V141" s="185"/>
    </row>
    <row r="142" spans="1:22" ht="18" customHeight="1">
      <c r="A142" s="184"/>
      <c r="V142" s="185"/>
    </row>
    <row r="143" spans="1:22" ht="18" customHeight="1">
      <c r="A143" s="184"/>
      <c r="V143" s="185"/>
    </row>
    <row r="144" spans="1:22" ht="18" customHeight="1">
      <c r="A144" s="184"/>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s="14" customFormat="1" ht="18" customHeight="1">
      <c r="A169" s="194"/>
      <c r="B169" s="195"/>
      <c r="C169" s="195"/>
      <c r="D169" s="195"/>
      <c r="E169" s="195"/>
      <c r="F169" s="195"/>
      <c r="G169" s="195"/>
      <c r="H169" s="195"/>
      <c r="I169" s="195"/>
      <c r="J169" s="195"/>
      <c r="K169" s="195"/>
      <c r="L169" s="195"/>
      <c r="M169" s="195"/>
      <c r="N169" s="195"/>
      <c r="O169" s="195"/>
      <c r="P169" s="195"/>
      <c r="Q169" s="224"/>
      <c r="R169" s="182"/>
      <c r="S169" s="1351"/>
      <c r="T169" s="1352"/>
      <c r="U169" s="195"/>
      <c r="V169" s="134"/>
    </row>
  </sheetData>
  <mergeCells count="111">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 ref="E131:I133"/>
    <mergeCell ref="J131:K133"/>
    <mergeCell ref="L131:M133"/>
    <mergeCell ref="N131:P133"/>
    <mergeCell ref="Q131:V133"/>
    <mergeCell ref="K112:L112"/>
    <mergeCell ref="N112:O112"/>
    <mergeCell ref="K113:L113"/>
    <mergeCell ref="K115:L115"/>
    <mergeCell ref="K116:L116"/>
    <mergeCell ref="N116:O116"/>
    <mergeCell ref="K101:L101"/>
    <mergeCell ref="K102:L102"/>
    <mergeCell ref="K103:L103"/>
    <mergeCell ref="K104:L104"/>
    <mergeCell ref="K105:L105"/>
    <mergeCell ref="K106:L106"/>
    <mergeCell ref="B89:C89"/>
    <mergeCell ref="H95:I95"/>
    <mergeCell ref="H96:I96"/>
    <mergeCell ref="K99:L99"/>
    <mergeCell ref="K100:L100"/>
    <mergeCell ref="K74:L74"/>
    <mergeCell ref="N74:O74"/>
    <mergeCell ref="K75:L75"/>
    <mergeCell ref="D79:E79"/>
    <mergeCell ref="G79:H79"/>
    <mergeCell ref="S87:T87"/>
    <mergeCell ref="K63:L63"/>
    <mergeCell ref="K64:L64"/>
    <mergeCell ref="K70:L70"/>
    <mergeCell ref="N70:O70"/>
    <mergeCell ref="K71:L71"/>
    <mergeCell ref="K73:L73"/>
    <mergeCell ref="K57:L57"/>
    <mergeCell ref="K58:L58"/>
    <mergeCell ref="K59:L59"/>
    <mergeCell ref="K60:L60"/>
    <mergeCell ref="K61:L61"/>
    <mergeCell ref="K62:L62"/>
    <mergeCell ref="B48:C48"/>
    <mergeCell ref="D48:E50"/>
    <mergeCell ref="B49:C49"/>
    <mergeCell ref="B50:C50"/>
    <mergeCell ref="H53:I53"/>
    <mergeCell ref="H54:I54"/>
    <mergeCell ref="K33:L33"/>
    <mergeCell ref="N33:O33"/>
    <mergeCell ref="K34:L34"/>
    <mergeCell ref="D38:E38"/>
    <mergeCell ref="G38:H38"/>
    <mergeCell ref="S46:T46"/>
    <mergeCell ref="K22:L22"/>
    <mergeCell ref="K23:L23"/>
    <mergeCell ref="K29:L29"/>
    <mergeCell ref="N29:O29"/>
    <mergeCell ref="K30:L30"/>
    <mergeCell ref="K32:L32"/>
    <mergeCell ref="K16:L16"/>
    <mergeCell ref="K17:L17"/>
    <mergeCell ref="K18:L18"/>
    <mergeCell ref="K19:L19"/>
    <mergeCell ref="K20:L20"/>
    <mergeCell ref="K21:L21"/>
    <mergeCell ref="B7:C7"/>
    <mergeCell ref="D7:E9"/>
    <mergeCell ref="B8:C8"/>
    <mergeCell ref="B9:C9"/>
    <mergeCell ref="H12:I12"/>
    <mergeCell ref="H13:I1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codeName="Sheet61">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931" t="str">
        <f>Title!R1</f>
        <v>N-19957.2-DF4W</v>
      </c>
      <c r="S1" s="932"/>
      <c r="T1" s="932"/>
      <c r="U1" s="932"/>
      <c r="V1" s="933"/>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936">
        <f>Title!R2</f>
        <v>46134</v>
      </c>
      <c r="S2" s="932"/>
      <c r="T2" s="932"/>
      <c r="U2" s="932"/>
      <c r="V2" s="933"/>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931" t="str">
        <f>Title!R3</f>
        <v>-</v>
      </c>
      <c r="S3" s="932"/>
      <c r="T3" s="932"/>
      <c r="U3" s="932"/>
      <c r="V3" s="933"/>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931" t="str">
        <f>Title!R4</f>
        <v>A</v>
      </c>
      <c r="S4" s="932"/>
      <c r="T4" s="932"/>
      <c r="U4" s="932"/>
      <c r="V4" s="933"/>
      <c r="W4" s="14"/>
      <c r="X4" s="14"/>
    </row>
    <row r="5" spans="1:24" ht="18" customHeight="1">
      <c r="A5" s="880" t="str">
        <f>Title!A5</f>
        <v>Prep. By</v>
      </c>
      <c r="B5" s="943"/>
      <c r="C5" s="25" t="str">
        <f>Title!C5</f>
        <v>AP</v>
      </c>
      <c r="D5" s="880" t="str">
        <f>Title!D5</f>
        <v>Checked By</v>
      </c>
      <c r="E5" s="881"/>
      <c r="F5" s="943"/>
      <c r="G5" s="25" t="str">
        <f>Title!G5</f>
        <v>RB</v>
      </c>
      <c r="H5" s="944" t="s">
        <v>796</v>
      </c>
      <c r="I5" s="945"/>
      <c r="J5" s="945"/>
      <c r="K5" s="945"/>
      <c r="L5" s="945"/>
      <c r="M5" s="945"/>
      <c r="N5" s="946"/>
      <c r="O5" s="947" t="str">
        <f>Title!O5</f>
        <v>Contractor</v>
      </c>
      <c r="P5" s="948"/>
      <c r="Q5" s="949"/>
      <c r="R5" s="931" t="str">
        <f>Title!R5</f>
        <v>HITACHI</v>
      </c>
      <c r="S5" s="932"/>
      <c r="T5" s="932"/>
      <c r="U5" s="932"/>
      <c r="V5" s="933"/>
      <c r="W5" s="14"/>
      <c r="X5" s="14"/>
    </row>
    <row r="6" spans="1:24" ht="18" customHeight="1">
      <c r="A6" s="184"/>
      <c r="V6" s="185"/>
    </row>
    <row r="7" spans="1:24" ht="18" customHeight="1">
      <c r="A7" s="184"/>
      <c r="B7" s="743" t="s">
        <v>807</v>
      </c>
      <c r="C7" s="743"/>
      <c r="D7" s="743" t="s">
        <v>385</v>
      </c>
      <c r="E7" s="743"/>
      <c r="V7" s="185"/>
    </row>
    <row r="8" spans="1:24" ht="18" customHeight="1">
      <c r="A8" s="184"/>
      <c r="B8" s="743" t="s">
        <v>808</v>
      </c>
      <c r="C8" s="743"/>
      <c r="D8" s="743"/>
      <c r="E8" s="743"/>
      <c r="V8" s="185"/>
    </row>
    <row r="9" spans="1:24" ht="18" customHeight="1">
      <c r="A9" s="184"/>
      <c r="B9" s="743" t="s">
        <v>809</v>
      </c>
      <c r="C9" s="743"/>
      <c r="D9" s="743"/>
      <c r="E9" s="743"/>
      <c r="V9" s="185"/>
    </row>
    <row r="10" spans="1:24" ht="18" customHeight="1">
      <c r="A10" s="184"/>
      <c r="V10" s="185"/>
    </row>
    <row r="11" spans="1:24" ht="18" customHeight="1">
      <c r="A11" s="184"/>
      <c r="B11" s="30" t="s">
        <v>774</v>
      </c>
      <c r="H11" s="188">
        <v>33</v>
      </c>
      <c r="I11" s="189" t="s">
        <v>775</v>
      </c>
      <c r="J11" s="191" t="s">
        <v>342</v>
      </c>
      <c r="K11" s="122">
        <v>0.11</v>
      </c>
      <c r="L11" s="189" t="s">
        <v>775</v>
      </c>
      <c r="M11" s="30" t="s">
        <v>163</v>
      </c>
      <c r="V11" s="185"/>
    </row>
    <row r="12" spans="1:24" ht="18" customHeight="1">
      <c r="A12" s="184"/>
      <c r="B12" s="30" t="s">
        <v>776</v>
      </c>
      <c r="H12" s="781" t="s">
        <v>795</v>
      </c>
      <c r="I12" s="782"/>
      <c r="V12" s="185"/>
    </row>
    <row r="13" spans="1:24" ht="18" customHeight="1">
      <c r="A13" s="184"/>
      <c r="B13" s="30" t="s">
        <v>562</v>
      </c>
      <c r="H13" s="781">
        <v>20</v>
      </c>
      <c r="I13" s="782"/>
      <c r="J13" s="30" t="s">
        <v>157</v>
      </c>
      <c r="V13" s="185"/>
      <c r="W13" s="30" t="str">
        <f>G39</f>
        <v>Suitably Dimensioned</v>
      </c>
    </row>
    <row r="14" spans="1:24" ht="18" customHeight="1">
      <c r="A14" s="184"/>
      <c r="V14" s="185"/>
    </row>
    <row r="15" spans="1:24" ht="18" customHeight="1">
      <c r="A15" s="184"/>
      <c r="V15" s="185"/>
    </row>
    <row r="16" spans="1:24" ht="18" customHeight="1">
      <c r="A16" s="184"/>
      <c r="C16" s="135" t="s">
        <v>405</v>
      </c>
      <c r="D16" s="273"/>
      <c r="E16" s="498" t="s">
        <v>508</v>
      </c>
      <c r="F16" s="227"/>
      <c r="G16" s="227"/>
      <c r="H16" s="227"/>
      <c r="I16" s="138"/>
      <c r="J16" s="260" t="s">
        <v>127</v>
      </c>
      <c r="K16" s="1108">
        <f>'CT-VT Burdens'!S104</f>
        <v>0.02</v>
      </c>
      <c r="L16" s="788"/>
      <c r="M16" s="3" t="s">
        <v>157</v>
      </c>
      <c r="V16" s="185"/>
    </row>
    <row r="17" spans="1:25" ht="18" customHeight="1">
      <c r="A17" s="184"/>
      <c r="C17" s="96" t="s">
        <v>405</v>
      </c>
      <c r="D17" s="14"/>
      <c r="E17" s="30" t="s">
        <v>792</v>
      </c>
      <c r="F17" s="14"/>
      <c r="H17" s="199"/>
      <c r="I17" s="27"/>
      <c r="J17" s="101" t="s">
        <v>127</v>
      </c>
      <c r="K17" s="1108">
        <f>'CT-VT Burdens'!S111</f>
        <v>0.05</v>
      </c>
      <c r="L17" s="788"/>
      <c r="M17" s="202" t="s">
        <v>157</v>
      </c>
      <c r="V17" s="185"/>
      <c r="Y17" s="296" t="s">
        <v>232</v>
      </c>
    </row>
    <row r="18" spans="1:25" ht="18" customHeight="1">
      <c r="A18" s="184"/>
      <c r="C18" s="96" t="s">
        <v>405</v>
      </c>
      <c r="D18" s="14"/>
      <c r="E18" s="30" t="s">
        <v>388</v>
      </c>
      <c r="F18" s="14"/>
      <c r="H18" s="199"/>
      <c r="I18" s="27"/>
      <c r="J18" s="101" t="s">
        <v>127</v>
      </c>
      <c r="K18" s="1108">
        <f>'CT-VT Burdens'!S104</f>
        <v>0.02</v>
      </c>
      <c r="L18" s="788"/>
      <c r="M18" s="202" t="s">
        <v>157</v>
      </c>
      <c r="V18" s="185"/>
      <c r="Y18" s="296" t="s">
        <v>508</v>
      </c>
    </row>
    <row r="19" spans="1:25" ht="18" customHeight="1">
      <c r="A19" s="184"/>
      <c r="C19" s="96" t="s">
        <v>405</v>
      </c>
      <c r="D19" s="14"/>
      <c r="E19" s="30" t="s">
        <v>508</v>
      </c>
      <c r="F19" s="14"/>
      <c r="H19" s="199"/>
      <c r="I19" s="27"/>
      <c r="J19" s="101" t="s">
        <v>127</v>
      </c>
      <c r="K19" s="1108">
        <f>'CT-VT Burdens'!S104</f>
        <v>0.02</v>
      </c>
      <c r="L19" s="788"/>
      <c r="M19" s="202" t="s">
        <v>157</v>
      </c>
      <c r="V19" s="185"/>
      <c r="Y19" s="296" t="s">
        <v>388</v>
      </c>
    </row>
    <row r="20" spans="1:25" ht="13.2">
      <c r="A20" s="184"/>
      <c r="B20" s="117"/>
      <c r="C20" s="184" t="s">
        <v>405</v>
      </c>
      <c r="D20" s="14"/>
      <c r="E20" s="296"/>
      <c r="F20" s="14"/>
      <c r="H20" s="199"/>
      <c r="I20" s="27"/>
      <c r="J20" s="101" t="s">
        <v>127</v>
      </c>
      <c r="K20" s="1108"/>
      <c r="L20" s="788"/>
      <c r="M20" s="202" t="s">
        <v>157</v>
      </c>
      <c r="N20" s="14"/>
      <c r="O20" s="14"/>
      <c r="P20" s="28"/>
      <c r="Q20" s="199"/>
      <c r="R20" s="14"/>
      <c r="S20" s="14"/>
      <c r="T20" s="14"/>
      <c r="U20" s="14"/>
      <c r="V20" s="185"/>
    </row>
    <row r="21" spans="1:25" ht="18" customHeight="1">
      <c r="A21" s="184"/>
      <c r="C21" s="96" t="s">
        <v>781</v>
      </c>
      <c r="D21" s="14"/>
      <c r="E21" s="47"/>
      <c r="F21" s="14"/>
      <c r="H21" s="199"/>
      <c r="I21" s="27"/>
      <c r="J21" s="101" t="s">
        <v>127</v>
      </c>
      <c r="K21" s="696">
        <f>SUM(K16:L20)</f>
        <v>0.11000000000000001</v>
      </c>
      <c r="L21" s="820"/>
      <c r="M21" s="202" t="s">
        <v>157</v>
      </c>
      <c r="R21" s="14"/>
      <c r="S21" s="14"/>
      <c r="T21" s="14"/>
      <c r="U21" s="281"/>
      <c r="V21" s="185"/>
    </row>
    <row r="22" spans="1:25" ht="18" customHeight="1">
      <c r="A22" s="184"/>
      <c r="C22" s="184" t="s">
        <v>412</v>
      </c>
      <c r="D22" s="14"/>
      <c r="E22" s="14"/>
      <c r="F22" s="14"/>
      <c r="I22" s="27"/>
      <c r="J22" s="101" t="s">
        <v>127</v>
      </c>
      <c r="K22" s="1349">
        <f>'CT-VT Burdens'!S69</f>
        <v>2.5889401199999997</v>
      </c>
      <c r="L22" s="1350"/>
      <c r="M22" s="297" t="s">
        <v>157</v>
      </c>
      <c r="R22" s="14"/>
      <c r="S22" s="14"/>
      <c r="T22" s="14"/>
      <c r="U22" s="281"/>
      <c r="V22" s="185"/>
    </row>
    <row r="23" spans="1:25" ht="18" customHeight="1">
      <c r="A23" s="184"/>
      <c r="C23" s="1" t="s">
        <v>413</v>
      </c>
      <c r="D23" s="2"/>
      <c r="E23" s="2"/>
      <c r="F23" s="2"/>
      <c r="G23" s="196"/>
      <c r="H23" s="196"/>
      <c r="I23" s="224" t="s">
        <v>512</v>
      </c>
      <c r="J23" s="183" t="s">
        <v>127</v>
      </c>
      <c r="K23" s="1349">
        <f>K21+K22</f>
        <v>2.6989401199999996</v>
      </c>
      <c r="L23" s="1350"/>
      <c r="M23" s="3" t="s">
        <v>157</v>
      </c>
      <c r="R23" s="14"/>
      <c r="S23" s="14"/>
      <c r="T23" s="14"/>
      <c r="U23" s="281"/>
      <c r="V23" s="185"/>
    </row>
    <row r="24" spans="1:25" ht="18" customHeight="1">
      <c r="A24" s="96"/>
      <c r="B24" s="14"/>
      <c r="C24" s="120"/>
      <c r="D24" s="47"/>
      <c r="E24" s="47"/>
      <c r="F24" s="47"/>
      <c r="G24" s="47"/>
      <c r="H24" s="47"/>
      <c r="I24" s="47"/>
      <c r="J24" s="14"/>
      <c r="K24" s="28"/>
      <c r="L24" s="14"/>
      <c r="M24" s="14"/>
      <c r="N24" s="218"/>
      <c r="O24" s="218"/>
      <c r="P24" s="14"/>
      <c r="R24" s="14"/>
      <c r="S24" s="14"/>
      <c r="T24" s="14"/>
      <c r="U24" s="14"/>
      <c r="V24" s="185"/>
    </row>
    <row r="25" spans="1:25" ht="18" customHeight="1">
      <c r="A25" s="184"/>
      <c r="P25" s="466"/>
      <c r="R25" s="14"/>
      <c r="S25" s="14"/>
      <c r="T25" s="14"/>
      <c r="U25" s="186"/>
      <c r="V25" s="185"/>
    </row>
    <row r="26" spans="1:25" ht="18" customHeight="1">
      <c r="A26" s="184"/>
      <c r="B26" s="116" t="s">
        <v>782</v>
      </c>
      <c r="V26" s="185"/>
    </row>
    <row r="27" spans="1:25" ht="18" customHeight="1">
      <c r="A27" s="184"/>
      <c r="V27" s="185"/>
    </row>
    <row r="28" spans="1:25" ht="18" customHeight="1">
      <c r="A28" s="184"/>
      <c r="B28" s="14" t="s">
        <v>783</v>
      </c>
      <c r="C28" s="14"/>
      <c r="D28" s="120"/>
      <c r="J28" s="28" t="s">
        <v>127</v>
      </c>
      <c r="K28" s="47" t="s">
        <v>781</v>
      </c>
      <c r="M28" s="47"/>
      <c r="N28" s="47"/>
      <c r="P28" s="102" t="s">
        <v>342</v>
      </c>
      <c r="Q28" s="30" t="s">
        <v>784</v>
      </c>
      <c r="R28" s="14"/>
      <c r="V28" s="185"/>
    </row>
    <row r="29" spans="1:25" ht="18" customHeight="1">
      <c r="A29" s="184"/>
      <c r="B29" s="14"/>
      <c r="C29" s="14"/>
      <c r="D29" s="120"/>
      <c r="J29" s="28" t="s">
        <v>127</v>
      </c>
      <c r="K29" s="692">
        <f>K21</f>
        <v>0.11000000000000001</v>
      </c>
      <c r="L29" s="689"/>
      <c r="M29" s="102" t="s">
        <v>342</v>
      </c>
      <c r="N29" s="692">
        <f>K11/SQRT(3)*1000</f>
        <v>63.508529610858844</v>
      </c>
      <c r="O29" s="689"/>
      <c r="V29" s="185"/>
    </row>
    <row r="30" spans="1:25" ht="18" customHeight="1">
      <c r="A30" s="184"/>
      <c r="B30" s="14"/>
      <c r="C30" s="14"/>
      <c r="D30" s="120"/>
      <c r="J30" s="28" t="s">
        <v>127</v>
      </c>
      <c r="K30" s="688">
        <f>K29/N29</f>
        <v>1.7320508075688772E-3</v>
      </c>
      <c r="L30" s="688"/>
      <c r="M30" s="47" t="s">
        <v>8</v>
      </c>
      <c r="N30" s="47"/>
      <c r="O30" s="14"/>
      <c r="P30" s="28"/>
      <c r="Q30" s="14"/>
      <c r="R30" s="14"/>
      <c r="V30" s="185"/>
    </row>
    <row r="31" spans="1:25" ht="18" customHeight="1">
      <c r="A31" s="184"/>
      <c r="V31" s="185"/>
    </row>
    <row r="32" spans="1:25" ht="18" customHeight="1">
      <c r="A32" s="184"/>
      <c r="B32" s="14" t="s">
        <v>785</v>
      </c>
      <c r="C32" s="14"/>
      <c r="D32" s="14"/>
      <c r="E32" s="14"/>
      <c r="F32" s="14"/>
      <c r="G32" s="14"/>
      <c r="H32" s="14"/>
      <c r="I32" s="47"/>
      <c r="J32" s="28" t="s">
        <v>127</v>
      </c>
      <c r="K32" s="689" t="s">
        <v>786</v>
      </c>
      <c r="L32" s="689"/>
      <c r="M32" s="28" t="s">
        <v>315</v>
      </c>
      <c r="N32" s="47" t="s">
        <v>787</v>
      </c>
      <c r="O32" s="14"/>
      <c r="P32" s="28"/>
      <c r="V32" s="185"/>
    </row>
    <row r="33" spans="1:22" ht="18" customHeight="1">
      <c r="A33" s="184"/>
      <c r="J33" s="28" t="s">
        <v>127</v>
      </c>
      <c r="K33" s="684">
        <f>K30*K30</f>
        <v>2.9999999999999997E-6</v>
      </c>
      <c r="L33" s="684"/>
      <c r="M33" s="28" t="s">
        <v>315</v>
      </c>
      <c r="N33" s="795">
        <f>'CT-VT Burdens'!S69</f>
        <v>2.5889401199999997</v>
      </c>
      <c r="O33" s="795"/>
      <c r="V33" s="185"/>
    </row>
    <row r="34" spans="1:22" ht="18" customHeight="1">
      <c r="A34" s="184"/>
      <c r="J34" s="28" t="s">
        <v>127</v>
      </c>
      <c r="K34" s="1145">
        <f>K33*N33</f>
        <v>7.7668203599999984E-6</v>
      </c>
      <c r="L34" s="1145"/>
      <c r="M34" s="30" t="s">
        <v>157</v>
      </c>
      <c r="V34" s="185"/>
    </row>
    <row r="35" spans="1:22" ht="18" customHeight="1">
      <c r="A35" s="184"/>
      <c r="V35" s="185"/>
    </row>
    <row r="36" spans="1:22" ht="18" customHeight="1">
      <c r="A36" s="184"/>
      <c r="B36" s="14" t="s">
        <v>788</v>
      </c>
      <c r="C36" s="14"/>
      <c r="D36" s="14"/>
      <c r="E36" s="28"/>
      <c r="F36" s="14"/>
      <c r="G36" s="14"/>
      <c r="H36" s="102"/>
      <c r="I36" s="47"/>
      <c r="J36" s="47"/>
      <c r="K36" s="14"/>
      <c r="V36" s="185"/>
    </row>
    <row r="37" spans="1:22" ht="18" customHeight="1">
      <c r="A37" s="184"/>
      <c r="B37" s="14"/>
      <c r="C37" s="14"/>
      <c r="D37" s="257"/>
      <c r="E37" s="120" t="s">
        <v>789</v>
      </c>
      <c r="F37" s="27" t="str">
        <f>IF(D38&gt;=G38,"&gt;","&lt;")</f>
        <v>&gt;</v>
      </c>
      <c r="G37" s="281" t="s">
        <v>119</v>
      </c>
      <c r="H37" s="218"/>
      <c r="J37" s="28"/>
      <c r="K37" s="218"/>
      <c r="V37" s="185"/>
    </row>
    <row r="38" spans="1:22" ht="18" customHeight="1">
      <c r="A38" s="184"/>
      <c r="D38" s="684">
        <f>H13</f>
        <v>20</v>
      </c>
      <c r="E38" s="684"/>
      <c r="F38" s="27" t="str">
        <f>F37</f>
        <v>&gt;</v>
      </c>
      <c r="G38" s="1145">
        <f>K23</f>
        <v>2.6989401199999996</v>
      </c>
      <c r="H38" s="684"/>
      <c r="I38" s="14"/>
      <c r="J38" s="257"/>
      <c r="V38" s="185"/>
    </row>
    <row r="39" spans="1:22" ht="18" customHeight="1">
      <c r="A39" s="184"/>
      <c r="D39" s="199"/>
      <c r="E39" s="244" t="s">
        <v>790</v>
      </c>
      <c r="F39" s="27"/>
      <c r="G39" s="18" t="str">
        <f>IF(F37="&gt;","Suitably Dimensioned","Under Dimensioned")</f>
        <v>Suitably Dimensioned</v>
      </c>
      <c r="H39" s="27"/>
      <c r="I39" s="120"/>
      <c r="J39" s="27"/>
      <c r="K39" s="120"/>
      <c r="V39" s="185"/>
    </row>
    <row r="40" spans="1:22" ht="18" customHeight="1">
      <c r="A40" s="184"/>
      <c r="V40" s="185"/>
    </row>
    <row r="41" spans="1:22" ht="18" customHeight="1">
      <c r="A41" s="184"/>
      <c r="V41" s="185"/>
    </row>
    <row r="42" spans="1:22" ht="18" customHeight="1">
      <c r="A42" s="184"/>
      <c r="V42" s="185"/>
    </row>
    <row r="43" spans="1:22" ht="18" customHeight="1">
      <c r="A43" s="184"/>
      <c r="V43" s="185"/>
    </row>
    <row r="44" spans="1:22" ht="18" customHeight="1">
      <c r="A44" s="184"/>
      <c r="V44" s="185"/>
    </row>
    <row r="45" spans="1:22" ht="18" customHeight="1">
      <c r="A45" s="184"/>
      <c r="V45" s="185"/>
    </row>
    <row r="46" spans="1:22" s="14" customFormat="1" ht="18" customHeight="1">
      <c r="A46" s="194"/>
      <c r="B46" s="195"/>
      <c r="C46" s="195"/>
      <c r="D46" s="195"/>
      <c r="E46" s="195"/>
      <c r="F46" s="195"/>
      <c r="G46" s="195"/>
      <c r="H46" s="195"/>
      <c r="I46" s="195"/>
      <c r="J46" s="195"/>
      <c r="K46" s="195"/>
      <c r="L46" s="195"/>
      <c r="M46" s="195"/>
      <c r="N46" s="195"/>
      <c r="O46" s="195"/>
      <c r="P46" s="195"/>
      <c r="Q46" s="224"/>
      <c r="R46" s="182"/>
      <c r="S46" s="1351"/>
      <c r="T46" s="1352"/>
      <c r="U46" s="195"/>
      <c r="V46" s="134"/>
    </row>
    <row r="47" spans="1:22" ht="18" customHeight="1">
      <c r="A47" s="226"/>
      <c r="B47" s="227"/>
      <c r="C47" s="227"/>
      <c r="D47" s="227"/>
      <c r="E47" s="227"/>
      <c r="F47" s="227"/>
      <c r="G47" s="227"/>
      <c r="H47" s="227"/>
      <c r="I47" s="227"/>
      <c r="J47" s="227"/>
      <c r="K47" s="227"/>
      <c r="L47" s="227"/>
      <c r="M47" s="227"/>
      <c r="N47" s="227"/>
      <c r="O47" s="227"/>
      <c r="P47" s="227"/>
      <c r="Q47" s="227"/>
      <c r="R47" s="227"/>
      <c r="S47" s="227"/>
      <c r="T47" s="227"/>
      <c r="U47" s="227"/>
      <c r="V47" s="228"/>
    </row>
    <row r="48" spans="1:22" ht="18" customHeight="1">
      <c r="A48" s="184"/>
      <c r="B48" s="743" t="s">
        <v>807</v>
      </c>
      <c r="C48" s="743"/>
      <c r="D48" s="743" t="s">
        <v>506</v>
      </c>
      <c r="E48" s="743"/>
      <c r="V48" s="185"/>
    </row>
    <row r="49" spans="1:23" ht="18" customHeight="1">
      <c r="A49" s="184"/>
      <c r="B49" s="743" t="s">
        <v>808</v>
      </c>
      <c r="C49" s="743"/>
      <c r="D49" s="743"/>
      <c r="E49" s="743"/>
      <c r="V49" s="185"/>
    </row>
    <row r="50" spans="1:23" ht="18" customHeight="1">
      <c r="A50" s="184"/>
      <c r="B50" s="743" t="s">
        <v>809</v>
      </c>
      <c r="C50" s="743"/>
      <c r="D50" s="743"/>
      <c r="E50" s="743"/>
      <c r="V50" s="185"/>
    </row>
    <row r="51" spans="1:23" ht="18" customHeight="1">
      <c r="A51" s="184"/>
      <c r="V51" s="185"/>
    </row>
    <row r="52" spans="1:23" ht="18" customHeight="1">
      <c r="A52" s="184"/>
      <c r="B52" s="30" t="s">
        <v>774</v>
      </c>
      <c r="H52" s="188">
        <v>33</v>
      </c>
      <c r="I52" s="189" t="s">
        <v>775</v>
      </c>
      <c r="J52" s="191" t="s">
        <v>342</v>
      </c>
      <c r="K52" s="122">
        <v>0.11</v>
      </c>
      <c r="L52" s="189" t="s">
        <v>775</v>
      </c>
      <c r="M52" s="30" t="s">
        <v>163</v>
      </c>
      <c r="V52" s="185"/>
    </row>
    <row r="53" spans="1:23" ht="18" customHeight="1">
      <c r="A53" s="184"/>
      <c r="B53" s="30" t="s">
        <v>776</v>
      </c>
      <c r="H53" s="781">
        <v>0.2</v>
      </c>
      <c r="I53" s="782"/>
      <c r="V53" s="185"/>
    </row>
    <row r="54" spans="1:23" ht="18" customHeight="1">
      <c r="A54" s="184"/>
      <c r="B54" s="30" t="s">
        <v>562</v>
      </c>
      <c r="H54" s="781">
        <v>10</v>
      </c>
      <c r="I54" s="782"/>
      <c r="J54" s="30" t="s">
        <v>157</v>
      </c>
      <c r="V54" s="185"/>
      <c r="W54" s="30" t="str">
        <f>G84</f>
        <v>Suitably Dimensioned</v>
      </c>
    </row>
    <row r="55" spans="1:23" ht="18" customHeight="1">
      <c r="A55" s="184"/>
      <c r="V55" s="185"/>
    </row>
    <row r="56" spans="1:23" ht="18" customHeight="1">
      <c r="A56" s="184"/>
      <c r="V56" s="185"/>
    </row>
    <row r="57" spans="1:23" ht="18" customHeight="1">
      <c r="A57" s="184"/>
      <c r="C57" s="135" t="s">
        <v>405</v>
      </c>
      <c r="D57" s="273"/>
      <c r="E57" s="498" t="s">
        <v>791</v>
      </c>
      <c r="F57" s="227"/>
      <c r="G57" s="227"/>
      <c r="H57" s="227"/>
      <c r="I57" s="138"/>
      <c r="J57" s="312" t="s">
        <v>127</v>
      </c>
      <c r="K57" s="1108">
        <f>'CT-VT Burdens'!S157</f>
        <v>3.75</v>
      </c>
      <c r="L57" s="788"/>
      <c r="M57" s="3" t="s">
        <v>157</v>
      </c>
      <c r="V57" s="185"/>
    </row>
    <row r="58" spans="1:23" ht="18" customHeight="1">
      <c r="A58" s="184"/>
      <c r="C58" s="96" t="s">
        <v>405</v>
      </c>
      <c r="D58" s="14"/>
      <c r="E58" s="296" t="s">
        <v>194</v>
      </c>
      <c r="F58" s="14"/>
      <c r="H58" s="199"/>
      <c r="I58" s="27"/>
      <c r="J58" s="177" t="s">
        <v>127</v>
      </c>
      <c r="K58" s="1249">
        <f>'CT-VT Burdens'!S149</f>
        <v>0.378</v>
      </c>
      <c r="L58" s="1250"/>
      <c r="M58" s="202" t="s">
        <v>157</v>
      </c>
      <c r="V58" s="185"/>
    </row>
    <row r="59" spans="1:23" ht="18" customHeight="1">
      <c r="A59" s="184"/>
      <c r="C59" s="96" t="s">
        <v>405</v>
      </c>
      <c r="D59" s="14"/>
      <c r="E59" s="296"/>
      <c r="F59" s="14"/>
      <c r="H59" s="199"/>
      <c r="I59" s="27"/>
      <c r="J59" s="177" t="s">
        <v>127</v>
      </c>
      <c r="K59" s="1108"/>
      <c r="L59" s="788"/>
      <c r="M59" s="202" t="s">
        <v>157</v>
      </c>
      <c r="V59" s="185"/>
    </row>
    <row r="60" spans="1:23" ht="18" customHeight="1">
      <c r="A60" s="184"/>
      <c r="C60" s="96" t="s">
        <v>405</v>
      </c>
      <c r="D60" s="14"/>
      <c r="E60" s="296"/>
      <c r="F60" s="14"/>
      <c r="H60" s="199"/>
      <c r="I60" s="27"/>
      <c r="J60" s="177" t="s">
        <v>127</v>
      </c>
      <c r="K60" s="1108"/>
      <c r="L60" s="788"/>
      <c r="M60" s="202" t="s">
        <v>157</v>
      </c>
      <c r="V60" s="185"/>
    </row>
    <row r="61" spans="1:23" ht="18" customHeight="1">
      <c r="A61" s="184"/>
      <c r="B61" s="117"/>
      <c r="C61" s="96" t="s">
        <v>405</v>
      </c>
      <c r="D61" s="14"/>
      <c r="F61" s="14"/>
      <c r="H61" s="199"/>
      <c r="I61" s="27"/>
      <c r="J61" s="177" t="s">
        <v>127</v>
      </c>
      <c r="K61" s="1108"/>
      <c r="L61" s="788"/>
      <c r="M61" s="202" t="s">
        <v>157</v>
      </c>
      <c r="N61" s="14"/>
      <c r="O61" s="14"/>
      <c r="P61" s="28"/>
      <c r="Q61" s="199"/>
      <c r="R61" s="14"/>
      <c r="S61" s="14"/>
      <c r="T61" s="14"/>
      <c r="U61" s="14"/>
      <c r="V61" s="185"/>
    </row>
    <row r="62" spans="1:23" ht="18" customHeight="1">
      <c r="A62" s="184"/>
      <c r="B62" s="117"/>
      <c r="C62" s="96" t="s">
        <v>405</v>
      </c>
      <c r="D62" s="14"/>
      <c r="F62" s="14"/>
      <c r="H62" s="199"/>
      <c r="I62" s="27"/>
      <c r="J62" s="177" t="s">
        <v>127</v>
      </c>
      <c r="K62" s="1108"/>
      <c r="L62" s="1104"/>
      <c r="M62" s="202" t="s">
        <v>157</v>
      </c>
      <c r="N62" s="14"/>
      <c r="O62" s="14"/>
      <c r="P62" s="28"/>
      <c r="Q62" s="199"/>
      <c r="R62" s="14"/>
      <c r="S62" s="14"/>
      <c r="T62" s="14"/>
      <c r="U62" s="14"/>
      <c r="V62" s="185"/>
    </row>
    <row r="63" spans="1:23" ht="18" customHeight="1">
      <c r="A63" s="184"/>
      <c r="B63" s="117"/>
      <c r="C63" s="96" t="s">
        <v>405</v>
      </c>
      <c r="D63" s="14"/>
      <c r="F63" s="14"/>
      <c r="H63" s="199"/>
      <c r="I63" s="27"/>
      <c r="J63" s="177" t="s">
        <v>127</v>
      </c>
      <c r="K63" s="1108"/>
      <c r="L63" s="1104"/>
      <c r="M63" s="202" t="s">
        <v>157</v>
      </c>
      <c r="N63" s="14"/>
      <c r="O63" s="14"/>
      <c r="P63" s="28"/>
      <c r="Q63" s="199"/>
      <c r="R63" s="14"/>
      <c r="S63" s="14"/>
      <c r="T63" s="14"/>
      <c r="U63" s="14"/>
      <c r="V63" s="185"/>
    </row>
    <row r="64" spans="1:23" ht="18" customHeight="1">
      <c r="A64" s="184"/>
      <c r="B64" s="117"/>
      <c r="C64" s="96" t="s">
        <v>405</v>
      </c>
      <c r="D64" s="14"/>
      <c r="F64" s="14"/>
      <c r="H64" s="199"/>
      <c r="I64" s="27"/>
      <c r="J64" s="177" t="s">
        <v>127</v>
      </c>
      <c r="K64" s="1108"/>
      <c r="L64" s="1104"/>
      <c r="M64" s="202" t="s">
        <v>157</v>
      </c>
      <c r="N64" s="14"/>
      <c r="O64" s="14"/>
      <c r="P64" s="28"/>
      <c r="Q64" s="199"/>
      <c r="R64" s="14"/>
      <c r="S64" s="14"/>
      <c r="T64" s="14"/>
      <c r="U64" s="14"/>
      <c r="V64" s="185"/>
    </row>
    <row r="65" spans="1:22" ht="18" customHeight="1">
      <c r="A65" s="184"/>
      <c r="B65" s="117"/>
      <c r="C65" s="96" t="s">
        <v>405</v>
      </c>
      <c r="D65" s="14"/>
      <c r="F65" s="14"/>
      <c r="H65" s="199"/>
      <c r="I65" s="27"/>
      <c r="J65" s="177" t="s">
        <v>127</v>
      </c>
      <c r="K65" s="200"/>
      <c r="L65" s="201"/>
      <c r="M65" s="202"/>
      <c r="N65" s="14"/>
      <c r="O65" s="14"/>
      <c r="P65" s="28"/>
      <c r="Q65" s="199"/>
      <c r="R65" s="14"/>
      <c r="S65" s="14"/>
      <c r="T65" s="14"/>
      <c r="U65" s="14"/>
      <c r="V65" s="185"/>
    </row>
    <row r="66" spans="1:22" ht="18" customHeight="1">
      <c r="A66" s="184"/>
      <c r="C66" s="96" t="s">
        <v>781</v>
      </c>
      <c r="D66" s="14"/>
      <c r="E66" s="47"/>
      <c r="F66" s="14"/>
      <c r="H66" s="199"/>
      <c r="I66" s="27"/>
      <c r="J66" s="101" t="s">
        <v>127</v>
      </c>
      <c r="K66" s="696">
        <f>SUM(K57:L64)</f>
        <v>4.1280000000000001</v>
      </c>
      <c r="L66" s="820"/>
      <c r="M66" s="202" t="s">
        <v>157</v>
      </c>
      <c r="R66" s="14"/>
      <c r="S66" s="14"/>
      <c r="T66" s="14"/>
      <c r="U66" s="281"/>
      <c r="V66" s="185"/>
    </row>
    <row r="67" spans="1:22" ht="18" customHeight="1">
      <c r="A67" s="184"/>
      <c r="C67" s="184" t="s">
        <v>412</v>
      </c>
      <c r="D67" s="14"/>
      <c r="E67" s="14"/>
      <c r="F67" s="14"/>
      <c r="I67" s="27"/>
      <c r="J67" s="101" t="s">
        <v>127</v>
      </c>
      <c r="K67" s="1349">
        <f>'CT-VT Burdens'!S69*1</f>
        <v>2.5889401199999997</v>
      </c>
      <c r="L67" s="1350"/>
      <c r="M67" s="297" t="s">
        <v>157</v>
      </c>
      <c r="R67" s="14"/>
      <c r="S67" s="14"/>
      <c r="T67" s="14"/>
      <c r="U67" s="281"/>
      <c r="V67" s="185"/>
    </row>
    <row r="68" spans="1:22" ht="18" customHeight="1">
      <c r="A68" s="184"/>
      <c r="C68" s="1" t="s">
        <v>413</v>
      </c>
      <c r="D68" s="2"/>
      <c r="E68" s="2"/>
      <c r="F68" s="2"/>
      <c r="G68" s="196"/>
      <c r="H68" s="196"/>
      <c r="I68" s="224" t="s">
        <v>512</v>
      </c>
      <c r="J68" s="183" t="s">
        <v>127</v>
      </c>
      <c r="K68" s="1349">
        <f>K66+K67</f>
        <v>6.7169401200000003</v>
      </c>
      <c r="L68" s="1350"/>
      <c r="M68" s="3" t="s">
        <v>157</v>
      </c>
      <c r="R68" s="14"/>
      <c r="S68" s="14"/>
      <c r="T68" s="14"/>
      <c r="U68" s="281"/>
      <c r="V68" s="185"/>
    </row>
    <row r="69" spans="1:22" ht="18" customHeight="1">
      <c r="A69" s="96"/>
      <c r="B69" s="14"/>
      <c r="C69" s="120"/>
      <c r="D69" s="47"/>
      <c r="E69" s="47"/>
      <c r="F69" s="47"/>
      <c r="G69" s="47"/>
      <c r="H69" s="47"/>
      <c r="I69" s="47"/>
      <c r="J69" s="14"/>
      <c r="K69" s="28"/>
      <c r="L69" s="14"/>
      <c r="M69" s="14"/>
      <c r="N69" s="218"/>
      <c r="O69" s="218"/>
      <c r="P69" s="14"/>
      <c r="R69" s="14"/>
      <c r="S69" s="14"/>
      <c r="T69" s="14"/>
      <c r="U69" s="14"/>
      <c r="V69" s="185"/>
    </row>
    <row r="70" spans="1:22" ht="18" customHeight="1">
      <c r="A70" s="184"/>
      <c r="P70" s="466"/>
      <c r="R70" s="14"/>
      <c r="S70" s="14"/>
      <c r="T70" s="14"/>
      <c r="U70" s="186"/>
      <c r="V70" s="185"/>
    </row>
    <row r="71" spans="1:22" ht="18" customHeight="1">
      <c r="A71" s="184"/>
      <c r="B71" s="117" t="s">
        <v>782</v>
      </c>
      <c r="V71" s="185"/>
    </row>
    <row r="72" spans="1:22" ht="18" customHeight="1">
      <c r="A72" s="184"/>
      <c r="V72" s="185"/>
    </row>
    <row r="73" spans="1:22" ht="18" customHeight="1">
      <c r="A73" s="184"/>
      <c r="B73" s="14" t="s">
        <v>783</v>
      </c>
      <c r="C73" s="14"/>
      <c r="D73" s="120"/>
      <c r="J73" s="28" t="s">
        <v>127</v>
      </c>
      <c r="K73" s="47" t="s">
        <v>781</v>
      </c>
      <c r="M73" s="47"/>
      <c r="N73" s="47"/>
      <c r="P73" s="102" t="s">
        <v>342</v>
      </c>
      <c r="Q73" s="30" t="s">
        <v>784</v>
      </c>
      <c r="R73" s="14"/>
      <c r="V73" s="185"/>
    </row>
    <row r="74" spans="1:22" ht="18" customHeight="1">
      <c r="A74" s="184"/>
      <c r="B74" s="14"/>
      <c r="C74" s="14"/>
      <c r="D74" s="120"/>
      <c r="J74" s="28" t="s">
        <v>127</v>
      </c>
      <c r="K74" s="692">
        <f>K66</f>
        <v>4.1280000000000001</v>
      </c>
      <c r="L74" s="689"/>
      <c r="M74" s="102" t="s">
        <v>342</v>
      </c>
      <c r="N74" s="692">
        <f>K52/SQRT(3)*1000</f>
        <v>63.508529610858844</v>
      </c>
      <c r="O74" s="689"/>
      <c r="V74" s="185"/>
    </row>
    <row r="75" spans="1:22" ht="18" customHeight="1">
      <c r="A75" s="184"/>
      <c r="B75" s="14"/>
      <c r="C75" s="14"/>
      <c r="D75" s="120"/>
      <c r="J75" s="28" t="s">
        <v>127</v>
      </c>
      <c r="K75" s="688">
        <f>K74/N74</f>
        <v>6.499914303313023E-2</v>
      </c>
      <c r="L75" s="688"/>
      <c r="M75" s="47" t="s">
        <v>8</v>
      </c>
      <c r="N75" s="47"/>
      <c r="O75" s="14"/>
      <c r="P75" s="28"/>
      <c r="Q75" s="14"/>
      <c r="R75" s="14"/>
      <c r="V75" s="185"/>
    </row>
    <row r="76" spans="1:22" ht="18" customHeight="1">
      <c r="A76" s="184"/>
      <c r="V76" s="185"/>
    </row>
    <row r="77" spans="1:22" ht="18" customHeight="1">
      <c r="A77" s="184"/>
      <c r="B77" s="14" t="s">
        <v>785</v>
      </c>
      <c r="C77" s="14"/>
      <c r="D77" s="14"/>
      <c r="E77" s="14"/>
      <c r="F77" s="14"/>
      <c r="G77" s="14"/>
      <c r="H77" s="14"/>
      <c r="I77" s="47"/>
      <c r="J77" s="28" t="s">
        <v>127</v>
      </c>
      <c r="K77" s="689" t="s">
        <v>786</v>
      </c>
      <c r="L77" s="689"/>
      <c r="M77" s="28" t="s">
        <v>315</v>
      </c>
      <c r="N77" s="47" t="s">
        <v>787</v>
      </c>
      <c r="O77" s="14"/>
      <c r="P77" s="28"/>
      <c r="V77" s="185"/>
    </row>
    <row r="78" spans="1:22" ht="18" customHeight="1">
      <c r="A78" s="184"/>
      <c r="J78" s="28" t="s">
        <v>127</v>
      </c>
      <c r="K78" s="684">
        <f>K75*K75</f>
        <v>4.2248885950413222E-3</v>
      </c>
      <c r="L78" s="684"/>
      <c r="M78" s="28" t="s">
        <v>315</v>
      </c>
      <c r="N78" s="795">
        <f>N33</f>
        <v>2.5889401199999997</v>
      </c>
      <c r="O78" s="795"/>
      <c r="V78" s="185"/>
    </row>
    <row r="79" spans="1:22" ht="18" customHeight="1">
      <c r="A79" s="184"/>
      <c r="J79" s="28" t="s">
        <v>127</v>
      </c>
      <c r="K79" s="1145">
        <f>K78*N78</f>
        <v>1.0937983586232911E-2</v>
      </c>
      <c r="L79" s="1145"/>
      <c r="M79" s="30" t="s">
        <v>157</v>
      </c>
      <c r="V79" s="185"/>
    </row>
    <row r="80" spans="1:22" ht="18" customHeight="1">
      <c r="A80" s="184"/>
      <c r="V80" s="185"/>
    </row>
    <row r="81" spans="1:23" ht="18" customHeight="1">
      <c r="A81" s="184"/>
      <c r="B81" s="14" t="s">
        <v>788</v>
      </c>
      <c r="C81" s="14"/>
      <c r="D81" s="14"/>
      <c r="E81" s="28"/>
      <c r="F81" s="14"/>
      <c r="G81" s="14"/>
      <c r="H81" s="102"/>
      <c r="I81" s="47"/>
      <c r="J81" s="47"/>
      <c r="K81" s="14"/>
      <c r="V81" s="185"/>
    </row>
    <row r="82" spans="1:23" ht="18" customHeight="1">
      <c r="A82" s="184"/>
      <c r="B82" s="14"/>
      <c r="C82" s="14"/>
      <c r="D82" s="257"/>
      <c r="E82" s="120" t="s">
        <v>789</v>
      </c>
      <c r="F82" s="27" t="str">
        <f>IF(D83&gt;=G83,"&gt;","&lt;")</f>
        <v>&gt;</v>
      </c>
      <c r="G82" s="281" t="s">
        <v>119</v>
      </c>
      <c r="H82" s="218"/>
      <c r="J82" s="28"/>
      <c r="K82" s="218"/>
      <c r="V82" s="185"/>
    </row>
    <row r="83" spans="1:23" ht="18" customHeight="1">
      <c r="A83" s="184"/>
      <c r="D83" s="684">
        <f>H54</f>
        <v>10</v>
      </c>
      <c r="E83" s="684"/>
      <c r="F83" s="27" t="str">
        <f>F82</f>
        <v>&gt;</v>
      </c>
      <c r="G83" s="1145">
        <f>K68</f>
        <v>6.7169401200000003</v>
      </c>
      <c r="H83" s="684"/>
      <c r="I83" s="14"/>
      <c r="J83" s="257"/>
      <c r="V83" s="185"/>
    </row>
    <row r="84" spans="1:23" ht="18" customHeight="1">
      <c r="A84" s="184"/>
      <c r="D84" s="199"/>
      <c r="E84" s="244" t="s">
        <v>790</v>
      </c>
      <c r="F84" s="27"/>
      <c r="G84" s="18" t="str">
        <f>IF(F82="&gt;","Suitably Dimensioned","Under Dimensioned")</f>
        <v>Suitably Dimensioned</v>
      </c>
      <c r="H84" s="27"/>
      <c r="I84" s="120"/>
      <c r="J84" s="27"/>
      <c r="K84" s="120"/>
      <c r="V84" s="185"/>
    </row>
    <row r="85" spans="1:23" ht="18" customHeight="1">
      <c r="A85" s="184"/>
      <c r="D85" s="199"/>
      <c r="E85" s="244"/>
      <c r="F85" s="27"/>
      <c r="G85" s="18"/>
      <c r="H85" s="27"/>
      <c r="I85" s="120"/>
      <c r="J85" s="27"/>
      <c r="K85" s="120"/>
      <c r="V85" s="185"/>
    </row>
    <row r="86" spans="1:23" ht="18" customHeight="1">
      <c r="A86" s="184"/>
      <c r="V86" s="185"/>
    </row>
    <row r="87" spans="1:23" s="14" customFormat="1" ht="18" customHeight="1">
      <c r="A87" s="194"/>
      <c r="B87" s="195"/>
      <c r="C87" s="195"/>
      <c r="D87" s="195"/>
      <c r="E87" s="195"/>
      <c r="F87" s="195"/>
      <c r="G87" s="195"/>
      <c r="H87" s="195"/>
      <c r="I87" s="195"/>
      <c r="J87" s="195"/>
      <c r="K87" s="195"/>
      <c r="L87" s="195"/>
      <c r="M87" s="195"/>
      <c r="N87" s="195"/>
      <c r="O87" s="195"/>
      <c r="P87" s="195"/>
      <c r="Q87" s="224"/>
      <c r="R87" s="182"/>
      <c r="S87" s="1351"/>
      <c r="T87" s="1352"/>
      <c r="U87" s="195"/>
      <c r="V87" s="134"/>
    </row>
    <row r="88" spans="1:23" ht="18" hidden="1" customHeight="1">
      <c r="A88" s="226"/>
      <c r="B88" s="227"/>
      <c r="C88" s="227"/>
      <c r="D88" s="227"/>
      <c r="E88" s="227"/>
      <c r="F88" s="227"/>
      <c r="G88" s="227"/>
      <c r="H88" s="227"/>
      <c r="I88" s="227"/>
      <c r="J88" s="227"/>
      <c r="K88" s="227"/>
      <c r="L88" s="227"/>
      <c r="M88" s="227"/>
      <c r="N88" s="227"/>
      <c r="O88" s="227"/>
      <c r="P88" s="227"/>
      <c r="Q88" s="227"/>
      <c r="R88" s="227"/>
      <c r="S88" s="227"/>
      <c r="T88" s="227"/>
      <c r="U88" s="227"/>
      <c r="V88" s="228"/>
    </row>
    <row r="89" spans="1:23" ht="18" hidden="1" customHeight="1">
      <c r="A89" s="184"/>
      <c r="B89" s="781" t="s">
        <v>810</v>
      </c>
      <c r="C89" s="782"/>
      <c r="D89" s="743" t="s">
        <v>109</v>
      </c>
      <c r="E89" s="1291"/>
      <c r="V89" s="185"/>
    </row>
    <row r="90" spans="1:23" ht="18" hidden="1" customHeight="1">
      <c r="A90" s="184"/>
      <c r="V90" s="185"/>
    </row>
    <row r="91" spans="1:23" ht="18" hidden="1" customHeight="1">
      <c r="A91" s="184"/>
      <c r="B91" s="30" t="s">
        <v>774</v>
      </c>
      <c r="H91" s="188">
        <v>33</v>
      </c>
      <c r="I91" s="189" t="s">
        <v>775</v>
      </c>
      <c r="J91" s="191" t="s">
        <v>342</v>
      </c>
      <c r="K91" s="122">
        <v>0.11</v>
      </c>
      <c r="L91" s="189" t="s">
        <v>775</v>
      </c>
      <c r="M91" s="30" t="s">
        <v>163</v>
      </c>
      <c r="V91" s="185"/>
    </row>
    <row r="92" spans="1:23" ht="18" hidden="1" customHeight="1">
      <c r="A92" s="184"/>
      <c r="B92" s="30" t="s">
        <v>776</v>
      </c>
      <c r="H92" s="781" t="s">
        <v>811</v>
      </c>
      <c r="I92" s="782"/>
      <c r="V92" s="185"/>
    </row>
    <row r="93" spans="1:23" ht="18" hidden="1" customHeight="1">
      <c r="A93" s="184"/>
      <c r="B93" s="30" t="s">
        <v>562</v>
      </c>
      <c r="H93" s="781">
        <v>50</v>
      </c>
      <c r="I93" s="782"/>
      <c r="J93" s="30" t="s">
        <v>157</v>
      </c>
      <c r="V93" s="185"/>
      <c r="W93" s="30" t="str">
        <f>G119</f>
        <v>Suitably Dimensioned</v>
      </c>
    </row>
    <row r="94" spans="1:23" ht="18" hidden="1" customHeight="1">
      <c r="A94" s="184"/>
      <c r="V94" s="185"/>
    </row>
    <row r="95" spans="1:23" ht="18" hidden="1" customHeight="1">
      <c r="A95" s="184"/>
      <c r="V95" s="185"/>
    </row>
    <row r="96" spans="1:23" ht="18" hidden="1" customHeight="1">
      <c r="A96" s="184"/>
      <c r="C96" s="135" t="s">
        <v>405</v>
      </c>
      <c r="D96" s="273"/>
      <c r="E96" s="139"/>
      <c r="F96" s="227"/>
      <c r="G96" s="227"/>
      <c r="H96" s="227"/>
      <c r="I96" s="138"/>
      <c r="J96" s="260" t="s">
        <v>127</v>
      </c>
      <c r="K96" s="1108"/>
      <c r="L96" s="788"/>
      <c r="M96" s="3" t="s">
        <v>157</v>
      </c>
      <c r="V96" s="185"/>
    </row>
    <row r="97" spans="1:22" ht="18" hidden="1" customHeight="1">
      <c r="A97" s="184"/>
      <c r="C97" s="96" t="s">
        <v>405</v>
      </c>
      <c r="D97" s="14"/>
      <c r="E97" s="47"/>
      <c r="F97" s="14"/>
      <c r="H97" s="199"/>
      <c r="I97" s="27"/>
      <c r="J97" s="101" t="s">
        <v>127</v>
      </c>
      <c r="K97" s="1108"/>
      <c r="L97" s="788"/>
      <c r="M97" s="202" t="s">
        <v>157</v>
      </c>
      <c r="V97" s="185"/>
    </row>
    <row r="98" spans="1:22" ht="18" hidden="1" customHeight="1">
      <c r="A98" s="184"/>
      <c r="C98" s="96" t="s">
        <v>405</v>
      </c>
      <c r="D98" s="14"/>
      <c r="E98" s="47"/>
      <c r="F98" s="14"/>
      <c r="H98" s="199"/>
      <c r="I98" s="27"/>
      <c r="J98" s="101" t="s">
        <v>127</v>
      </c>
      <c r="K98" s="1108"/>
      <c r="L98" s="788"/>
      <c r="M98" s="202" t="s">
        <v>157</v>
      </c>
      <c r="V98" s="185"/>
    </row>
    <row r="99" spans="1:22" ht="18" hidden="1" customHeight="1">
      <c r="A99" s="184"/>
      <c r="C99" s="96" t="s">
        <v>405</v>
      </c>
      <c r="D99" s="14"/>
      <c r="E99" s="47"/>
      <c r="F99" s="14"/>
      <c r="H99" s="199"/>
      <c r="I99" s="27"/>
      <c r="J99" s="101" t="s">
        <v>127</v>
      </c>
      <c r="K99" s="1108"/>
      <c r="L99" s="788"/>
      <c r="M99" s="202" t="s">
        <v>157</v>
      </c>
      <c r="V99" s="185"/>
    </row>
    <row r="100" spans="1:22" ht="18" hidden="1" customHeight="1">
      <c r="A100" s="184"/>
      <c r="B100" s="117"/>
      <c r="C100" s="96" t="s">
        <v>405</v>
      </c>
      <c r="D100" s="14"/>
      <c r="E100" s="47"/>
      <c r="F100" s="14"/>
      <c r="H100" s="199"/>
      <c r="I100" s="27"/>
      <c r="J100" s="101" t="s">
        <v>127</v>
      </c>
      <c r="K100" s="1108">
        <v>4</v>
      </c>
      <c r="L100" s="788"/>
      <c r="M100" s="202" t="s">
        <v>157</v>
      </c>
      <c r="N100" s="14"/>
      <c r="O100" s="14"/>
      <c r="P100" s="28"/>
      <c r="Q100" s="199"/>
      <c r="R100" s="14"/>
      <c r="S100" s="14"/>
      <c r="T100" s="14"/>
      <c r="U100" s="14"/>
      <c r="V100" s="185"/>
    </row>
    <row r="101" spans="1:22" ht="18" hidden="1" customHeight="1">
      <c r="A101" s="184"/>
      <c r="C101" s="96" t="s">
        <v>781</v>
      </c>
      <c r="D101" s="14"/>
      <c r="E101" s="47"/>
      <c r="F101" s="14"/>
      <c r="H101" s="199"/>
      <c r="I101" s="27"/>
      <c r="J101" s="101" t="s">
        <v>127</v>
      </c>
      <c r="K101" s="696">
        <f>SUM(K96:L100)</f>
        <v>4</v>
      </c>
      <c r="L101" s="820"/>
      <c r="M101" s="202" t="s">
        <v>157</v>
      </c>
      <c r="R101" s="14"/>
      <c r="S101" s="14"/>
      <c r="T101" s="14"/>
      <c r="U101" s="281"/>
      <c r="V101" s="185"/>
    </row>
    <row r="102" spans="1:22" ht="18" hidden="1" customHeight="1">
      <c r="A102" s="184"/>
      <c r="C102" s="184" t="s">
        <v>412</v>
      </c>
      <c r="D102" s="14"/>
      <c r="E102" s="14"/>
      <c r="F102" s="14"/>
      <c r="I102" s="27"/>
      <c r="J102" s="101" t="s">
        <v>127</v>
      </c>
      <c r="K102" s="1349">
        <f>K114</f>
        <v>1.0270175682644623E-2</v>
      </c>
      <c r="L102" s="1350"/>
      <c r="M102" s="297" t="s">
        <v>157</v>
      </c>
      <c r="R102" s="14"/>
      <c r="S102" s="14"/>
      <c r="T102" s="14"/>
      <c r="U102" s="281"/>
      <c r="V102" s="185"/>
    </row>
    <row r="103" spans="1:22" ht="18" hidden="1" customHeight="1">
      <c r="A103" s="184"/>
      <c r="C103" s="1" t="s">
        <v>413</v>
      </c>
      <c r="D103" s="2"/>
      <c r="E103" s="2"/>
      <c r="F103" s="2"/>
      <c r="G103" s="196"/>
      <c r="H103" s="196"/>
      <c r="I103" s="224" t="s">
        <v>512</v>
      </c>
      <c r="J103" s="183" t="s">
        <v>127</v>
      </c>
      <c r="K103" s="1349">
        <f>K101+K102</f>
        <v>4.0102701756826447</v>
      </c>
      <c r="L103" s="1350"/>
      <c r="M103" s="3" t="s">
        <v>157</v>
      </c>
      <c r="R103" s="14"/>
      <c r="S103" s="14"/>
      <c r="T103" s="14"/>
      <c r="U103" s="281"/>
      <c r="V103" s="185"/>
    </row>
    <row r="104" spans="1:22" ht="18" hidden="1" customHeight="1">
      <c r="A104" s="96"/>
      <c r="B104" s="14"/>
      <c r="C104" s="120"/>
      <c r="D104" s="47"/>
      <c r="E104" s="47"/>
      <c r="F104" s="47"/>
      <c r="G104" s="47"/>
      <c r="H104" s="47"/>
      <c r="I104" s="47"/>
      <c r="J104" s="14"/>
      <c r="K104" s="28"/>
      <c r="L104" s="14"/>
      <c r="M104" s="14"/>
      <c r="N104" s="218"/>
      <c r="O104" s="218"/>
      <c r="P104" s="14"/>
      <c r="R104" s="14"/>
      <c r="S104" s="14"/>
      <c r="T104" s="14"/>
      <c r="U104" s="14"/>
      <c r="V104" s="185"/>
    </row>
    <row r="105" spans="1:22" ht="18" hidden="1" customHeight="1">
      <c r="A105" s="184"/>
      <c r="R105" s="14"/>
      <c r="S105" s="14"/>
      <c r="T105" s="14"/>
      <c r="U105" s="186"/>
      <c r="V105" s="185"/>
    </row>
    <row r="106" spans="1:22" ht="18" hidden="1" customHeight="1">
      <c r="A106" s="184"/>
      <c r="B106" s="117" t="s">
        <v>782</v>
      </c>
      <c r="V106" s="185"/>
    </row>
    <row r="107" spans="1:22" ht="18" hidden="1" customHeight="1">
      <c r="A107" s="184"/>
      <c r="V107" s="185"/>
    </row>
    <row r="108" spans="1:22" ht="18" hidden="1" customHeight="1">
      <c r="A108" s="184"/>
      <c r="B108" s="14" t="s">
        <v>783</v>
      </c>
      <c r="C108" s="14"/>
      <c r="D108" s="120"/>
      <c r="J108" s="28" t="s">
        <v>127</v>
      </c>
      <c r="K108" s="47" t="s">
        <v>781</v>
      </c>
      <c r="M108" s="47"/>
      <c r="N108" s="47"/>
      <c r="P108" s="102" t="s">
        <v>342</v>
      </c>
      <c r="Q108" s="30" t="s">
        <v>784</v>
      </c>
      <c r="R108" s="14"/>
      <c r="V108" s="185"/>
    </row>
    <row r="109" spans="1:22" ht="18" hidden="1" customHeight="1">
      <c r="A109" s="184"/>
      <c r="B109" s="14"/>
      <c r="C109" s="14"/>
      <c r="D109" s="120"/>
      <c r="J109" s="28" t="s">
        <v>127</v>
      </c>
      <c r="K109" s="692">
        <f>K101</f>
        <v>4</v>
      </c>
      <c r="L109" s="689"/>
      <c r="M109" s="102" t="s">
        <v>342</v>
      </c>
      <c r="N109" s="692">
        <f>K91/SQRT(3)*1000</f>
        <v>63.508529610858844</v>
      </c>
      <c r="O109" s="689"/>
      <c r="V109" s="185"/>
    </row>
    <row r="110" spans="1:22" ht="18" hidden="1" customHeight="1">
      <c r="A110" s="184"/>
      <c r="B110" s="14"/>
      <c r="C110" s="14"/>
      <c r="D110" s="120"/>
      <c r="J110" s="28" t="s">
        <v>127</v>
      </c>
      <c r="K110" s="688">
        <f>K109/N109</f>
        <v>6.2983665729777344E-2</v>
      </c>
      <c r="L110" s="688"/>
      <c r="M110" s="47" t="s">
        <v>8</v>
      </c>
      <c r="N110" s="47"/>
      <c r="O110" s="14"/>
      <c r="P110" s="28"/>
      <c r="Q110" s="14"/>
      <c r="R110" s="14"/>
      <c r="V110" s="185"/>
    </row>
    <row r="111" spans="1:22" ht="18" hidden="1" customHeight="1">
      <c r="A111" s="184"/>
      <c r="V111" s="185"/>
    </row>
    <row r="112" spans="1:22" ht="18" hidden="1" customHeight="1">
      <c r="A112" s="184"/>
      <c r="B112" s="14" t="s">
        <v>785</v>
      </c>
      <c r="C112" s="14"/>
      <c r="D112" s="14"/>
      <c r="E112" s="14"/>
      <c r="F112" s="14"/>
      <c r="G112" s="14"/>
      <c r="H112" s="14"/>
      <c r="I112" s="47"/>
      <c r="J112" s="28" t="s">
        <v>127</v>
      </c>
      <c r="K112" s="689" t="s">
        <v>786</v>
      </c>
      <c r="L112" s="689"/>
      <c r="M112" s="28" t="s">
        <v>315</v>
      </c>
      <c r="N112" s="47" t="s">
        <v>787</v>
      </c>
      <c r="O112" s="14"/>
      <c r="P112" s="28"/>
      <c r="Q112" s="466"/>
      <c r="V112" s="185"/>
    </row>
    <row r="113" spans="1:22" ht="18" hidden="1" customHeight="1">
      <c r="A113" s="184"/>
      <c r="J113" s="28" t="s">
        <v>127</v>
      </c>
      <c r="K113" s="684">
        <f>K110*K110</f>
        <v>3.9669421487603289E-3</v>
      </c>
      <c r="L113" s="684"/>
      <c r="M113" s="28" t="s">
        <v>315</v>
      </c>
      <c r="N113" s="795">
        <f>N78</f>
        <v>2.5889401199999997</v>
      </c>
      <c r="O113" s="795"/>
      <c r="V113" s="185"/>
    </row>
    <row r="114" spans="1:22" ht="18" hidden="1" customHeight="1">
      <c r="A114" s="184"/>
      <c r="J114" s="28" t="s">
        <v>127</v>
      </c>
      <c r="K114" s="1145">
        <f>K113*N113</f>
        <v>1.0270175682644623E-2</v>
      </c>
      <c r="L114" s="1145"/>
      <c r="M114" s="30" t="s">
        <v>157</v>
      </c>
      <c r="V114" s="185"/>
    </row>
    <row r="115" spans="1:22" ht="18" hidden="1" customHeight="1">
      <c r="A115" s="184"/>
      <c r="V115" s="185"/>
    </row>
    <row r="116" spans="1:22" ht="18" hidden="1" customHeight="1">
      <c r="A116" s="184"/>
      <c r="B116" s="14" t="s">
        <v>788</v>
      </c>
      <c r="C116" s="14"/>
      <c r="D116" s="14"/>
      <c r="E116" s="28"/>
      <c r="F116" s="14"/>
      <c r="G116" s="14"/>
      <c r="H116" s="102"/>
      <c r="I116" s="47"/>
      <c r="J116" s="47"/>
      <c r="K116" s="14"/>
      <c r="V116" s="185"/>
    </row>
    <row r="117" spans="1:22" ht="18" hidden="1" customHeight="1">
      <c r="A117" s="184"/>
      <c r="B117" s="14"/>
      <c r="C117" s="14"/>
      <c r="D117" s="257"/>
      <c r="E117" s="120" t="s">
        <v>789</v>
      </c>
      <c r="F117" s="27" t="str">
        <f>IF(D118&gt;=G118,"&gt;","&lt;")</f>
        <v>&gt;</v>
      </c>
      <c r="G117" s="281" t="s">
        <v>119</v>
      </c>
      <c r="H117" s="218"/>
      <c r="J117" s="28"/>
      <c r="K117" s="218"/>
      <c r="V117" s="185"/>
    </row>
    <row r="118" spans="1:22" ht="18" hidden="1" customHeight="1">
      <c r="A118" s="184"/>
      <c r="D118" s="684">
        <f>H93</f>
        <v>50</v>
      </c>
      <c r="E118" s="684"/>
      <c r="F118" s="27" t="str">
        <f>F117</f>
        <v>&gt;</v>
      </c>
      <c r="G118" s="1145">
        <f>K103</f>
        <v>4.0102701756826447</v>
      </c>
      <c r="H118" s="684"/>
      <c r="I118" s="14"/>
      <c r="J118" s="257"/>
      <c r="V118" s="185"/>
    </row>
    <row r="119" spans="1:22" ht="18" hidden="1" customHeight="1">
      <c r="A119" s="184"/>
      <c r="D119" s="199"/>
      <c r="E119" s="244" t="s">
        <v>790</v>
      </c>
      <c r="F119" s="27"/>
      <c r="G119" s="18" t="str">
        <f>IF(F117="&gt;","Suitably Dimensioned","Under Dimensioned")</f>
        <v>Suitably Dimensioned</v>
      </c>
      <c r="H119" s="27"/>
      <c r="I119" s="120"/>
      <c r="J119" s="27"/>
      <c r="K119" s="120"/>
      <c r="V119" s="185"/>
    </row>
    <row r="120" spans="1:22" ht="18" hidden="1" customHeight="1">
      <c r="A120" s="184"/>
      <c r="D120" s="199"/>
      <c r="E120" s="244"/>
      <c r="F120" s="27"/>
      <c r="G120" s="18"/>
      <c r="H120" s="27"/>
      <c r="I120" s="120"/>
      <c r="J120" s="27"/>
      <c r="K120" s="120"/>
      <c r="V120" s="185"/>
    </row>
    <row r="121" spans="1:22" ht="18" hidden="1" customHeight="1">
      <c r="A121" s="184"/>
      <c r="D121" s="199"/>
      <c r="E121" s="244"/>
      <c r="F121" s="27"/>
      <c r="G121" s="18"/>
      <c r="H121" s="27"/>
      <c r="I121" s="120"/>
      <c r="J121" s="27"/>
      <c r="K121" s="120"/>
      <c r="V121" s="185"/>
    </row>
    <row r="122" spans="1:22" ht="18" hidden="1" customHeight="1">
      <c r="A122" s="184"/>
      <c r="D122" s="199"/>
      <c r="E122" s="244"/>
      <c r="F122" s="27"/>
      <c r="G122" s="18"/>
      <c r="H122" s="27"/>
      <c r="I122" s="120"/>
      <c r="J122" s="27"/>
      <c r="K122" s="120"/>
      <c r="V122" s="185"/>
    </row>
    <row r="123" spans="1:22" ht="18" hidden="1" customHeight="1">
      <c r="A123" s="184"/>
      <c r="D123" s="199"/>
      <c r="E123" s="244"/>
      <c r="F123" s="27"/>
      <c r="G123" s="18"/>
      <c r="H123" s="27"/>
      <c r="I123" s="120"/>
      <c r="J123" s="27"/>
      <c r="K123" s="120"/>
      <c r="V123" s="185"/>
    </row>
    <row r="124" spans="1:22" ht="18" hidden="1" customHeight="1">
      <c r="A124" s="184"/>
      <c r="D124" s="199"/>
      <c r="E124" s="244"/>
      <c r="F124" s="27"/>
      <c r="G124" s="18"/>
      <c r="H124" s="27"/>
      <c r="I124" s="120"/>
      <c r="J124" s="27"/>
      <c r="K124" s="120"/>
      <c r="V124" s="185"/>
    </row>
    <row r="125" spans="1:22" ht="18" hidden="1" customHeight="1">
      <c r="A125" s="184"/>
      <c r="V125" s="185"/>
    </row>
    <row r="126" spans="1:22" ht="18" hidden="1" customHeight="1">
      <c r="A126" s="184"/>
      <c r="V126" s="185"/>
    </row>
    <row r="127" spans="1:22" ht="18" hidden="1" customHeight="1">
      <c r="A127" s="184"/>
      <c r="V127" s="185"/>
    </row>
    <row r="128" spans="1:22" ht="18" hidden="1" customHeight="1">
      <c r="A128" s="184"/>
      <c r="V128" s="185"/>
    </row>
    <row r="129" spans="1:22" ht="18" hidden="1" customHeight="1">
      <c r="A129" s="184"/>
      <c r="V129" s="185"/>
    </row>
    <row r="130" spans="1:22" ht="18" hidden="1" customHeight="1">
      <c r="A130" s="184"/>
      <c r="V130" s="185"/>
    </row>
    <row r="131" spans="1:22" s="14" customFormat="1" ht="18" hidden="1" customHeight="1">
      <c r="A131" s="194"/>
      <c r="B131" s="195"/>
      <c r="C131" s="195"/>
      <c r="D131" s="195"/>
      <c r="E131" s="195"/>
      <c r="F131" s="195"/>
      <c r="G131" s="195"/>
      <c r="H131" s="195"/>
      <c r="I131" s="195"/>
      <c r="J131" s="195"/>
      <c r="K131" s="195"/>
      <c r="L131" s="195"/>
      <c r="M131" s="195"/>
      <c r="N131" s="195"/>
      <c r="O131" s="195"/>
      <c r="P131" s="195"/>
      <c r="Q131" s="224"/>
      <c r="R131" s="182"/>
      <c r="S131" s="1351"/>
      <c r="T131" s="1352"/>
      <c r="U131" s="195"/>
      <c r="V131" s="134" t="s">
        <v>552</v>
      </c>
    </row>
    <row r="132" spans="1:22" s="14" customFormat="1" ht="18" customHeight="1">
      <c r="A132" s="135"/>
      <c r="B132" s="273"/>
      <c r="C132" s="273"/>
      <c r="D132" s="273"/>
      <c r="E132" s="273"/>
      <c r="F132" s="273"/>
      <c r="G132" s="273"/>
      <c r="H132" s="273"/>
      <c r="I132" s="273"/>
      <c r="J132" s="273"/>
      <c r="K132" s="273"/>
      <c r="L132" s="273"/>
      <c r="M132" s="273"/>
      <c r="N132" s="273"/>
      <c r="O132" s="273"/>
      <c r="P132" s="273"/>
      <c r="Q132" s="274"/>
      <c r="R132" s="138"/>
      <c r="S132" s="275"/>
      <c r="T132" s="273"/>
      <c r="U132" s="273"/>
      <c r="V132" s="276"/>
    </row>
    <row r="133" spans="1:22" ht="18" customHeight="1">
      <c r="A133" s="96" t="s">
        <v>806</v>
      </c>
      <c r="V133" s="185"/>
    </row>
    <row r="134" spans="1:22" ht="18" customHeight="1">
      <c r="A134" s="853" t="s">
        <v>115</v>
      </c>
      <c r="B134" s="853"/>
      <c r="C134" s="853"/>
      <c r="D134" s="853"/>
      <c r="E134" s="853" t="s">
        <v>116</v>
      </c>
      <c r="F134" s="853"/>
      <c r="G134" s="853"/>
      <c r="H134" s="853"/>
      <c r="I134" s="853"/>
      <c r="J134" s="868" t="s">
        <v>117</v>
      </c>
      <c r="K134" s="868"/>
      <c r="L134" s="868" t="s">
        <v>88</v>
      </c>
      <c r="M134" s="868"/>
      <c r="N134" s="868" t="s">
        <v>100</v>
      </c>
      <c r="O134" s="868"/>
      <c r="P134" s="868"/>
      <c r="Q134" s="853" t="s">
        <v>794</v>
      </c>
      <c r="R134" s="853"/>
      <c r="S134" s="853"/>
      <c r="T134" s="853"/>
      <c r="U134" s="853"/>
      <c r="V134" s="853"/>
    </row>
    <row r="135" spans="1:22" ht="18" customHeight="1">
      <c r="A135" s="853"/>
      <c r="B135" s="853"/>
      <c r="C135" s="853"/>
      <c r="D135" s="853"/>
      <c r="E135" s="853"/>
      <c r="F135" s="853"/>
      <c r="G135" s="853"/>
      <c r="H135" s="853"/>
      <c r="I135" s="853"/>
      <c r="J135" s="868"/>
      <c r="K135" s="868"/>
      <c r="L135" s="868"/>
      <c r="M135" s="868"/>
      <c r="N135" s="868"/>
      <c r="O135" s="868"/>
      <c r="P135" s="868"/>
      <c r="Q135" s="853"/>
      <c r="R135" s="853"/>
      <c r="S135" s="853"/>
      <c r="T135" s="853"/>
      <c r="U135" s="853"/>
      <c r="V135" s="853"/>
    </row>
    <row r="136" spans="1:22" ht="18" customHeight="1">
      <c r="A136" s="853"/>
      <c r="B136" s="853"/>
      <c r="C136" s="853"/>
      <c r="D136" s="853"/>
      <c r="E136" s="1356"/>
      <c r="F136" s="1356"/>
      <c r="G136" s="853"/>
      <c r="H136" s="853"/>
      <c r="I136" s="853"/>
      <c r="J136" s="868"/>
      <c r="K136" s="868"/>
      <c r="L136" s="868"/>
      <c r="M136" s="868"/>
      <c r="N136" s="868"/>
      <c r="O136" s="868"/>
      <c r="P136" s="868"/>
      <c r="Q136" s="853"/>
      <c r="R136" s="853"/>
      <c r="S136" s="853"/>
      <c r="T136" s="853"/>
      <c r="U136" s="853"/>
      <c r="V136" s="853"/>
    </row>
    <row r="137" spans="1:22" ht="18" customHeight="1">
      <c r="A137" s="1361" t="str">
        <f>B7&amp;","&amp;B8&amp;","&amp;B9</f>
        <v>T15,T16,T17</v>
      </c>
      <c r="B137" s="1362"/>
      <c r="C137" s="876" t="str">
        <f>D7</f>
        <v>Core1</v>
      </c>
      <c r="D137" s="990"/>
      <c r="E137" s="342">
        <f>H11</f>
        <v>33</v>
      </c>
      <c r="F137" s="246" t="str">
        <f>I11</f>
        <v>/ √3</v>
      </c>
      <c r="G137" s="343" t="s">
        <v>342</v>
      </c>
      <c r="H137" s="243">
        <f>K11</f>
        <v>0.11</v>
      </c>
      <c r="I137" s="246" t="str">
        <f>L11</f>
        <v>/ √3</v>
      </c>
      <c r="J137" s="1363">
        <f>'CT-VT Burdens'!S67</f>
        <v>120</v>
      </c>
      <c r="K137" s="1038">
        <f>'CT-VT Burdens'!S56</f>
        <v>2.5</v>
      </c>
      <c r="L137" s="958" t="str">
        <f>H12</f>
        <v>0.5/3P</v>
      </c>
      <c r="M137" s="958"/>
      <c r="N137" s="958">
        <f>H13</f>
        <v>20</v>
      </c>
      <c r="O137" s="958"/>
      <c r="P137" s="958"/>
      <c r="Q137" s="958" t="str">
        <f>G39</f>
        <v>Suitably Dimensioned</v>
      </c>
      <c r="R137" s="958"/>
      <c r="S137" s="958"/>
      <c r="T137" s="958"/>
      <c r="U137" s="958"/>
      <c r="V137" s="958"/>
    </row>
    <row r="138" spans="1:22" ht="18" customHeight="1">
      <c r="A138" s="698"/>
      <c r="B138" s="767"/>
      <c r="C138" s="958" t="str">
        <f>D48</f>
        <v>Core2</v>
      </c>
      <c r="D138" s="958"/>
      <c r="E138" s="342">
        <f>H52</f>
        <v>33</v>
      </c>
      <c r="F138" s="246" t="str">
        <f>I52</f>
        <v>/ √3</v>
      </c>
      <c r="G138" s="467" t="s">
        <v>342</v>
      </c>
      <c r="H138" s="243">
        <f>K52</f>
        <v>0.11</v>
      </c>
      <c r="I138" s="246" t="str">
        <f>L52</f>
        <v>/ √3</v>
      </c>
      <c r="J138" s="1363"/>
      <c r="K138" s="958"/>
      <c r="L138" s="958">
        <f>H53</f>
        <v>0.2</v>
      </c>
      <c r="M138" s="958"/>
      <c r="N138" s="958">
        <f>H54</f>
        <v>10</v>
      </c>
      <c r="O138" s="958"/>
      <c r="P138" s="958"/>
      <c r="Q138" s="958" t="str">
        <f>G84</f>
        <v>Suitably Dimensioned</v>
      </c>
      <c r="R138" s="958"/>
      <c r="S138" s="958"/>
      <c r="T138" s="958"/>
      <c r="U138" s="958"/>
      <c r="V138" s="958"/>
    </row>
    <row r="139" spans="1:22" ht="18" customHeight="1">
      <c r="A139" s="768"/>
      <c r="B139" s="770"/>
      <c r="C139" s="958"/>
      <c r="D139" s="958"/>
      <c r="E139" s="342"/>
      <c r="F139" s="246"/>
      <c r="G139" s="467"/>
      <c r="H139" s="243"/>
      <c r="I139" s="246"/>
      <c r="J139" s="1363"/>
      <c r="K139" s="958"/>
      <c r="L139" s="958"/>
      <c r="M139" s="958"/>
      <c r="N139" s="958"/>
      <c r="O139" s="958"/>
      <c r="P139" s="958"/>
      <c r="Q139" s="958"/>
      <c r="R139" s="958"/>
      <c r="S139" s="958"/>
      <c r="T139" s="958"/>
      <c r="U139" s="958"/>
      <c r="V139" s="958"/>
    </row>
    <row r="140" spans="1:22" ht="18" customHeight="1">
      <c r="A140" s="184"/>
      <c r="V140" s="185"/>
    </row>
    <row r="141" spans="1:22" ht="18" customHeight="1">
      <c r="A141" s="184"/>
      <c r="V141" s="185"/>
    </row>
    <row r="142" spans="1:22" ht="18" customHeight="1">
      <c r="A142" s="184"/>
      <c r="V142" s="185"/>
    </row>
    <row r="143" spans="1:22" ht="18" customHeight="1">
      <c r="A143" s="184"/>
      <c r="V143" s="185"/>
    </row>
    <row r="144" spans="1:22" ht="18" customHeight="1">
      <c r="A144" s="184"/>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ht="18" customHeight="1">
      <c r="A170" s="184"/>
      <c r="V170" s="185"/>
    </row>
    <row r="171" spans="1:22" ht="18" customHeight="1">
      <c r="A171" s="184"/>
      <c r="V171" s="185"/>
    </row>
    <row r="172" spans="1:22" s="14" customFormat="1" ht="18" customHeight="1">
      <c r="A172" s="194"/>
      <c r="B172" s="195"/>
      <c r="C172" s="195"/>
      <c r="D172" s="195"/>
      <c r="E172" s="195"/>
      <c r="F172" s="195"/>
      <c r="G172" s="195"/>
      <c r="H172" s="195"/>
      <c r="I172" s="195"/>
      <c r="J172" s="195"/>
      <c r="K172" s="195"/>
      <c r="L172" s="195"/>
      <c r="M172" s="195"/>
      <c r="N172" s="195"/>
      <c r="O172" s="195"/>
      <c r="P172" s="195"/>
      <c r="Q172" s="224"/>
      <c r="R172" s="182"/>
      <c r="S172" s="1351"/>
      <c r="T172" s="1352"/>
      <c r="U172" s="195"/>
      <c r="V172" s="134"/>
    </row>
  </sheetData>
  <mergeCells count="112">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53:I53"/>
    <mergeCell ref="H54:I54"/>
    <mergeCell ref="K33:L33"/>
    <mergeCell ref="N33:O33"/>
    <mergeCell ref="K34:L34"/>
    <mergeCell ref="D38:E38"/>
    <mergeCell ref="G38:H38"/>
    <mergeCell ref="K63:L63"/>
    <mergeCell ref="K64:L64"/>
    <mergeCell ref="K66:L66"/>
    <mergeCell ref="K67:L67"/>
    <mergeCell ref="K68:L68"/>
    <mergeCell ref="K74:L74"/>
    <mergeCell ref="K57:L57"/>
    <mergeCell ref="K58:L58"/>
    <mergeCell ref="K59:L59"/>
    <mergeCell ref="K60:L60"/>
    <mergeCell ref="K61:L61"/>
    <mergeCell ref="K62:L62"/>
    <mergeCell ref="B89:C89"/>
    <mergeCell ref="D89:E89"/>
    <mergeCell ref="H92:I92"/>
    <mergeCell ref="N74:O74"/>
    <mergeCell ref="K75:L75"/>
    <mergeCell ref="K77:L77"/>
    <mergeCell ref="K78:L78"/>
    <mergeCell ref="N78:O78"/>
    <mergeCell ref="K79:L79"/>
    <mergeCell ref="H93:I93"/>
    <mergeCell ref="K96:L96"/>
    <mergeCell ref="K97:L97"/>
    <mergeCell ref="K98:L98"/>
    <mergeCell ref="K99:L99"/>
    <mergeCell ref="K100:L100"/>
    <mergeCell ref="D83:E83"/>
    <mergeCell ref="G83:H83"/>
    <mergeCell ref="S87:T87"/>
    <mergeCell ref="K112:L112"/>
    <mergeCell ref="K113:L113"/>
    <mergeCell ref="N113:O113"/>
    <mergeCell ref="K114:L114"/>
    <mergeCell ref="D118:E118"/>
    <mergeCell ref="G118:H118"/>
    <mergeCell ref="K101:L101"/>
    <mergeCell ref="K102:L102"/>
    <mergeCell ref="K103:L103"/>
    <mergeCell ref="K109:L109"/>
    <mergeCell ref="N109:O109"/>
    <mergeCell ref="K110:L110"/>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S172:T172"/>
    <mergeCell ref="Q137:V137"/>
    <mergeCell ref="C138:D138"/>
    <mergeCell ref="L138:M138"/>
    <mergeCell ref="N138:P138"/>
    <mergeCell ref="Q138:V138"/>
    <mergeCell ref="C139:D139"/>
    <mergeCell ref="L139:M139"/>
    <mergeCell ref="N139:P139"/>
    <mergeCell ref="Q139:V139"/>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codeName="Sheet62">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920" t="s">
        <v>0</v>
      </c>
      <c r="B1" s="921"/>
      <c r="C1" s="921"/>
      <c r="D1" s="921"/>
      <c r="E1" s="921"/>
      <c r="F1" s="921"/>
      <c r="G1" s="922"/>
      <c r="H1" s="906" t="str">
        <f>[5]Title!H1</f>
        <v>CT / VT</v>
      </c>
      <c r="I1" s="929"/>
      <c r="J1" s="929"/>
      <c r="K1" s="929"/>
      <c r="L1" s="929"/>
      <c r="M1" s="929"/>
      <c r="N1" s="930"/>
      <c r="O1" s="885" t="str">
        <f>[5]Title!O1</f>
        <v>Contract No.</v>
      </c>
      <c r="P1" s="886"/>
      <c r="Q1" s="887"/>
      <c r="R1" s="775" t="str">
        <f>[5]Title!R1</f>
        <v>N-19957.1-DF5W</v>
      </c>
      <c r="S1" s="1068"/>
      <c r="T1" s="1068"/>
      <c r="U1" s="1068"/>
      <c r="V1" s="776"/>
      <c r="W1" s="14"/>
      <c r="X1" s="14"/>
    </row>
    <row r="2" spans="1:29" ht="18" customHeight="1">
      <c r="A2" s="923"/>
      <c r="B2" s="924"/>
      <c r="C2" s="924"/>
      <c r="D2" s="924"/>
      <c r="E2" s="924"/>
      <c r="F2" s="924"/>
      <c r="G2" s="925"/>
      <c r="H2" s="909" t="str">
        <f>[5]Title!H2</f>
        <v>ADEQUACY CHECK</v>
      </c>
      <c r="I2" s="934"/>
      <c r="J2" s="934"/>
      <c r="K2" s="934"/>
      <c r="L2" s="934"/>
      <c r="M2" s="934"/>
      <c r="N2" s="935"/>
      <c r="O2" s="885" t="str">
        <f>[5]Title!O2</f>
        <v>Date</v>
      </c>
      <c r="P2" s="886"/>
      <c r="Q2" s="887"/>
      <c r="R2" s="1069">
        <f>[5]Title!R2</f>
        <v>45925</v>
      </c>
      <c r="S2" s="1068"/>
      <c r="T2" s="1068"/>
      <c r="U2" s="1068"/>
      <c r="V2" s="776"/>
      <c r="W2" s="14"/>
      <c r="X2" s="14"/>
    </row>
    <row r="3" spans="1:29" ht="18" customHeight="1">
      <c r="A3" s="923"/>
      <c r="B3" s="924"/>
      <c r="C3" s="924"/>
      <c r="D3" s="924"/>
      <c r="E3" s="924"/>
      <c r="F3" s="924"/>
      <c r="G3" s="925"/>
      <c r="H3" s="1083" t="str">
        <f>[5]Title!H3</f>
        <v>33kV DF5W SS</v>
      </c>
      <c r="I3" s="1084"/>
      <c r="J3" s="1084"/>
      <c r="K3" s="1084"/>
      <c r="L3" s="1084"/>
      <c r="M3" s="1084"/>
      <c r="N3" s="1085"/>
      <c r="O3" s="885" t="str">
        <f>[5]Title!O3</f>
        <v>Document No.</v>
      </c>
      <c r="P3" s="886"/>
      <c r="Q3" s="887"/>
      <c r="R3" s="775" t="str">
        <f>[5]Title!R3</f>
        <v>-</v>
      </c>
      <c r="S3" s="1068"/>
      <c r="T3" s="1068"/>
      <c r="U3" s="1068"/>
      <c r="V3" s="776"/>
      <c r="W3" s="14"/>
      <c r="X3" s="14"/>
    </row>
    <row r="4" spans="1:29" ht="18" customHeight="1">
      <c r="A4" s="926"/>
      <c r="B4" s="927"/>
      <c r="C4" s="927"/>
      <c r="D4" s="927"/>
      <c r="E4" s="927"/>
      <c r="F4" s="927"/>
      <c r="G4" s="928"/>
      <c r="H4" s="1086"/>
      <c r="I4" s="1087"/>
      <c r="J4" s="1087"/>
      <c r="K4" s="1087"/>
      <c r="L4" s="1087"/>
      <c r="M4" s="1087"/>
      <c r="N4" s="1088"/>
      <c r="O4" s="885" t="str">
        <f>[5]Title!O4</f>
        <v>Revision No.</v>
      </c>
      <c r="P4" s="886"/>
      <c r="Q4" s="887"/>
      <c r="R4" s="775" t="str">
        <f>[5]Title!R4</f>
        <v>A</v>
      </c>
      <c r="S4" s="1068"/>
      <c r="T4" s="1068"/>
      <c r="U4" s="1068"/>
      <c r="V4" s="776"/>
      <c r="W4" s="14"/>
      <c r="X4" s="14"/>
    </row>
    <row r="5" spans="1:29" ht="18" customHeight="1">
      <c r="A5" s="880" t="str">
        <f>[5]Title!A5</f>
        <v>Prep. By</v>
      </c>
      <c r="B5" s="943"/>
      <c r="C5" s="25" t="str">
        <f>[5]Title!C5</f>
        <v>AP</v>
      </c>
      <c r="D5" s="880" t="str">
        <f>[5]Title!D5</f>
        <v>Checked By</v>
      </c>
      <c r="E5" s="881"/>
      <c r="F5" s="943"/>
      <c r="G5" s="25" t="str">
        <f>[5]Title!G5</f>
        <v>RB</v>
      </c>
      <c r="H5" s="944" t="s">
        <v>384</v>
      </c>
      <c r="I5" s="945"/>
      <c r="J5" s="945"/>
      <c r="K5" s="945"/>
      <c r="L5" s="945"/>
      <c r="M5" s="945"/>
      <c r="N5" s="946"/>
      <c r="O5" s="947" t="str">
        <f>[5]Title!O5</f>
        <v>Contractor</v>
      </c>
      <c r="P5" s="948"/>
      <c r="Q5" s="949"/>
      <c r="R5" s="775" t="str">
        <f>[5]Title!R5</f>
        <v>HITACHI</v>
      </c>
      <c r="S5" s="1068"/>
      <c r="T5" s="1068"/>
      <c r="U5" s="1068"/>
      <c r="V5" s="776"/>
      <c r="W5" s="14"/>
      <c r="X5" s="14"/>
    </row>
    <row r="6" spans="1:29" ht="18" customHeight="1">
      <c r="A6" s="184"/>
      <c r="V6" s="185"/>
    </row>
    <row r="7" spans="1:29" ht="18" customHeight="1">
      <c r="A7" s="184"/>
      <c r="B7" s="1075" t="s">
        <v>835</v>
      </c>
      <c r="C7" s="1076"/>
      <c r="D7" s="1075" t="s">
        <v>506</v>
      </c>
      <c r="E7" s="1076"/>
      <c r="F7" s="1319" t="s">
        <v>836</v>
      </c>
      <c r="G7" s="1319"/>
      <c r="H7" s="689" t="s">
        <v>837</v>
      </c>
      <c r="I7" s="689"/>
      <c r="J7" s="689"/>
      <c r="K7" s="689"/>
      <c r="L7" s="689"/>
      <c r="M7" s="689"/>
      <c r="P7" s="186"/>
      <c r="S7" s="187" t="s">
        <v>387</v>
      </c>
      <c r="T7" s="1075" t="s">
        <v>885</v>
      </c>
      <c r="U7" s="1076"/>
      <c r="V7" s="185"/>
    </row>
    <row r="8" spans="1:29" ht="18" customHeight="1">
      <c r="A8" s="184"/>
      <c r="B8" s="1092" t="s">
        <v>838</v>
      </c>
      <c r="C8" s="1092"/>
      <c r="D8" s="1075" t="s">
        <v>112</v>
      </c>
      <c r="E8" s="1076"/>
      <c r="F8" s="455"/>
      <c r="T8" s="1075"/>
      <c r="U8" s="1076"/>
      <c r="V8" s="185"/>
    </row>
    <row r="9" spans="1:29" ht="18" customHeight="1">
      <c r="A9" s="184"/>
      <c r="H9" s="789" t="s">
        <v>390</v>
      </c>
      <c r="I9" s="789"/>
      <c r="J9" s="790" t="s">
        <v>391</v>
      </c>
      <c r="K9" s="790"/>
      <c r="L9" s="790" t="s">
        <v>392</v>
      </c>
      <c r="M9" s="790"/>
      <c r="T9" s="1075"/>
      <c r="U9" s="1076"/>
      <c r="V9" s="185"/>
    </row>
    <row r="10" spans="1:29" ht="18" customHeight="1">
      <c r="A10" s="184"/>
      <c r="B10" s="47" t="s">
        <v>393</v>
      </c>
      <c r="H10" s="1090">
        <v>4000</v>
      </c>
      <c r="I10" s="1091"/>
      <c r="J10" s="1075">
        <v>3000</v>
      </c>
      <c r="K10" s="1076"/>
      <c r="L10" s="1075" t="s">
        <v>6</v>
      </c>
      <c r="M10" s="1076"/>
      <c r="N10" s="191" t="s">
        <v>342</v>
      </c>
      <c r="O10" s="501">
        <v>1</v>
      </c>
      <c r="P10" s="27" t="s">
        <v>8</v>
      </c>
      <c r="V10" s="185"/>
    </row>
    <row r="11" spans="1:29" ht="18" customHeight="1">
      <c r="A11" s="184"/>
      <c r="B11" s="47" t="s">
        <v>394</v>
      </c>
      <c r="H11" s="1075" t="s">
        <v>395</v>
      </c>
      <c r="I11" s="1076"/>
      <c r="V11" s="185"/>
    </row>
    <row r="12" spans="1:29" ht="18" customHeight="1">
      <c r="A12" s="184"/>
      <c r="B12" s="47" t="s">
        <v>396</v>
      </c>
      <c r="G12" s="120" t="s">
        <v>497</v>
      </c>
      <c r="H12" s="1075">
        <v>14</v>
      </c>
      <c r="I12" s="1076"/>
      <c r="J12" s="192" t="s">
        <v>333</v>
      </c>
      <c r="V12" s="185"/>
    </row>
    <row r="13" spans="1:29" ht="18" customHeight="1">
      <c r="A13" s="184"/>
      <c r="B13" s="47" t="s">
        <v>398</v>
      </c>
      <c r="G13" s="120" t="s">
        <v>498</v>
      </c>
      <c r="H13" s="1075">
        <v>4000</v>
      </c>
      <c r="I13" s="1076"/>
      <c r="J13" s="14" t="s">
        <v>305</v>
      </c>
      <c r="V13" s="185"/>
      <c r="W13" s="30" t="s">
        <v>400</v>
      </c>
      <c r="AB13" s="785">
        <f>M118</f>
        <v>2930.2612520379485</v>
      </c>
      <c r="AC13" s="786"/>
    </row>
    <row r="14" spans="1:29" ht="18" customHeight="1">
      <c r="A14" s="184"/>
      <c r="B14" s="14" t="s">
        <v>401</v>
      </c>
      <c r="G14" s="120" t="s">
        <v>402</v>
      </c>
      <c r="H14" s="1075">
        <v>25</v>
      </c>
      <c r="I14" s="1076"/>
      <c r="J14" s="14" t="s">
        <v>403</v>
      </c>
      <c r="V14" s="185"/>
    </row>
    <row r="15" spans="1:29" ht="18" customHeight="1">
      <c r="A15" s="184"/>
      <c r="V15" s="185"/>
    </row>
    <row r="16" spans="1:29" ht="18" customHeight="1">
      <c r="A16" s="193" t="s">
        <v>404</v>
      </c>
      <c r="V16" s="185"/>
    </row>
    <row r="17" spans="1:22" ht="18" customHeight="1">
      <c r="A17" s="184"/>
      <c r="V17" s="185"/>
    </row>
    <row r="18" spans="1:22" ht="18" customHeight="1">
      <c r="A18" s="184"/>
      <c r="B18" s="194" t="s">
        <v>405</v>
      </c>
      <c r="C18" s="195"/>
      <c r="D18" s="195" t="str">
        <f>T7</f>
        <v>P545</v>
      </c>
      <c r="E18" s="196"/>
      <c r="F18" s="196"/>
      <c r="G18" s="196"/>
      <c r="H18" s="182" t="s">
        <v>406</v>
      </c>
      <c r="I18" s="183" t="s">
        <v>127</v>
      </c>
      <c r="J18" s="1320">
        <v>0.02</v>
      </c>
      <c r="K18" s="1321"/>
      <c r="L18" s="202" t="s">
        <v>157</v>
      </c>
      <c r="V18" s="185"/>
    </row>
    <row r="19" spans="1:22" ht="18" customHeight="1">
      <c r="A19" s="184"/>
      <c r="B19" s="184" t="s">
        <v>405</v>
      </c>
      <c r="D19" s="296">
        <f>T8</f>
        <v>0</v>
      </c>
      <c r="I19" s="28" t="s">
        <v>127</v>
      </c>
      <c r="J19" s="1320"/>
      <c r="K19" s="1321"/>
      <c r="L19" s="297" t="s">
        <v>157</v>
      </c>
      <c r="V19" s="185"/>
    </row>
    <row r="20" spans="1:22" ht="18" customHeight="1">
      <c r="A20" s="184"/>
      <c r="B20" s="184" t="s">
        <v>405</v>
      </c>
      <c r="D20" s="296">
        <f>T9</f>
        <v>0</v>
      </c>
      <c r="E20" s="14"/>
      <c r="G20" s="199"/>
      <c r="H20" s="27"/>
      <c r="I20" s="101" t="s">
        <v>127</v>
      </c>
      <c r="J20" s="1320"/>
      <c r="K20" s="1321"/>
      <c r="L20" s="426" t="s">
        <v>157</v>
      </c>
      <c r="V20" s="185"/>
    </row>
    <row r="21" spans="1:22" ht="18" customHeight="1">
      <c r="A21" s="184"/>
      <c r="B21" s="184" t="s">
        <v>412</v>
      </c>
      <c r="H21" s="27"/>
      <c r="I21" s="177" t="s">
        <v>127</v>
      </c>
      <c r="J21" s="1322">
        <f>'[8]CT-VT Burdens'!S23</f>
        <v>0.56186130000000001</v>
      </c>
      <c r="K21" s="1323"/>
      <c r="L21" s="426" t="s">
        <v>157</v>
      </c>
      <c r="V21" s="185"/>
    </row>
    <row r="22" spans="1:22" ht="18" customHeight="1">
      <c r="A22" s="184"/>
      <c r="B22" s="205" t="s">
        <v>413</v>
      </c>
      <c r="C22" s="206"/>
      <c r="D22" s="206"/>
      <c r="E22" s="206"/>
      <c r="F22" s="207"/>
      <c r="G22" s="207"/>
      <c r="H22" s="190" t="s">
        <v>409</v>
      </c>
      <c r="I22" s="208" t="s">
        <v>127</v>
      </c>
      <c r="J22" s="766">
        <f>SUM(J19:K21)</f>
        <v>0.56186130000000001</v>
      </c>
      <c r="K22" s="819"/>
      <c r="L22" s="428" t="s">
        <v>157</v>
      </c>
      <c r="V22" s="185"/>
    </row>
    <row r="23" spans="1:22" ht="18" customHeight="1">
      <c r="A23" s="184"/>
      <c r="B23" s="47"/>
      <c r="C23" s="47"/>
      <c r="D23" s="47"/>
      <c r="E23" s="47"/>
      <c r="H23" s="27"/>
      <c r="I23" s="28"/>
      <c r="J23" s="199"/>
      <c r="L23" s="47"/>
      <c r="O23" s="27"/>
      <c r="P23" s="211"/>
      <c r="Q23" s="211"/>
      <c r="R23" s="192"/>
      <c r="V23" s="185"/>
    </row>
    <row r="24" spans="1:22" ht="18" customHeight="1">
      <c r="A24" s="184"/>
      <c r="B24" s="197" t="s">
        <v>648</v>
      </c>
      <c r="L24" s="47"/>
      <c r="M24" s="197" t="s">
        <v>407</v>
      </c>
      <c r="V24" s="185"/>
    </row>
    <row r="25" spans="1:22" ht="18" customHeight="1">
      <c r="A25" s="184"/>
      <c r="B25" s="245" t="s">
        <v>649</v>
      </c>
      <c r="C25" s="245" t="s">
        <v>127</v>
      </c>
      <c r="D25" s="242" t="s">
        <v>406</v>
      </c>
      <c r="E25" s="526" t="s">
        <v>410</v>
      </c>
      <c r="F25" s="245" t="s">
        <v>146</v>
      </c>
      <c r="G25" s="221" t="s">
        <v>315</v>
      </c>
      <c r="H25" s="222" t="s">
        <v>146</v>
      </c>
      <c r="I25" s="242" t="s">
        <v>350</v>
      </c>
      <c r="J25" s="502"/>
      <c r="K25" s="242"/>
      <c r="L25" s="527"/>
      <c r="M25" s="245" t="s">
        <v>408</v>
      </c>
      <c r="N25" s="245" t="s">
        <v>127</v>
      </c>
      <c r="O25" s="242" t="s">
        <v>409</v>
      </c>
      <c r="P25" s="528" t="s">
        <v>410</v>
      </c>
      <c r="Q25" s="523" t="s">
        <v>411</v>
      </c>
      <c r="R25" s="245" t="s">
        <v>315</v>
      </c>
      <c r="S25" s="242" t="s">
        <v>411</v>
      </c>
      <c r="T25" s="242" t="s">
        <v>350</v>
      </c>
      <c r="V25" s="185"/>
    </row>
    <row r="26" spans="1:22" ht="18" customHeight="1">
      <c r="A26" s="184"/>
      <c r="B26" s="527"/>
      <c r="C26" s="245" t="s">
        <v>127</v>
      </c>
      <c r="D26" s="301">
        <f>J18</f>
        <v>0.02</v>
      </c>
      <c r="E26" s="528" t="s">
        <v>410</v>
      </c>
      <c r="F26" s="245">
        <f>'[8]CT-VT Burdens'!S19</f>
        <v>1</v>
      </c>
      <c r="G26" s="245" t="s">
        <v>315</v>
      </c>
      <c r="H26" s="245">
        <f>'[8]CT-VT Burdens'!S19</f>
        <v>1</v>
      </c>
      <c r="I26" s="242" t="s">
        <v>350</v>
      </c>
      <c r="J26" s="502"/>
      <c r="K26" s="242"/>
      <c r="L26" s="527"/>
      <c r="M26" s="242"/>
      <c r="N26" s="245" t="s">
        <v>127</v>
      </c>
      <c r="O26" s="301">
        <f>J22</f>
        <v>0.56186130000000001</v>
      </c>
      <c r="P26" s="528" t="s">
        <v>410</v>
      </c>
      <c r="Q26" s="245">
        <f>O10</f>
        <v>1</v>
      </c>
      <c r="R26" s="245" t="s">
        <v>315</v>
      </c>
      <c r="S26" s="245">
        <f>O10</f>
        <v>1</v>
      </c>
      <c r="T26" s="242" t="s">
        <v>350</v>
      </c>
      <c r="V26" s="185"/>
    </row>
    <row r="27" spans="1:22" ht="18" customHeight="1">
      <c r="A27" s="184"/>
      <c r="B27" s="527"/>
      <c r="C27" s="245" t="s">
        <v>127</v>
      </c>
      <c r="D27" s="1111">
        <f>D26/(F26*H26)</f>
        <v>0.02</v>
      </c>
      <c r="E27" s="1111"/>
      <c r="F27" s="529" t="s">
        <v>333</v>
      </c>
      <c r="G27" s="242"/>
      <c r="H27" s="242"/>
      <c r="I27" s="242"/>
      <c r="J27" s="502"/>
      <c r="K27" s="242"/>
      <c r="L27" s="527"/>
      <c r="M27" s="242"/>
      <c r="N27" s="245" t="s">
        <v>127</v>
      </c>
      <c r="O27" s="1111">
        <f>O26/(Q26*S26)</f>
        <v>0.56186130000000001</v>
      </c>
      <c r="P27" s="1111"/>
      <c r="Q27" s="529" t="s">
        <v>333</v>
      </c>
      <c r="R27" s="242"/>
      <c r="S27" s="242"/>
      <c r="T27" s="242"/>
      <c r="V27" s="185"/>
    </row>
    <row r="28" spans="1:22" ht="18" customHeight="1">
      <c r="A28" s="184"/>
      <c r="B28" s="47"/>
      <c r="C28" s="47"/>
      <c r="D28" s="47"/>
      <c r="E28" s="47"/>
      <c r="H28" s="27"/>
      <c r="I28" s="28"/>
      <c r="J28" s="199"/>
      <c r="L28" s="47"/>
      <c r="O28" s="27"/>
      <c r="P28" s="211"/>
      <c r="Q28" s="211"/>
      <c r="V28" s="185"/>
    </row>
    <row r="29" spans="1:22" ht="18" customHeight="1">
      <c r="A29" s="184"/>
      <c r="B29" s="47" t="s">
        <v>839</v>
      </c>
      <c r="C29" s="47"/>
      <c r="D29" s="47"/>
      <c r="E29" s="47"/>
      <c r="H29" s="27"/>
      <c r="I29" s="28"/>
      <c r="J29" s="199"/>
      <c r="L29" s="28" t="s">
        <v>127</v>
      </c>
      <c r="M29" s="1111">
        <f>D27</f>
        <v>0.02</v>
      </c>
      <c r="N29" s="1111"/>
      <c r="O29" s="245" t="s">
        <v>347</v>
      </c>
      <c r="P29" s="1111">
        <f>O27</f>
        <v>0.56186130000000001</v>
      </c>
      <c r="Q29" s="1111"/>
      <c r="R29" s="522" t="s">
        <v>127</v>
      </c>
      <c r="S29" s="1111">
        <f>M29+P29</f>
        <v>0.58186130000000003</v>
      </c>
      <c r="T29" s="1111"/>
      <c r="U29" s="192" t="s">
        <v>333</v>
      </c>
      <c r="V29" s="185"/>
    </row>
    <row r="30" spans="1:22" ht="18" customHeight="1">
      <c r="A30" s="184"/>
      <c r="B30" s="47"/>
      <c r="C30" s="47"/>
      <c r="D30" s="47"/>
      <c r="E30" s="47"/>
      <c r="H30" s="27"/>
      <c r="I30" s="28"/>
      <c r="J30" s="199"/>
      <c r="L30" s="47"/>
      <c r="M30" s="301"/>
      <c r="N30" s="245"/>
      <c r="O30" s="522"/>
      <c r="P30" s="522"/>
      <c r="Q30" s="522"/>
      <c r="R30" s="192"/>
      <c r="V30" s="185"/>
    </row>
    <row r="31" spans="1:22" ht="18" customHeight="1">
      <c r="A31" s="116" t="s">
        <v>414</v>
      </c>
      <c r="B31" s="47"/>
      <c r="D31" s="47"/>
      <c r="E31" s="47"/>
      <c r="H31" s="27"/>
      <c r="I31" s="28"/>
      <c r="J31" s="199"/>
      <c r="L31" s="47"/>
      <c r="M31" s="301"/>
      <c r="N31" s="245"/>
      <c r="O31" s="522"/>
      <c r="P31" s="522"/>
      <c r="Q31" s="522"/>
      <c r="R31" s="192"/>
      <c r="V31" s="185"/>
    </row>
    <row r="32" spans="1:22" ht="18" customHeight="1">
      <c r="A32" s="272" t="s">
        <v>840</v>
      </c>
      <c r="V32" s="185"/>
    </row>
    <row r="33" spans="1:27" ht="18" customHeight="1">
      <c r="A33" s="184"/>
      <c r="B33" s="30" t="s">
        <v>473</v>
      </c>
      <c r="C33" s="27" t="s">
        <v>529</v>
      </c>
      <c r="D33" s="27" t="s">
        <v>841</v>
      </c>
      <c r="E33" s="27" t="s">
        <v>315</v>
      </c>
      <c r="F33" s="27" t="s">
        <v>511</v>
      </c>
      <c r="G33" s="27" t="s">
        <v>372</v>
      </c>
      <c r="H33" s="27" t="s">
        <v>420</v>
      </c>
      <c r="I33" s="27" t="s">
        <v>347</v>
      </c>
      <c r="J33" s="27" t="s">
        <v>842</v>
      </c>
      <c r="K33" s="30" t="s">
        <v>350</v>
      </c>
      <c r="U33" s="30" t="s">
        <v>843</v>
      </c>
      <c r="V33" s="185"/>
    </row>
    <row r="34" spans="1:27" ht="18" customHeight="1">
      <c r="A34" s="184"/>
      <c r="V34" s="185"/>
    </row>
    <row r="35" spans="1:27" s="279" customFormat="1" ht="18" customHeight="1">
      <c r="A35" s="678" t="s">
        <v>844</v>
      </c>
      <c r="B35" s="1207"/>
      <c r="C35" s="1207"/>
      <c r="D35" s="1207"/>
      <c r="E35" s="1207"/>
      <c r="F35" s="1207"/>
      <c r="G35" s="1207"/>
      <c r="H35" s="1207"/>
      <c r="I35" s="1207"/>
      <c r="J35" s="1207"/>
      <c r="K35" s="1207"/>
      <c r="L35" s="1207"/>
      <c r="M35" s="1207"/>
      <c r="N35" s="1207"/>
      <c r="O35" s="1207"/>
      <c r="P35" s="1207"/>
      <c r="Q35" s="1207"/>
      <c r="R35" s="1207"/>
      <c r="S35" s="1207"/>
      <c r="T35" s="1207"/>
      <c r="U35" s="1207"/>
      <c r="V35" s="1208"/>
      <c r="AA35" s="197"/>
    </row>
    <row r="36" spans="1:27" s="279" customFormat="1" ht="18" customHeight="1">
      <c r="A36" s="1209"/>
      <c r="B36" s="1207"/>
      <c r="C36" s="1207"/>
      <c r="D36" s="1207"/>
      <c r="E36" s="1207"/>
      <c r="F36" s="1207"/>
      <c r="G36" s="1207"/>
      <c r="H36" s="1207"/>
      <c r="I36" s="1207"/>
      <c r="J36" s="1207"/>
      <c r="K36" s="1207"/>
      <c r="L36" s="1207"/>
      <c r="M36" s="1207"/>
      <c r="N36" s="1207"/>
      <c r="O36" s="1207"/>
      <c r="P36" s="1207"/>
      <c r="Q36" s="1207"/>
      <c r="R36" s="1207"/>
      <c r="S36" s="1207"/>
      <c r="T36" s="1207"/>
      <c r="U36" s="1207"/>
      <c r="V36" s="1208"/>
    </row>
    <row r="37" spans="1:27" s="279" customFormat="1" ht="18" customHeight="1">
      <c r="A37" s="683">
        <v>1</v>
      </c>
      <c r="B37" s="1324" t="s">
        <v>845</v>
      </c>
      <c r="C37" s="1324"/>
      <c r="D37" s="1324"/>
      <c r="E37" s="1324"/>
      <c r="F37" s="1324"/>
      <c r="G37" s="1324"/>
      <c r="H37" s="1324"/>
      <c r="I37" s="1324"/>
      <c r="J37" s="1324"/>
      <c r="K37" s="1324"/>
      <c r="L37" s="1324"/>
      <c r="M37" s="1324"/>
      <c r="N37" s="1324"/>
      <c r="O37" s="1324"/>
      <c r="P37" s="1324"/>
      <c r="Q37" s="1324"/>
      <c r="R37" s="1324"/>
      <c r="S37" s="1324"/>
      <c r="T37" s="1324"/>
      <c r="U37" s="1324"/>
      <c r="V37" s="1325"/>
    </row>
    <row r="38" spans="1:27" s="279" customFormat="1" ht="18" customHeight="1">
      <c r="A38" s="683"/>
      <c r="B38" s="1324"/>
      <c r="C38" s="1324"/>
      <c r="D38" s="1324"/>
      <c r="E38" s="1324"/>
      <c r="F38" s="1324"/>
      <c r="G38" s="1324"/>
      <c r="H38" s="1324"/>
      <c r="I38" s="1324"/>
      <c r="J38" s="1324"/>
      <c r="K38" s="1324"/>
      <c r="L38" s="1324"/>
      <c r="M38" s="1324"/>
      <c r="N38" s="1324"/>
      <c r="O38" s="1324"/>
      <c r="P38" s="1324"/>
      <c r="Q38" s="1324"/>
      <c r="R38" s="1324"/>
      <c r="S38" s="1324"/>
      <c r="T38" s="1324"/>
      <c r="U38" s="1324"/>
      <c r="V38" s="1325"/>
    </row>
    <row r="39" spans="1:27" s="279" customFormat="1" ht="18" customHeight="1">
      <c r="A39" s="96"/>
      <c r="B39" s="120" t="s">
        <v>846</v>
      </c>
      <c r="C39" s="120" t="s">
        <v>419</v>
      </c>
      <c r="D39" s="689" t="s">
        <v>847</v>
      </c>
      <c r="E39" s="723"/>
      <c r="F39" s="28" t="s">
        <v>315</v>
      </c>
      <c r="G39" s="28" t="s">
        <v>341</v>
      </c>
      <c r="H39" s="47" t="s">
        <v>350</v>
      </c>
      <c r="I39" s="154" t="s">
        <v>699</v>
      </c>
      <c r="J39" s="120" t="s">
        <v>419</v>
      </c>
      <c r="K39" s="221">
        <v>1000</v>
      </c>
      <c r="L39" s="28" t="s">
        <v>315</v>
      </c>
      <c r="M39" s="28" t="s">
        <v>511</v>
      </c>
      <c r="N39" s="47" t="s">
        <v>350</v>
      </c>
      <c r="O39" s="28"/>
      <c r="P39" s="28"/>
      <c r="Q39" s="28"/>
      <c r="R39" s="28"/>
      <c r="S39" s="28"/>
      <c r="U39" s="14" t="s">
        <v>848</v>
      </c>
      <c r="V39" s="97"/>
    </row>
    <row r="40" spans="1:27" s="279" customFormat="1" ht="18" customHeight="1">
      <c r="A40" s="299"/>
      <c r="C40" s="14" t="s">
        <v>849</v>
      </c>
      <c r="M40" s="28"/>
      <c r="N40" s="28"/>
      <c r="O40" s="28"/>
      <c r="P40" s="28"/>
      <c r="Q40" s="28"/>
      <c r="R40" s="28"/>
      <c r="S40" s="28"/>
      <c r="T40" s="14"/>
      <c r="U40" s="28"/>
      <c r="V40" s="97"/>
    </row>
    <row r="41" spans="1:27" s="279" customFormat="1" ht="18" customHeight="1">
      <c r="A41" s="299"/>
      <c r="C41" s="14"/>
      <c r="D41" s="28" t="s">
        <v>841</v>
      </c>
      <c r="E41" s="28" t="s">
        <v>529</v>
      </c>
      <c r="F41" s="28">
        <v>40</v>
      </c>
      <c r="G41" s="28" t="s">
        <v>347</v>
      </c>
      <c r="H41" s="221">
        <v>7.0000000000000007E-2</v>
      </c>
      <c r="I41" s="28" t="s">
        <v>672</v>
      </c>
      <c r="J41" s="689" t="s">
        <v>847</v>
      </c>
      <c r="K41" s="723"/>
      <c r="L41" s="28" t="s">
        <v>315</v>
      </c>
      <c r="M41" s="28" t="s">
        <v>341</v>
      </c>
      <c r="N41" s="47" t="s">
        <v>350</v>
      </c>
      <c r="O41" s="28"/>
      <c r="P41" s="28"/>
      <c r="Q41" s="28"/>
      <c r="R41" s="28"/>
      <c r="S41" s="28"/>
      <c r="T41" s="14"/>
      <c r="U41" s="28"/>
      <c r="V41" s="97"/>
    </row>
    <row r="42" spans="1:27" s="279" customFormat="1" ht="18" customHeight="1">
      <c r="A42" s="325"/>
      <c r="B42" s="28"/>
      <c r="C42" s="28" t="s">
        <v>850</v>
      </c>
      <c r="D42" s="28" t="s">
        <v>841</v>
      </c>
      <c r="E42" s="28" t="s">
        <v>529</v>
      </c>
      <c r="F42" s="28">
        <v>65</v>
      </c>
      <c r="G42" s="14"/>
      <c r="H42" s="14"/>
      <c r="I42" s="120"/>
      <c r="J42" s="28"/>
      <c r="K42" s="28"/>
      <c r="L42" s="28"/>
      <c r="M42" s="28"/>
      <c r="N42" s="28"/>
      <c r="O42" s="28"/>
      <c r="P42" s="28"/>
      <c r="Q42" s="28"/>
      <c r="R42" s="28"/>
      <c r="S42" s="28"/>
      <c r="T42" s="14"/>
      <c r="U42" s="28"/>
      <c r="V42" s="97"/>
    </row>
    <row r="43" spans="1:27" s="279" customFormat="1" ht="18" customHeight="1">
      <c r="A43" s="325"/>
      <c r="B43" s="28"/>
      <c r="C43" s="28"/>
      <c r="D43" s="28"/>
      <c r="E43" s="28"/>
      <c r="F43" s="28"/>
      <c r="G43" s="14"/>
      <c r="H43" s="14"/>
      <c r="I43" s="120"/>
      <c r="J43" s="28"/>
      <c r="K43" s="28"/>
      <c r="L43" s="28"/>
      <c r="M43" s="28"/>
      <c r="N43" s="28"/>
      <c r="O43" s="28"/>
      <c r="P43" s="28"/>
      <c r="Q43" s="28"/>
      <c r="R43" s="28"/>
      <c r="S43" s="28"/>
      <c r="T43" s="14"/>
      <c r="U43" s="28"/>
      <c r="V43" s="97"/>
    </row>
    <row r="44" spans="1:27" s="279" customFormat="1" ht="18" customHeight="1">
      <c r="A44" s="325"/>
      <c r="B44" s="28"/>
      <c r="C44" s="28"/>
      <c r="D44" s="28"/>
      <c r="E44" s="28"/>
      <c r="F44" s="28"/>
      <c r="G44" s="14"/>
      <c r="H44" s="14"/>
      <c r="I44" s="120"/>
      <c r="J44" s="28"/>
      <c r="K44" s="28"/>
      <c r="L44" s="28"/>
      <c r="M44" s="28"/>
      <c r="N44" s="28"/>
      <c r="O44" s="28"/>
      <c r="P44" s="28"/>
      <c r="Q44" s="28"/>
      <c r="R44" s="28"/>
      <c r="S44" s="28"/>
      <c r="T44" s="14"/>
      <c r="U44" s="28"/>
      <c r="V44" s="97"/>
    </row>
    <row r="45" spans="1:27" s="279" customFormat="1" ht="18" customHeight="1">
      <c r="A45" s="325"/>
      <c r="B45" s="28"/>
      <c r="C45" s="28"/>
      <c r="D45" s="28"/>
      <c r="E45" s="14"/>
      <c r="F45" s="14"/>
      <c r="G45" s="120"/>
      <c r="H45" s="28"/>
      <c r="I45" s="28"/>
      <c r="J45" s="28"/>
      <c r="K45" s="28"/>
      <c r="L45" s="28"/>
      <c r="M45" s="28"/>
      <c r="N45" s="28"/>
      <c r="O45" s="28"/>
      <c r="P45" s="28"/>
      <c r="Q45" s="28"/>
      <c r="R45" s="28"/>
      <c r="S45" s="28"/>
      <c r="T45" s="14"/>
      <c r="U45" s="28"/>
      <c r="V45" s="97"/>
    </row>
    <row r="46" spans="1:27" s="279" customFormat="1" ht="18" customHeight="1">
      <c r="A46" s="194"/>
      <c r="B46" s="195"/>
      <c r="C46" s="195"/>
      <c r="D46" s="195"/>
      <c r="E46" s="195"/>
      <c r="F46" s="195"/>
      <c r="G46" s="195"/>
      <c r="H46" s="195"/>
      <c r="I46" s="195"/>
      <c r="J46" s="195"/>
      <c r="K46" s="195"/>
      <c r="L46" s="195"/>
      <c r="M46" s="195"/>
      <c r="N46" s="195"/>
      <c r="O46" s="195"/>
      <c r="P46" s="195"/>
      <c r="Q46" s="224"/>
      <c r="R46" s="182"/>
      <c r="S46" s="225"/>
      <c r="T46" s="195"/>
      <c r="U46" s="195"/>
      <c r="V46" s="134"/>
    </row>
    <row r="47" spans="1:27" s="279" customFormat="1" ht="18" customHeight="1">
      <c r="A47" s="320"/>
      <c r="B47" s="138"/>
      <c r="C47" s="138"/>
      <c r="D47" s="138"/>
      <c r="E47" s="273"/>
      <c r="F47" s="273"/>
      <c r="G47" s="274"/>
      <c r="H47" s="138"/>
      <c r="I47" s="138"/>
      <c r="J47" s="138"/>
      <c r="K47" s="138"/>
      <c r="L47" s="138"/>
      <c r="M47" s="138"/>
      <c r="N47" s="138"/>
      <c r="O47" s="138"/>
      <c r="P47" s="138"/>
      <c r="Q47" s="138"/>
      <c r="R47" s="138"/>
      <c r="S47" s="138"/>
      <c r="T47" s="273"/>
      <c r="U47" s="138"/>
      <c r="V47" s="521"/>
    </row>
    <row r="48" spans="1:27" s="279" customFormat="1" ht="18" customHeight="1">
      <c r="A48" s="325"/>
      <c r="B48" s="120" t="s">
        <v>846</v>
      </c>
      <c r="C48" s="120" t="s">
        <v>419</v>
      </c>
      <c r="D48" s="221">
        <v>1000</v>
      </c>
      <c r="E48" s="28" t="s">
        <v>315</v>
      </c>
      <c r="F48" s="28" t="s">
        <v>511</v>
      </c>
      <c r="G48" s="47" t="s">
        <v>350</v>
      </c>
      <c r="H48" s="28" t="s">
        <v>851</v>
      </c>
      <c r="I48" s="120" t="s">
        <v>419</v>
      </c>
      <c r="J48" s="689" t="s">
        <v>847</v>
      </c>
      <c r="K48" s="723"/>
      <c r="L48" s="28" t="s">
        <v>315</v>
      </c>
      <c r="M48" s="28" t="s">
        <v>341</v>
      </c>
      <c r="N48" s="47" t="s">
        <v>350</v>
      </c>
      <c r="O48" s="154" t="s">
        <v>699</v>
      </c>
      <c r="P48" s="120" t="s">
        <v>419</v>
      </c>
      <c r="Q48" s="221">
        <v>2600</v>
      </c>
      <c r="R48" s="28" t="s">
        <v>315</v>
      </c>
      <c r="S48" s="28" t="s">
        <v>511</v>
      </c>
      <c r="T48" s="47" t="s">
        <v>350</v>
      </c>
      <c r="U48" s="14" t="s">
        <v>587</v>
      </c>
      <c r="V48" s="97"/>
    </row>
    <row r="49" spans="1:22" s="279" customFormat="1" ht="18" customHeight="1">
      <c r="A49" s="325"/>
      <c r="B49" s="28" t="s">
        <v>841</v>
      </c>
      <c r="C49" s="28" t="s">
        <v>127</v>
      </c>
      <c r="D49" s="28">
        <v>107</v>
      </c>
      <c r="E49" s="14"/>
      <c r="F49" s="14"/>
      <c r="G49" s="120"/>
      <c r="H49" s="28"/>
      <c r="I49" s="28"/>
      <c r="J49" s="28"/>
      <c r="K49" s="28"/>
      <c r="L49" s="28"/>
      <c r="M49" s="28"/>
      <c r="N49" s="28"/>
      <c r="O49" s="28"/>
      <c r="P49" s="28"/>
      <c r="Q49" s="28"/>
      <c r="R49" s="28"/>
      <c r="S49" s="28"/>
      <c r="T49" s="14"/>
      <c r="U49" s="28"/>
      <c r="V49" s="97"/>
    </row>
    <row r="50" spans="1:22" ht="18" customHeight="1">
      <c r="A50" s="184"/>
      <c r="V50" s="185"/>
    </row>
    <row r="51" spans="1:22" ht="18" customHeight="1">
      <c r="A51" s="530">
        <v>2</v>
      </c>
      <c r="B51" s="1324" t="s">
        <v>852</v>
      </c>
      <c r="C51" s="1324"/>
      <c r="D51" s="1324"/>
      <c r="E51" s="1324"/>
      <c r="F51" s="1324"/>
      <c r="G51" s="1324"/>
      <c r="H51" s="1324"/>
      <c r="I51" s="1324"/>
      <c r="J51" s="1324"/>
      <c r="K51" s="1324"/>
      <c r="L51" s="1324"/>
      <c r="M51" s="1324"/>
      <c r="N51" s="1324"/>
      <c r="O51" s="1324"/>
      <c r="P51" s="1324"/>
      <c r="Q51" s="1324"/>
      <c r="R51" s="1324"/>
      <c r="S51" s="1324"/>
      <c r="T51" s="1324"/>
      <c r="U51" s="1324"/>
      <c r="V51" s="1325"/>
    </row>
    <row r="52" spans="1:22" ht="18" customHeight="1">
      <c r="A52" s="272"/>
      <c r="B52" s="120" t="s">
        <v>846</v>
      </c>
      <c r="C52" s="120" t="s">
        <v>419</v>
      </c>
      <c r="D52" s="689" t="s">
        <v>847</v>
      </c>
      <c r="E52" s="723"/>
      <c r="F52" s="28" t="s">
        <v>315</v>
      </c>
      <c r="G52" s="28" t="s">
        <v>341</v>
      </c>
      <c r="H52" s="47" t="s">
        <v>350</v>
      </c>
      <c r="I52" s="154" t="s">
        <v>699</v>
      </c>
      <c r="J52" s="120" t="s">
        <v>419</v>
      </c>
      <c r="K52" s="221">
        <v>600</v>
      </c>
      <c r="L52" s="28" t="s">
        <v>315</v>
      </c>
      <c r="M52" s="28" t="s">
        <v>511</v>
      </c>
      <c r="N52" s="47" t="s">
        <v>350</v>
      </c>
      <c r="O52" s="28"/>
      <c r="P52" s="28"/>
      <c r="Q52" s="28"/>
      <c r="R52" s="28"/>
      <c r="S52" s="28"/>
      <c r="T52" s="279"/>
      <c r="U52" s="14" t="s">
        <v>853</v>
      </c>
      <c r="V52" s="97"/>
    </row>
    <row r="53" spans="1:22" ht="18" customHeight="1">
      <c r="A53" s="272"/>
      <c r="B53" s="279"/>
      <c r="C53" s="14" t="s">
        <v>849</v>
      </c>
      <c r="D53" s="279"/>
      <c r="E53" s="279"/>
      <c r="F53" s="279"/>
      <c r="G53" s="279"/>
      <c r="H53" s="279"/>
      <c r="I53" s="279"/>
      <c r="J53" s="279"/>
      <c r="K53" s="279"/>
      <c r="L53" s="279"/>
      <c r="M53" s="28"/>
      <c r="N53" s="28"/>
      <c r="O53" s="28"/>
      <c r="P53" s="28"/>
      <c r="Q53" s="28"/>
      <c r="R53" s="28"/>
      <c r="S53" s="28"/>
      <c r="T53" s="14"/>
      <c r="U53" s="28"/>
      <c r="V53" s="97"/>
    </row>
    <row r="54" spans="1:22" ht="18" customHeight="1">
      <c r="A54" s="272"/>
      <c r="B54" s="279"/>
      <c r="C54" s="14"/>
      <c r="D54" s="28" t="s">
        <v>841</v>
      </c>
      <c r="E54" s="28" t="s">
        <v>529</v>
      </c>
      <c r="F54" s="28">
        <v>40</v>
      </c>
      <c r="G54" s="28" t="s">
        <v>347</v>
      </c>
      <c r="H54" s="221">
        <v>0.35</v>
      </c>
      <c r="I54" s="28" t="s">
        <v>672</v>
      </c>
      <c r="J54" s="689" t="s">
        <v>847</v>
      </c>
      <c r="K54" s="723"/>
      <c r="L54" s="28" t="s">
        <v>315</v>
      </c>
      <c r="M54" s="28" t="s">
        <v>341</v>
      </c>
      <c r="N54" s="47" t="s">
        <v>350</v>
      </c>
      <c r="O54" s="28"/>
      <c r="P54" s="28"/>
      <c r="Q54" s="28"/>
      <c r="R54" s="28"/>
      <c r="S54" s="28"/>
      <c r="T54" s="14"/>
      <c r="U54" s="28"/>
      <c r="V54" s="97"/>
    </row>
    <row r="55" spans="1:22" ht="18" customHeight="1">
      <c r="A55" s="272"/>
      <c r="B55" s="28"/>
      <c r="C55" s="28" t="s">
        <v>850</v>
      </c>
      <c r="D55" s="28" t="s">
        <v>841</v>
      </c>
      <c r="E55" s="28" t="s">
        <v>529</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35"/>
      <c r="E56" s="14"/>
      <c r="F56" s="28"/>
      <c r="G56" s="249"/>
      <c r="H56" s="28"/>
      <c r="I56" s="251"/>
      <c r="J56" s="14"/>
      <c r="K56" s="280"/>
      <c r="M56" s="47"/>
      <c r="N56" s="268"/>
      <c r="P56" s="281"/>
      <c r="R56" s="234"/>
      <c r="S56" s="531"/>
      <c r="T56" s="531"/>
      <c r="V56" s="185"/>
    </row>
    <row r="57" spans="1:22" ht="18" customHeight="1">
      <c r="A57" s="96"/>
      <c r="B57" s="120" t="s">
        <v>846</v>
      </c>
      <c r="C57" s="120" t="s">
        <v>419</v>
      </c>
      <c r="D57" s="221">
        <v>600</v>
      </c>
      <c r="E57" s="28" t="s">
        <v>315</v>
      </c>
      <c r="F57" s="28" t="s">
        <v>511</v>
      </c>
      <c r="G57" s="47" t="s">
        <v>350</v>
      </c>
      <c r="H57" s="28" t="s">
        <v>851</v>
      </c>
      <c r="I57" s="120" t="s">
        <v>419</v>
      </c>
      <c r="J57" s="689" t="s">
        <v>847</v>
      </c>
      <c r="K57" s="723"/>
      <c r="L57" s="28" t="s">
        <v>315</v>
      </c>
      <c r="M57" s="28" t="s">
        <v>341</v>
      </c>
      <c r="N57" s="47" t="s">
        <v>350</v>
      </c>
      <c r="O57" s="154" t="s">
        <v>699</v>
      </c>
      <c r="P57" s="120" t="s">
        <v>419</v>
      </c>
      <c r="Q57" s="221">
        <v>1600</v>
      </c>
      <c r="R57" s="28" t="s">
        <v>315</v>
      </c>
      <c r="S57" s="28" t="s">
        <v>511</v>
      </c>
      <c r="T57" s="47" t="s">
        <v>350</v>
      </c>
      <c r="U57" s="14" t="s">
        <v>854</v>
      </c>
      <c r="V57" s="97"/>
    </row>
    <row r="58" spans="1:22" ht="18" customHeight="1">
      <c r="A58" s="272"/>
      <c r="B58" s="28" t="s">
        <v>841</v>
      </c>
      <c r="C58" s="28" t="s">
        <v>127</v>
      </c>
      <c r="D58" s="28">
        <v>256</v>
      </c>
      <c r="E58" s="14"/>
      <c r="F58" s="14"/>
      <c r="G58" s="120"/>
      <c r="H58" s="28"/>
      <c r="I58" s="28"/>
      <c r="J58" s="28"/>
      <c r="K58" s="28"/>
      <c r="L58" s="28"/>
      <c r="M58" s="28"/>
      <c r="N58" s="28"/>
      <c r="O58" s="28"/>
      <c r="P58" s="28"/>
      <c r="Q58" s="28"/>
      <c r="R58" s="28"/>
      <c r="S58" s="28"/>
      <c r="T58" s="14"/>
      <c r="U58" s="28"/>
      <c r="V58" s="97"/>
    </row>
    <row r="59" spans="1:22" ht="18" customHeight="1">
      <c r="A59" s="272"/>
      <c r="U59" s="14"/>
      <c r="V59" s="97"/>
    </row>
    <row r="60" spans="1:22" ht="18" customHeight="1">
      <c r="A60" s="524"/>
      <c r="B60" s="30" t="s">
        <v>855</v>
      </c>
      <c r="Q60" s="14" t="s">
        <v>617</v>
      </c>
      <c r="S60" s="234" t="s">
        <v>127</v>
      </c>
      <c r="T60" s="684">
        <f>'[8]Fault Calc (3)'!Q31</f>
        <v>55677</v>
      </c>
      <c r="U60" s="684"/>
      <c r="V60" s="185" t="s">
        <v>8</v>
      </c>
    </row>
    <row r="61" spans="1:22" ht="18" customHeight="1">
      <c r="A61" s="524"/>
      <c r="B61" s="47" t="s">
        <v>654</v>
      </c>
      <c r="C61" s="14"/>
      <c r="D61" s="14"/>
      <c r="E61" s="14"/>
      <c r="F61" s="14"/>
      <c r="G61" s="18"/>
      <c r="H61" s="18"/>
      <c r="I61" s="14"/>
      <c r="J61" s="120"/>
      <c r="K61" s="14"/>
      <c r="L61" s="14"/>
      <c r="N61" s="14"/>
      <c r="O61" s="14"/>
      <c r="Q61" s="14" t="s">
        <v>423</v>
      </c>
      <c r="S61" s="234" t="s">
        <v>127</v>
      </c>
      <c r="T61" s="684">
        <f>H10</f>
        <v>4000</v>
      </c>
      <c r="U61" s="684"/>
      <c r="V61" s="185" t="s">
        <v>8</v>
      </c>
    </row>
    <row r="62" spans="1:22" ht="18" customHeight="1">
      <c r="A62" s="96"/>
      <c r="B62" s="47" t="s">
        <v>856</v>
      </c>
      <c r="C62" s="14"/>
      <c r="D62" s="14"/>
      <c r="E62" s="14"/>
      <c r="F62" s="14"/>
      <c r="G62" s="18"/>
      <c r="H62" s="18"/>
      <c r="I62" s="14"/>
      <c r="J62" s="120"/>
      <c r="K62" s="14"/>
      <c r="L62" s="14"/>
      <c r="N62" s="14"/>
      <c r="O62" s="14"/>
      <c r="Q62" s="14" t="s">
        <v>847</v>
      </c>
      <c r="S62" s="234" t="s">
        <v>127</v>
      </c>
      <c r="T62" s="795">
        <f>T60/T61</f>
        <v>13.91925</v>
      </c>
      <c r="U62" s="795"/>
      <c r="V62" s="185" t="s">
        <v>8</v>
      </c>
    </row>
    <row r="63" spans="1:22" ht="18" customHeight="1">
      <c r="A63" s="96"/>
      <c r="B63" s="47" t="s">
        <v>655</v>
      </c>
      <c r="C63" s="14"/>
      <c r="D63" s="14"/>
      <c r="E63" s="14"/>
      <c r="F63" s="14"/>
      <c r="G63" s="18"/>
      <c r="H63" s="18"/>
      <c r="I63" s="14"/>
      <c r="J63" s="120"/>
      <c r="K63" s="14"/>
      <c r="L63" s="14"/>
      <c r="N63" s="14"/>
      <c r="O63" s="14"/>
      <c r="Q63" s="14" t="s">
        <v>420</v>
      </c>
      <c r="S63" s="234" t="s">
        <v>127</v>
      </c>
      <c r="T63" s="684">
        <f>H12</f>
        <v>14</v>
      </c>
      <c r="U63" s="684"/>
      <c r="V63" s="532" t="s">
        <v>333</v>
      </c>
    </row>
    <row r="64" spans="1:22" ht="18" customHeight="1">
      <c r="A64" s="96"/>
      <c r="B64" s="47" t="s">
        <v>676</v>
      </c>
      <c r="C64" s="14"/>
      <c r="D64" s="14"/>
      <c r="E64" s="14"/>
      <c r="F64" s="14"/>
      <c r="G64" s="18"/>
      <c r="H64" s="18"/>
      <c r="I64" s="14"/>
      <c r="J64" s="120"/>
      <c r="K64" s="14"/>
      <c r="L64" s="14"/>
      <c r="N64" s="14"/>
      <c r="O64" s="14"/>
      <c r="Q64" s="14" t="s">
        <v>842</v>
      </c>
      <c r="S64" s="234" t="s">
        <v>127</v>
      </c>
      <c r="T64" s="795">
        <f>S29</f>
        <v>0.58186130000000003</v>
      </c>
      <c r="U64" s="795"/>
      <c r="V64" s="532" t="s">
        <v>333</v>
      </c>
    </row>
    <row r="65" spans="1:22" ht="18" customHeight="1">
      <c r="A65" s="96"/>
      <c r="B65" s="47" t="s">
        <v>691</v>
      </c>
      <c r="C65" s="14"/>
      <c r="D65" s="14"/>
      <c r="E65" s="14"/>
      <c r="F65" s="14"/>
      <c r="G65" s="14"/>
      <c r="H65" s="14"/>
      <c r="I65" s="14"/>
      <c r="J65" s="120"/>
      <c r="K65" s="14"/>
      <c r="L65" s="14"/>
      <c r="N65" s="14"/>
      <c r="O65" s="14"/>
      <c r="Q65" s="14" t="s">
        <v>511</v>
      </c>
      <c r="S65" s="234" t="s">
        <v>127</v>
      </c>
      <c r="T65" s="684">
        <f>O10</f>
        <v>1</v>
      </c>
      <c r="U65" s="684"/>
      <c r="V65" s="185" t="s">
        <v>8</v>
      </c>
    </row>
    <row r="66" spans="1:22" ht="18" customHeight="1">
      <c r="A66" s="96"/>
      <c r="B66" s="14" t="s">
        <v>857</v>
      </c>
      <c r="C66" s="14"/>
      <c r="D66" s="14"/>
      <c r="E66" s="235"/>
      <c r="F66" s="14"/>
      <c r="G66" s="28"/>
      <c r="H66" s="249"/>
      <c r="I66" s="28"/>
      <c r="J66" s="251"/>
      <c r="K66" s="14"/>
      <c r="L66" s="280"/>
      <c r="N66" s="47"/>
      <c r="O66" s="268"/>
      <c r="Q66" s="281" t="s">
        <v>341</v>
      </c>
      <c r="S66" s="234" t="s">
        <v>127</v>
      </c>
      <c r="T66" s="1327">
        <f>'[8]Fault Calc (3)'!Q11</f>
        <v>23.6</v>
      </c>
      <c r="U66" s="1328"/>
      <c r="V66" s="185"/>
    </row>
    <row r="67" spans="1:22" ht="18" customHeight="1">
      <c r="A67" s="325"/>
      <c r="B67" s="14" t="s">
        <v>858</v>
      </c>
      <c r="F67" s="14"/>
      <c r="G67" s="154"/>
      <c r="H67" s="102"/>
      <c r="I67" s="28"/>
      <c r="J67" s="27"/>
      <c r="K67" s="14"/>
      <c r="O67" s="47"/>
      <c r="P67" s="14"/>
      <c r="Q67" s="14"/>
      <c r="R67" s="14"/>
      <c r="S67" s="120"/>
      <c r="T67" s="1075">
        <v>100</v>
      </c>
      <c r="U67" s="1076"/>
      <c r="V67" s="97" t="s">
        <v>604</v>
      </c>
    </row>
    <row r="68" spans="1:22" ht="18.75" customHeight="1">
      <c r="A68" s="96"/>
      <c r="B68" s="14"/>
      <c r="Q68" s="14"/>
      <c r="R68" s="14"/>
      <c r="S68" s="120"/>
      <c r="T68" s="18"/>
      <c r="U68" s="18"/>
      <c r="V68" s="97"/>
    </row>
    <row r="69" spans="1:22" ht="18" customHeight="1">
      <c r="A69" s="184"/>
      <c r="B69" s="533" t="s">
        <v>859</v>
      </c>
      <c r="C69" s="533"/>
      <c r="D69" s="247"/>
      <c r="E69" s="247"/>
      <c r="F69" s="459" t="str">
        <f>IF(T67=150,"1 &amp; 2","3 &amp; 4")</f>
        <v>3 &amp; 4</v>
      </c>
      <c r="G69" s="534"/>
      <c r="V69" s="185"/>
    </row>
    <row r="70" spans="1:22" ht="18" customHeight="1">
      <c r="A70" s="524" t="s">
        <v>419</v>
      </c>
      <c r="B70" s="689" t="s">
        <v>847</v>
      </c>
      <c r="C70" s="689"/>
      <c r="D70" s="28" t="s">
        <v>315</v>
      </c>
      <c r="E70" s="28" t="s">
        <v>341</v>
      </c>
      <c r="F70" s="47" t="s">
        <v>350</v>
      </c>
      <c r="G70" s="154" t="s">
        <v>699</v>
      </c>
      <c r="H70" s="120" t="s">
        <v>419</v>
      </c>
      <c r="I70" s="221" t="str">
        <f>IF(T67=150,"1000","600")</f>
        <v>600</v>
      </c>
      <c r="J70" s="28" t="s">
        <v>315</v>
      </c>
      <c r="K70" s="28" t="s">
        <v>511</v>
      </c>
      <c r="L70" s="47" t="s">
        <v>350</v>
      </c>
      <c r="M70" s="14"/>
      <c r="N70" s="14"/>
      <c r="U70" s="14" t="str">
        <f>IF(T67=150,"...cond.1","…cond.3")</f>
        <v>…cond.3</v>
      </c>
      <c r="V70" s="185"/>
    </row>
    <row r="71" spans="1:22" ht="18" customHeight="1">
      <c r="A71" s="524" t="s">
        <v>419</v>
      </c>
      <c r="B71" s="692">
        <f>T62</f>
        <v>13.91925</v>
      </c>
      <c r="C71" s="692"/>
      <c r="D71" s="28" t="s">
        <v>315</v>
      </c>
      <c r="E71" s="28">
        <f>T66</f>
        <v>23.6</v>
      </c>
      <c r="F71" s="47" t="s">
        <v>350</v>
      </c>
      <c r="G71" s="154" t="s">
        <v>699</v>
      </c>
      <c r="H71" s="120" t="s">
        <v>419</v>
      </c>
      <c r="I71" s="221" t="str">
        <f>I70</f>
        <v>600</v>
      </c>
      <c r="J71" s="28" t="s">
        <v>315</v>
      </c>
      <c r="K71" s="28">
        <f>T65</f>
        <v>1</v>
      </c>
      <c r="L71" s="47" t="s">
        <v>350</v>
      </c>
      <c r="M71" s="14"/>
      <c r="N71" s="14"/>
      <c r="U71" s="14"/>
      <c r="V71" s="97"/>
    </row>
    <row r="72" spans="1:22" ht="18" customHeight="1">
      <c r="A72" s="96"/>
      <c r="B72" s="14"/>
      <c r="C72" s="14"/>
      <c r="D72" s="834">
        <f>B71*E71</f>
        <v>328.49430000000001</v>
      </c>
      <c r="E72" s="1149"/>
      <c r="F72" s="14"/>
      <c r="G72" s="154" t="s">
        <v>699</v>
      </c>
      <c r="H72" s="102"/>
      <c r="I72" s="689">
        <f>I71*K71</f>
        <v>600</v>
      </c>
      <c r="J72" s="684"/>
      <c r="K72" s="14"/>
      <c r="O72" s="47"/>
      <c r="P72" s="14"/>
      <c r="Q72" s="14"/>
      <c r="R72" s="14"/>
      <c r="S72" s="120" t="s">
        <v>860</v>
      </c>
      <c r="T72" s="1326" t="b">
        <f>IF(D72&lt;=I72,TRUE,FALSE)</f>
        <v>1</v>
      </c>
      <c r="U72" s="1326"/>
      <c r="V72" s="97"/>
    </row>
    <row r="73" spans="1:22" ht="18" customHeight="1">
      <c r="A73" s="184"/>
      <c r="B73" s="28" t="s">
        <v>617</v>
      </c>
      <c r="C73" s="30" t="str">
        <f>IF(T67=150,"…cond.1","…cond.3")</f>
        <v>…cond.3</v>
      </c>
      <c r="E73" s="14" t="s">
        <v>861</v>
      </c>
      <c r="V73" s="185"/>
    </row>
    <row r="74" spans="1:22" ht="18" customHeight="1">
      <c r="A74" s="184"/>
      <c r="V74" s="97"/>
    </row>
    <row r="75" spans="1:22" ht="18" customHeight="1">
      <c r="A75" s="184"/>
      <c r="B75" s="14"/>
      <c r="C75" s="28" t="s">
        <v>841</v>
      </c>
      <c r="D75" s="28" t="s">
        <v>529</v>
      </c>
      <c r="E75" s="28">
        <v>40</v>
      </c>
      <c r="F75" s="28" t="s">
        <v>347</v>
      </c>
      <c r="G75" s="221" t="str">
        <f>IF(T67=150,"0.07","0.35")</f>
        <v>0.35</v>
      </c>
      <c r="H75" s="28" t="s">
        <v>672</v>
      </c>
      <c r="I75" s="689" t="s">
        <v>847</v>
      </c>
      <c r="J75" s="723"/>
      <c r="K75" s="28" t="s">
        <v>315</v>
      </c>
      <c r="L75" s="28" t="s">
        <v>341</v>
      </c>
      <c r="M75" s="47" t="s">
        <v>350</v>
      </c>
      <c r="N75" s="184"/>
      <c r="O75" s="47" t="s">
        <v>862</v>
      </c>
      <c r="P75" s="27"/>
      <c r="Q75" s="28" t="s">
        <v>127</v>
      </c>
      <c r="R75" s="795">
        <f>MAX(E77,E78)</f>
        <v>154.973005</v>
      </c>
      <c r="S75" s="684"/>
      <c r="V75" s="185"/>
    </row>
    <row r="76" spans="1:22" ht="18" customHeight="1">
      <c r="A76" s="184"/>
      <c r="B76" s="14"/>
      <c r="C76" s="28"/>
      <c r="D76" s="28" t="s">
        <v>529</v>
      </c>
      <c r="E76" s="28">
        <v>40</v>
      </c>
      <c r="F76" s="28" t="s">
        <v>347</v>
      </c>
      <c r="G76" s="221" t="str">
        <f>IF(T67=150,"0.07","0.35")</f>
        <v>0.35</v>
      </c>
      <c r="H76" s="28" t="s">
        <v>672</v>
      </c>
      <c r="I76" s="692">
        <f>T62</f>
        <v>13.91925</v>
      </c>
      <c r="J76" s="723"/>
      <c r="K76" s="28" t="s">
        <v>315</v>
      </c>
      <c r="L76" s="28">
        <f>T66</f>
        <v>23.6</v>
      </c>
      <c r="M76" s="47" t="s">
        <v>350</v>
      </c>
      <c r="N76" s="184"/>
      <c r="V76" s="185"/>
    </row>
    <row r="77" spans="1:22" ht="18" customHeight="1">
      <c r="A77" s="184"/>
      <c r="B77" s="14"/>
      <c r="C77" s="28"/>
      <c r="D77" s="28" t="s">
        <v>529</v>
      </c>
      <c r="E77" s="692">
        <f>E76+(G76*(I76*L76))</f>
        <v>154.973005</v>
      </c>
      <c r="F77" s="692"/>
      <c r="G77" s="221"/>
      <c r="H77" s="28"/>
      <c r="I77" s="218"/>
      <c r="K77" s="28"/>
      <c r="L77" s="28"/>
      <c r="M77" s="47"/>
      <c r="N77" s="184"/>
      <c r="V77" s="185"/>
    </row>
    <row r="78" spans="1:22" ht="18" customHeight="1">
      <c r="A78" s="96"/>
      <c r="B78" s="28" t="s">
        <v>850</v>
      </c>
      <c r="C78" s="28" t="s">
        <v>841</v>
      </c>
      <c r="D78" s="28" t="s">
        <v>127</v>
      </c>
      <c r="E78" s="28">
        <v>65</v>
      </c>
      <c r="G78" s="14"/>
      <c r="H78" s="154"/>
      <c r="I78" s="102"/>
      <c r="J78" s="28"/>
      <c r="K78" s="27"/>
      <c r="L78" s="14"/>
      <c r="N78" s="96"/>
      <c r="O78" s="14"/>
      <c r="Q78" s="14"/>
      <c r="R78" s="14"/>
      <c r="S78" s="14"/>
      <c r="T78" s="14"/>
      <c r="U78" s="14"/>
      <c r="V78" s="97"/>
    </row>
    <row r="79" spans="1:22" ht="18" customHeight="1">
      <c r="A79" s="96"/>
      <c r="B79" s="14"/>
      <c r="F79" s="28"/>
      <c r="I79" s="120"/>
      <c r="J79" s="221"/>
      <c r="K79" s="28"/>
      <c r="L79" s="28"/>
      <c r="M79" s="47"/>
      <c r="N79" s="14"/>
      <c r="O79" s="14"/>
      <c r="Q79" s="14"/>
      <c r="R79" s="14"/>
      <c r="S79" s="14"/>
      <c r="T79" s="14"/>
      <c r="U79" s="14"/>
      <c r="V79" s="97"/>
    </row>
    <row r="80" spans="1:22" ht="18" customHeight="1">
      <c r="A80" s="524" t="s">
        <v>419</v>
      </c>
      <c r="B80" s="221" t="str">
        <f>IF(T67=150,"1000","600")</f>
        <v>600</v>
      </c>
      <c r="C80" s="28" t="s">
        <v>315</v>
      </c>
      <c r="D80" s="28" t="s">
        <v>511</v>
      </c>
      <c r="E80" s="47" t="s">
        <v>350</v>
      </c>
      <c r="F80" s="28" t="s">
        <v>851</v>
      </c>
      <c r="G80" s="120" t="s">
        <v>419</v>
      </c>
      <c r="H80" s="689" t="s">
        <v>847</v>
      </c>
      <c r="I80" s="723"/>
      <c r="J80" s="28" t="s">
        <v>315</v>
      </c>
      <c r="K80" s="28" t="s">
        <v>341</v>
      </c>
      <c r="L80" s="47" t="s">
        <v>350</v>
      </c>
      <c r="M80" s="154" t="s">
        <v>699</v>
      </c>
      <c r="N80" s="120" t="s">
        <v>419</v>
      </c>
      <c r="O80" s="221" t="str">
        <f>IF(T67=150,"2600","1600")</f>
        <v>1600</v>
      </c>
      <c r="P80" s="28" t="s">
        <v>315</v>
      </c>
      <c r="Q80" s="28" t="s">
        <v>511</v>
      </c>
      <c r="R80" s="47" t="s">
        <v>350</v>
      </c>
      <c r="S80" s="14"/>
      <c r="T80" s="14"/>
      <c r="U80" s="14" t="str">
        <f>IF(T67=150,"...cond.2","…cond.4")</f>
        <v>…cond.4</v>
      </c>
      <c r="V80" s="97"/>
    </row>
    <row r="81" spans="1:22" ht="18" customHeight="1">
      <c r="A81" s="524" t="s">
        <v>419</v>
      </c>
      <c r="B81" s="221" t="str">
        <f>B80</f>
        <v>600</v>
      </c>
      <c r="C81" s="28" t="s">
        <v>315</v>
      </c>
      <c r="D81" s="28">
        <f>T65</f>
        <v>1</v>
      </c>
      <c r="E81" s="47" t="s">
        <v>350</v>
      </c>
      <c r="F81" s="28" t="s">
        <v>851</v>
      </c>
      <c r="G81" s="120" t="s">
        <v>419</v>
      </c>
      <c r="H81" s="692">
        <f>T62</f>
        <v>13.91925</v>
      </c>
      <c r="I81" s="723"/>
      <c r="J81" s="28" t="s">
        <v>315</v>
      </c>
      <c r="K81" s="28">
        <f>T66</f>
        <v>23.6</v>
      </c>
      <c r="L81" s="47" t="s">
        <v>350</v>
      </c>
      <c r="M81" s="154" t="s">
        <v>699</v>
      </c>
      <c r="N81" s="120" t="s">
        <v>419</v>
      </c>
      <c r="O81" s="221" t="str">
        <f>O80</f>
        <v>1600</v>
      </c>
      <c r="P81" s="28" t="s">
        <v>315</v>
      </c>
      <c r="Q81" s="28">
        <f>T65</f>
        <v>1</v>
      </c>
      <c r="R81" s="47" t="s">
        <v>350</v>
      </c>
      <c r="S81" s="14"/>
      <c r="T81" s="14"/>
      <c r="U81" s="14"/>
      <c r="V81" s="97"/>
    </row>
    <row r="82" spans="1:22" ht="18" customHeight="1">
      <c r="A82" s="524"/>
      <c r="B82" s="249"/>
      <c r="C82" s="1329">
        <f>B81*D81</f>
        <v>600</v>
      </c>
      <c r="D82" s="1329"/>
      <c r="E82" s="249"/>
      <c r="F82" s="28" t="s">
        <v>851</v>
      </c>
      <c r="G82" s="14"/>
      <c r="H82" s="14"/>
      <c r="I82" s="834">
        <f>H81*K81</f>
        <v>328.49430000000001</v>
      </c>
      <c r="J82" s="834"/>
      <c r="K82" s="14"/>
      <c r="L82" s="14"/>
      <c r="M82" s="154" t="s">
        <v>699</v>
      </c>
      <c r="N82" s="102"/>
      <c r="O82" s="1286">
        <f>O81*Q81</f>
        <v>1600</v>
      </c>
      <c r="P82" s="723"/>
      <c r="Q82" s="14"/>
      <c r="R82" s="14"/>
      <c r="S82" s="120" t="s">
        <v>860</v>
      </c>
      <c r="T82" s="1326" t="b">
        <f>IF(AND(C82&lt;I82,I82&lt;=O82)=TRUE,TRUE,FALSE)</f>
        <v>0</v>
      </c>
      <c r="U82" s="1326"/>
      <c r="V82" s="97"/>
    </row>
    <row r="83" spans="1:22" ht="18" customHeight="1">
      <c r="A83" s="193"/>
      <c r="B83" s="14"/>
      <c r="C83" s="27"/>
      <c r="D83" s="218"/>
      <c r="E83" s="204"/>
      <c r="F83" s="14"/>
      <c r="G83" s="14"/>
      <c r="H83" s="14"/>
      <c r="I83" s="14"/>
      <c r="J83" s="120"/>
      <c r="K83" s="120"/>
      <c r="L83" s="14"/>
      <c r="M83" s="14"/>
      <c r="N83" s="28"/>
      <c r="O83" s="257"/>
      <c r="P83" s="14"/>
      <c r="Q83" s="14"/>
      <c r="R83" s="120"/>
      <c r="S83" s="28"/>
      <c r="T83" s="47"/>
      <c r="U83" s="14"/>
      <c r="V83" s="97"/>
    </row>
    <row r="84" spans="1:22" s="279" customFormat="1" ht="18" customHeight="1">
      <c r="A84" s="299"/>
      <c r="B84" s="28" t="s">
        <v>617</v>
      </c>
      <c r="C84" s="30" t="str">
        <f>IF(T67=150,"…cond.2","…cond.4")</f>
        <v>…cond.4</v>
      </c>
      <c r="D84" s="30"/>
      <c r="E84" s="14" t="s">
        <v>863</v>
      </c>
      <c r="F84" s="30"/>
      <c r="G84" s="30"/>
      <c r="H84" s="30"/>
      <c r="I84" s="30"/>
      <c r="J84" s="28" t="s">
        <v>127</v>
      </c>
      <c r="K84" s="30" t="str">
        <f>IF(T67=150,"107","256")</f>
        <v>256</v>
      </c>
      <c r="L84" s="30"/>
      <c r="M84" s="30"/>
      <c r="N84" s="1" t="s">
        <v>864</v>
      </c>
      <c r="O84" s="196"/>
      <c r="P84" s="196"/>
      <c r="Q84" s="196"/>
      <c r="R84" s="196"/>
      <c r="S84" s="182" t="s">
        <v>127</v>
      </c>
      <c r="T84" s="246">
        <f>IF(T72=TRUE,R75,IF(T82=TRUE,K84,))</f>
        <v>154.973005</v>
      </c>
      <c r="U84" s="14"/>
      <c r="V84" s="97"/>
    </row>
    <row r="85" spans="1:22" ht="18" customHeight="1">
      <c r="A85" s="193"/>
      <c r="B85" s="14"/>
      <c r="C85" s="27"/>
      <c r="D85" s="218"/>
      <c r="E85" s="204"/>
      <c r="F85" s="14"/>
      <c r="G85" s="14"/>
      <c r="H85" s="14"/>
      <c r="I85" s="14"/>
      <c r="J85" s="120"/>
      <c r="K85" s="120"/>
      <c r="L85" s="14"/>
      <c r="M85" s="14"/>
      <c r="N85" s="28"/>
      <c r="O85" s="257"/>
      <c r="P85" s="14"/>
      <c r="Q85" s="14"/>
      <c r="R85" s="120"/>
      <c r="S85" s="28"/>
      <c r="T85" s="47"/>
      <c r="U85" s="14"/>
      <c r="V85" s="97"/>
    </row>
    <row r="86" spans="1:22" ht="18" customHeight="1">
      <c r="A86" s="194"/>
      <c r="B86" s="195"/>
      <c r="C86" s="195"/>
      <c r="D86" s="195"/>
      <c r="E86" s="195"/>
      <c r="F86" s="195"/>
      <c r="G86" s="195"/>
      <c r="H86" s="195"/>
      <c r="I86" s="195"/>
      <c r="J86" s="195"/>
      <c r="K86" s="195"/>
      <c r="L86" s="195"/>
      <c r="M86" s="195"/>
      <c r="N86" s="195"/>
      <c r="O86" s="195"/>
      <c r="P86" s="195"/>
      <c r="Q86" s="224"/>
      <c r="R86" s="182"/>
      <c r="S86" s="225"/>
      <c r="T86" s="195"/>
      <c r="U86" s="195"/>
      <c r="V86" s="134"/>
    </row>
    <row r="87" spans="1:22" ht="18" customHeight="1">
      <c r="A87" s="193"/>
      <c r="B87" s="14"/>
      <c r="C87" s="27"/>
      <c r="D87" s="218"/>
      <c r="E87" s="204"/>
      <c r="F87" s="14"/>
      <c r="G87" s="14"/>
      <c r="H87" s="14"/>
      <c r="I87" s="14"/>
      <c r="J87" s="120"/>
      <c r="K87" s="120"/>
      <c r="L87" s="14"/>
      <c r="M87" s="14"/>
      <c r="N87" s="28"/>
      <c r="O87" s="257"/>
      <c r="P87" s="14"/>
      <c r="Q87" s="14"/>
      <c r="R87" s="120"/>
      <c r="S87" s="28"/>
      <c r="T87" s="47"/>
      <c r="U87" s="14"/>
      <c r="V87" s="97"/>
    </row>
    <row r="88" spans="1:22" s="279" customFormat="1" ht="18" customHeight="1">
      <c r="A88" s="193" t="s">
        <v>865</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84"/>
      <c r="D89" s="30" t="s">
        <v>473</v>
      </c>
      <c r="E89" s="27" t="s">
        <v>529</v>
      </c>
      <c r="F89" s="27" t="s">
        <v>841</v>
      </c>
      <c r="G89" s="27" t="s">
        <v>315</v>
      </c>
      <c r="H89" s="27" t="s">
        <v>511</v>
      </c>
      <c r="I89" s="27" t="s">
        <v>372</v>
      </c>
      <c r="J89" s="27" t="s">
        <v>420</v>
      </c>
      <c r="K89" s="27" t="s">
        <v>347</v>
      </c>
      <c r="L89" s="27" t="s">
        <v>842</v>
      </c>
      <c r="M89" s="30" t="s">
        <v>350</v>
      </c>
      <c r="V89" s="185"/>
    </row>
    <row r="90" spans="1:22" ht="18" customHeight="1">
      <c r="A90" s="184"/>
      <c r="B90" s="14"/>
      <c r="D90" s="14"/>
      <c r="E90" s="27" t="s">
        <v>529</v>
      </c>
      <c r="F90" s="27">
        <f>T84</f>
        <v>154.973005</v>
      </c>
      <c r="G90" s="27" t="s">
        <v>315</v>
      </c>
      <c r="H90" s="27">
        <f>T65</f>
        <v>1</v>
      </c>
      <c r="I90" s="27" t="s">
        <v>372</v>
      </c>
      <c r="J90" s="27">
        <f>T63</f>
        <v>14</v>
      </c>
      <c r="K90" s="27" t="s">
        <v>347</v>
      </c>
      <c r="L90" s="211">
        <f>T64</f>
        <v>0.58186130000000003</v>
      </c>
      <c r="M90" s="30" t="s">
        <v>350</v>
      </c>
      <c r="V90" s="185"/>
    </row>
    <row r="91" spans="1:22" ht="18" customHeight="1">
      <c r="A91" s="184"/>
      <c r="B91" s="14"/>
      <c r="D91" s="14"/>
      <c r="E91" s="27" t="s">
        <v>529</v>
      </c>
      <c r="F91" s="709">
        <f>F90*H90*(J90+L90)</f>
        <v>2259.7948641542066</v>
      </c>
      <c r="G91" s="710"/>
      <c r="H91" s="14" t="s">
        <v>305</v>
      </c>
      <c r="I91" s="14"/>
      <c r="J91" s="14"/>
      <c r="K91" s="14"/>
      <c r="L91" s="120"/>
      <c r="M91" s="120"/>
      <c r="V91" s="185"/>
    </row>
    <row r="92" spans="1:22" s="279" customFormat="1" ht="18" customHeight="1">
      <c r="A92" s="325"/>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446</v>
      </c>
      <c r="B93" s="14"/>
      <c r="C93" s="27"/>
      <c r="D93" s="218"/>
      <c r="E93" s="204"/>
      <c r="F93" s="14"/>
      <c r="G93" s="14"/>
      <c r="H93" s="14"/>
      <c r="I93" s="14"/>
      <c r="J93" s="120"/>
      <c r="K93" s="120"/>
      <c r="L93" s="14"/>
      <c r="M93" s="14"/>
      <c r="N93" s="28"/>
      <c r="O93" s="257"/>
      <c r="P93" s="14"/>
      <c r="Q93" s="14"/>
      <c r="R93" s="120"/>
      <c r="S93" s="28"/>
      <c r="T93" s="47"/>
      <c r="U93" s="14"/>
      <c r="V93" s="185"/>
    </row>
    <row r="94" spans="1:22" ht="18" customHeight="1">
      <c r="A94" s="193" t="s">
        <v>416</v>
      </c>
      <c r="B94" s="14"/>
      <c r="C94" s="27"/>
      <c r="D94" s="218"/>
      <c r="E94" s="204"/>
      <c r="F94" s="14"/>
      <c r="G94" s="14"/>
      <c r="H94" s="14"/>
      <c r="I94" s="14"/>
      <c r="J94" s="120"/>
      <c r="K94" s="120"/>
      <c r="L94" s="14"/>
      <c r="M94" s="14"/>
      <c r="N94" s="28"/>
      <c r="O94" s="257"/>
      <c r="P94" s="14"/>
      <c r="Q94" s="14"/>
      <c r="R94" s="120"/>
      <c r="S94" s="28"/>
      <c r="T94" s="47"/>
      <c r="U94" s="14"/>
      <c r="V94" s="185"/>
    </row>
    <row r="95" spans="1:22" ht="32.700000000000003" customHeight="1">
      <c r="A95" s="1206" t="s">
        <v>866</v>
      </c>
      <c r="B95" s="1255"/>
      <c r="C95" s="1255"/>
      <c r="D95" s="1255"/>
      <c r="E95" s="1255"/>
      <c r="F95" s="1255"/>
      <c r="G95" s="1255"/>
      <c r="H95" s="1255"/>
      <c r="I95" s="1255"/>
      <c r="J95" s="1255"/>
      <c r="K95" s="1255"/>
      <c r="L95" s="1255"/>
      <c r="M95" s="1255"/>
      <c r="N95" s="1255"/>
      <c r="O95" s="1255"/>
      <c r="P95" s="1255"/>
      <c r="Q95" s="1255"/>
      <c r="R95" s="1255"/>
      <c r="S95" s="1255"/>
      <c r="T95" s="1255"/>
      <c r="U95" s="1255"/>
      <c r="V95" s="1256"/>
    </row>
    <row r="96" spans="1:22" ht="18" customHeight="1">
      <c r="A96" s="193"/>
      <c r="B96" s="14"/>
      <c r="F96" s="14" t="s">
        <v>867</v>
      </c>
      <c r="G96" s="14" t="s">
        <v>127</v>
      </c>
      <c r="H96" s="1317">
        <f>'[8]Fault Calc (3)'!E53</f>
        <v>44.649765884250023</v>
      </c>
      <c r="I96" s="1317"/>
      <c r="J96" s="120"/>
      <c r="K96" s="14" t="str">
        <f>IF(H96&gt;2,"Since SIR is &gt;2, the below calculation is not applicable","")</f>
        <v>Since SIR is &gt;2, the below calculation is not applicable</v>
      </c>
      <c r="N96" s="28"/>
      <c r="O96" s="257"/>
      <c r="P96" s="14"/>
      <c r="Q96" s="14"/>
      <c r="R96" s="120"/>
      <c r="S96" s="28"/>
      <c r="T96" s="47"/>
      <c r="U96" s="14"/>
      <c r="V96" s="185"/>
    </row>
    <row r="97" spans="1:22" ht="18" customHeight="1">
      <c r="A97" s="193"/>
      <c r="B97" s="14"/>
      <c r="C97" s="27"/>
      <c r="D97" s="218"/>
      <c r="E97" s="204"/>
      <c r="J97" s="120"/>
      <c r="K97" s="120"/>
      <c r="L97" s="14"/>
      <c r="M97" s="14"/>
      <c r="N97" s="28"/>
      <c r="O97" s="257"/>
      <c r="P97" s="14"/>
      <c r="Q97" s="14"/>
      <c r="R97" s="120"/>
      <c r="S97" s="28"/>
      <c r="T97" s="47"/>
      <c r="U97" s="14"/>
      <c r="V97" s="185"/>
    </row>
    <row r="98" spans="1:22" ht="18" customHeight="1">
      <c r="A98" s="184"/>
      <c r="B98" s="14"/>
      <c r="C98" s="27"/>
      <c r="D98" s="218"/>
      <c r="E98" s="204"/>
      <c r="F98" s="30" t="s">
        <v>473</v>
      </c>
      <c r="G98" s="27" t="s">
        <v>529</v>
      </c>
      <c r="H98" s="993" t="s">
        <v>868</v>
      </c>
      <c r="I98" s="993"/>
      <c r="J98" s="27" t="s">
        <v>315</v>
      </c>
      <c r="K98" s="993" t="s">
        <v>820</v>
      </c>
      <c r="L98" s="993"/>
      <c r="M98" s="27" t="s">
        <v>315</v>
      </c>
      <c r="N98" s="244" t="s">
        <v>419</v>
      </c>
      <c r="O98" s="27" t="s">
        <v>420</v>
      </c>
      <c r="P98" s="27" t="s">
        <v>347</v>
      </c>
      <c r="Q98" s="27" t="s">
        <v>408</v>
      </c>
      <c r="R98" s="30" t="s">
        <v>350</v>
      </c>
      <c r="S98" s="28"/>
      <c r="T98" s="47"/>
      <c r="U98" s="14"/>
      <c r="V98" s="185"/>
    </row>
    <row r="99" spans="1:22" ht="18" customHeight="1">
      <c r="A99" s="193"/>
      <c r="F99" s="14" t="s">
        <v>869</v>
      </c>
      <c r="H99" s="27"/>
      <c r="I99" s="218"/>
      <c r="J99" s="204"/>
      <c r="K99" s="14"/>
      <c r="L99" s="14"/>
      <c r="M99" s="14"/>
      <c r="N99" s="14"/>
      <c r="O99" s="120"/>
      <c r="P99" s="120"/>
      <c r="Q99" s="14"/>
      <c r="R99" s="14"/>
      <c r="U99" s="14"/>
      <c r="V99" s="185"/>
    </row>
    <row r="100" spans="1:22" ht="18" customHeight="1">
      <c r="A100" s="193"/>
      <c r="G100" s="993" t="s">
        <v>868</v>
      </c>
      <c r="H100" s="993"/>
      <c r="I100" s="218" t="s">
        <v>127</v>
      </c>
      <c r="J100" s="204" t="s">
        <v>870</v>
      </c>
      <c r="K100" s="14"/>
      <c r="L100" s="14"/>
      <c r="M100" s="14"/>
      <c r="N100" s="14"/>
      <c r="O100" s="120"/>
      <c r="P100" s="120"/>
      <c r="Q100" s="14"/>
      <c r="R100" s="14"/>
      <c r="S100" s="28" t="s">
        <v>127</v>
      </c>
      <c r="T100" s="47">
        <v>1.4</v>
      </c>
      <c r="U100" s="14"/>
      <c r="V100" s="97"/>
    </row>
    <row r="101" spans="1:22" ht="18" customHeight="1">
      <c r="A101" s="193"/>
      <c r="G101" s="993" t="s">
        <v>820</v>
      </c>
      <c r="H101" s="993"/>
      <c r="I101" s="218" t="s">
        <v>127</v>
      </c>
      <c r="J101" s="204" t="s">
        <v>871</v>
      </c>
      <c r="K101" s="14"/>
      <c r="L101" s="14"/>
      <c r="M101" s="14"/>
      <c r="N101" s="14"/>
      <c r="O101" s="120"/>
      <c r="P101" s="120"/>
      <c r="Q101" s="14"/>
      <c r="R101" s="14"/>
      <c r="S101" s="28" t="s">
        <v>127</v>
      </c>
      <c r="T101" s="1188">
        <f>T62</f>
        <v>13.91925</v>
      </c>
      <c r="U101" s="1286"/>
      <c r="V101" s="97" t="s">
        <v>8</v>
      </c>
    </row>
    <row r="102" spans="1:22" ht="18" customHeight="1">
      <c r="A102" s="193"/>
      <c r="U102" s="14"/>
      <c r="V102" s="97"/>
    </row>
    <row r="103" spans="1:22" ht="18" customHeight="1">
      <c r="A103" s="193"/>
      <c r="F103" s="30" t="s">
        <v>473</v>
      </c>
      <c r="G103" s="27" t="s">
        <v>529</v>
      </c>
      <c r="H103" s="993" t="s">
        <v>868</v>
      </c>
      <c r="I103" s="993"/>
      <c r="J103" s="27" t="s">
        <v>315</v>
      </c>
      <c r="K103" s="993" t="s">
        <v>820</v>
      </c>
      <c r="L103" s="993"/>
      <c r="M103" s="27" t="s">
        <v>315</v>
      </c>
      <c r="N103" s="244" t="s">
        <v>419</v>
      </c>
      <c r="O103" s="27" t="s">
        <v>420</v>
      </c>
      <c r="P103" s="27" t="s">
        <v>347</v>
      </c>
      <c r="Q103" s="27" t="s">
        <v>408</v>
      </c>
      <c r="R103" s="30" t="s">
        <v>350</v>
      </c>
      <c r="T103" s="47"/>
      <c r="U103" s="14"/>
      <c r="V103" s="97"/>
    </row>
    <row r="104" spans="1:22" ht="18" customHeight="1">
      <c r="A104" s="193"/>
      <c r="F104" s="30" t="s">
        <v>473</v>
      </c>
      <c r="G104" s="27" t="s">
        <v>529</v>
      </c>
      <c r="H104" s="993">
        <f>T100</f>
        <v>1.4</v>
      </c>
      <c r="I104" s="993"/>
      <c r="J104" s="27" t="s">
        <v>315</v>
      </c>
      <c r="K104" s="1111">
        <f>T101</f>
        <v>13.91925</v>
      </c>
      <c r="L104" s="993"/>
      <c r="M104" s="27" t="s">
        <v>315</v>
      </c>
      <c r="N104" s="244" t="s">
        <v>419</v>
      </c>
      <c r="O104" s="27">
        <f>T63</f>
        <v>14</v>
      </c>
      <c r="P104" s="27" t="s">
        <v>347</v>
      </c>
      <c r="Q104" s="211">
        <f>T64</f>
        <v>0.58186130000000003</v>
      </c>
      <c r="R104" s="30" t="s">
        <v>350</v>
      </c>
      <c r="V104" s="97"/>
    </row>
    <row r="105" spans="1:22" ht="18" customHeight="1">
      <c r="A105" s="184"/>
      <c r="F105" s="30" t="s">
        <v>473</v>
      </c>
      <c r="G105" s="27" t="s">
        <v>529</v>
      </c>
      <c r="H105" s="1330">
        <f>H104*K104*(O104+Q104)</f>
        <v>284.15600206003501</v>
      </c>
      <c r="I105" s="1331"/>
      <c r="J105" s="14" t="s">
        <v>872</v>
      </c>
      <c r="V105" s="97"/>
    </row>
    <row r="106" spans="1:22" ht="18" customHeight="1">
      <c r="A106" s="96"/>
      <c r="U106" s="18"/>
      <c r="V106" s="97"/>
    </row>
    <row r="107" spans="1:22" ht="18" customHeight="1">
      <c r="A107" s="193" t="s">
        <v>873</v>
      </c>
      <c r="O107" s="47"/>
      <c r="P107" s="14"/>
      <c r="Q107" s="14"/>
      <c r="R107" s="14"/>
      <c r="S107" s="120"/>
      <c r="T107" s="18"/>
      <c r="U107" s="18"/>
      <c r="V107" s="97"/>
    </row>
    <row r="108" spans="1:22" ht="18" customHeight="1">
      <c r="A108" s="184"/>
      <c r="V108" s="97"/>
    </row>
    <row r="109" spans="1:22" ht="18" customHeight="1">
      <c r="A109" s="184"/>
      <c r="C109" s="30" t="s">
        <v>473</v>
      </c>
      <c r="D109" s="27" t="s">
        <v>529</v>
      </c>
      <c r="E109" s="805" t="s">
        <v>874</v>
      </c>
      <c r="F109" s="805"/>
      <c r="G109" s="27" t="s">
        <v>315</v>
      </c>
      <c r="H109" s="805" t="s">
        <v>875</v>
      </c>
      <c r="I109" s="805"/>
      <c r="J109" s="28" t="s">
        <v>672</v>
      </c>
      <c r="K109" s="27">
        <v>1</v>
      </c>
      <c r="L109" s="14" t="s">
        <v>347</v>
      </c>
      <c r="M109" s="14" t="s">
        <v>341</v>
      </c>
      <c r="N109" s="14" t="s">
        <v>876</v>
      </c>
      <c r="O109" s="27" t="s">
        <v>420</v>
      </c>
      <c r="P109" s="27" t="s">
        <v>347</v>
      </c>
      <c r="Q109" s="27" t="s">
        <v>408</v>
      </c>
      <c r="R109" s="30" t="s">
        <v>350</v>
      </c>
      <c r="V109" s="185"/>
    </row>
    <row r="110" spans="1:22" ht="18" customHeight="1">
      <c r="A110" s="184"/>
      <c r="C110" s="14" t="s">
        <v>869</v>
      </c>
      <c r="E110" s="27"/>
      <c r="F110" s="218"/>
      <c r="G110" s="204"/>
      <c r="H110" s="14"/>
      <c r="I110" s="14"/>
      <c r="J110" s="14"/>
      <c r="K110" s="14"/>
      <c r="L110" s="120"/>
      <c r="M110" s="120"/>
      <c r="N110" s="14"/>
      <c r="O110" s="14"/>
      <c r="U110" s="14"/>
      <c r="V110" s="185"/>
    </row>
    <row r="111" spans="1:22" ht="18" customHeight="1">
      <c r="A111" s="96"/>
      <c r="B111" s="14"/>
      <c r="D111" s="805" t="s">
        <v>874</v>
      </c>
      <c r="E111" s="993"/>
      <c r="F111" s="218" t="s">
        <v>127</v>
      </c>
      <c r="G111" s="257" t="s">
        <v>877</v>
      </c>
      <c r="H111" s="14"/>
      <c r="I111" s="14"/>
      <c r="J111" s="14"/>
      <c r="K111" s="14"/>
      <c r="L111" s="120"/>
      <c r="M111" s="120"/>
      <c r="N111" s="14"/>
      <c r="O111" s="14"/>
      <c r="S111" s="28" t="s">
        <v>127</v>
      </c>
      <c r="T111" s="47">
        <v>0.6</v>
      </c>
      <c r="U111" s="14"/>
      <c r="V111" s="97"/>
    </row>
    <row r="112" spans="1:22" ht="18" customHeight="1">
      <c r="A112" s="272"/>
      <c r="B112" s="47"/>
      <c r="D112" s="805" t="s">
        <v>875</v>
      </c>
      <c r="E112" s="993"/>
      <c r="F112" s="218" t="s">
        <v>127</v>
      </c>
      <c r="G112" s="257" t="s">
        <v>878</v>
      </c>
      <c r="H112" s="14"/>
      <c r="I112" s="14"/>
      <c r="J112" s="14"/>
      <c r="K112" s="14"/>
      <c r="L112" s="120"/>
      <c r="M112" s="120"/>
      <c r="N112" s="14"/>
      <c r="O112" s="14"/>
      <c r="S112" s="28" t="s">
        <v>127</v>
      </c>
      <c r="T112" s="1188">
        <f>'[8]Fault Calc (3)'!M107/T61</f>
        <v>13.614666949096682</v>
      </c>
      <c r="U112" s="1286"/>
      <c r="V112" s="97" t="s">
        <v>8</v>
      </c>
    </row>
    <row r="113" spans="1:22" ht="18" customHeight="1">
      <c r="A113" s="96"/>
      <c r="B113" s="47"/>
      <c r="C113" s="120"/>
      <c r="S113" s="14"/>
      <c r="T113" s="14"/>
      <c r="U113" s="14"/>
      <c r="V113" s="97"/>
    </row>
    <row r="114" spans="1:22" ht="18" customHeight="1">
      <c r="A114" s="184"/>
      <c r="C114" s="30" t="s">
        <v>473</v>
      </c>
      <c r="D114" s="27" t="s">
        <v>529</v>
      </c>
      <c r="E114" s="805" t="s">
        <v>874</v>
      </c>
      <c r="F114" s="805"/>
      <c r="G114" s="27" t="s">
        <v>315</v>
      </c>
      <c r="H114" s="805" t="s">
        <v>875</v>
      </c>
      <c r="I114" s="805"/>
      <c r="J114" s="28" t="s">
        <v>672</v>
      </c>
      <c r="K114" s="27">
        <v>1</v>
      </c>
      <c r="L114" s="14" t="s">
        <v>347</v>
      </c>
      <c r="M114" s="14" t="s">
        <v>341</v>
      </c>
      <c r="N114" s="14" t="s">
        <v>876</v>
      </c>
      <c r="O114" s="27" t="s">
        <v>420</v>
      </c>
      <c r="P114" s="27" t="s">
        <v>347</v>
      </c>
      <c r="Q114" s="27" t="s">
        <v>408</v>
      </c>
      <c r="R114" s="30" t="s">
        <v>350</v>
      </c>
      <c r="V114" s="97"/>
    </row>
    <row r="115" spans="1:22" ht="18" customHeight="1">
      <c r="A115" s="184"/>
      <c r="C115" s="30" t="s">
        <v>473</v>
      </c>
      <c r="D115" s="27" t="s">
        <v>529</v>
      </c>
      <c r="E115" s="805">
        <f>T111</f>
        <v>0.6</v>
      </c>
      <c r="F115" s="805"/>
      <c r="G115" s="27" t="s">
        <v>315</v>
      </c>
      <c r="H115" s="1184">
        <f>T112</f>
        <v>13.614666949096682</v>
      </c>
      <c r="I115" s="805"/>
      <c r="J115" s="28" t="s">
        <v>672</v>
      </c>
      <c r="K115" s="27">
        <v>1</v>
      </c>
      <c r="L115" s="14" t="s">
        <v>347</v>
      </c>
      <c r="M115" s="28">
        <f>T66</f>
        <v>23.6</v>
      </c>
      <c r="N115" s="14" t="s">
        <v>876</v>
      </c>
      <c r="O115" s="27">
        <f>T63</f>
        <v>14</v>
      </c>
      <c r="P115" s="27" t="s">
        <v>347</v>
      </c>
      <c r="Q115" s="211">
        <f>T64</f>
        <v>0.58186130000000003</v>
      </c>
      <c r="R115" s="30" t="s">
        <v>350</v>
      </c>
      <c r="V115" s="97"/>
    </row>
    <row r="116" spans="1:22" ht="18" customHeight="1">
      <c r="A116" s="184"/>
      <c r="C116" s="30" t="s">
        <v>473</v>
      </c>
      <c r="D116" s="27" t="s">
        <v>529</v>
      </c>
      <c r="E116" s="1332">
        <f>E115*H115*((K115+M115)*(O115+Q115))</f>
        <v>2930.2612520379485</v>
      </c>
      <c r="F116" s="1333"/>
      <c r="G116" s="14" t="s">
        <v>872</v>
      </c>
      <c r="V116" s="97"/>
    </row>
    <row r="117" spans="1:22" ht="18" customHeight="1">
      <c r="A117" s="524"/>
      <c r="B117" s="249"/>
      <c r="C117" s="249"/>
      <c r="D117" s="249"/>
      <c r="E117" s="249"/>
      <c r="F117" s="249"/>
      <c r="G117" s="14"/>
      <c r="H117" s="14"/>
      <c r="I117" s="14"/>
      <c r="J117" s="14"/>
      <c r="K117" s="14"/>
      <c r="L117" s="14"/>
      <c r="M117" s="120"/>
      <c r="N117" s="102"/>
      <c r="O117" s="47"/>
      <c r="P117" s="14"/>
      <c r="Q117" s="14"/>
      <c r="R117" s="14"/>
      <c r="S117" s="14"/>
      <c r="T117" s="14"/>
      <c r="U117" s="14"/>
      <c r="V117" s="97"/>
    </row>
    <row r="118" spans="1:22" ht="18" customHeight="1">
      <c r="A118" s="96"/>
      <c r="B118" s="459" t="s">
        <v>879</v>
      </c>
      <c r="C118" s="28"/>
      <c r="D118" s="28"/>
      <c r="E118" s="14"/>
      <c r="F118" s="14"/>
      <c r="G118" s="120"/>
      <c r="H118" s="120"/>
      <c r="I118" s="47"/>
      <c r="J118" s="535"/>
      <c r="K118" s="14"/>
      <c r="L118" s="14"/>
      <c r="M118" s="709">
        <f>MAX(F91,H105,E116)</f>
        <v>2930.2612520379485</v>
      </c>
      <c r="N118" s="710"/>
      <c r="O118" s="14" t="s">
        <v>872</v>
      </c>
      <c r="P118" s="14"/>
      <c r="Q118" s="14"/>
      <c r="R118" s="14"/>
      <c r="S118" s="14"/>
      <c r="T118" s="14"/>
      <c r="U118" s="14"/>
      <c r="V118" s="97"/>
    </row>
    <row r="119" spans="1:22" ht="18" customHeight="1">
      <c r="A119" s="193"/>
      <c r="I119" s="14"/>
      <c r="J119" s="14"/>
      <c r="K119" s="14"/>
      <c r="L119" s="47"/>
      <c r="M119" s="47"/>
      <c r="N119" s="47"/>
      <c r="O119" s="47"/>
      <c r="P119" s="28"/>
      <c r="Q119" s="536"/>
      <c r="R119" s="47"/>
      <c r="S119" s="14"/>
      <c r="T119" s="14"/>
      <c r="U119" s="14"/>
      <c r="V119" s="97"/>
    </row>
    <row r="120" spans="1:22" ht="18" customHeight="1">
      <c r="A120" s="184"/>
      <c r="C120" s="30" t="s">
        <v>475</v>
      </c>
      <c r="F120" s="27" t="str">
        <f>IF(D121&gt;G121,"&gt;","&lt;")</f>
        <v>&gt;</v>
      </c>
      <c r="G120" s="30" t="s">
        <v>477</v>
      </c>
      <c r="L120" s="14"/>
      <c r="M120" s="14"/>
      <c r="N120" s="14"/>
      <c r="O120" s="14"/>
      <c r="P120" s="14"/>
      <c r="Q120" s="14"/>
      <c r="R120" s="14"/>
      <c r="S120" s="14"/>
      <c r="T120" s="14"/>
      <c r="U120" s="14"/>
      <c r="V120" s="97"/>
    </row>
    <row r="121" spans="1:22" ht="18" customHeight="1">
      <c r="A121" s="184"/>
      <c r="D121" s="684">
        <f>H13</f>
        <v>4000</v>
      </c>
      <c r="E121" s="684"/>
      <c r="F121" s="27" t="str">
        <f>F120</f>
        <v>&gt;</v>
      </c>
      <c r="G121" s="713">
        <f>M118</f>
        <v>2930.2612520379485</v>
      </c>
      <c r="H121" s="713"/>
      <c r="L121" s="14"/>
      <c r="M121" s="14"/>
      <c r="N121" s="28"/>
      <c r="O121" s="28"/>
      <c r="P121" s="28"/>
      <c r="Q121" s="120"/>
      <c r="R121" s="250"/>
      <c r="S121" s="186"/>
      <c r="T121" s="14"/>
      <c r="U121" s="14"/>
      <c r="V121" s="97"/>
    </row>
    <row r="122" spans="1:22" ht="18" customHeight="1">
      <c r="A122" s="184"/>
      <c r="E122" s="244" t="s">
        <v>478</v>
      </c>
      <c r="G122" s="18" t="str">
        <f>IF(F120="&gt;","Suitably Dimensioned","Under Dimensioned")</f>
        <v>Suitably Dimensioned</v>
      </c>
      <c r="L122" s="14"/>
      <c r="M122" s="14"/>
      <c r="N122" s="28"/>
      <c r="O122" s="257"/>
      <c r="P122" s="14"/>
      <c r="Q122" s="14"/>
      <c r="R122" s="120"/>
      <c r="S122" s="28"/>
      <c r="T122" s="47"/>
      <c r="U122" s="14"/>
      <c r="V122" s="97"/>
    </row>
    <row r="123" spans="1:22" ht="18" customHeight="1">
      <c r="A123" s="193"/>
      <c r="B123" s="14"/>
      <c r="C123" s="27"/>
      <c r="D123" s="218"/>
      <c r="E123" s="204"/>
      <c r="F123" s="14"/>
      <c r="G123" s="14"/>
      <c r="H123" s="14"/>
      <c r="I123" s="14"/>
      <c r="J123" s="120"/>
      <c r="K123" s="120"/>
      <c r="L123" s="14"/>
      <c r="M123" s="14"/>
      <c r="N123" s="28"/>
      <c r="O123" s="257"/>
      <c r="P123" s="14"/>
      <c r="Q123" s="14"/>
      <c r="R123" s="120"/>
      <c r="S123" s="28"/>
      <c r="T123" s="47"/>
      <c r="U123" s="14"/>
      <c r="V123" s="97"/>
    </row>
    <row r="124" spans="1:22" ht="18" customHeight="1">
      <c r="A124" s="193"/>
      <c r="B124" s="14"/>
      <c r="C124" s="27"/>
      <c r="D124" s="218"/>
      <c r="E124" s="204"/>
      <c r="F124" s="14"/>
      <c r="G124" s="14"/>
      <c r="H124" s="14"/>
      <c r="I124" s="14"/>
      <c r="J124" s="120"/>
      <c r="K124" s="120"/>
      <c r="L124" s="14"/>
      <c r="M124" s="14"/>
      <c r="N124" s="28"/>
      <c r="O124" s="257"/>
      <c r="P124" s="14"/>
      <c r="Q124" s="14"/>
      <c r="R124" s="120"/>
      <c r="S124" s="28"/>
      <c r="T124" s="47"/>
      <c r="U124" s="14"/>
      <c r="V124" s="97"/>
    </row>
    <row r="125" spans="1:22" ht="18" customHeight="1">
      <c r="A125" s="193"/>
      <c r="B125" s="14"/>
      <c r="C125" s="27"/>
      <c r="D125" s="218"/>
      <c r="E125" s="204"/>
      <c r="F125" s="14"/>
      <c r="G125" s="14"/>
      <c r="H125" s="14"/>
      <c r="I125" s="14"/>
      <c r="J125" s="120"/>
      <c r="K125" s="120"/>
      <c r="L125" s="14"/>
      <c r="M125" s="14"/>
      <c r="N125" s="28"/>
      <c r="O125" s="257"/>
      <c r="P125" s="14"/>
      <c r="Q125" s="14"/>
      <c r="R125" s="120"/>
      <c r="S125" s="28"/>
      <c r="T125" s="47"/>
      <c r="U125" s="14"/>
      <c r="V125" s="97"/>
    </row>
    <row r="126" spans="1:22" ht="18" customHeight="1">
      <c r="A126" s="194"/>
      <c r="B126" s="195"/>
      <c r="C126" s="195"/>
      <c r="D126" s="195"/>
      <c r="E126" s="195"/>
      <c r="F126" s="195"/>
      <c r="G126" s="195"/>
      <c r="H126" s="195"/>
      <c r="I126" s="195"/>
      <c r="J126" s="195"/>
      <c r="K126" s="195"/>
      <c r="L126" s="195"/>
      <c r="M126" s="195"/>
      <c r="N126" s="195"/>
      <c r="O126" s="195"/>
      <c r="P126" s="195"/>
      <c r="Q126" s="224"/>
      <c r="R126" s="182"/>
      <c r="S126" s="225"/>
      <c r="T126" s="195"/>
      <c r="U126" s="195"/>
      <c r="V126" s="134"/>
    </row>
    <row r="127" spans="1:22" ht="18" hidden="1" customHeight="1">
      <c r="A127" s="226"/>
      <c r="B127" s="227"/>
      <c r="C127" s="227"/>
      <c r="D127" s="227"/>
      <c r="E127" s="227"/>
      <c r="F127" s="227"/>
      <c r="G127" s="227"/>
      <c r="H127" s="227"/>
      <c r="I127" s="227"/>
      <c r="J127" s="227"/>
      <c r="K127" s="227"/>
      <c r="L127" s="227"/>
      <c r="M127" s="227"/>
      <c r="N127" s="227"/>
      <c r="O127" s="227"/>
      <c r="P127" s="227"/>
      <c r="Q127" s="227"/>
      <c r="R127" s="227"/>
      <c r="S127" s="227"/>
      <c r="T127" s="227"/>
      <c r="U127" s="227"/>
      <c r="V127" s="228"/>
    </row>
    <row r="128" spans="1:22" ht="18" hidden="1" customHeight="1">
      <c r="A128" s="184"/>
      <c r="B128" s="854" t="str">
        <f>B7</f>
        <v>CT7001</v>
      </c>
      <c r="C128" s="831"/>
      <c r="D128" s="1338" t="str">
        <f>D7</f>
        <v>Core2</v>
      </c>
      <c r="E128" s="1339"/>
      <c r="F128" s="1319" t="str">
        <f>F7</f>
        <v>Main-2</v>
      </c>
      <c r="G128" s="1319"/>
      <c r="H128" s="689" t="str">
        <f>H7</f>
        <v>(Differential + Distance)</v>
      </c>
      <c r="I128" s="689"/>
      <c r="J128" s="689"/>
      <c r="K128" s="689"/>
      <c r="L128" s="689"/>
      <c r="M128" s="689"/>
      <c r="P128" s="186"/>
      <c r="S128" s="187" t="s">
        <v>387</v>
      </c>
      <c r="T128" s="854" t="str">
        <f>T7</f>
        <v>P545</v>
      </c>
      <c r="U128" s="831"/>
      <c r="V128" s="185"/>
    </row>
    <row r="129" spans="1:29" ht="18" hidden="1" customHeight="1">
      <c r="A129" s="184"/>
      <c r="B129" s="853" t="str">
        <f>B8</f>
        <v>CT7004</v>
      </c>
      <c r="C129" s="853"/>
      <c r="D129" s="1338" t="str">
        <f>D8</f>
        <v>Core5</v>
      </c>
      <c r="E129" s="1339"/>
      <c r="F129" s="455"/>
      <c r="T129" s="854">
        <f>T8</f>
        <v>0</v>
      </c>
      <c r="U129" s="831"/>
      <c r="V129" s="185"/>
    </row>
    <row r="130" spans="1:29" ht="18" hidden="1" customHeight="1">
      <c r="A130" s="184"/>
      <c r="H130" s="708" t="s">
        <v>390</v>
      </c>
      <c r="I130" s="708"/>
      <c r="J130" s="789" t="s">
        <v>391</v>
      </c>
      <c r="K130" s="789"/>
      <c r="L130" s="790" t="s">
        <v>392</v>
      </c>
      <c r="M130" s="790"/>
      <c r="T130" s="854">
        <f>T9</f>
        <v>0</v>
      </c>
      <c r="U130" s="831"/>
      <c r="V130" s="185"/>
    </row>
    <row r="131" spans="1:29" ht="18" hidden="1" customHeight="1">
      <c r="A131" s="184"/>
      <c r="B131" s="47" t="s">
        <v>393</v>
      </c>
      <c r="H131" s="854">
        <f>H10</f>
        <v>4000</v>
      </c>
      <c r="I131" s="831"/>
      <c r="J131" s="863">
        <f>J10</f>
        <v>3000</v>
      </c>
      <c r="K131" s="864"/>
      <c r="L131" s="854" t="str">
        <f>L10</f>
        <v>-</v>
      </c>
      <c r="M131" s="831"/>
      <c r="N131" s="191" t="s">
        <v>342</v>
      </c>
      <c r="O131" s="256">
        <f>O10</f>
        <v>1</v>
      </c>
      <c r="P131" s="27" t="s">
        <v>8</v>
      </c>
      <c r="V131" s="185"/>
    </row>
    <row r="132" spans="1:29" ht="18" hidden="1" customHeight="1">
      <c r="A132" s="184"/>
      <c r="B132" s="47" t="s">
        <v>394</v>
      </c>
      <c r="J132" s="854" t="str">
        <f>H11</f>
        <v>PX</v>
      </c>
      <c r="K132" s="831"/>
      <c r="V132" s="185"/>
    </row>
    <row r="133" spans="1:29" ht="18" hidden="1" customHeight="1">
      <c r="A133" s="184"/>
      <c r="B133" s="47" t="s">
        <v>396</v>
      </c>
      <c r="I133" s="120" t="s">
        <v>497</v>
      </c>
      <c r="J133" s="1075">
        <v>10</v>
      </c>
      <c r="K133" s="1076"/>
      <c r="L133" s="192" t="s">
        <v>333</v>
      </c>
      <c r="V133" s="185"/>
    </row>
    <row r="134" spans="1:29" ht="18" hidden="1" customHeight="1">
      <c r="A134" s="184"/>
      <c r="B134" s="47" t="s">
        <v>398</v>
      </c>
      <c r="I134" s="120" t="s">
        <v>498</v>
      </c>
      <c r="J134" s="1075">
        <v>3000</v>
      </c>
      <c r="K134" s="1076"/>
      <c r="L134" s="14" t="s">
        <v>305</v>
      </c>
      <c r="V134" s="185"/>
      <c r="W134" s="30" t="s">
        <v>400</v>
      </c>
      <c r="AB134" s="785">
        <f>M238</f>
        <v>2835.268420484374</v>
      </c>
      <c r="AC134" s="786"/>
    </row>
    <row r="135" spans="1:29" ht="18" hidden="1" customHeight="1">
      <c r="A135" s="184"/>
      <c r="B135" s="14" t="s">
        <v>401</v>
      </c>
      <c r="I135" s="120" t="s">
        <v>402</v>
      </c>
      <c r="J135" s="1075">
        <v>30</v>
      </c>
      <c r="K135" s="1076"/>
      <c r="L135" s="14" t="s">
        <v>403</v>
      </c>
      <c r="V135" s="185"/>
    </row>
    <row r="136" spans="1:29" ht="18" hidden="1" customHeight="1">
      <c r="A136" s="184"/>
      <c r="V136" s="185"/>
    </row>
    <row r="137" spans="1:29" ht="18" hidden="1" customHeight="1">
      <c r="A137" s="193" t="s">
        <v>404</v>
      </c>
      <c r="V137" s="185"/>
    </row>
    <row r="138" spans="1:29" ht="18" hidden="1" customHeight="1">
      <c r="A138" s="184"/>
      <c r="V138" s="185"/>
    </row>
    <row r="139" spans="1:29" ht="18" hidden="1" customHeight="1">
      <c r="A139" s="184"/>
      <c r="B139" s="194" t="s">
        <v>405</v>
      </c>
      <c r="C139" s="195"/>
      <c r="D139" s="195" t="str">
        <f>T128</f>
        <v>P545</v>
      </c>
      <c r="E139" s="196"/>
      <c r="F139" s="196"/>
      <c r="G139" s="196"/>
      <c r="H139" s="182" t="s">
        <v>406</v>
      </c>
      <c r="I139" s="183" t="s">
        <v>127</v>
      </c>
      <c r="J139" s="766">
        <f>J18</f>
        <v>0.02</v>
      </c>
      <c r="K139" s="958"/>
      <c r="L139" s="202" t="s">
        <v>157</v>
      </c>
      <c r="V139" s="185"/>
    </row>
    <row r="140" spans="1:29" ht="18" hidden="1" customHeight="1">
      <c r="A140" s="184"/>
      <c r="B140" s="184" t="s">
        <v>405</v>
      </c>
      <c r="D140" s="296">
        <f>T129</f>
        <v>0</v>
      </c>
      <c r="I140" s="28" t="s">
        <v>127</v>
      </c>
      <c r="J140" s="766">
        <f>J19</f>
        <v>0</v>
      </c>
      <c r="K140" s="819"/>
      <c r="L140" s="297" t="s">
        <v>157</v>
      </c>
      <c r="V140" s="185"/>
    </row>
    <row r="141" spans="1:29" ht="18" hidden="1" customHeight="1">
      <c r="A141" s="184"/>
      <c r="B141" s="184" t="s">
        <v>405</v>
      </c>
      <c r="D141" s="296">
        <f>T130</f>
        <v>0</v>
      </c>
      <c r="E141" s="14"/>
      <c r="G141" s="199"/>
      <c r="H141" s="27"/>
      <c r="I141" s="101" t="s">
        <v>127</v>
      </c>
      <c r="J141" s="696">
        <f>J20</f>
        <v>0</v>
      </c>
      <c r="K141" s="1037"/>
      <c r="L141" s="426" t="s">
        <v>157</v>
      </c>
      <c r="V141" s="185"/>
    </row>
    <row r="142" spans="1:29" ht="18" hidden="1" customHeight="1">
      <c r="A142" s="184"/>
      <c r="B142" s="184" t="s">
        <v>412</v>
      </c>
      <c r="H142" s="27"/>
      <c r="I142" s="177" t="s">
        <v>127</v>
      </c>
      <c r="J142" s="861">
        <f>J21</f>
        <v>0.56186130000000001</v>
      </c>
      <c r="K142" s="1217"/>
      <c r="L142" s="426" t="s">
        <v>157</v>
      </c>
      <c r="V142" s="185"/>
    </row>
    <row r="143" spans="1:29" ht="18" hidden="1" customHeight="1">
      <c r="A143" s="184"/>
      <c r="B143" s="205" t="s">
        <v>413</v>
      </c>
      <c r="C143" s="206"/>
      <c r="D143" s="206"/>
      <c r="E143" s="206"/>
      <c r="F143" s="207"/>
      <c r="G143" s="207"/>
      <c r="H143" s="190" t="s">
        <v>409</v>
      </c>
      <c r="I143" s="208" t="s">
        <v>127</v>
      </c>
      <c r="J143" s="766">
        <f>SUM(J140:K142)</f>
        <v>0.56186130000000001</v>
      </c>
      <c r="K143" s="819"/>
      <c r="L143" s="428" t="s">
        <v>157</v>
      </c>
      <c r="V143" s="185"/>
    </row>
    <row r="144" spans="1:29" ht="18" hidden="1" customHeight="1">
      <c r="A144" s="184"/>
      <c r="B144" s="47"/>
      <c r="C144" s="47"/>
      <c r="D144" s="47"/>
      <c r="E144" s="47"/>
      <c r="H144" s="27"/>
      <c r="I144" s="28"/>
      <c r="J144" s="199"/>
      <c r="L144" s="47"/>
      <c r="O144" s="27"/>
      <c r="P144" s="211"/>
      <c r="Q144" s="211"/>
      <c r="R144" s="192"/>
      <c r="V144" s="185"/>
    </row>
    <row r="145" spans="1:22" ht="18" hidden="1" customHeight="1">
      <c r="A145" s="184"/>
      <c r="B145" s="197" t="s">
        <v>648</v>
      </c>
      <c r="L145" s="47"/>
      <c r="M145" s="197" t="s">
        <v>407</v>
      </c>
      <c r="V145" s="185"/>
    </row>
    <row r="146" spans="1:22" ht="18" hidden="1" customHeight="1">
      <c r="A146" s="184"/>
      <c r="B146" s="245" t="s">
        <v>649</v>
      </c>
      <c r="C146" s="245" t="s">
        <v>127</v>
      </c>
      <c r="D146" s="242" t="s">
        <v>406</v>
      </c>
      <c r="E146" s="526" t="s">
        <v>410</v>
      </c>
      <c r="F146" s="245" t="s">
        <v>146</v>
      </c>
      <c r="G146" s="221" t="s">
        <v>315</v>
      </c>
      <c r="H146" s="222" t="s">
        <v>146</v>
      </c>
      <c r="I146" s="242" t="s">
        <v>350</v>
      </c>
      <c r="J146" s="502"/>
      <c r="K146" s="242"/>
      <c r="L146" s="527"/>
      <c r="M146" s="242" t="s">
        <v>408</v>
      </c>
      <c r="N146" s="245" t="s">
        <v>127</v>
      </c>
      <c r="O146" s="242" t="s">
        <v>409</v>
      </c>
      <c r="P146" s="528" t="s">
        <v>410</v>
      </c>
      <c r="Q146" s="523" t="s">
        <v>411</v>
      </c>
      <c r="R146" s="245" t="s">
        <v>315</v>
      </c>
      <c r="S146" s="242" t="s">
        <v>411</v>
      </c>
      <c r="T146" s="242" t="s">
        <v>350</v>
      </c>
      <c r="V146" s="185"/>
    </row>
    <row r="147" spans="1:22" ht="18" hidden="1" customHeight="1">
      <c r="A147" s="184"/>
      <c r="B147" s="527"/>
      <c r="C147" s="245" t="s">
        <v>127</v>
      </c>
      <c r="D147" s="301">
        <f>J139</f>
        <v>0.02</v>
      </c>
      <c r="E147" s="528" t="s">
        <v>410</v>
      </c>
      <c r="F147" s="245">
        <f>F26</f>
        <v>1</v>
      </c>
      <c r="G147" s="245" t="s">
        <v>315</v>
      </c>
      <c r="H147" s="245">
        <f>H26</f>
        <v>1</v>
      </c>
      <c r="I147" s="242" t="s">
        <v>350</v>
      </c>
      <c r="J147" s="502"/>
      <c r="K147" s="242"/>
      <c r="L147" s="527"/>
      <c r="M147" s="242"/>
      <c r="N147" s="245" t="s">
        <v>127</v>
      </c>
      <c r="O147" s="301">
        <f>J143</f>
        <v>0.56186130000000001</v>
      </c>
      <c r="P147" s="528" t="s">
        <v>410</v>
      </c>
      <c r="Q147" s="245">
        <f>O131</f>
        <v>1</v>
      </c>
      <c r="R147" s="245" t="s">
        <v>315</v>
      </c>
      <c r="S147" s="245">
        <f>O131</f>
        <v>1</v>
      </c>
      <c r="T147" s="242" t="s">
        <v>350</v>
      </c>
      <c r="V147" s="185"/>
    </row>
    <row r="148" spans="1:22" ht="18" hidden="1" customHeight="1">
      <c r="A148" s="184"/>
      <c r="B148" s="527"/>
      <c r="C148" s="245" t="s">
        <v>127</v>
      </c>
      <c r="D148" s="1111">
        <f>D147/(F147*H147)</f>
        <v>0.02</v>
      </c>
      <c r="E148" s="1111"/>
      <c r="F148" s="529" t="s">
        <v>333</v>
      </c>
      <c r="G148" s="242"/>
      <c r="H148" s="242"/>
      <c r="I148" s="242"/>
      <c r="J148" s="502"/>
      <c r="K148" s="242"/>
      <c r="L148" s="527"/>
      <c r="M148" s="242"/>
      <c r="N148" s="245" t="s">
        <v>127</v>
      </c>
      <c r="O148" s="1111">
        <f>O147/(Q147*S147)</f>
        <v>0.56186130000000001</v>
      </c>
      <c r="P148" s="1111"/>
      <c r="Q148" s="529" t="s">
        <v>333</v>
      </c>
      <c r="R148" s="242"/>
      <c r="S148" s="242"/>
      <c r="T148" s="242"/>
      <c r="V148" s="185"/>
    </row>
    <row r="149" spans="1:22" ht="18" hidden="1" customHeight="1">
      <c r="A149" s="184"/>
      <c r="B149" s="47" t="s">
        <v>839</v>
      </c>
      <c r="C149" s="47"/>
      <c r="D149" s="47"/>
      <c r="E149" s="47"/>
      <c r="H149" s="27"/>
      <c r="I149" s="28"/>
      <c r="J149" s="199"/>
      <c r="L149" s="28" t="s">
        <v>127</v>
      </c>
      <c r="M149" s="1111">
        <f>D148</f>
        <v>0.02</v>
      </c>
      <c r="N149" s="1111"/>
      <c r="O149" s="245" t="s">
        <v>347</v>
      </c>
      <c r="P149" s="1111">
        <f>O148</f>
        <v>0.56186130000000001</v>
      </c>
      <c r="Q149" s="1111"/>
      <c r="R149" s="522" t="s">
        <v>127</v>
      </c>
      <c r="S149" s="1111">
        <f>M149+P149</f>
        <v>0.58186130000000003</v>
      </c>
      <c r="T149" s="1111"/>
      <c r="U149" s="192" t="s">
        <v>333</v>
      </c>
      <c r="V149" s="185"/>
    </row>
    <row r="150" spans="1:22" ht="18" hidden="1" customHeight="1">
      <c r="A150" s="272"/>
      <c r="V150" s="185"/>
    </row>
    <row r="151" spans="1:22" ht="18" hidden="1" customHeight="1">
      <c r="A151" s="116" t="s">
        <v>414</v>
      </c>
      <c r="B151" s="47"/>
      <c r="D151" s="47"/>
      <c r="E151" s="47"/>
      <c r="H151" s="27"/>
      <c r="I151" s="28"/>
      <c r="J151" s="199"/>
      <c r="L151" s="47"/>
      <c r="M151" s="301"/>
      <c r="N151" s="245"/>
      <c r="O151" s="522"/>
      <c r="P151" s="522"/>
      <c r="Q151" s="522"/>
      <c r="R151" s="192"/>
      <c r="V151" s="185"/>
    </row>
    <row r="152" spans="1:22" ht="18" hidden="1" customHeight="1">
      <c r="A152" s="272" t="s">
        <v>840</v>
      </c>
      <c r="V152" s="185"/>
    </row>
    <row r="153" spans="1:22" s="279" customFormat="1" ht="18" hidden="1" customHeight="1">
      <c r="A153" s="184"/>
      <c r="B153" s="30" t="s">
        <v>473</v>
      </c>
      <c r="C153" s="27" t="s">
        <v>529</v>
      </c>
      <c r="D153" s="27" t="s">
        <v>841</v>
      </c>
      <c r="E153" s="27" t="s">
        <v>315</v>
      </c>
      <c r="F153" s="27" t="s">
        <v>511</v>
      </c>
      <c r="G153" s="27" t="s">
        <v>372</v>
      </c>
      <c r="H153" s="27" t="s">
        <v>420</v>
      </c>
      <c r="I153" s="27" t="s">
        <v>347</v>
      </c>
      <c r="J153" s="27" t="s">
        <v>842</v>
      </c>
      <c r="K153" s="30" t="s">
        <v>350</v>
      </c>
      <c r="L153" s="30"/>
      <c r="M153" s="30"/>
      <c r="N153" s="30"/>
      <c r="O153" s="30"/>
      <c r="P153" s="30"/>
      <c r="Q153" s="30"/>
      <c r="R153" s="30"/>
      <c r="S153" s="30"/>
      <c r="T153" s="30"/>
      <c r="U153" s="30" t="s">
        <v>843</v>
      </c>
      <c r="V153" s="185"/>
    </row>
    <row r="154" spans="1:22" s="279" customFormat="1" ht="18" hidden="1" customHeight="1">
      <c r="A154" s="184"/>
      <c r="B154" s="30"/>
      <c r="C154" s="30"/>
      <c r="D154" s="30"/>
      <c r="E154" s="30"/>
      <c r="F154" s="30"/>
      <c r="G154" s="30"/>
      <c r="H154" s="30"/>
      <c r="I154" s="30"/>
      <c r="J154" s="30"/>
      <c r="K154" s="30"/>
      <c r="L154" s="30"/>
      <c r="M154" s="30"/>
      <c r="N154" s="30"/>
      <c r="O154" s="30"/>
      <c r="P154" s="30"/>
      <c r="Q154" s="30"/>
      <c r="R154" s="30"/>
      <c r="S154" s="30"/>
      <c r="T154" s="30"/>
      <c r="U154" s="30"/>
      <c r="V154" s="185"/>
    </row>
    <row r="155" spans="1:22" s="279" customFormat="1" ht="18" hidden="1" customHeight="1">
      <c r="A155" s="678" t="s">
        <v>844</v>
      </c>
      <c r="B155" s="1207"/>
      <c r="C155" s="1207"/>
      <c r="D155" s="1207"/>
      <c r="E155" s="1207"/>
      <c r="F155" s="1207"/>
      <c r="G155" s="1207"/>
      <c r="H155" s="1207"/>
      <c r="I155" s="1207"/>
      <c r="J155" s="1207"/>
      <c r="K155" s="1207"/>
      <c r="L155" s="1207"/>
      <c r="M155" s="1207"/>
      <c r="N155" s="1207"/>
      <c r="O155" s="1207"/>
      <c r="P155" s="1207"/>
      <c r="Q155" s="1207"/>
      <c r="R155" s="1207"/>
      <c r="S155" s="1207"/>
      <c r="T155" s="1207"/>
      <c r="U155" s="1207"/>
      <c r="V155" s="1208"/>
    </row>
    <row r="156" spans="1:22" s="279" customFormat="1" ht="18" hidden="1" customHeight="1">
      <c r="A156" s="1209"/>
      <c r="B156" s="1207"/>
      <c r="C156" s="1207"/>
      <c r="D156" s="1207"/>
      <c r="E156" s="1207"/>
      <c r="F156" s="1207"/>
      <c r="G156" s="1207"/>
      <c r="H156" s="1207"/>
      <c r="I156" s="1207"/>
      <c r="J156" s="1207"/>
      <c r="K156" s="1207"/>
      <c r="L156" s="1207"/>
      <c r="M156" s="1207"/>
      <c r="N156" s="1207"/>
      <c r="O156" s="1207"/>
      <c r="P156" s="1207"/>
      <c r="Q156" s="1207"/>
      <c r="R156" s="1207"/>
      <c r="S156" s="1207"/>
      <c r="T156" s="1207"/>
      <c r="U156" s="1207"/>
      <c r="V156" s="1208"/>
    </row>
    <row r="157" spans="1:22" s="279" customFormat="1" ht="18" hidden="1" customHeight="1">
      <c r="A157" s="683">
        <v>1</v>
      </c>
      <c r="B157" s="1324" t="s">
        <v>845</v>
      </c>
      <c r="C157" s="1324"/>
      <c r="D157" s="1324"/>
      <c r="E157" s="1324"/>
      <c r="F157" s="1324"/>
      <c r="G157" s="1324"/>
      <c r="H157" s="1324"/>
      <c r="I157" s="1324"/>
      <c r="J157" s="1324"/>
      <c r="K157" s="1324"/>
      <c r="L157" s="1324"/>
      <c r="M157" s="1324"/>
      <c r="N157" s="1324"/>
      <c r="O157" s="1324"/>
      <c r="P157" s="1324"/>
      <c r="Q157" s="1324"/>
      <c r="R157" s="1324"/>
      <c r="S157" s="1324"/>
      <c r="T157" s="1324"/>
      <c r="U157" s="1324"/>
      <c r="V157" s="1325"/>
    </row>
    <row r="158" spans="1:22" s="279" customFormat="1" ht="18" hidden="1" customHeight="1">
      <c r="A158" s="683"/>
      <c r="B158" s="1324"/>
      <c r="C158" s="1324"/>
      <c r="D158" s="1324"/>
      <c r="E158" s="1324"/>
      <c r="F158" s="1324"/>
      <c r="G158" s="1324"/>
      <c r="H158" s="1324"/>
      <c r="I158" s="1324"/>
      <c r="J158" s="1324"/>
      <c r="K158" s="1324"/>
      <c r="L158" s="1324"/>
      <c r="M158" s="1324"/>
      <c r="N158" s="1324"/>
      <c r="O158" s="1324"/>
      <c r="P158" s="1324"/>
      <c r="Q158" s="1324"/>
      <c r="R158" s="1324"/>
      <c r="S158" s="1324"/>
      <c r="T158" s="1324"/>
      <c r="U158" s="1324"/>
      <c r="V158" s="1325"/>
    </row>
    <row r="159" spans="1:22" s="279" customFormat="1" ht="18" hidden="1" customHeight="1">
      <c r="A159" s="96"/>
      <c r="B159" s="120" t="s">
        <v>846</v>
      </c>
      <c r="C159" s="120" t="s">
        <v>419</v>
      </c>
      <c r="D159" s="689" t="s">
        <v>847</v>
      </c>
      <c r="E159" s="723"/>
      <c r="F159" s="28" t="s">
        <v>315</v>
      </c>
      <c r="G159" s="28" t="s">
        <v>341</v>
      </c>
      <c r="H159" s="47" t="s">
        <v>350</v>
      </c>
      <c r="I159" s="154" t="s">
        <v>699</v>
      </c>
      <c r="J159" s="120" t="s">
        <v>419</v>
      </c>
      <c r="K159" s="221">
        <v>1000</v>
      </c>
      <c r="L159" s="28" t="s">
        <v>315</v>
      </c>
      <c r="M159" s="28" t="s">
        <v>511</v>
      </c>
      <c r="N159" s="47" t="s">
        <v>350</v>
      </c>
      <c r="O159" s="28"/>
      <c r="P159" s="28"/>
      <c r="Q159" s="28"/>
      <c r="R159" s="28"/>
      <c r="S159" s="28"/>
      <c r="U159" s="14" t="s">
        <v>848</v>
      </c>
      <c r="V159" s="97"/>
    </row>
    <row r="160" spans="1:22" s="279" customFormat="1" ht="18" hidden="1" customHeight="1">
      <c r="A160" s="299"/>
      <c r="C160" s="14" t="s">
        <v>849</v>
      </c>
      <c r="M160" s="28"/>
      <c r="N160" s="28"/>
      <c r="O160" s="28"/>
      <c r="P160" s="28"/>
      <c r="Q160" s="28"/>
      <c r="R160" s="28"/>
      <c r="S160" s="28"/>
      <c r="T160" s="14"/>
      <c r="U160" s="28"/>
      <c r="V160" s="97"/>
    </row>
    <row r="161" spans="1:22" s="279" customFormat="1" ht="18" hidden="1" customHeight="1">
      <c r="A161" s="299"/>
      <c r="C161" s="14"/>
      <c r="D161" s="28" t="s">
        <v>841</v>
      </c>
      <c r="E161" s="28" t="s">
        <v>529</v>
      </c>
      <c r="F161" s="28">
        <v>40</v>
      </c>
      <c r="G161" s="28" t="s">
        <v>347</v>
      </c>
      <c r="H161" s="221">
        <v>7.0000000000000007E-2</v>
      </c>
      <c r="I161" s="28" t="s">
        <v>672</v>
      </c>
      <c r="J161" s="689" t="s">
        <v>847</v>
      </c>
      <c r="K161" s="723"/>
      <c r="L161" s="28" t="s">
        <v>315</v>
      </c>
      <c r="M161" s="28" t="s">
        <v>341</v>
      </c>
      <c r="N161" s="47" t="s">
        <v>350</v>
      </c>
      <c r="O161" s="28"/>
      <c r="P161" s="28"/>
      <c r="Q161" s="28"/>
      <c r="R161" s="28"/>
      <c r="S161" s="28"/>
      <c r="T161" s="14"/>
      <c r="U161" s="28"/>
      <c r="V161" s="97"/>
    </row>
    <row r="162" spans="1:22" s="279" customFormat="1" ht="18" hidden="1" customHeight="1">
      <c r="A162" s="325"/>
      <c r="B162" s="28"/>
      <c r="C162" s="28" t="s">
        <v>850</v>
      </c>
      <c r="D162" s="28" t="s">
        <v>841</v>
      </c>
      <c r="E162" s="28" t="s">
        <v>529</v>
      </c>
      <c r="F162" s="28">
        <v>65</v>
      </c>
      <c r="G162" s="14"/>
      <c r="H162" s="14"/>
      <c r="I162" s="120"/>
      <c r="J162" s="28"/>
      <c r="K162" s="28"/>
      <c r="L162" s="28"/>
      <c r="M162" s="28"/>
      <c r="N162" s="28"/>
      <c r="O162" s="28"/>
      <c r="P162" s="28"/>
      <c r="Q162" s="28"/>
      <c r="R162" s="28"/>
      <c r="S162" s="28"/>
      <c r="T162" s="14"/>
      <c r="U162" s="28"/>
      <c r="V162" s="97"/>
    </row>
    <row r="163" spans="1:22" s="279"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25"/>
      <c r="B164" s="120" t="s">
        <v>846</v>
      </c>
      <c r="C164" s="120" t="s">
        <v>419</v>
      </c>
      <c r="D164" s="221">
        <v>1000</v>
      </c>
      <c r="E164" s="28" t="s">
        <v>315</v>
      </c>
      <c r="F164" s="28" t="s">
        <v>511</v>
      </c>
      <c r="G164" s="47" t="s">
        <v>350</v>
      </c>
      <c r="H164" s="28" t="s">
        <v>851</v>
      </c>
      <c r="I164" s="120" t="s">
        <v>419</v>
      </c>
      <c r="J164" s="689" t="s">
        <v>847</v>
      </c>
      <c r="K164" s="723"/>
      <c r="L164" s="28" t="s">
        <v>315</v>
      </c>
      <c r="M164" s="28" t="s">
        <v>341</v>
      </c>
      <c r="N164" s="47" t="s">
        <v>350</v>
      </c>
      <c r="O164" s="154" t="s">
        <v>699</v>
      </c>
      <c r="P164" s="120" t="s">
        <v>419</v>
      </c>
      <c r="Q164" s="221">
        <v>2600</v>
      </c>
      <c r="R164" s="28" t="s">
        <v>315</v>
      </c>
      <c r="S164" s="28" t="s">
        <v>511</v>
      </c>
      <c r="T164" s="47" t="s">
        <v>350</v>
      </c>
      <c r="U164" s="14" t="s">
        <v>587</v>
      </c>
      <c r="V164" s="97"/>
    </row>
    <row r="165" spans="1:22" ht="18" hidden="1" customHeight="1">
      <c r="A165" s="325"/>
      <c r="B165" s="28" t="s">
        <v>841</v>
      </c>
      <c r="C165" s="28" t="s">
        <v>127</v>
      </c>
      <c r="D165" s="28">
        <v>107</v>
      </c>
      <c r="E165" s="14"/>
      <c r="F165" s="14"/>
      <c r="G165" s="120"/>
      <c r="H165" s="28"/>
      <c r="I165" s="28"/>
      <c r="J165" s="28"/>
      <c r="K165" s="28"/>
      <c r="L165" s="28"/>
      <c r="M165" s="28"/>
      <c r="N165" s="28"/>
      <c r="O165" s="28"/>
      <c r="P165" s="28"/>
      <c r="Q165" s="28"/>
      <c r="R165" s="28"/>
      <c r="S165" s="28"/>
      <c r="T165" s="14"/>
      <c r="U165" s="28"/>
      <c r="V165" s="97"/>
    </row>
    <row r="166" spans="1:22" s="279"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194"/>
      <c r="B167" s="195"/>
      <c r="C167" s="195"/>
      <c r="D167" s="195"/>
      <c r="E167" s="195"/>
      <c r="F167" s="195"/>
      <c r="G167" s="195"/>
      <c r="H167" s="195"/>
      <c r="I167" s="195"/>
      <c r="J167" s="195"/>
      <c r="K167" s="195"/>
      <c r="L167" s="195"/>
      <c r="M167" s="195"/>
      <c r="N167" s="195"/>
      <c r="O167" s="195"/>
      <c r="P167" s="195"/>
      <c r="Q167" s="224"/>
      <c r="R167" s="182"/>
      <c r="S167" s="225"/>
      <c r="T167" s="195"/>
      <c r="U167" s="195"/>
      <c r="V167" s="134"/>
    </row>
    <row r="168" spans="1:22" ht="18" hidden="1" customHeight="1">
      <c r="A168" s="226"/>
      <c r="B168" s="227"/>
      <c r="C168" s="227"/>
      <c r="D168" s="227"/>
      <c r="E168" s="227"/>
      <c r="F168" s="227"/>
      <c r="G168" s="227"/>
      <c r="H168" s="227"/>
      <c r="I168" s="227"/>
      <c r="J168" s="227"/>
      <c r="K168" s="227"/>
      <c r="L168" s="227"/>
      <c r="M168" s="227"/>
      <c r="N168" s="227"/>
      <c r="O168" s="227"/>
      <c r="P168" s="227"/>
      <c r="Q168" s="227"/>
      <c r="R168" s="227"/>
      <c r="S168" s="227"/>
      <c r="T168" s="227"/>
      <c r="U168" s="227"/>
      <c r="V168" s="228"/>
    </row>
    <row r="169" spans="1:22" ht="18" hidden="1" customHeight="1">
      <c r="A169" s="683">
        <v>2</v>
      </c>
      <c r="B169" s="1324" t="s">
        <v>852</v>
      </c>
      <c r="C169" s="1324"/>
      <c r="D169" s="1324"/>
      <c r="E169" s="1324"/>
      <c r="F169" s="1324"/>
      <c r="G169" s="1324"/>
      <c r="H169" s="1324"/>
      <c r="I169" s="1324"/>
      <c r="J169" s="1324"/>
      <c r="K169" s="1324"/>
      <c r="L169" s="1324"/>
      <c r="M169" s="1324"/>
      <c r="N169" s="1324"/>
      <c r="O169" s="1324"/>
      <c r="P169" s="1324"/>
      <c r="Q169" s="1324"/>
      <c r="R169" s="1324"/>
      <c r="S169" s="1324"/>
      <c r="T169" s="1324"/>
      <c r="U169" s="1324"/>
      <c r="V169" s="1325"/>
    </row>
    <row r="170" spans="1:22" ht="18" hidden="1" customHeight="1">
      <c r="A170" s="683"/>
      <c r="B170" s="1324"/>
      <c r="C170" s="1324"/>
      <c r="D170" s="1324"/>
      <c r="E170" s="1324"/>
      <c r="F170" s="1324"/>
      <c r="G170" s="1324"/>
      <c r="H170" s="1324"/>
      <c r="I170" s="1324"/>
      <c r="J170" s="1324"/>
      <c r="K170" s="1324"/>
      <c r="L170" s="1324"/>
      <c r="M170" s="1324"/>
      <c r="N170" s="1324"/>
      <c r="O170" s="1324"/>
      <c r="P170" s="1324"/>
      <c r="Q170" s="1324"/>
      <c r="R170" s="1324"/>
      <c r="S170" s="1324"/>
      <c r="T170" s="1324"/>
      <c r="U170" s="1324"/>
      <c r="V170" s="1325"/>
    </row>
    <row r="171" spans="1:22" ht="18" hidden="1" customHeight="1">
      <c r="A171" s="272"/>
      <c r="B171" s="120" t="s">
        <v>846</v>
      </c>
      <c r="C171" s="120" t="s">
        <v>419</v>
      </c>
      <c r="D171" s="689" t="s">
        <v>847</v>
      </c>
      <c r="E171" s="723"/>
      <c r="F171" s="28" t="s">
        <v>315</v>
      </c>
      <c r="G171" s="28" t="s">
        <v>341</v>
      </c>
      <c r="H171" s="47" t="s">
        <v>350</v>
      </c>
      <c r="I171" s="154" t="s">
        <v>699</v>
      </c>
      <c r="J171" s="120" t="s">
        <v>419</v>
      </c>
      <c r="K171" s="221">
        <v>600</v>
      </c>
      <c r="L171" s="28" t="s">
        <v>315</v>
      </c>
      <c r="M171" s="28" t="s">
        <v>511</v>
      </c>
      <c r="N171" s="47" t="s">
        <v>350</v>
      </c>
      <c r="O171" s="28"/>
      <c r="P171" s="28"/>
      <c r="Q171" s="28"/>
      <c r="R171" s="28"/>
      <c r="S171" s="28"/>
      <c r="T171" s="279"/>
      <c r="U171" s="14" t="s">
        <v>853</v>
      </c>
      <c r="V171" s="97"/>
    </row>
    <row r="172" spans="1:22" ht="18" hidden="1" customHeight="1">
      <c r="A172" s="272"/>
      <c r="B172" s="279"/>
      <c r="C172" s="14" t="s">
        <v>849</v>
      </c>
      <c r="D172" s="279"/>
      <c r="E172" s="279"/>
      <c r="F172" s="279"/>
      <c r="G172" s="279"/>
      <c r="H172" s="279"/>
      <c r="I172" s="279"/>
      <c r="J172" s="279"/>
      <c r="K172" s="279"/>
      <c r="L172" s="279"/>
      <c r="M172" s="28"/>
      <c r="N172" s="28"/>
      <c r="O172" s="28"/>
      <c r="P172" s="28"/>
      <c r="Q172" s="28"/>
      <c r="R172" s="28"/>
      <c r="S172" s="28"/>
      <c r="T172" s="14"/>
      <c r="U172" s="28"/>
      <c r="V172" s="97"/>
    </row>
    <row r="173" spans="1:22" ht="18" hidden="1" customHeight="1">
      <c r="A173" s="272"/>
      <c r="B173" s="279"/>
      <c r="C173" s="14"/>
      <c r="D173" s="28" t="s">
        <v>841</v>
      </c>
      <c r="E173" s="28" t="s">
        <v>529</v>
      </c>
      <c r="F173" s="28">
        <v>40</v>
      </c>
      <c r="G173" s="28" t="s">
        <v>347</v>
      </c>
      <c r="H173" s="221">
        <v>0.35</v>
      </c>
      <c r="I173" s="28" t="s">
        <v>672</v>
      </c>
      <c r="J173" s="689" t="s">
        <v>847</v>
      </c>
      <c r="K173" s="723"/>
      <c r="L173" s="28" t="s">
        <v>315</v>
      </c>
      <c r="M173" s="28" t="s">
        <v>341</v>
      </c>
      <c r="N173" s="47" t="s">
        <v>350</v>
      </c>
      <c r="O173" s="28"/>
      <c r="P173" s="28"/>
      <c r="Q173" s="28"/>
      <c r="R173" s="28"/>
      <c r="S173" s="28"/>
      <c r="T173" s="14"/>
      <c r="U173" s="28"/>
      <c r="V173" s="97"/>
    </row>
    <row r="174" spans="1:22" ht="18" hidden="1" customHeight="1">
      <c r="A174" s="272"/>
      <c r="B174" s="28"/>
      <c r="C174" s="28" t="s">
        <v>850</v>
      </c>
      <c r="D174" s="28" t="s">
        <v>841</v>
      </c>
      <c r="E174" s="28" t="s">
        <v>529</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35"/>
      <c r="E175" s="14"/>
      <c r="F175" s="28"/>
      <c r="G175" s="249"/>
      <c r="H175" s="28"/>
      <c r="I175" s="251"/>
      <c r="J175" s="14"/>
      <c r="K175" s="280"/>
      <c r="M175" s="47"/>
      <c r="N175" s="268"/>
      <c r="P175" s="281"/>
      <c r="R175" s="234"/>
      <c r="S175" s="531"/>
      <c r="T175" s="531"/>
      <c r="V175" s="185"/>
    </row>
    <row r="176" spans="1:22" ht="18" hidden="1" customHeight="1">
      <c r="A176" s="96"/>
      <c r="B176" s="120" t="s">
        <v>846</v>
      </c>
      <c r="C176" s="120" t="s">
        <v>419</v>
      </c>
      <c r="D176" s="221">
        <v>600</v>
      </c>
      <c r="E176" s="28" t="s">
        <v>315</v>
      </c>
      <c r="F176" s="28" t="s">
        <v>511</v>
      </c>
      <c r="G176" s="47" t="s">
        <v>350</v>
      </c>
      <c r="H176" s="28" t="s">
        <v>851</v>
      </c>
      <c r="I176" s="120" t="s">
        <v>419</v>
      </c>
      <c r="J176" s="689" t="s">
        <v>847</v>
      </c>
      <c r="K176" s="723"/>
      <c r="L176" s="28" t="s">
        <v>315</v>
      </c>
      <c r="M176" s="28" t="s">
        <v>341</v>
      </c>
      <c r="N176" s="47" t="s">
        <v>350</v>
      </c>
      <c r="O176" s="154" t="s">
        <v>699</v>
      </c>
      <c r="P176" s="120" t="s">
        <v>419</v>
      </c>
      <c r="Q176" s="221">
        <v>1600</v>
      </c>
      <c r="R176" s="28" t="s">
        <v>315</v>
      </c>
      <c r="S176" s="28" t="s">
        <v>511</v>
      </c>
      <c r="T176" s="47" t="s">
        <v>350</v>
      </c>
      <c r="U176" s="14" t="s">
        <v>854</v>
      </c>
      <c r="V176" s="97"/>
    </row>
    <row r="177" spans="1:22" ht="18" hidden="1" customHeight="1">
      <c r="A177" s="272"/>
      <c r="B177" s="28" t="s">
        <v>841</v>
      </c>
      <c r="C177" s="28" t="s">
        <v>127</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72"/>
      <c r="U178" s="14"/>
      <c r="V178" s="97"/>
    </row>
    <row r="179" spans="1:22" ht="18" hidden="1" customHeight="1">
      <c r="A179" s="524"/>
      <c r="B179" s="30" t="s">
        <v>855</v>
      </c>
      <c r="Q179" s="14" t="s">
        <v>617</v>
      </c>
      <c r="S179" s="234" t="s">
        <v>127</v>
      </c>
      <c r="T179" s="684">
        <f>T60</f>
        <v>55677</v>
      </c>
      <c r="U179" s="684"/>
      <c r="V179" s="185" t="s">
        <v>8</v>
      </c>
    </row>
    <row r="180" spans="1:22" ht="18" hidden="1" customHeight="1">
      <c r="A180" s="524"/>
      <c r="B180" s="47" t="s">
        <v>654</v>
      </c>
      <c r="C180" s="14"/>
      <c r="D180" s="14"/>
      <c r="E180" s="14"/>
      <c r="F180" s="14"/>
      <c r="G180" s="18"/>
      <c r="H180" s="18"/>
      <c r="I180" s="14"/>
      <c r="J180" s="120"/>
      <c r="K180" s="14"/>
      <c r="L180" s="14"/>
      <c r="N180" s="14"/>
      <c r="O180" s="14"/>
      <c r="Q180" s="14" t="s">
        <v>423</v>
      </c>
      <c r="S180" s="234" t="s">
        <v>127</v>
      </c>
      <c r="T180" s="684">
        <f>J131</f>
        <v>3000</v>
      </c>
      <c r="U180" s="684"/>
      <c r="V180" s="185" t="s">
        <v>8</v>
      </c>
    </row>
    <row r="181" spans="1:22" ht="18" hidden="1" customHeight="1">
      <c r="A181" s="96"/>
      <c r="B181" s="47" t="s">
        <v>856</v>
      </c>
      <c r="C181" s="14"/>
      <c r="D181" s="14"/>
      <c r="E181" s="14"/>
      <c r="F181" s="14"/>
      <c r="G181" s="18"/>
      <c r="H181" s="18"/>
      <c r="I181" s="14"/>
      <c r="J181" s="120"/>
      <c r="K181" s="14"/>
      <c r="L181" s="14"/>
      <c r="N181" s="14"/>
      <c r="O181" s="14"/>
      <c r="Q181" s="14" t="s">
        <v>847</v>
      </c>
      <c r="S181" s="234" t="s">
        <v>127</v>
      </c>
      <c r="T181" s="795">
        <f>T179/T180</f>
        <v>18.559000000000001</v>
      </c>
      <c r="U181" s="795"/>
      <c r="V181" s="185" t="s">
        <v>8</v>
      </c>
    </row>
    <row r="182" spans="1:22" ht="18" hidden="1" customHeight="1">
      <c r="A182" s="96"/>
      <c r="B182" s="47" t="s">
        <v>655</v>
      </c>
      <c r="C182" s="14"/>
      <c r="D182" s="14"/>
      <c r="E182" s="14"/>
      <c r="F182" s="14"/>
      <c r="G182" s="18"/>
      <c r="H182" s="18"/>
      <c r="I182" s="14"/>
      <c r="J182" s="120"/>
      <c r="K182" s="14"/>
      <c r="L182" s="14"/>
      <c r="N182" s="14"/>
      <c r="O182" s="14"/>
      <c r="Q182" s="14" t="s">
        <v>420</v>
      </c>
      <c r="S182" s="234" t="s">
        <v>127</v>
      </c>
      <c r="T182" s="684">
        <f>J133</f>
        <v>10</v>
      </c>
      <c r="U182" s="684"/>
      <c r="V182" s="532" t="s">
        <v>333</v>
      </c>
    </row>
    <row r="183" spans="1:22" ht="18" hidden="1" customHeight="1">
      <c r="A183" s="96"/>
      <c r="B183" s="47" t="s">
        <v>676</v>
      </c>
      <c r="C183" s="14"/>
      <c r="D183" s="14"/>
      <c r="E183" s="14"/>
      <c r="F183" s="14"/>
      <c r="G183" s="18"/>
      <c r="H183" s="18"/>
      <c r="I183" s="14"/>
      <c r="J183" s="120"/>
      <c r="K183" s="14"/>
      <c r="L183" s="14"/>
      <c r="N183" s="14"/>
      <c r="O183" s="14"/>
      <c r="Q183" s="14" t="s">
        <v>842</v>
      </c>
      <c r="S183" s="234" t="s">
        <v>127</v>
      </c>
      <c r="T183" s="795">
        <f>S149</f>
        <v>0.58186130000000003</v>
      </c>
      <c r="U183" s="795"/>
      <c r="V183" s="532" t="s">
        <v>333</v>
      </c>
    </row>
    <row r="184" spans="1:22" ht="18" hidden="1" customHeight="1">
      <c r="A184" s="96"/>
      <c r="B184" s="47" t="s">
        <v>691</v>
      </c>
      <c r="C184" s="14"/>
      <c r="D184" s="14"/>
      <c r="E184" s="14"/>
      <c r="F184" s="14"/>
      <c r="G184" s="14"/>
      <c r="H184" s="14"/>
      <c r="I184" s="14"/>
      <c r="J184" s="120"/>
      <c r="K184" s="14"/>
      <c r="L184" s="14"/>
      <c r="N184" s="14"/>
      <c r="O184" s="14"/>
      <c r="Q184" s="14" t="s">
        <v>511</v>
      </c>
      <c r="S184" s="234" t="s">
        <v>127</v>
      </c>
      <c r="T184" s="684">
        <f>O131</f>
        <v>1</v>
      </c>
      <c r="U184" s="684"/>
      <c r="V184" s="185" t="s">
        <v>8</v>
      </c>
    </row>
    <row r="185" spans="1:22" ht="18" hidden="1" customHeight="1">
      <c r="A185" s="96"/>
      <c r="B185" s="14" t="s">
        <v>857</v>
      </c>
      <c r="C185" s="14"/>
      <c r="D185" s="14"/>
      <c r="E185" s="235"/>
      <c r="F185" s="14"/>
      <c r="G185" s="28"/>
      <c r="H185" s="249"/>
      <c r="I185" s="28"/>
      <c r="J185" s="251"/>
      <c r="K185" s="14"/>
      <c r="L185" s="280"/>
      <c r="N185" s="47"/>
      <c r="O185" s="268"/>
      <c r="Q185" s="281" t="s">
        <v>341</v>
      </c>
      <c r="S185" s="234" t="s">
        <v>127</v>
      </c>
      <c r="T185" s="696">
        <f>T66</f>
        <v>23.6</v>
      </c>
      <c r="U185" s="722"/>
      <c r="V185" s="185"/>
    </row>
    <row r="186" spans="1:22" ht="18" hidden="1" customHeight="1">
      <c r="A186" s="325"/>
      <c r="B186" s="14" t="s">
        <v>858</v>
      </c>
      <c r="F186" s="14"/>
      <c r="G186" s="154"/>
      <c r="H186" s="102"/>
      <c r="I186" s="28"/>
      <c r="J186" s="27"/>
      <c r="K186" s="14"/>
      <c r="O186" s="47"/>
      <c r="P186" s="14"/>
      <c r="Q186" s="14"/>
      <c r="R186" s="14"/>
      <c r="S186" s="120"/>
      <c r="T186" s="775">
        <f>T67</f>
        <v>100</v>
      </c>
      <c r="U186" s="776"/>
      <c r="V186" s="97" t="s">
        <v>604</v>
      </c>
    </row>
    <row r="187" spans="1:22" ht="18" hidden="1" customHeight="1">
      <c r="A187" s="96"/>
      <c r="B187" s="14"/>
      <c r="Q187" s="14"/>
      <c r="R187" s="14"/>
      <c r="S187" s="120"/>
      <c r="T187" s="18"/>
      <c r="U187" s="18"/>
      <c r="V187" s="97"/>
    </row>
    <row r="188" spans="1:22" ht="18" hidden="1" customHeight="1">
      <c r="A188" s="184"/>
      <c r="B188" s="533" t="s">
        <v>859</v>
      </c>
      <c r="C188" s="533"/>
      <c r="D188" s="247"/>
      <c r="E188" s="247"/>
      <c r="F188" s="459" t="str">
        <f>IF(T186=150,"1 &amp; 2","3 &amp; 4")</f>
        <v>3 &amp; 4</v>
      </c>
      <c r="G188" s="534"/>
      <c r="V188" s="185"/>
    </row>
    <row r="189" spans="1:22" ht="18" hidden="1" customHeight="1">
      <c r="A189" s="524" t="s">
        <v>419</v>
      </c>
      <c r="B189" s="689" t="s">
        <v>847</v>
      </c>
      <c r="C189" s="689"/>
      <c r="D189" s="28" t="s">
        <v>315</v>
      </c>
      <c r="E189" s="28" t="s">
        <v>341</v>
      </c>
      <c r="F189" s="47" t="s">
        <v>350</v>
      </c>
      <c r="G189" s="154" t="s">
        <v>699</v>
      </c>
      <c r="H189" s="120" t="s">
        <v>419</v>
      </c>
      <c r="I189" s="221" t="str">
        <f>IF(T186=150,"1000","600")</f>
        <v>600</v>
      </c>
      <c r="J189" s="28" t="s">
        <v>315</v>
      </c>
      <c r="K189" s="28" t="s">
        <v>511</v>
      </c>
      <c r="L189" s="47" t="s">
        <v>350</v>
      </c>
      <c r="M189" s="14"/>
      <c r="N189" s="14"/>
      <c r="U189" s="14" t="str">
        <f>IF(T186=150,"...cond.1","…cond.3")</f>
        <v>…cond.3</v>
      </c>
      <c r="V189" s="185"/>
    </row>
    <row r="190" spans="1:22" ht="18" hidden="1" customHeight="1">
      <c r="A190" s="524" t="s">
        <v>419</v>
      </c>
      <c r="B190" s="692">
        <f>T181</f>
        <v>18.559000000000001</v>
      </c>
      <c r="C190" s="692"/>
      <c r="D190" s="28" t="s">
        <v>315</v>
      </c>
      <c r="E190" s="28">
        <f>T185</f>
        <v>23.6</v>
      </c>
      <c r="F190" s="47" t="s">
        <v>350</v>
      </c>
      <c r="G190" s="154" t="s">
        <v>699</v>
      </c>
      <c r="H190" s="120" t="s">
        <v>419</v>
      </c>
      <c r="I190" s="221" t="str">
        <f>I189</f>
        <v>600</v>
      </c>
      <c r="J190" s="28" t="s">
        <v>315</v>
      </c>
      <c r="K190" s="28">
        <f>T184</f>
        <v>1</v>
      </c>
      <c r="L190" s="47" t="s">
        <v>350</v>
      </c>
      <c r="M190" s="14"/>
      <c r="N190" s="14"/>
      <c r="U190" s="14"/>
      <c r="V190" s="97"/>
    </row>
    <row r="191" spans="1:22" ht="18" hidden="1" customHeight="1">
      <c r="A191" s="96"/>
      <c r="B191" s="14"/>
      <c r="C191" s="14"/>
      <c r="D191" s="834">
        <f>B190*E190</f>
        <v>437.99240000000003</v>
      </c>
      <c r="E191" s="1149"/>
      <c r="F191" s="14"/>
      <c r="G191" s="154" t="s">
        <v>699</v>
      </c>
      <c r="H191" s="102"/>
      <c r="I191" s="689">
        <f>I190*K190</f>
        <v>600</v>
      </c>
      <c r="J191" s="684"/>
      <c r="K191" s="14"/>
      <c r="O191" s="47"/>
      <c r="P191" s="14"/>
      <c r="Q191" s="14"/>
      <c r="R191" s="14"/>
      <c r="S191" s="120" t="s">
        <v>860</v>
      </c>
      <c r="T191" s="1326" t="b">
        <f>IF(D191&lt;=I191,TRUE,FALSE)</f>
        <v>1</v>
      </c>
      <c r="U191" s="1326"/>
      <c r="V191" s="97"/>
    </row>
    <row r="192" spans="1:22" ht="18" hidden="1" customHeight="1">
      <c r="A192" s="184"/>
      <c r="B192" s="28" t="s">
        <v>617</v>
      </c>
      <c r="C192" s="30" t="str">
        <f>IF(T186=150,"…cond.1","…cond.3")</f>
        <v>…cond.3</v>
      </c>
      <c r="E192" s="14" t="s">
        <v>861</v>
      </c>
      <c r="V192" s="185"/>
    </row>
    <row r="193" spans="1:22" ht="18" hidden="1" customHeight="1">
      <c r="A193" s="184"/>
      <c r="V193" s="97"/>
    </row>
    <row r="194" spans="1:22" ht="18" hidden="1" customHeight="1">
      <c r="A194" s="184"/>
      <c r="B194" s="14"/>
      <c r="C194" s="28" t="s">
        <v>841</v>
      </c>
      <c r="D194" s="28" t="s">
        <v>529</v>
      </c>
      <c r="E194" s="28">
        <v>40</v>
      </c>
      <c r="F194" s="28" t="s">
        <v>347</v>
      </c>
      <c r="G194" s="221" t="str">
        <f>IF(T186=150,"0.07","0.35")</f>
        <v>0.35</v>
      </c>
      <c r="H194" s="28" t="s">
        <v>672</v>
      </c>
      <c r="I194" s="689" t="s">
        <v>847</v>
      </c>
      <c r="J194" s="723"/>
      <c r="K194" s="28" t="s">
        <v>315</v>
      </c>
      <c r="L194" s="28" t="s">
        <v>341</v>
      </c>
      <c r="M194" s="47" t="s">
        <v>350</v>
      </c>
      <c r="N194" s="184"/>
      <c r="O194" s="47" t="s">
        <v>862</v>
      </c>
      <c r="P194" s="27"/>
      <c r="Q194" s="28" t="s">
        <v>127</v>
      </c>
      <c r="R194" s="795">
        <f>MAX(E196,E197)</f>
        <v>193.29733999999999</v>
      </c>
      <c r="S194" s="684"/>
      <c r="V194" s="185"/>
    </row>
    <row r="195" spans="1:22" ht="18" hidden="1" customHeight="1">
      <c r="A195" s="184"/>
      <c r="B195" s="14"/>
      <c r="C195" s="28"/>
      <c r="D195" s="28" t="s">
        <v>529</v>
      </c>
      <c r="E195" s="28">
        <v>40</v>
      </c>
      <c r="F195" s="28" t="s">
        <v>347</v>
      </c>
      <c r="G195" s="221" t="str">
        <f>IF(T186=150,"0.07","0.35")</f>
        <v>0.35</v>
      </c>
      <c r="H195" s="28" t="s">
        <v>672</v>
      </c>
      <c r="I195" s="692">
        <f>T181</f>
        <v>18.559000000000001</v>
      </c>
      <c r="J195" s="723"/>
      <c r="K195" s="28" t="s">
        <v>315</v>
      </c>
      <c r="L195" s="28">
        <f>T185</f>
        <v>23.6</v>
      </c>
      <c r="M195" s="47" t="s">
        <v>350</v>
      </c>
      <c r="N195" s="184"/>
      <c r="V195" s="185"/>
    </row>
    <row r="196" spans="1:22" ht="18" hidden="1" customHeight="1">
      <c r="A196" s="184"/>
      <c r="B196" s="14"/>
      <c r="C196" s="28"/>
      <c r="D196" s="28" t="s">
        <v>529</v>
      </c>
      <c r="E196" s="1337">
        <f>E195+(G195*(I195*L195))</f>
        <v>193.29733999999999</v>
      </c>
      <c r="F196" s="1337"/>
      <c r="G196" s="221"/>
      <c r="H196" s="28"/>
      <c r="I196" s="218"/>
      <c r="K196" s="28"/>
      <c r="L196" s="28"/>
      <c r="M196" s="47"/>
      <c r="N196" s="184"/>
      <c r="V196" s="185"/>
    </row>
    <row r="197" spans="1:22" ht="18" hidden="1" customHeight="1">
      <c r="A197" s="96"/>
      <c r="B197" s="28" t="s">
        <v>850</v>
      </c>
      <c r="C197" s="28" t="s">
        <v>841</v>
      </c>
      <c r="D197" s="28" t="s">
        <v>127</v>
      </c>
      <c r="E197" s="28">
        <v>65</v>
      </c>
      <c r="G197" s="14"/>
      <c r="H197" s="154"/>
      <c r="I197" s="102"/>
      <c r="J197" s="28"/>
      <c r="K197" s="27"/>
      <c r="L197" s="14"/>
      <c r="N197" s="96"/>
      <c r="O197" s="14"/>
      <c r="Q197" s="14"/>
      <c r="R197" s="14"/>
      <c r="S197" s="14"/>
      <c r="T197" s="14"/>
      <c r="U197" s="14"/>
      <c r="V197" s="97"/>
    </row>
    <row r="198" spans="1:22" ht="18" hidden="1" customHeight="1">
      <c r="A198" s="96"/>
      <c r="B198" s="14"/>
      <c r="F198" s="28"/>
      <c r="I198" s="120"/>
      <c r="J198" s="221"/>
      <c r="K198" s="28"/>
      <c r="L198" s="28"/>
      <c r="M198" s="47"/>
      <c r="N198" s="14"/>
      <c r="O198" s="14"/>
      <c r="Q198" s="14"/>
      <c r="R198" s="14"/>
      <c r="S198" s="14"/>
      <c r="T198" s="14"/>
      <c r="U198" s="14"/>
      <c r="V198" s="97"/>
    </row>
    <row r="199" spans="1:22" ht="18" hidden="1" customHeight="1">
      <c r="A199" s="524" t="s">
        <v>419</v>
      </c>
      <c r="B199" s="221" t="str">
        <f>IF(T186=150,"1000","600")</f>
        <v>600</v>
      </c>
      <c r="C199" s="28" t="s">
        <v>315</v>
      </c>
      <c r="D199" s="28" t="s">
        <v>511</v>
      </c>
      <c r="E199" s="47" t="s">
        <v>350</v>
      </c>
      <c r="F199" s="28" t="s">
        <v>851</v>
      </c>
      <c r="G199" s="120" t="s">
        <v>419</v>
      </c>
      <c r="H199" s="689" t="s">
        <v>847</v>
      </c>
      <c r="I199" s="723"/>
      <c r="J199" s="28" t="s">
        <v>315</v>
      </c>
      <c r="K199" s="28" t="s">
        <v>341</v>
      </c>
      <c r="L199" s="47" t="s">
        <v>350</v>
      </c>
      <c r="M199" s="154" t="s">
        <v>699</v>
      </c>
      <c r="N199" s="120" t="s">
        <v>419</v>
      </c>
      <c r="O199" s="221" t="str">
        <f>IF(T186=150,"2600","1600")</f>
        <v>1600</v>
      </c>
      <c r="P199" s="28" t="s">
        <v>315</v>
      </c>
      <c r="Q199" s="28" t="s">
        <v>511</v>
      </c>
      <c r="R199" s="47" t="s">
        <v>350</v>
      </c>
      <c r="S199" s="14"/>
      <c r="T199" s="14"/>
      <c r="U199" s="14" t="str">
        <f>IF(T186=150,"...cond.2","…cond.4")</f>
        <v>…cond.4</v>
      </c>
      <c r="V199" s="97"/>
    </row>
    <row r="200" spans="1:22" ht="18" hidden="1" customHeight="1">
      <c r="A200" s="524" t="s">
        <v>419</v>
      </c>
      <c r="B200" s="221" t="str">
        <f>B199</f>
        <v>600</v>
      </c>
      <c r="C200" s="28" t="s">
        <v>315</v>
      </c>
      <c r="D200" s="28">
        <f>T184</f>
        <v>1</v>
      </c>
      <c r="E200" s="47" t="s">
        <v>350</v>
      </c>
      <c r="F200" s="28" t="s">
        <v>851</v>
      </c>
      <c r="G200" s="120" t="s">
        <v>419</v>
      </c>
      <c r="H200" s="692">
        <f>T181</f>
        <v>18.559000000000001</v>
      </c>
      <c r="I200" s="723"/>
      <c r="J200" s="28" t="s">
        <v>315</v>
      </c>
      <c r="K200" s="28">
        <f>T185</f>
        <v>23.6</v>
      </c>
      <c r="L200" s="47" t="s">
        <v>350</v>
      </c>
      <c r="M200" s="154" t="s">
        <v>699</v>
      </c>
      <c r="N200" s="120" t="s">
        <v>419</v>
      </c>
      <c r="O200" s="221" t="str">
        <f>O199</f>
        <v>1600</v>
      </c>
      <c r="P200" s="28" t="s">
        <v>315</v>
      </c>
      <c r="Q200" s="28">
        <f>T184</f>
        <v>1</v>
      </c>
      <c r="R200" s="47" t="s">
        <v>350</v>
      </c>
      <c r="S200" s="14"/>
      <c r="T200" s="14"/>
      <c r="U200" s="14"/>
      <c r="V200" s="97"/>
    </row>
    <row r="201" spans="1:22" ht="18" hidden="1" customHeight="1">
      <c r="A201" s="524"/>
      <c r="B201" s="249"/>
      <c r="C201" s="1329">
        <f>B200*D200</f>
        <v>600</v>
      </c>
      <c r="D201" s="1329"/>
      <c r="E201" s="249"/>
      <c r="F201" s="28" t="s">
        <v>851</v>
      </c>
      <c r="G201" s="14"/>
      <c r="H201" s="14"/>
      <c r="I201" s="834">
        <f>H200*K200</f>
        <v>437.99240000000003</v>
      </c>
      <c r="J201" s="834"/>
      <c r="K201" s="14"/>
      <c r="L201" s="14"/>
      <c r="M201" s="154" t="s">
        <v>699</v>
      </c>
      <c r="N201" s="102"/>
      <c r="O201" s="1286">
        <f>O200*Q200</f>
        <v>1600</v>
      </c>
      <c r="P201" s="723"/>
      <c r="Q201" s="14"/>
      <c r="R201" s="14"/>
      <c r="S201" s="120" t="s">
        <v>860</v>
      </c>
      <c r="T201" s="1326" t="b">
        <f>IF(AND(C201&lt;I201,I201&lt;=O201)=TRUE,TRUE,FALSE)</f>
        <v>0</v>
      </c>
      <c r="U201" s="1326"/>
      <c r="V201" s="97"/>
    </row>
    <row r="202" spans="1:22" ht="18" hidden="1" customHeight="1">
      <c r="A202" s="96"/>
      <c r="B202" s="14"/>
      <c r="E202" s="244"/>
      <c r="G202" s="18"/>
      <c r="L202" s="14"/>
      <c r="M202" s="14"/>
      <c r="N202" s="14"/>
      <c r="O202" s="14"/>
      <c r="P202" s="14"/>
      <c r="Q202" s="14"/>
      <c r="R202" s="14"/>
      <c r="S202" s="14"/>
      <c r="T202" s="14"/>
      <c r="U202" s="14"/>
      <c r="V202" s="97"/>
    </row>
    <row r="203" spans="1:22" ht="18" hidden="1" customHeight="1">
      <c r="A203" s="96"/>
      <c r="B203" s="14"/>
      <c r="E203" s="244"/>
      <c r="G203" s="18"/>
      <c r="L203" s="14"/>
      <c r="M203" s="14"/>
      <c r="N203" s="14"/>
      <c r="O203" s="14"/>
      <c r="P203" s="14"/>
      <c r="Q203" s="14"/>
      <c r="R203" s="14"/>
      <c r="S203" s="14"/>
      <c r="T203" s="14"/>
      <c r="U203" s="14"/>
      <c r="V203" s="97"/>
    </row>
    <row r="204" spans="1:22" ht="18" hidden="1" customHeight="1">
      <c r="A204" s="96"/>
      <c r="B204" s="14"/>
      <c r="E204" s="244"/>
      <c r="G204" s="18"/>
      <c r="L204" s="14"/>
      <c r="M204" s="14"/>
      <c r="N204" s="14"/>
      <c r="O204" s="14"/>
      <c r="P204" s="14"/>
      <c r="Q204" s="14"/>
      <c r="R204" s="14"/>
      <c r="S204" s="14"/>
      <c r="T204" s="14"/>
      <c r="U204" s="14"/>
      <c r="V204" s="97"/>
    </row>
    <row r="205" spans="1:22" ht="18" hidden="1" customHeight="1">
      <c r="A205" s="96"/>
      <c r="B205" s="14"/>
      <c r="E205" s="244"/>
      <c r="G205" s="18"/>
      <c r="L205" s="14"/>
      <c r="M205" s="14"/>
      <c r="N205" s="14"/>
      <c r="O205" s="14"/>
      <c r="P205" s="14"/>
      <c r="Q205" s="14"/>
      <c r="R205" s="14"/>
      <c r="S205" s="14"/>
      <c r="T205" s="14"/>
      <c r="U205" s="14"/>
      <c r="V205" s="97"/>
    </row>
    <row r="206" spans="1:22" ht="18" hidden="1" customHeight="1">
      <c r="A206" s="96"/>
      <c r="B206" s="14"/>
      <c r="E206" s="244"/>
      <c r="G206" s="18"/>
      <c r="L206" s="14"/>
      <c r="M206" s="14"/>
      <c r="N206" s="14"/>
      <c r="O206" s="14"/>
      <c r="P206" s="14"/>
      <c r="Q206" s="14"/>
      <c r="R206" s="14"/>
      <c r="S206" s="14"/>
      <c r="T206" s="14"/>
      <c r="U206" s="14"/>
      <c r="V206" s="97"/>
    </row>
    <row r="207" spans="1:22" ht="18" hidden="1" customHeight="1">
      <c r="A207" s="96"/>
      <c r="B207" s="14"/>
      <c r="E207" s="244"/>
      <c r="G207" s="18"/>
      <c r="L207" s="14"/>
      <c r="M207" s="14"/>
      <c r="N207" s="14"/>
      <c r="O207" s="14"/>
      <c r="P207" s="14"/>
      <c r="Q207" s="14"/>
      <c r="R207" s="14"/>
      <c r="S207" s="14"/>
      <c r="T207" s="14"/>
      <c r="U207" s="14"/>
      <c r="V207" s="97"/>
    </row>
    <row r="208" spans="1:22" s="14" customFormat="1" ht="18" hidden="1" customHeight="1">
      <c r="A208" s="194"/>
      <c r="B208" s="195"/>
      <c r="C208" s="195"/>
      <c r="D208" s="195"/>
      <c r="E208" s="195"/>
      <c r="F208" s="195"/>
      <c r="G208" s="195"/>
      <c r="H208" s="195"/>
      <c r="I208" s="195"/>
      <c r="J208" s="195"/>
      <c r="K208" s="195"/>
      <c r="L208" s="195"/>
      <c r="M208" s="195"/>
      <c r="N208" s="195"/>
      <c r="O208" s="195"/>
      <c r="P208" s="195"/>
      <c r="Q208" s="224"/>
      <c r="R208" s="182"/>
      <c r="S208" s="225"/>
      <c r="T208" s="195"/>
      <c r="U208" s="195"/>
      <c r="V208" s="134"/>
    </row>
    <row r="209" spans="1:22" ht="18" hidden="1" customHeight="1">
      <c r="A209" s="320"/>
      <c r="B209" s="138"/>
      <c r="C209" s="138"/>
      <c r="D209" s="138"/>
      <c r="E209" s="273"/>
      <c r="F209" s="273"/>
      <c r="G209" s="274"/>
      <c r="H209" s="138"/>
      <c r="I209" s="138"/>
      <c r="J209" s="138"/>
      <c r="K209" s="138"/>
      <c r="L209" s="138"/>
      <c r="M209" s="138"/>
      <c r="N209" s="138"/>
      <c r="O209" s="138"/>
      <c r="P209" s="138"/>
      <c r="Q209" s="138"/>
      <c r="R209" s="138"/>
      <c r="S209" s="138"/>
      <c r="T209" s="273"/>
      <c r="U209" s="138"/>
      <c r="V209" s="521"/>
    </row>
    <row r="210" spans="1:22" ht="18" hidden="1" customHeight="1">
      <c r="A210" s="299"/>
      <c r="B210" s="28" t="s">
        <v>617</v>
      </c>
      <c r="C210" s="30" t="str">
        <f>IF(T186=150,"…cond.2","…cond.4")</f>
        <v>…cond.4</v>
      </c>
      <c r="E210" s="14" t="s">
        <v>863</v>
      </c>
      <c r="J210" s="28" t="s">
        <v>127</v>
      </c>
      <c r="K210" s="30" t="str">
        <f>IF(T186=150,"107","256")</f>
        <v>256</v>
      </c>
      <c r="N210" s="1" t="s">
        <v>864</v>
      </c>
      <c r="O210" s="196"/>
      <c r="P210" s="196"/>
      <c r="Q210" s="196"/>
      <c r="R210" s="196"/>
      <c r="S210" s="182" t="s">
        <v>127</v>
      </c>
      <c r="T210" s="246">
        <f>IF(T191=TRUE,R194,IF(T201=TRUE,K210,))</f>
        <v>193.29733999999999</v>
      </c>
      <c r="U210" s="14"/>
      <c r="V210" s="97"/>
    </row>
    <row r="211" spans="1:22" ht="18" hidden="1" customHeight="1">
      <c r="A211" s="193" t="s">
        <v>865</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84"/>
      <c r="D212" s="30" t="s">
        <v>473</v>
      </c>
      <c r="E212" s="27" t="s">
        <v>529</v>
      </c>
      <c r="F212" s="27" t="s">
        <v>841</v>
      </c>
      <c r="G212" s="27" t="s">
        <v>315</v>
      </c>
      <c r="H212" s="27" t="s">
        <v>511</v>
      </c>
      <c r="I212" s="27" t="s">
        <v>372</v>
      </c>
      <c r="J212" s="27" t="s">
        <v>420</v>
      </c>
      <c r="K212" s="27" t="s">
        <v>347</v>
      </c>
      <c r="L212" s="27" t="s">
        <v>842</v>
      </c>
      <c r="M212" s="30" t="s">
        <v>350</v>
      </c>
      <c r="V212" s="185"/>
    </row>
    <row r="213" spans="1:22" ht="18" hidden="1" customHeight="1">
      <c r="A213" s="184"/>
      <c r="B213" s="14"/>
      <c r="D213" s="14"/>
      <c r="E213" s="27" t="s">
        <v>529</v>
      </c>
      <c r="F213" s="27">
        <f>T210</f>
        <v>193.29733999999999</v>
      </c>
      <c r="G213" s="27" t="s">
        <v>315</v>
      </c>
      <c r="H213" s="27">
        <f>T184</f>
        <v>1</v>
      </c>
      <c r="I213" s="27" t="s">
        <v>372</v>
      </c>
      <c r="J213" s="27">
        <f>T182</f>
        <v>10</v>
      </c>
      <c r="K213" s="27" t="s">
        <v>347</v>
      </c>
      <c r="L213" s="211">
        <f>T183</f>
        <v>0.58186130000000003</v>
      </c>
      <c r="M213" s="30" t="s">
        <v>350</v>
      </c>
      <c r="V213" s="185"/>
    </row>
    <row r="214" spans="1:22" ht="18" hidden="1" customHeight="1">
      <c r="A214" s="184"/>
      <c r="B214" s="14"/>
      <c r="D214" s="14"/>
      <c r="E214" s="27" t="s">
        <v>529</v>
      </c>
      <c r="F214" s="709">
        <f>F213*H213*(J213+L213)</f>
        <v>2045.4456415389418</v>
      </c>
      <c r="G214" s="710"/>
      <c r="H214" s="14" t="s">
        <v>305</v>
      </c>
      <c r="I214" s="14"/>
      <c r="J214" s="14"/>
      <c r="K214" s="14"/>
      <c r="L214" s="120"/>
      <c r="M214" s="120"/>
      <c r="V214" s="185"/>
    </row>
    <row r="215" spans="1:22" ht="18" hidden="1" customHeight="1">
      <c r="A215" s="184"/>
      <c r="V215" s="185"/>
    </row>
    <row r="216" spans="1:22" ht="18" hidden="1" customHeight="1">
      <c r="A216" s="116" t="s">
        <v>446</v>
      </c>
      <c r="B216" s="14"/>
      <c r="C216" s="27"/>
      <c r="D216" s="218"/>
      <c r="E216" s="204"/>
      <c r="F216" s="14"/>
      <c r="G216" s="14"/>
      <c r="H216" s="14"/>
      <c r="I216" s="14"/>
      <c r="J216" s="120"/>
      <c r="K216" s="120"/>
      <c r="L216" s="14"/>
      <c r="M216" s="14"/>
      <c r="N216" s="28"/>
      <c r="O216" s="257"/>
      <c r="P216" s="14"/>
      <c r="Q216" s="14"/>
      <c r="R216" s="120"/>
      <c r="S216" s="28"/>
      <c r="T216" s="47"/>
      <c r="U216" s="14"/>
      <c r="V216" s="185"/>
    </row>
    <row r="217" spans="1:22" ht="18" hidden="1" customHeight="1">
      <c r="A217" s="193" t="s">
        <v>416</v>
      </c>
      <c r="B217" s="14"/>
      <c r="C217" s="27"/>
      <c r="D217" s="218"/>
      <c r="E217" s="204"/>
      <c r="F217" s="14"/>
      <c r="G217" s="14"/>
      <c r="H217" s="14"/>
      <c r="I217" s="14"/>
      <c r="J217" s="120"/>
      <c r="K217" s="120"/>
      <c r="L217" s="14"/>
      <c r="M217" s="14"/>
      <c r="N217" s="28"/>
      <c r="O217" s="257"/>
      <c r="P217" s="14"/>
      <c r="Q217" s="14"/>
      <c r="R217" s="120"/>
      <c r="S217" s="28"/>
      <c r="T217" s="47"/>
      <c r="U217" s="14"/>
      <c r="V217" s="185"/>
    </row>
    <row r="218" spans="1:22" ht="18" hidden="1" customHeight="1">
      <c r="A218" s="184"/>
      <c r="B218" s="14"/>
      <c r="C218" s="27"/>
      <c r="D218" s="218"/>
      <c r="E218" s="204"/>
      <c r="F218" s="30" t="s">
        <v>473</v>
      </c>
      <c r="G218" s="27" t="s">
        <v>529</v>
      </c>
      <c r="H218" s="993" t="s">
        <v>868</v>
      </c>
      <c r="I218" s="993"/>
      <c r="J218" s="27" t="s">
        <v>315</v>
      </c>
      <c r="K218" s="993" t="s">
        <v>820</v>
      </c>
      <c r="L218" s="993"/>
      <c r="M218" s="27" t="s">
        <v>315</v>
      </c>
      <c r="N218" s="244" t="s">
        <v>419</v>
      </c>
      <c r="O218" s="27" t="s">
        <v>420</v>
      </c>
      <c r="P218" s="27" t="s">
        <v>347</v>
      </c>
      <c r="Q218" s="27" t="s">
        <v>408</v>
      </c>
      <c r="R218" s="30" t="s">
        <v>350</v>
      </c>
      <c r="S218" s="28"/>
      <c r="T218" s="47"/>
      <c r="U218" s="14"/>
      <c r="V218" s="185"/>
    </row>
    <row r="219" spans="1:22" ht="18" hidden="1" customHeight="1">
      <c r="A219" s="193"/>
      <c r="F219" s="14" t="s">
        <v>869</v>
      </c>
      <c r="H219" s="27"/>
      <c r="I219" s="218"/>
      <c r="J219" s="204"/>
      <c r="K219" s="14"/>
      <c r="L219" s="14"/>
      <c r="M219" s="14"/>
      <c r="N219" s="14"/>
      <c r="O219" s="120"/>
      <c r="P219" s="120"/>
      <c r="Q219" s="14"/>
      <c r="R219" s="14"/>
      <c r="U219" s="14"/>
      <c r="V219" s="185"/>
    </row>
    <row r="220" spans="1:22" ht="18" hidden="1" customHeight="1">
      <c r="A220" s="193"/>
      <c r="G220" s="993" t="s">
        <v>868</v>
      </c>
      <c r="H220" s="993"/>
      <c r="I220" s="218" t="s">
        <v>127</v>
      </c>
      <c r="J220" s="204" t="s">
        <v>870</v>
      </c>
      <c r="K220" s="14"/>
      <c r="L220" s="14"/>
      <c r="M220" s="14"/>
      <c r="N220" s="14"/>
      <c r="O220" s="120"/>
      <c r="P220" s="120"/>
      <c r="Q220" s="14"/>
      <c r="R220" s="14"/>
      <c r="S220" s="28" t="s">
        <v>127</v>
      </c>
      <c r="T220" s="28">
        <v>1.4</v>
      </c>
      <c r="U220" s="14"/>
      <c r="V220" s="97"/>
    </row>
    <row r="221" spans="1:22" ht="18" hidden="1" customHeight="1">
      <c r="A221" s="193"/>
      <c r="G221" s="993" t="s">
        <v>820</v>
      </c>
      <c r="H221" s="993"/>
      <c r="I221" s="218" t="s">
        <v>127</v>
      </c>
      <c r="J221" s="204" t="s">
        <v>871</v>
      </c>
      <c r="K221" s="14"/>
      <c r="L221" s="14"/>
      <c r="M221" s="14"/>
      <c r="N221" s="14"/>
      <c r="O221" s="120"/>
      <c r="P221" s="120"/>
      <c r="Q221" s="14"/>
      <c r="R221" s="14"/>
      <c r="S221" s="28" t="s">
        <v>127</v>
      </c>
      <c r="T221" s="692">
        <f>T181</f>
        <v>18.559000000000001</v>
      </c>
      <c r="U221" s="689"/>
      <c r="V221" s="97" t="s">
        <v>8</v>
      </c>
    </row>
    <row r="222" spans="1:22" ht="18" hidden="1" customHeight="1">
      <c r="A222" s="193"/>
      <c r="U222" s="14"/>
      <c r="V222" s="97"/>
    </row>
    <row r="223" spans="1:22" ht="18" hidden="1" customHeight="1">
      <c r="A223" s="193"/>
      <c r="F223" s="30" t="s">
        <v>473</v>
      </c>
      <c r="G223" s="27" t="s">
        <v>529</v>
      </c>
      <c r="H223" s="993" t="s">
        <v>868</v>
      </c>
      <c r="I223" s="993"/>
      <c r="J223" s="27" t="s">
        <v>315</v>
      </c>
      <c r="K223" s="993" t="s">
        <v>820</v>
      </c>
      <c r="L223" s="993"/>
      <c r="M223" s="27" t="s">
        <v>315</v>
      </c>
      <c r="N223" s="244" t="s">
        <v>419</v>
      </c>
      <c r="O223" s="27" t="s">
        <v>420</v>
      </c>
      <c r="P223" s="27" t="s">
        <v>347</v>
      </c>
      <c r="Q223" s="27" t="s">
        <v>408</v>
      </c>
      <c r="R223" s="30" t="s">
        <v>350</v>
      </c>
      <c r="T223" s="47"/>
      <c r="U223" s="14"/>
      <c r="V223" s="97"/>
    </row>
    <row r="224" spans="1:22" ht="18" hidden="1" customHeight="1">
      <c r="A224" s="193"/>
      <c r="F224" s="30" t="s">
        <v>473</v>
      </c>
      <c r="G224" s="27" t="s">
        <v>529</v>
      </c>
      <c r="H224" s="993">
        <f>T220</f>
        <v>1.4</v>
      </c>
      <c r="I224" s="993"/>
      <c r="J224" s="27" t="s">
        <v>315</v>
      </c>
      <c r="K224" s="1111">
        <f>T221</f>
        <v>18.559000000000001</v>
      </c>
      <c r="L224" s="993"/>
      <c r="M224" s="27" t="s">
        <v>315</v>
      </c>
      <c r="N224" s="244" t="s">
        <v>419</v>
      </c>
      <c r="O224" s="27">
        <f>T182</f>
        <v>10</v>
      </c>
      <c r="P224" s="27" t="s">
        <v>347</v>
      </c>
      <c r="Q224" s="211">
        <f>T183</f>
        <v>0.58186130000000003</v>
      </c>
      <c r="R224" s="30" t="s">
        <v>350</v>
      </c>
      <c r="V224" s="97"/>
    </row>
    <row r="225" spans="1:22" ht="18" hidden="1" customHeight="1">
      <c r="A225" s="184"/>
      <c r="F225" s="30" t="s">
        <v>473</v>
      </c>
      <c r="G225" s="27" t="s">
        <v>529</v>
      </c>
      <c r="H225" s="1330">
        <f>H224*K224*(O224+Q224)</f>
        <v>274.94426941338003</v>
      </c>
      <c r="I225" s="1331"/>
      <c r="J225" s="14" t="s">
        <v>872</v>
      </c>
      <c r="V225" s="97"/>
    </row>
    <row r="226" spans="1:22" ht="18" hidden="1" customHeight="1">
      <c r="A226" s="96"/>
      <c r="U226" s="18"/>
      <c r="V226" s="97"/>
    </row>
    <row r="227" spans="1:22" ht="18" hidden="1" customHeight="1">
      <c r="A227" s="193" t="s">
        <v>873</v>
      </c>
      <c r="O227" s="47"/>
      <c r="P227" s="14"/>
      <c r="Q227" s="14"/>
      <c r="R227" s="14"/>
      <c r="S227" s="120"/>
      <c r="T227" s="18"/>
      <c r="U227" s="18"/>
      <c r="V227" s="97"/>
    </row>
    <row r="228" spans="1:22" ht="18" hidden="1" customHeight="1">
      <c r="A228" s="184"/>
      <c r="V228" s="97"/>
    </row>
    <row r="229" spans="1:22" ht="18" hidden="1" customHeight="1">
      <c r="A229" s="184"/>
      <c r="C229" s="30" t="s">
        <v>473</v>
      </c>
      <c r="D229" s="27" t="s">
        <v>529</v>
      </c>
      <c r="E229" s="805" t="s">
        <v>874</v>
      </c>
      <c r="F229" s="805"/>
      <c r="G229" s="27" t="s">
        <v>315</v>
      </c>
      <c r="H229" s="805" t="s">
        <v>875</v>
      </c>
      <c r="I229" s="805"/>
      <c r="J229" s="28" t="s">
        <v>672</v>
      </c>
      <c r="K229" s="27">
        <v>1</v>
      </c>
      <c r="L229" s="14" t="s">
        <v>347</v>
      </c>
      <c r="M229" s="14" t="s">
        <v>341</v>
      </c>
      <c r="N229" s="14" t="s">
        <v>876</v>
      </c>
      <c r="O229" s="27" t="s">
        <v>420</v>
      </c>
      <c r="P229" s="27" t="s">
        <v>347</v>
      </c>
      <c r="Q229" s="27" t="s">
        <v>408</v>
      </c>
      <c r="R229" s="30" t="s">
        <v>350</v>
      </c>
      <c r="V229" s="185"/>
    </row>
    <row r="230" spans="1:22" ht="18" hidden="1" customHeight="1">
      <c r="A230" s="184"/>
      <c r="C230" s="14" t="s">
        <v>869</v>
      </c>
      <c r="E230" s="27"/>
      <c r="F230" s="218"/>
      <c r="G230" s="204"/>
      <c r="H230" s="14"/>
      <c r="I230" s="14"/>
      <c r="J230" s="14"/>
      <c r="K230" s="14"/>
      <c r="L230" s="120"/>
      <c r="M230" s="120"/>
      <c r="N230" s="14"/>
      <c r="O230" s="14"/>
      <c r="U230" s="14"/>
      <c r="V230" s="185"/>
    </row>
    <row r="231" spans="1:22" ht="18" hidden="1" customHeight="1">
      <c r="A231" s="96"/>
      <c r="B231" s="14"/>
      <c r="D231" s="805" t="s">
        <v>874</v>
      </c>
      <c r="E231" s="993"/>
      <c r="F231" s="218" t="s">
        <v>127</v>
      </c>
      <c r="G231" s="257" t="s">
        <v>877</v>
      </c>
      <c r="H231" s="14"/>
      <c r="I231" s="14"/>
      <c r="J231" s="14"/>
      <c r="K231" s="14"/>
      <c r="L231" s="120"/>
      <c r="M231" s="120"/>
      <c r="N231" s="14"/>
      <c r="O231" s="14"/>
      <c r="S231" s="28" t="s">
        <v>127</v>
      </c>
      <c r="T231" s="28">
        <v>0.6</v>
      </c>
      <c r="U231" s="14"/>
      <c r="V231" s="97"/>
    </row>
    <row r="232" spans="1:22" ht="18" hidden="1" customHeight="1">
      <c r="A232" s="272"/>
      <c r="B232" s="47"/>
      <c r="D232" s="805" t="s">
        <v>875</v>
      </c>
      <c r="E232" s="993"/>
      <c r="F232" s="218" t="s">
        <v>127</v>
      </c>
      <c r="G232" s="257" t="s">
        <v>878</v>
      </c>
      <c r="H232" s="14"/>
      <c r="I232" s="14"/>
      <c r="J232" s="14"/>
      <c r="K232" s="14"/>
      <c r="L232" s="120"/>
      <c r="M232" s="120"/>
      <c r="N232" s="14"/>
      <c r="O232" s="14"/>
      <c r="S232" s="28" t="s">
        <v>127</v>
      </c>
      <c r="T232" s="692">
        <f>'[8]Fault Calc (3)'!M107/T180</f>
        <v>18.152889265462242</v>
      </c>
      <c r="U232" s="689"/>
      <c r="V232" s="97" t="s">
        <v>8</v>
      </c>
    </row>
    <row r="233" spans="1:22" ht="18" hidden="1" customHeight="1">
      <c r="A233" s="96"/>
      <c r="B233" s="47"/>
      <c r="C233" s="120"/>
      <c r="S233" s="14"/>
      <c r="T233" s="14"/>
      <c r="U233" s="14"/>
      <c r="V233" s="97"/>
    </row>
    <row r="234" spans="1:22" ht="18" hidden="1" customHeight="1">
      <c r="A234" s="184"/>
      <c r="C234" s="27" t="s">
        <v>473</v>
      </c>
      <c r="D234" s="27" t="s">
        <v>529</v>
      </c>
      <c r="E234" s="805" t="s">
        <v>874</v>
      </c>
      <c r="F234" s="805"/>
      <c r="G234" s="27" t="s">
        <v>315</v>
      </c>
      <c r="H234" s="805" t="s">
        <v>875</v>
      </c>
      <c r="I234" s="805"/>
      <c r="J234" s="28" t="s">
        <v>672</v>
      </c>
      <c r="K234" s="27">
        <v>1</v>
      </c>
      <c r="L234" s="14" t="s">
        <v>347</v>
      </c>
      <c r="M234" s="14" t="s">
        <v>341</v>
      </c>
      <c r="N234" s="14" t="s">
        <v>876</v>
      </c>
      <c r="O234" s="27" t="s">
        <v>420</v>
      </c>
      <c r="P234" s="27" t="s">
        <v>347</v>
      </c>
      <c r="Q234" s="27" t="s">
        <v>408</v>
      </c>
      <c r="R234" s="30" t="s">
        <v>350</v>
      </c>
      <c r="V234" s="97"/>
    </row>
    <row r="235" spans="1:22" ht="18" hidden="1" customHeight="1">
      <c r="A235" s="184"/>
      <c r="C235" s="27" t="s">
        <v>473</v>
      </c>
      <c r="D235" s="27" t="s">
        <v>529</v>
      </c>
      <c r="E235" s="805">
        <f>T231</f>
        <v>0.6</v>
      </c>
      <c r="F235" s="805"/>
      <c r="G235" s="27" t="s">
        <v>315</v>
      </c>
      <c r="H235" s="1184">
        <f>T232</f>
        <v>18.152889265462242</v>
      </c>
      <c r="I235" s="805"/>
      <c r="J235" s="28" t="s">
        <v>672</v>
      </c>
      <c r="K235" s="27">
        <v>1</v>
      </c>
      <c r="L235" s="14" t="s">
        <v>347</v>
      </c>
      <c r="M235" s="28">
        <f>T185</f>
        <v>23.6</v>
      </c>
      <c r="N235" s="14" t="s">
        <v>876</v>
      </c>
      <c r="O235" s="27">
        <f>T182</f>
        <v>10</v>
      </c>
      <c r="P235" s="27" t="s">
        <v>347</v>
      </c>
      <c r="Q235" s="218">
        <f xml:space="preserve"> T183</f>
        <v>0.58186130000000003</v>
      </c>
      <c r="R235" s="30" t="s">
        <v>350</v>
      </c>
      <c r="V235" s="97"/>
    </row>
    <row r="236" spans="1:22" s="279" customFormat="1" ht="18" hidden="1" customHeight="1">
      <c r="A236" s="184"/>
      <c r="B236" s="30"/>
      <c r="C236" s="27" t="s">
        <v>473</v>
      </c>
      <c r="D236" s="27" t="s">
        <v>529</v>
      </c>
      <c r="E236" s="1332">
        <f>E235*H235*((K235+M235)*(O235+Q235))</f>
        <v>2835.268420484374</v>
      </c>
      <c r="F236" s="1333"/>
      <c r="G236" s="14" t="s">
        <v>872</v>
      </c>
      <c r="H236" s="30"/>
      <c r="I236" s="30"/>
      <c r="J236" s="30"/>
      <c r="K236" s="30"/>
      <c r="L236" s="30"/>
      <c r="M236" s="30"/>
      <c r="N236" s="30"/>
      <c r="O236" s="30"/>
      <c r="P236" s="30"/>
      <c r="Q236" s="30"/>
      <c r="R236" s="30"/>
      <c r="S236" s="30"/>
      <c r="T236" s="30"/>
      <c r="U236" s="30"/>
      <c r="V236" s="97"/>
    </row>
    <row r="237" spans="1:22" s="279" customFormat="1" ht="18" hidden="1" customHeight="1">
      <c r="A237" s="524"/>
      <c r="B237" s="249"/>
      <c r="C237" s="249"/>
      <c r="D237" s="249"/>
      <c r="E237" s="249"/>
      <c r="F237" s="249"/>
      <c r="G237" s="14"/>
      <c r="H237" s="14"/>
      <c r="I237" s="14"/>
      <c r="J237" s="14"/>
      <c r="K237" s="14"/>
      <c r="L237" s="14"/>
      <c r="M237" s="120"/>
      <c r="N237" s="102"/>
      <c r="O237" s="47"/>
      <c r="P237" s="14"/>
      <c r="Q237" s="14"/>
      <c r="R237" s="14"/>
      <c r="S237" s="14"/>
      <c r="T237" s="14"/>
      <c r="U237" s="14"/>
      <c r="V237" s="97"/>
    </row>
    <row r="238" spans="1:22" s="279" customFormat="1" ht="18" hidden="1" customHeight="1">
      <c r="A238" s="96"/>
      <c r="B238" s="459" t="s">
        <v>879</v>
      </c>
      <c r="C238" s="28"/>
      <c r="D238" s="28"/>
      <c r="E238" s="14"/>
      <c r="F238" s="14"/>
      <c r="G238" s="120"/>
      <c r="H238" s="120"/>
      <c r="I238" s="47"/>
      <c r="J238" s="535"/>
      <c r="K238" s="14"/>
      <c r="L238" s="14"/>
      <c r="M238" s="709">
        <f>MAX(F214,H225,E236)</f>
        <v>2835.268420484374</v>
      </c>
      <c r="N238" s="710"/>
      <c r="O238" s="14" t="s">
        <v>872</v>
      </c>
      <c r="P238" s="14"/>
      <c r="Q238" s="14"/>
      <c r="R238" s="14"/>
      <c r="S238" s="14"/>
      <c r="T238" s="14"/>
      <c r="U238" s="14"/>
      <c r="V238" s="97"/>
    </row>
    <row r="239" spans="1:22" s="279" customFormat="1" ht="18" hidden="1" customHeight="1">
      <c r="A239" s="193"/>
      <c r="B239" s="30"/>
      <c r="C239" s="30"/>
      <c r="D239" s="30"/>
      <c r="E239" s="30"/>
      <c r="F239" s="30"/>
      <c r="G239" s="30"/>
      <c r="H239" s="30"/>
      <c r="I239" s="14"/>
      <c r="J239" s="14"/>
      <c r="K239" s="14"/>
      <c r="L239" s="47"/>
      <c r="M239" s="47"/>
      <c r="N239" s="47"/>
      <c r="O239" s="47"/>
      <c r="P239" s="28"/>
      <c r="Q239" s="536"/>
      <c r="R239" s="47"/>
      <c r="S239" s="14"/>
      <c r="T239" s="14"/>
      <c r="U239" s="14"/>
      <c r="V239" s="97"/>
    </row>
    <row r="240" spans="1:22" s="279" customFormat="1" ht="18" hidden="1" customHeight="1">
      <c r="A240" s="184"/>
      <c r="B240" s="30"/>
      <c r="C240" s="30" t="s">
        <v>475</v>
      </c>
      <c r="D240" s="30"/>
      <c r="E240" s="30"/>
      <c r="F240" s="27" t="str">
        <f>IF(D241&gt;G241,"&gt;","&lt;")</f>
        <v>&gt;</v>
      </c>
      <c r="G240" s="30" t="s">
        <v>477</v>
      </c>
      <c r="H240" s="30"/>
      <c r="I240" s="30"/>
      <c r="J240" s="30"/>
      <c r="K240" s="30"/>
      <c r="L240" s="14"/>
      <c r="M240" s="14"/>
      <c r="N240" s="14"/>
      <c r="O240" s="14"/>
      <c r="P240" s="14"/>
      <c r="Q240" s="14"/>
      <c r="R240" s="14"/>
      <c r="S240" s="14"/>
      <c r="T240" s="14"/>
      <c r="U240" s="14"/>
      <c r="V240" s="97"/>
    </row>
    <row r="241" spans="1:22" s="279" customFormat="1" ht="18" hidden="1" customHeight="1">
      <c r="A241" s="184"/>
      <c r="B241" s="30"/>
      <c r="C241" s="30"/>
      <c r="D241" s="684">
        <f>J134</f>
        <v>3000</v>
      </c>
      <c r="E241" s="684"/>
      <c r="F241" s="27" t="str">
        <f>F240</f>
        <v>&gt;</v>
      </c>
      <c r="G241" s="713">
        <f>M238</f>
        <v>2835.268420484374</v>
      </c>
      <c r="H241" s="713"/>
      <c r="I241" s="30"/>
      <c r="J241" s="30"/>
      <c r="K241" s="30"/>
      <c r="L241" s="14"/>
      <c r="M241" s="14"/>
      <c r="N241" s="28"/>
      <c r="O241" s="28"/>
      <c r="P241" s="28"/>
      <c r="Q241" s="120"/>
      <c r="R241" s="250"/>
      <c r="S241" s="186"/>
      <c r="T241" s="14"/>
      <c r="U241" s="14"/>
      <c r="V241" s="97"/>
    </row>
    <row r="242" spans="1:22" s="279" customFormat="1" ht="18" hidden="1" customHeight="1">
      <c r="A242" s="184"/>
      <c r="B242" s="30"/>
      <c r="C242" s="30"/>
      <c r="D242" s="30"/>
      <c r="E242" s="244" t="s">
        <v>478</v>
      </c>
      <c r="F242" s="30"/>
      <c r="G242" s="18" t="str">
        <f>IF(F240="&gt;","Suitably Dimensioned","Under Dimensioned")</f>
        <v>Suitably Dimensioned</v>
      </c>
      <c r="H242" s="30"/>
      <c r="I242" s="30"/>
      <c r="J242" s="30"/>
      <c r="K242" s="30"/>
      <c r="L242" s="14"/>
      <c r="M242" s="14"/>
      <c r="N242" s="28"/>
      <c r="O242" s="257"/>
      <c r="P242" s="14"/>
      <c r="Q242" s="14"/>
      <c r="R242" s="120"/>
      <c r="S242" s="28"/>
      <c r="T242" s="47"/>
      <c r="U242" s="14"/>
      <c r="V242" s="97"/>
    </row>
    <row r="243" spans="1:22" s="279" customFormat="1" ht="18" hidden="1" customHeight="1">
      <c r="A243" s="184"/>
      <c r="B243" s="30"/>
      <c r="C243" s="30"/>
      <c r="D243" s="30"/>
      <c r="E243" s="244"/>
      <c r="F243" s="30"/>
      <c r="G243" s="18"/>
      <c r="H243" s="30"/>
      <c r="I243" s="30"/>
      <c r="J243" s="30"/>
      <c r="K243" s="30"/>
      <c r="L243" s="14"/>
      <c r="M243" s="14"/>
      <c r="N243" s="28"/>
      <c r="O243" s="257"/>
      <c r="P243" s="14"/>
      <c r="Q243" s="14"/>
      <c r="R243" s="120"/>
      <c r="S243" s="28"/>
      <c r="T243" s="47"/>
      <c r="U243" s="14"/>
      <c r="V243" s="97"/>
    </row>
    <row r="244" spans="1:22" s="279" customFormat="1" ht="18" hidden="1" customHeight="1">
      <c r="A244" s="184"/>
      <c r="B244" s="30"/>
      <c r="C244" s="30"/>
      <c r="D244" s="30"/>
      <c r="E244" s="30"/>
      <c r="F244" s="30"/>
      <c r="G244" s="30"/>
      <c r="H244" s="30"/>
      <c r="I244" s="30"/>
      <c r="J244" s="30"/>
      <c r="K244" s="30"/>
      <c r="L244" s="28"/>
      <c r="M244" s="28"/>
      <c r="N244" s="28"/>
      <c r="O244" s="28"/>
      <c r="P244" s="28"/>
      <c r="Q244" s="218"/>
      <c r="R244" s="28"/>
      <c r="S244" s="28"/>
      <c r="T244" s="14"/>
      <c r="U244" s="28"/>
      <c r="V244" s="97"/>
    </row>
    <row r="245" spans="1:22" s="279" customFormat="1" ht="18" hidden="1" customHeight="1">
      <c r="A245" s="184"/>
      <c r="B245" s="30"/>
      <c r="C245" s="30"/>
      <c r="D245" s="30"/>
      <c r="E245" s="244"/>
      <c r="F245" s="30"/>
      <c r="G245" s="18"/>
      <c r="H245" s="30"/>
      <c r="I245" s="30"/>
      <c r="J245" s="30"/>
      <c r="K245" s="30"/>
      <c r="L245" s="14"/>
      <c r="M245" s="14"/>
      <c r="N245" s="28"/>
      <c r="O245" s="257"/>
      <c r="P245" s="14"/>
      <c r="Q245" s="14"/>
      <c r="R245" s="120"/>
      <c r="S245" s="28"/>
      <c r="T245" s="47"/>
      <c r="U245" s="14"/>
      <c r="V245" s="97"/>
    </row>
    <row r="246" spans="1:22" s="279" customFormat="1" ht="18" hidden="1" customHeight="1">
      <c r="A246" s="193"/>
      <c r="B246" s="14"/>
      <c r="C246" s="27"/>
      <c r="D246" s="218"/>
      <c r="E246" s="204"/>
      <c r="F246" s="14"/>
      <c r="G246" s="14"/>
      <c r="H246" s="14"/>
      <c r="I246" s="14"/>
      <c r="J246" s="120"/>
      <c r="K246" s="120"/>
      <c r="L246" s="14"/>
      <c r="M246" s="14"/>
      <c r="N246" s="28"/>
      <c r="O246" s="257"/>
      <c r="P246" s="14"/>
      <c r="Q246" s="14"/>
      <c r="R246" s="120"/>
      <c r="S246" s="28"/>
      <c r="T246" s="47"/>
      <c r="U246" s="14"/>
      <c r="V246" s="97"/>
    </row>
    <row r="247" spans="1:22" s="279" customFormat="1" ht="18" hidden="1" customHeight="1">
      <c r="A247" s="193"/>
      <c r="B247" s="14"/>
      <c r="C247" s="27"/>
      <c r="D247" s="218"/>
      <c r="E247" s="204"/>
      <c r="F247" s="14"/>
      <c r="G247" s="14"/>
      <c r="H247" s="14"/>
      <c r="I247" s="14"/>
      <c r="J247" s="120"/>
      <c r="K247" s="120"/>
      <c r="L247" s="14"/>
      <c r="M247" s="14"/>
      <c r="N247" s="28"/>
      <c r="O247" s="257"/>
      <c r="P247" s="14"/>
      <c r="Q247" s="14"/>
      <c r="R247" s="120"/>
      <c r="S247" s="28"/>
      <c r="T247" s="47"/>
      <c r="U247" s="14"/>
      <c r="V247" s="97"/>
    </row>
    <row r="248" spans="1:22" s="279" customFormat="1" ht="18" hidden="1" customHeight="1">
      <c r="A248" s="193"/>
      <c r="B248" s="14"/>
      <c r="C248" s="27"/>
      <c r="D248" s="218"/>
      <c r="E248" s="204"/>
      <c r="F248" s="14"/>
      <c r="G248" s="14"/>
      <c r="H248" s="14"/>
      <c r="I248" s="14"/>
      <c r="J248" s="120"/>
      <c r="K248" s="120"/>
      <c r="L248" s="14"/>
      <c r="M248" s="14"/>
      <c r="N248" s="28"/>
      <c r="O248" s="257"/>
      <c r="P248" s="14"/>
      <c r="Q248" s="14"/>
      <c r="R248" s="120"/>
      <c r="S248" s="28"/>
      <c r="T248" s="47"/>
      <c r="U248" s="14"/>
      <c r="V248" s="97"/>
    </row>
    <row r="249" spans="1:22" s="14" customFormat="1" ht="18" hidden="1" customHeight="1">
      <c r="A249" s="194"/>
      <c r="B249" s="195"/>
      <c r="C249" s="195"/>
      <c r="D249" s="195"/>
      <c r="E249" s="195"/>
      <c r="F249" s="195"/>
      <c r="G249" s="195"/>
      <c r="H249" s="195"/>
      <c r="I249" s="195"/>
      <c r="J249" s="195"/>
      <c r="K249" s="195"/>
      <c r="L249" s="195"/>
      <c r="M249" s="195"/>
      <c r="N249" s="195"/>
      <c r="O249" s="195"/>
      <c r="P249" s="195"/>
      <c r="Q249" s="224"/>
      <c r="R249" s="182"/>
      <c r="S249" s="225"/>
      <c r="T249" s="195"/>
      <c r="U249" s="195"/>
      <c r="V249" s="134"/>
    </row>
    <row r="250" spans="1:22" ht="18" hidden="1" customHeight="1">
      <c r="A250" s="226"/>
      <c r="B250" s="227"/>
      <c r="C250" s="227"/>
      <c r="D250" s="227"/>
      <c r="E250" s="227"/>
      <c r="F250" s="227"/>
      <c r="G250" s="227"/>
      <c r="H250" s="227"/>
      <c r="I250" s="227"/>
      <c r="J250" s="227"/>
      <c r="K250" s="227"/>
      <c r="L250" s="227"/>
      <c r="M250" s="227"/>
      <c r="N250" s="227"/>
      <c r="O250" s="227"/>
      <c r="P250" s="227"/>
      <c r="Q250" s="227"/>
      <c r="R250" s="227"/>
      <c r="S250" s="227"/>
      <c r="T250" s="227"/>
      <c r="U250" s="227"/>
      <c r="V250" s="228"/>
    </row>
    <row r="251" spans="1:22" ht="18" hidden="1" customHeight="1">
      <c r="A251" s="184"/>
      <c r="B251" s="854" t="str">
        <f>B128</f>
        <v>CT7001</v>
      </c>
      <c r="C251" s="831"/>
      <c r="D251" s="855" t="str">
        <f>D128</f>
        <v>Core2</v>
      </c>
      <c r="E251" s="856"/>
      <c r="F251" s="1319" t="str">
        <f>F128</f>
        <v>Main-2</v>
      </c>
      <c r="G251" s="1319"/>
      <c r="H251" s="689" t="str">
        <f>H128</f>
        <v>(Differential + Distance)</v>
      </c>
      <c r="I251" s="689"/>
      <c r="J251" s="689"/>
      <c r="K251" s="689"/>
      <c r="L251" s="689"/>
      <c r="M251" s="689"/>
      <c r="P251" s="186"/>
      <c r="S251" s="187" t="s">
        <v>387</v>
      </c>
      <c r="T251" s="854" t="str">
        <f>T128</f>
        <v>P545</v>
      </c>
      <c r="U251" s="831"/>
      <c r="V251" s="185"/>
    </row>
    <row r="252" spans="1:22" ht="18" hidden="1" customHeight="1">
      <c r="A252" s="184"/>
      <c r="B252" s="853" t="str">
        <f>B129</f>
        <v>CT7004</v>
      </c>
      <c r="C252" s="853"/>
      <c r="D252" s="857"/>
      <c r="E252" s="858"/>
      <c r="F252" s="455"/>
      <c r="T252" s="854">
        <f>T129</f>
        <v>0</v>
      </c>
      <c r="U252" s="831"/>
      <c r="V252" s="185"/>
    </row>
    <row r="253" spans="1:22" ht="18" hidden="1" customHeight="1">
      <c r="A253" s="184"/>
      <c r="H253" s="708" t="s">
        <v>390</v>
      </c>
      <c r="I253" s="708"/>
      <c r="J253" s="708" t="s">
        <v>391</v>
      </c>
      <c r="K253" s="708"/>
      <c r="L253" s="789" t="s">
        <v>392</v>
      </c>
      <c r="M253" s="789"/>
      <c r="T253" s="854">
        <f>T130</f>
        <v>0</v>
      </c>
      <c r="U253" s="831"/>
      <c r="V253" s="185"/>
    </row>
    <row r="254" spans="1:22" ht="18" hidden="1" customHeight="1">
      <c r="A254" s="184"/>
      <c r="B254" s="47" t="s">
        <v>393</v>
      </c>
      <c r="H254" s="854">
        <f>H131</f>
        <v>4000</v>
      </c>
      <c r="I254" s="831"/>
      <c r="J254" s="854">
        <f>J131</f>
        <v>3000</v>
      </c>
      <c r="K254" s="831"/>
      <c r="L254" s="863" t="str">
        <f>L131</f>
        <v>-</v>
      </c>
      <c r="M254" s="864"/>
      <c r="N254" s="191" t="s">
        <v>342</v>
      </c>
      <c r="O254" s="256">
        <f>O131</f>
        <v>1</v>
      </c>
      <c r="P254" s="27" t="s">
        <v>8</v>
      </c>
      <c r="V254" s="185"/>
    </row>
    <row r="255" spans="1:22" ht="18" hidden="1" customHeight="1">
      <c r="A255" s="184"/>
      <c r="B255" s="47" t="s">
        <v>394</v>
      </c>
      <c r="L255" s="854" t="str">
        <f>J132</f>
        <v>PX</v>
      </c>
      <c r="M255" s="831"/>
      <c r="V255" s="185"/>
    </row>
    <row r="256" spans="1:22" ht="18" hidden="1" customHeight="1">
      <c r="A256" s="184"/>
      <c r="B256" s="47" t="s">
        <v>396</v>
      </c>
      <c r="K256" s="120" t="s">
        <v>497</v>
      </c>
      <c r="L256" s="1075" t="s">
        <v>6</v>
      </c>
      <c r="M256" s="1076"/>
      <c r="N256" s="192" t="s">
        <v>333</v>
      </c>
      <c r="V256" s="185"/>
    </row>
    <row r="257" spans="1:29" ht="18" hidden="1" customHeight="1">
      <c r="A257" s="184"/>
      <c r="B257" s="47" t="s">
        <v>398</v>
      </c>
      <c r="K257" s="120" t="s">
        <v>498</v>
      </c>
      <c r="L257" s="1075" t="s">
        <v>6</v>
      </c>
      <c r="M257" s="1076"/>
      <c r="N257" s="14" t="s">
        <v>305</v>
      </c>
      <c r="V257" s="185"/>
      <c r="W257" s="30" t="s">
        <v>400</v>
      </c>
      <c r="AB257" s="785" t="e">
        <f>M367</f>
        <v>#VALUE!</v>
      </c>
      <c r="AC257" s="786"/>
    </row>
    <row r="258" spans="1:29" ht="18" hidden="1" customHeight="1">
      <c r="A258" s="184"/>
      <c r="B258" s="14" t="s">
        <v>401</v>
      </c>
      <c r="K258" s="120" t="s">
        <v>402</v>
      </c>
      <c r="L258" s="1075" t="s">
        <v>6</v>
      </c>
      <c r="M258" s="1076"/>
      <c r="N258" s="14" t="s">
        <v>403</v>
      </c>
      <c r="V258" s="185"/>
    </row>
    <row r="259" spans="1:29" ht="18" hidden="1" customHeight="1">
      <c r="A259" s="184"/>
      <c r="V259" s="185"/>
    </row>
    <row r="260" spans="1:29" ht="18" hidden="1" customHeight="1">
      <c r="A260" s="193" t="s">
        <v>404</v>
      </c>
      <c r="V260" s="185"/>
    </row>
    <row r="261" spans="1:29" ht="18" hidden="1" customHeight="1">
      <c r="A261" s="184"/>
      <c r="V261" s="185"/>
    </row>
    <row r="262" spans="1:29" ht="18" hidden="1" customHeight="1">
      <c r="A262" s="184"/>
      <c r="B262" s="194" t="s">
        <v>405</v>
      </c>
      <c r="C262" s="195"/>
      <c r="D262" s="195" t="str">
        <f>T251</f>
        <v>P545</v>
      </c>
      <c r="E262" s="196"/>
      <c r="F262" s="196"/>
      <c r="G262" s="196"/>
      <c r="H262" s="182" t="s">
        <v>406</v>
      </c>
      <c r="I262" s="183" t="s">
        <v>127</v>
      </c>
      <c r="J262" s="766">
        <f>J139</f>
        <v>0.02</v>
      </c>
      <c r="K262" s="958"/>
      <c r="L262" s="202" t="s">
        <v>157</v>
      </c>
      <c r="V262" s="185"/>
    </row>
    <row r="263" spans="1:29" ht="18" hidden="1" customHeight="1">
      <c r="A263" s="184"/>
      <c r="B263" s="184" t="s">
        <v>405</v>
      </c>
      <c r="D263" s="296">
        <f>T252</f>
        <v>0</v>
      </c>
      <c r="I263" s="28" t="s">
        <v>127</v>
      </c>
      <c r="J263" s="766">
        <f>J140</f>
        <v>0</v>
      </c>
      <c r="K263" s="819"/>
      <c r="L263" s="297" t="s">
        <v>157</v>
      </c>
      <c r="V263" s="185"/>
    </row>
    <row r="264" spans="1:29" ht="18" hidden="1" customHeight="1">
      <c r="A264" s="184"/>
      <c r="B264" s="184" t="s">
        <v>405</v>
      </c>
      <c r="D264" s="296">
        <f>T253</f>
        <v>0</v>
      </c>
      <c r="E264" s="14"/>
      <c r="G264" s="199"/>
      <c r="H264" s="27"/>
      <c r="I264" s="101" t="s">
        <v>127</v>
      </c>
      <c r="J264" s="696">
        <f>J141</f>
        <v>0</v>
      </c>
      <c r="K264" s="1037"/>
      <c r="L264" s="426" t="s">
        <v>157</v>
      </c>
      <c r="V264" s="185"/>
    </row>
    <row r="265" spans="1:29" ht="18" hidden="1" customHeight="1">
      <c r="A265" s="184"/>
      <c r="B265" s="184" t="s">
        <v>412</v>
      </c>
      <c r="H265" s="27"/>
      <c r="I265" s="177" t="s">
        <v>127</v>
      </c>
      <c r="J265" s="861">
        <f>J142</f>
        <v>0.56186130000000001</v>
      </c>
      <c r="K265" s="1217"/>
      <c r="L265" s="426" t="s">
        <v>157</v>
      </c>
      <c r="V265" s="185"/>
    </row>
    <row r="266" spans="1:29" ht="18" hidden="1" customHeight="1">
      <c r="A266" s="184"/>
      <c r="B266" s="205" t="s">
        <v>413</v>
      </c>
      <c r="C266" s="206"/>
      <c r="D266" s="206"/>
      <c r="E266" s="206"/>
      <c r="F266" s="207"/>
      <c r="G266" s="207"/>
      <c r="H266" s="190" t="s">
        <v>409</v>
      </c>
      <c r="I266" s="208" t="s">
        <v>127</v>
      </c>
      <c r="J266" s="766">
        <f>SUM(J263:K265)</f>
        <v>0.56186130000000001</v>
      </c>
      <c r="K266" s="819"/>
      <c r="L266" s="428" t="s">
        <v>157</v>
      </c>
      <c r="V266" s="185"/>
    </row>
    <row r="267" spans="1:29" ht="18" hidden="1" customHeight="1">
      <c r="A267" s="184"/>
      <c r="B267" s="47"/>
      <c r="C267" s="47"/>
      <c r="D267" s="47"/>
      <c r="E267" s="47"/>
      <c r="H267" s="27"/>
      <c r="I267" s="28"/>
      <c r="J267" s="199"/>
      <c r="L267" s="47"/>
      <c r="O267" s="27"/>
      <c r="P267" s="211"/>
      <c r="Q267" s="211"/>
      <c r="R267" s="192"/>
      <c r="V267" s="185"/>
    </row>
    <row r="268" spans="1:29" ht="18" hidden="1" customHeight="1">
      <c r="A268" s="184"/>
      <c r="B268" s="197" t="s">
        <v>648</v>
      </c>
      <c r="L268" s="47"/>
      <c r="M268" s="197" t="s">
        <v>407</v>
      </c>
      <c r="V268" s="185"/>
    </row>
    <row r="269" spans="1:29" ht="18" hidden="1" customHeight="1">
      <c r="A269" s="184"/>
      <c r="B269" s="245" t="s">
        <v>649</v>
      </c>
      <c r="C269" s="245" t="s">
        <v>127</v>
      </c>
      <c r="D269" s="242" t="s">
        <v>406</v>
      </c>
      <c r="E269" s="526" t="s">
        <v>410</v>
      </c>
      <c r="F269" s="245" t="s">
        <v>146</v>
      </c>
      <c r="G269" s="221" t="s">
        <v>315</v>
      </c>
      <c r="H269" s="222" t="s">
        <v>146</v>
      </c>
      <c r="I269" s="242" t="s">
        <v>350</v>
      </c>
      <c r="J269" s="502"/>
      <c r="K269" s="242"/>
      <c r="L269" s="527"/>
      <c r="M269" s="242" t="s">
        <v>408</v>
      </c>
      <c r="N269" s="245" t="s">
        <v>127</v>
      </c>
      <c r="O269" s="242" t="s">
        <v>409</v>
      </c>
      <c r="P269" s="528" t="s">
        <v>410</v>
      </c>
      <c r="Q269" s="523" t="s">
        <v>411</v>
      </c>
      <c r="R269" s="245" t="s">
        <v>315</v>
      </c>
      <c r="S269" s="242" t="s">
        <v>411</v>
      </c>
      <c r="T269" s="242" t="s">
        <v>350</v>
      </c>
      <c r="V269" s="185"/>
    </row>
    <row r="270" spans="1:29" ht="18" hidden="1" customHeight="1">
      <c r="A270" s="184"/>
      <c r="B270" s="527"/>
      <c r="C270" s="245" t="s">
        <v>127</v>
      </c>
      <c r="D270" s="301">
        <f>J262</f>
        <v>0.02</v>
      </c>
      <c r="E270" s="528" t="s">
        <v>410</v>
      </c>
      <c r="F270" s="245">
        <f>F147</f>
        <v>1</v>
      </c>
      <c r="G270" s="245" t="s">
        <v>315</v>
      </c>
      <c r="H270" s="245">
        <f>H147</f>
        <v>1</v>
      </c>
      <c r="I270" s="242" t="s">
        <v>350</v>
      </c>
      <c r="J270" s="502"/>
      <c r="K270" s="242"/>
      <c r="L270" s="527"/>
      <c r="M270" s="242"/>
      <c r="N270" s="245" t="s">
        <v>127</v>
      </c>
      <c r="O270" s="301">
        <f>J266</f>
        <v>0.56186130000000001</v>
      </c>
      <c r="P270" s="528" t="s">
        <v>410</v>
      </c>
      <c r="Q270" s="245">
        <f>O254</f>
        <v>1</v>
      </c>
      <c r="R270" s="245" t="s">
        <v>315</v>
      </c>
      <c r="S270" s="245">
        <f>O254</f>
        <v>1</v>
      </c>
      <c r="T270" s="242" t="s">
        <v>350</v>
      </c>
      <c r="V270" s="185"/>
    </row>
    <row r="271" spans="1:29" ht="18" hidden="1" customHeight="1">
      <c r="A271" s="184"/>
      <c r="B271" s="527"/>
      <c r="C271" s="245" t="s">
        <v>127</v>
      </c>
      <c r="D271" s="1111">
        <f>D270/(F270*H270)</f>
        <v>0.02</v>
      </c>
      <c r="E271" s="1111"/>
      <c r="F271" s="529" t="s">
        <v>333</v>
      </c>
      <c r="G271" s="242"/>
      <c r="H271" s="242"/>
      <c r="I271" s="242"/>
      <c r="J271" s="502"/>
      <c r="K271" s="242"/>
      <c r="L271" s="527"/>
      <c r="M271" s="242"/>
      <c r="N271" s="245" t="s">
        <v>127</v>
      </c>
      <c r="O271" s="1111">
        <f>O270/(Q270*S270)</f>
        <v>0.56186130000000001</v>
      </c>
      <c r="P271" s="1111"/>
      <c r="Q271" s="529" t="s">
        <v>333</v>
      </c>
      <c r="R271" s="242"/>
      <c r="S271" s="242"/>
      <c r="T271" s="242"/>
      <c r="V271" s="185"/>
    </row>
    <row r="272" spans="1:29" ht="18" hidden="1" customHeight="1">
      <c r="A272" s="184"/>
      <c r="B272" s="47"/>
      <c r="C272" s="47"/>
      <c r="D272" s="47"/>
      <c r="E272" s="47"/>
      <c r="H272" s="27"/>
      <c r="I272" s="28"/>
      <c r="J272" s="199"/>
      <c r="L272" s="47"/>
      <c r="O272" s="27"/>
      <c r="P272" s="211"/>
      <c r="Q272" s="211"/>
      <c r="R272" s="192"/>
      <c r="V272" s="185"/>
    </row>
    <row r="273" spans="1:22" ht="18" hidden="1" customHeight="1">
      <c r="A273" s="184"/>
      <c r="B273" s="47" t="s">
        <v>839</v>
      </c>
      <c r="C273" s="47"/>
      <c r="D273" s="47"/>
      <c r="E273" s="47"/>
      <c r="H273" s="27"/>
      <c r="I273" s="28"/>
      <c r="J273" s="199"/>
      <c r="L273" s="28" t="s">
        <v>127</v>
      </c>
      <c r="M273" s="301">
        <f>D271</f>
        <v>0.02</v>
      </c>
      <c r="N273" s="245" t="s">
        <v>347</v>
      </c>
      <c r="O273" s="522">
        <f>O271</f>
        <v>0.56186130000000001</v>
      </c>
      <c r="P273" s="522" t="s">
        <v>127</v>
      </c>
      <c r="Q273" s="522">
        <f>M273+O273</f>
        <v>0.58186130000000003</v>
      </c>
      <c r="R273" s="192" t="s">
        <v>333</v>
      </c>
      <c r="V273" s="185"/>
    </row>
    <row r="274" spans="1:22" ht="18" hidden="1" customHeight="1">
      <c r="A274" s="272"/>
      <c r="V274" s="185"/>
    </row>
    <row r="275" spans="1:22" ht="18" hidden="1" customHeight="1">
      <c r="A275" s="116" t="s">
        <v>414</v>
      </c>
      <c r="B275" s="47"/>
      <c r="D275" s="47"/>
      <c r="E275" s="47"/>
      <c r="H275" s="27"/>
      <c r="I275" s="28"/>
      <c r="J275" s="199"/>
      <c r="L275" s="47"/>
      <c r="M275" s="301"/>
      <c r="N275" s="245"/>
      <c r="O275" s="522"/>
      <c r="P275" s="522"/>
      <c r="Q275" s="522"/>
      <c r="R275" s="192"/>
      <c r="V275" s="185"/>
    </row>
    <row r="276" spans="1:22" ht="18" hidden="1" customHeight="1">
      <c r="A276" s="272" t="s">
        <v>840</v>
      </c>
      <c r="V276" s="185"/>
    </row>
    <row r="277" spans="1:22" ht="18" hidden="1" customHeight="1">
      <c r="A277" s="184"/>
      <c r="B277" s="30" t="s">
        <v>473</v>
      </c>
      <c r="C277" s="27" t="s">
        <v>529</v>
      </c>
      <c r="D277" s="27" t="s">
        <v>841</v>
      </c>
      <c r="E277" s="27" t="s">
        <v>315</v>
      </c>
      <c r="F277" s="27" t="s">
        <v>511</v>
      </c>
      <c r="G277" s="27" t="s">
        <v>372</v>
      </c>
      <c r="H277" s="27" t="s">
        <v>420</v>
      </c>
      <c r="I277" s="27" t="s">
        <v>347</v>
      </c>
      <c r="J277" s="27" t="s">
        <v>842</v>
      </c>
      <c r="K277" s="30" t="s">
        <v>350</v>
      </c>
      <c r="U277" s="30" t="s">
        <v>843</v>
      </c>
      <c r="V277" s="185"/>
    </row>
    <row r="278" spans="1:22" ht="18" hidden="1" customHeight="1">
      <c r="A278" s="184"/>
      <c r="V278" s="185"/>
    </row>
    <row r="279" spans="1:22" ht="18" hidden="1" customHeight="1">
      <c r="A279" s="678" t="s">
        <v>844</v>
      </c>
      <c r="B279" s="1207"/>
      <c r="C279" s="1207"/>
      <c r="D279" s="1207"/>
      <c r="E279" s="1207"/>
      <c r="F279" s="1207"/>
      <c r="G279" s="1207"/>
      <c r="H279" s="1207"/>
      <c r="I279" s="1207"/>
      <c r="J279" s="1207"/>
      <c r="K279" s="1207"/>
      <c r="L279" s="1207"/>
      <c r="M279" s="1207"/>
      <c r="N279" s="1207"/>
      <c r="O279" s="1207"/>
      <c r="P279" s="1207"/>
      <c r="Q279" s="1207"/>
      <c r="R279" s="1207"/>
      <c r="S279" s="1207"/>
      <c r="T279" s="1207"/>
      <c r="U279" s="1207"/>
      <c r="V279" s="1208"/>
    </row>
    <row r="280" spans="1:22" ht="18" hidden="1" customHeight="1">
      <c r="A280" s="1209"/>
      <c r="B280" s="1207"/>
      <c r="C280" s="1207"/>
      <c r="D280" s="1207"/>
      <c r="E280" s="1207"/>
      <c r="F280" s="1207"/>
      <c r="G280" s="1207"/>
      <c r="H280" s="1207"/>
      <c r="I280" s="1207"/>
      <c r="J280" s="1207"/>
      <c r="K280" s="1207"/>
      <c r="L280" s="1207"/>
      <c r="M280" s="1207"/>
      <c r="N280" s="1207"/>
      <c r="O280" s="1207"/>
      <c r="P280" s="1207"/>
      <c r="Q280" s="1207"/>
      <c r="R280" s="1207"/>
      <c r="S280" s="1207"/>
      <c r="T280" s="1207"/>
      <c r="U280" s="1207"/>
      <c r="V280" s="1208"/>
    </row>
    <row r="281" spans="1:22" ht="18" hidden="1" customHeight="1">
      <c r="A281" s="683">
        <v>1</v>
      </c>
      <c r="B281" s="1324" t="s">
        <v>845</v>
      </c>
      <c r="C281" s="1324"/>
      <c r="D281" s="1324"/>
      <c r="E281" s="1324"/>
      <c r="F281" s="1324"/>
      <c r="G281" s="1324"/>
      <c r="H281" s="1324"/>
      <c r="I281" s="1324"/>
      <c r="J281" s="1324"/>
      <c r="K281" s="1324"/>
      <c r="L281" s="1324"/>
      <c r="M281" s="1324"/>
      <c r="N281" s="1324"/>
      <c r="O281" s="1324"/>
      <c r="P281" s="1324"/>
      <c r="Q281" s="1324"/>
      <c r="R281" s="1324"/>
      <c r="S281" s="1324"/>
      <c r="T281" s="1324"/>
      <c r="U281" s="1324"/>
      <c r="V281" s="1325"/>
    </row>
    <row r="282" spans="1:22" ht="18" hidden="1" customHeight="1">
      <c r="A282" s="683"/>
      <c r="B282" s="1324"/>
      <c r="C282" s="1324"/>
      <c r="D282" s="1324"/>
      <c r="E282" s="1324"/>
      <c r="F282" s="1324"/>
      <c r="G282" s="1324"/>
      <c r="H282" s="1324"/>
      <c r="I282" s="1324"/>
      <c r="J282" s="1324"/>
      <c r="K282" s="1324"/>
      <c r="L282" s="1324"/>
      <c r="M282" s="1324"/>
      <c r="N282" s="1324"/>
      <c r="O282" s="1324"/>
      <c r="P282" s="1324"/>
      <c r="Q282" s="1324"/>
      <c r="R282" s="1324"/>
      <c r="S282" s="1324"/>
      <c r="T282" s="1324"/>
      <c r="U282" s="1324"/>
      <c r="V282" s="1325"/>
    </row>
    <row r="283" spans="1:22" ht="18" hidden="1" customHeight="1">
      <c r="A283" s="96"/>
      <c r="B283" s="120" t="s">
        <v>846</v>
      </c>
      <c r="C283" s="120" t="s">
        <v>419</v>
      </c>
      <c r="D283" s="689" t="s">
        <v>847</v>
      </c>
      <c r="E283" s="723"/>
      <c r="F283" s="28" t="s">
        <v>315</v>
      </c>
      <c r="G283" s="28" t="s">
        <v>341</v>
      </c>
      <c r="H283" s="47" t="s">
        <v>350</v>
      </c>
      <c r="I283" s="154" t="s">
        <v>699</v>
      </c>
      <c r="J283" s="120" t="s">
        <v>419</v>
      </c>
      <c r="K283" s="221">
        <v>1000</v>
      </c>
      <c r="L283" s="28" t="s">
        <v>315</v>
      </c>
      <c r="M283" s="28" t="s">
        <v>511</v>
      </c>
      <c r="N283" s="47" t="s">
        <v>350</v>
      </c>
      <c r="O283" s="28"/>
      <c r="P283" s="28"/>
      <c r="Q283" s="28"/>
      <c r="R283" s="28"/>
      <c r="S283" s="28"/>
      <c r="T283" s="279"/>
      <c r="U283" s="14" t="s">
        <v>848</v>
      </c>
      <c r="V283" s="97"/>
    </row>
    <row r="284" spans="1:22" ht="18" hidden="1" customHeight="1">
      <c r="A284" s="299"/>
      <c r="B284" s="279"/>
      <c r="C284" s="14" t="s">
        <v>849</v>
      </c>
      <c r="D284" s="279"/>
      <c r="E284" s="279"/>
      <c r="F284" s="279"/>
      <c r="G284" s="279"/>
      <c r="H284" s="279"/>
      <c r="I284" s="279"/>
      <c r="J284" s="279"/>
      <c r="K284" s="279"/>
      <c r="L284" s="279"/>
      <c r="M284" s="28"/>
      <c r="N284" s="28"/>
      <c r="O284" s="28"/>
      <c r="P284" s="28"/>
      <c r="Q284" s="28"/>
      <c r="R284" s="28"/>
      <c r="S284" s="28"/>
      <c r="T284" s="14"/>
      <c r="U284" s="28"/>
      <c r="V284" s="97"/>
    </row>
    <row r="285" spans="1:22" ht="18" hidden="1" customHeight="1">
      <c r="A285" s="299"/>
      <c r="B285" s="279"/>
      <c r="C285" s="14"/>
      <c r="D285" s="28" t="s">
        <v>841</v>
      </c>
      <c r="E285" s="28" t="s">
        <v>529</v>
      </c>
      <c r="F285" s="28">
        <v>40</v>
      </c>
      <c r="G285" s="28" t="s">
        <v>347</v>
      </c>
      <c r="H285" s="221">
        <v>7.0000000000000007E-2</v>
      </c>
      <c r="I285" s="28" t="s">
        <v>672</v>
      </c>
      <c r="J285" s="689" t="s">
        <v>847</v>
      </c>
      <c r="K285" s="723"/>
      <c r="L285" s="28" t="s">
        <v>315</v>
      </c>
      <c r="M285" s="28" t="s">
        <v>341</v>
      </c>
      <c r="N285" s="47" t="s">
        <v>350</v>
      </c>
      <c r="O285" s="28"/>
      <c r="P285" s="28"/>
      <c r="Q285" s="28"/>
      <c r="R285" s="28"/>
      <c r="S285" s="28"/>
      <c r="T285" s="14"/>
      <c r="U285" s="28"/>
      <c r="V285" s="97"/>
    </row>
    <row r="286" spans="1:22" ht="18" hidden="1" customHeight="1">
      <c r="A286" s="325"/>
      <c r="B286" s="28"/>
      <c r="C286" s="28" t="s">
        <v>850</v>
      </c>
      <c r="D286" s="28" t="s">
        <v>841</v>
      </c>
      <c r="E286" s="28" t="s">
        <v>529</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194"/>
      <c r="B293" s="195"/>
      <c r="C293" s="195"/>
      <c r="D293" s="195"/>
      <c r="E293" s="195"/>
      <c r="F293" s="195"/>
      <c r="G293" s="195"/>
      <c r="H293" s="195"/>
      <c r="I293" s="195"/>
      <c r="J293" s="195"/>
      <c r="K293" s="195"/>
      <c r="L293" s="195"/>
      <c r="M293" s="195"/>
      <c r="N293" s="195"/>
      <c r="O293" s="195"/>
      <c r="P293" s="195"/>
      <c r="Q293" s="224"/>
      <c r="R293" s="182"/>
      <c r="S293" s="225"/>
      <c r="T293" s="195"/>
      <c r="U293" s="195"/>
      <c r="V293" s="134"/>
    </row>
    <row r="294" spans="1:22" ht="18" hidden="1" customHeight="1">
      <c r="A294" s="226"/>
      <c r="B294" s="227"/>
      <c r="C294" s="227"/>
      <c r="D294" s="227"/>
      <c r="E294" s="227"/>
      <c r="F294" s="227"/>
      <c r="G294" s="227"/>
      <c r="H294" s="227"/>
      <c r="I294" s="227"/>
      <c r="J294" s="227"/>
      <c r="K294" s="227"/>
      <c r="L294" s="227"/>
      <c r="M294" s="227"/>
      <c r="N294" s="227"/>
      <c r="O294" s="227"/>
      <c r="P294" s="227"/>
      <c r="Q294" s="227"/>
      <c r="R294" s="227"/>
      <c r="S294" s="227"/>
      <c r="T294" s="227"/>
      <c r="U294" s="227"/>
      <c r="V294" s="228"/>
    </row>
    <row r="295" spans="1:22" ht="18" hidden="1" customHeight="1">
      <c r="A295" s="325"/>
      <c r="B295" s="120" t="s">
        <v>846</v>
      </c>
      <c r="C295" s="120" t="s">
        <v>419</v>
      </c>
      <c r="D295" s="221">
        <v>1000</v>
      </c>
      <c r="E295" s="28" t="s">
        <v>315</v>
      </c>
      <c r="F295" s="28" t="s">
        <v>511</v>
      </c>
      <c r="G295" s="47" t="s">
        <v>350</v>
      </c>
      <c r="H295" s="28" t="s">
        <v>851</v>
      </c>
      <c r="I295" s="120" t="s">
        <v>419</v>
      </c>
      <c r="J295" s="689" t="s">
        <v>847</v>
      </c>
      <c r="K295" s="723"/>
      <c r="L295" s="28" t="s">
        <v>315</v>
      </c>
      <c r="M295" s="28" t="s">
        <v>341</v>
      </c>
      <c r="N295" s="47" t="s">
        <v>350</v>
      </c>
      <c r="O295" s="154" t="s">
        <v>699</v>
      </c>
      <c r="P295" s="120" t="s">
        <v>419</v>
      </c>
      <c r="Q295" s="221">
        <v>2600</v>
      </c>
      <c r="R295" s="28" t="s">
        <v>315</v>
      </c>
      <c r="S295" s="28" t="s">
        <v>511</v>
      </c>
      <c r="T295" s="47" t="s">
        <v>350</v>
      </c>
      <c r="U295" s="14" t="s">
        <v>587</v>
      </c>
      <c r="V295" s="97"/>
    </row>
    <row r="296" spans="1:22" ht="18" hidden="1" customHeight="1">
      <c r="A296" s="325"/>
      <c r="B296" s="28" t="s">
        <v>841</v>
      </c>
      <c r="C296" s="28" t="s">
        <v>127</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84"/>
      <c r="V297" s="185"/>
    </row>
    <row r="298" spans="1:22" ht="18" hidden="1" customHeight="1">
      <c r="A298" s="683">
        <v>2</v>
      </c>
      <c r="B298" s="1324" t="s">
        <v>852</v>
      </c>
      <c r="C298" s="1324"/>
      <c r="D298" s="1324"/>
      <c r="E298" s="1324"/>
      <c r="F298" s="1324"/>
      <c r="G298" s="1324"/>
      <c r="H298" s="1324"/>
      <c r="I298" s="1324"/>
      <c r="J298" s="1324"/>
      <c r="K298" s="1324"/>
      <c r="L298" s="1324"/>
      <c r="M298" s="1324"/>
      <c r="N298" s="1324"/>
      <c r="O298" s="1324"/>
      <c r="P298" s="1324"/>
      <c r="Q298" s="1324"/>
      <c r="R298" s="1324"/>
      <c r="S298" s="1324"/>
      <c r="T298" s="1324"/>
      <c r="U298" s="1324"/>
      <c r="V298" s="1325"/>
    </row>
    <row r="299" spans="1:22" ht="18" hidden="1" customHeight="1">
      <c r="A299" s="683"/>
      <c r="B299" s="1324"/>
      <c r="C299" s="1324"/>
      <c r="D299" s="1324"/>
      <c r="E299" s="1324"/>
      <c r="F299" s="1324"/>
      <c r="G299" s="1324"/>
      <c r="H299" s="1324"/>
      <c r="I299" s="1324"/>
      <c r="J299" s="1324"/>
      <c r="K299" s="1324"/>
      <c r="L299" s="1324"/>
      <c r="M299" s="1324"/>
      <c r="N299" s="1324"/>
      <c r="O299" s="1324"/>
      <c r="P299" s="1324"/>
      <c r="Q299" s="1324"/>
      <c r="R299" s="1324"/>
      <c r="S299" s="1324"/>
      <c r="T299" s="1324"/>
      <c r="U299" s="1324"/>
      <c r="V299" s="1325"/>
    </row>
    <row r="300" spans="1:22" ht="18" hidden="1" customHeight="1">
      <c r="A300" s="272"/>
      <c r="B300" s="120" t="s">
        <v>846</v>
      </c>
      <c r="C300" s="120" t="s">
        <v>419</v>
      </c>
      <c r="D300" s="689" t="s">
        <v>847</v>
      </c>
      <c r="E300" s="723"/>
      <c r="F300" s="28" t="s">
        <v>315</v>
      </c>
      <c r="G300" s="28" t="s">
        <v>341</v>
      </c>
      <c r="H300" s="47" t="s">
        <v>350</v>
      </c>
      <c r="I300" s="154" t="s">
        <v>699</v>
      </c>
      <c r="J300" s="120" t="s">
        <v>419</v>
      </c>
      <c r="K300" s="221">
        <v>600</v>
      </c>
      <c r="L300" s="28" t="s">
        <v>315</v>
      </c>
      <c r="M300" s="28" t="s">
        <v>511</v>
      </c>
      <c r="N300" s="47" t="s">
        <v>350</v>
      </c>
      <c r="O300" s="28"/>
      <c r="P300" s="28"/>
      <c r="Q300" s="28"/>
      <c r="R300" s="28"/>
      <c r="S300" s="28"/>
      <c r="T300" s="279"/>
      <c r="U300" s="14" t="s">
        <v>853</v>
      </c>
      <c r="V300" s="97"/>
    </row>
    <row r="301" spans="1:22" ht="18" hidden="1" customHeight="1">
      <c r="A301" s="272"/>
      <c r="B301" s="279"/>
      <c r="C301" s="14" t="s">
        <v>849</v>
      </c>
      <c r="D301" s="279"/>
      <c r="E301" s="279"/>
      <c r="F301" s="279"/>
      <c r="G301" s="279"/>
      <c r="H301" s="279"/>
      <c r="I301" s="279"/>
      <c r="J301" s="279"/>
      <c r="K301" s="279"/>
      <c r="L301" s="279"/>
      <c r="M301" s="28"/>
      <c r="N301" s="28"/>
      <c r="O301" s="28"/>
      <c r="P301" s="28"/>
      <c r="Q301" s="28"/>
      <c r="R301" s="28"/>
      <c r="S301" s="28"/>
      <c r="T301" s="14"/>
      <c r="U301" s="28"/>
      <c r="V301" s="97"/>
    </row>
    <row r="302" spans="1:22" ht="18" hidden="1" customHeight="1">
      <c r="A302" s="272"/>
      <c r="B302" s="279"/>
      <c r="C302" s="14"/>
      <c r="D302" s="28" t="s">
        <v>841</v>
      </c>
      <c r="E302" s="28" t="s">
        <v>529</v>
      </c>
      <c r="F302" s="28">
        <v>40</v>
      </c>
      <c r="G302" s="28" t="s">
        <v>347</v>
      </c>
      <c r="H302" s="221">
        <v>0.35</v>
      </c>
      <c r="I302" s="28" t="s">
        <v>672</v>
      </c>
      <c r="J302" s="689" t="s">
        <v>847</v>
      </c>
      <c r="K302" s="723"/>
      <c r="L302" s="28" t="s">
        <v>315</v>
      </c>
      <c r="M302" s="28" t="s">
        <v>341</v>
      </c>
      <c r="N302" s="47" t="s">
        <v>350</v>
      </c>
      <c r="O302" s="28"/>
      <c r="P302" s="28"/>
      <c r="Q302" s="28"/>
      <c r="R302" s="28"/>
      <c r="S302" s="28"/>
      <c r="T302" s="14"/>
      <c r="U302" s="28"/>
      <c r="V302" s="97"/>
    </row>
    <row r="303" spans="1:22" ht="18" hidden="1" customHeight="1">
      <c r="A303" s="272"/>
      <c r="B303" s="28"/>
      <c r="C303" s="28" t="s">
        <v>850</v>
      </c>
      <c r="D303" s="28" t="s">
        <v>841</v>
      </c>
      <c r="E303" s="28" t="s">
        <v>529</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35"/>
      <c r="E304" s="14"/>
      <c r="F304" s="28"/>
      <c r="G304" s="249"/>
      <c r="H304" s="28"/>
      <c r="I304" s="251"/>
      <c r="J304" s="14"/>
      <c r="K304" s="280"/>
      <c r="M304" s="47"/>
      <c r="N304" s="268"/>
      <c r="P304" s="281"/>
      <c r="R304" s="234"/>
      <c r="S304" s="531"/>
      <c r="T304" s="531"/>
      <c r="V304" s="185"/>
    </row>
    <row r="305" spans="1:22" ht="18" hidden="1" customHeight="1">
      <c r="A305" s="96"/>
      <c r="B305" s="120" t="s">
        <v>846</v>
      </c>
      <c r="C305" s="120" t="s">
        <v>419</v>
      </c>
      <c r="D305" s="221">
        <v>600</v>
      </c>
      <c r="E305" s="28" t="s">
        <v>315</v>
      </c>
      <c r="F305" s="28" t="s">
        <v>511</v>
      </c>
      <c r="G305" s="47" t="s">
        <v>350</v>
      </c>
      <c r="H305" s="28" t="s">
        <v>851</v>
      </c>
      <c r="I305" s="120" t="s">
        <v>419</v>
      </c>
      <c r="J305" s="689" t="s">
        <v>847</v>
      </c>
      <c r="K305" s="723"/>
      <c r="L305" s="28" t="s">
        <v>315</v>
      </c>
      <c r="M305" s="28" t="s">
        <v>341</v>
      </c>
      <c r="N305" s="47" t="s">
        <v>350</v>
      </c>
      <c r="O305" s="154" t="s">
        <v>699</v>
      </c>
      <c r="P305" s="120" t="s">
        <v>419</v>
      </c>
      <c r="Q305" s="221">
        <v>1600</v>
      </c>
      <c r="R305" s="28" t="s">
        <v>315</v>
      </c>
      <c r="S305" s="28" t="s">
        <v>511</v>
      </c>
      <c r="T305" s="47" t="s">
        <v>350</v>
      </c>
      <c r="U305" s="14" t="s">
        <v>854</v>
      </c>
      <c r="V305" s="97"/>
    </row>
    <row r="306" spans="1:22" ht="18" hidden="1" customHeight="1">
      <c r="A306" s="272"/>
      <c r="B306" s="28" t="s">
        <v>841</v>
      </c>
      <c r="C306" s="28" t="s">
        <v>127</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72"/>
      <c r="U307" s="14"/>
      <c r="V307" s="97"/>
    </row>
    <row r="308" spans="1:22" ht="18" hidden="1" customHeight="1">
      <c r="A308" s="524"/>
      <c r="B308" s="30" t="s">
        <v>855</v>
      </c>
      <c r="Q308" s="14" t="s">
        <v>617</v>
      </c>
      <c r="S308" s="234" t="s">
        <v>127</v>
      </c>
      <c r="T308" s="684">
        <f>T179</f>
        <v>55677</v>
      </c>
      <c r="U308" s="684"/>
      <c r="V308" s="185" t="s">
        <v>8</v>
      </c>
    </row>
    <row r="309" spans="1:22" ht="18" hidden="1" customHeight="1">
      <c r="A309" s="524"/>
      <c r="B309" s="47" t="s">
        <v>654</v>
      </c>
      <c r="C309" s="14"/>
      <c r="D309" s="14"/>
      <c r="E309" s="14"/>
      <c r="F309" s="14"/>
      <c r="G309" s="18"/>
      <c r="H309" s="18"/>
      <c r="I309" s="14"/>
      <c r="J309" s="120"/>
      <c r="K309" s="14"/>
      <c r="L309" s="14"/>
      <c r="N309" s="14"/>
      <c r="O309" s="14"/>
      <c r="Q309" s="14" t="s">
        <v>423</v>
      </c>
      <c r="S309" s="234" t="s">
        <v>127</v>
      </c>
      <c r="T309" s="684" t="str">
        <f>L254</f>
        <v>-</v>
      </c>
      <c r="U309" s="684"/>
      <c r="V309" s="185" t="s">
        <v>8</v>
      </c>
    </row>
    <row r="310" spans="1:22" ht="18" hidden="1" customHeight="1">
      <c r="A310" s="96"/>
      <c r="B310" s="47" t="s">
        <v>856</v>
      </c>
      <c r="C310" s="14"/>
      <c r="D310" s="14"/>
      <c r="E310" s="14"/>
      <c r="F310" s="14"/>
      <c r="G310" s="18"/>
      <c r="H310" s="18"/>
      <c r="I310" s="14"/>
      <c r="J310" s="120"/>
      <c r="K310" s="14"/>
      <c r="L310" s="14"/>
      <c r="N310" s="14"/>
      <c r="O310" s="14"/>
      <c r="Q310" s="14" t="s">
        <v>847</v>
      </c>
      <c r="S310" s="234" t="s">
        <v>127</v>
      </c>
      <c r="T310" s="795" t="e">
        <f>T308/T309</f>
        <v>#VALUE!</v>
      </c>
      <c r="U310" s="795"/>
      <c r="V310" s="185" t="s">
        <v>8</v>
      </c>
    </row>
    <row r="311" spans="1:22" ht="18" hidden="1" customHeight="1">
      <c r="A311" s="96"/>
      <c r="B311" s="47" t="s">
        <v>655</v>
      </c>
      <c r="C311" s="14"/>
      <c r="D311" s="14"/>
      <c r="E311" s="14"/>
      <c r="F311" s="14"/>
      <c r="G311" s="18"/>
      <c r="H311" s="18"/>
      <c r="I311" s="14"/>
      <c r="J311" s="120"/>
      <c r="K311" s="14"/>
      <c r="L311" s="14"/>
      <c r="N311" s="14"/>
      <c r="O311" s="14"/>
      <c r="Q311" s="14" t="s">
        <v>420</v>
      </c>
      <c r="S311" s="234" t="s">
        <v>127</v>
      </c>
      <c r="T311" s="684" t="str">
        <f>L256</f>
        <v>-</v>
      </c>
      <c r="U311" s="684"/>
      <c r="V311" s="532" t="s">
        <v>333</v>
      </c>
    </row>
    <row r="312" spans="1:22" ht="18" hidden="1" customHeight="1">
      <c r="A312" s="96"/>
      <c r="B312" s="47" t="s">
        <v>676</v>
      </c>
      <c r="C312" s="14"/>
      <c r="D312" s="14"/>
      <c r="E312" s="14"/>
      <c r="F312" s="14"/>
      <c r="G312" s="18"/>
      <c r="H312" s="18"/>
      <c r="I312" s="14"/>
      <c r="J312" s="120"/>
      <c r="K312" s="14"/>
      <c r="L312" s="14"/>
      <c r="N312" s="14"/>
      <c r="O312" s="14"/>
      <c r="Q312" s="14" t="s">
        <v>842</v>
      </c>
      <c r="S312" s="234" t="s">
        <v>127</v>
      </c>
      <c r="T312" s="795">
        <f>Q273</f>
        <v>0.58186130000000003</v>
      </c>
      <c r="U312" s="795"/>
      <c r="V312" s="532" t="s">
        <v>333</v>
      </c>
    </row>
    <row r="313" spans="1:22" ht="18" hidden="1" customHeight="1">
      <c r="A313" s="96"/>
      <c r="B313" s="47" t="s">
        <v>691</v>
      </c>
      <c r="C313" s="14"/>
      <c r="D313" s="14"/>
      <c r="E313" s="14"/>
      <c r="F313" s="14"/>
      <c r="G313" s="14"/>
      <c r="H313" s="14"/>
      <c r="I313" s="14"/>
      <c r="J313" s="120"/>
      <c r="K313" s="14"/>
      <c r="L313" s="14"/>
      <c r="N313" s="14"/>
      <c r="O313" s="14"/>
      <c r="Q313" s="14" t="s">
        <v>511</v>
      </c>
      <c r="S313" s="234" t="s">
        <v>127</v>
      </c>
      <c r="T313" s="684">
        <f>O254</f>
        <v>1</v>
      </c>
      <c r="U313" s="684"/>
      <c r="V313" s="185" t="s">
        <v>8</v>
      </c>
    </row>
    <row r="314" spans="1:22" ht="18" hidden="1" customHeight="1">
      <c r="A314" s="96"/>
      <c r="B314" s="14" t="s">
        <v>857</v>
      </c>
      <c r="C314" s="14"/>
      <c r="D314" s="14"/>
      <c r="E314" s="235"/>
      <c r="F314" s="14"/>
      <c r="G314" s="28"/>
      <c r="H314" s="249"/>
      <c r="I314" s="28"/>
      <c r="J314" s="251"/>
      <c r="K314" s="14"/>
      <c r="L314" s="280"/>
      <c r="N314" s="47"/>
      <c r="O314" s="268"/>
      <c r="Q314" s="281" t="s">
        <v>341</v>
      </c>
      <c r="S314" s="234" t="s">
        <v>127</v>
      </c>
      <c r="T314" s="775">
        <f>T185</f>
        <v>23.6</v>
      </c>
      <c r="U314" s="776"/>
      <c r="V314" s="185"/>
    </row>
    <row r="315" spans="1:22" ht="18" hidden="1" customHeight="1">
      <c r="A315" s="325"/>
      <c r="B315" s="14" t="s">
        <v>858</v>
      </c>
      <c r="F315" s="14"/>
      <c r="G315" s="154"/>
      <c r="H315" s="102"/>
      <c r="I315" s="28"/>
      <c r="J315" s="27"/>
      <c r="K315" s="14"/>
      <c r="O315" s="47"/>
      <c r="P315" s="14"/>
      <c r="Q315" s="14"/>
      <c r="R315" s="14"/>
      <c r="S315" s="120"/>
      <c r="T315" s="775">
        <f>T186</f>
        <v>100</v>
      </c>
      <c r="U315" s="776"/>
      <c r="V315" s="97" t="s">
        <v>604</v>
      </c>
    </row>
    <row r="316" spans="1:22" ht="18" hidden="1" customHeight="1">
      <c r="A316" s="96"/>
      <c r="B316" s="14"/>
      <c r="Q316" s="14"/>
      <c r="R316" s="14"/>
      <c r="S316" s="120"/>
      <c r="T316" s="18"/>
      <c r="U316" s="18"/>
      <c r="V316" s="97"/>
    </row>
    <row r="317" spans="1:22" ht="18" hidden="1" customHeight="1">
      <c r="A317" s="184"/>
      <c r="B317" s="533" t="s">
        <v>859</v>
      </c>
      <c r="C317" s="533"/>
      <c r="D317" s="247"/>
      <c r="E317" s="247"/>
      <c r="F317" s="459" t="str">
        <f>IF(T315=150,"1 &amp; 2","3 &amp; 4")</f>
        <v>3 &amp; 4</v>
      </c>
      <c r="G317" s="534"/>
      <c r="V317" s="185"/>
    </row>
    <row r="318" spans="1:22" ht="18" hidden="1" customHeight="1">
      <c r="A318" s="524" t="s">
        <v>419</v>
      </c>
      <c r="B318" s="689" t="s">
        <v>847</v>
      </c>
      <c r="C318" s="689"/>
      <c r="D318" s="28" t="s">
        <v>315</v>
      </c>
      <c r="E318" s="28" t="s">
        <v>341</v>
      </c>
      <c r="F318" s="47" t="s">
        <v>350</v>
      </c>
      <c r="G318" s="154" t="s">
        <v>699</v>
      </c>
      <c r="H318" s="120" t="s">
        <v>419</v>
      </c>
      <c r="I318" s="221" t="str">
        <f>IF(T315=150,"1000","600")</f>
        <v>600</v>
      </c>
      <c r="J318" s="28" t="s">
        <v>315</v>
      </c>
      <c r="K318" s="28" t="s">
        <v>511</v>
      </c>
      <c r="L318" s="47" t="s">
        <v>350</v>
      </c>
      <c r="M318" s="14"/>
      <c r="N318" s="14"/>
      <c r="U318" s="14" t="str">
        <f>IF(T315=150,"...cond.1","…cond.3")</f>
        <v>…cond.3</v>
      </c>
      <c r="V318" s="185"/>
    </row>
    <row r="319" spans="1:22" ht="18" hidden="1" customHeight="1">
      <c r="A319" s="524" t="s">
        <v>419</v>
      </c>
      <c r="B319" s="692" t="e">
        <f>T310</f>
        <v>#VALUE!</v>
      </c>
      <c r="C319" s="692"/>
      <c r="D319" s="28" t="s">
        <v>315</v>
      </c>
      <c r="E319" s="28">
        <f>T314</f>
        <v>23.6</v>
      </c>
      <c r="F319" s="47" t="s">
        <v>350</v>
      </c>
      <c r="G319" s="154" t="s">
        <v>699</v>
      </c>
      <c r="H319" s="120" t="s">
        <v>419</v>
      </c>
      <c r="I319" s="221" t="str">
        <f>I318</f>
        <v>600</v>
      </c>
      <c r="J319" s="28" t="s">
        <v>315</v>
      </c>
      <c r="K319" s="28">
        <f>T313</f>
        <v>1</v>
      </c>
      <c r="L319" s="47" t="s">
        <v>350</v>
      </c>
      <c r="M319" s="14"/>
      <c r="N319" s="14"/>
      <c r="U319" s="14"/>
      <c r="V319" s="97"/>
    </row>
    <row r="320" spans="1:22" ht="18" hidden="1" customHeight="1">
      <c r="A320" s="96"/>
      <c r="B320" s="14"/>
      <c r="C320" s="14"/>
      <c r="D320" s="689" t="e">
        <f>B319*E319</f>
        <v>#VALUE!</v>
      </c>
      <c r="E320" s="723"/>
      <c r="F320" s="14"/>
      <c r="G320" s="154" t="s">
        <v>699</v>
      </c>
      <c r="H320" s="102"/>
      <c r="I320" s="689">
        <f>I319*K319</f>
        <v>600</v>
      </c>
      <c r="J320" s="684"/>
      <c r="K320" s="14"/>
      <c r="O320" s="47"/>
      <c r="P320" s="14"/>
      <c r="Q320" s="14"/>
      <c r="R320" s="14"/>
      <c r="S320" s="120" t="s">
        <v>860</v>
      </c>
      <c r="T320" s="1326" t="e">
        <f>IF(D320&lt;=I320,TRUE,FALSE)</f>
        <v>#VALUE!</v>
      </c>
      <c r="U320" s="1326"/>
      <c r="V320" s="97"/>
    </row>
    <row r="321" spans="1:22" ht="18" hidden="1" customHeight="1">
      <c r="A321" s="184"/>
      <c r="B321" s="28" t="s">
        <v>617</v>
      </c>
      <c r="C321" s="30" t="str">
        <f>IF(T315=150,"…cond.1","…cond.3")</f>
        <v>…cond.3</v>
      </c>
      <c r="E321" s="14" t="s">
        <v>861</v>
      </c>
      <c r="V321" s="185"/>
    </row>
    <row r="322" spans="1:22" ht="18" hidden="1" customHeight="1">
      <c r="A322" s="184"/>
      <c r="V322" s="97"/>
    </row>
    <row r="323" spans="1:22" ht="18" hidden="1" customHeight="1">
      <c r="A323" s="184"/>
      <c r="B323" s="14"/>
      <c r="C323" s="28" t="s">
        <v>841</v>
      </c>
      <c r="D323" s="28" t="s">
        <v>529</v>
      </c>
      <c r="E323" s="28">
        <v>40</v>
      </c>
      <c r="F323" s="28" t="s">
        <v>347</v>
      </c>
      <c r="G323" s="221" t="str">
        <f>IF(T315=150,"0.07","0.35")</f>
        <v>0.35</v>
      </c>
      <c r="H323" s="28" t="s">
        <v>672</v>
      </c>
      <c r="I323" s="689" t="s">
        <v>847</v>
      </c>
      <c r="J323" s="723"/>
      <c r="K323" s="28" t="s">
        <v>315</v>
      </c>
      <c r="L323" s="28" t="s">
        <v>341</v>
      </c>
      <c r="M323" s="47" t="s">
        <v>350</v>
      </c>
      <c r="N323" s="184"/>
      <c r="O323" s="47" t="s">
        <v>862</v>
      </c>
      <c r="P323" s="27"/>
      <c r="Q323" s="28" t="s">
        <v>127</v>
      </c>
      <c r="R323" s="795" t="e">
        <f>MAX(E325,E326)</f>
        <v>#VALUE!</v>
      </c>
      <c r="S323" s="684"/>
      <c r="V323" s="185"/>
    </row>
    <row r="324" spans="1:22" ht="18" hidden="1" customHeight="1">
      <c r="A324" s="184"/>
      <c r="B324" s="14"/>
      <c r="C324" s="28"/>
      <c r="D324" s="28" t="s">
        <v>529</v>
      </c>
      <c r="E324" s="28">
        <v>40</v>
      </c>
      <c r="F324" s="28" t="s">
        <v>347</v>
      </c>
      <c r="G324" s="221" t="str">
        <f>IF(T315=150,"0.07","0.35")</f>
        <v>0.35</v>
      </c>
      <c r="H324" s="28" t="s">
        <v>672</v>
      </c>
      <c r="I324" s="692" t="e">
        <f>T310</f>
        <v>#VALUE!</v>
      </c>
      <c r="J324" s="723"/>
      <c r="K324" s="28" t="s">
        <v>315</v>
      </c>
      <c r="L324" s="28">
        <f>T314</f>
        <v>23.6</v>
      </c>
      <c r="M324" s="47" t="s">
        <v>350</v>
      </c>
      <c r="N324" s="184"/>
      <c r="V324" s="185"/>
    </row>
    <row r="325" spans="1:22" ht="18" hidden="1" customHeight="1">
      <c r="A325" s="184"/>
      <c r="B325" s="14"/>
      <c r="C325" s="28"/>
      <c r="D325" s="28" t="s">
        <v>529</v>
      </c>
      <c r="E325" s="692" t="e">
        <f>E324+(G324*(I324*L324))</f>
        <v>#VALUE!</v>
      </c>
      <c r="F325" s="692"/>
      <c r="G325" s="221"/>
      <c r="H325" s="28"/>
      <c r="I325" s="218"/>
      <c r="K325" s="28"/>
      <c r="L325" s="28"/>
      <c r="M325" s="47"/>
      <c r="N325" s="184"/>
      <c r="V325" s="185"/>
    </row>
    <row r="326" spans="1:22" ht="18" hidden="1" customHeight="1">
      <c r="A326" s="96"/>
      <c r="B326" s="28" t="s">
        <v>850</v>
      </c>
      <c r="C326" s="28" t="s">
        <v>841</v>
      </c>
      <c r="D326" s="28" t="s">
        <v>127</v>
      </c>
      <c r="E326" s="28">
        <v>65</v>
      </c>
      <c r="G326" s="14"/>
      <c r="H326" s="154"/>
      <c r="I326" s="102"/>
      <c r="J326" s="28"/>
      <c r="K326" s="27"/>
      <c r="L326" s="14"/>
      <c r="N326" s="96"/>
      <c r="O326" s="14"/>
      <c r="Q326" s="14"/>
      <c r="R326" s="14"/>
      <c r="S326" s="14"/>
      <c r="T326" s="14"/>
      <c r="U326" s="14"/>
      <c r="V326" s="97"/>
    </row>
    <row r="327" spans="1:22" ht="18" hidden="1" customHeight="1">
      <c r="A327" s="96"/>
      <c r="B327" s="14"/>
      <c r="F327" s="28"/>
      <c r="I327" s="120"/>
      <c r="J327" s="221"/>
      <c r="K327" s="28"/>
      <c r="L327" s="28"/>
      <c r="M327" s="47"/>
      <c r="N327" s="14"/>
      <c r="O327" s="14"/>
      <c r="Q327" s="14"/>
      <c r="R327" s="14"/>
      <c r="S327" s="14"/>
      <c r="T327" s="14"/>
      <c r="U327" s="14"/>
      <c r="V327" s="97"/>
    </row>
    <row r="328" spans="1:22" ht="18" hidden="1" customHeight="1">
      <c r="A328" s="524" t="s">
        <v>419</v>
      </c>
      <c r="B328" s="221" t="str">
        <f>IF(T315=150,"1000","600")</f>
        <v>600</v>
      </c>
      <c r="C328" s="28" t="s">
        <v>315</v>
      </c>
      <c r="D328" s="28" t="s">
        <v>511</v>
      </c>
      <c r="E328" s="47" t="s">
        <v>350</v>
      </c>
      <c r="F328" s="28" t="s">
        <v>851</v>
      </c>
      <c r="G328" s="120" t="s">
        <v>419</v>
      </c>
      <c r="H328" s="689" t="s">
        <v>847</v>
      </c>
      <c r="I328" s="723"/>
      <c r="J328" s="28" t="s">
        <v>315</v>
      </c>
      <c r="K328" s="28" t="s">
        <v>341</v>
      </c>
      <c r="L328" s="47" t="s">
        <v>350</v>
      </c>
      <c r="M328" s="154" t="s">
        <v>699</v>
      </c>
      <c r="N328" s="120" t="s">
        <v>419</v>
      </c>
      <c r="O328" s="221" t="str">
        <f>IF(T315=150,"2600","1600")</f>
        <v>1600</v>
      </c>
      <c r="P328" s="28" t="s">
        <v>315</v>
      </c>
      <c r="Q328" s="28" t="s">
        <v>511</v>
      </c>
      <c r="R328" s="47" t="s">
        <v>350</v>
      </c>
      <c r="S328" s="14"/>
      <c r="T328" s="14"/>
      <c r="U328" s="14" t="str">
        <f>IF(T315=150,"...cond.2","…cond.4")</f>
        <v>…cond.4</v>
      </c>
      <c r="V328" s="97"/>
    </row>
    <row r="329" spans="1:22" ht="18" hidden="1" customHeight="1">
      <c r="A329" s="524" t="s">
        <v>419</v>
      </c>
      <c r="B329" s="221" t="str">
        <f>B328</f>
        <v>600</v>
      </c>
      <c r="C329" s="28" t="s">
        <v>315</v>
      </c>
      <c r="D329" s="28">
        <f>T313</f>
        <v>1</v>
      </c>
      <c r="E329" s="47" t="s">
        <v>350</v>
      </c>
      <c r="F329" s="28" t="s">
        <v>851</v>
      </c>
      <c r="G329" s="120" t="s">
        <v>419</v>
      </c>
      <c r="H329" s="692" t="e">
        <f>T310</f>
        <v>#VALUE!</v>
      </c>
      <c r="I329" s="723"/>
      <c r="J329" s="28" t="s">
        <v>315</v>
      </c>
      <c r="K329" s="28">
        <f>T314</f>
        <v>23.6</v>
      </c>
      <c r="L329" s="47" t="s">
        <v>350</v>
      </c>
      <c r="M329" s="154" t="s">
        <v>699</v>
      </c>
      <c r="N329" s="120" t="s">
        <v>419</v>
      </c>
      <c r="O329" s="221" t="str">
        <f>O328</f>
        <v>1600</v>
      </c>
      <c r="P329" s="28" t="s">
        <v>315</v>
      </c>
      <c r="Q329" s="28">
        <f>T313</f>
        <v>1</v>
      </c>
      <c r="R329" s="47" t="s">
        <v>350</v>
      </c>
      <c r="S329" s="14"/>
      <c r="T329" s="14"/>
      <c r="U329" s="14"/>
      <c r="V329" s="97"/>
    </row>
    <row r="330" spans="1:22" ht="18" hidden="1" customHeight="1">
      <c r="A330" s="524"/>
      <c r="B330" s="249"/>
      <c r="C330" s="1329">
        <f>B329*D329</f>
        <v>600</v>
      </c>
      <c r="D330" s="1329"/>
      <c r="E330" s="249"/>
      <c r="F330" s="28" t="s">
        <v>851</v>
      </c>
      <c r="G330" s="14"/>
      <c r="H330" s="14"/>
      <c r="I330" s="716" t="e">
        <f>H329*K329</f>
        <v>#VALUE!</v>
      </c>
      <c r="J330" s="716"/>
      <c r="K330" s="14"/>
      <c r="L330" s="14"/>
      <c r="M330" s="154" t="s">
        <v>699</v>
      </c>
      <c r="N330" s="102"/>
      <c r="O330" s="1286">
        <f>O329*Q329</f>
        <v>1600</v>
      </c>
      <c r="P330" s="723"/>
      <c r="Q330" s="14"/>
      <c r="R330" s="14"/>
      <c r="S330" s="120" t="s">
        <v>860</v>
      </c>
      <c r="T330" s="1326" t="e">
        <f>IF(AND(C330&lt;I330,I330&lt;=O330)=TRUE,TRUE,FALSE)</f>
        <v>#VALUE!</v>
      </c>
      <c r="U330" s="1326"/>
      <c r="V330" s="97"/>
    </row>
    <row r="331" spans="1:22" ht="18" hidden="1" customHeight="1">
      <c r="A331" s="96"/>
      <c r="B331" s="14"/>
      <c r="E331" s="244"/>
      <c r="G331" s="18"/>
      <c r="L331" s="14"/>
      <c r="M331" s="14"/>
      <c r="N331" s="14"/>
      <c r="O331" s="14"/>
      <c r="P331" s="14"/>
      <c r="Q331" s="14"/>
      <c r="R331" s="14"/>
      <c r="S331" s="14"/>
      <c r="T331" s="14"/>
      <c r="U331" s="14"/>
      <c r="V331" s="97"/>
    </row>
    <row r="332" spans="1:22" ht="18" hidden="1" customHeight="1">
      <c r="A332" s="96"/>
      <c r="B332" s="14"/>
      <c r="E332" s="244"/>
      <c r="G332" s="18"/>
      <c r="L332" s="14"/>
      <c r="M332" s="14"/>
      <c r="N332" s="14"/>
      <c r="O332" s="14"/>
      <c r="P332" s="14"/>
      <c r="Q332" s="14"/>
      <c r="R332" s="14"/>
      <c r="S332" s="14"/>
      <c r="T332" s="14"/>
      <c r="U332" s="14"/>
      <c r="V332" s="97"/>
    </row>
    <row r="333" spans="1:22" ht="18" hidden="1" customHeight="1">
      <c r="A333" s="96"/>
      <c r="B333" s="14"/>
      <c r="E333" s="244"/>
      <c r="G333" s="18"/>
      <c r="L333" s="14"/>
      <c r="M333" s="14"/>
      <c r="N333" s="14"/>
      <c r="O333" s="14"/>
      <c r="P333" s="14"/>
      <c r="Q333" s="14"/>
      <c r="R333" s="14"/>
      <c r="S333" s="14"/>
      <c r="T333" s="14"/>
      <c r="U333" s="14"/>
      <c r="V333" s="97"/>
    </row>
    <row r="334" spans="1:22" ht="18" hidden="1" customHeight="1">
      <c r="A334" s="96"/>
      <c r="B334" s="14"/>
      <c r="E334" s="244"/>
      <c r="G334" s="18"/>
      <c r="L334" s="14"/>
      <c r="M334" s="14"/>
      <c r="N334" s="14"/>
      <c r="O334" s="14"/>
      <c r="P334" s="14"/>
      <c r="Q334" s="14"/>
      <c r="R334" s="14"/>
      <c r="S334" s="14"/>
      <c r="T334" s="14"/>
      <c r="U334" s="14"/>
      <c r="V334" s="97"/>
    </row>
    <row r="335" spans="1:22" ht="18" hidden="1" customHeight="1">
      <c r="A335" s="96"/>
      <c r="B335" s="14"/>
      <c r="E335" s="244"/>
      <c r="G335" s="18"/>
      <c r="L335" s="14"/>
      <c r="M335" s="14"/>
      <c r="N335" s="14"/>
      <c r="O335" s="14"/>
      <c r="P335" s="14"/>
      <c r="Q335" s="14"/>
      <c r="R335" s="14"/>
      <c r="S335" s="14"/>
      <c r="T335" s="14"/>
      <c r="U335" s="14"/>
      <c r="V335" s="97"/>
    </row>
    <row r="336" spans="1:22" ht="18" hidden="1" customHeight="1">
      <c r="A336" s="96"/>
      <c r="B336" s="14"/>
      <c r="E336" s="244"/>
      <c r="G336" s="18"/>
      <c r="L336" s="14"/>
      <c r="M336" s="14"/>
      <c r="N336" s="14"/>
      <c r="O336" s="14"/>
      <c r="P336" s="14"/>
      <c r="Q336" s="14"/>
      <c r="R336" s="14"/>
      <c r="S336" s="14"/>
      <c r="T336" s="14"/>
      <c r="U336" s="14"/>
      <c r="V336" s="97"/>
    </row>
    <row r="337" spans="1:22" s="14" customFormat="1" ht="18" hidden="1" customHeight="1">
      <c r="A337" s="194"/>
      <c r="B337" s="195"/>
      <c r="C337" s="195"/>
      <c r="D337" s="195"/>
      <c r="E337" s="195"/>
      <c r="F337" s="195"/>
      <c r="G337" s="195"/>
      <c r="H337" s="195"/>
      <c r="I337" s="195"/>
      <c r="J337" s="195"/>
      <c r="K337" s="195"/>
      <c r="L337" s="195"/>
      <c r="M337" s="195"/>
      <c r="N337" s="195"/>
      <c r="O337" s="195"/>
      <c r="P337" s="195"/>
      <c r="Q337" s="224"/>
      <c r="R337" s="182"/>
      <c r="S337" s="225"/>
      <c r="T337" s="195"/>
      <c r="U337" s="195"/>
      <c r="V337" s="134"/>
    </row>
    <row r="338" spans="1:22" ht="18" hidden="1" customHeight="1">
      <c r="A338" s="320"/>
      <c r="B338" s="138"/>
      <c r="C338" s="138"/>
      <c r="D338" s="138"/>
      <c r="E338" s="273"/>
      <c r="F338" s="273"/>
      <c r="G338" s="274"/>
      <c r="H338" s="138"/>
      <c r="I338" s="138"/>
      <c r="J338" s="138"/>
      <c r="K338" s="138"/>
      <c r="L338" s="138"/>
      <c r="M338" s="138"/>
      <c r="N338" s="138"/>
      <c r="O338" s="138"/>
      <c r="P338" s="138"/>
      <c r="Q338" s="138"/>
      <c r="R338" s="138"/>
      <c r="S338" s="138"/>
      <c r="T338" s="273"/>
      <c r="U338" s="138"/>
      <c r="V338" s="521"/>
    </row>
    <row r="339" spans="1:22" ht="18" hidden="1" customHeight="1">
      <c r="A339" s="299"/>
      <c r="B339" s="28" t="s">
        <v>617</v>
      </c>
      <c r="C339" s="30" t="str">
        <f>IF(T315=150,"…cond.2","…cond.4")</f>
        <v>…cond.4</v>
      </c>
      <c r="E339" s="14" t="s">
        <v>863</v>
      </c>
      <c r="J339" s="28" t="s">
        <v>127</v>
      </c>
      <c r="K339" s="30" t="str">
        <f>IF(T315=150,"107","256")</f>
        <v>256</v>
      </c>
      <c r="N339" s="1" t="s">
        <v>864</v>
      </c>
      <c r="O339" s="196"/>
      <c r="P339" s="196"/>
      <c r="Q339" s="196"/>
      <c r="R339" s="196"/>
      <c r="S339" s="182" t="s">
        <v>127</v>
      </c>
      <c r="T339" s="246" t="e">
        <f>IF(T320=TRUE,R323,IF(T330=TRUE,K339,))</f>
        <v>#VALUE!</v>
      </c>
      <c r="U339" s="14"/>
      <c r="V339" s="97"/>
    </row>
    <row r="340" spans="1:22" ht="18" hidden="1" customHeight="1">
      <c r="A340" s="193" t="s">
        <v>865</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84"/>
      <c r="D341" s="30" t="s">
        <v>473</v>
      </c>
      <c r="E341" s="27" t="s">
        <v>529</v>
      </c>
      <c r="F341" s="27" t="s">
        <v>841</v>
      </c>
      <c r="G341" s="27" t="s">
        <v>315</v>
      </c>
      <c r="H341" s="27" t="s">
        <v>511</v>
      </c>
      <c r="I341" s="27" t="s">
        <v>372</v>
      </c>
      <c r="J341" s="27" t="s">
        <v>420</v>
      </c>
      <c r="K341" s="27" t="s">
        <v>347</v>
      </c>
      <c r="L341" s="27" t="s">
        <v>842</v>
      </c>
      <c r="M341" s="30" t="s">
        <v>350</v>
      </c>
      <c r="V341" s="185"/>
    </row>
    <row r="342" spans="1:22" ht="18" hidden="1" customHeight="1">
      <c r="A342" s="184"/>
      <c r="B342" s="14"/>
      <c r="D342" s="14"/>
      <c r="E342" s="27" t="s">
        <v>529</v>
      </c>
      <c r="F342" s="27" t="e">
        <f>T339</f>
        <v>#VALUE!</v>
      </c>
      <c r="G342" s="27" t="s">
        <v>315</v>
      </c>
      <c r="H342" s="27">
        <f>T313</f>
        <v>1</v>
      </c>
      <c r="I342" s="27" t="s">
        <v>372</v>
      </c>
      <c r="J342" s="27" t="str">
        <f>T311</f>
        <v>-</v>
      </c>
      <c r="K342" s="27" t="s">
        <v>347</v>
      </c>
      <c r="L342" s="211">
        <f>T312</f>
        <v>0.58186130000000003</v>
      </c>
      <c r="M342" s="30" t="s">
        <v>350</v>
      </c>
      <c r="V342" s="185"/>
    </row>
    <row r="343" spans="1:22" ht="18" hidden="1" customHeight="1">
      <c r="A343" s="184"/>
      <c r="B343" s="14"/>
      <c r="D343" s="14"/>
      <c r="E343" s="27" t="s">
        <v>529</v>
      </c>
      <c r="F343" s="696" t="e">
        <f>F342*H342*(J342+L342)</f>
        <v>#VALUE!</v>
      </c>
      <c r="G343" s="722"/>
      <c r="H343" s="14" t="s">
        <v>305</v>
      </c>
      <c r="I343" s="14"/>
      <c r="J343" s="14"/>
      <c r="K343" s="14"/>
      <c r="L343" s="120"/>
      <c r="M343" s="120"/>
      <c r="V343" s="185"/>
    </row>
    <row r="344" spans="1:22" ht="18" hidden="1" customHeight="1">
      <c r="A344" s="184"/>
      <c r="V344" s="185"/>
    </row>
    <row r="345" spans="1:22" ht="18" hidden="1" customHeight="1">
      <c r="A345" s="116" t="s">
        <v>446</v>
      </c>
      <c r="B345" s="14"/>
      <c r="C345" s="27"/>
      <c r="D345" s="218"/>
      <c r="E345" s="204"/>
      <c r="F345" s="14"/>
      <c r="G345" s="14"/>
      <c r="H345" s="14"/>
      <c r="I345" s="14"/>
      <c r="J345" s="120"/>
      <c r="K345" s="120"/>
      <c r="L345" s="14"/>
      <c r="M345" s="14"/>
      <c r="N345" s="28"/>
      <c r="O345" s="257"/>
      <c r="P345" s="14"/>
      <c r="Q345" s="14"/>
      <c r="R345" s="120"/>
      <c r="S345" s="28"/>
      <c r="T345" s="47"/>
      <c r="U345" s="14"/>
      <c r="V345" s="185"/>
    </row>
    <row r="346" spans="1:22" ht="18" hidden="1" customHeight="1">
      <c r="A346" s="193" t="s">
        <v>416</v>
      </c>
      <c r="B346" s="14"/>
      <c r="C346" s="27"/>
      <c r="D346" s="218"/>
      <c r="E346" s="204"/>
      <c r="F346" s="14"/>
      <c r="G346" s="14"/>
      <c r="H346" s="14"/>
      <c r="I346" s="14"/>
      <c r="J346" s="120"/>
      <c r="K346" s="120"/>
      <c r="L346" s="14"/>
      <c r="M346" s="14"/>
      <c r="N346" s="28"/>
      <c r="O346" s="257"/>
      <c r="P346" s="14"/>
      <c r="Q346" s="14"/>
      <c r="R346" s="120"/>
      <c r="S346" s="28"/>
      <c r="T346" s="47"/>
      <c r="U346" s="14"/>
      <c r="V346" s="185"/>
    </row>
    <row r="347" spans="1:22" ht="18" hidden="1" customHeight="1">
      <c r="A347" s="184"/>
      <c r="B347" s="14"/>
      <c r="C347" s="27"/>
      <c r="D347" s="218"/>
      <c r="E347" s="204"/>
      <c r="F347" s="30" t="s">
        <v>473</v>
      </c>
      <c r="G347" s="27" t="s">
        <v>529</v>
      </c>
      <c r="H347" s="993" t="s">
        <v>868</v>
      </c>
      <c r="I347" s="993"/>
      <c r="J347" s="27" t="s">
        <v>315</v>
      </c>
      <c r="K347" s="993" t="s">
        <v>820</v>
      </c>
      <c r="L347" s="993"/>
      <c r="M347" s="27" t="s">
        <v>315</v>
      </c>
      <c r="N347" s="244" t="s">
        <v>419</v>
      </c>
      <c r="O347" s="27" t="s">
        <v>420</v>
      </c>
      <c r="P347" s="27" t="s">
        <v>347</v>
      </c>
      <c r="Q347" s="27" t="s">
        <v>408</v>
      </c>
      <c r="R347" s="30" t="s">
        <v>350</v>
      </c>
      <c r="S347" s="28"/>
      <c r="T347" s="47"/>
      <c r="U347" s="14"/>
      <c r="V347" s="185"/>
    </row>
    <row r="348" spans="1:22" ht="18" hidden="1" customHeight="1">
      <c r="A348" s="193"/>
      <c r="F348" s="14" t="s">
        <v>869</v>
      </c>
      <c r="H348" s="27"/>
      <c r="I348" s="218"/>
      <c r="J348" s="204"/>
      <c r="K348" s="14"/>
      <c r="L348" s="14"/>
      <c r="M348" s="14"/>
      <c r="N348" s="14"/>
      <c r="O348" s="120"/>
      <c r="P348" s="120"/>
      <c r="Q348" s="14"/>
      <c r="R348" s="14"/>
      <c r="U348" s="14"/>
      <c r="V348" s="185"/>
    </row>
    <row r="349" spans="1:22" ht="18" hidden="1" customHeight="1">
      <c r="A349" s="193"/>
      <c r="G349" s="993" t="s">
        <v>868</v>
      </c>
      <c r="H349" s="993"/>
      <c r="I349" s="218" t="s">
        <v>127</v>
      </c>
      <c r="J349" s="204" t="s">
        <v>870</v>
      </c>
      <c r="K349" s="14"/>
      <c r="L349" s="14"/>
      <c r="M349" s="14"/>
      <c r="N349" s="14"/>
      <c r="O349" s="120"/>
      <c r="P349" s="120"/>
      <c r="Q349" s="14"/>
      <c r="R349" s="14"/>
      <c r="S349" s="28" t="s">
        <v>127</v>
      </c>
      <c r="T349" s="28">
        <v>1.4</v>
      </c>
      <c r="U349" s="14"/>
      <c r="V349" s="97"/>
    </row>
    <row r="350" spans="1:22" ht="18" hidden="1" customHeight="1">
      <c r="A350" s="193"/>
      <c r="G350" s="993" t="s">
        <v>820</v>
      </c>
      <c r="H350" s="993"/>
      <c r="I350" s="218" t="s">
        <v>127</v>
      </c>
      <c r="J350" s="204" t="s">
        <v>871</v>
      </c>
      <c r="K350" s="14"/>
      <c r="L350" s="14"/>
      <c r="M350" s="14"/>
      <c r="N350" s="14"/>
      <c r="O350" s="120"/>
      <c r="P350" s="120"/>
      <c r="Q350" s="14"/>
      <c r="R350" s="14"/>
      <c r="S350" s="28" t="s">
        <v>127</v>
      </c>
      <c r="T350" s="692" t="e">
        <f>T310</f>
        <v>#VALUE!</v>
      </c>
      <c r="U350" s="689"/>
      <c r="V350" s="97" t="s">
        <v>8</v>
      </c>
    </row>
    <row r="351" spans="1:22" ht="18" hidden="1" customHeight="1">
      <c r="A351" s="193"/>
      <c r="U351" s="14"/>
      <c r="V351" s="97"/>
    </row>
    <row r="352" spans="1:22" ht="18" hidden="1" customHeight="1">
      <c r="A352" s="193"/>
      <c r="F352" s="30" t="s">
        <v>473</v>
      </c>
      <c r="G352" s="27" t="s">
        <v>529</v>
      </c>
      <c r="H352" s="993" t="s">
        <v>868</v>
      </c>
      <c r="I352" s="993"/>
      <c r="J352" s="27" t="s">
        <v>315</v>
      </c>
      <c r="K352" s="993" t="s">
        <v>820</v>
      </c>
      <c r="L352" s="993"/>
      <c r="M352" s="27" t="s">
        <v>315</v>
      </c>
      <c r="N352" s="244" t="s">
        <v>419</v>
      </c>
      <c r="O352" s="27" t="s">
        <v>420</v>
      </c>
      <c r="P352" s="27" t="s">
        <v>347</v>
      </c>
      <c r="Q352" s="27" t="s">
        <v>408</v>
      </c>
      <c r="R352" s="30" t="s">
        <v>350</v>
      </c>
      <c r="T352" s="47"/>
      <c r="U352" s="14"/>
      <c r="V352" s="97"/>
    </row>
    <row r="353" spans="1:22" ht="18" hidden="1" customHeight="1">
      <c r="A353" s="193"/>
      <c r="F353" s="30" t="s">
        <v>473</v>
      </c>
      <c r="G353" s="27" t="s">
        <v>529</v>
      </c>
      <c r="H353" s="993">
        <f>T349</f>
        <v>1.4</v>
      </c>
      <c r="I353" s="993"/>
      <c r="J353" s="27" t="s">
        <v>315</v>
      </c>
      <c r="K353" s="1111" t="e">
        <f>T350</f>
        <v>#VALUE!</v>
      </c>
      <c r="L353" s="993"/>
      <c r="M353" s="27" t="s">
        <v>315</v>
      </c>
      <c r="N353" s="244" t="s">
        <v>419</v>
      </c>
      <c r="O353" s="27" t="str">
        <f>T311</f>
        <v>-</v>
      </c>
      <c r="P353" s="27" t="s">
        <v>347</v>
      </c>
      <c r="Q353" s="211">
        <f>T312</f>
        <v>0.58186130000000003</v>
      </c>
      <c r="R353" s="30" t="s">
        <v>350</v>
      </c>
      <c r="V353" s="97"/>
    </row>
    <row r="354" spans="1:22" ht="18" hidden="1" customHeight="1">
      <c r="A354" s="184"/>
      <c r="F354" s="30" t="s">
        <v>473</v>
      </c>
      <c r="G354" s="27" t="s">
        <v>529</v>
      </c>
      <c r="H354" s="812" t="e">
        <f>H353*K353*(O353+Q353)</f>
        <v>#VALUE!</v>
      </c>
      <c r="I354" s="813"/>
      <c r="J354" s="14" t="s">
        <v>872</v>
      </c>
      <c r="V354" s="97"/>
    </row>
    <row r="355" spans="1:22" ht="18" hidden="1" customHeight="1">
      <c r="A355" s="96"/>
      <c r="U355" s="18"/>
      <c r="V355" s="97"/>
    </row>
    <row r="356" spans="1:22" ht="18" hidden="1" customHeight="1">
      <c r="A356" s="193" t="s">
        <v>873</v>
      </c>
      <c r="O356" s="47"/>
      <c r="P356" s="14"/>
      <c r="Q356" s="14"/>
      <c r="R356" s="14"/>
      <c r="S356" s="120"/>
      <c r="T356" s="18"/>
      <c r="U356" s="18"/>
      <c r="V356" s="97"/>
    </row>
    <row r="357" spans="1:22" ht="18" hidden="1" customHeight="1">
      <c r="A357" s="184"/>
      <c r="V357" s="97"/>
    </row>
    <row r="358" spans="1:22" ht="18" hidden="1" customHeight="1">
      <c r="A358" s="184"/>
      <c r="C358" s="30" t="s">
        <v>473</v>
      </c>
      <c r="D358" s="27" t="s">
        <v>529</v>
      </c>
      <c r="E358" s="805" t="s">
        <v>874</v>
      </c>
      <c r="F358" s="805"/>
      <c r="G358" s="27" t="s">
        <v>315</v>
      </c>
      <c r="H358" s="805" t="s">
        <v>875</v>
      </c>
      <c r="I358" s="805"/>
      <c r="J358" s="28" t="s">
        <v>672</v>
      </c>
      <c r="K358" s="27">
        <v>1</v>
      </c>
      <c r="L358" s="14" t="s">
        <v>347</v>
      </c>
      <c r="M358" s="14" t="s">
        <v>341</v>
      </c>
      <c r="N358" s="14" t="s">
        <v>876</v>
      </c>
      <c r="O358" s="27" t="s">
        <v>420</v>
      </c>
      <c r="P358" s="27" t="s">
        <v>347</v>
      </c>
      <c r="Q358" s="27" t="s">
        <v>408</v>
      </c>
      <c r="R358" s="30" t="s">
        <v>350</v>
      </c>
      <c r="V358" s="185"/>
    </row>
    <row r="359" spans="1:22" ht="18" hidden="1" customHeight="1">
      <c r="A359" s="184"/>
      <c r="C359" s="14" t="s">
        <v>869</v>
      </c>
      <c r="E359" s="27"/>
      <c r="F359" s="218"/>
      <c r="G359" s="204"/>
      <c r="H359" s="14"/>
      <c r="I359" s="14"/>
      <c r="J359" s="14"/>
      <c r="K359" s="14"/>
      <c r="L359" s="120"/>
      <c r="M359" s="120"/>
      <c r="N359" s="14"/>
      <c r="O359" s="14"/>
      <c r="U359" s="14"/>
      <c r="V359" s="185"/>
    </row>
    <row r="360" spans="1:22" ht="18" hidden="1" customHeight="1">
      <c r="A360" s="96"/>
      <c r="B360" s="14"/>
      <c r="D360" s="805" t="s">
        <v>874</v>
      </c>
      <c r="E360" s="993"/>
      <c r="F360" s="218" t="s">
        <v>127</v>
      </c>
      <c r="G360" s="257" t="s">
        <v>877</v>
      </c>
      <c r="H360" s="14"/>
      <c r="I360" s="14"/>
      <c r="J360" s="14"/>
      <c r="K360" s="14"/>
      <c r="L360" s="120"/>
      <c r="M360" s="120"/>
      <c r="N360" s="14"/>
      <c r="O360" s="14"/>
      <c r="S360" s="28" t="s">
        <v>127</v>
      </c>
      <c r="T360" s="28">
        <v>0.6</v>
      </c>
      <c r="U360" s="14"/>
      <c r="V360" s="97"/>
    </row>
    <row r="361" spans="1:22" ht="18" hidden="1" customHeight="1">
      <c r="A361" s="272"/>
      <c r="B361" s="47"/>
      <c r="D361" s="805" t="s">
        <v>875</v>
      </c>
      <c r="E361" s="993"/>
      <c r="F361" s="218" t="s">
        <v>127</v>
      </c>
      <c r="G361" s="257" t="s">
        <v>878</v>
      </c>
      <c r="H361" s="14"/>
      <c r="I361" s="14"/>
      <c r="J361" s="14"/>
      <c r="K361" s="14"/>
      <c r="L361" s="120"/>
      <c r="M361" s="120"/>
      <c r="N361" s="14"/>
      <c r="O361" s="14"/>
      <c r="S361" s="28" t="s">
        <v>127</v>
      </c>
      <c r="T361" s="692" t="e">
        <f>'[8]Fault Calc (3)'!M107/T309</f>
        <v>#VALUE!</v>
      </c>
      <c r="U361" s="689"/>
      <c r="V361" s="97" t="s">
        <v>8</v>
      </c>
    </row>
    <row r="362" spans="1:22" ht="18" hidden="1" customHeight="1">
      <c r="A362" s="96"/>
      <c r="B362" s="47"/>
      <c r="C362" s="120"/>
      <c r="S362" s="14"/>
      <c r="T362" s="14"/>
      <c r="U362" s="14"/>
      <c r="V362" s="97"/>
    </row>
    <row r="363" spans="1:22" ht="18" hidden="1" customHeight="1">
      <c r="A363" s="184"/>
      <c r="C363" s="30" t="s">
        <v>473</v>
      </c>
      <c r="D363" s="27" t="s">
        <v>529</v>
      </c>
      <c r="E363" s="805" t="s">
        <v>874</v>
      </c>
      <c r="F363" s="805"/>
      <c r="G363" s="27" t="s">
        <v>315</v>
      </c>
      <c r="H363" s="805" t="s">
        <v>875</v>
      </c>
      <c r="I363" s="805"/>
      <c r="J363" s="28" t="s">
        <v>672</v>
      </c>
      <c r="K363" s="27">
        <v>1</v>
      </c>
      <c r="L363" s="14" t="s">
        <v>347</v>
      </c>
      <c r="M363" s="14" t="s">
        <v>341</v>
      </c>
      <c r="N363" s="14" t="s">
        <v>876</v>
      </c>
      <c r="O363" s="27" t="s">
        <v>420</v>
      </c>
      <c r="P363" s="27" t="s">
        <v>347</v>
      </c>
      <c r="Q363" s="27" t="s">
        <v>408</v>
      </c>
      <c r="R363" s="30" t="s">
        <v>350</v>
      </c>
      <c r="V363" s="97"/>
    </row>
    <row r="364" spans="1:22" ht="18" hidden="1" customHeight="1">
      <c r="A364" s="184"/>
      <c r="C364" s="30" t="s">
        <v>473</v>
      </c>
      <c r="D364" s="27" t="s">
        <v>529</v>
      </c>
      <c r="E364" s="805">
        <f>T360</f>
        <v>0.6</v>
      </c>
      <c r="F364" s="805"/>
      <c r="G364" s="27" t="s">
        <v>315</v>
      </c>
      <c r="H364" s="1184" t="e">
        <f>T361</f>
        <v>#VALUE!</v>
      </c>
      <c r="I364" s="805"/>
      <c r="J364" s="28" t="s">
        <v>672</v>
      </c>
      <c r="K364" s="27">
        <v>1</v>
      </c>
      <c r="L364" s="14" t="s">
        <v>347</v>
      </c>
      <c r="M364" s="28">
        <f>T314</f>
        <v>23.6</v>
      </c>
      <c r="N364" s="14" t="s">
        <v>876</v>
      </c>
      <c r="O364" s="27" t="str">
        <f>T311</f>
        <v>-</v>
      </c>
      <c r="P364" s="27" t="s">
        <v>347</v>
      </c>
      <c r="Q364" s="211">
        <f>T312</f>
        <v>0.58186130000000003</v>
      </c>
      <c r="R364" s="30" t="s">
        <v>350</v>
      </c>
      <c r="V364" s="97"/>
    </row>
    <row r="365" spans="1:22" ht="18" hidden="1" customHeight="1">
      <c r="A365" s="184"/>
      <c r="C365" s="30" t="s">
        <v>473</v>
      </c>
      <c r="D365" s="27" t="s">
        <v>529</v>
      </c>
      <c r="E365" s="1335" t="e">
        <f>E364*H364*((K364+M364)*(O364+Q364))</f>
        <v>#VALUE!</v>
      </c>
      <c r="F365" s="1336"/>
      <c r="G365" s="14" t="s">
        <v>872</v>
      </c>
      <c r="V365" s="97"/>
    </row>
    <row r="366" spans="1:22" ht="18" hidden="1" customHeight="1">
      <c r="A366" s="524"/>
      <c r="B366" s="249"/>
      <c r="C366" s="249"/>
      <c r="D366" s="249"/>
      <c r="E366" s="249"/>
      <c r="F366" s="249"/>
      <c r="G366" s="14"/>
      <c r="H366" s="14"/>
      <c r="I366" s="14"/>
      <c r="J366" s="14"/>
      <c r="K366" s="14"/>
      <c r="L366" s="14"/>
      <c r="M366" s="120"/>
      <c r="N366" s="102"/>
      <c r="O366" s="47"/>
      <c r="P366" s="14"/>
      <c r="Q366" s="14"/>
      <c r="R366" s="14"/>
      <c r="S366" s="14"/>
      <c r="T366" s="14"/>
      <c r="U366" s="14"/>
      <c r="V366" s="97"/>
    </row>
    <row r="367" spans="1:22" ht="18" hidden="1" customHeight="1">
      <c r="A367" s="96"/>
      <c r="B367" s="459" t="s">
        <v>879</v>
      </c>
      <c r="C367" s="28"/>
      <c r="D367" s="28"/>
      <c r="E367" s="14"/>
      <c r="F367" s="14"/>
      <c r="G367" s="120"/>
      <c r="H367" s="120"/>
      <c r="I367" s="47"/>
      <c r="J367" s="535"/>
      <c r="K367" s="14"/>
      <c r="L367" s="14"/>
      <c r="M367" s="696" t="e">
        <f>MAX(F343,H354,E365)</f>
        <v>#VALUE!</v>
      </c>
      <c r="N367" s="776"/>
      <c r="O367" s="14" t="s">
        <v>872</v>
      </c>
      <c r="P367" s="14"/>
      <c r="Q367" s="14"/>
      <c r="R367" s="14"/>
      <c r="S367" s="14"/>
      <c r="T367" s="14"/>
      <c r="U367" s="14"/>
      <c r="V367" s="97"/>
    </row>
    <row r="368" spans="1:22" ht="18" hidden="1" customHeight="1">
      <c r="A368" s="193"/>
      <c r="I368" s="14"/>
      <c r="J368" s="14"/>
      <c r="K368" s="14"/>
      <c r="L368" s="47"/>
      <c r="M368" s="47"/>
      <c r="N368" s="47"/>
      <c r="O368" s="47"/>
      <c r="P368" s="28"/>
      <c r="Q368" s="536"/>
      <c r="R368" s="47"/>
      <c r="S368" s="14"/>
      <c r="T368" s="14"/>
      <c r="U368" s="14"/>
      <c r="V368" s="97"/>
    </row>
    <row r="369" spans="1:22" ht="18" hidden="1" customHeight="1">
      <c r="A369" s="184"/>
      <c r="L369" s="28"/>
      <c r="M369" s="28"/>
      <c r="N369" s="28"/>
      <c r="O369" s="28"/>
      <c r="P369" s="28"/>
      <c r="Q369" s="218"/>
      <c r="R369" s="28"/>
      <c r="S369" s="28"/>
      <c r="T369" s="14"/>
      <c r="U369" s="28"/>
      <c r="V369" s="97"/>
    </row>
    <row r="370" spans="1:22" ht="18" hidden="1" customHeight="1">
      <c r="A370" s="184"/>
      <c r="L370" s="14"/>
      <c r="M370" s="14"/>
      <c r="N370" s="14"/>
      <c r="O370" s="14"/>
      <c r="P370" s="14"/>
      <c r="Q370" s="14"/>
      <c r="R370" s="14"/>
      <c r="S370" s="14"/>
      <c r="T370" s="14"/>
      <c r="U370" s="14"/>
      <c r="V370" s="97"/>
    </row>
    <row r="371" spans="1:22" ht="18" hidden="1" customHeight="1">
      <c r="A371" s="184"/>
      <c r="C371" s="30" t="s">
        <v>475</v>
      </c>
      <c r="F371" s="27" t="e">
        <f>IF(D372&gt;G372,"&gt;","&lt;")</f>
        <v>#VALUE!</v>
      </c>
      <c r="G371" s="30" t="s">
        <v>477</v>
      </c>
      <c r="L371" s="14"/>
      <c r="M371" s="14"/>
      <c r="N371" s="14"/>
      <c r="O371" s="14"/>
      <c r="P371" s="14"/>
      <c r="Q371" s="14"/>
      <c r="R371" s="14"/>
      <c r="S371" s="14"/>
      <c r="T371" s="14"/>
      <c r="U371" s="14"/>
      <c r="V371" s="97"/>
    </row>
    <row r="372" spans="1:22" ht="18" hidden="1" customHeight="1">
      <c r="A372" s="184"/>
      <c r="D372" s="684" t="str">
        <f>L257</f>
        <v>-</v>
      </c>
      <c r="E372" s="684"/>
      <c r="F372" s="27" t="e">
        <f>F371</f>
        <v>#VALUE!</v>
      </c>
      <c r="G372" s="795" t="e">
        <f>M367</f>
        <v>#VALUE!</v>
      </c>
      <c r="H372" s="684"/>
      <c r="L372" s="14"/>
      <c r="M372" s="14"/>
      <c r="N372" s="28"/>
      <c r="O372" s="28"/>
      <c r="P372" s="28"/>
      <c r="Q372" s="120"/>
      <c r="R372" s="250"/>
      <c r="S372" s="186"/>
      <c r="T372" s="14"/>
      <c r="U372" s="14"/>
      <c r="V372" s="97"/>
    </row>
    <row r="373" spans="1:22" ht="18" hidden="1" customHeight="1">
      <c r="A373" s="184"/>
      <c r="E373" s="244" t="s">
        <v>478</v>
      </c>
      <c r="G373" s="18" t="e">
        <f>IF(F371="&gt;","Suitably Dimensioned","Under Dimensioned")</f>
        <v>#VALUE!</v>
      </c>
      <c r="L373" s="14"/>
      <c r="M373" s="14"/>
      <c r="N373" s="28"/>
      <c r="O373" s="257"/>
      <c r="P373" s="14"/>
      <c r="Q373" s="14"/>
      <c r="R373" s="120"/>
      <c r="S373" s="28"/>
      <c r="T373" s="47"/>
      <c r="U373" s="14"/>
      <c r="V373" s="97"/>
    </row>
    <row r="374" spans="1:22" ht="18" hidden="1" customHeight="1">
      <c r="A374" s="184"/>
      <c r="E374" s="244"/>
      <c r="G374" s="18"/>
      <c r="L374" s="14"/>
      <c r="M374" s="14"/>
      <c r="N374" s="28"/>
      <c r="O374" s="257"/>
      <c r="P374" s="14"/>
      <c r="Q374" s="14"/>
      <c r="R374" s="120"/>
      <c r="S374" s="28"/>
      <c r="T374" s="47"/>
      <c r="U374" s="14"/>
      <c r="V374" s="97"/>
    </row>
    <row r="375" spans="1:22" ht="18" hidden="1" customHeight="1">
      <c r="A375" s="184"/>
      <c r="E375" s="244"/>
      <c r="G375" s="18"/>
      <c r="L375" s="14"/>
      <c r="M375" s="14"/>
      <c r="N375" s="28"/>
      <c r="O375" s="257"/>
      <c r="P375" s="14"/>
      <c r="Q375" s="14"/>
      <c r="R375" s="120"/>
      <c r="S375" s="28"/>
      <c r="T375" s="47"/>
      <c r="U375" s="14"/>
      <c r="V375" s="97"/>
    </row>
    <row r="376" spans="1:22" ht="18" hidden="1" customHeight="1">
      <c r="A376" s="184"/>
      <c r="E376" s="244"/>
      <c r="G376" s="18"/>
      <c r="L376" s="14"/>
      <c r="M376" s="14"/>
      <c r="N376" s="28"/>
      <c r="O376" s="257"/>
      <c r="P376" s="14"/>
      <c r="Q376" s="14"/>
      <c r="R376" s="120"/>
      <c r="S376" s="28"/>
      <c r="T376" s="47"/>
      <c r="U376" s="14"/>
      <c r="V376" s="97"/>
    </row>
    <row r="377" spans="1:22" ht="18" hidden="1" customHeight="1">
      <c r="A377" s="184"/>
      <c r="E377" s="244"/>
      <c r="G377" s="18"/>
      <c r="L377" s="14"/>
      <c r="M377" s="14"/>
      <c r="N377" s="28"/>
      <c r="O377" s="257"/>
      <c r="P377" s="14"/>
      <c r="Q377" s="14"/>
      <c r="R377" s="120"/>
      <c r="S377" s="28"/>
      <c r="T377" s="47"/>
      <c r="U377" s="14"/>
      <c r="V377" s="97"/>
    </row>
    <row r="378" spans="1:22" ht="18" hidden="1" customHeight="1">
      <c r="A378" s="184"/>
      <c r="E378" s="244"/>
      <c r="G378" s="18"/>
      <c r="L378" s="14"/>
      <c r="M378" s="14"/>
      <c r="N378" s="28"/>
      <c r="O378" s="257"/>
      <c r="P378" s="14"/>
      <c r="Q378" s="14"/>
      <c r="R378" s="120"/>
      <c r="S378" s="28"/>
      <c r="T378" s="47"/>
      <c r="U378" s="14"/>
      <c r="V378" s="97"/>
    </row>
    <row r="379" spans="1:22" ht="18" hidden="1" customHeight="1">
      <c r="A379" s="193"/>
      <c r="B379" s="14"/>
      <c r="C379" s="27"/>
      <c r="D379" s="218"/>
      <c r="E379" s="204"/>
      <c r="F379" s="14"/>
      <c r="G379" s="14"/>
      <c r="H379" s="14"/>
      <c r="I379" s="14"/>
      <c r="J379" s="120"/>
      <c r="K379" s="120"/>
      <c r="L379" s="14"/>
      <c r="M379" s="14"/>
      <c r="N379" s="28"/>
      <c r="O379" s="257"/>
      <c r="P379" s="14"/>
      <c r="Q379" s="14"/>
      <c r="R379" s="120"/>
      <c r="S379" s="28"/>
      <c r="T379" s="47"/>
      <c r="U379" s="14"/>
      <c r="V379" s="97"/>
    </row>
    <row r="380" spans="1:22" ht="18" hidden="1" customHeight="1">
      <c r="A380" s="193"/>
      <c r="B380" s="14"/>
      <c r="C380" s="27"/>
      <c r="D380" s="218"/>
      <c r="E380" s="204"/>
      <c r="F380" s="14"/>
      <c r="G380" s="14"/>
      <c r="H380" s="14"/>
      <c r="I380" s="14"/>
      <c r="J380" s="120"/>
      <c r="K380" s="120"/>
      <c r="L380" s="14"/>
      <c r="M380" s="14"/>
      <c r="N380" s="28"/>
      <c r="O380" s="257"/>
      <c r="P380" s="14"/>
      <c r="Q380" s="14"/>
      <c r="R380" s="120"/>
      <c r="S380" s="28"/>
      <c r="T380" s="47"/>
      <c r="U380" s="14"/>
      <c r="V380" s="97"/>
    </row>
    <row r="381" spans="1:22" ht="18" hidden="1" customHeight="1">
      <c r="A381" s="194"/>
      <c r="B381" s="195"/>
      <c r="C381" s="195"/>
      <c r="D381" s="195"/>
      <c r="E381" s="195"/>
      <c r="F381" s="195"/>
      <c r="G381" s="195"/>
      <c r="H381" s="195"/>
      <c r="I381" s="195"/>
      <c r="J381" s="195"/>
      <c r="K381" s="195"/>
      <c r="L381" s="195"/>
      <c r="M381" s="195"/>
      <c r="N381" s="195"/>
      <c r="O381" s="195"/>
      <c r="P381" s="195"/>
      <c r="Q381" s="224"/>
      <c r="R381" s="182"/>
      <c r="S381" s="225"/>
      <c r="T381" s="195"/>
      <c r="U381" s="195"/>
      <c r="V381" s="134"/>
    </row>
    <row r="382" spans="1:22" ht="18" customHeight="1">
      <c r="A382" s="226"/>
      <c r="B382" s="227"/>
      <c r="C382" s="227"/>
      <c r="D382" s="227"/>
      <c r="E382" s="227"/>
      <c r="F382" s="227"/>
      <c r="G382" s="227"/>
      <c r="H382" s="537"/>
      <c r="I382" s="227"/>
      <c r="J382" s="227"/>
      <c r="K382" s="227"/>
      <c r="L382" s="227"/>
      <c r="M382" s="227"/>
      <c r="N382" s="227"/>
      <c r="O382" s="227"/>
      <c r="P382" s="227"/>
      <c r="Q382" s="227"/>
      <c r="R382" s="227"/>
      <c r="S382" s="227"/>
      <c r="T382" s="227"/>
      <c r="U382" s="227"/>
      <c r="V382" s="228"/>
    </row>
    <row r="383" spans="1:22" ht="18" customHeight="1">
      <c r="A383" s="262" t="s">
        <v>880</v>
      </c>
      <c r="B383" s="14"/>
      <c r="C383" s="14"/>
      <c r="D383" s="120"/>
      <c r="E383" s="120"/>
      <c r="F383" s="18"/>
      <c r="G383" s="18"/>
      <c r="H383" s="14"/>
      <c r="I383" s="14"/>
      <c r="J383" s="14"/>
      <c r="K383" s="14"/>
      <c r="L383" s="14"/>
      <c r="M383" s="14"/>
      <c r="N383" s="14"/>
      <c r="O383" s="14"/>
      <c r="P383" s="28"/>
      <c r="Q383" s="120"/>
      <c r="R383" s="47"/>
      <c r="S383" s="206"/>
      <c r="T383" s="259"/>
      <c r="U383" s="14"/>
      <c r="V383" s="97"/>
    </row>
    <row r="384" spans="1:22" customFormat="1" ht="54.6" customHeight="1">
      <c r="A384" s="868" t="s">
        <v>85</v>
      </c>
      <c r="B384" s="868"/>
      <c r="C384" s="869"/>
      <c r="D384" s="868" t="s">
        <v>86</v>
      </c>
      <c r="E384" s="868"/>
      <c r="F384" s="868"/>
      <c r="G384" s="868" t="s">
        <v>87</v>
      </c>
      <c r="H384" s="868"/>
      <c r="I384" s="868" t="s">
        <v>88</v>
      </c>
      <c r="J384" s="868"/>
      <c r="K384" s="955" t="s">
        <v>89</v>
      </c>
      <c r="L384" s="957"/>
      <c r="M384" s="955" t="s">
        <v>90</v>
      </c>
      <c r="N384" s="957"/>
      <c r="O384" s="955" t="s">
        <v>91</v>
      </c>
      <c r="P384" s="957"/>
      <c r="Q384" s="955" t="s">
        <v>92</v>
      </c>
      <c r="R384" s="957"/>
      <c r="S384" s="868" t="s">
        <v>93</v>
      </c>
      <c r="T384" s="868"/>
      <c r="U384" s="868"/>
      <c r="V384" s="868"/>
    </row>
    <row r="385" spans="1:22" customFormat="1" ht="18" customHeight="1">
      <c r="A385" s="869" t="str">
        <f>B251</f>
        <v>CT7001</v>
      </c>
      <c r="B385" s="765" t="str">
        <f>D251</f>
        <v>Core2</v>
      </c>
      <c r="C385" s="765"/>
      <c r="D385" s="870">
        <f>H254</f>
        <v>4000</v>
      </c>
      <c r="E385" s="870"/>
      <c r="F385" s="871">
        <f>O254</f>
        <v>1</v>
      </c>
      <c r="G385" s="870">
        <f>'[8]CT-VT Burdens'!S20</f>
        <v>75</v>
      </c>
      <c r="H385" s="874">
        <f>'[8]CT-VT Burdens'!S11</f>
        <v>6</v>
      </c>
      <c r="I385" s="874" t="str">
        <f>L255</f>
        <v>PX</v>
      </c>
      <c r="J385" s="874"/>
      <c r="K385" s="869">
        <f>H12</f>
        <v>14</v>
      </c>
      <c r="L385" s="869"/>
      <c r="M385" s="869">
        <f>H13</f>
        <v>4000</v>
      </c>
      <c r="N385" s="869"/>
      <c r="O385" s="870">
        <f>H14</f>
        <v>25</v>
      </c>
      <c r="P385" s="870"/>
      <c r="Q385" s="879" t="str">
        <f>IF(T8="",T7,IF(T9="",T7&amp;"+"&amp;T8,T7&amp;"+"&amp;T8&amp;"+"&amp;T9))</f>
        <v>P545</v>
      </c>
      <c r="R385" s="879"/>
      <c r="S385" s="878" t="str">
        <f>G122</f>
        <v>Suitably Dimensioned</v>
      </c>
      <c r="T385" s="878"/>
      <c r="U385" s="878"/>
      <c r="V385" s="878"/>
    </row>
    <row r="386" spans="1:22" customFormat="1" ht="18" customHeight="1">
      <c r="A386" s="869"/>
      <c r="B386" s="765"/>
      <c r="C386" s="765"/>
      <c r="D386" s="870">
        <f>J254</f>
        <v>3000</v>
      </c>
      <c r="E386" s="870"/>
      <c r="F386" s="872"/>
      <c r="G386" s="870"/>
      <c r="H386" s="870"/>
      <c r="I386" s="874"/>
      <c r="J386" s="874"/>
      <c r="K386" s="869">
        <f>J133</f>
        <v>10</v>
      </c>
      <c r="L386" s="869"/>
      <c r="M386" s="869">
        <f>J134</f>
        <v>3000</v>
      </c>
      <c r="N386" s="869"/>
      <c r="O386" s="870">
        <f>J135</f>
        <v>30</v>
      </c>
      <c r="P386" s="870"/>
      <c r="Q386" s="879"/>
      <c r="R386" s="879"/>
      <c r="S386" s="878" t="str">
        <f>G242</f>
        <v>Suitably Dimensioned</v>
      </c>
      <c r="T386" s="878"/>
      <c r="U386" s="878"/>
      <c r="V386" s="878"/>
    </row>
    <row r="387" spans="1:22" customFormat="1" ht="18" customHeight="1">
      <c r="A387" s="869"/>
      <c r="B387" s="765"/>
      <c r="C387" s="765"/>
      <c r="D387" s="870" t="str">
        <f>L254</f>
        <v>-</v>
      </c>
      <c r="E387" s="870"/>
      <c r="F387" s="873"/>
      <c r="G387" s="870"/>
      <c r="H387" s="870"/>
      <c r="I387" s="874"/>
      <c r="J387" s="874"/>
      <c r="K387" s="869" t="str">
        <f>L256</f>
        <v>-</v>
      </c>
      <c r="L387" s="869"/>
      <c r="M387" s="869" t="str">
        <f>L257</f>
        <v>-</v>
      </c>
      <c r="N387" s="869"/>
      <c r="O387" s="870" t="str">
        <f>L258</f>
        <v>-</v>
      </c>
      <c r="P387" s="870"/>
      <c r="Q387" s="879"/>
      <c r="R387" s="879"/>
      <c r="S387" s="878"/>
      <c r="T387" s="878"/>
      <c r="U387" s="878"/>
      <c r="V387" s="878"/>
    </row>
    <row r="388" spans="1:22" customFormat="1" ht="18" customHeight="1">
      <c r="A388" s="869" t="str">
        <f>B8</f>
        <v>CT7004</v>
      </c>
      <c r="B388" s="765" t="str">
        <f>D8</f>
        <v>Core5</v>
      </c>
      <c r="C388" s="765"/>
      <c r="D388" s="870">
        <f>D385</f>
        <v>4000</v>
      </c>
      <c r="E388" s="870"/>
      <c r="F388" s="871">
        <f>F385</f>
        <v>1</v>
      </c>
      <c r="G388" s="870">
        <f>G385</f>
        <v>75</v>
      </c>
      <c r="H388" s="874">
        <f>H385</f>
        <v>6</v>
      </c>
      <c r="I388" s="874" t="str">
        <f>I385</f>
        <v>PX</v>
      </c>
      <c r="J388" s="874"/>
      <c r="K388" s="869">
        <f>K385</f>
        <v>14</v>
      </c>
      <c r="L388" s="869"/>
      <c r="M388" s="869">
        <f>M385</f>
        <v>4000</v>
      </c>
      <c r="N388" s="869"/>
      <c r="O388" s="870">
        <f>O385</f>
        <v>25</v>
      </c>
      <c r="P388" s="870"/>
      <c r="Q388" s="879" t="str">
        <f>Q385</f>
        <v>P545</v>
      </c>
      <c r="R388" s="879"/>
      <c r="S388" s="878" t="str">
        <f>S385</f>
        <v>Suitably Dimensioned</v>
      </c>
      <c r="T388" s="878"/>
      <c r="U388" s="878"/>
      <c r="V388" s="878"/>
    </row>
    <row r="389" spans="1:22" customFormat="1" ht="18" customHeight="1">
      <c r="A389" s="869"/>
      <c r="B389" s="765"/>
      <c r="C389" s="765"/>
      <c r="D389" s="870">
        <f>D386</f>
        <v>3000</v>
      </c>
      <c r="E389" s="870"/>
      <c r="F389" s="872"/>
      <c r="G389" s="870"/>
      <c r="H389" s="870"/>
      <c r="I389" s="874"/>
      <c r="J389" s="874"/>
      <c r="K389" s="869">
        <f>K386</f>
        <v>10</v>
      </c>
      <c r="L389" s="869"/>
      <c r="M389" s="869">
        <f>M386</f>
        <v>3000</v>
      </c>
      <c r="N389" s="869"/>
      <c r="O389" s="870">
        <f>O386</f>
        <v>30</v>
      </c>
      <c r="P389" s="870"/>
      <c r="Q389" s="879"/>
      <c r="R389" s="879"/>
      <c r="S389" s="878" t="str">
        <f>S386</f>
        <v>Suitably Dimensioned</v>
      </c>
      <c r="T389" s="878"/>
      <c r="U389" s="878"/>
      <c r="V389" s="878"/>
    </row>
    <row r="390" spans="1:22" customFormat="1" ht="18" customHeight="1">
      <c r="A390" s="869"/>
      <c r="B390" s="765"/>
      <c r="C390" s="765"/>
      <c r="D390" s="870" t="str">
        <f>D387</f>
        <v>-</v>
      </c>
      <c r="E390" s="870"/>
      <c r="F390" s="873"/>
      <c r="G390" s="870"/>
      <c r="H390" s="870"/>
      <c r="I390" s="874"/>
      <c r="J390" s="874"/>
      <c r="K390" s="869" t="str">
        <f>K387</f>
        <v>-</v>
      </c>
      <c r="L390" s="869"/>
      <c r="M390" s="869" t="str">
        <f>M387</f>
        <v>-</v>
      </c>
      <c r="N390" s="869"/>
      <c r="O390" s="870" t="str">
        <f>O387</f>
        <v>-</v>
      </c>
      <c r="P390" s="870"/>
      <c r="Q390" s="879"/>
      <c r="R390" s="879"/>
      <c r="S390" s="878">
        <f>S387</f>
        <v>0</v>
      </c>
      <c r="T390" s="878"/>
      <c r="U390" s="878"/>
      <c r="V390" s="878"/>
    </row>
    <row r="391" spans="1:22" ht="18" customHeight="1">
      <c r="A391" s="184"/>
      <c r="H391" s="18"/>
      <c r="V391" s="185"/>
    </row>
    <row r="392" spans="1:22" ht="18" customHeight="1">
      <c r="A392" s="184"/>
      <c r="H392" s="18"/>
      <c r="V392" s="185"/>
    </row>
    <row r="393" spans="1:22" ht="18" customHeight="1">
      <c r="A393" s="184"/>
      <c r="H393" s="18"/>
      <c r="V393" s="185"/>
    </row>
    <row r="394" spans="1:22" ht="18" customHeight="1">
      <c r="A394" s="184"/>
      <c r="H394" s="18"/>
      <c r="V394" s="185"/>
    </row>
    <row r="395" spans="1:22" ht="18" customHeight="1">
      <c r="A395" s="184"/>
      <c r="H395" s="18"/>
      <c r="V395" s="185"/>
    </row>
    <row r="396" spans="1:22" ht="18" customHeight="1">
      <c r="A396" s="184"/>
      <c r="H396" s="18"/>
      <c r="V396" s="185"/>
    </row>
    <row r="397" spans="1:22" ht="18" customHeight="1">
      <c r="A397" s="184"/>
      <c r="H397" s="18"/>
      <c r="V397" s="185"/>
    </row>
    <row r="398" spans="1:22" ht="18" customHeight="1">
      <c r="A398" s="184"/>
      <c r="H398" s="18"/>
      <c r="V398" s="185"/>
    </row>
    <row r="399" spans="1:22" ht="18" customHeight="1">
      <c r="A399" s="184"/>
      <c r="H399" s="18"/>
      <c r="V399" s="185"/>
    </row>
    <row r="400" spans="1:22" ht="18" customHeight="1">
      <c r="A400" s="184"/>
      <c r="H400" s="18"/>
      <c r="V400" s="185"/>
    </row>
    <row r="401" spans="1:22" ht="18" customHeight="1">
      <c r="A401" s="184"/>
      <c r="H401" s="18"/>
      <c r="V401" s="185"/>
    </row>
    <row r="402" spans="1:22" ht="18" customHeight="1">
      <c r="A402" s="184"/>
      <c r="H402" s="18"/>
      <c r="V402" s="185"/>
    </row>
    <row r="403" spans="1:22" ht="18" customHeight="1">
      <c r="A403" s="184"/>
      <c r="H403" s="18"/>
      <c r="V403" s="185"/>
    </row>
    <row r="404" spans="1:22" ht="18" customHeight="1">
      <c r="A404" s="184"/>
      <c r="H404" s="18"/>
      <c r="V404" s="185"/>
    </row>
    <row r="405" spans="1:22" ht="18" customHeight="1">
      <c r="A405" s="184"/>
      <c r="H405" s="18"/>
      <c r="V405" s="185"/>
    </row>
    <row r="406" spans="1:22" ht="18" customHeight="1">
      <c r="A406" s="184"/>
      <c r="H406" s="18"/>
      <c r="V406" s="185"/>
    </row>
    <row r="407" spans="1:22" ht="18" customHeight="1">
      <c r="A407" s="184"/>
      <c r="H407" s="18"/>
      <c r="V407" s="185"/>
    </row>
    <row r="408" spans="1:22" ht="18" customHeight="1">
      <c r="A408" s="184"/>
      <c r="H408" s="18"/>
      <c r="V408" s="185"/>
    </row>
    <row r="409" spans="1:22" ht="18" customHeight="1">
      <c r="A409" s="184"/>
      <c r="H409" s="18"/>
      <c r="V409" s="185"/>
    </row>
    <row r="410" spans="1:22" ht="18" customHeight="1">
      <c r="A410" s="184"/>
      <c r="H410" s="18"/>
      <c r="V410" s="185"/>
    </row>
    <row r="411" spans="1:22" ht="18" customHeight="1">
      <c r="A411" s="184"/>
      <c r="H411" s="18"/>
      <c r="V411" s="185"/>
    </row>
    <row r="412" spans="1:22" ht="18" customHeight="1">
      <c r="A412" s="184"/>
      <c r="H412" s="18"/>
      <c r="V412" s="185"/>
    </row>
    <row r="413" spans="1:22" ht="18" customHeight="1">
      <c r="A413" s="184"/>
      <c r="H413" s="18"/>
      <c r="V413" s="185"/>
    </row>
    <row r="414" spans="1:22" ht="18" customHeight="1">
      <c r="A414" s="184"/>
      <c r="H414" s="18"/>
      <c r="V414" s="185"/>
    </row>
    <row r="415" spans="1:22" ht="18" customHeight="1">
      <c r="A415" s="184"/>
      <c r="H415" s="18"/>
      <c r="V415" s="185"/>
    </row>
    <row r="416" spans="1:22" ht="18" customHeight="1">
      <c r="A416" s="184"/>
      <c r="H416" s="18"/>
      <c r="V416" s="185"/>
    </row>
    <row r="417" spans="1:22" ht="18" customHeight="1">
      <c r="A417" s="184"/>
      <c r="H417" s="18"/>
      <c r="V417" s="185"/>
    </row>
    <row r="418" spans="1:22" ht="18" customHeight="1">
      <c r="A418" s="184"/>
      <c r="V418" s="185"/>
    </row>
    <row r="419" spans="1:22" ht="18" customHeight="1">
      <c r="A419" s="194"/>
      <c r="B419" s="195"/>
      <c r="C419" s="195"/>
      <c r="D419" s="195"/>
      <c r="E419" s="195"/>
      <c r="F419" s="195"/>
      <c r="G419" s="195"/>
      <c r="H419" s="195"/>
      <c r="I419" s="195"/>
      <c r="J419" s="195"/>
      <c r="K419" s="195"/>
      <c r="L419" s="195"/>
      <c r="M419" s="195"/>
      <c r="N419" s="195"/>
      <c r="O419" s="195"/>
      <c r="P419" s="195"/>
      <c r="Q419" s="224"/>
      <c r="R419" s="182"/>
      <c r="S419" s="225"/>
      <c r="T419" s="195"/>
      <c r="U419" s="195"/>
      <c r="V419" s="134"/>
    </row>
  </sheetData>
  <dataConsolidate/>
  <mergeCells count="331">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AB13:AC13"/>
    <mergeCell ref="H14:I14"/>
    <mergeCell ref="J18:K18"/>
    <mergeCell ref="H9:I9"/>
    <mergeCell ref="J9:K9"/>
    <mergeCell ref="L9:M9"/>
    <mergeCell ref="T9:U9"/>
    <mergeCell ref="H10:I10"/>
    <mergeCell ref="J10:K10"/>
    <mergeCell ref="L10:M10"/>
    <mergeCell ref="R3:V3"/>
    <mergeCell ref="J19:K19"/>
    <mergeCell ref="J20:K20"/>
    <mergeCell ref="J21:K21"/>
    <mergeCell ref="J22:K22"/>
    <mergeCell ref="D27:E27"/>
    <mergeCell ref="O27:P27"/>
    <mergeCell ref="H11:I11"/>
    <mergeCell ref="H12:I12"/>
    <mergeCell ref="H13:I13"/>
    <mergeCell ref="D39:E39"/>
    <mergeCell ref="J41:K41"/>
    <mergeCell ref="J48:K48"/>
    <mergeCell ref="B51:V51"/>
    <mergeCell ref="D52:E52"/>
    <mergeCell ref="J54:K54"/>
    <mergeCell ref="M29:N29"/>
    <mergeCell ref="P29:Q29"/>
    <mergeCell ref="S29:T29"/>
    <mergeCell ref="A35:V36"/>
    <mergeCell ref="A37:A38"/>
    <mergeCell ref="B37:V38"/>
    <mergeCell ref="B70:C70"/>
    <mergeCell ref="B71:C71"/>
    <mergeCell ref="D72:E72"/>
    <mergeCell ref="I72:J72"/>
    <mergeCell ref="T72:U72"/>
    <mergeCell ref="J57:K57"/>
    <mergeCell ref="T60:U60"/>
    <mergeCell ref="T61:U61"/>
    <mergeCell ref="T62:U62"/>
    <mergeCell ref="T63:U63"/>
    <mergeCell ref="T64:U64"/>
    <mergeCell ref="I75:J75"/>
    <mergeCell ref="R75:S75"/>
    <mergeCell ref="I76:J76"/>
    <mergeCell ref="E77:F77"/>
    <mergeCell ref="H80:I80"/>
    <mergeCell ref="H81:I81"/>
    <mergeCell ref="T65:U65"/>
    <mergeCell ref="T66:U66"/>
    <mergeCell ref="T67:U67"/>
    <mergeCell ref="H96:I96"/>
    <mergeCell ref="H98:I98"/>
    <mergeCell ref="K98:L98"/>
    <mergeCell ref="G100:H100"/>
    <mergeCell ref="G101:H101"/>
    <mergeCell ref="T101:U101"/>
    <mergeCell ref="C82:D82"/>
    <mergeCell ref="I82:J82"/>
    <mergeCell ref="O82:P82"/>
    <mergeCell ref="T82:U82"/>
    <mergeCell ref="F91:G91"/>
    <mergeCell ref="A95:V95"/>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A155:V156"/>
    <mergeCell ref="A157:A158"/>
    <mergeCell ref="B157:V158"/>
    <mergeCell ref="D159:E159"/>
    <mergeCell ref="J161:K161"/>
    <mergeCell ref="J164:K164"/>
    <mergeCell ref="J143:K143"/>
    <mergeCell ref="D148:E148"/>
    <mergeCell ref="O148:P148"/>
    <mergeCell ref="M149:N149"/>
    <mergeCell ref="P149:Q149"/>
    <mergeCell ref="S149:T149"/>
    <mergeCell ref="T180:U180"/>
    <mergeCell ref="T181:U181"/>
    <mergeCell ref="T182:U182"/>
    <mergeCell ref="T183:U183"/>
    <mergeCell ref="T184:U184"/>
    <mergeCell ref="T185:U185"/>
    <mergeCell ref="A169:A170"/>
    <mergeCell ref="B169:V170"/>
    <mergeCell ref="D171:E171"/>
    <mergeCell ref="J173:K173"/>
    <mergeCell ref="J176:K176"/>
    <mergeCell ref="T179:U179"/>
    <mergeCell ref="I194:J194"/>
    <mergeCell ref="R194:S194"/>
    <mergeCell ref="I195:J195"/>
    <mergeCell ref="E196:F196"/>
    <mergeCell ref="H199:I199"/>
    <mergeCell ref="H200:I200"/>
    <mergeCell ref="T186:U186"/>
    <mergeCell ref="B189:C189"/>
    <mergeCell ref="B190:C190"/>
    <mergeCell ref="D191:E191"/>
    <mergeCell ref="I191:J191"/>
    <mergeCell ref="T191:U191"/>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E234:F234"/>
    <mergeCell ref="H234:I234"/>
    <mergeCell ref="E235:F235"/>
    <mergeCell ref="H235:I235"/>
    <mergeCell ref="E236:F236"/>
    <mergeCell ref="M238:N238"/>
    <mergeCell ref="H225:I225"/>
    <mergeCell ref="E229:F229"/>
    <mergeCell ref="H229:I229"/>
    <mergeCell ref="D231:E231"/>
    <mergeCell ref="D232:E232"/>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D283:E283"/>
    <mergeCell ref="J285:K285"/>
    <mergeCell ref="J295:K295"/>
    <mergeCell ref="A298:A299"/>
    <mergeCell ref="B298:V299"/>
    <mergeCell ref="D300:E300"/>
    <mergeCell ref="J266:K266"/>
    <mergeCell ref="D271:E271"/>
    <mergeCell ref="O271:P271"/>
    <mergeCell ref="A279:V280"/>
    <mergeCell ref="A281:A282"/>
    <mergeCell ref="B281:V282"/>
    <mergeCell ref="T312:U312"/>
    <mergeCell ref="T313:U313"/>
    <mergeCell ref="T314:U314"/>
    <mergeCell ref="T315:U315"/>
    <mergeCell ref="B318:C318"/>
    <mergeCell ref="B319:C319"/>
    <mergeCell ref="J302:K302"/>
    <mergeCell ref="J305:K305"/>
    <mergeCell ref="T308:U308"/>
    <mergeCell ref="T309:U309"/>
    <mergeCell ref="T310:U310"/>
    <mergeCell ref="T311:U311"/>
    <mergeCell ref="C330:D330"/>
    <mergeCell ref="I330:J330"/>
    <mergeCell ref="O330:P330"/>
    <mergeCell ref="D320:E320"/>
    <mergeCell ref="I320:J320"/>
    <mergeCell ref="T320:U320"/>
    <mergeCell ref="I323:J323"/>
    <mergeCell ref="R323:S323"/>
    <mergeCell ref="I324:J324"/>
    <mergeCell ref="T330:U330"/>
    <mergeCell ref="F343:G343"/>
    <mergeCell ref="H347:I347"/>
    <mergeCell ref="K347:L347"/>
    <mergeCell ref="G349:H349"/>
    <mergeCell ref="G350:H350"/>
    <mergeCell ref="T350:U350"/>
    <mergeCell ref="E325:F325"/>
    <mergeCell ref="H328:I328"/>
    <mergeCell ref="H329:I329"/>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E365:F365"/>
    <mergeCell ref="M367:N367"/>
    <mergeCell ref="D372:E372"/>
    <mergeCell ref="G372:H372"/>
    <mergeCell ref="A384:C384"/>
    <mergeCell ref="D384:F384"/>
    <mergeCell ref="G384:H384"/>
    <mergeCell ref="I384:J384"/>
    <mergeCell ref="K384:L384"/>
    <mergeCell ref="M384:N384"/>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10"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920" t="s">
        <v>0</v>
      </c>
      <c r="B1" s="921"/>
      <c r="C1" s="921"/>
      <c r="D1" s="921"/>
      <c r="E1" s="921"/>
      <c r="F1" s="921"/>
      <c r="G1" s="922"/>
      <c r="H1" s="906" t="str">
        <f>Title!H1</f>
        <v>CT / VT</v>
      </c>
      <c r="I1" s="929"/>
      <c r="J1" s="929"/>
      <c r="K1" s="929"/>
      <c r="L1" s="929"/>
      <c r="M1" s="929"/>
      <c r="N1" s="930"/>
      <c r="O1" s="885" t="str">
        <f>Title!O1</f>
        <v>Contract No.</v>
      </c>
      <c r="P1" s="886"/>
      <c r="Q1" s="887"/>
      <c r="R1" s="775" t="str">
        <f>Title!R1</f>
        <v>N-19957.2-DF4W</v>
      </c>
      <c r="S1" s="1068"/>
      <c r="T1" s="1068"/>
      <c r="U1" s="1068"/>
      <c r="V1" s="776"/>
      <c r="W1" s="14"/>
      <c r="X1" s="14"/>
    </row>
    <row r="2" spans="1:24" ht="18" customHeight="1">
      <c r="A2" s="923"/>
      <c r="B2" s="924"/>
      <c r="C2" s="924"/>
      <c r="D2" s="924"/>
      <c r="E2" s="924"/>
      <c r="F2" s="924"/>
      <c r="G2" s="925"/>
      <c r="H2" s="909" t="str">
        <f>Title!H2</f>
        <v>ADEQUACY CHECK</v>
      </c>
      <c r="I2" s="934"/>
      <c r="J2" s="934"/>
      <c r="K2" s="934"/>
      <c r="L2" s="934"/>
      <c r="M2" s="934"/>
      <c r="N2" s="935"/>
      <c r="O2" s="885" t="str">
        <f>Title!O2</f>
        <v>Date</v>
      </c>
      <c r="P2" s="886"/>
      <c r="Q2" s="887"/>
      <c r="R2" s="1069">
        <f>Title!R2</f>
        <v>46134</v>
      </c>
      <c r="S2" s="1068"/>
      <c r="T2" s="1068"/>
      <c r="U2" s="1068"/>
      <c r="V2" s="776"/>
      <c r="W2" s="14"/>
      <c r="X2" s="14"/>
    </row>
    <row r="3" spans="1:24" ht="18" customHeight="1">
      <c r="A3" s="923"/>
      <c r="B3" s="924"/>
      <c r="C3" s="924"/>
      <c r="D3" s="924"/>
      <c r="E3" s="924"/>
      <c r="F3" s="924"/>
      <c r="G3" s="925"/>
      <c r="H3" s="1083" t="str">
        <f>Title!H3</f>
        <v xml:space="preserve">132/33kV SUBSTATION DF4W    AT AL DHAFRA AREA </v>
      </c>
      <c r="I3" s="1084"/>
      <c r="J3" s="1084"/>
      <c r="K3" s="1084"/>
      <c r="L3" s="1084"/>
      <c r="M3" s="1084"/>
      <c r="N3" s="1085"/>
      <c r="O3" s="885" t="str">
        <f>Title!O3</f>
        <v>Document No.</v>
      </c>
      <c r="P3" s="886"/>
      <c r="Q3" s="887"/>
      <c r="R3" s="775" t="str">
        <f>Title!R3</f>
        <v>-</v>
      </c>
      <c r="S3" s="1068"/>
      <c r="T3" s="1068"/>
      <c r="U3" s="1068"/>
      <c r="V3" s="776"/>
      <c r="W3" s="14"/>
      <c r="X3" s="14"/>
    </row>
    <row r="4" spans="1:24" ht="18" customHeight="1">
      <c r="A4" s="926"/>
      <c r="B4" s="927"/>
      <c r="C4" s="927"/>
      <c r="D4" s="927"/>
      <c r="E4" s="927"/>
      <c r="F4" s="927"/>
      <c r="G4" s="928"/>
      <c r="H4" s="1086"/>
      <c r="I4" s="1087"/>
      <c r="J4" s="1087"/>
      <c r="K4" s="1087"/>
      <c r="L4" s="1087"/>
      <c r="M4" s="1087"/>
      <c r="N4" s="1088"/>
      <c r="O4" s="885" t="str">
        <f>Title!O4</f>
        <v>Revision No.</v>
      </c>
      <c r="P4" s="886"/>
      <c r="Q4" s="887"/>
      <c r="R4" s="775" t="str">
        <f>Title!R4</f>
        <v>A</v>
      </c>
      <c r="S4" s="1068"/>
      <c r="T4" s="1068"/>
      <c r="U4" s="1068"/>
      <c r="V4" s="776"/>
      <c r="W4" s="14"/>
      <c r="X4" s="14"/>
    </row>
    <row r="5" spans="1:24" ht="18" customHeight="1">
      <c r="A5" s="880" t="str">
        <f>Title!A5</f>
        <v>Prep. By</v>
      </c>
      <c r="B5" s="943"/>
      <c r="C5" s="25" t="str">
        <f>Title!C5</f>
        <v>AP</v>
      </c>
      <c r="D5" s="880" t="str">
        <f>Title!D5</f>
        <v>Checked By</v>
      </c>
      <c r="E5" s="881"/>
      <c r="F5" s="943"/>
      <c r="G5" s="25" t="str">
        <f>Title!G5</f>
        <v>RB</v>
      </c>
      <c r="H5" s="944" t="s">
        <v>384</v>
      </c>
      <c r="I5" s="945"/>
      <c r="J5" s="945"/>
      <c r="K5" s="945"/>
      <c r="L5" s="945"/>
      <c r="M5" s="945"/>
      <c r="N5" s="946"/>
      <c r="O5" s="947" t="str">
        <f>Title!O5</f>
        <v>Contractor</v>
      </c>
      <c r="P5" s="948"/>
      <c r="Q5" s="949"/>
      <c r="R5" s="775" t="str">
        <f>Title!R5</f>
        <v>HITACHI</v>
      </c>
      <c r="S5" s="1068"/>
      <c r="T5" s="1068"/>
      <c r="U5" s="1068"/>
      <c r="V5" s="776"/>
      <c r="W5" s="14"/>
      <c r="X5" s="14"/>
    </row>
    <row r="6" spans="1:24" ht="18" customHeight="1">
      <c r="A6" s="184"/>
      <c r="V6" s="185"/>
    </row>
    <row r="7" spans="1:24" ht="18" customHeight="1">
      <c r="A7" s="184"/>
      <c r="B7" s="1075" t="s">
        <v>534</v>
      </c>
      <c r="C7" s="1076"/>
      <c r="D7" s="1092" t="s">
        <v>385</v>
      </c>
      <c r="E7" s="1093"/>
      <c r="F7" s="455"/>
      <c r="H7" s="684" t="s">
        <v>535</v>
      </c>
      <c r="I7" s="684"/>
      <c r="J7" s="684"/>
      <c r="K7" s="684"/>
      <c r="L7" s="684"/>
      <c r="M7" s="684"/>
      <c r="P7" s="186"/>
      <c r="S7" s="187" t="s">
        <v>387</v>
      </c>
      <c r="T7" s="1075"/>
      <c r="U7" s="1076"/>
      <c r="V7" s="185"/>
    </row>
    <row r="8" spans="1:24" ht="18" customHeight="1">
      <c r="A8" s="456"/>
      <c r="F8" s="455"/>
      <c r="T8" s="1075"/>
      <c r="U8" s="1076"/>
      <c r="V8" s="185"/>
    </row>
    <row r="9" spans="1:24" ht="18" customHeight="1">
      <c r="A9" s="184"/>
      <c r="H9" s="789" t="s">
        <v>390</v>
      </c>
      <c r="I9" s="789"/>
      <c r="J9" s="790" t="s">
        <v>391</v>
      </c>
      <c r="K9" s="790"/>
      <c r="L9" s="790" t="s">
        <v>392</v>
      </c>
      <c r="M9" s="790"/>
      <c r="T9" s="1075"/>
      <c r="U9" s="1076"/>
      <c r="V9" s="185"/>
    </row>
    <row r="10" spans="1:24" ht="18" customHeight="1">
      <c r="A10" s="184"/>
      <c r="B10" s="47" t="s">
        <v>393</v>
      </c>
      <c r="H10" s="1090">
        <v>800</v>
      </c>
      <c r="I10" s="1091"/>
      <c r="J10" s="1075">
        <v>2000</v>
      </c>
      <c r="K10" s="1076"/>
      <c r="L10" s="1075">
        <v>1000</v>
      </c>
      <c r="M10" s="1076"/>
      <c r="N10" s="191" t="s">
        <v>342</v>
      </c>
      <c r="O10" s="501">
        <v>1</v>
      </c>
      <c r="P10" s="27" t="s">
        <v>8</v>
      </c>
      <c r="R10" s="255"/>
      <c r="S10" s="255"/>
      <c r="V10" s="185"/>
    </row>
    <row r="11" spans="1:24" ht="18" customHeight="1">
      <c r="A11" s="184"/>
      <c r="B11" s="47" t="s">
        <v>394</v>
      </c>
      <c r="H11" s="1075" t="s">
        <v>395</v>
      </c>
      <c r="I11" s="1076"/>
      <c r="V11" s="185"/>
    </row>
    <row r="12" spans="1:24" ht="18" customHeight="1">
      <c r="A12" s="184"/>
      <c r="B12" s="47" t="s">
        <v>396</v>
      </c>
      <c r="G12" s="120" t="s">
        <v>497</v>
      </c>
      <c r="H12" s="1075">
        <v>2.8</v>
      </c>
      <c r="I12" s="1076"/>
      <c r="J12" s="192" t="s">
        <v>333</v>
      </c>
      <c r="V12" s="185"/>
    </row>
    <row r="13" spans="1:24" ht="18" customHeight="1">
      <c r="A13" s="184"/>
      <c r="B13" s="47" t="s">
        <v>398</v>
      </c>
      <c r="G13" s="120" t="s">
        <v>498</v>
      </c>
      <c r="H13" s="1075">
        <v>326</v>
      </c>
      <c r="I13" s="1076"/>
      <c r="J13" s="14" t="s">
        <v>305</v>
      </c>
      <c r="T13" s="295"/>
      <c r="U13" s="18"/>
      <c r="V13" s="185"/>
      <c r="W13" s="30" t="str">
        <f>G56</f>
        <v>Suitably Dimentioned</v>
      </c>
    </row>
    <row r="14" spans="1:24" ht="18" customHeight="1">
      <c r="A14" s="184"/>
      <c r="B14" s="14" t="s">
        <v>401</v>
      </c>
      <c r="G14" s="120" t="s">
        <v>402</v>
      </c>
      <c r="H14" s="1075">
        <v>40</v>
      </c>
      <c r="I14" s="1076"/>
      <c r="J14" s="14" t="s">
        <v>403</v>
      </c>
      <c r="V14" s="185"/>
    </row>
    <row r="15" spans="1:24" ht="18" customHeight="1">
      <c r="A15" s="184"/>
      <c r="V15" s="185"/>
    </row>
    <row r="16" spans="1:24" ht="18" customHeight="1">
      <c r="A16" s="193" t="s">
        <v>404</v>
      </c>
      <c r="V16" s="185"/>
    </row>
    <row r="17" spans="1:22" ht="18" customHeight="1">
      <c r="A17" s="184"/>
      <c r="V17" s="185"/>
    </row>
    <row r="18" spans="1:22" ht="18" customHeight="1">
      <c r="A18" s="184"/>
      <c r="B18" s="135" t="s">
        <v>405</v>
      </c>
      <c r="C18" s="273"/>
      <c r="D18" s="139">
        <f>T7</f>
        <v>0</v>
      </c>
      <c r="E18" s="227"/>
      <c r="F18" s="227"/>
      <c r="G18" s="227"/>
      <c r="H18" s="138"/>
      <c r="I18" s="260" t="s">
        <v>127</v>
      </c>
      <c r="J18" s="1077"/>
      <c r="K18" s="1078"/>
      <c r="L18" s="3" t="s">
        <v>157</v>
      </c>
      <c r="N18" s="197" t="s">
        <v>510</v>
      </c>
      <c r="V18" s="185"/>
    </row>
    <row r="19" spans="1:22" ht="18" customHeight="1">
      <c r="A19" s="184"/>
      <c r="B19" s="96" t="s">
        <v>405</v>
      </c>
      <c r="C19" s="14"/>
      <c r="D19" s="47">
        <f>T8</f>
        <v>0</v>
      </c>
      <c r="H19" s="28"/>
      <c r="I19" s="101" t="s">
        <v>127</v>
      </c>
      <c r="J19" s="1077"/>
      <c r="K19" s="1078"/>
      <c r="L19" s="3" t="s">
        <v>157</v>
      </c>
      <c r="N19" s="120" t="s">
        <v>491</v>
      </c>
      <c r="O19" s="27" t="s">
        <v>127</v>
      </c>
      <c r="P19" s="27" t="s">
        <v>511</v>
      </c>
      <c r="Q19" s="27" t="s">
        <v>315</v>
      </c>
      <c r="R19" s="27" t="s">
        <v>511</v>
      </c>
      <c r="S19" s="27" t="s">
        <v>315</v>
      </c>
      <c r="T19" s="27" t="s">
        <v>420</v>
      </c>
      <c r="V19" s="185"/>
    </row>
    <row r="20" spans="1:22" ht="18" customHeight="1">
      <c r="A20" s="184"/>
      <c r="B20" s="96" t="s">
        <v>405</v>
      </c>
      <c r="C20" s="14"/>
      <c r="D20" s="47">
        <f>T9</f>
        <v>0</v>
      </c>
      <c r="H20" s="28"/>
      <c r="I20" s="101" t="s">
        <v>127</v>
      </c>
      <c r="J20" s="1077"/>
      <c r="K20" s="1078"/>
      <c r="L20" s="3" t="s">
        <v>157</v>
      </c>
      <c r="N20" s="27"/>
      <c r="O20" s="27" t="s">
        <v>127</v>
      </c>
      <c r="P20" s="27">
        <f>O10</f>
        <v>1</v>
      </c>
      <c r="Q20" s="27" t="s">
        <v>315</v>
      </c>
      <c r="R20" s="27">
        <f>O10</f>
        <v>1</v>
      </c>
      <c r="S20" s="27" t="s">
        <v>315</v>
      </c>
      <c r="T20" s="27">
        <f>H12</f>
        <v>2.8</v>
      </c>
      <c r="V20" s="185"/>
    </row>
    <row r="21" spans="1:22" ht="18" customHeight="1">
      <c r="A21" s="184"/>
      <c r="B21" s="452" t="s">
        <v>412</v>
      </c>
      <c r="C21" s="259"/>
      <c r="D21" s="259"/>
      <c r="E21" s="259"/>
      <c r="F21" s="207"/>
      <c r="G21" s="207"/>
      <c r="H21" s="190"/>
      <c r="I21" s="208" t="s">
        <v>127</v>
      </c>
      <c r="J21" s="1081">
        <f>'[9]CT-VT Burdens'!S22</f>
        <v>0.23593310000000001</v>
      </c>
      <c r="K21" s="1082"/>
      <c r="L21" s="297" t="s">
        <v>157</v>
      </c>
      <c r="O21" s="27" t="s">
        <v>127</v>
      </c>
      <c r="P21" s="795">
        <f>P20*R20*T20</f>
        <v>2.8</v>
      </c>
      <c r="Q21" s="684"/>
      <c r="R21" s="27" t="s">
        <v>157</v>
      </c>
      <c r="V21" s="185"/>
    </row>
    <row r="22" spans="1:22" ht="18" customHeight="1">
      <c r="A22" s="184"/>
      <c r="B22" s="1" t="s">
        <v>413</v>
      </c>
      <c r="C22" s="2"/>
      <c r="D22" s="2"/>
      <c r="E22" s="2"/>
      <c r="F22" s="196"/>
      <c r="G22" s="196"/>
      <c r="H22" s="224" t="s">
        <v>512</v>
      </c>
      <c r="I22" s="183" t="s">
        <v>127</v>
      </c>
      <c r="J22" s="722">
        <f>SUM(J18:J21)</f>
        <v>0.23593310000000001</v>
      </c>
      <c r="K22" s="958"/>
      <c r="L22" s="3" t="s">
        <v>157</v>
      </c>
      <c r="V22" s="185"/>
    </row>
    <row r="23" spans="1:22" ht="18" customHeight="1">
      <c r="A23" s="184"/>
      <c r="B23" s="47"/>
      <c r="C23" s="47"/>
      <c r="D23" s="47"/>
      <c r="E23" s="47"/>
      <c r="H23" s="27"/>
      <c r="I23" s="28"/>
      <c r="J23" s="199"/>
      <c r="L23" s="47"/>
      <c r="S23" s="27"/>
      <c r="V23" s="185"/>
    </row>
    <row r="24" spans="1:22" ht="18" customHeight="1">
      <c r="A24" s="1206" t="s">
        <v>536</v>
      </c>
      <c r="B24" s="1207"/>
      <c r="C24" s="1207"/>
      <c r="D24" s="1207"/>
      <c r="E24" s="1207"/>
      <c r="F24" s="1207"/>
      <c r="G24" s="1207"/>
      <c r="H24" s="1207"/>
      <c r="I24" s="1207"/>
      <c r="J24" s="1207"/>
      <c r="K24" s="1207"/>
      <c r="L24" s="1207"/>
      <c r="M24" s="1207"/>
      <c r="N24" s="1207"/>
      <c r="O24" s="1207"/>
      <c r="P24" s="1207"/>
      <c r="Q24" s="1207"/>
      <c r="R24" s="1207"/>
      <c r="S24" s="1207"/>
      <c r="T24" s="1207"/>
      <c r="U24" s="1207"/>
      <c r="V24" s="1208"/>
    </row>
    <row r="25" spans="1:22" ht="18" customHeight="1">
      <c r="A25" s="1209"/>
      <c r="B25" s="1207"/>
      <c r="C25" s="1207"/>
      <c r="D25" s="1207"/>
      <c r="E25" s="1207"/>
      <c r="F25" s="1207"/>
      <c r="G25" s="1207"/>
      <c r="H25" s="1207"/>
      <c r="I25" s="1207"/>
      <c r="J25" s="1207"/>
      <c r="K25" s="1207"/>
      <c r="L25" s="1207"/>
      <c r="M25" s="1207"/>
      <c r="N25" s="1207"/>
      <c r="O25" s="1207"/>
      <c r="P25" s="1207"/>
      <c r="Q25" s="1207"/>
      <c r="R25" s="1207"/>
      <c r="S25" s="1207"/>
      <c r="T25" s="1207"/>
      <c r="U25" s="1207"/>
      <c r="V25" s="1208"/>
    </row>
    <row r="26" spans="1:22" ht="18" customHeight="1">
      <c r="A26" s="184"/>
      <c r="Q26" s="211"/>
      <c r="R26" s="192"/>
      <c r="V26" s="185"/>
    </row>
    <row r="27" spans="1:22" ht="18" customHeight="1">
      <c r="A27" s="184"/>
      <c r="C27" s="28" t="s">
        <v>473</v>
      </c>
      <c r="D27" s="28" t="s">
        <v>127</v>
      </c>
      <c r="E27" s="28" t="s">
        <v>537</v>
      </c>
      <c r="F27" s="120" t="s">
        <v>493</v>
      </c>
      <c r="G27" s="28" t="s">
        <v>347</v>
      </c>
      <c r="H27" s="120" t="s">
        <v>491</v>
      </c>
      <c r="I27" s="28" t="s">
        <v>538</v>
      </c>
      <c r="J27" s="28" t="s">
        <v>495</v>
      </c>
      <c r="K27" s="28" t="s">
        <v>539</v>
      </c>
      <c r="L27" s="28" t="s">
        <v>511</v>
      </c>
      <c r="M27" s="28" t="s">
        <v>315</v>
      </c>
      <c r="N27" s="28">
        <v>1.3</v>
      </c>
      <c r="O27" s="47" t="s">
        <v>350</v>
      </c>
      <c r="V27" s="185"/>
    </row>
    <row r="28" spans="1:22" ht="18" customHeight="1">
      <c r="A28" s="184" t="s">
        <v>540</v>
      </c>
      <c r="C28" s="14"/>
      <c r="D28" s="28"/>
      <c r="E28" s="14"/>
      <c r="F28" s="14"/>
      <c r="G28" s="14"/>
      <c r="H28" s="14"/>
      <c r="I28" s="14"/>
      <c r="J28" s="14"/>
      <c r="K28" s="14"/>
      <c r="L28" s="14"/>
      <c r="M28" s="14"/>
      <c r="N28" s="14"/>
      <c r="O28" s="14"/>
      <c r="V28" s="185"/>
    </row>
    <row r="29" spans="1:22" ht="18" customHeight="1">
      <c r="A29" s="184"/>
      <c r="C29" s="28" t="s">
        <v>493</v>
      </c>
      <c r="D29" s="28" t="s">
        <v>127</v>
      </c>
      <c r="E29" s="28" t="s">
        <v>537</v>
      </c>
      <c r="F29" s="28">
        <v>1.3</v>
      </c>
      <c r="G29" s="28" t="s">
        <v>315</v>
      </c>
      <c r="H29" s="689" t="s">
        <v>473</v>
      </c>
      <c r="I29" s="716"/>
      <c r="J29" s="28" t="s">
        <v>315</v>
      </c>
      <c r="K29" s="28" t="s">
        <v>511</v>
      </c>
      <c r="L29" s="28" t="s">
        <v>541</v>
      </c>
      <c r="M29" s="28" t="s">
        <v>495</v>
      </c>
      <c r="N29" s="47" t="s">
        <v>542</v>
      </c>
      <c r="O29" s="28" t="s">
        <v>491</v>
      </c>
      <c r="V29" s="185"/>
    </row>
    <row r="30" spans="1:22" ht="18" customHeight="1">
      <c r="A30" s="184"/>
      <c r="V30" s="185"/>
    </row>
    <row r="31" spans="1:22" ht="18" customHeight="1">
      <c r="A31" s="168"/>
      <c r="B31" s="5"/>
      <c r="C31" s="47" t="s">
        <v>543</v>
      </c>
      <c r="D31" s="14"/>
      <c r="E31" s="14"/>
      <c r="F31" s="14"/>
      <c r="G31" s="14"/>
      <c r="H31" s="279"/>
      <c r="I31" s="120"/>
      <c r="J31" s="279"/>
      <c r="K31" s="279"/>
      <c r="L31" s="14"/>
      <c r="M31" s="14"/>
      <c r="N31" s="14"/>
      <c r="O31" s="14"/>
      <c r="P31" s="14"/>
      <c r="Q31" s="120" t="s">
        <v>544</v>
      </c>
      <c r="R31" s="102" t="s">
        <v>127</v>
      </c>
      <c r="S31" s="689">
        <f>'[9]Parameters &amp; Fault Cal.'!Q31</f>
        <v>17140</v>
      </c>
      <c r="T31" s="689"/>
      <c r="U31" s="47" t="s">
        <v>8</v>
      </c>
      <c r="V31" s="185"/>
    </row>
    <row r="32" spans="1:22" ht="18" customHeight="1">
      <c r="A32" s="168"/>
      <c r="B32" s="5"/>
      <c r="C32" s="47" t="s">
        <v>545</v>
      </c>
      <c r="D32" s="14"/>
      <c r="E32" s="14"/>
      <c r="F32" s="18"/>
      <c r="G32" s="18"/>
      <c r="H32" s="279"/>
      <c r="I32" s="120"/>
      <c r="J32" s="279"/>
      <c r="K32" s="279"/>
      <c r="L32" s="14"/>
      <c r="M32" s="14"/>
      <c r="N32" s="14"/>
      <c r="O32" s="14"/>
      <c r="P32" s="14"/>
      <c r="Q32" s="120" t="s">
        <v>423</v>
      </c>
      <c r="R32" s="102" t="s">
        <v>127</v>
      </c>
      <c r="S32" s="689">
        <f>H10</f>
        <v>800</v>
      </c>
      <c r="T32" s="689"/>
      <c r="U32" s="14" t="s">
        <v>8</v>
      </c>
      <c r="V32" s="185"/>
    </row>
    <row r="33" spans="1:25" ht="18" customHeight="1">
      <c r="A33" s="168"/>
      <c r="B33" s="5"/>
      <c r="C33" s="47" t="s">
        <v>546</v>
      </c>
      <c r="D33" s="14"/>
      <c r="E33" s="14"/>
      <c r="F33" s="18"/>
      <c r="G33" s="18"/>
      <c r="H33" s="279"/>
      <c r="I33" s="120"/>
      <c r="J33" s="279"/>
      <c r="K33" s="279"/>
      <c r="L33" s="14"/>
      <c r="M33" s="14"/>
      <c r="N33" s="14"/>
      <c r="O33" s="14"/>
      <c r="P33" s="14"/>
      <c r="Q33" s="120" t="s">
        <v>473</v>
      </c>
      <c r="R33" s="102" t="s">
        <v>127</v>
      </c>
      <c r="S33" s="689">
        <f>H13</f>
        <v>326</v>
      </c>
      <c r="T33" s="689"/>
      <c r="U33" s="14" t="s">
        <v>305</v>
      </c>
      <c r="V33" s="185"/>
    </row>
    <row r="34" spans="1:25" ht="18" customHeight="1">
      <c r="A34" s="168"/>
      <c r="B34" s="5"/>
      <c r="C34" s="47" t="s">
        <v>547</v>
      </c>
      <c r="D34" s="14"/>
      <c r="E34" s="14"/>
      <c r="F34" s="18"/>
      <c r="G34" s="18"/>
      <c r="H34" s="279"/>
      <c r="I34" s="120"/>
      <c r="J34" s="279"/>
      <c r="K34" s="279"/>
      <c r="L34" s="14"/>
      <c r="M34" s="14"/>
      <c r="N34" s="14"/>
      <c r="O34" s="14"/>
      <c r="P34" s="14"/>
      <c r="Q34" s="120" t="s">
        <v>491</v>
      </c>
      <c r="R34" s="102" t="s">
        <v>127</v>
      </c>
      <c r="S34" s="692">
        <f>P21</f>
        <v>2.8</v>
      </c>
      <c r="T34" s="689"/>
      <c r="U34" s="14" t="s">
        <v>157</v>
      </c>
      <c r="V34" s="185"/>
      <c r="W34" s="279"/>
      <c r="X34" s="279"/>
      <c r="Y34" s="279"/>
    </row>
    <row r="35" spans="1:25" ht="18" customHeight="1">
      <c r="A35" s="168"/>
      <c r="B35" s="5"/>
      <c r="C35" s="47" t="s">
        <v>548</v>
      </c>
      <c r="D35" s="14"/>
      <c r="E35" s="14"/>
      <c r="F35" s="18"/>
      <c r="G35" s="18"/>
      <c r="H35" s="279"/>
      <c r="I35" s="120"/>
      <c r="J35" s="279"/>
      <c r="K35" s="279"/>
      <c r="L35" s="14"/>
      <c r="M35" s="14"/>
      <c r="N35" s="14"/>
      <c r="O35" s="14"/>
      <c r="P35" s="14"/>
      <c r="Q35" s="120" t="s">
        <v>512</v>
      </c>
      <c r="R35" s="102" t="s">
        <v>127</v>
      </c>
      <c r="S35" s="692">
        <f>J22</f>
        <v>0.23593310000000001</v>
      </c>
      <c r="T35" s="689"/>
      <c r="U35" s="14" t="s">
        <v>157</v>
      </c>
      <c r="V35" s="185"/>
      <c r="X35" s="279"/>
      <c r="Y35" s="279"/>
    </row>
    <row r="36" spans="1:25" ht="18" customHeight="1">
      <c r="A36" s="168"/>
      <c r="B36" s="5"/>
      <c r="C36" s="47" t="s">
        <v>549</v>
      </c>
      <c r="D36" s="14"/>
      <c r="E36" s="14"/>
      <c r="F36" s="14"/>
      <c r="G36" s="14"/>
      <c r="H36" s="279"/>
      <c r="I36" s="120"/>
      <c r="J36" s="279"/>
      <c r="K36" s="279"/>
      <c r="L36" s="14"/>
      <c r="M36" s="14"/>
      <c r="N36" s="14"/>
      <c r="O36" s="14"/>
      <c r="P36" s="14"/>
      <c r="Q36" s="120" t="s">
        <v>511</v>
      </c>
      <c r="R36" s="102" t="s">
        <v>127</v>
      </c>
      <c r="S36" s="689">
        <f>O10</f>
        <v>1</v>
      </c>
      <c r="T36" s="689"/>
      <c r="U36" s="14" t="s">
        <v>8</v>
      </c>
      <c r="V36" s="185"/>
      <c r="X36" s="279"/>
      <c r="Y36" s="279"/>
    </row>
    <row r="37" spans="1:25" ht="18" customHeight="1">
      <c r="A37" s="168"/>
      <c r="B37" s="5"/>
      <c r="C37" s="47" t="s">
        <v>550</v>
      </c>
      <c r="D37" s="14"/>
      <c r="E37" s="14"/>
      <c r="F37" s="14"/>
      <c r="G37" s="14"/>
      <c r="H37" s="279"/>
      <c r="I37" s="120"/>
      <c r="J37" s="279"/>
      <c r="K37" s="279"/>
      <c r="L37" s="14"/>
      <c r="M37" s="14"/>
      <c r="N37" s="14"/>
      <c r="O37" s="14"/>
      <c r="P37" s="14"/>
      <c r="Q37" s="120" t="s">
        <v>495</v>
      </c>
      <c r="R37" s="102" t="s">
        <v>127</v>
      </c>
      <c r="S37" s="689">
        <v>10</v>
      </c>
      <c r="T37" s="689"/>
      <c r="U37" s="47"/>
      <c r="V37" s="185"/>
    </row>
    <row r="38" spans="1:25" ht="18" customHeight="1">
      <c r="A38" s="299"/>
      <c r="B38" s="279"/>
      <c r="C38" s="47" t="s">
        <v>551</v>
      </c>
      <c r="D38" s="14"/>
      <c r="E38" s="14"/>
      <c r="F38" s="14"/>
      <c r="G38" s="14"/>
      <c r="H38" s="279"/>
      <c r="I38" s="120"/>
      <c r="J38" s="279"/>
      <c r="K38" s="279"/>
      <c r="L38" s="14"/>
      <c r="M38" s="14"/>
      <c r="N38" s="279"/>
      <c r="O38" s="279"/>
      <c r="P38" s="14"/>
      <c r="Q38" s="120" t="s">
        <v>493</v>
      </c>
      <c r="R38" s="14"/>
      <c r="S38" s="279"/>
      <c r="T38" s="279"/>
      <c r="U38" s="279"/>
      <c r="V38" s="300"/>
      <c r="W38" s="279"/>
      <c r="X38" s="279"/>
      <c r="Y38" s="279"/>
    </row>
    <row r="39" spans="1:25" ht="18" customHeight="1">
      <c r="A39" s="184"/>
      <c r="V39" s="185"/>
    </row>
    <row r="40" spans="1:25" ht="18" customHeight="1">
      <c r="A40" s="184"/>
      <c r="C40" s="120" t="s">
        <v>493</v>
      </c>
      <c r="D40" s="28" t="s">
        <v>127</v>
      </c>
      <c r="E40" s="28" t="s">
        <v>537</v>
      </c>
      <c r="F40" s="28">
        <v>1.3</v>
      </c>
      <c r="G40" s="28" t="s">
        <v>315</v>
      </c>
      <c r="H40" s="689" t="s">
        <v>473</v>
      </c>
      <c r="I40" s="716"/>
      <c r="J40" s="28" t="s">
        <v>315</v>
      </c>
      <c r="K40" s="28" t="s">
        <v>511</v>
      </c>
      <c r="L40" s="28" t="s">
        <v>541</v>
      </c>
      <c r="M40" s="28" t="s">
        <v>495</v>
      </c>
      <c r="N40" s="47" t="s">
        <v>542</v>
      </c>
      <c r="O40" s="120" t="s">
        <v>491</v>
      </c>
      <c r="V40" s="185"/>
    </row>
    <row r="41" spans="1:25" ht="18" customHeight="1">
      <c r="A41" s="184"/>
      <c r="C41" s="120" t="s">
        <v>493</v>
      </c>
      <c r="D41" s="28" t="s">
        <v>127</v>
      </c>
      <c r="E41" s="28" t="s">
        <v>537</v>
      </c>
      <c r="F41" s="28">
        <v>1.3</v>
      </c>
      <c r="G41" s="28" t="s">
        <v>315</v>
      </c>
      <c r="H41" s="689">
        <f>S33</f>
        <v>326</v>
      </c>
      <c r="I41" s="716"/>
      <c r="J41" s="28" t="s">
        <v>315</v>
      </c>
      <c r="K41" s="28">
        <f>S36</f>
        <v>1</v>
      </c>
      <c r="L41" s="28" t="s">
        <v>541</v>
      </c>
      <c r="M41" s="28">
        <f>S37</f>
        <v>10</v>
      </c>
      <c r="N41" s="47" t="s">
        <v>542</v>
      </c>
      <c r="O41" s="502">
        <f>S34</f>
        <v>2.8</v>
      </c>
      <c r="V41" s="185"/>
    </row>
    <row r="42" spans="1:25" ht="18" customHeight="1">
      <c r="A42" s="184"/>
      <c r="D42" s="27" t="s">
        <v>127</v>
      </c>
      <c r="E42" s="684">
        <f>((F41*H41*K41)/M41)-O41</f>
        <v>39.580000000000005</v>
      </c>
      <c r="F42" s="684"/>
      <c r="G42" s="27" t="s">
        <v>157</v>
      </c>
      <c r="V42" s="185"/>
    </row>
    <row r="43" spans="1:25" ht="18" customHeight="1">
      <c r="A43" s="184"/>
      <c r="V43" s="185"/>
    </row>
    <row r="44" spans="1:25" s="14" customFormat="1" ht="18" customHeight="1">
      <c r="A44" s="194"/>
      <c r="B44" s="195"/>
      <c r="C44" s="195"/>
      <c r="D44" s="195"/>
      <c r="E44" s="195"/>
      <c r="F44" s="195"/>
      <c r="G44" s="195"/>
      <c r="H44" s="195"/>
      <c r="I44" s="195"/>
      <c r="J44" s="195"/>
      <c r="K44" s="195"/>
      <c r="L44" s="195"/>
      <c r="M44" s="195"/>
      <c r="N44" s="195"/>
      <c r="O44" s="195"/>
      <c r="P44" s="195"/>
      <c r="Q44" s="224"/>
      <c r="R44" s="182"/>
      <c r="S44" s="225"/>
      <c r="T44" s="195"/>
      <c r="U44" s="195"/>
      <c r="V44" s="134" t="s">
        <v>552</v>
      </c>
    </row>
    <row r="45" spans="1:25" ht="18" customHeight="1">
      <c r="A45" s="226"/>
      <c r="B45" s="227"/>
      <c r="C45" s="227"/>
      <c r="D45" s="227"/>
      <c r="E45" s="227"/>
      <c r="F45" s="227"/>
      <c r="G45" s="227"/>
      <c r="H45" s="227"/>
      <c r="I45" s="227"/>
      <c r="J45" s="227"/>
      <c r="K45" s="227"/>
      <c r="L45" s="227"/>
      <c r="M45" s="227"/>
      <c r="N45" s="227"/>
      <c r="O45" s="227"/>
      <c r="P45" s="227"/>
      <c r="Q45" s="227"/>
      <c r="R45" s="227"/>
      <c r="S45" s="227"/>
      <c r="T45" s="227"/>
      <c r="U45" s="227"/>
      <c r="V45" s="228"/>
    </row>
    <row r="46" spans="1:25" ht="18" customHeight="1">
      <c r="A46" s="184"/>
      <c r="E46" s="244" t="s">
        <v>111</v>
      </c>
      <c r="F46" s="27" t="s">
        <v>127</v>
      </c>
      <c r="G46" s="689" t="s">
        <v>544</v>
      </c>
      <c r="H46" s="689"/>
      <c r="I46" s="191" t="s">
        <v>342</v>
      </c>
      <c r="J46" s="684" t="s">
        <v>423</v>
      </c>
      <c r="K46" s="684"/>
      <c r="V46" s="185"/>
    </row>
    <row r="47" spans="1:25" ht="18" customHeight="1">
      <c r="A47" s="184"/>
      <c r="F47" s="27" t="s">
        <v>127</v>
      </c>
      <c r="G47" s="684">
        <f>S31</f>
        <v>17140</v>
      </c>
      <c r="H47" s="684"/>
      <c r="I47" s="191" t="s">
        <v>342</v>
      </c>
      <c r="J47" s="684">
        <f>S32</f>
        <v>800</v>
      </c>
      <c r="K47" s="684"/>
      <c r="V47" s="185"/>
    </row>
    <row r="48" spans="1:25" ht="18" customHeight="1">
      <c r="A48" s="184"/>
      <c r="F48" s="27" t="s">
        <v>127</v>
      </c>
      <c r="G48" s="795">
        <f>G47/J47</f>
        <v>21.425000000000001</v>
      </c>
      <c r="H48" s="795"/>
      <c r="I48" s="27"/>
      <c r="J48" s="27"/>
      <c r="K48" s="27"/>
      <c r="V48" s="185"/>
    </row>
    <row r="49" spans="1:22" ht="18" customHeight="1">
      <c r="A49" s="184"/>
      <c r="V49" s="185"/>
    </row>
    <row r="50" spans="1:22" ht="18" customHeight="1">
      <c r="A50" s="184"/>
      <c r="E50" s="244" t="s">
        <v>553</v>
      </c>
      <c r="F50" s="27" t="s">
        <v>127</v>
      </c>
      <c r="G50" s="27" t="s">
        <v>495</v>
      </c>
      <c r="H50" s="27" t="s">
        <v>554</v>
      </c>
      <c r="I50" s="120" t="s">
        <v>491</v>
      </c>
      <c r="J50" s="28" t="s">
        <v>347</v>
      </c>
      <c r="K50" s="120" t="s">
        <v>493</v>
      </c>
      <c r="L50" s="28" t="s">
        <v>539</v>
      </c>
      <c r="M50" s="120" t="s">
        <v>491</v>
      </c>
      <c r="N50" s="28" t="s">
        <v>347</v>
      </c>
      <c r="O50" s="120" t="s">
        <v>512</v>
      </c>
      <c r="P50" s="296" t="s">
        <v>350</v>
      </c>
      <c r="V50" s="185"/>
    </row>
    <row r="51" spans="1:22" ht="18" customHeight="1">
      <c r="A51" s="184"/>
      <c r="F51" s="27" t="s">
        <v>127</v>
      </c>
      <c r="G51" s="242">
        <f>S37</f>
        <v>10</v>
      </c>
      <c r="H51" s="245" t="s">
        <v>554</v>
      </c>
      <c r="I51" s="301">
        <f>S34</f>
        <v>2.8</v>
      </c>
      <c r="J51" s="245" t="s">
        <v>347</v>
      </c>
      <c r="K51" s="301">
        <f>E42</f>
        <v>39.580000000000005</v>
      </c>
      <c r="L51" s="245" t="s">
        <v>539</v>
      </c>
      <c r="M51" s="301">
        <f>S34</f>
        <v>2.8</v>
      </c>
      <c r="N51" s="245" t="s">
        <v>347</v>
      </c>
      <c r="O51" s="301">
        <f>S35</f>
        <v>0.23593310000000001</v>
      </c>
      <c r="P51" s="461" t="s">
        <v>350</v>
      </c>
      <c r="V51" s="185"/>
    </row>
    <row r="52" spans="1:22" ht="18" customHeight="1">
      <c r="A52" s="184"/>
      <c r="F52" s="27" t="s">
        <v>127</v>
      </c>
      <c r="G52" s="795">
        <f>G51*((I51+K51)/(M51+O51))</f>
        <v>139.59464390042061</v>
      </c>
      <c r="H52" s="795"/>
      <c r="V52" s="185"/>
    </row>
    <row r="53" spans="1:22" ht="18" customHeight="1">
      <c r="A53" s="184"/>
      <c r="V53" s="185"/>
    </row>
    <row r="54" spans="1:22" ht="18" customHeight="1">
      <c r="A54" s="184"/>
      <c r="E54" s="244" t="s">
        <v>555</v>
      </c>
      <c r="F54" s="27" t="str">
        <f>IF(D55&gt;G55,"&gt;","&lt;")</f>
        <v>&gt;</v>
      </c>
      <c r="G54" s="296" t="s">
        <v>111</v>
      </c>
      <c r="V54" s="185"/>
    </row>
    <row r="55" spans="1:22" ht="18" customHeight="1">
      <c r="A55" s="184"/>
      <c r="D55" s="795">
        <f>G52</f>
        <v>139.59464390042061</v>
      </c>
      <c r="E55" s="795"/>
      <c r="F55" s="27" t="str">
        <f>F54</f>
        <v>&gt;</v>
      </c>
      <c r="G55" s="795">
        <f>G48</f>
        <v>21.425000000000001</v>
      </c>
      <c r="H55" s="795"/>
      <c r="V55" s="185"/>
    </row>
    <row r="56" spans="1:22" ht="18" customHeight="1">
      <c r="A56" s="184"/>
      <c r="E56" s="244" t="s">
        <v>478</v>
      </c>
      <c r="G56" s="18" t="str">
        <f>IF(F54="&gt;","Suitably Dimentioned","Under Dimentioned")</f>
        <v>Suitably Dimentioned</v>
      </c>
      <c r="V56" s="185"/>
    </row>
    <row r="57" spans="1:22" ht="18" customHeight="1">
      <c r="A57" s="184"/>
      <c r="V57" s="185"/>
    </row>
    <row r="58" spans="1:22" ht="18" customHeight="1">
      <c r="A58" s="184"/>
      <c r="V58" s="185"/>
    </row>
    <row r="59" spans="1:22" ht="18" customHeight="1">
      <c r="A59" s="184"/>
      <c r="V59" s="185"/>
    </row>
    <row r="60" spans="1:22" ht="18" customHeight="1">
      <c r="A60" s="184"/>
      <c r="V60" s="185"/>
    </row>
    <row r="61" spans="1:22" ht="18" customHeight="1">
      <c r="A61" s="184"/>
      <c r="V61" s="185"/>
    </row>
    <row r="62" spans="1:22" ht="18" customHeight="1">
      <c r="A62" s="184"/>
      <c r="V62" s="185"/>
    </row>
    <row r="63" spans="1:22" ht="18" customHeight="1">
      <c r="A63" s="184"/>
      <c r="V63" s="185"/>
    </row>
    <row r="64" spans="1:22" ht="18" customHeight="1">
      <c r="A64" s="184"/>
      <c r="V64" s="185"/>
    </row>
    <row r="65" spans="1:22" ht="18" customHeight="1">
      <c r="A65" s="184"/>
      <c r="V65" s="185"/>
    </row>
    <row r="66" spans="1:22" ht="18" customHeight="1">
      <c r="A66" s="184"/>
      <c r="V66" s="185"/>
    </row>
    <row r="67" spans="1:22" ht="18" customHeight="1">
      <c r="A67" s="184"/>
      <c r="V67" s="185"/>
    </row>
    <row r="68" spans="1:22" ht="18" customHeight="1">
      <c r="A68" s="184"/>
      <c r="V68" s="185"/>
    </row>
    <row r="69" spans="1:22" ht="18" customHeight="1">
      <c r="A69" s="184"/>
      <c r="V69" s="185"/>
    </row>
    <row r="70" spans="1:22" ht="18" customHeight="1">
      <c r="A70" s="184"/>
      <c r="V70" s="185"/>
    </row>
    <row r="71" spans="1:22" ht="18" customHeight="1">
      <c r="A71" s="184"/>
      <c r="V71" s="185"/>
    </row>
    <row r="72" spans="1:22" ht="18" customHeight="1">
      <c r="A72" s="184"/>
      <c r="V72" s="185"/>
    </row>
    <row r="73" spans="1:22" ht="18" customHeight="1">
      <c r="A73" s="184"/>
      <c r="V73" s="185"/>
    </row>
    <row r="74" spans="1:22" ht="18" customHeight="1">
      <c r="A74" s="184"/>
      <c r="V74" s="185"/>
    </row>
    <row r="75" spans="1:22" ht="18" customHeight="1">
      <c r="A75" s="184"/>
      <c r="V75" s="185"/>
    </row>
    <row r="76" spans="1:22" ht="18" customHeight="1">
      <c r="A76" s="184"/>
      <c r="V76" s="185"/>
    </row>
    <row r="77" spans="1:22" ht="18" customHeight="1">
      <c r="A77" s="184"/>
      <c r="V77" s="185"/>
    </row>
    <row r="78" spans="1:22" ht="18" customHeight="1">
      <c r="A78" s="184"/>
      <c r="V78" s="185"/>
    </row>
    <row r="79" spans="1:22" ht="18" customHeight="1">
      <c r="A79" s="184"/>
      <c r="V79" s="185"/>
    </row>
    <row r="80" spans="1:22" ht="18" customHeight="1">
      <c r="A80" s="184"/>
      <c r="V80" s="185"/>
    </row>
    <row r="81" spans="1:23" ht="18" customHeight="1">
      <c r="A81" s="184"/>
      <c r="V81" s="185"/>
    </row>
    <row r="82" spans="1:23" ht="18" customHeight="1">
      <c r="A82" s="184"/>
      <c r="V82" s="185"/>
    </row>
    <row r="83" spans="1:23" ht="18" customHeight="1">
      <c r="A83" s="184"/>
      <c r="V83" s="185"/>
    </row>
    <row r="84" spans="1:23" ht="18" customHeight="1">
      <c r="A84" s="184"/>
      <c r="V84" s="185"/>
    </row>
    <row r="85" spans="1:23" ht="18" customHeight="1">
      <c r="A85" s="184"/>
      <c r="V85" s="185"/>
    </row>
    <row r="86" spans="1:23" ht="18" customHeight="1">
      <c r="A86" s="184"/>
      <c r="V86" s="185"/>
    </row>
    <row r="87" spans="1:23" ht="18" customHeight="1">
      <c r="A87" s="184"/>
      <c r="V87" s="185"/>
    </row>
    <row r="88" spans="1:23" s="14" customFormat="1" ht="18" customHeight="1">
      <c r="A88" s="194"/>
      <c r="B88" s="195"/>
      <c r="C88" s="195"/>
      <c r="D88" s="195"/>
      <c r="E88" s="195"/>
      <c r="F88" s="195"/>
      <c r="G88" s="195"/>
      <c r="H88" s="195"/>
      <c r="I88" s="195"/>
      <c r="J88" s="195"/>
      <c r="K88" s="195"/>
      <c r="L88" s="195"/>
      <c r="M88" s="195"/>
      <c r="N88" s="195"/>
      <c r="O88" s="195"/>
      <c r="P88" s="195"/>
      <c r="Q88" s="224"/>
      <c r="R88" s="182"/>
      <c r="S88" s="225"/>
      <c r="T88" s="195"/>
      <c r="U88" s="195"/>
      <c r="V88" s="134" t="s">
        <v>552</v>
      </c>
    </row>
    <row r="89" spans="1:23" ht="18" customHeight="1">
      <c r="A89" s="226"/>
      <c r="B89" s="227"/>
      <c r="C89" s="227"/>
      <c r="D89" s="227"/>
      <c r="E89" s="227"/>
      <c r="F89" s="227"/>
      <c r="G89" s="227"/>
      <c r="H89" s="227"/>
      <c r="I89" s="227"/>
      <c r="J89" s="227"/>
      <c r="K89" s="227"/>
      <c r="L89" s="227"/>
      <c r="M89" s="227"/>
      <c r="N89" s="227"/>
      <c r="O89" s="227"/>
      <c r="P89" s="227"/>
      <c r="Q89" s="227"/>
      <c r="R89" s="227"/>
      <c r="S89" s="227"/>
      <c r="T89" s="227"/>
      <c r="U89" s="227"/>
      <c r="V89" s="228"/>
    </row>
    <row r="90" spans="1:23" ht="18" customHeight="1">
      <c r="A90" s="184"/>
      <c r="B90" s="854" t="str">
        <f>B7</f>
        <v>CT1L</v>
      </c>
      <c r="C90" s="831"/>
      <c r="D90" s="853" t="str">
        <f>D7</f>
        <v>Core1</v>
      </c>
      <c r="E90" s="765"/>
      <c r="F90" s="455"/>
      <c r="H90" s="684" t="str">
        <f>H7</f>
        <v>(OC+FMS+BFR)</v>
      </c>
      <c r="I90" s="684"/>
      <c r="J90" s="684"/>
      <c r="K90" s="684"/>
      <c r="L90" s="684"/>
      <c r="M90" s="684"/>
      <c r="P90" s="186"/>
      <c r="S90" s="187" t="s">
        <v>387</v>
      </c>
      <c r="T90" s="1123">
        <f>T7</f>
        <v>0</v>
      </c>
      <c r="U90" s="1124"/>
      <c r="V90" s="185"/>
    </row>
    <row r="91" spans="1:23" ht="18" customHeight="1">
      <c r="A91" s="456"/>
      <c r="F91" s="455"/>
      <c r="T91" s="1123">
        <f>T8</f>
        <v>0</v>
      </c>
      <c r="U91" s="1124"/>
      <c r="V91" s="185"/>
    </row>
    <row r="92" spans="1:23" ht="18" customHeight="1">
      <c r="A92" s="184"/>
      <c r="H92" s="708" t="s">
        <v>390</v>
      </c>
      <c r="I92" s="708"/>
      <c r="J92" s="789" t="s">
        <v>391</v>
      </c>
      <c r="K92" s="789"/>
      <c r="L92" s="790" t="s">
        <v>392</v>
      </c>
      <c r="M92" s="790"/>
      <c r="T92" s="1123">
        <f>T9</f>
        <v>0</v>
      </c>
      <c r="U92" s="1124"/>
      <c r="V92" s="185"/>
    </row>
    <row r="93" spans="1:23" ht="18" customHeight="1">
      <c r="A93" s="184"/>
      <c r="B93" s="47" t="s">
        <v>393</v>
      </c>
      <c r="H93" s="854">
        <f>H10</f>
        <v>800</v>
      </c>
      <c r="I93" s="831"/>
      <c r="J93" s="863">
        <f>J10</f>
        <v>2000</v>
      </c>
      <c r="K93" s="864"/>
      <c r="L93" s="854">
        <f>L10</f>
        <v>1000</v>
      </c>
      <c r="M93" s="831"/>
      <c r="N93" s="191" t="s">
        <v>342</v>
      </c>
      <c r="O93" s="256">
        <f>O10</f>
        <v>1</v>
      </c>
      <c r="P93" s="27" t="s">
        <v>8</v>
      </c>
      <c r="R93" s="255"/>
      <c r="S93" s="255"/>
      <c r="V93" s="185"/>
    </row>
    <row r="94" spans="1:23" ht="18" customHeight="1">
      <c r="A94" s="184"/>
      <c r="B94" s="47" t="s">
        <v>394</v>
      </c>
      <c r="J94" s="854" t="str">
        <f>H11</f>
        <v>PX</v>
      </c>
      <c r="K94" s="831"/>
      <c r="V94" s="185"/>
    </row>
    <row r="95" spans="1:23" ht="18" customHeight="1">
      <c r="A95" s="184"/>
      <c r="B95" s="47" t="s">
        <v>396</v>
      </c>
      <c r="I95" s="120" t="s">
        <v>497</v>
      </c>
      <c r="J95" s="1075">
        <v>12</v>
      </c>
      <c r="K95" s="1076"/>
      <c r="L95" s="192" t="s">
        <v>333</v>
      </c>
      <c r="V95" s="185"/>
    </row>
    <row r="96" spans="1:23" ht="18" customHeight="1">
      <c r="A96" s="184"/>
      <c r="B96" s="47" t="s">
        <v>398</v>
      </c>
      <c r="I96" s="120" t="s">
        <v>498</v>
      </c>
      <c r="J96" s="1075">
        <v>1200</v>
      </c>
      <c r="K96" s="1076"/>
      <c r="L96" s="14" t="s">
        <v>305</v>
      </c>
      <c r="T96" s="295"/>
      <c r="U96" s="18"/>
      <c r="V96" s="185"/>
      <c r="W96" s="30" t="str">
        <f>G144</f>
        <v>Suitably Dimentioned</v>
      </c>
    </row>
    <row r="97" spans="1:22" ht="18" customHeight="1">
      <c r="A97" s="184"/>
      <c r="B97" s="14" t="s">
        <v>401</v>
      </c>
      <c r="I97" s="120" t="s">
        <v>402</v>
      </c>
      <c r="J97" s="1075">
        <v>50</v>
      </c>
      <c r="K97" s="1076"/>
      <c r="L97" s="14" t="s">
        <v>403</v>
      </c>
      <c r="V97" s="185"/>
    </row>
    <row r="98" spans="1:22" ht="18" customHeight="1">
      <c r="A98" s="184"/>
      <c r="V98" s="185"/>
    </row>
    <row r="99" spans="1:22" ht="18" customHeight="1">
      <c r="A99" s="193" t="s">
        <v>404</v>
      </c>
      <c r="V99" s="185"/>
    </row>
    <row r="100" spans="1:22" ht="18" customHeight="1">
      <c r="A100" s="184"/>
      <c r="V100" s="185"/>
    </row>
    <row r="101" spans="1:22" ht="18" customHeight="1">
      <c r="A101" s="184"/>
      <c r="B101" s="135" t="s">
        <v>405</v>
      </c>
      <c r="C101" s="273"/>
      <c r="D101" s="139">
        <f>T90</f>
        <v>0</v>
      </c>
      <c r="E101" s="227"/>
      <c r="F101" s="227"/>
      <c r="G101" s="227"/>
      <c r="H101" s="138"/>
      <c r="I101" s="260" t="s">
        <v>127</v>
      </c>
      <c r="J101" s="722">
        <f>J18</f>
        <v>0</v>
      </c>
      <c r="K101" s="958"/>
      <c r="L101" s="3" t="s">
        <v>157</v>
      </c>
      <c r="N101" s="197" t="s">
        <v>510</v>
      </c>
      <c r="V101" s="185"/>
    </row>
    <row r="102" spans="1:22" ht="18" customHeight="1">
      <c r="A102" s="184"/>
      <c r="B102" s="96" t="s">
        <v>405</v>
      </c>
      <c r="C102" s="14"/>
      <c r="D102" s="47">
        <f>T91</f>
        <v>0</v>
      </c>
      <c r="H102" s="28"/>
      <c r="I102" s="101" t="s">
        <v>127</v>
      </c>
      <c r="J102" s="722">
        <f>J19</f>
        <v>0</v>
      </c>
      <c r="K102" s="958"/>
      <c r="L102" s="3" t="s">
        <v>157</v>
      </c>
      <c r="N102" s="120" t="s">
        <v>491</v>
      </c>
      <c r="O102" s="27" t="s">
        <v>127</v>
      </c>
      <c r="P102" s="27" t="s">
        <v>511</v>
      </c>
      <c r="Q102" s="27" t="s">
        <v>315</v>
      </c>
      <c r="R102" s="27" t="s">
        <v>511</v>
      </c>
      <c r="S102" s="27" t="s">
        <v>315</v>
      </c>
      <c r="T102" s="27" t="s">
        <v>420</v>
      </c>
      <c r="V102" s="185"/>
    </row>
    <row r="103" spans="1:22" ht="18" customHeight="1">
      <c r="A103" s="184"/>
      <c r="B103" s="96" t="s">
        <v>405</v>
      </c>
      <c r="C103" s="14"/>
      <c r="D103" s="47">
        <f>T92</f>
        <v>0</v>
      </c>
      <c r="H103" s="28"/>
      <c r="I103" s="101" t="s">
        <v>127</v>
      </c>
      <c r="J103" s="722">
        <f>J20</f>
        <v>0</v>
      </c>
      <c r="K103" s="958"/>
      <c r="L103" s="3" t="s">
        <v>157</v>
      </c>
      <c r="N103" s="27"/>
      <c r="O103" s="27" t="s">
        <v>127</v>
      </c>
      <c r="P103" s="27">
        <f>O93</f>
        <v>1</v>
      </c>
      <c r="Q103" s="27" t="s">
        <v>315</v>
      </c>
      <c r="R103" s="27">
        <f>O93</f>
        <v>1</v>
      </c>
      <c r="S103" s="27" t="s">
        <v>315</v>
      </c>
      <c r="T103" s="27">
        <f>J95</f>
        <v>12</v>
      </c>
      <c r="V103" s="185"/>
    </row>
    <row r="104" spans="1:22" ht="18" customHeight="1">
      <c r="A104" s="184"/>
      <c r="B104" s="452" t="s">
        <v>412</v>
      </c>
      <c r="C104" s="259"/>
      <c r="D104" s="259"/>
      <c r="E104" s="259"/>
      <c r="F104" s="207"/>
      <c r="G104" s="207"/>
      <c r="H104" s="190"/>
      <c r="I104" s="208" t="s">
        <v>127</v>
      </c>
      <c r="J104" s="1120">
        <f>J21</f>
        <v>0.23593310000000001</v>
      </c>
      <c r="K104" s="987"/>
      <c r="L104" s="297" t="s">
        <v>157</v>
      </c>
      <c r="O104" s="27" t="s">
        <v>127</v>
      </c>
      <c r="P104" s="795">
        <f>P103*R103*T103</f>
        <v>12</v>
      </c>
      <c r="Q104" s="684"/>
      <c r="R104" s="27" t="s">
        <v>157</v>
      </c>
      <c r="V104" s="185"/>
    </row>
    <row r="105" spans="1:22" ht="18" customHeight="1">
      <c r="A105" s="184"/>
      <c r="B105" s="1" t="s">
        <v>413</v>
      </c>
      <c r="C105" s="2"/>
      <c r="D105" s="2"/>
      <c r="E105" s="2"/>
      <c r="F105" s="196"/>
      <c r="G105" s="196"/>
      <c r="H105" s="224" t="s">
        <v>512</v>
      </c>
      <c r="I105" s="183" t="s">
        <v>127</v>
      </c>
      <c r="J105" s="722">
        <f>SUM(J101:J104)</f>
        <v>0.23593310000000001</v>
      </c>
      <c r="K105" s="958"/>
      <c r="L105" s="3" t="s">
        <v>157</v>
      </c>
      <c r="V105" s="185"/>
    </row>
    <row r="106" spans="1:22" ht="18" customHeight="1">
      <c r="A106" s="184"/>
      <c r="B106" s="47"/>
      <c r="C106" s="47"/>
      <c r="D106" s="47"/>
      <c r="E106" s="47"/>
      <c r="H106" s="27"/>
      <c r="I106" s="28"/>
      <c r="J106" s="199"/>
      <c r="L106" s="47"/>
      <c r="S106" s="27"/>
      <c r="V106" s="185"/>
    </row>
    <row r="107" spans="1:22" ht="18" customHeight="1">
      <c r="A107" s="1206" t="s">
        <v>536</v>
      </c>
      <c r="B107" s="1207"/>
      <c r="C107" s="1207"/>
      <c r="D107" s="1207"/>
      <c r="E107" s="1207"/>
      <c r="F107" s="1207"/>
      <c r="G107" s="1207"/>
      <c r="H107" s="1207"/>
      <c r="I107" s="1207"/>
      <c r="J107" s="1207"/>
      <c r="K107" s="1207"/>
      <c r="L107" s="1207"/>
      <c r="M107" s="1207"/>
      <c r="N107" s="1207"/>
      <c r="O107" s="1207"/>
      <c r="P107" s="1207"/>
      <c r="Q107" s="1207"/>
      <c r="R107" s="1207"/>
      <c r="S107" s="1207"/>
      <c r="T107" s="1207"/>
      <c r="U107" s="1207"/>
      <c r="V107" s="1208"/>
    </row>
    <row r="108" spans="1:22" ht="18" customHeight="1">
      <c r="A108" s="1209"/>
      <c r="B108" s="1207"/>
      <c r="C108" s="1207"/>
      <c r="D108" s="1207"/>
      <c r="E108" s="1207"/>
      <c r="F108" s="1207"/>
      <c r="G108" s="1207"/>
      <c r="H108" s="1207"/>
      <c r="I108" s="1207"/>
      <c r="J108" s="1207"/>
      <c r="K108" s="1207"/>
      <c r="L108" s="1207"/>
      <c r="M108" s="1207"/>
      <c r="N108" s="1207"/>
      <c r="O108" s="1207"/>
      <c r="P108" s="1207"/>
      <c r="Q108" s="1207"/>
      <c r="R108" s="1207"/>
      <c r="S108" s="1207"/>
      <c r="T108" s="1207"/>
      <c r="U108" s="1207"/>
      <c r="V108" s="1208"/>
    </row>
    <row r="109" spans="1:22" ht="18" customHeight="1">
      <c r="A109" s="184"/>
      <c r="Q109" s="211"/>
      <c r="R109" s="192"/>
      <c r="V109" s="185"/>
    </row>
    <row r="110" spans="1:22" ht="18" customHeight="1">
      <c r="A110" s="184"/>
      <c r="C110" s="14" t="s">
        <v>473</v>
      </c>
      <c r="D110" s="28" t="s">
        <v>127</v>
      </c>
      <c r="E110" s="28" t="s">
        <v>537</v>
      </c>
      <c r="F110" s="120" t="s">
        <v>493</v>
      </c>
      <c r="G110" s="28" t="s">
        <v>347</v>
      </c>
      <c r="H110" s="120" t="s">
        <v>491</v>
      </c>
      <c r="I110" s="28" t="s">
        <v>538</v>
      </c>
      <c r="J110" s="28" t="s">
        <v>495</v>
      </c>
      <c r="K110" s="28" t="s">
        <v>539</v>
      </c>
      <c r="L110" s="28" t="s">
        <v>511</v>
      </c>
      <c r="M110" s="28" t="s">
        <v>315</v>
      </c>
      <c r="N110" s="28">
        <v>1.3</v>
      </c>
      <c r="O110" s="47" t="s">
        <v>350</v>
      </c>
      <c r="V110" s="185"/>
    </row>
    <row r="111" spans="1:22" ht="18" customHeight="1">
      <c r="A111" s="184" t="s">
        <v>540</v>
      </c>
      <c r="C111" s="14"/>
      <c r="D111" s="28"/>
      <c r="E111" s="14"/>
      <c r="F111" s="14"/>
      <c r="G111" s="14"/>
      <c r="H111" s="14"/>
      <c r="I111" s="14"/>
      <c r="J111" s="14"/>
      <c r="K111" s="14"/>
      <c r="L111" s="14"/>
      <c r="M111" s="14"/>
      <c r="N111" s="14"/>
      <c r="O111" s="14"/>
      <c r="V111" s="185"/>
    </row>
    <row r="112" spans="1:22" ht="18" customHeight="1">
      <c r="A112" s="184"/>
      <c r="C112" s="120" t="s">
        <v>493</v>
      </c>
      <c r="D112" s="28" t="s">
        <v>127</v>
      </c>
      <c r="E112" s="28" t="s">
        <v>537</v>
      </c>
      <c r="F112" s="28">
        <v>1.3</v>
      </c>
      <c r="G112" s="28" t="s">
        <v>315</v>
      </c>
      <c r="H112" s="689" t="s">
        <v>473</v>
      </c>
      <c r="I112" s="716"/>
      <c r="J112" s="28" t="s">
        <v>315</v>
      </c>
      <c r="K112" s="28" t="s">
        <v>511</v>
      </c>
      <c r="L112" s="28" t="s">
        <v>541</v>
      </c>
      <c r="M112" s="28" t="s">
        <v>495</v>
      </c>
      <c r="N112" s="47" t="s">
        <v>542</v>
      </c>
      <c r="O112" s="120" t="s">
        <v>491</v>
      </c>
      <c r="V112" s="185"/>
    </row>
    <row r="113" spans="1:25" ht="18" customHeight="1">
      <c r="A113" s="184"/>
      <c r="V113" s="185"/>
    </row>
    <row r="114" spans="1:25" ht="18" customHeight="1">
      <c r="A114" s="168"/>
      <c r="B114" s="5"/>
      <c r="C114" s="47" t="s">
        <v>543</v>
      </c>
      <c r="D114" s="14"/>
      <c r="E114" s="14"/>
      <c r="F114" s="14"/>
      <c r="G114" s="14"/>
      <c r="H114" s="279"/>
      <c r="I114" s="120"/>
      <c r="J114" s="279"/>
      <c r="K114" s="279"/>
      <c r="L114" s="14"/>
      <c r="M114" s="14"/>
      <c r="N114" s="14"/>
      <c r="O114" s="14"/>
      <c r="P114" s="14"/>
      <c r="Q114" s="120" t="s">
        <v>544</v>
      </c>
      <c r="R114" s="102" t="s">
        <v>127</v>
      </c>
      <c r="S114" s="689">
        <f>S31</f>
        <v>17140</v>
      </c>
      <c r="T114" s="689"/>
      <c r="U114" s="47" t="s">
        <v>8</v>
      </c>
      <c r="V114" s="185"/>
    </row>
    <row r="115" spans="1:25" ht="18" customHeight="1">
      <c r="A115" s="168"/>
      <c r="B115" s="5"/>
      <c r="C115" s="47" t="s">
        <v>545</v>
      </c>
      <c r="D115" s="14"/>
      <c r="E115" s="14"/>
      <c r="F115" s="18"/>
      <c r="G115" s="18"/>
      <c r="H115" s="279"/>
      <c r="I115" s="120"/>
      <c r="J115" s="279"/>
      <c r="K115" s="279"/>
      <c r="L115" s="14"/>
      <c r="M115" s="14"/>
      <c r="N115" s="14"/>
      <c r="O115" s="14"/>
      <c r="P115" s="14"/>
      <c r="Q115" s="120" t="s">
        <v>423</v>
      </c>
      <c r="R115" s="102" t="s">
        <v>127</v>
      </c>
      <c r="S115" s="689">
        <f>J93</f>
        <v>2000</v>
      </c>
      <c r="T115" s="689"/>
      <c r="U115" s="14" t="s">
        <v>8</v>
      </c>
      <c r="V115" s="185"/>
    </row>
    <row r="116" spans="1:25" ht="18" customHeight="1">
      <c r="A116" s="168"/>
      <c r="B116" s="5"/>
      <c r="C116" s="47" t="s">
        <v>546</v>
      </c>
      <c r="D116" s="14"/>
      <c r="E116" s="14"/>
      <c r="F116" s="18"/>
      <c r="G116" s="18"/>
      <c r="H116" s="279"/>
      <c r="I116" s="120"/>
      <c r="J116" s="279"/>
      <c r="K116" s="279"/>
      <c r="L116" s="14"/>
      <c r="M116" s="14"/>
      <c r="N116" s="14"/>
      <c r="O116" s="14"/>
      <c r="P116" s="14"/>
      <c r="Q116" s="120" t="s">
        <v>473</v>
      </c>
      <c r="R116" s="102" t="s">
        <v>127</v>
      </c>
      <c r="S116" s="689">
        <f>J96</f>
        <v>1200</v>
      </c>
      <c r="T116" s="689"/>
      <c r="U116" s="14" t="s">
        <v>305</v>
      </c>
      <c r="V116" s="185"/>
    </row>
    <row r="117" spans="1:25" ht="18" customHeight="1">
      <c r="A117" s="168"/>
      <c r="B117" s="5"/>
      <c r="C117" s="47" t="s">
        <v>547</v>
      </c>
      <c r="D117" s="14"/>
      <c r="E117" s="14"/>
      <c r="F117" s="18"/>
      <c r="G117" s="18"/>
      <c r="H117" s="279"/>
      <c r="I117" s="120"/>
      <c r="J117" s="279"/>
      <c r="K117" s="279"/>
      <c r="L117" s="14"/>
      <c r="M117" s="14"/>
      <c r="N117" s="14"/>
      <c r="O117" s="14"/>
      <c r="P117" s="14"/>
      <c r="Q117" s="120" t="s">
        <v>491</v>
      </c>
      <c r="R117" s="102" t="s">
        <v>127</v>
      </c>
      <c r="S117" s="692">
        <f>P104</f>
        <v>12</v>
      </c>
      <c r="T117" s="689"/>
      <c r="U117" s="14" t="s">
        <v>157</v>
      </c>
      <c r="V117" s="185"/>
      <c r="W117" s="279"/>
      <c r="X117" s="279"/>
      <c r="Y117" s="279"/>
    </row>
    <row r="118" spans="1:25" ht="18" customHeight="1">
      <c r="A118" s="168"/>
      <c r="B118" s="5"/>
      <c r="C118" s="47" t="s">
        <v>548</v>
      </c>
      <c r="D118" s="14"/>
      <c r="E118" s="14"/>
      <c r="F118" s="18"/>
      <c r="G118" s="18"/>
      <c r="H118" s="279"/>
      <c r="I118" s="120"/>
      <c r="J118" s="279"/>
      <c r="K118" s="279"/>
      <c r="L118" s="14"/>
      <c r="M118" s="14"/>
      <c r="N118" s="14"/>
      <c r="O118" s="14"/>
      <c r="P118" s="14"/>
      <c r="Q118" s="120" t="s">
        <v>512</v>
      </c>
      <c r="R118" s="102" t="s">
        <v>127</v>
      </c>
      <c r="S118" s="692">
        <f>J105</f>
        <v>0.23593310000000001</v>
      </c>
      <c r="T118" s="689"/>
      <c r="U118" s="14" t="s">
        <v>157</v>
      </c>
      <c r="V118" s="185"/>
      <c r="X118" s="279"/>
      <c r="Y118" s="279"/>
    </row>
    <row r="119" spans="1:25" ht="18" customHeight="1">
      <c r="A119" s="168"/>
      <c r="B119" s="5"/>
      <c r="C119" s="47" t="s">
        <v>549</v>
      </c>
      <c r="D119" s="14"/>
      <c r="E119" s="14"/>
      <c r="F119" s="14"/>
      <c r="G119" s="14"/>
      <c r="H119" s="279"/>
      <c r="I119" s="120"/>
      <c r="J119" s="279"/>
      <c r="K119" s="279"/>
      <c r="L119" s="14"/>
      <c r="M119" s="14"/>
      <c r="N119" s="14"/>
      <c r="O119" s="14"/>
      <c r="P119" s="14"/>
      <c r="Q119" s="120" t="s">
        <v>511</v>
      </c>
      <c r="R119" s="102" t="s">
        <v>127</v>
      </c>
      <c r="S119" s="689">
        <f>O93</f>
        <v>1</v>
      </c>
      <c r="T119" s="689"/>
      <c r="U119" s="14" t="s">
        <v>8</v>
      </c>
      <c r="V119" s="185"/>
      <c r="X119" s="279"/>
      <c r="Y119" s="279"/>
    </row>
    <row r="120" spans="1:25" ht="18" customHeight="1">
      <c r="A120" s="168"/>
      <c r="B120" s="5"/>
      <c r="C120" s="47" t="s">
        <v>550</v>
      </c>
      <c r="D120" s="14"/>
      <c r="E120" s="14"/>
      <c r="F120" s="14"/>
      <c r="G120" s="14"/>
      <c r="H120" s="279"/>
      <c r="I120" s="120"/>
      <c r="J120" s="279"/>
      <c r="K120" s="279"/>
      <c r="L120" s="14"/>
      <c r="M120" s="14"/>
      <c r="N120" s="14"/>
      <c r="O120" s="14"/>
      <c r="P120" s="14"/>
      <c r="Q120" s="120" t="s">
        <v>495</v>
      </c>
      <c r="R120" s="102" t="s">
        <v>127</v>
      </c>
      <c r="S120" s="689">
        <v>20</v>
      </c>
      <c r="T120" s="689"/>
      <c r="U120" s="47"/>
      <c r="V120" s="185"/>
    </row>
    <row r="121" spans="1:25" ht="18" customHeight="1">
      <c r="A121" s="299"/>
      <c r="B121" s="279"/>
      <c r="C121" s="47" t="s">
        <v>551</v>
      </c>
      <c r="D121" s="14"/>
      <c r="E121" s="14"/>
      <c r="F121" s="14"/>
      <c r="G121" s="14"/>
      <c r="H121" s="279"/>
      <c r="I121" s="120"/>
      <c r="J121" s="279"/>
      <c r="K121" s="279"/>
      <c r="L121" s="14"/>
      <c r="M121" s="14"/>
      <c r="N121" s="279"/>
      <c r="O121" s="279"/>
      <c r="P121" s="14"/>
      <c r="Q121" s="120" t="s">
        <v>493</v>
      </c>
      <c r="R121" s="14"/>
      <c r="S121" s="279"/>
      <c r="T121" s="279"/>
      <c r="U121" s="279"/>
      <c r="V121" s="300"/>
      <c r="W121" s="279"/>
      <c r="X121" s="279"/>
      <c r="Y121" s="279"/>
    </row>
    <row r="122" spans="1:25" ht="18" customHeight="1">
      <c r="A122" s="184"/>
      <c r="V122" s="185"/>
    </row>
    <row r="123" spans="1:25" ht="18" customHeight="1">
      <c r="A123" s="184"/>
      <c r="C123" s="120" t="s">
        <v>493</v>
      </c>
      <c r="D123" s="28" t="s">
        <v>127</v>
      </c>
      <c r="E123" s="28" t="s">
        <v>537</v>
      </c>
      <c r="F123" s="28">
        <v>1.3</v>
      </c>
      <c r="G123" s="28" t="s">
        <v>315</v>
      </c>
      <c r="H123" s="689" t="s">
        <v>473</v>
      </c>
      <c r="I123" s="716"/>
      <c r="J123" s="28" t="s">
        <v>315</v>
      </c>
      <c r="K123" s="28" t="s">
        <v>511</v>
      </c>
      <c r="L123" s="28" t="s">
        <v>541</v>
      </c>
      <c r="M123" s="28" t="s">
        <v>495</v>
      </c>
      <c r="N123" s="47" t="s">
        <v>542</v>
      </c>
      <c r="O123" s="120" t="s">
        <v>491</v>
      </c>
      <c r="V123" s="185"/>
    </row>
    <row r="124" spans="1:25" ht="18" customHeight="1">
      <c r="A124" s="184"/>
      <c r="C124" s="120" t="s">
        <v>493</v>
      </c>
      <c r="D124" s="28" t="s">
        <v>127</v>
      </c>
      <c r="E124" s="28" t="s">
        <v>537</v>
      </c>
      <c r="F124" s="28">
        <v>1.3</v>
      </c>
      <c r="G124" s="28" t="s">
        <v>315</v>
      </c>
      <c r="H124" s="689">
        <f>S116</f>
        <v>1200</v>
      </c>
      <c r="I124" s="716"/>
      <c r="J124" s="28" t="s">
        <v>315</v>
      </c>
      <c r="K124" s="28">
        <f>S119</f>
        <v>1</v>
      </c>
      <c r="L124" s="28" t="s">
        <v>541</v>
      </c>
      <c r="M124" s="28">
        <f>S120</f>
        <v>20</v>
      </c>
      <c r="N124" s="47" t="s">
        <v>542</v>
      </c>
      <c r="O124" s="502">
        <f>S117</f>
        <v>12</v>
      </c>
      <c r="V124" s="185"/>
    </row>
    <row r="125" spans="1:25" ht="18" customHeight="1">
      <c r="A125" s="184"/>
      <c r="D125" s="27" t="s">
        <v>127</v>
      </c>
      <c r="E125" s="684">
        <f>((F124*H124*K124)/M124)-O124</f>
        <v>66</v>
      </c>
      <c r="F125" s="684"/>
      <c r="G125" s="27" t="s">
        <v>157</v>
      </c>
      <c r="V125" s="185"/>
    </row>
    <row r="126" spans="1:25" ht="18" customHeight="1">
      <c r="A126" s="184"/>
      <c r="D126" s="27"/>
      <c r="E126" s="27"/>
      <c r="F126" s="27"/>
      <c r="G126" s="27"/>
      <c r="V126" s="185"/>
    </row>
    <row r="127" spans="1:25" ht="18" customHeight="1">
      <c r="A127" s="184"/>
      <c r="D127" s="27"/>
      <c r="E127" s="27"/>
      <c r="F127" s="27"/>
      <c r="G127" s="27"/>
      <c r="V127" s="185"/>
    </row>
    <row r="128" spans="1:25" ht="18" customHeight="1">
      <c r="A128" s="184"/>
      <c r="D128" s="27"/>
      <c r="E128" s="27"/>
      <c r="F128" s="27"/>
      <c r="G128" s="27"/>
      <c r="V128" s="185"/>
    </row>
    <row r="129" spans="1:22" ht="18" customHeight="1">
      <c r="A129" s="184"/>
      <c r="D129" s="27"/>
      <c r="E129" s="27"/>
      <c r="F129" s="27"/>
      <c r="G129" s="27"/>
      <c r="V129" s="185"/>
    </row>
    <row r="130" spans="1:22" ht="18" customHeight="1">
      <c r="A130" s="184"/>
      <c r="D130" s="27"/>
      <c r="E130" s="27"/>
      <c r="F130" s="27"/>
      <c r="G130" s="27"/>
      <c r="V130" s="185"/>
    </row>
    <row r="131" spans="1:22" ht="18" customHeight="1">
      <c r="A131" s="184"/>
      <c r="V131" s="185"/>
    </row>
    <row r="132" spans="1:22" s="14" customFormat="1" ht="18" customHeight="1">
      <c r="A132" s="194"/>
      <c r="B132" s="195"/>
      <c r="C132" s="195"/>
      <c r="D132" s="195"/>
      <c r="E132" s="195"/>
      <c r="F132" s="195"/>
      <c r="G132" s="195"/>
      <c r="H132" s="195"/>
      <c r="I132" s="195"/>
      <c r="J132" s="195"/>
      <c r="K132" s="195"/>
      <c r="L132" s="195"/>
      <c r="M132" s="195"/>
      <c r="N132" s="195"/>
      <c r="O132" s="195"/>
      <c r="P132" s="195"/>
      <c r="Q132" s="224"/>
      <c r="R132" s="182"/>
      <c r="S132" s="225"/>
      <c r="T132" s="195"/>
      <c r="U132" s="195"/>
      <c r="V132" s="134" t="s">
        <v>552</v>
      </c>
    </row>
    <row r="133" spans="1:22" ht="18" customHeight="1">
      <c r="A133" s="226"/>
      <c r="B133" s="227"/>
      <c r="C133" s="227"/>
      <c r="D133" s="227"/>
      <c r="E133" s="227"/>
      <c r="F133" s="227"/>
      <c r="G133" s="227"/>
      <c r="H133" s="227"/>
      <c r="I133" s="227"/>
      <c r="J133" s="227"/>
      <c r="K133" s="227"/>
      <c r="L133" s="227"/>
      <c r="M133" s="227"/>
      <c r="N133" s="227"/>
      <c r="O133" s="227"/>
      <c r="P133" s="227"/>
      <c r="Q133" s="227"/>
      <c r="R133" s="227"/>
      <c r="S133" s="227"/>
      <c r="T133" s="227"/>
      <c r="U133" s="227"/>
      <c r="V133" s="228"/>
    </row>
    <row r="134" spans="1:22" ht="18" customHeight="1">
      <c r="A134" s="184"/>
      <c r="E134" s="244" t="s">
        <v>111</v>
      </c>
      <c r="F134" s="27" t="s">
        <v>127</v>
      </c>
      <c r="G134" s="689" t="s">
        <v>544</v>
      </c>
      <c r="H134" s="689"/>
      <c r="I134" s="191" t="s">
        <v>342</v>
      </c>
      <c r="J134" s="684" t="s">
        <v>423</v>
      </c>
      <c r="K134" s="684"/>
      <c r="V134" s="185"/>
    </row>
    <row r="135" spans="1:22" ht="18" customHeight="1">
      <c r="A135" s="184"/>
      <c r="F135" s="27" t="s">
        <v>127</v>
      </c>
      <c r="G135" s="684">
        <f>S114</f>
        <v>17140</v>
      </c>
      <c r="H135" s="684"/>
      <c r="I135" s="191" t="s">
        <v>342</v>
      </c>
      <c r="J135" s="684">
        <f>S115</f>
        <v>2000</v>
      </c>
      <c r="K135" s="684"/>
      <c r="V135" s="185"/>
    </row>
    <row r="136" spans="1:22" ht="18" customHeight="1">
      <c r="A136" s="184"/>
      <c r="F136" s="27" t="s">
        <v>127</v>
      </c>
      <c r="G136" s="795">
        <f>G135/J135</f>
        <v>8.57</v>
      </c>
      <c r="H136" s="795"/>
      <c r="I136" s="27"/>
      <c r="J136" s="27"/>
      <c r="K136" s="27"/>
      <c r="V136" s="185"/>
    </row>
    <row r="137" spans="1:22" ht="18" customHeight="1">
      <c r="A137" s="184"/>
      <c r="V137" s="185"/>
    </row>
    <row r="138" spans="1:22" ht="18" customHeight="1">
      <c r="A138" s="184"/>
      <c r="E138" s="244" t="s">
        <v>553</v>
      </c>
      <c r="F138" s="27" t="s">
        <v>127</v>
      </c>
      <c r="G138" s="27" t="s">
        <v>495</v>
      </c>
      <c r="H138" s="27" t="s">
        <v>554</v>
      </c>
      <c r="I138" s="120" t="s">
        <v>491</v>
      </c>
      <c r="J138" s="28" t="s">
        <v>347</v>
      </c>
      <c r="K138" s="120" t="s">
        <v>493</v>
      </c>
      <c r="L138" s="28" t="s">
        <v>539</v>
      </c>
      <c r="M138" s="120" t="s">
        <v>491</v>
      </c>
      <c r="N138" s="28" t="s">
        <v>347</v>
      </c>
      <c r="O138" s="120" t="s">
        <v>512</v>
      </c>
      <c r="P138" s="296" t="s">
        <v>350</v>
      </c>
      <c r="V138" s="185"/>
    </row>
    <row r="139" spans="1:22" ht="18" customHeight="1">
      <c r="A139" s="184"/>
      <c r="F139" s="27" t="s">
        <v>127</v>
      </c>
      <c r="G139" s="242">
        <f>S120</f>
        <v>20</v>
      </c>
      <c r="H139" s="245" t="s">
        <v>554</v>
      </c>
      <c r="I139" s="301">
        <f>S117</f>
        <v>12</v>
      </c>
      <c r="J139" s="245" t="s">
        <v>347</v>
      </c>
      <c r="K139" s="301">
        <f>E125</f>
        <v>66</v>
      </c>
      <c r="L139" s="245" t="s">
        <v>539</v>
      </c>
      <c r="M139" s="301">
        <f>S117</f>
        <v>12</v>
      </c>
      <c r="N139" s="245" t="s">
        <v>347</v>
      </c>
      <c r="O139" s="301">
        <f>S118</f>
        <v>0.23593310000000001</v>
      </c>
      <c r="P139" s="461" t="s">
        <v>350</v>
      </c>
      <c r="V139" s="185"/>
    </row>
    <row r="140" spans="1:22" ht="18" customHeight="1">
      <c r="A140" s="184"/>
      <c r="F140" s="27" t="s">
        <v>127</v>
      </c>
      <c r="G140" s="795">
        <f>G139*((I139+K139)/(M139+O139))</f>
        <v>127.49334172152346</v>
      </c>
      <c r="H140" s="795"/>
      <c r="V140" s="185"/>
    </row>
    <row r="141" spans="1:22" ht="18" customHeight="1">
      <c r="A141" s="184"/>
      <c r="V141" s="185"/>
    </row>
    <row r="142" spans="1:22" ht="18" customHeight="1">
      <c r="A142" s="184"/>
      <c r="E142" s="244" t="s">
        <v>555</v>
      </c>
      <c r="F142" s="27" t="str">
        <f>IF(D143&gt;G143,"&gt;","&lt;")</f>
        <v>&gt;</v>
      </c>
      <c r="G142" s="296" t="s">
        <v>111</v>
      </c>
      <c r="V142" s="185"/>
    </row>
    <row r="143" spans="1:22" ht="18" customHeight="1">
      <c r="A143" s="184"/>
      <c r="D143" s="795">
        <f>G140</f>
        <v>127.49334172152346</v>
      </c>
      <c r="E143" s="795"/>
      <c r="F143" s="27" t="str">
        <f>F142</f>
        <v>&gt;</v>
      </c>
      <c r="G143" s="795">
        <f>G136</f>
        <v>8.57</v>
      </c>
      <c r="H143" s="795"/>
      <c r="V143" s="185"/>
    </row>
    <row r="144" spans="1:22" ht="18" customHeight="1">
      <c r="A144" s="184"/>
      <c r="E144" s="244" t="s">
        <v>478</v>
      </c>
      <c r="G144" s="18" t="str">
        <f>IF(F142="&gt;","Suitably Dimentioned","Under Dimentioned")</f>
        <v>Suitably Dimentioned</v>
      </c>
      <c r="V144" s="185"/>
    </row>
    <row r="145" spans="1:22" ht="18" customHeight="1">
      <c r="A145" s="184"/>
      <c r="V145" s="185"/>
    </row>
    <row r="146" spans="1:22" ht="18" customHeight="1">
      <c r="A146" s="184"/>
      <c r="V146" s="185"/>
    </row>
    <row r="147" spans="1:22" ht="18" customHeight="1">
      <c r="A147" s="184"/>
      <c r="V147" s="185"/>
    </row>
    <row r="148" spans="1:22" ht="18" customHeight="1">
      <c r="A148" s="184"/>
      <c r="V148" s="185"/>
    </row>
    <row r="149" spans="1:22" ht="18" customHeight="1">
      <c r="A149" s="184"/>
      <c r="V149" s="185"/>
    </row>
    <row r="150" spans="1:22" ht="18" customHeight="1">
      <c r="A150" s="184"/>
      <c r="V150" s="185"/>
    </row>
    <row r="151" spans="1:22" ht="18" customHeight="1">
      <c r="A151" s="184"/>
      <c r="V151" s="185"/>
    </row>
    <row r="152" spans="1:22" ht="18" customHeight="1">
      <c r="A152" s="184"/>
      <c r="V152" s="185"/>
    </row>
    <row r="153" spans="1:22" ht="18" customHeight="1">
      <c r="A153" s="184"/>
      <c r="V153" s="185"/>
    </row>
    <row r="154" spans="1:22" ht="18" customHeight="1">
      <c r="A154" s="184"/>
      <c r="V154" s="185"/>
    </row>
    <row r="155" spans="1:22" ht="18" customHeight="1">
      <c r="A155" s="184"/>
      <c r="V155" s="185"/>
    </row>
    <row r="156" spans="1:22" ht="18" customHeight="1">
      <c r="A156" s="184"/>
      <c r="V156" s="185"/>
    </row>
    <row r="157" spans="1:22" ht="18" customHeight="1">
      <c r="A157" s="184"/>
      <c r="V157" s="185"/>
    </row>
    <row r="158" spans="1:22" ht="18" customHeight="1">
      <c r="A158" s="184"/>
      <c r="V158" s="185"/>
    </row>
    <row r="159" spans="1:22" ht="18" customHeight="1">
      <c r="A159" s="184"/>
      <c r="V159" s="185"/>
    </row>
    <row r="160" spans="1:22" ht="18" customHeight="1">
      <c r="A160" s="184"/>
      <c r="V160" s="185"/>
    </row>
    <row r="161" spans="1:22" ht="18" customHeight="1">
      <c r="A161" s="184"/>
      <c r="V161" s="185"/>
    </row>
    <row r="162" spans="1:22" ht="18" customHeight="1">
      <c r="A162" s="184"/>
      <c r="V162" s="185"/>
    </row>
    <row r="163" spans="1:22" ht="18" customHeight="1">
      <c r="A163" s="184"/>
      <c r="V163" s="185"/>
    </row>
    <row r="164" spans="1:22" ht="18" customHeight="1">
      <c r="A164" s="184"/>
      <c r="V164" s="185"/>
    </row>
    <row r="165" spans="1:22" ht="18" customHeight="1">
      <c r="A165" s="184"/>
      <c r="V165" s="185"/>
    </row>
    <row r="166" spans="1:22" ht="18" customHeight="1">
      <c r="A166" s="184"/>
      <c r="V166" s="185"/>
    </row>
    <row r="167" spans="1:22" ht="18" customHeight="1">
      <c r="A167" s="184"/>
      <c r="V167" s="185"/>
    </row>
    <row r="168" spans="1:22" ht="18" customHeight="1">
      <c r="A168" s="184"/>
      <c r="V168" s="185"/>
    </row>
    <row r="169" spans="1:22" ht="18" customHeight="1">
      <c r="A169" s="184"/>
      <c r="V169" s="185"/>
    </row>
    <row r="170" spans="1:22" ht="18" customHeight="1">
      <c r="A170" s="184"/>
      <c r="V170" s="185"/>
    </row>
    <row r="171" spans="1:22" ht="18" customHeight="1">
      <c r="A171" s="184"/>
      <c r="V171" s="185"/>
    </row>
    <row r="172" spans="1:22" ht="18" customHeight="1">
      <c r="A172" s="184"/>
      <c r="V172" s="185"/>
    </row>
    <row r="173" spans="1:22" ht="18" customHeight="1">
      <c r="A173" s="184"/>
      <c r="V173" s="185"/>
    </row>
    <row r="174" spans="1:22" ht="18" customHeight="1">
      <c r="A174" s="184"/>
      <c r="V174" s="185"/>
    </row>
    <row r="175" spans="1:22" ht="18" customHeight="1">
      <c r="A175" s="184"/>
      <c r="V175" s="185"/>
    </row>
    <row r="176" spans="1:22" s="14" customFormat="1" ht="18" customHeight="1">
      <c r="A176" s="194"/>
      <c r="B176" s="195"/>
      <c r="C176" s="195"/>
      <c r="D176" s="195"/>
      <c r="E176" s="195"/>
      <c r="F176" s="195"/>
      <c r="G176" s="195"/>
      <c r="H176" s="195"/>
      <c r="I176" s="195"/>
      <c r="J176" s="195"/>
      <c r="K176" s="195"/>
      <c r="L176" s="195"/>
      <c r="M176" s="195"/>
      <c r="N176" s="195"/>
      <c r="O176" s="195"/>
      <c r="P176" s="195"/>
      <c r="Q176" s="224"/>
      <c r="R176" s="182"/>
      <c r="S176" s="225"/>
      <c r="T176" s="195"/>
      <c r="U176" s="195"/>
      <c r="V176" s="134" t="s">
        <v>552</v>
      </c>
    </row>
    <row r="177" spans="1:23" ht="18" customHeight="1">
      <c r="A177" s="226"/>
      <c r="B177" s="227"/>
      <c r="C177" s="227"/>
      <c r="D177" s="227"/>
      <c r="E177" s="227"/>
      <c r="F177" s="227"/>
      <c r="G177" s="227"/>
      <c r="H177" s="227"/>
      <c r="I177" s="227"/>
      <c r="J177" s="227"/>
      <c r="K177" s="227"/>
      <c r="L177" s="227"/>
      <c r="M177" s="227"/>
      <c r="N177" s="227"/>
      <c r="O177" s="227"/>
      <c r="P177" s="227"/>
      <c r="Q177" s="227"/>
      <c r="R177" s="227"/>
      <c r="S177" s="227"/>
      <c r="T177" s="227"/>
      <c r="U177" s="227"/>
      <c r="V177" s="228"/>
    </row>
    <row r="178" spans="1:23" ht="18" customHeight="1">
      <c r="A178" s="184"/>
      <c r="B178" s="854" t="str">
        <f>B90</f>
        <v>CT1L</v>
      </c>
      <c r="C178" s="831"/>
      <c r="D178" s="853" t="str">
        <f>D90</f>
        <v>Core1</v>
      </c>
      <c r="E178" s="765"/>
      <c r="F178" s="455"/>
      <c r="H178" s="684" t="str">
        <f>H90</f>
        <v>(OC+FMS+BFR)</v>
      </c>
      <c r="I178" s="684"/>
      <c r="J178" s="684"/>
      <c r="K178" s="684"/>
      <c r="L178" s="684"/>
      <c r="M178" s="684"/>
      <c r="P178" s="186"/>
      <c r="S178" s="187" t="s">
        <v>387</v>
      </c>
      <c r="T178" s="1123">
        <f>T90</f>
        <v>0</v>
      </c>
      <c r="U178" s="1124"/>
      <c r="V178" s="185"/>
    </row>
    <row r="179" spans="1:23" ht="18" customHeight="1">
      <c r="A179" s="456"/>
      <c r="F179" s="455"/>
      <c r="T179" s="1123">
        <f>T91</f>
        <v>0</v>
      </c>
      <c r="U179" s="1124"/>
      <c r="V179" s="185"/>
    </row>
    <row r="180" spans="1:23" ht="18" customHeight="1">
      <c r="A180" s="184"/>
      <c r="H180" s="708" t="s">
        <v>390</v>
      </c>
      <c r="I180" s="708"/>
      <c r="J180" s="708" t="s">
        <v>391</v>
      </c>
      <c r="K180" s="708"/>
      <c r="L180" s="789" t="s">
        <v>392</v>
      </c>
      <c r="M180" s="789"/>
      <c r="T180" s="1123">
        <f>T92</f>
        <v>0</v>
      </c>
      <c r="U180" s="1124"/>
      <c r="V180" s="185"/>
    </row>
    <row r="181" spans="1:23" ht="18" customHeight="1">
      <c r="A181" s="184"/>
      <c r="B181" s="47" t="s">
        <v>393</v>
      </c>
      <c r="H181" s="854">
        <f>H93</f>
        <v>800</v>
      </c>
      <c r="I181" s="831"/>
      <c r="J181" s="854">
        <f>J93</f>
        <v>2000</v>
      </c>
      <c r="K181" s="831"/>
      <c r="L181" s="863">
        <f>L93</f>
        <v>1000</v>
      </c>
      <c r="M181" s="864"/>
      <c r="N181" s="191" t="s">
        <v>342</v>
      </c>
      <c r="O181" s="256">
        <f>O93</f>
        <v>1</v>
      </c>
      <c r="P181" s="27" t="s">
        <v>8</v>
      </c>
      <c r="R181" s="255"/>
      <c r="S181" s="255"/>
      <c r="V181" s="185"/>
    </row>
    <row r="182" spans="1:23" ht="18" customHeight="1">
      <c r="A182" s="184"/>
      <c r="B182" s="47" t="s">
        <v>394</v>
      </c>
      <c r="L182" s="854" t="str">
        <f>J94</f>
        <v>PX</v>
      </c>
      <c r="M182" s="831"/>
      <c r="V182" s="185"/>
    </row>
    <row r="183" spans="1:23" ht="18" customHeight="1">
      <c r="A183" s="184"/>
      <c r="B183" s="47" t="s">
        <v>396</v>
      </c>
      <c r="K183" s="120" t="s">
        <v>497</v>
      </c>
      <c r="L183" s="1075">
        <v>8</v>
      </c>
      <c r="M183" s="1076"/>
      <c r="N183" s="192" t="s">
        <v>333</v>
      </c>
      <c r="V183" s="185"/>
    </row>
    <row r="184" spans="1:23" ht="18" customHeight="1">
      <c r="A184" s="184"/>
      <c r="B184" s="47" t="s">
        <v>398</v>
      </c>
      <c r="K184" s="120" t="s">
        <v>498</v>
      </c>
      <c r="L184" s="1075">
        <v>800</v>
      </c>
      <c r="M184" s="1076"/>
      <c r="N184" s="14" t="s">
        <v>305</v>
      </c>
      <c r="V184" s="185"/>
      <c r="W184" s="30" t="str">
        <f>G232</f>
        <v>Suitably Dimentioned</v>
      </c>
    </row>
    <row r="185" spans="1:23" ht="18" customHeight="1">
      <c r="A185" s="184"/>
      <c r="B185" s="14" t="s">
        <v>401</v>
      </c>
      <c r="K185" s="120" t="s">
        <v>402</v>
      </c>
      <c r="L185" s="1075">
        <v>75</v>
      </c>
      <c r="M185" s="1076"/>
      <c r="N185" s="14" t="s">
        <v>403</v>
      </c>
      <c r="V185" s="185"/>
    </row>
    <row r="186" spans="1:23" ht="18" customHeight="1">
      <c r="A186" s="184"/>
      <c r="V186" s="185"/>
    </row>
    <row r="187" spans="1:23" ht="18" customHeight="1">
      <c r="A187" s="193" t="s">
        <v>404</v>
      </c>
      <c r="V187" s="185"/>
    </row>
    <row r="188" spans="1:23" ht="18" customHeight="1">
      <c r="A188" s="184"/>
      <c r="V188" s="185"/>
    </row>
    <row r="189" spans="1:23" ht="18" customHeight="1">
      <c r="A189" s="184"/>
      <c r="B189" s="135" t="s">
        <v>405</v>
      </c>
      <c r="C189" s="273"/>
      <c r="D189" s="139">
        <f>T178</f>
        <v>0</v>
      </c>
      <c r="E189" s="227"/>
      <c r="F189" s="227"/>
      <c r="G189" s="227"/>
      <c r="H189" s="138"/>
      <c r="I189" s="260" t="s">
        <v>127</v>
      </c>
      <c r="J189" s="722">
        <f>J101</f>
        <v>0</v>
      </c>
      <c r="K189" s="958"/>
      <c r="L189" s="3" t="s">
        <v>157</v>
      </c>
      <c r="N189" s="197" t="s">
        <v>510</v>
      </c>
      <c r="V189" s="185"/>
    </row>
    <row r="190" spans="1:23" ht="18" customHeight="1">
      <c r="A190" s="184"/>
      <c r="B190" s="96" t="s">
        <v>405</v>
      </c>
      <c r="C190" s="14"/>
      <c r="D190" s="47">
        <f>T179</f>
        <v>0</v>
      </c>
      <c r="H190" s="28"/>
      <c r="I190" s="101" t="s">
        <v>127</v>
      </c>
      <c r="J190" s="722">
        <f>J102</f>
        <v>0</v>
      </c>
      <c r="K190" s="958"/>
      <c r="L190" s="3" t="s">
        <v>157</v>
      </c>
      <c r="N190" s="120" t="s">
        <v>491</v>
      </c>
      <c r="O190" s="27" t="s">
        <v>127</v>
      </c>
      <c r="P190" s="27" t="s">
        <v>511</v>
      </c>
      <c r="Q190" s="27" t="s">
        <v>315</v>
      </c>
      <c r="R190" s="27" t="s">
        <v>511</v>
      </c>
      <c r="S190" s="27" t="s">
        <v>315</v>
      </c>
      <c r="T190" s="27" t="s">
        <v>420</v>
      </c>
      <c r="V190" s="185"/>
    </row>
    <row r="191" spans="1:23" ht="18" customHeight="1">
      <c r="A191" s="184"/>
      <c r="B191" s="96" t="s">
        <v>405</v>
      </c>
      <c r="C191" s="14"/>
      <c r="D191" s="47">
        <f>T180</f>
        <v>0</v>
      </c>
      <c r="H191" s="28"/>
      <c r="I191" s="101" t="s">
        <v>127</v>
      </c>
      <c r="J191" s="722">
        <f>J103</f>
        <v>0</v>
      </c>
      <c r="K191" s="958"/>
      <c r="L191" s="3" t="s">
        <v>157</v>
      </c>
      <c r="N191" s="27"/>
      <c r="O191" s="27" t="s">
        <v>127</v>
      </c>
      <c r="P191" s="27">
        <f>O181</f>
        <v>1</v>
      </c>
      <c r="Q191" s="27" t="s">
        <v>315</v>
      </c>
      <c r="R191" s="27">
        <f>O181</f>
        <v>1</v>
      </c>
      <c r="S191" s="27" t="s">
        <v>315</v>
      </c>
      <c r="T191" s="27">
        <f>L183</f>
        <v>8</v>
      </c>
      <c r="V191" s="185"/>
    </row>
    <row r="192" spans="1:23" ht="18" customHeight="1">
      <c r="A192" s="184"/>
      <c r="B192" s="452" t="s">
        <v>412</v>
      </c>
      <c r="C192" s="259"/>
      <c r="D192" s="259"/>
      <c r="E192" s="259"/>
      <c r="F192" s="207"/>
      <c r="G192" s="207"/>
      <c r="H192" s="190"/>
      <c r="I192" s="208" t="s">
        <v>127</v>
      </c>
      <c r="J192" s="1120">
        <f>J104</f>
        <v>0.23593310000000001</v>
      </c>
      <c r="K192" s="987"/>
      <c r="L192" s="297" t="s">
        <v>157</v>
      </c>
      <c r="O192" s="27" t="s">
        <v>127</v>
      </c>
      <c r="P192" s="795">
        <f>P191*R191*T191</f>
        <v>8</v>
      </c>
      <c r="Q192" s="684"/>
      <c r="R192" s="27" t="s">
        <v>157</v>
      </c>
      <c r="V192" s="185"/>
    </row>
    <row r="193" spans="1:25" ht="18" customHeight="1">
      <c r="A193" s="184"/>
      <c r="B193" s="1" t="s">
        <v>413</v>
      </c>
      <c r="C193" s="2"/>
      <c r="D193" s="2"/>
      <c r="E193" s="2"/>
      <c r="F193" s="196"/>
      <c r="G193" s="196"/>
      <c r="H193" s="224" t="s">
        <v>512</v>
      </c>
      <c r="I193" s="183" t="s">
        <v>127</v>
      </c>
      <c r="J193" s="722">
        <f>SUM(J189:J192)</f>
        <v>0.23593310000000001</v>
      </c>
      <c r="K193" s="958"/>
      <c r="L193" s="3" t="s">
        <v>157</v>
      </c>
      <c r="V193" s="185"/>
    </row>
    <row r="194" spans="1:25" ht="18" customHeight="1">
      <c r="A194" s="184"/>
      <c r="B194" s="47"/>
      <c r="C194" s="47"/>
      <c r="D194" s="47"/>
      <c r="E194" s="47"/>
      <c r="H194" s="27"/>
      <c r="I194" s="28"/>
      <c r="J194" s="199"/>
      <c r="L194" s="47"/>
      <c r="S194" s="27"/>
      <c r="V194" s="185"/>
    </row>
    <row r="195" spans="1:25" ht="18" customHeight="1">
      <c r="A195" s="1206" t="s">
        <v>536</v>
      </c>
      <c r="B195" s="1207"/>
      <c r="C195" s="1207"/>
      <c r="D195" s="1207"/>
      <c r="E195" s="1207"/>
      <c r="F195" s="1207"/>
      <c r="G195" s="1207"/>
      <c r="H195" s="1207"/>
      <c r="I195" s="1207"/>
      <c r="J195" s="1207"/>
      <c r="K195" s="1207"/>
      <c r="L195" s="1207"/>
      <c r="M195" s="1207"/>
      <c r="N195" s="1207"/>
      <c r="O195" s="1207"/>
      <c r="P195" s="1207"/>
      <c r="Q195" s="1207"/>
      <c r="R195" s="1207"/>
      <c r="S195" s="1207"/>
      <c r="T195" s="1207"/>
      <c r="U195" s="1207"/>
      <c r="V195" s="1208"/>
    </row>
    <row r="196" spans="1:25" ht="18" customHeight="1">
      <c r="A196" s="1209"/>
      <c r="B196" s="1207"/>
      <c r="C196" s="1207"/>
      <c r="D196" s="1207"/>
      <c r="E196" s="1207"/>
      <c r="F196" s="1207"/>
      <c r="G196" s="1207"/>
      <c r="H196" s="1207"/>
      <c r="I196" s="1207"/>
      <c r="J196" s="1207"/>
      <c r="K196" s="1207"/>
      <c r="L196" s="1207"/>
      <c r="M196" s="1207"/>
      <c r="N196" s="1207"/>
      <c r="O196" s="1207"/>
      <c r="P196" s="1207"/>
      <c r="Q196" s="1207"/>
      <c r="R196" s="1207"/>
      <c r="S196" s="1207"/>
      <c r="T196" s="1207"/>
      <c r="U196" s="1207"/>
      <c r="V196" s="1208"/>
    </row>
    <row r="197" spans="1:25" ht="18" customHeight="1">
      <c r="A197" s="184"/>
      <c r="Q197" s="211"/>
      <c r="R197" s="192"/>
      <c r="V197" s="185"/>
    </row>
    <row r="198" spans="1:25" ht="18" customHeight="1">
      <c r="A198" s="184"/>
      <c r="C198" s="14" t="s">
        <v>473</v>
      </c>
      <c r="D198" s="28" t="s">
        <v>127</v>
      </c>
      <c r="E198" s="28" t="s">
        <v>537</v>
      </c>
      <c r="F198" s="120" t="s">
        <v>493</v>
      </c>
      <c r="G198" s="28" t="s">
        <v>347</v>
      </c>
      <c r="H198" s="120" t="s">
        <v>491</v>
      </c>
      <c r="I198" s="28" t="s">
        <v>538</v>
      </c>
      <c r="J198" s="28" t="s">
        <v>495</v>
      </c>
      <c r="K198" s="28" t="s">
        <v>539</v>
      </c>
      <c r="L198" s="28" t="s">
        <v>511</v>
      </c>
      <c r="M198" s="28" t="s">
        <v>315</v>
      </c>
      <c r="N198" s="28">
        <v>1.3</v>
      </c>
      <c r="O198" s="47" t="s">
        <v>350</v>
      </c>
      <c r="V198" s="185"/>
    </row>
    <row r="199" spans="1:25" ht="18" customHeight="1">
      <c r="A199" s="184" t="s">
        <v>540</v>
      </c>
      <c r="C199" s="14"/>
      <c r="D199" s="28"/>
      <c r="E199" s="14"/>
      <c r="F199" s="14"/>
      <c r="G199" s="14"/>
      <c r="H199" s="14"/>
      <c r="I199" s="14"/>
      <c r="J199" s="14"/>
      <c r="K199" s="14"/>
      <c r="L199" s="14"/>
      <c r="M199" s="14"/>
      <c r="N199" s="14"/>
      <c r="O199" s="14"/>
      <c r="V199" s="185"/>
    </row>
    <row r="200" spans="1:25" ht="18" customHeight="1">
      <c r="A200" s="184"/>
      <c r="C200" s="120" t="s">
        <v>493</v>
      </c>
      <c r="D200" s="28" t="s">
        <v>127</v>
      </c>
      <c r="E200" s="28" t="s">
        <v>537</v>
      </c>
      <c r="F200" s="28">
        <v>1.3</v>
      </c>
      <c r="G200" s="28" t="s">
        <v>315</v>
      </c>
      <c r="H200" s="689" t="s">
        <v>473</v>
      </c>
      <c r="I200" s="716"/>
      <c r="J200" s="28" t="s">
        <v>315</v>
      </c>
      <c r="K200" s="28" t="s">
        <v>511</v>
      </c>
      <c r="L200" s="28" t="s">
        <v>541</v>
      </c>
      <c r="M200" s="28" t="s">
        <v>495</v>
      </c>
      <c r="N200" s="47" t="s">
        <v>542</v>
      </c>
      <c r="O200" s="120" t="s">
        <v>491</v>
      </c>
      <c r="V200" s="185"/>
    </row>
    <row r="201" spans="1:25" ht="18" customHeight="1">
      <c r="A201" s="184"/>
      <c r="V201" s="185"/>
    </row>
    <row r="202" spans="1:25" ht="18" customHeight="1">
      <c r="A202" s="168"/>
      <c r="B202" s="5"/>
      <c r="C202" s="47" t="s">
        <v>543</v>
      </c>
      <c r="D202" s="14"/>
      <c r="E202" s="14"/>
      <c r="F202" s="14"/>
      <c r="G202" s="14"/>
      <c r="H202" s="279"/>
      <c r="I202" s="120"/>
      <c r="J202" s="279"/>
      <c r="K202" s="279"/>
      <c r="L202" s="14"/>
      <c r="M202" s="14"/>
      <c r="N202" s="14"/>
      <c r="O202" s="14"/>
      <c r="P202" s="14"/>
      <c r="Q202" s="120" t="s">
        <v>544</v>
      </c>
      <c r="R202" s="102" t="s">
        <v>127</v>
      </c>
      <c r="S202" s="689">
        <f>S114</f>
        <v>17140</v>
      </c>
      <c r="T202" s="689"/>
      <c r="U202" s="47" t="s">
        <v>8</v>
      </c>
      <c r="V202" s="185"/>
    </row>
    <row r="203" spans="1:25" ht="18" customHeight="1">
      <c r="A203" s="168"/>
      <c r="B203" s="5"/>
      <c r="C203" s="47" t="s">
        <v>545</v>
      </c>
      <c r="D203" s="14"/>
      <c r="E203" s="14"/>
      <c r="F203" s="18"/>
      <c r="G203" s="18"/>
      <c r="H203" s="279"/>
      <c r="I203" s="120"/>
      <c r="J203" s="279"/>
      <c r="K203" s="279"/>
      <c r="L203" s="14"/>
      <c r="M203" s="14"/>
      <c r="N203" s="14"/>
      <c r="O203" s="14"/>
      <c r="P203" s="14"/>
      <c r="Q203" s="120" t="s">
        <v>423</v>
      </c>
      <c r="R203" s="102" t="s">
        <v>127</v>
      </c>
      <c r="S203" s="689">
        <f>L181</f>
        <v>1000</v>
      </c>
      <c r="T203" s="689"/>
      <c r="U203" s="14" t="s">
        <v>8</v>
      </c>
      <c r="V203" s="185"/>
    </row>
    <row r="204" spans="1:25" ht="18" customHeight="1">
      <c r="A204" s="168"/>
      <c r="B204" s="5"/>
      <c r="C204" s="47" t="s">
        <v>546</v>
      </c>
      <c r="D204" s="14"/>
      <c r="E204" s="14"/>
      <c r="F204" s="18"/>
      <c r="G204" s="18"/>
      <c r="H204" s="279"/>
      <c r="I204" s="120"/>
      <c r="J204" s="279"/>
      <c r="K204" s="279"/>
      <c r="L204" s="14"/>
      <c r="M204" s="14"/>
      <c r="N204" s="14"/>
      <c r="O204" s="14"/>
      <c r="P204" s="14"/>
      <c r="Q204" s="120" t="s">
        <v>473</v>
      </c>
      <c r="R204" s="102" t="s">
        <v>127</v>
      </c>
      <c r="S204" s="689">
        <f>L184</f>
        <v>800</v>
      </c>
      <c r="T204" s="689"/>
      <c r="U204" s="14" t="s">
        <v>305</v>
      </c>
      <c r="V204" s="185"/>
    </row>
    <row r="205" spans="1:25" ht="18" customHeight="1">
      <c r="A205" s="168"/>
      <c r="B205" s="5"/>
      <c r="C205" s="47" t="s">
        <v>547</v>
      </c>
      <c r="D205" s="14"/>
      <c r="E205" s="14"/>
      <c r="F205" s="18"/>
      <c r="G205" s="18"/>
      <c r="H205" s="279"/>
      <c r="I205" s="120"/>
      <c r="J205" s="279"/>
      <c r="K205" s="279"/>
      <c r="L205" s="14"/>
      <c r="M205" s="14"/>
      <c r="N205" s="14"/>
      <c r="O205" s="14"/>
      <c r="P205" s="14"/>
      <c r="Q205" s="120" t="s">
        <v>491</v>
      </c>
      <c r="R205" s="102" t="s">
        <v>127</v>
      </c>
      <c r="S205" s="692">
        <f>P192</f>
        <v>8</v>
      </c>
      <c r="T205" s="689"/>
      <c r="U205" s="14" t="s">
        <v>157</v>
      </c>
      <c r="V205" s="185"/>
      <c r="W205" s="279"/>
      <c r="X205" s="279"/>
      <c r="Y205" s="279"/>
    </row>
    <row r="206" spans="1:25" ht="18" customHeight="1">
      <c r="A206" s="168"/>
      <c r="B206" s="5"/>
      <c r="C206" s="47" t="s">
        <v>548</v>
      </c>
      <c r="D206" s="14"/>
      <c r="E206" s="14"/>
      <c r="F206" s="18"/>
      <c r="G206" s="18"/>
      <c r="H206" s="279"/>
      <c r="I206" s="120"/>
      <c r="J206" s="279"/>
      <c r="K206" s="279"/>
      <c r="L206" s="14"/>
      <c r="M206" s="14"/>
      <c r="N206" s="14"/>
      <c r="O206" s="14"/>
      <c r="P206" s="14"/>
      <c r="Q206" s="120" t="s">
        <v>512</v>
      </c>
      <c r="R206" s="102" t="s">
        <v>127</v>
      </c>
      <c r="S206" s="692">
        <f>J193</f>
        <v>0.23593310000000001</v>
      </c>
      <c r="T206" s="689"/>
      <c r="U206" s="14" t="s">
        <v>157</v>
      </c>
      <c r="V206" s="185"/>
      <c r="X206" s="279"/>
      <c r="Y206" s="279"/>
    </row>
    <row r="207" spans="1:25" ht="18" customHeight="1">
      <c r="A207" s="168"/>
      <c r="B207" s="5"/>
      <c r="C207" s="47" t="s">
        <v>549</v>
      </c>
      <c r="D207" s="14"/>
      <c r="E207" s="14"/>
      <c r="F207" s="14"/>
      <c r="G207" s="14"/>
      <c r="H207" s="279"/>
      <c r="I207" s="120"/>
      <c r="J207" s="279"/>
      <c r="K207" s="279"/>
      <c r="L207" s="14"/>
      <c r="M207" s="14"/>
      <c r="N207" s="14"/>
      <c r="O207" s="14"/>
      <c r="P207" s="14"/>
      <c r="Q207" s="120" t="s">
        <v>511</v>
      </c>
      <c r="R207" s="102" t="s">
        <v>127</v>
      </c>
      <c r="S207" s="689">
        <f>O181</f>
        <v>1</v>
      </c>
      <c r="T207" s="689"/>
      <c r="U207" s="14" t="s">
        <v>8</v>
      </c>
      <c r="V207" s="185"/>
      <c r="X207" s="279"/>
      <c r="Y207" s="279"/>
    </row>
    <row r="208" spans="1:25" ht="18" customHeight="1">
      <c r="A208" s="168"/>
      <c r="B208" s="5"/>
      <c r="C208" s="47" t="s">
        <v>550</v>
      </c>
      <c r="D208" s="14"/>
      <c r="E208" s="14"/>
      <c r="F208" s="14"/>
      <c r="G208" s="14"/>
      <c r="H208" s="279"/>
      <c r="I208" s="120"/>
      <c r="J208" s="279"/>
      <c r="K208" s="279"/>
      <c r="L208" s="14"/>
      <c r="M208" s="14"/>
      <c r="N208" s="14"/>
      <c r="O208" s="14"/>
      <c r="P208" s="14"/>
      <c r="Q208" s="120" t="s">
        <v>495</v>
      </c>
      <c r="R208" s="102" t="s">
        <v>127</v>
      </c>
      <c r="S208" s="689">
        <v>20</v>
      </c>
      <c r="T208" s="689"/>
      <c r="U208" s="47"/>
      <c r="V208" s="185"/>
    </row>
    <row r="209" spans="1:25" ht="18" customHeight="1">
      <c r="A209" s="299"/>
      <c r="B209" s="279"/>
      <c r="C209" s="47" t="s">
        <v>551</v>
      </c>
      <c r="D209" s="14"/>
      <c r="E209" s="14"/>
      <c r="F209" s="14"/>
      <c r="G209" s="14"/>
      <c r="H209" s="279"/>
      <c r="I209" s="120"/>
      <c r="J209" s="279"/>
      <c r="K209" s="279"/>
      <c r="L209" s="14"/>
      <c r="M209" s="14"/>
      <c r="N209" s="279"/>
      <c r="O209" s="279"/>
      <c r="P209" s="14"/>
      <c r="Q209" s="120" t="s">
        <v>493</v>
      </c>
      <c r="R209" s="14"/>
      <c r="S209" s="279"/>
      <c r="T209" s="279"/>
      <c r="U209" s="279"/>
      <c r="V209" s="300"/>
      <c r="W209" s="279"/>
      <c r="X209" s="279"/>
      <c r="Y209" s="279"/>
    </row>
    <row r="210" spans="1:25" ht="18" customHeight="1">
      <c r="A210" s="184"/>
      <c r="V210" s="185"/>
    </row>
    <row r="211" spans="1:25" ht="18" customHeight="1">
      <c r="A211" s="184"/>
      <c r="C211" s="120" t="s">
        <v>493</v>
      </c>
      <c r="D211" s="28" t="s">
        <v>127</v>
      </c>
      <c r="E211" s="28" t="s">
        <v>537</v>
      </c>
      <c r="F211" s="28">
        <v>1.3</v>
      </c>
      <c r="G211" s="28" t="s">
        <v>315</v>
      </c>
      <c r="H211" s="689" t="s">
        <v>473</v>
      </c>
      <c r="I211" s="716"/>
      <c r="J211" s="28" t="s">
        <v>315</v>
      </c>
      <c r="K211" s="28" t="s">
        <v>511</v>
      </c>
      <c r="L211" s="28" t="s">
        <v>541</v>
      </c>
      <c r="M211" s="28" t="s">
        <v>495</v>
      </c>
      <c r="N211" s="47" t="s">
        <v>542</v>
      </c>
      <c r="O211" s="120" t="s">
        <v>491</v>
      </c>
      <c r="V211" s="185"/>
    </row>
    <row r="212" spans="1:25" ht="18" customHeight="1">
      <c r="A212" s="184"/>
      <c r="C212" s="120" t="s">
        <v>493</v>
      </c>
      <c r="D212" s="28" t="s">
        <v>127</v>
      </c>
      <c r="E212" s="28" t="s">
        <v>537</v>
      </c>
      <c r="F212" s="28">
        <v>1.3</v>
      </c>
      <c r="G212" s="28" t="s">
        <v>315</v>
      </c>
      <c r="H212" s="689">
        <f>S204</f>
        <v>800</v>
      </c>
      <c r="I212" s="716"/>
      <c r="J212" s="28" t="s">
        <v>315</v>
      </c>
      <c r="K212" s="28">
        <f>S207</f>
        <v>1</v>
      </c>
      <c r="L212" s="28" t="s">
        <v>541</v>
      </c>
      <c r="M212" s="28">
        <f>S208</f>
        <v>20</v>
      </c>
      <c r="N212" s="47" t="s">
        <v>542</v>
      </c>
      <c r="O212" s="502">
        <f>S205</f>
        <v>8</v>
      </c>
      <c r="V212" s="185"/>
    </row>
    <row r="213" spans="1:25" ht="18" customHeight="1">
      <c r="A213" s="184"/>
      <c r="D213" s="27" t="s">
        <v>127</v>
      </c>
      <c r="E213" s="684">
        <f>((F212*H212*K212)/M212)-O212</f>
        <v>44</v>
      </c>
      <c r="F213" s="684"/>
      <c r="G213" s="27" t="s">
        <v>157</v>
      </c>
      <c r="V213" s="185"/>
    </row>
    <row r="214" spans="1:25" ht="18" customHeight="1">
      <c r="A214" s="184"/>
      <c r="D214" s="27"/>
      <c r="E214" s="27"/>
      <c r="F214" s="27"/>
      <c r="G214" s="27"/>
      <c r="V214" s="185"/>
    </row>
    <row r="215" spans="1:25" ht="18" customHeight="1">
      <c r="A215" s="184"/>
      <c r="D215" s="27"/>
      <c r="E215" s="27"/>
      <c r="F215" s="27"/>
      <c r="G215" s="27"/>
      <c r="V215" s="185"/>
    </row>
    <row r="216" spans="1:25" ht="18" customHeight="1">
      <c r="A216" s="184"/>
      <c r="D216" s="27"/>
      <c r="E216" s="27"/>
      <c r="F216" s="27"/>
      <c r="G216" s="27"/>
      <c r="V216" s="185"/>
    </row>
    <row r="217" spans="1:25" ht="18" customHeight="1">
      <c r="A217" s="184"/>
      <c r="D217" s="27"/>
      <c r="E217" s="27"/>
      <c r="F217" s="27"/>
      <c r="G217" s="27"/>
      <c r="V217" s="185"/>
    </row>
    <row r="218" spans="1:25" ht="18" customHeight="1">
      <c r="A218" s="184"/>
      <c r="D218" s="27"/>
      <c r="E218" s="27"/>
      <c r="F218" s="27"/>
      <c r="G218" s="27"/>
      <c r="V218" s="185"/>
    </row>
    <row r="219" spans="1:25" ht="18" customHeight="1">
      <c r="A219" s="184"/>
      <c r="V219" s="185"/>
    </row>
    <row r="220" spans="1:25" s="14" customFormat="1" ht="18" customHeight="1">
      <c r="A220" s="194"/>
      <c r="B220" s="195"/>
      <c r="C220" s="195"/>
      <c r="D220" s="195"/>
      <c r="E220" s="195"/>
      <c r="F220" s="195"/>
      <c r="G220" s="195"/>
      <c r="H220" s="195"/>
      <c r="I220" s="195"/>
      <c r="J220" s="195"/>
      <c r="K220" s="195"/>
      <c r="L220" s="195"/>
      <c r="M220" s="195"/>
      <c r="N220" s="195"/>
      <c r="O220" s="195"/>
      <c r="P220" s="195"/>
      <c r="Q220" s="224"/>
      <c r="R220" s="182"/>
      <c r="S220" s="225"/>
      <c r="T220" s="195"/>
      <c r="U220" s="195"/>
      <c r="V220" s="134" t="s">
        <v>552</v>
      </c>
    </row>
    <row r="221" spans="1:25" ht="18" customHeight="1">
      <c r="A221" s="226"/>
      <c r="B221" s="227"/>
      <c r="C221" s="227"/>
      <c r="D221" s="227"/>
      <c r="E221" s="227"/>
      <c r="F221" s="227"/>
      <c r="G221" s="227"/>
      <c r="H221" s="227"/>
      <c r="I221" s="227"/>
      <c r="J221" s="227"/>
      <c r="K221" s="227"/>
      <c r="L221" s="227"/>
      <c r="M221" s="227"/>
      <c r="N221" s="227"/>
      <c r="O221" s="227"/>
      <c r="P221" s="227"/>
      <c r="Q221" s="227"/>
      <c r="R221" s="227"/>
      <c r="S221" s="227"/>
      <c r="T221" s="227"/>
      <c r="U221" s="227"/>
      <c r="V221" s="228"/>
    </row>
    <row r="222" spans="1:25" ht="18" customHeight="1">
      <c r="A222" s="184"/>
      <c r="E222" s="244" t="s">
        <v>111</v>
      </c>
      <c r="F222" s="27" t="s">
        <v>127</v>
      </c>
      <c r="G222" s="689" t="s">
        <v>544</v>
      </c>
      <c r="H222" s="689"/>
      <c r="I222" s="191" t="s">
        <v>342</v>
      </c>
      <c r="J222" s="684" t="s">
        <v>423</v>
      </c>
      <c r="K222" s="684"/>
      <c r="V222" s="185"/>
    </row>
    <row r="223" spans="1:25" ht="18" customHeight="1">
      <c r="A223" s="184"/>
      <c r="F223" s="27" t="s">
        <v>127</v>
      </c>
      <c r="G223" s="684">
        <f>S202</f>
        <v>17140</v>
      </c>
      <c r="H223" s="684"/>
      <c r="I223" s="191" t="s">
        <v>342</v>
      </c>
      <c r="J223" s="684">
        <f>S203</f>
        <v>1000</v>
      </c>
      <c r="K223" s="684"/>
      <c r="V223" s="185"/>
    </row>
    <row r="224" spans="1:25" ht="18" customHeight="1">
      <c r="A224" s="184"/>
      <c r="F224" s="27" t="s">
        <v>127</v>
      </c>
      <c r="G224" s="795">
        <f>G223/J223</f>
        <v>17.14</v>
      </c>
      <c r="H224" s="795"/>
      <c r="I224" s="27"/>
      <c r="J224" s="27"/>
      <c r="K224" s="27"/>
      <c r="V224" s="185"/>
    </row>
    <row r="225" spans="1:22" ht="18" customHeight="1">
      <c r="A225" s="184"/>
      <c r="V225" s="185"/>
    </row>
    <row r="226" spans="1:22" ht="18" customHeight="1">
      <c r="A226" s="184"/>
      <c r="E226" s="244" t="s">
        <v>553</v>
      </c>
      <c r="F226" s="27" t="s">
        <v>127</v>
      </c>
      <c r="G226" s="27" t="s">
        <v>495</v>
      </c>
      <c r="H226" s="27" t="s">
        <v>554</v>
      </c>
      <c r="I226" s="120" t="s">
        <v>491</v>
      </c>
      <c r="J226" s="28" t="s">
        <v>347</v>
      </c>
      <c r="K226" s="120" t="s">
        <v>493</v>
      </c>
      <c r="L226" s="28" t="s">
        <v>539</v>
      </c>
      <c r="M226" s="120" t="s">
        <v>491</v>
      </c>
      <c r="N226" s="28" t="s">
        <v>347</v>
      </c>
      <c r="O226" s="120" t="s">
        <v>512</v>
      </c>
      <c r="P226" s="296" t="s">
        <v>350</v>
      </c>
      <c r="V226" s="185"/>
    </row>
    <row r="227" spans="1:22" ht="18" customHeight="1">
      <c r="A227" s="184"/>
      <c r="F227" s="27" t="s">
        <v>127</v>
      </c>
      <c r="G227" s="242">
        <f>S208</f>
        <v>20</v>
      </c>
      <c r="H227" s="245" t="s">
        <v>554</v>
      </c>
      <c r="I227" s="301">
        <f>S205</f>
        <v>8</v>
      </c>
      <c r="J227" s="245" t="s">
        <v>347</v>
      </c>
      <c r="K227" s="301">
        <f>E213</f>
        <v>44</v>
      </c>
      <c r="L227" s="245" t="s">
        <v>539</v>
      </c>
      <c r="M227" s="301">
        <f>S205</f>
        <v>8</v>
      </c>
      <c r="N227" s="245" t="s">
        <v>347</v>
      </c>
      <c r="O227" s="301">
        <f>S206</f>
        <v>0.23593310000000001</v>
      </c>
      <c r="P227" s="461" t="s">
        <v>350</v>
      </c>
      <c r="V227" s="185"/>
    </row>
    <row r="228" spans="1:22" ht="18" customHeight="1">
      <c r="A228" s="184"/>
      <c r="F228" s="27" t="s">
        <v>127</v>
      </c>
      <c r="G228" s="795">
        <f>G227*((I227+K227)/(M227+O227))</f>
        <v>126.27591644716006</v>
      </c>
      <c r="H228" s="795"/>
      <c r="V228" s="185"/>
    </row>
    <row r="229" spans="1:22" ht="18" customHeight="1">
      <c r="A229" s="184"/>
      <c r="V229" s="185"/>
    </row>
    <row r="230" spans="1:22" ht="18" customHeight="1">
      <c r="A230" s="184"/>
      <c r="E230" s="244" t="s">
        <v>555</v>
      </c>
      <c r="F230" s="27" t="str">
        <f>IF(D231&gt;G231,"&gt;","&lt;")</f>
        <v>&gt;</v>
      </c>
      <c r="G230" s="296" t="s">
        <v>111</v>
      </c>
      <c r="V230" s="185"/>
    </row>
    <row r="231" spans="1:22" ht="18" customHeight="1">
      <c r="A231" s="184"/>
      <c r="D231" s="795">
        <f>G228</f>
        <v>126.27591644716006</v>
      </c>
      <c r="E231" s="795"/>
      <c r="F231" s="27" t="str">
        <f>F230</f>
        <v>&gt;</v>
      </c>
      <c r="G231" s="795">
        <f>G224</f>
        <v>17.14</v>
      </c>
      <c r="H231" s="795"/>
      <c r="V231" s="185"/>
    </row>
    <row r="232" spans="1:22" ht="18" customHeight="1">
      <c r="A232" s="184"/>
      <c r="E232" s="244" t="s">
        <v>478</v>
      </c>
      <c r="G232" s="18" t="str">
        <f>IF(F230="&gt;","Suitably Dimentioned","Under Dimentioned")</f>
        <v>Suitably Dimentioned</v>
      </c>
      <c r="V232" s="185"/>
    </row>
    <row r="233" spans="1:22" ht="18" customHeight="1">
      <c r="A233" s="184"/>
      <c r="V233" s="185"/>
    </row>
    <row r="234" spans="1:22" ht="18" customHeight="1">
      <c r="A234" s="184"/>
      <c r="V234" s="185"/>
    </row>
    <row r="235" spans="1:22" ht="18" customHeight="1">
      <c r="A235" s="184"/>
      <c r="V235" s="185"/>
    </row>
    <row r="236" spans="1:22" ht="18" customHeight="1">
      <c r="A236" s="184"/>
      <c r="V236" s="185"/>
    </row>
    <row r="237" spans="1:22" ht="18" customHeight="1">
      <c r="A237" s="184"/>
      <c r="V237" s="185"/>
    </row>
    <row r="238" spans="1:22" ht="18" customHeight="1">
      <c r="A238" s="184"/>
      <c r="V238" s="185"/>
    </row>
    <row r="239" spans="1:22" ht="18" customHeight="1">
      <c r="A239" s="184"/>
      <c r="V239" s="185"/>
    </row>
    <row r="240" spans="1:22" ht="18" customHeight="1">
      <c r="A240" s="184"/>
      <c r="V240" s="185"/>
    </row>
    <row r="241" spans="1:22" ht="18" customHeight="1">
      <c r="A241" s="184"/>
      <c r="V241" s="185"/>
    </row>
    <row r="242" spans="1:22" ht="18" customHeight="1">
      <c r="A242" s="184"/>
      <c r="V242" s="185"/>
    </row>
    <row r="243" spans="1:22" ht="18" customHeight="1">
      <c r="A243" s="184"/>
      <c r="V243" s="185"/>
    </row>
    <row r="244" spans="1:22" ht="18" customHeight="1">
      <c r="A244" s="184"/>
      <c r="V244" s="185"/>
    </row>
    <row r="245" spans="1:22" ht="18" customHeight="1">
      <c r="A245" s="184"/>
      <c r="V245" s="185"/>
    </row>
    <row r="246" spans="1:22" ht="18" customHeight="1">
      <c r="A246" s="184"/>
      <c r="V246" s="185"/>
    </row>
    <row r="247" spans="1:22" ht="18" customHeight="1">
      <c r="A247" s="184"/>
      <c r="V247" s="185"/>
    </row>
    <row r="248" spans="1:22" ht="18" customHeight="1">
      <c r="A248" s="184"/>
      <c r="V248" s="185"/>
    </row>
    <row r="249" spans="1:22" ht="18" customHeight="1">
      <c r="A249" s="184"/>
      <c r="V249" s="185"/>
    </row>
    <row r="250" spans="1:22" ht="18" customHeight="1">
      <c r="A250" s="184"/>
      <c r="V250" s="185"/>
    </row>
    <row r="251" spans="1:22" ht="18" customHeight="1">
      <c r="A251" s="184"/>
      <c r="V251" s="185"/>
    </row>
    <row r="252" spans="1:22" ht="18" customHeight="1">
      <c r="A252" s="184"/>
      <c r="V252" s="185"/>
    </row>
    <row r="253" spans="1:22" ht="18" customHeight="1">
      <c r="A253" s="184"/>
      <c r="V253" s="185"/>
    </row>
    <row r="254" spans="1:22" ht="18" customHeight="1">
      <c r="A254" s="184"/>
      <c r="V254" s="185"/>
    </row>
    <row r="255" spans="1:22" ht="18" customHeight="1">
      <c r="A255" s="184"/>
      <c r="V255" s="185"/>
    </row>
    <row r="256" spans="1:22" ht="18" customHeight="1">
      <c r="A256" s="184"/>
      <c r="V256" s="185"/>
    </row>
    <row r="257" spans="1:22" ht="18" customHeight="1">
      <c r="A257" s="184"/>
      <c r="V257" s="185"/>
    </row>
    <row r="258" spans="1:22" ht="18" customHeight="1">
      <c r="A258" s="184"/>
      <c r="V258" s="185"/>
    </row>
    <row r="259" spans="1:22" ht="18" customHeight="1">
      <c r="A259" s="184"/>
      <c r="V259" s="185"/>
    </row>
    <row r="260" spans="1:22" ht="18" customHeight="1">
      <c r="A260" s="184"/>
      <c r="V260" s="185"/>
    </row>
    <row r="261" spans="1:22" ht="18" customHeight="1">
      <c r="A261" s="184"/>
      <c r="V261" s="185"/>
    </row>
    <row r="262" spans="1:22" ht="18" customHeight="1">
      <c r="A262" s="184"/>
      <c r="V262" s="185"/>
    </row>
    <row r="263" spans="1:22" ht="18" customHeight="1">
      <c r="A263" s="184"/>
      <c r="V263" s="185"/>
    </row>
    <row r="264" spans="1:22" s="14" customFormat="1" ht="18" customHeight="1">
      <c r="A264" s="194"/>
      <c r="B264" s="195"/>
      <c r="C264" s="195"/>
      <c r="D264" s="195"/>
      <c r="E264" s="195"/>
      <c r="F264" s="195"/>
      <c r="G264" s="195"/>
      <c r="H264" s="195"/>
      <c r="I264" s="195"/>
      <c r="J264" s="195"/>
      <c r="K264" s="195"/>
      <c r="L264" s="195"/>
      <c r="M264" s="195"/>
      <c r="N264" s="195"/>
      <c r="O264" s="195"/>
      <c r="P264" s="195"/>
      <c r="Q264" s="224"/>
      <c r="R264" s="182"/>
      <c r="S264" s="225"/>
      <c r="T264" s="195"/>
      <c r="U264" s="195"/>
      <c r="V264" s="134" t="s">
        <v>552</v>
      </c>
    </row>
    <row r="265" spans="1:22" ht="18" customHeight="1">
      <c r="A265" s="226"/>
      <c r="B265" s="227"/>
      <c r="C265" s="227"/>
      <c r="D265" s="227"/>
      <c r="E265" s="227"/>
      <c r="F265" s="227"/>
      <c r="G265" s="227"/>
      <c r="H265" s="227"/>
      <c r="I265" s="227"/>
      <c r="J265" s="227"/>
      <c r="K265" s="227"/>
      <c r="L265" s="227"/>
      <c r="M265" s="227"/>
      <c r="N265" s="227"/>
      <c r="O265" s="227"/>
      <c r="P265" s="227"/>
      <c r="Q265" s="227"/>
      <c r="R265" s="227"/>
      <c r="S265" s="227"/>
      <c r="T265" s="227"/>
      <c r="U265" s="227"/>
      <c r="V265" s="228"/>
    </row>
    <row r="266" spans="1:22" ht="18" customHeight="1">
      <c r="A266" s="262" t="s">
        <v>532</v>
      </c>
      <c r="B266" s="14"/>
      <c r="C266" s="14"/>
      <c r="D266" s="120"/>
      <c r="E266" s="120"/>
      <c r="F266" s="18"/>
      <c r="G266" s="18"/>
      <c r="H266" s="14"/>
      <c r="I266" s="14"/>
      <c r="J266" s="14"/>
      <c r="K266" s="14"/>
      <c r="L266" s="14"/>
      <c r="M266" s="14"/>
      <c r="N266" s="14"/>
      <c r="O266" s="14"/>
      <c r="P266" s="28"/>
      <c r="Q266" s="120"/>
      <c r="R266" s="47"/>
      <c r="S266" s="206"/>
      <c r="T266" s="259"/>
      <c r="U266" s="14"/>
      <c r="V266" s="97"/>
    </row>
    <row r="267" spans="1:22" ht="18" customHeight="1">
      <c r="A267" s="955" t="s">
        <v>85</v>
      </c>
      <c r="B267" s="956"/>
      <c r="C267" s="1132"/>
      <c r="D267" s="955" t="s">
        <v>86</v>
      </c>
      <c r="E267" s="1146"/>
      <c r="F267" s="1146"/>
      <c r="G267" s="1132"/>
      <c r="H267" s="955" t="s">
        <v>87</v>
      </c>
      <c r="I267" s="957"/>
      <c r="J267" s="955" t="s">
        <v>88</v>
      </c>
      <c r="K267" s="1132"/>
      <c r="L267" s="955" t="s">
        <v>502</v>
      </c>
      <c r="M267" s="956"/>
      <c r="N267" s="957" t="s">
        <v>556</v>
      </c>
      <c r="O267" s="955" t="s">
        <v>557</v>
      </c>
      <c r="P267" s="956"/>
      <c r="Q267" s="1132"/>
      <c r="R267" s="955" t="s">
        <v>558</v>
      </c>
      <c r="S267" s="1135"/>
      <c r="T267" s="1133"/>
      <c r="U267" s="955" t="s">
        <v>505</v>
      </c>
      <c r="V267" s="1139"/>
    </row>
    <row r="268" spans="1:22" ht="18" customHeight="1">
      <c r="A268" s="1125"/>
      <c r="B268" s="983"/>
      <c r="C268" s="1133"/>
      <c r="D268" s="1136"/>
      <c r="E268" s="1135"/>
      <c r="F268" s="1135"/>
      <c r="G268" s="1133"/>
      <c r="H268" s="1125"/>
      <c r="I268" s="1126"/>
      <c r="J268" s="1136"/>
      <c r="K268" s="1133"/>
      <c r="L268" s="1125"/>
      <c r="M268" s="983"/>
      <c r="N268" s="1126"/>
      <c r="O268" s="1125"/>
      <c r="P268" s="983"/>
      <c r="Q268" s="1133"/>
      <c r="R268" s="1136"/>
      <c r="S268" s="1135"/>
      <c r="T268" s="1133"/>
      <c r="U268" s="1140"/>
      <c r="V268" s="1141"/>
    </row>
    <row r="269" spans="1:22" ht="18" customHeight="1">
      <c r="A269" s="1047"/>
      <c r="B269" s="1048"/>
      <c r="C269" s="1134"/>
      <c r="D269" s="1137"/>
      <c r="E269" s="1138"/>
      <c r="F269" s="1138"/>
      <c r="G269" s="1134"/>
      <c r="H269" s="1047"/>
      <c r="I269" s="1049"/>
      <c r="J269" s="1137"/>
      <c r="K269" s="1134"/>
      <c r="L269" s="1047"/>
      <c r="M269" s="1048"/>
      <c r="N269" s="1049"/>
      <c r="O269" s="1047"/>
      <c r="P269" s="1048"/>
      <c r="Q269" s="1134"/>
      <c r="R269" s="1137"/>
      <c r="S269" s="1138"/>
      <c r="T269" s="1134"/>
      <c r="U269" s="1142"/>
      <c r="V269" s="1143"/>
    </row>
    <row r="270" spans="1:22" ht="18" customHeight="1">
      <c r="A270" s="765" t="str">
        <f>B178</f>
        <v>CT1L</v>
      </c>
      <c r="B270" s="1144" t="str">
        <f>B178</f>
        <v>CT1L</v>
      </c>
      <c r="C270" s="871" t="str">
        <f>D178</f>
        <v>Core1</v>
      </c>
      <c r="D270" s="871">
        <f>H181</f>
        <v>800</v>
      </c>
      <c r="E270" s="871">
        <f>J181</f>
        <v>2000</v>
      </c>
      <c r="F270" s="871">
        <f>L181</f>
        <v>1000</v>
      </c>
      <c r="G270" s="871">
        <f>O181</f>
        <v>1</v>
      </c>
      <c r="H270" s="871">
        <f>'[9]CT-VT Burdens'!S19</f>
        <v>20</v>
      </c>
      <c r="I270" s="1036">
        <f>'[9]CT-VT Burdens'!S10</f>
        <v>4</v>
      </c>
      <c r="J270" s="869" t="str">
        <f>L182</f>
        <v>PX</v>
      </c>
      <c r="K270" s="869"/>
      <c r="L270" s="871">
        <f>H12</f>
        <v>2.8</v>
      </c>
      <c r="M270" s="871">
        <f>J95</f>
        <v>12</v>
      </c>
      <c r="N270" s="871">
        <f>L183</f>
        <v>8</v>
      </c>
      <c r="O270" s="871">
        <f>H13</f>
        <v>326</v>
      </c>
      <c r="P270" s="871">
        <f>J96</f>
        <v>1200</v>
      </c>
      <c r="Q270" s="871">
        <f>L184</f>
        <v>800</v>
      </c>
      <c r="R270" s="871">
        <f>H14</f>
        <v>40</v>
      </c>
      <c r="S270" s="871">
        <f>J97</f>
        <v>50</v>
      </c>
      <c r="T270" s="871">
        <f>L185</f>
        <v>75</v>
      </c>
      <c r="U270" s="775">
        <f>T178</f>
        <v>0</v>
      </c>
      <c r="V270" s="776"/>
    </row>
    <row r="271" spans="1:22" ht="18" customHeight="1">
      <c r="A271" s="765"/>
      <c r="B271" s="1144"/>
      <c r="C271" s="1130"/>
      <c r="D271" s="1130"/>
      <c r="E271" s="1130"/>
      <c r="F271" s="1130"/>
      <c r="G271" s="1130"/>
      <c r="H271" s="1130"/>
      <c r="I271" s="1130"/>
      <c r="J271" s="1129"/>
      <c r="K271" s="1129"/>
      <c r="L271" s="1130"/>
      <c r="M271" s="1130"/>
      <c r="N271" s="1130"/>
      <c r="O271" s="1130"/>
      <c r="P271" s="1130"/>
      <c r="Q271" s="1130"/>
      <c r="R271" s="1130"/>
      <c r="S271" s="1130"/>
      <c r="T271" s="1130"/>
      <c r="U271" s="775">
        <f>T179</f>
        <v>0</v>
      </c>
      <c r="V271" s="776"/>
    </row>
    <row r="272" spans="1:22" ht="18" customHeight="1">
      <c r="A272" s="765"/>
      <c r="B272" s="1144"/>
      <c r="C272" s="1131"/>
      <c r="D272" s="1131"/>
      <c r="E272" s="1131"/>
      <c r="F272" s="1131"/>
      <c r="G272" s="1131"/>
      <c r="H272" s="1131"/>
      <c r="I272" s="1131"/>
      <c r="J272" s="1129"/>
      <c r="K272" s="1129"/>
      <c r="L272" s="1131"/>
      <c r="M272" s="1131"/>
      <c r="N272" s="1131"/>
      <c r="O272" s="1131"/>
      <c r="P272" s="1131"/>
      <c r="Q272" s="1131"/>
      <c r="R272" s="1131"/>
      <c r="S272" s="1131"/>
      <c r="T272" s="1131"/>
      <c r="U272" s="775">
        <f>T180</f>
        <v>0</v>
      </c>
      <c r="V272" s="776"/>
    </row>
    <row r="273" spans="1:22" ht="18" customHeight="1">
      <c r="A273" s="184"/>
      <c r="V273" s="185"/>
    </row>
    <row r="274" spans="1:22" ht="18" customHeight="1">
      <c r="A274" s="184"/>
      <c r="V274" s="185"/>
    </row>
    <row r="275" spans="1:22" ht="18" customHeight="1">
      <c r="A275" s="184"/>
      <c r="V275" s="185"/>
    </row>
    <row r="276" spans="1:22" ht="18" customHeight="1">
      <c r="A276" s="184"/>
      <c r="V276" s="185"/>
    </row>
    <row r="277" spans="1:22" ht="18" customHeight="1">
      <c r="A277" s="184"/>
      <c r="V277" s="185"/>
    </row>
    <row r="278" spans="1:22" ht="18" customHeight="1">
      <c r="A278" s="184"/>
      <c r="V278" s="185"/>
    </row>
    <row r="279" spans="1:22" ht="18" customHeight="1">
      <c r="A279" s="184"/>
      <c r="V279" s="185"/>
    </row>
    <row r="280" spans="1:22" ht="18" customHeight="1">
      <c r="A280" s="184"/>
      <c r="V280" s="185"/>
    </row>
    <row r="281" spans="1:22" ht="18" customHeight="1">
      <c r="A281" s="184"/>
      <c r="V281" s="185"/>
    </row>
    <row r="282" spans="1:22" ht="18" customHeight="1">
      <c r="A282" s="184"/>
      <c r="V282" s="185"/>
    </row>
    <row r="283" spans="1:22" ht="18" customHeight="1">
      <c r="A283" s="184"/>
      <c r="V283" s="185"/>
    </row>
    <row r="284" spans="1:22" ht="18" customHeight="1">
      <c r="A284" s="184"/>
      <c r="V284" s="185"/>
    </row>
    <row r="285" spans="1:22" ht="18" customHeight="1">
      <c r="A285" s="184"/>
      <c r="V285" s="185"/>
    </row>
    <row r="286" spans="1:22" ht="18" customHeight="1">
      <c r="A286" s="184"/>
      <c r="V286" s="185"/>
    </row>
    <row r="287" spans="1:22" ht="18" customHeight="1">
      <c r="A287" s="184"/>
      <c r="V287" s="185"/>
    </row>
    <row r="288" spans="1:22" ht="18" customHeight="1">
      <c r="A288" s="184"/>
      <c r="V288" s="185"/>
    </row>
    <row r="289" spans="1:22" ht="18" customHeight="1">
      <c r="A289" s="184"/>
      <c r="V289" s="185"/>
    </row>
    <row r="290" spans="1:22" ht="18" customHeight="1">
      <c r="A290" s="184"/>
      <c r="V290" s="185"/>
    </row>
    <row r="291" spans="1:22" ht="18" customHeight="1">
      <c r="A291" s="184"/>
      <c r="V291" s="185"/>
    </row>
    <row r="292" spans="1:22" ht="18" customHeight="1">
      <c r="A292" s="184"/>
      <c r="V292" s="185"/>
    </row>
    <row r="293" spans="1:22" ht="18" customHeight="1">
      <c r="A293" s="184"/>
      <c r="V293" s="185"/>
    </row>
    <row r="294" spans="1:22" ht="18" customHeight="1">
      <c r="A294" s="184"/>
      <c r="V294" s="185"/>
    </row>
    <row r="295" spans="1:22" ht="18" customHeight="1">
      <c r="A295" s="184"/>
      <c r="V295" s="185"/>
    </row>
    <row r="296" spans="1:22" ht="18" customHeight="1">
      <c r="A296" s="184"/>
      <c r="V296" s="185"/>
    </row>
    <row r="297" spans="1:22" ht="18" customHeight="1">
      <c r="A297" s="184"/>
      <c r="V297" s="185"/>
    </row>
    <row r="298" spans="1:22" ht="18" customHeight="1">
      <c r="A298" s="184"/>
      <c r="V298" s="185"/>
    </row>
    <row r="299" spans="1:22" ht="18" customHeight="1">
      <c r="A299" s="184"/>
      <c r="V299" s="185"/>
    </row>
    <row r="300" spans="1:22" ht="18" customHeight="1">
      <c r="A300" s="184"/>
      <c r="V300" s="185"/>
    </row>
    <row r="301" spans="1:22" ht="18" customHeight="1">
      <c r="A301" s="184"/>
      <c r="V301" s="185"/>
    </row>
    <row r="302" spans="1:22" ht="18" customHeight="1">
      <c r="A302" s="184"/>
      <c r="V302" s="185"/>
    </row>
    <row r="303" spans="1:22" ht="18" customHeight="1">
      <c r="A303" s="184"/>
      <c r="V303" s="185"/>
    </row>
    <row r="304" spans="1:22" ht="18" customHeight="1">
      <c r="A304" s="184"/>
      <c r="V304" s="185"/>
    </row>
    <row r="305" spans="1:22" ht="18" customHeight="1">
      <c r="A305" s="184"/>
      <c r="V305" s="185"/>
    </row>
    <row r="306" spans="1:22" ht="18" customHeight="1">
      <c r="A306" s="184"/>
      <c r="V306" s="185"/>
    </row>
    <row r="307" spans="1:22" ht="18" customHeight="1">
      <c r="A307" s="184"/>
      <c r="V307" s="185"/>
    </row>
    <row r="308" spans="1:22" s="14" customFormat="1" ht="18" customHeight="1">
      <c r="A308" s="194"/>
      <c r="B308" s="195"/>
      <c r="C308" s="195"/>
      <c r="D308" s="195"/>
      <c r="E308" s="195"/>
      <c r="F308" s="195"/>
      <c r="G308" s="195"/>
      <c r="H308" s="195"/>
      <c r="I308" s="195"/>
      <c r="J308" s="195"/>
      <c r="K308" s="195"/>
      <c r="L308" s="195"/>
      <c r="M308" s="195"/>
      <c r="N308" s="195"/>
      <c r="O308" s="195"/>
      <c r="P308" s="195"/>
      <c r="Q308" s="224"/>
      <c r="R308" s="182"/>
      <c r="S308" s="225"/>
      <c r="T308" s="195"/>
      <c r="U308" s="195"/>
      <c r="V308" s="134" t="s">
        <v>552</v>
      </c>
    </row>
  </sheetData>
  <mergeCells count="174">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G228:H228"/>
    <mergeCell ref="D231:E231"/>
    <mergeCell ref="G231:H231"/>
    <mergeCell ref="A267:C269"/>
    <mergeCell ref="D267:G269"/>
    <mergeCell ref="H267:I269"/>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J193:K193"/>
    <mergeCell ref="A195:V196"/>
    <mergeCell ref="H200:I200"/>
    <mergeCell ref="S202:T202"/>
    <mergeCell ref="S203:T203"/>
    <mergeCell ref="S204:T204"/>
    <mergeCell ref="L185:M185"/>
    <mergeCell ref="J189:K189"/>
    <mergeCell ref="J190:K190"/>
    <mergeCell ref="J191:K191"/>
    <mergeCell ref="J192:K192"/>
    <mergeCell ref="P192:Q192"/>
    <mergeCell ref="H181:I181"/>
    <mergeCell ref="J181:K181"/>
    <mergeCell ref="L181:M181"/>
    <mergeCell ref="L182:M182"/>
    <mergeCell ref="L183:M183"/>
    <mergeCell ref="L184:M184"/>
    <mergeCell ref="T178:U178"/>
    <mergeCell ref="T179:U179"/>
    <mergeCell ref="H180:I180"/>
    <mergeCell ref="J180:K180"/>
    <mergeCell ref="L180:M180"/>
    <mergeCell ref="T180:U180"/>
    <mergeCell ref="G140:H140"/>
    <mergeCell ref="D143:E143"/>
    <mergeCell ref="G143:H143"/>
    <mergeCell ref="B178:C178"/>
    <mergeCell ref="D178:E178"/>
    <mergeCell ref="H178:M178"/>
    <mergeCell ref="E125:F125"/>
    <mergeCell ref="G134:H134"/>
    <mergeCell ref="J134:K134"/>
    <mergeCell ref="G135:H135"/>
    <mergeCell ref="J135:K135"/>
    <mergeCell ref="G136:H136"/>
    <mergeCell ref="S117:T117"/>
    <mergeCell ref="S118:T118"/>
    <mergeCell ref="S119:T119"/>
    <mergeCell ref="S120:T120"/>
    <mergeCell ref="H123:I123"/>
    <mergeCell ref="H124:I124"/>
    <mergeCell ref="J105:K105"/>
    <mergeCell ref="A107:V108"/>
    <mergeCell ref="H112:I112"/>
    <mergeCell ref="S114:T114"/>
    <mergeCell ref="S115:T115"/>
    <mergeCell ref="S116:T116"/>
    <mergeCell ref="J97:K97"/>
    <mergeCell ref="J101:K101"/>
    <mergeCell ref="J102:K102"/>
    <mergeCell ref="J103:K103"/>
    <mergeCell ref="J104:K104"/>
    <mergeCell ref="P104:Q104"/>
    <mergeCell ref="H93:I93"/>
    <mergeCell ref="J93:K93"/>
    <mergeCell ref="L93:M93"/>
    <mergeCell ref="J94:K94"/>
    <mergeCell ref="J95:K95"/>
    <mergeCell ref="J96:K96"/>
    <mergeCell ref="B90:C90"/>
    <mergeCell ref="D90:E90"/>
    <mergeCell ref="H90:M90"/>
    <mergeCell ref="T90:U90"/>
    <mergeCell ref="T91:U91"/>
    <mergeCell ref="H92:I92"/>
    <mergeCell ref="J92:K92"/>
    <mergeCell ref="L92:M92"/>
    <mergeCell ref="T92:U92"/>
    <mergeCell ref="G47:H47"/>
    <mergeCell ref="J47:K47"/>
    <mergeCell ref="G48:H48"/>
    <mergeCell ref="G52:H52"/>
    <mergeCell ref="D55:E55"/>
    <mergeCell ref="G55:H55"/>
    <mergeCell ref="S37:T37"/>
    <mergeCell ref="H40:I40"/>
    <mergeCell ref="H41:I41"/>
    <mergeCell ref="E42:F42"/>
    <mergeCell ref="G46:H46"/>
    <mergeCell ref="J46:K46"/>
    <mergeCell ref="S31:T31"/>
    <mergeCell ref="S32:T32"/>
    <mergeCell ref="S33:T33"/>
    <mergeCell ref="S34:T34"/>
    <mergeCell ref="S35:T35"/>
    <mergeCell ref="S36:T36"/>
    <mergeCell ref="J20:K20"/>
    <mergeCell ref="J21:K21"/>
    <mergeCell ref="P21:Q21"/>
    <mergeCell ref="J22:K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A5:B5"/>
    <mergeCell ref="D5:F5"/>
    <mergeCell ref="H5:N5"/>
    <mergeCell ref="O5:Q5"/>
    <mergeCell ref="R5:V5"/>
    <mergeCell ref="B7:C7"/>
    <mergeCell ref="D7:E7"/>
    <mergeCell ref="H7:M7"/>
    <mergeCell ref="T7:U7"/>
    <mergeCell ref="H3:N4"/>
    <mergeCell ref="O3:Q3"/>
    <mergeCell ref="R3:V3"/>
    <mergeCell ref="O4:Q4"/>
    <mergeCell ref="R4:V4"/>
    <mergeCell ref="A1:G4"/>
    <mergeCell ref="H1:N1"/>
    <mergeCell ref="O1:Q1"/>
    <mergeCell ref="R1:V1"/>
    <mergeCell ref="H2:N2"/>
    <mergeCell ref="O2:Q2"/>
    <mergeCell ref="R2:V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documentManagement/types"/>
    <ds:schemaRef ds:uri="http://purl.org/dc/dcmitype/"/>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0d39cded-41ee-4fae-b09b-4e0915b8dd2e"/>
    <ds:schemaRef ds:uri="http://purl.org/dc/term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102</vt:i4>
      </vt:variant>
      <vt:variant>
        <vt:lpstr>Named Ranges</vt:lpstr>
      </vt:variant>
      <vt:variant>
        <vt:i4>183</vt:i4>
      </vt:variant>
    </vt:vector>
  </HeadingPairs>
  <TitlesOfParts>
    <vt:vector size="285" baseType="lpstr">
      <vt:lpstr>Title</vt:lpstr>
      <vt:lpstr>INDEX</vt:lpstr>
      <vt:lpstr>Notes Or Assumptions</vt:lpstr>
      <vt:lpstr>CT-VT Data landscape</vt:lpstr>
      <vt:lpstr>CT-VT Burdens</vt:lpstr>
      <vt:lpstr>CT ADEQUACY</vt:lpstr>
      <vt:lpstr>Parameters &amp; Fault Cal. (4)</vt:lpstr>
      <vt:lpstr>BAY1</vt:lpstr>
      <vt:lpstr>BUP BCU</vt:lpstr>
      <vt:lpstr>RED670 IED TEMPLATE</vt:lpstr>
      <vt:lpstr>7SJ85 IED TEMPLATE</vt:lpstr>
      <vt:lpstr>TR. MAIN-2 MF </vt:lpstr>
      <vt:lpstr>CABLE MAIN-2</vt:lpstr>
      <vt:lpstr>BCU+AMMETER</vt:lpstr>
      <vt:lpstr>MAIN-1 BBP</vt:lpstr>
      <vt:lpstr>BUP BCU(1)</vt:lpstr>
      <vt:lpstr>BBP P743(1)</vt:lpstr>
      <vt:lpstr>BCU+OC-5P SEL751+7SJ85 (2)</vt:lpstr>
      <vt:lpstr>Tariff Check-0.2FS  (3)</vt:lpstr>
      <vt:lpstr>BAY2</vt:lpstr>
      <vt:lpstr>TR. MAIN-1 MF </vt:lpstr>
      <vt:lpstr>7UT85</vt:lpstr>
      <vt:lpstr>BCU+PQM+AMMETER</vt:lpstr>
      <vt:lpstr>MAIN-2 BBP (2)</vt:lpstr>
      <vt:lpstr>HVC1 - REF650</vt:lpstr>
      <vt:lpstr>MFAC+MVTP</vt:lpstr>
      <vt:lpstr>BUP BCU(2)</vt:lpstr>
      <vt:lpstr>BBP FU1 - REB500 (2)</vt:lpstr>
      <vt:lpstr>BBP 743(2)</vt:lpstr>
      <vt:lpstr>MAIN-1 BBP (2)</vt:lpstr>
      <vt:lpstr>MAIN-2 HV REF+SBEF</vt:lpstr>
      <vt:lpstr>MAIN-1 HV REF+SBEF</vt:lpstr>
      <vt:lpstr>MAIN-2 HV REF+SBEF (2)</vt:lpstr>
      <vt:lpstr>MAIN-1 HV REF+SBEF (2)</vt:lpstr>
      <vt:lpstr>MAIN-1 TEF</vt:lpstr>
      <vt:lpstr>MAIN-2 TEF</vt:lpstr>
      <vt:lpstr>BAY3</vt:lpstr>
      <vt:lpstr>IFP1-RED670</vt:lpstr>
      <vt:lpstr>SEL487E-X</vt:lpstr>
      <vt:lpstr>Tariff Main-0.2FS </vt:lpstr>
      <vt:lpstr>Tariff Check-0.2FS  (2)</vt:lpstr>
      <vt:lpstr>Main Tariff Meter </vt:lpstr>
      <vt:lpstr>Check Tariff Meter + Ammeters</vt:lpstr>
      <vt:lpstr>5 (7)</vt:lpstr>
      <vt:lpstr>OC+BCPU+FMS-X (3)</vt:lpstr>
      <vt:lpstr>(Metering + Ammeter) (2)</vt:lpstr>
      <vt:lpstr>5 (8)</vt:lpstr>
      <vt:lpstr>OC+BCPU+FMS-X (4)</vt:lpstr>
      <vt:lpstr>IBT MAIN-1 Diff</vt:lpstr>
      <vt:lpstr>IBT MAIN-2 Diff</vt:lpstr>
      <vt:lpstr>IBT MAIN-2 FMS+DOC DEF </vt:lpstr>
      <vt:lpstr>BCU+AMMETER (2)</vt:lpstr>
      <vt:lpstr>MAIN-2 BBP (3)</vt:lpstr>
      <vt:lpstr>5 (4)</vt:lpstr>
      <vt:lpstr>IFP2 P545 (3)</vt:lpstr>
      <vt:lpstr>BUP BCU(3)</vt:lpstr>
      <vt:lpstr>GIB - REF650</vt:lpstr>
      <vt:lpstr>BBP FU1 - REB500 (3)</vt:lpstr>
      <vt:lpstr>P74X-X (3)</vt:lpstr>
      <vt:lpstr>COP MAIN</vt:lpstr>
      <vt:lpstr>COP CHECK</vt:lpstr>
      <vt:lpstr>GIB - REF650 (2)</vt:lpstr>
      <vt:lpstr>MAIN-1 BBP (3)</vt:lpstr>
      <vt:lpstr>METERING+BCU+PQM(4)</vt:lpstr>
      <vt:lpstr>BAY4</vt:lpstr>
      <vt:lpstr>IFP1-RED670 (2)</vt:lpstr>
      <vt:lpstr>IFP2 P545 (4)</vt:lpstr>
      <vt:lpstr>MAIN-2 BBP (4)</vt:lpstr>
      <vt:lpstr>MAIN-2 BBP (5)</vt:lpstr>
      <vt:lpstr>BUP BCU(4)</vt:lpstr>
      <vt:lpstr>BBP FU1 - REB500 (4)</vt:lpstr>
      <vt:lpstr>P74X-X (4)</vt:lpstr>
      <vt:lpstr>CS1</vt:lpstr>
      <vt:lpstr>CS2</vt:lpstr>
      <vt:lpstr>OC+BCPU+FMS-X (2)</vt:lpstr>
      <vt:lpstr>MAIN-1 BBP (4)</vt:lpstr>
      <vt:lpstr>OC-EF+FMS</vt:lpstr>
      <vt:lpstr>MAIN-1 BBP (5)</vt:lpstr>
      <vt:lpstr>BCU+PQM+AMMETER (2)</vt:lpstr>
      <vt:lpstr>BAY5</vt:lpstr>
      <vt:lpstr>MAIN-2 BBP (6)</vt:lpstr>
      <vt:lpstr>MAIN-2 BBP (7)</vt:lpstr>
      <vt:lpstr>MAIN-1 BBP (6)</vt:lpstr>
      <vt:lpstr>BCU+PQM+AMMETER </vt:lpstr>
      <vt:lpstr>MAIN-1 BBP+BFP</vt:lpstr>
      <vt:lpstr>MAIN-1 BBP+BFP (2)</vt:lpstr>
      <vt:lpstr>OC-EF+FMS (2)</vt:lpstr>
      <vt:lpstr>MAIN-1 BBP (7)</vt:lpstr>
      <vt:lpstr>BCU+PQM+AMMETER (3)</vt:lpstr>
      <vt:lpstr>VT ADEQUACY</vt:lpstr>
      <vt:lpstr>VT CABLE FEEDERS</vt:lpstr>
      <vt:lpstr>132KV CABLE FEEDER VT </vt:lpstr>
      <vt:lpstr>VT BUS  </vt:lpstr>
      <vt:lpstr>132KV BUS VT </vt:lpstr>
      <vt:lpstr>VT BAY2</vt:lpstr>
      <vt:lpstr>FEEDER</vt:lpstr>
      <vt:lpstr>VT BAY3</vt:lpstr>
      <vt:lpstr>SGT</vt:lpstr>
      <vt:lpstr>Bus VT (2)</vt:lpstr>
      <vt:lpstr>Bus VT (3)</vt:lpstr>
      <vt:lpstr>P54x-X-3</vt:lpstr>
      <vt:lpstr>OC+FMS+BFR-X (BS)</vt:lpstr>
      <vt:lpstr>'(Metering + Ammeter) (2)'!Print_Area</vt:lpstr>
      <vt:lpstr>'132KV BUS VT '!Print_Area</vt:lpstr>
      <vt:lpstr>'132KV CABLE FEEDER VT '!Print_Area</vt:lpstr>
      <vt:lpstr>'5 (4)'!Print_Area</vt:lpstr>
      <vt:lpstr>'5 (7)'!Print_Area</vt:lpstr>
      <vt:lpstr>'5 (8)'!Print_Area</vt:lpstr>
      <vt:lpstr>'7SJ85 IED TEMPLATE'!Print_Area</vt:lpstr>
      <vt:lpstr>'7UT85'!Print_Area</vt:lpstr>
      <vt:lpstr>'BAY1'!Print_Area</vt:lpstr>
      <vt:lpstr>'BAY2'!Print_Area</vt:lpstr>
      <vt:lpstr>'BAY3'!Print_Area</vt:lpstr>
      <vt:lpstr>'BAY4'!Print_Area</vt:lpstr>
      <vt:lpstr>'BAY5'!Print_Area</vt:lpstr>
      <vt:lpstr>'BBP 743(2)'!Print_Area</vt:lpstr>
      <vt:lpstr>'BBP FU1 - REB500 (2)'!Print_Area</vt:lpstr>
      <vt:lpstr>'BBP FU1 - REB500 (3)'!Print_Area</vt:lpstr>
      <vt:lpstr>'BBP FU1 - REB500 (4)'!Print_Area</vt:lpstr>
      <vt:lpstr>'BBP P743(1)'!Print_Area</vt:lpstr>
      <vt:lpstr>'BCU+AMMETER'!Print_Area</vt:lpstr>
      <vt:lpstr>'BCU+AMMETER (2)'!Print_Area</vt:lpstr>
      <vt:lpstr>'BCU+OC-5P SEL751+7SJ85 (2)'!Print_Area</vt:lpstr>
      <vt:lpstr>'BCU+PQM+AMMETER'!Print_Area</vt:lpstr>
      <vt:lpstr>'BCU+PQM+AMMETER '!Print_Area</vt:lpstr>
      <vt:lpstr>'BCU+PQM+AMMETER (2)'!Print_Area</vt:lpstr>
      <vt:lpstr>'BCU+PQM+AMMETER (3)'!Print_Area</vt:lpstr>
      <vt:lpstr>'BUP BCU'!Print_Area</vt:lpstr>
      <vt:lpstr>'BUP BCU(1)'!Print_Area</vt:lpstr>
      <vt:lpstr>'BUP BCU(2)'!Print_Area</vt:lpstr>
      <vt:lpstr>'BUP BCU(3)'!Print_Area</vt:lpstr>
      <vt:lpstr>'BUP BCU(4)'!Print_Area</vt:lpstr>
      <vt:lpstr>'Bus VT (2)'!Print_Area</vt:lpstr>
      <vt:lpstr>'Bus VT (3)'!Print_Area</vt:lpstr>
      <vt:lpstr>'CABLE MAIN-2'!Print_Area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'IBT MAIN-1 Diff'!Print_Area</vt:lpstr>
      <vt:lpstr>'IBT MAIN-2 Diff'!Print_Area</vt:lpstr>
      <vt:lpstr>'IBT MAIN-2 FMS+DOC DEF '!Print_Area</vt:lpstr>
      <vt:lpstr>'IFP1-RED670'!Print_Area</vt:lpstr>
      <vt:lpstr>'IFP1-RED670 (2)'!Print_Area</vt:lpstr>
      <vt:lpstr>'IFP2 P545 (3)'!Print_Area</vt:lpstr>
      <vt:lpstr>'IFP2 P545 (4)'!Print_Area</vt:lpstr>
      <vt:lpstr>INDEX!Print_Area</vt:lpstr>
      <vt:lpstr>'Main Tariff Meter '!Print_Area</vt:lpstr>
      <vt:lpstr>'MAIN-1 BBP'!Print_Area</vt:lpstr>
      <vt:lpstr>'MAIN-1 BBP (2)'!Print_Area</vt:lpstr>
      <vt:lpstr>'MAIN-1 BBP (3)'!Print_Area</vt:lpstr>
      <vt:lpstr>'MAIN-1 BBP (4)'!Print_Area</vt:lpstr>
      <vt:lpstr>'MAIN-1 BBP (5)'!Print_Area</vt:lpstr>
      <vt:lpstr>'MAIN-1 BBP (6)'!Print_Area</vt:lpstr>
      <vt:lpstr>'MAIN-1 BBP (7)'!Print_Area</vt:lpstr>
      <vt:lpstr>'MAIN-1 BBP+BFP'!Print_Area</vt:lpstr>
      <vt:lpstr>'MAIN-1 BBP+BFP (2)'!Print_Area</vt:lpstr>
      <vt:lpstr>'MAIN-1 HV REF+SBEF'!Print_Area</vt:lpstr>
      <vt:lpstr>'MAIN-1 HV REF+SBEF (2)'!Print_Area</vt:lpstr>
      <vt:lpstr>'MAIN-1 TEF'!Print_Area</vt:lpstr>
      <vt:lpstr>'MAIN-2 BBP (2)'!Print_Area</vt:lpstr>
      <vt:lpstr>'MAIN-2 BBP (3)'!Print_Area</vt:lpstr>
      <vt:lpstr>'MAIN-2 BBP (4)'!Print_Area</vt:lpstr>
      <vt:lpstr>'MAIN-2 BBP (5)'!Print_Area</vt:lpstr>
      <vt:lpstr>'MAIN-2 BBP (6)'!Print_Area</vt:lpstr>
      <vt:lpstr>'MAIN-2 BBP (7)'!Print_Area</vt:lpstr>
      <vt:lpstr>'MAIN-2 HV REF+SBEF'!Print_Area</vt:lpstr>
      <vt:lpstr>'MAIN-2 HV REF+SBEF (2)'!Print_Area</vt:lpstr>
      <vt:lpstr>'MAIN-2 TEF'!Print_Area</vt:lpstr>
      <vt:lpstr>'METERING+BCU+PQM(4)'!Print_Area</vt:lpstr>
      <vt:lpstr>'MFAC+MVTP'!Print_Area</vt:lpstr>
      <vt:lpstr>'Notes Or Assumptions'!Print_Area</vt:lpstr>
      <vt:lpstr>'OC+BCPU+FMS-X (2)'!Print_Area</vt:lpstr>
      <vt:lpstr>'OC+BCPU+FMS-X (3)'!Print_Area</vt:lpstr>
      <vt:lpstr>'OC+BCPU+FMS-X (4)'!Print_Area</vt:lpstr>
      <vt:lpstr>'OC+FMS+BFR-X (BS)'!Print_Area</vt:lpstr>
      <vt:lpstr>'OC-EF+FMS'!Print_Area</vt:lpstr>
      <vt:lpstr>'OC-EF+FMS (2)'!Print_Area</vt:lpstr>
      <vt:lpstr>'P54x-X-3'!Print_Area</vt:lpstr>
      <vt:lpstr>'P74X-X (3)'!Print_Area</vt:lpstr>
      <vt:lpstr>'P74X-X (4)'!Print_Area</vt:lpstr>
      <vt:lpstr>'Parameters &amp; Fault Cal. (4)'!Print_Area</vt:lpstr>
      <vt:lpstr>'RED670 IED TEMPLATE'!Print_Area</vt:lpstr>
      <vt:lpstr>'SEL487E-X'!Print_Area</vt:lpstr>
      <vt:lpstr>SGT!Print_Area</vt:lpstr>
      <vt:lpstr>'Tariff Check-0.2FS  (2)'!Print_Area</vt:lpstr>
      <vt:lpstr>'Tariff Check-0.2FS  (3)'!Print_Area</vt:lpstr>
      <vt:lpstr>'Tariff Main-0.2FS '!Print_Area</vt:lpstr>
      <vt:lpstr>Title!Print_Area</vt:lpstr>
      <vt:lpstr>'TR. MAIN-1 MF '!Print_Area</vt:lpstr>
      <vt:lpstr>'TR. MAIN-2 MF '!Print_Area</vt:lpstr>
      <vt:lpstr>'VT BAY2'!Print_Area</vt:lpstr>
      <vt:lpstr>'VT BAY3'!Print_Area</vt:lpstr>
      <vt:lpstr>'VT BUS  '!Print_Area</vt:lpstr>
      <vt:lpstr>'VT CABLE FEEDERS'!Print_Area</vt:lpstr>
      <vt:lpstr>'(Metering + Ammeter) (2)'!Print_Titles</vt:lpstr>
      <vt:lpstr>'132KV BUS VT '!Print_Titles</vt:lpstr>
      <vt:lpstr>'132KV CABLE FEEDER VT '!Print_Titles</vt:lpstr>
      <vt:lpstr>'7SJ85 IED TEMPLATE'!Print_Titles</vt:lpstr>
      <vt:lpstr>'7UT85'!Print_Titles</vt:lpstr>
      <vt:lpstr>'BBP 743(2)'!Print_Titles</vt:lpstr>
      <vt:lpstr>'BBP FU1 - REB500 (2)'!Print_Titles</vt:lpstr>
      <vt:lpstr>'BBP FU1 - REB500 (3)'!Print_Titles</vt:lpstr>
      <vt:lpstr>'BBP FU1 - REB500 (4)'!Print_Titles</vt:lpstr>
      <vt:lpstr>'BBP P743(1)'!Print_Titles</vt:lpstr>
      <vt:lpstr>'BCU+AMMETER'!Print_Titles</vt:lpstr>
      <vt:lpstr>'BCU+AMMETER (2)'!Print_Titles</vt:lpstr>
      <vt:lpstr>'BCU+OC-5P SEL751+7SJ85 (2)'!Print_Titles</vt:lpstr>
      <vt:lpstr>'BCU+PQM+AMMETER'!Print_Titles</vt:lpstr>
      <vt:lpstr>'BCU+PQM+AMMETER '!Print_Titles</vt:lpstr>
      <vt:lpstr>'BCU+PQM+AMMETER (2)'!Print_Titles</vt:lpstr>
      <vt:lpstr>'BCU+PQM+AMMETER (3)'!Print_Titles</vt:lpstr>
      <vt:lpstr>'BUP BCU'!Print_Titles</vt:lpstr>
      <vt:lpstr>'BUP BCU(1)'!Print_Titles</vt:lpstr>
      <vt:lpstr>'BUP BCU(2)'!Print_Titles</vt:lpstr>
      <vt:lpstr>'BUP BCU(3)'!Print_Titles</vt:lpstr>
      <vt:lpstr>'BUP BCU(4)'!Print_Titles</vt:lpstr>
      <vt:lpstr>'Bus VT (2)'!Print_Titles</vt:lpstr>
      <vt:lpstr>'Bus VT (3)'!Print_Titles</vt:lpstr>
      <vt:lpstr>'CABLE MAIN-2'!Print_Titles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'IBT MAIN-1 Diff'!Print_Titles</vt:lpstr>
      <vt:lpstr>'IBT MAIN-2 Diff'!Print_Titles</vt:lpstr>
      <vt:lpstr>'IBT MAIN-2 FMS+DOC DEF '!Print_Titles</vt:lpstr>
      <vt:lpstr>'IFP1-RED670'!Print_Titles</vt:lpstr>
      <vt:lpstr>'IFP1-RED670 (2)'!Print_Titles</vt:lpstr>
      <vt:lpstr>'IFP2 P545 (3)'!Print_Titles</vt:lpstr>
      <vt:lpstr>'IFP2 P545 (4)'!Print_Titles</vt:lpstr>
      <vt:lpstr>'Main Tariff Meter '!Print_Titles</vt:lpstr>
      <vt:lpstr>'MAIN-1 BBP'!Print_Titles</vt:lpstr>
      <vt:lpstr>'MAIN-1 BBP (2)'!Print_Titles</vt:lpstr>
      <vt:lpstr>'MAIN-1 BBP (3)'!Print_Titles</vt:lpstr>
      <vt:lpstr>'MAIN-1 BBP (4)'!Print_Titles</vt:lpstr>
      <vt:lpstr>'MAIN-1 BBP (5)'!Print_Titles</vt:lpstr>
      <vt:lpstr>'MAIN-1 BBP (6)'!Print_Titles</vt:lpstr>
      <vt:lpstr>'MAIN-1 BBP (7)'!Print_Titles</vt:lpstr>
      <vt:lpstr>'MAIN-1 BBP+BFP'!Print_Titles</vt:lpstr>
      <vt:lpstr>'MAIN-1 BBP+BFP (2)'!Print_Titles</vt:lpstr>
      <vt:lpstr>'MAIN-1 HV REF+SBEF'!Print_Titles</vt:lpstr>
      <vt:lpstr>'MAIN-1 HV REF+SBEF (2)'!Print_Titles</vt:lpstr>
      <vt:lpstr>'MAIN-1 TEF'!Print_Titles</vt:lpstr>
      <vt:lpstr>'MAIN-2 BBP (2)'!Print_Titles</vt:lpstr>
      <vt:lpstr>'MAIN-2 BBP (3)'!Print_Titles</vt:lpstr>
      <vt:lpstr>'MAIN-2 BBP (4)'!Print_Titles</vt:lpstr>
      <vt:lpstr>'MAIN-2 BBP (5)'!Print_Titles</vt:lpstr>
      <vt:lpstr>'MAIN-2 BBP (6)'!Print_Titles</vt:lpstr>
      <vt:lpstr>'MAIN-2 BBP (7)'!Print_Titles</vt:lpstr>
      <vt:lpstr>'MAIN-2 HV REF+SBEF'!Print_Titles</vt:lpstr>
      <vt:lpstr>'MAIN-2 HV REF+SBEF (2)'!Print_Titles</vt:lpstr>
      <vt:lpstr>'MAIN-2 TEF'!Print_Titles</vt:lpstr>
      <vt:lpstr>'METERING+BCU+PQM(4)'!Print_Titles</vt:lpstr>
      <vt:lpstr>'MFAC+MVTP'!Print_Titles</vt:lpstr>
      <vt:lpstr>'OC+BCPU+FMS-X (2)'!Print_Titles</vt:lpstr>
      <vt:lpstr>'OC+BCPU+FMS-X (3)'!Print_Titles</vt:lpstr>
      <vt:lpstr>'OC+BCPU+FMS-X (4)'!Print_Titles</vt:lpstr>
      <vt:lpstr>'OC-EF+FMS'!Print_Titles</vt:lpstr>
      <vt:lpstr>'OC-EF+FMS (2)'!Print_Titles</vt:lpstr>
      <vt:lpstr>'P54x-X-3'!Print_Titles</vt:lpstr>
      <vt:lpstr>'P74X-X (4)'!Print_Titles</vt:lpstr>
      <vt:lpstr>'Parameters &amp; Fault Cal. (4)'!Print_Titles</vt:lpstr>
      <vt:lpstr>'RED670 IED TEMPLATE'!Print_Titles</vt:lpstr>
      <vt:lpstr>'SEL487E-X'!Print_Titles</vt:lpstr>
      <vt:lpstr>SGT!Print_Titles</vt:lpstr>
      <vt:lpstr>'Tariff Check-0.2FS  (2)'!Print_Titles</vt:lpstr>
      <vt:lpstr>'Tariff Check-0.2FS  (3)'!Print_Titles</vt:lpstr>
      <vt:lpstr>'Tariff Main-0.2FS '!Print_Titles</vt:lpstr>
      <vt:lpstr>'TR. MAIN-1 MF '!Print_Titles</vt:lpstr>
      <vt:lpstr>'TR. MAIN-2 MF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Karthik Sankaranarayanan</cp:lastModifiedBy>
  <cp:revision/>
  <cp:lastPrinted>2026-07-24T17:56:46Z</cp:lastPrinted>
  <dcterms:created xsi:type="dcterms:W3CDTF">2025-05-18T08:02:38Z</dcterms:created>
  <dcterms:modified xsi:type="dcterms:W3CDTF">2026-07-25T10:41:44Z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